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 All" sheetId="1" r:id="rId4"/>
    <sheet state="visible" name="Sheet21" sheetId="2" r:id="rId5"/>
    <sheet state="visible" name="Database Promotor" sheetId="3" r:id="rId6"/>
    <sheet state="visible" name="Database Toko" sheetId="4" r:id="rId7"/>
    <sheet state="visible" name="Data Penjualan Bersih" sheetId="5" r:id="rId8"/>
    <sheet state="hidden" name="Data Gabungan Timor Sumba" sheetId="6" r:id="rId9"/>
  </sheets>
  <definedNames>
    <definedName hidden="1" localSheetId="4" name="_xlnm._FilterDatabase">'Data Penjualan Bersih'!$A$1:$A$998</definedName>
  </definedNames>
  <calcPr/>
</workbook>
</file>

<file path=xl/sharedStrings.xml><?xml version="1.0" encoding="utf-8"?>
<sst xmlns="http://schemas.openxmlformats.org/spreadsheetml/2006/main" count="191025" uniqueCount="11603">
  <si>
    <t>Timestamp</t>
  </si>
  <si>
    <t>Tanggal Pengajuan</t>
  </si>
  <si>
    <t>Nama Pemohon Kredit</t>
  </si>
  <si>
    <t>Nomor Telepon Pemohon Kredit</t>
  </si>
  <si>
    <t>Pekerjaan Pemohon Kredit</t>
  </si>
  <si>
    <t>Penghasilan Bulanan Pemohon Kredit</t>
  </si>
  <si>
    <t>Apakah ada NPWP</t>
  </si>
  <si>
    <t>Total limit yang didapatkan</t>
  </si>
  <si>
    <t>Status pengajuan</t>
  </si>
  <si>
    <t>Kendala saat pengajuan</t>
  </si>
  <si>
    <t>Upload bukti pengajuan</t>
  </si>
  <si>
    <t>Area</t>
  </si>
  <si>
    <t>Tipe HP VIVO yang diambil konsumen</t>
  </si>
  <si>
    <t>Sator Area Kupang</t>
  </si>
  <si>
    <t>Sator Area Sumba</t>
  </si>
  <si>
    <t>Nama Promotor</t>
  </si>
  <si>
    <t>Column 25</t>
  </si>
  <si>
    <t>Column 26</t>
  </si>
  <si>
    <t>Column 27</t>
  </si>
  <si>
    <t>TRIYUANI REINNAMAH</t>
  </si>
  <si>
    <t>+62 856-8309-785</t>
  </si>
  <si>
    <t>SELES</t>
  </si>
  <si>
    <t>2JT</t>
  </si>
  <si>
    <t>Tidak ada</t>
  </si>
  <si>
    <t>Reject</t>
  </si>
  <si>
    <t>-</t>
  </si>
  <si>
    <t>https://drive.google.com/open?id=1v-cfYDTQqA-R55g32y0mMpJ2Xden8dLJ</t>
  </si>
  <si>
    <t>Kupang Kota</t>
  </si>
  <si>
    <t>DEMARISTI S H FENI</t>
  </si>
  <si>
    <t>Adeltrudis hoar</t>
  </si>
  <si>
    <t>+62 812-5358-4502</t>
  </si>
  <si>
    <t>Wiraswasta</t>
  </si>
  <si>
    <t>7.000.000</t>
  </si>
  <si>
    <t>Acc</t>
  </si>
  <si>
    <t>https://drive.google.com/open?id=1EEnKnPzj4BU5jvvOVf4vlRw3IDTngY6j</t>
  </si>
  <si>
    <t>Y400</t>
  </si>
  <si>
    <t>EMPI FRANGKI LIEM</t>
  </si>
  <si>
    <t>Imelda febriana magdalena lelik</t>
  </si>
  <si>
    <t>+62 857-3874-4175</t>
  </si>
  <si>
    <t>4.300.000</t>
  </si>
  <si>
    <t>https://drive.google.com/open?id=1bd8ocKNWbiY1qE9xEiaaeCRMM5-RAEM1</t>
  </si>
  <si>
    <t>Pricsa Fita Chandra Ayu Defretes</t>
  </si>
  <si>
    <t>+62 877-1590-0008</t>
  </si>
  <si>
    <t>Pegawai Swasta</t>
  </si>
  <si>
    <t>8-9jt</t>
  </si>
  <si>
    <t>Ada</t>
  </si>
  <si>
    <t>https://drive.google.com/open?id=1KMM1glijqISnf_J2s7Chw-PKVClwBDzo</t>
  </si>
  <si>
    <t>YOHANA NOVIANA MARIANA GAA</t>
  </si>
  <si>
    <t>Romana Pati</t>
  </si>
  <si>
    <t>081230387876</t>
  </si>
  <si>
    <t>3.500.000</t>
  </si>
  <si>
    <t>Tidak Ada</t>
  </si>
  <si>
    <t>https://drive.google.com/open?id=1Umo2LS8svJPAB-3fFIgZVewcMcwe4OY8</t>
  </si>
  <si>
    <t>PATRIANI MENGI ULY</t>
  </si>
  <si>
    <t>Derison lot saluk</t>
  </si>
  <si>
    <t>085959344060</t>
  </si>
  <si>
    <t xml:space="preserve">Pemilik pangkas rambut </t>
  </si>
  <si>
    <t xml:space="preserve">Tidak ada </t>
  </si>
  <si>
    <t>https://drive.google.com/open?id=1If_zKQvOp5junZ0JAq22Ln94GqwOTGvG</t>
  </si>
  <si>
    <t>NOVANTRY RUTHANIA NAFFIE</t>
  </si>
  <si>
    <t>Melani sara betty</t>
  </si>
  <si>
    <t>081998343074</t>
  </si>
  <si>
    <t xml:space="preserve">Online shop butik </t>
  </si>
  <si>
    <t>2.500.000</t>
  </si>
  <si>
    <t xml:space="preserve">Tidak dapat limite </t>
  </si>
  <si>
    <t>https://drive.google.com/open?id=1wDAR-QAoBMP1AFr8tN4HQP_snrdSDpFY</t>
  </si>
  <si>
    <t>Novita Mea Ikun Pires</t>
  </si>
  <si>
    <t>081236833055</t>
  </si>
  <si>
    <t>3-4jt</t>
  </si>
  <si>
    <t>https://drive.google.com/open?id=1zMbcG1lRzhverF7lB1BtbGfPrsd_cgeH</t>
  </si>
  <si>
    <t>ALEXA DEHOOG</t>
  </si>
  <si>
    <t>082217974397</t>
  </si>
  <si>
    <t>KARYAWAN SWASTA</t>
  </si>
  <si>
    <t>3JT</t>
  </si>
  <si>
    <t>3jt</t>
  </si>
  <si>
    <t>https://drive.google.com/open?id=1rEp7-vGA12-eDqwR9-3guAOPU3x17IRj</t>
  </si>
  <si>
    <t>Maria Inggrid Dogho</t>
  </si>
  <si>
    <t>082236726681</t>
  </si>
  <si>
    <t>GURU TK PERTIWI</t>
  </si>
  <si>
    <t>4.600.000</t>
  </si>
  <si>
    <t>3.000.000</t>
  </si>
  <si>
    <t>Dapat Limit Cuma Dp kurang, masih pulang Bicara Sama Suami Soal Dp</t>
  </si>
  <si>
    <t>https://drive.google.com/open?id=1rRiHChF6lS8XOFDgK-X5qiGX5u3XwASD</t>
  </si>
  <si>
    <t>YOHANIS TIPNONI</t>
  </si>
  <si>
    <t>DOMINGGUS CRISTIAN LEDE</t>
  </si>
  <si>
    <t>0811</t>
  </si>
  <si>
    <t>Dinas lingkungan dan kebersihan kota kupang</t>
  </si>
  <si>
    <t>4.100.000</t>
  </si>
  <si>
    <t>tidak ad</t>
  </si>
  <si>
    <t>https://drive.google.com/open?id=1eDTdhgf1M0aYwBhJdujtSOP_7GChk5Hy</t>
  </si>
  <si>
    <t>YASINTHA MBU</t>
  </si>
  <si>
    <t>Diniati kiki</t>
  </si>
  <si>
    <t>082121166521</t>
  </si>
  <si>
    <t>Usaha kios</t>
  </si>
  <si>
    <t>5.600.000</t>
  </si>
  <si>
    <t>Sistem masih bermasalah</t>
  </si>
  <si>
    <t>Nama toko tidak sesuai</t>
  </si>
  <si>
    <t>https://drive.google.com/open?id=1lv3v6LtVw6JeFo3ACOX3n4QmsdHKoKtG</t>
  </si>
  <si>
    <t>AINI RAHMATINI NATALIA MOESTAKIM</t>
  </si>
  <si>
    <t>Rivaldo nunes</t>
  </si>
  <si>
    <t>081237415440</t>
  </si>
  <si>
    <t>6.000.000</t>
  </si>
  <si>
    <t>Sistem  bermasalah</t>
  </si>
  <si>
    <t>https://drive.google.com/open?id=1B1MwnAjmIQ53ybBXzWRc1E4R86t-OEns</t>
  </si>
  <si>
    <t>Anis</t>
  </si>
  <si>
    <t>Tukang</t>
  </si>
  <si>
    <t>https://drive.google.com/open?id=1szhhvdFusPgOAt9Fcr_gIiUaQ5wUFGrv</t>
  </si>
  <si>
    <t>Kabupaten</t>
  </si>
  <si>
    <t>Tes</t>
  </si>
  <si>
    <t>Agus</t>
  </si>
  <si>
    <t>082147979471</t>
  </si>
  <si>
    <t>Pas</t>
  </si>
  <si>
    <t>https://drive.google.com/open?id=1w6RCkrMHlBINEIPqpDZDfYISau1-VoZJ</t>
  </si>
  <si>
    <t>Maria goretitokan</t>
  </si>
  <si>
    <t>081247920167</t>
  </si>
  <si>
    <t>Anggota DPRD kabupaten kupang</t>
  </si>
  <si>
    <t>Sistem eror</t>
  </si>
  <si>
    <t>Toko tidak sesuai</t>
  </si>
  <si>
    <t>https://drive.google.com/open?id=1x8rpntpmgkMZaHVEfyerFJmBfWOQBPUT</t>
  </si>
  <si>
    <t>Rangga Djara</t>
  </si>
  <si>
    <t>085119992958</t>
  </si>
  <si>
    <t>Nelayan</t>
  </si>
  <si>
    <t>1.500.000</t>
  </si>
  <si>
    <t>https://drive.google.com/open?id=1AGXZte4Yb-yCOjMBRQ831OFnxpEHY3m-</t>
  </si>
  <si>
    <t>FERI ELI KURNIAWAN</t>
  </si>
  <si>
    <t>RAFAEL RUNESI</t>
  </si>
  <si>
    <t>085338580958</t>
  </si>
  <si>
    <t>WIRASWASTA</t>
  </si>
  <si>
    <t>4.200.000</t>
  </si>
  <si>
    <t>https://drive.google.com/open?id=1Vd0fsJFiBXGfYIHSycubBlH2BpXH_AgF</t>
  </si>
  <si>
    <t>Yavet hati</t>
  </si>
  <si>
    <t>082146992105</t>
  </si>
  <si>
    <t>Swasta</t>
  </si>
  <si>
    <t>5.100.000</t>
  </si>
  <si>
    <t>https://drive.google.com/open?id=1EJxzoNsNgAbP-nOggCWumQcgyShsv5dU</t>
  </si>
  <si>
    <t>Maria Bella Savira Mbao</t>
  </si>
  <si>
    <t>081236922745</t>
  </si>
  <si>
    <t>Alfa Mart</t>
  </si>
  <si>
    <t>3.700.000</t>
  </si>
  <si>
    <t>Tidak Dapat Limit</t>
  </si>
  <si>
    <t>https://drive.google.com/open?id=14ehdJhB5qvnEMFUTjcuAXJiNVSTDhWo-</t>
  </si>
  <si>
    <t>Yuni yulianer suni</t>
  </si>
  <si>
    <t>081529259284</t>
  </si>
  <si>
    <t>Jaga warung</t>
  </si>
  <si>
    <t>2.000.000</t>
  </si>
  <si>
    <t>Tdk dpt limited</t>
  </si>
  <si>
    <t>Toko di Sistem tidak sesuai</t>
  </si>
  <si>
    <t>https://drive.google.com/open?id=10JmHEAWciNGbbewtF8pGd0yImG8FBKrW</t>
  </si>
  <si>
    <t>WARDIA</t>
  </si>
  <si>
    <t>IBRAHIM KUSUMA</t>
  </si>
  <si>
    <t>081214553021</t>
  </si>
  <si>
    <t>5.700.000</t>
  </si>
  <si>
    <t>belum dapat limit</t>
  </si>
  <si>
    <t>https://drive.google.com/open?id=16aYa7bofZteV9nGu-VIcZuA-DHA9bSfL</t>
  </si>
  <si>
    <t>Adriana luan</t>
  </si>
  <si>
    <t>081337998055</t>
  </si>
  <si>
    <t>ASN</t>
  </si>
  <si>
    <t>7.0000.000</t>
  </si>
  <si>
    <t>tidak ada</t>
  </si>
  <si>
    <t>https://drive.google.com/open?id=1Zlb06HvHIArpia6RmZLkOfeL7kHkk9Pc</t>
  </si>
  <si>
    <t>V50 LITE</t>
  </si>
  <si>
    <t>Richi</t>
  </si>
  <si>
    <t>082334922953</t>
  </si>
  <si>
    <t>Dinas Kesehatan</t>
  </si>
  <si>
    <t>Tidak dapat limit</t>
  </si>
  <si>
    <t>Pengajuan Kadaluarsa</t>
  </si>
  <si>
    <t>https://drive.google.com/open?id=1Rfjpfn8wH63-dlGpgFrzF9P681ai2uZ2</t>
  </si>
  <si>
    <t>SELVINCE BAKO</t>
  </si>
  <si>
    <t>Meryanti foeh</t>
  </si>
  <si>
    <t>2jt</t>
  </si>
  <si>
    <t>https://drive.google.com/open?id=1O66NvvEF15ofHKvQeyXS1DF8cH1jTH3X</t>
  </si>
  <si>
    <t>SKOLASTIKA B TAUNAES</t>
  </si>
  <si>
    <t>Yohana</t>
  </si>
  <si>
    <t>08123608690</t>
  </si>
  <si>
    <t>Tidak dapt limit</t>
  </si>
  <si>
    <t>https://drive.google.com/open?id=1wmofbO6IAaXPJ9bz1b1yVIYSyu8W8-hx</t>
  </si>
  <si>
    <t>Lain nya...</t>
  </si>
  <si>
    <t>Marcia Estin Wathun ximenes</t>
  </si>
  <si>
    <t>082298258277</t>
  </si>
  <si>
    <t>https://drive.google.com/open?id=1B7iDB3xt_eSksY-i5-wrRq3YFS99U7OZ</t>
  </si>
  <si>
    <t>Fory Yani F. Tasi</t>
  </si>
  <si>
    <t>https://drive.google.com/open?id=1VnURt4QYqFB5k4ks6_7wFARP9SrSrR0g</t>
  </si>
  <si>
    <t>Marsela Sinlaeloe</t>
  </si>
  <si>
    <t>082266021692</t>
  </si>
  <si>
    <t>Karyawan</t>
  </si>
  <si>
    <t>3.400.000</t>
  </si>
  <si>
    <t>Tidak ada limit</t>
  </si>
  <si>
    <t>https://drive.google.com/open?id=1_iU8TfcTWtawo4DfXWqrofBtWftHGU1R</t>
  </si>
  <si>
    <t>Febrianthy Elisabet Nau</t>
  </si>
  <si>
    <t>082145568229</t>
  </si>
  <si>
    <t>Spg</t>
  </si>
  <si>
    <t>https://drive.google.com/open?id=1mGlvXVrtof0kjaMI-wLLPPPmFGUXhjjG</t>
  </si>
  <si>
    <t>FEBRIANTHY ELISABET NA'U</t>
  </si>
  <si>
    <t>Aldy pratama johanis lada</t>
  </si>
  <si>
    <t>0822-3682-3894</t>
  </si>
  <si>
    <t>WO</t>
  </si>
  <si>
    <t>https://drive.google.com/open?id=1BLCTQ1WZqB_lfm5MzW3Webbdxq1DLpiM</t>
  </si>
  <si>
    <t>Hendriani dethan</t>
  </si>
  <si>
    <t>081993939068</t>
  </si>
  <si>
    <t>Pegawai Negeri Sipil (PNS)</t>
  </si>
  <si>
    <t>ACC</t>
  </si>
  <si>
    <t>https://drive.google.com/open?id=1ICVUf6i_l2qKBjqN9oTwRJrBur9pv_LH, https://drive.google.com/open?id=1-YAnP6KvVlEgZaxLAv-jfl02i31jCkLh</t>
  </si>
  <si>
    <t>Kupang</t>
  </si>
  <si>
    <t>Y400 series</t>
  </si>
  <si>
    <t>TUTOR ANDRI RUDOLOF ELI MANAFE</t>
  </si>
  <si>
    <t>TUTOR KUSMYATI KILIMANDU</t>
  </si>
  <si>
    <t>KESIA NATALIA I. BENU</t>
  </si>
  <si>
    <t>MARNITHA JUWIKE TIMORATI RUNESI</t>
  </si>
  <si>
    <t>Dortia Ndoen</t>
  </si>
  <si>
    <t>No Limit</t>
  </si>
  <si>
    <t>https://drive.google.com/open?id=1yahZ4lUxomfSdnZWX2rRVxQ5bcrk4Nf3</t>
  </si>
  <si>
    <t>Silfa Koa</t>
  </si>
  <si>
    <t>082178863126</t>
  </si>
  <si>
    <t>Pengusaha</t>
  </si>
  <si>
    <t>https://drive.google.com/open?id=1xUVs50VlYdxW5lHJ-y539dikFZzvQ5Tq</t>
  </si>
  <si>
    <t>TUTOR HERY YULIUS DILLAK</t>
  </si>
  <si>
    <t>MERDA PUTRI BUNGSU KENAT</t>
  </si>
  <si>
    <t>Bernadeta Ceunfin</t>
  </si>
  <si>
    <t>085333096207</t>
  </si>
  <si>
    <t>https://drive.google.com/open?id=18_Cmkd-ObaypTDAsME5KtYNzxXCn7v8a</t>
  </si>
  <si>
    <t>TUTOR ANTONIO DE JANAIRO TOMASOEY</t>
  </si>
  <si>
    <t>Yunita Elik</t>
  </si>
  <si>
    <t>087744028620</t>
  </si>
  <si>
    <t>Wiraswasta warung makan</t>
  </si>
  <si>
    <t>No limit</t>
  </si>
  <si>
    <t>https://drive.google.com/open?id=1mSKe-BM6uoBOCyt1s-MldJnTbe4uvuso</t>
  </si>
  <si>
    <t>Sendi M Halla</t>
  </si>
  <si>
    <t>082266057704</t>
  </si>
  <si>
    <t>Buruh</t>
  </si>
  <si>
    <t>Belum disetujui</t>
  </si>
  <si>
    <t>https://drive.google.com/open?id=1oxA0-wl-sGAvu8UV-IVLQmkUQzSb2kMi</t>
  </si>
  <si>
    <t>𝘚𝘦𝘯𝘥𝘪 𝘮𝘢𝘳𝘪𝘢𝘯𝘢 𝘩𝘢𝘭𝘭𝘢</t>
  </si>
  <si>
    <t>Belum disetujui tidak dapat limite</t>
  </si>
  <si>
    <t>https://drive.google.com/open?id=1_CG7QP1-jHtth3yizcWkzi3TfUPbcU0u</t>
  </si>
  <si>
    <t>RENIJUFTARI LOBO HUKI</t>
  </si>
  <si>
    <t>081338255675</t>
  </si>
  <si>
    <t>https://drive.google.com/open?id=1uTn6ojdkFMr4okLy-sFSZyuX5qGMG2m4, https://drive.google.com/open?id=1UZ5Q3xQnejGgBBSxoUyRZJ0yZ-BCNpAJ</t>
  </si>
  <si>
    <t>Fafa la anie</t>
  </si>
  <si>
    <t>081325501451</t>
  </si>
  <si>
    <t>Mengurus Rumah Tangga (IRT)</t>
  </si>
  <si>
    <t>https://drive.google.com/open?id=1yC-9TF9rO14ViAzhAzeWe_w69ew5xsza</t>
  </si>
  <si>
    <t>087852181534</t>
  </si>
  <si>
    <t>https://drive.google.com/open?id=1PsolOTzw7FY5U5wbKcu8w07G7SALiqlY</t>
  </si>
  <si>
    <t>Farens stingki betti</t>
  </si>
  <si>
    <t>081237247814</t>
  </si>
  <si>
    <t>Usaha pom mini</t>
  </si>
  <si>
    <t>Tidak dpt limit</t>
  </si>
  <si>
    <t>https://drive.google.com/open?id=1oBDBgN_yHiMd4lCVqyhHk-V9s1h26AzA</t>
  </si>
  <si>
    <t>Desianti Margareta Klay</t>
  </si>
  <si>
    <t>082127512388</t>
  </si>
  <si>
    <t>Belum di setujui</t>
  </si>
  <si>
    <t>https://drive.google.com/open?id=1zBQ50fno2ZQygNA4ftEeg6dUDOtDMSIe</t>
  </si>
  <si>
    <t>Sumba</t>
  </si>
  <si>
    <t>YOVANDA KATRINA NAE</t>
  </si>
  <si>
    <t>ESTER LOURU AWANG</t>
  </si>
  <si>
    <t>081237260801</t>
  </si>
  <si>
    <t>https://drive.google.com/open?id=13P35i9YaK4xw1sFWWHYzxUWw6z7_aY6D</t>
  </si>
  <si>
    <t>SPV ANFAL JUPRIADI AMBU WARU</t>
  </si>
  <si>
    <t>ASTUTI BELA WAWO</t>
  </si>
  <si>
    <t>JONIUS LELU NGONGO</t>
  </si>
  <si>
    <t>082119966214</t>
  </si>
  <si>
    <t>Belum/Tidak Bekerja</t>
  </si>
  <si>
    <t>Di tolak</t>
  </si>
  <si>
    <t>https://drive.google.com/open?id=18DzeRaYrxi4WAd-P3JAHrwk_bb_vchry</t>
  </si>
  <si>
    <t>DORKAS YANA BILI</t>
  </si>
  <si>
    <t>085141296784</t>
  </si>
  <si>
    <t>Di Tolak</t>
  </si>
  <si>
    <t>https://drive.google.com/open?id=1lw45SClcDOcwxB6zsVqGP0rb-WOGi7Ad</t>
  </si>
  <si>
    <t>Tustinus leti dama</t>
  </si>
  <si>
    <t>085339449340</t>
  </si>
  <si>
    <t>Kendala Teknis Aplikasi</t>
  </si>
  <si>
    <t>https://drive.google.com/open?id=1oZAHP2p1SBMdB523aHJ9yfrvk1BpExrH</t>
  </si>
  <si>
    <t>SULIS NURAINI INSYATUN</t>
  </si>
  <si>
    <t>YANIA NDUN</t>
  </si>
  <si>
    <t>085738294557</t>
  </si>
  <si>
    <t>Pengusaha Kios</t>
  </si>
  <si>
    <t>DP Yang Disediakan Pemohon Tidak Cukup</t>
  </si>
  <si>
    <t>https://drive.google.com/open?id=1wzVGa2PDZabA80TkAqckF0jcBBOxd9U4</t>
  </si>
  <si>
    <t>SAMSUDIN MADJID</t>
  </si>
  <si>
    <t>081237162528</t>
  </si>
  <si>
    <t>https://drive.google.com/open?id=1wXJBTKRhKjpsUCM7Bz-TNZDSYDST9q47</t>
  </si>
  <si>
    <t>Yosefina malo</t>
  </si>
  <si>
    <t>085336407960</t>
  </si>
  <si>
    <t>Petani</t>
  </si>
  <si>
    <t>https://drive.google.com/open?id=15KtriLd8QGaFPBURrrxgU_tD565Wf2ea</t>
  </si>
  <si>
    <t>IDMAL YUSDIRAN YUSUF</t>
  </si>
  <si>
    <t>Gideon fanggidae</t>
  </si>
  <si>
    <t>082123541125</t>
  </si>
  <si>
    <t>Pelajar/Mahasiswa</t>
  </si>
  <si>
    <t>Blm di setujui</t>
  </si>
  <si>
    <t>https://drive.google.com/open?id=1-eTvepTXdoi13Mj3kdf5RpjUpSOXcetj</t>
  </si>
  <si>
    <t>Matius loba dowa</t>
  </si>
  <si>
    <t>081239561099</t>
  </si>
  <si>
    <t>KTP Rusak</t>
  </si>
  <si>
    <t>https://drive.google.com/open?id=1ygGYW7yqPetPrwL08mqLKM7N1DzjTWRp</t>
  </si>
  <si>
    <t xml:space="preserve">Minto umbu ledi deta </t>
  </si>
  <si>
    <t>082144317324</t>
  </si>
  <si>
    <t xml:space="preserve">Belum disetujui </t>
  </si>
  <si>
    <t>https://drive.google.com/open?id=1UWi4ZBYcuMMDno0-1j02NBYc0rsT3HlW</t>
  </si>
  <si>
    <t>Margaretha m geli</t>
  </si>
  <si>
    <t>085237859297</t>
  </si>
  <si>
    <t>https://drive.google.com/open?id=1eOiudCRpc1QHJu9-qOpfNpNXifMglSZu</t>
  </si>
  <si>
    <t>Alfalani</t>
  </si>
  <si>
    <t>081246715616</t>
  </si>
  <si>
    <t>https://drive.google.com/open?id=13mLocfZpZY75Lsdn6-ahLd9Zgt-2LUFT</t>
  </si>
  <si>
    <t>LIWU JADJA</t>
  </si>
  <si>
    <t>082341484860</t>
  </si>
  <si>
    <t>Ojek online (Grab)</t>
  </si>
  <si>
    <t>https://drive.google.com/open?id=1ra7OxCXTNfFbD_FL2eaBiRQA0dWusMh8</t>
  </si>
  <si>
    <t>Lusia Astria sarah</t>
  </si>
  <si>
    <t>081246385991</t>
  </si>
  <si>
    <t>Jual ikan</t>
  </si>
  <si>
    <t>https://drive.google.com/open?id=162C53O_7a_xaGE5RZKZ2Sje6yeovX09j</t>
  </si>
  <si>
    <t>TUTOR LEU ADOLF QICHEN LEI BAIT</t>
  </si>
  <si>
    <t>BERGITHA NIA OLIN</t>
  </si>
  <si>
    <t>Kornelia Y. Ati</t>
  </si>
  <si>
    <t>085141206337</t>
  </si>
  <si>
    <t>Honorer</t>
  </si>
  <si>
    <t>https://drive.google.com/open?id=1-MFctavGl3a_8BNPhhXHrf5t7qjYQUdh</t>
  </si>
  <si>
    <t>Yogia Riki Rinardi Yudo Nenoliu</t>
  </si>
  <si>
    <t>081225127660</t>
  </si>
  <si>
    <t>https://drive.google.com/open?id=1NfzlYFNWcMYESRE4vT7l9qwcKshD57Ng</t>
  </si>
  <si>
    <t>Natalia usfinit</t>
  </si>
  <si>
    <t>081453518480</t>
  </si>
  <si>
    <t>https://drive.google.com/open?id=17FB7uir3OMLSbAOx-1RqBxCEdjKViNdz</t>
  </si>
  <si>
    <t>Imelda f. Kollo</t>
  </si>
  <si>
    <t>085191440353</t>
  </si>
  <si>
    <t>Tidak disetujui</t>
  </si>
  <si>
    <t>https://drive.google.com/open?id=1L3UN9LbXCqDVsqz1D9ZfyF-Rjay3H1Bb</t>
  </si>
  <si>
    <t>ADRIANA</t>
  </si>
  <si>
    <t>Sepriyanus dethan</t>
  </si>
  <si>
    <t>081339294087</t>
  </si>
  <si>
    <t>https://drive.google.com/open?id=1bUxkYu_Z7vu_pCXEDQxooz4h0dN-tCH7</t>
  </si>
  <si>
    <t>PAULINA DJARI</t>
  </si>
  <si>
    <t>081339787162</t>
  </si>
  <si>
    <t>Pegawai BUMN</t>
  </si>
  <si>
    <t>https://drive.google.com/open?id=1EVymcxCTGSYHCT0EFxP8nW1Y4vNP7PAh</t>
  </si>
  <si>
    <t>RESTIANI YAPU LETE</t>
  </si>
  <si>
    <t>081239102165</t>
  </si>
  <si>
    <t>DI TOLAK</t>
  </si>
  <si>
    <t>https://drive.google.com/open?id=1F4-YsnrXV6xiPz9Z81ZF9XwWgJfB_fgG</t>
  </si>
  <si>
    <t>YULIUS YAPU LETE</t>
  </si>
  <si>
    <t>081338132873</t>
  </si>
  <si>
    <t>https://drive.google.com/open?id=1qnz-y1vl8uxK2siZCbOi8foauqHSPuwK</t>
  </si>
  <si>
    <t>YOHANA NONA INA</t>
  </si>
  <si>
    <t>085124145525</t>
  </si>
  <si>
    <t>https://drive.google.com/open?id=1Bh13kfDhFcIwKYUa_VeeaP-MLLLEhUyN</t>
  </si>
  <si>
    <t>Bernadeta ceunfin</t>
  </si>
  <si>
    <t>https://drive.google.com/open?id=1oLlErTA4NNVAGXTM79YI8_81ZrZ-_K3T</t>
  </si>
  <si>
    <t>Lucia fitry Tety</t>
  </si>
  <si>
    <t>085167113826</t>
  </si>
  <si>
    <t>https://drive.google.com/open?id=1l_HaHZIawcigOKcsYfciqbMwvn3Gkker</t>
  </si>
  <si>
    <t>YELKI ALFIAN SINLAE</t>
  </si>
  <si>
    <t>+6285210178289</t>
  </si>
  <si>
    <t>https://drive.google.com/open?id=1KS772r-lD4DaHX-1GA8EuTTReAGftRUr</t>
  </si>
  <si>
    <t>LINDA MELSIANA ELLO</t>
  </si>
  <si>
    <t>Nomensen langga</t>
  </si>
  <si>
    <t>082146267482</t>
  </si>
  <si>
    <t>Rijek</t>
  </si>
  <si>
    <t>https://drive.google.com/open?id=1L_zUL_tXEt-_R0miUCWj-I2I-glnOLjZ</t>
  </si>
  <si>
    <t>ROS YANE KANA LUDJI</t>
  </si>
  <si>
    <t>Risma rustam</t>
  </si>
  <si>
    <t>082155284399</t>
  </si>
  <si>
    <t>wirausaha</t>
  </si>
  <si>
    <t>https://drive.google.com/open?id=1ZGyTSW9DP9j2kiB0zKCR8jmpNBnwly_u</t>
  </si>
  <si>
    <t>Taufiq Amiruddin kay</t>
  </si>
  <si>
    <t>082144813684</t>
  </si>
  <si>
    <t>https://drive.google.com/open?id=1p91nCh0aGQIEqg2w4CtK7eH8qnBVwaS1</t>
  </si>
  <si>
    <t>Merlin benu</t>
  </si>
  <si>
    <t>082123220735</t>
  </si>
  <si>
    <t>https://drive.google.com/open?id=1ASLhdoEhfUenRwPnk-D2J1a3GN3M-VXI</t>
  </si>
  <si>
    <t xml:space="preserve">Dorlin Dorkas tiran </t>
  </si>
  <si>
    <t>082359468848</t>
  </si>
  <si>
    <t>https://drive.google.com/open?id=11fIR2qXzTVlcF_wPJ0lxmKQM51ZLq6nk</t>
  </si>
  <si>
    <t>Adriani missa</t>
  </si>
  <si>
    <t>082144551525</t>
  </si>
  <si>
    <t>Pegawai toko</t>
  </si>
  <si>
    <t>Pengajuan ditolak</t>
  </si>
  <si>
    <t>https://drive.google.com/open?id=1UdnCbdbD_JV5lTUGf_XtQnrRRfWKLIxW</t>
  </si>
  <si>
    <t xml:space="preserve">Vinsensia Gregoria Thein </t>
  </si>
  <si>
    <t>082151112179</t>
  </si>
  <si>
    <t xml:space="preserve">Satuan Pelayanan Pemenuhan Gizi </t>
  </si>
  <si>
    <t>https://drive.google.com/open?id=1ss8U9JszMK5gF3oPAJFi6U-piR2qR1nY</t>
  </si>
  <si>
    <t>V50 Lite series</t>
  </si>
  <si>
    <t>NUR FATIMAH MOLBANG</t>
  </si>
  <si>
    <t>ordiana oekolo</t>
  </si>
  <si>
    <t>081237827332</t>
  </si>
  <si>
    <t>belum disetujui</t>
  </si>
  <si>
    <t>https://drive.google.com/open?id=1jlJDDNSgw06AhE9X6IYwFBgj2E7JLltj</t>
  </si>
  <si>
    <t>ALDIANA WELIA PANIE</t>
  </si>
  <si>
    <t>YAPSI E.BANO</t>
  </si>
  <si>
    <t>081239435292</t>
  </si>
  <si>
    <t>honorer</t>
  </si>
  <si>
    <t>https://drive.google.com/open?id=1N0Tqd_rZcNfDuVu93a0WzDZJSJLT2Qnn</t>
  </si>
  <si>
    <t>Norma norlince abi</t>
  </si>
  <si>
    <t>082144317162</t>
  </si>
  <si>
    <t>Usaha gorengan</t>
  </si>
  <si>
    <t>Pengajuab ditolak</t>
  </si>
  <si>
    <t>https://drive.google.com/open?id=1-XJgfxdI9YIfxqDn3ntoIfEoytMRMatL</t>
  </si>
  <si>
    <t>Nikodemus suat</t>
  </si>
  <si>
    <t>081337446893</t>
  </si>
  <si>
    <t>Masi ad pinjaman di luar</t>
  </si>
  <si>
    <t>https://drive.google.com/open?id=1KBj3fOHOuJEDvZrxPVFq_wQ1UNQ95ez2</t>
  </si>
  <si>
    <t>LAMADI ABDUMANAN ISHAK</t>
  </si>
  <si>
    <t>082147437505</t>
  </si>
  <si>
    <t>tidak</t>
  </si>
  <si>
    <t>https://drive.google.com/open?id=1asF4hqy-KFJslAevauzfbZv4_sLqokC-</t>
  </si>
  <si>
    <t>NIMROT NABUNOME</t>
  </si>
  <si>
    <t>087726253707</t>
  </si>
  <si>
    <t>Wirausaha</t>
  </si>
  <si>
    <t>https://drive.google.com/open?id=1ku725gkc5d7-_qVo2Ej6AK9sVd4kENB0</t>
  </si>
  <si>
    <t>YUNITA TEWU GOA</t>
  </si>
  <si>
    <t>081338736459</t>
  </si>
  <si>
    <t>Dapat limit tapi belum diproses</t>
  </si>
  <si>
    <t>https://drive.google.com/open?id=1GCErL40wwD2wBq2xYi1Tl6_ALMnch1Dc</t>
  </si>
  <si>
    <t>Maria agustina boy</t>
  </si>
  <si>
    <t>082247893789</t>
  </si>
  <si>
    <t>Petani/pekebun</t>
  </si>
  <si>
    <t>Tdk disetujui</t>
  </si>
  <si>
    <t>https://drive.google.com/open?id=1w4fcTbzku10ZJFkQ_dFR_yPrye-FT-aq</t>
  </si>
  <si>
    <t>Argi lete</t>
  </si>
  <si>
    <t>081236377499</t>
  </si>
  <si>
    <t>Tidak dapat limitee</t>
  </si>
  <si>
    <t>https://drive.google.com/open?id=1v8V097GK1lvro6knoBSnRQvytjjvMBiZ</t>
  </si>
  <si>
    <t>Hadat alwi</t>
  </si>
  <si>
    <t>082340673115</t>
  </si>
  <si>
    <t>Tidak dapat limited</t>
  </si>
  <si>
    <t>https://drive.google.com/open?id=1569qcb89-3Q1N4aYRV7ooRbDVZWDSXPs</t>
  </si>
  <si>
    <t>EMMI YANTI LEDOH</t>
  </si>
  <si>
    <t>082211482042</t>
  </si>
  <si>
    <t>Kons pernah kredit dan tidak lanjut bayar</t>
  </si>
  <si>
    <t>https://drive.google.com/open?id=14IF78IjhDn-QdQIkvFL1r6K7RvNjvdMa</t>
  </si>
  <si>
    <t>DIANA LISBETH EXWILA SINA</t>
  </si>
  <si>
    <t>081237762213</t>
  </si>
  <si>
    <t>https://drive.google.com/open?id=1xmqZvDQaWbKliqlANZRFMVusABVOdKrR</t>
  </si>
  <si>
    <t>Y29 series</t>
  </si>
  <si>
    <t>Melinda emiliana Ndada</t>
  </si>
  <si>
    <t>082341220345</t>
  </si>
  <si>
    <t>https://drive.google.com/open?id=1EpTVZ_w2ZGpbGf90k5GDuOw5wcYsQ1Ji</t>
  </si>
  <si>
    <t>Wilfrido</t>
  </si>
  <si>
    <t>081338464906</t>
  </si>
  <si>
    <t>Karyawan toko</t>
  </si>
  <si>
    <t>https://drive.google.com/open?id=17XOymdB1wkqPXtkiOgjuqLgCEWky-RTj</t>
  </si>
  <si>
    <t>Hendrikus Tanik</t>
  </si>
  <si>
    <t>082340321780</t>
  </si>
  <si>
    <t>https://drive.google.com/open?id=1lGumMsUgwXn4uMOzBqIV1CQVxJlZz43C</t>
  </si>
  <si>
    <t>Imelda erlyn non</t>
  </si>
  <si>
    <t>085183907327</t>
  </si>
  <si>
    <t>Jual AYAM SUPER</t>
  </si>
  <si>
    <t>https://drive.google.com/open?id=1TJBvduiUsx50Fz1P77qAoR3nwspaU5bD</t>
  </si>
  <si>
    <t>ARIESTA IRAWATU MULLA</t>
  </si>
  <si>
    <t>https://drive.google.com/open?id=1HohfOEx4yrOJdiOWFph-iNsPJyxuPyRE</t>
  </si>
  <si>
    <t>ASRI NINGSI RAMBU ATA ENDI</t>
  </si>
  <si>
    <t>MARLENI RAMBU ANANGGIYA</t>
  </si>
  <si>
    <t>https://drive.google.com/open?id=1DSdtV4S6d41vc8A5l4JI6Go6vtl3jxGx</t>
  </si>
  <si>
    <t>Sardinti E Tuthaes</t>
  </si>
  <si>
    <t>https://drive.google.com/open?id=1lrTgHRKUUaoUOSDMk4FAFgxeE4klel_J</t>
  </si>
  <si>
    <t>Adelina lite</t>
  </si>
  <si>
    <t>082236823498</t>
  </si>
  <si>
    <t>Tidak ada pinjaman</t>
  </si>
  <si>
    <t>https://drive.google.com/open?id=17uCVWZ0upssKhl0-RJCyeNzuujXgTY8W</t>
  </si>
  <si>
    <t>Yuliana Ikun</t>
  </si>
  <si>
    <t>081238448413</t>
  </si>
  <si>
    <t>Usaha kain tenun</t>
  </si>
  <si>
    <t>Belum dapat limit</t>
  </si>
  <si>
    <t>https://drive.google.com/open?id=19hNdZKwVczKSRbF2avLH7f2TQ6E5XRVK</t>
  </si>
  <si>
    <t>WINDRI MANOE</t>
  </si>
  <si>
    <t>Ardy surya putra manu</t>
  </si>
  <si>
    <t>082144378128</t>
  </si>
  <si>
    <t xml:space="preserve">Sudah pernah daftar di kredivo </t>
  </si>
  <si>
    <t>https://drive.google.com/open?id=1dVSbI99-nCI31VYleeNMYh3J8GDxS039</t>
  </si>
  <si>
    <t>IRENE NOVALIA KADJU</t>
  </si>
  <si>
    <t>Dolorosa  maria malo</t>
  </si>
  <si>
    <t>085339493049</t>
  </si>
  <si>
    <t>https://drive.google.com/open?id=1eE53y9P-NrU2X_0_vLbPM0EHqUV2_UyX</t>
  </si>
  <si>
    <t>Valerianus kolo</t>
  </si>
  <si>
    <t>082247545474</t>
  </si>
  <si>
    <t>https://drive.google.com/open?id=1HVuPt8SYOZJtrFBdbLZBPwX1Y85bqYYt</t>
  </si>
  <si>
    <t>Meliakim Beis</t>
  </si>
  <si>
    <t>081239200448</t>
  </si>
  <si>
    <t>https://drive.google.com/open?id=1ioRqKYA0vnGCdTSPyzLtxKLrG_L0ZO3B</t>
  </si>
  <si>
    <t>Dessi marsela runesi</t>
  </si>
  <si>
    <t>081239946640</t>
  </si>
  <si>
    <t>https://drive.google.com/open?id=1XI_O3rUgKcB9tGbUI-AgwpcipfkSga2Y</t>
  </si>
  <si>
    <t>meylanny rige</t>
  </si>
  <si>
    <t>081337554110</t>
  </si>
  <si>
    <t>https://drive.google.com/open?id=1FVsg9L1pEwMMwXVlRddBrvVQqgKco3_R</t>
  </si>
  <si>
    <t>ALITA D PAU</t>
  </si>
  <si>
    <t>Margaretha</t>
  </si>
  <si>
    <t>081234746029</t>
  </si>
  <si>
    <t>https://drive.google.com/open?id=1jvcbEHxyj-_6c-nOJPb0TVUWwquex-Fl</t>
  </si>
  <si>
    <t>AGNESIA PUTRI DIANA AMLENI</t>
  </si>
  <si>
    <t>081912432556</t>
  </si>
  <si>
    <t>pengusaha</t>
  </si>
  <si>
    <t>https://drive.google.com/open?id=1rRRLEUM2Jb8ReHJBrBC6dz_13E0N7rmj</t>
  </si>
  <si>
    <t>Cheterina Dael</t>
  </si>
  <si>
    <t>087727012421</t>
  </si>
  <si>
    <t>Ajukan 90 hari lagi</t>
  </si>
  <si>
    <t>Ajukan lagi 90 hari</t>
  </si>
  <si>
    <t>https://drive.google.com/open?id=1jHfd3w1ki1LJRv8cmrjNfJoC47oHnb5D</t>
  </si>
  <si>
    <t>Tutor YACOB CHRISTIAN BOLING</t>
  </si>
  <si>
    <t>DEWI RAHMAN</t>
  </si>
  <si>
    <t>Kristo erik labati</t>
  </si>
  <si>
    <t>082144013225</t>
  </si>
  <si>
    <t>https://drive.google.com/open?id=1GJDobqMa6BX9l5KJdZxFry5nNYWNnb4k</t>
  </si>
  <si>
    <t>Adrianus Radja</t>
  </si>
  <si>
    <t>081246313912</t>
  </si>
  <si>
    <t>https://drive.google.com/open?id=1JfqgAE5pe3zdxVsxOLJYcRilVXHaAbRx</t>
  </si>
  <si>
    <t>Kefin morgan ello</t>
  </si>
  <si>
    <t>081382653711</t>
  </si>
  <si>
    <t>https://drive.google.com/open?id=16AOoYgmn5674qlWtQKb4ssrW7G6WBMck</t>
  </si>
  <si>
    <t>https://drive.google.com/open?id=1FdVylikDc-qtqNwHXdL9fZMhsImZIv8_</t>
  </si>
  <si>
    <t>Jitro junedi lopo</t>
  </si>
  <si>
    <t>https://drive.google.com/open?id=1y5ylEI3k5DL7I7OUKJd_ZgvFO8_0MmZm</t>
  </si>
  <si>
    <t>Jenuventria Nenobesi</t>
  </si>
  <si>
    <t>081236647693</t>
  </si>
  <si>
    <t>https://drive.google.com/open?id=1CbeX8xKrT_JCW8bu7oA2_siJiGHskHBH</t>
  </si>
  <si>
    <t>Christianus yanto sani minggu</t>
  </si>
  <si>
    <t>081239149123</t>
  </si>
  <si>
    <t>https://drive.google.com/open?id=1mUui9VEOXPzjUJORKmXHlfBsY-Pu4EUW</t>
  </si>
  <si>
    <t>JOPY THOBIAS TEAK</t>
  </si>
  <si>
    <t>+6281338066860</t>
  </si>
  <si>
    <t>https://drive.google.com/open?id=1_lcHLRMzec2wyKKR1rGLicKIJsr8yg-x</t>
  </si>
  <si>
    <t>YULCENI BETSIANA OKTOSINCE</t>
  </si>
  <si>
    <t>+6282341777020</t>
  </si>
  <si>
    <t>https://drive.google.com/open?id=1Kcw4a3cLMFt8QwTVqyYVL1INaqR-6poS</t>
  </si>
  <si>
    <t>Nostarlia Fina</t>
  </si>
  <si>
    <t>081246195296</t>
  </si>
  <si>
    <t>https://drive.google.com/open?id=1NR7e_B3I5bWMUVimZdCpKYadhHQAOs24</t>
  </si>
  <si>
    <t>Meyen aplonia nggadas</t>
  </si>
  <si>
    <t>085142721752</t>
  </si>
  <si>
    <t>https://drive.google.com/open?id=1kEu7DnhPBeQ7jCYjIRMYHSktehAXZgTw</t>
  </si>
  <si>
    <t>MARATHA MARLINDA FANGGIDAE</t>
  </si>
  <si>
    <t>Erica Putri Daniell Padji Ratu</t>
  </si>
  <si>
    <t xml:space="preserve">Belum Disetujui </t>
  </si>
  <si>
    <t>https://drive.google.com/open?id=1iFeyGKv_3XUqqJwbrdx2hNq5v77uWvKg</t>
  </si>
  <si>
    <t>DWITNEY PRETY WANGGANDIMA</t>
  </si>
  <si>
    <t>anggraini nale</t>
  </si>
  <si>
    <t>082147215554</t>
  </si>
  <si>
    <t>ada angsuran berjalan</t>
  </si>
  <si>
    <t>https://drive.google.com/open?id=1jMeKDG9aCqaK5LABGOhIgW3CSNNlPFjj</t>
  </si>
  <si>
    <t xml:space="preserve"> FENTI MERLINDA LANGGA</t>
  </si>
  <si>
    <t>085235424363</t>
  </si>
  <si>
    <t>https://drive.google.com/open?id=1nOZ01rJagVKofAGQjicweHYlZ_bMRuKb</t>
  </si>
  <si>
    <t>V50 series</t>
  </si>
  <si>
    <t>Adriana alu kale</t>
  </si>
  <si>
    <t>081246252825</t>
  </si>
  <si>
    <t>Pendaftaran blm di setujui oleh aplikasi</t>
  </si>
  <si>
    <t>https://drive.google.com/open?id=1BN_rueHViTfT5nIhoAF3rqQWDvgsRmWK</t>
  </si>
  <si>
    <t>HERONIMUS NAMU WALI</t>
  </si>
  <si>
    <t>Ferdinandes viktor umbu doko</t>
  </si>
  <si>
    <t>082266702166</t>
  </si>
  <si>
    <t>Di tolak aplikasi</t>
  </si>
  <si>
    <t>https://drive.google.com/open?id=1dbblfSz_G87bwr6qPOE7iQalim84jr4I</t>
  </si>
  <si>
    <t>Monica agostinha da silva</t>
  </si>
  <si>
    <t>085238516299</t>
  </si>
  <si>
    <t>https://drive.google.com/open?id=1U16vtJ5m7SkBRIblK8sLK_OVclAwoELM</t>
  </si>
  <si>
    <t xml:space="preserve">Florida Luruk </t>
  </si>
  <si>
    <t>085138823989</t>
  </si>
  <si>
    <t xml:space="preserve">Kios sembako </t>
  </si>
  <si>
    <t xml:space="preserve">Belum di setujui </t>
  </si>
  <si>
    <t>https://drive.google.com/open?id=1WXl1yHJPPxL1AgtcNCeQ38BBiEm1f1DO</t>
  </si>
  <si>
    <t>Maxwell Blegur</t>
  </si>
  <si>
    <t>085338243300</t>
  </si>
  <si>
    <t>https://drive.google.com/open?id=1-I-U54fR9rsK1rfyotyZKXLFrVY8zYEM</t>
  </si>
  <si>
    <t>Netriwansi rambu ana uwa</t>
  </si>
  <si>
    <t>085338167015</t>
  </si>
  <si>
    <t>Dokumen belom memenuhi persyaratan</t>
  </si>
  <si>
    <t>https://drive.google.com/open?id=1EMB7BtHTEJK3Fan8pvxt-0E3HSo4p5vZ</t>
  </si>
  <si>
    <t>NOVLIANA BARBALINA MISA</t>
  </si>
  <si>
    <t>ANTHONIUS HENING</t>
  </si>
  <si>
    <t>082145622784</t>
  </si>
  <si>
    <t>Pensiunan</t>
  </si>
  <si>
    <t>https://drive.google.com/open?id=1kWHS1ojrv5fsMQMYtUw-QILKVeUchZEm</t>
  </si>
  <si>
    <t>Antonius taneh</t>
  </si>
  <si>
    <t>082199129652</t>
  </si>
  <si>
    <t>https://drive.google.com/open?id=1CrOyvj-a_CXCzspRaP-s-tVefzDUmutT</t>
  </si>
  <si>
    <t xml:space="preserve">FILIPS OCTOVIANO OKA KOREBIMA </t>
  </si>
  <si>
    <t>082266062457</t>
  </si>
  <si>
    <t>https://drive.google.com/open?id=19zjxml46NP5RhkdcM2DKDtEuF-bF3dc-</t>
  </si>
  <si>
    <t>Novita dairu oyi</t>
  </si>
  <si>
    <t>082146600972</t>
  </si>
  <si>
    <t>https://drive.google.com/open?id=1yYuMjlNn7cnbg6GZBfmJPFE-6TvcIphC</t>
  </si>
  <si>
    <t>Alsry irnawati bessie</t>
  </si>
  <si>
    <t>081225136288</t>
  </si>
  <si>
    <t>https://drive.google.com/open?id=1cFfJknwaWt-PNWj3osbKSJBM25U_5_ua</t>
  </si>
  <si>
    <t>CORNELIS TEFA</t>
  </si>
  <si>
    <t>081339892509</t>
  </si>
  <si>
    <t>Ada angsuran berjalan</t>
  </si>
  <si>
    <t>https://drive.google.com/open?id=1v1AXl8JToUa-qsNLhQb6CvD26MfqOtmf</t>
  </si>
  <si>
    <t>TONY ROBERT EBENHAESYER SINE</t>
  </si>
  <si>
    <t>081933493104</t>
  </si>
  <si>
    <t>KARIAWAN HONORER</t>
  </si>
  <si>
    <t>https://drive.google.com/open?id=1DDZLekUZ8xOSTwWVwfSeRQhHs4cPqqvy</t>
  </si>
  <si>
    <t>febri hariyanti widodo</t>
  </si>
  <si>
    <t>081338023958</t>
  </si>
  <si>
    <t>seles</t>
  </si>
  <si>
    <t>https://drive.google.com/open?id=1tewo1eldMEZrM0Myeq0H7AN1cD-D8Nbi</t>
  </si>
  <si>
    <t>Pupu Hariati</t>
  </si>
  <si>
    <t>081238865688</t>
  </si>
  <si>
    <t>Tidak di setujui</t>
  </si>
  <si>
    <t>https://drive.google.com/open?id=1J-qKfVL4w2ZLWgN2f0GK_xualStvW5wV</t>
  </si>
  <si>
    <t>Maria Tapatab</t>
  </si>
  <si>
    <t>085337063819</t>
  </si>
  <si>
    <t>https://drive.google.com/open?id=14DxMlEz6OvtoLcCayb1hl2HBZDmnbZGs</t>
  </si>
  <si>
    <t>V60 series</t>
  </si>
  <si>
    <t>SANDRINA MEILAN LALAY</t>
  </si>
  <si>
    <t>085338386114</t>
  </si>
  <si>
    <t>https://drive.google.com/open?id=1Nu2B7a2kJI2IJUak7qbg7KQ0SrDJsu0X</t>
  </si>
  <si>
    <t>Marni angriany dalle</t>
  </si>
  <si>
    <t>081319194135</t>
  </si>
  <si>
    <t>https://drive.google.com/open?id=1jsYfk8kqefKD-LT7U1XF9Pk10mYxltL2</t>
  </si>
  <si>
    <t>Reyvando kase</t>
  </si>
  <si>
    <t>0812466793718</t>
  </si>
  <si>
    <t>https://drive.google.com/open?id=1OYWB0n2DO6kHGic5FoJ3l1kcTs6SeBwq</t>
  </si>
  <si>
    <t>FIFRIANTI KOSTANTIA BOBOY</t>
  </si>
  <si>
    <t>085339338030</t>
  </si>
  <si>
    <t>Seles</t>
  </si>
  <si>
    <t>https://drive.google.com/open?id=1O80uLvzKy37dv5O1WvhWrbSxxHBxl8iG</t>
  </si>
  <si>
    <t>Yordi rambu wandal njudang</t>
  </si>
  <si>
    <t>081297914105</t>
  </si>
  <si>
    <t>https://drive.google.com/open?id=1FKX0FfITclIfSBcwKPcupmjM1tXsD5e0</t>
  </si>
  <si>
    <t>Yeni sula suek</t>
  </si>
  <si>
    <t>082144611030</t>
  </si>
  <si>
    <t>https://drive.google.com/open?id=119GA3lOBoGJ8Bp2yx0E9JZJdc-68Affl</t>
  </si>
  <si>
    <t>Yusman tanau</t>
  </si>
  <si>
    <t>082342406164</t>
  </si>
  <si>
    <t>https://drive.google.com/open?id=1gNZ5trNxL4kQL_juauer25gI_DArbSYh</t>
  </si>
  <si>
    <t>Serafina Alupan</t>
  </si>
  <si>
    <t>082236821587</t>
  </si>
  <si>
    <t>_</t>
  </si>
  <si>
    <t>https://drive.google.com/open?id=1qTV9MRoNW3voz6-w-xAK8oxXbGMjDwrh</t>
  </si>
  <si>
    <t>Stepanus rami katu</t>
  </si>
  <si>
    <t>082146021025</t>
  </si>
  <si>
    <t>https://drive.google.com/open?id=1srclDO-uupTSNkA4PFVbeDWa1ujhhyhR</t>
  </si>
  <si>
    <t>Eka grikesta fangidae</t>
  </si>
  <si>
    <t>081998008853</t>
  </si>
  <si>
    <t>https://drive.google.com/open?id=1Hvv2ajpqhC94fUALO0nXudltHmBCCViW</t>
  </si>
  <si>
    <t>Efraim olla</t>
  </si>
  <si>
    <t>082123531045</t>
  </si>
  <si>
    <t>https://drive.google.com/open?id=1JGWAvSCkRY88tU7zs_DW1-plEL6oCwoh</t>
  </si>
  <si>
    <t>Petrus Pati kia</t>
  </si>
  <si>
    <t>082298258384</t>
  </si>
  <si>
    <t>https://drive.google.com/open?id=1uAGQ9YAYWXqSOMQhjgUFLu3SBNUaxV6_</t>
  </si>
  <si>
    <t xml:space="preserve">Mesakh Ratu </t>
  </si>
  <si>
    <t>081237683417</t>
  </si>
  <si>
    <t>https://drive.google.com/open?id=1Z59AVXMDkhvXc_jITaE8B7IRaiV459Pm</t>
  </si>
  <si>
    <t>Desriana maria ufi</t>
  </si>
  <si>
    <t>087753929125</t>
  </si>
  <si>
    <t>https://drive.google.com/open?id=1sYG1lqz22sUeEwTTdjaJChz9AlMUtMw-</t>
  </si>
  <si>
    <t>Intania rambu sida</t>
  </si>
  <si>
    <t>082313595079</t>
  </si>
  <si>
    <t>Dokumen belum di setujui</t>
  </si>
  <si>
    <t>https://drive.google.com/open?id=1kSdmBe-idIJYwbMljBDLoXm9n0RY2Y8Y</t>
  </si>
  <si>
    <t>Tince yunita soru</t>
  </si>
  <si>
    <t>085947586131</t>
  </si>
  <si>
    <t>Belum tau alasan ditolak</t>
  </si>
  <si>
    <t>https://drive.google.com/open?id=1nateAmoS4iEeW0ZgnNreP3xPkgur8K1_</t>
  </si>
  <si>
    <t>Syahara kariri hara</t>
  </si>
  <si>
    <t>085317394453</t>
  </si>
  <si>
    <t>Pt muria sumba manis</t>
  </si>
  <si>
    <t>https://drive.google.com/open?id=1tAGUD4f57laFDT5ywQaKIWjT5oLKeFce</t>
  </si>
  <si>
    <t>Karyawan honorer</t>
  </si>
  <si>
    <t>https://drive.google.com/open?id=1OO0qrBz495pCexZKCFH2jd6ky4gm0Yw3</t>
  </si>
  <si>
    <t>Ina inga laura hilungara</t>
  </si>
  <si>
    <t>082145639347</t>
  </si>
  <si>
    <t>https://drive.google.com/open?id=11iX5PF0ep1Ounj6CEbexgIAfHcC7M2WM</t>
  </si>
  <si>
    <t>TUTOR MARSELUS M LAMBO</t>
  </si>
  <si>
    <t>PRETI SISILIA SILA</t>
  </si>
  <si>
    <t>https://drive.google.com/open?id=1eMnogignEDSDDD7QHLuBAT6MXScQQv5B</t>
  </si>
  <si>
    <t>IGNOISIA CEUNFIN</t>
  </si>
  <si>
    <t>085165023788</t>
  </si>
  <si>
    <t>https://drive.google.com/open?id=1DyelpcdxGhiT21xuVh8_D84HtiK6bcAy</t>
  </si>
  <si>
    <t>ENDI NIKSONI SASI</t>
  </si>
  <si>
    <t>085222018066</t>
  </si>
  <si>
    <t xml:space="preserve">Jual ikan </t>
  </si>
  <si>
    <t>https://drive.google.com/open?id=1Ss1FYE7BrWPKuMOMYvMB7Lxb0UFes7og</t>
  </si>
  <si>
    <t>Stefanus timo metboki</t>
  </si>
  <si>
    <t>081382353897</t>
  </si>
  <si>
    <t>Jual dipasar</t>
  </si>
  <si>
    <t>https://drive.google.com/open?id=1oKyBHcDpoxVMxc_IR8_OC6wnmX-lGuPm</t>
  </si>
  <si>
    <t>yelki alfian sinlae</t>
  </si>
  <si>
    <t>085210178289</t>
  </si>
  <si>
    <t>pangkas rambut</t>
  </si>
  <si>
    <t>https://drive.google.com/open?id=1ciexthUf6sFzq0WfmpZlTiMRHmsfxIoA</t>
  </si>
  <si>
    <t>Yosua arlandi panduka rawang</t>
  </si>
  <si>
    <t>085608432451</t>
  </si>
  <si>
    <t>Pegawai PT muria sumba manis</t>
  </si>
  <si>
    <t>https://drive.google.com/open?id=1M4PiPE3guIrfLqWFTLNXkhqrywx8k22d</t>
  </si>
  <si>
    <t>OLAN RISKI ANUGRAH SERAN</t>
  </si>
  <si>
    <t>pengusaha kios</t>
  </si>
  <si>
    <t>https://drive.google.com/open?id=134Wy2cHju3GxWElf4xEJ7BZd2L4Z0Dcz</t>
  </si>
  <si>
    <t>YOHANA YELITA DOPEN</t>
  </si>
  <si>
    <t>+6282224205409</t>
  </si>
  <si>
    <t>https://drive.google.com/open?id=1rnYHsqe2euMBfrDojl_gMFzVHgrdy0ZH</t>
  </si>
  <si>
    <t>PAULUS NULLIK</t>
  </si>
  <si>
    <t>+6282238662926</t>
  </si>
  <si>
    <t>https://drive.google.com/open?id=1QfTXPogsSXrebCSRac2FexF4Tf5VTg-Q</t>
  </si>
  <si>
    <t>JEMI MARKUS HENUK</t>
  </si>
  <si>
    <t>+6281237624251</t>
  </si>
  <si>
    <t>https://drive.google.com/open?id=1qPSpIn1al73-yN0Jdk0cmipDnt7kZjvk</t>
  </si>
  <si>
    <t>SITTI FITRIYANI SYABAN</t>
  </si>
  <si>
    <t>081239270033</t>
  </si>
  <si>
    <t>https://drive.google.com/open?id=11VTHTPmjb2mPq0PdY8NCFWwTg4VfwwDM</t>
  </si>
  <si>
    <t>FAHAD NUR ASLAM</t>
  </si>
  <si>
    <t>+082144633031</t>
  </si>
  <si>
    <t>https://drive.google.com/open?id=1FZoz49QpnwzyM7E6h49TpnL0XggQ1lom</t>
  </si>
  <si>
    <t>Emy Adriana Kenat</t>
  </si>
  <si>
    <t>085173193902</t>
  </si>
  <si>
    <t>https://drive.google.com/open?id=1kIUAMQ-0cq8yrWOAFmI4Z8yM_oh4IHPF</t>
  </si>
  <si>
    <t>Marthen adi papa</t>
  </si>
  <si>
    <t>081339897951</t>
  </si>
  <si>
    <t>https://drive.google.com/open?id=1LiOKWZbfbU-kTKMEu4DcrJwrd6EzZQOU</t>
  </si>
  <si>
    <t>Ambu vini</t>
  </si>
  <si>
    <t>081392834509</t>
  </si>
  <si>
    <t>https://drive.google.com/open?id=1FmYVNPUPzYeAwuYQa0XwQS79ShTu156M</t>
  </si>
  <si>
    <t>AMBU BAIQ JUMENAH</t>
  </si>
  <si>
    <t>Marlin yudelsi boimau</t>
  </si>
  <si>
    <t>089526212074</t>
  </si>
  <si>
    <t>Ditolak</t>
  </si>
  <si>
    <t>https://drive.google.com/open?id=19eJYVC0htDGiTXEOeMUqFiQ96VbL7wrY</t>
  </si>
  <si>
    <t>Selfina rusmiati uak pareira</t>
  </si>
  <si>
    <t>082236328367</t>
  </si>
  <si>
    <t>https://drive.google.com/open?id=1bBr-ce3eY84z-JPtOrjQPTNKUEAwRn4F</t>
  </si>
  <si>
    <t>Maria rajo</t>
  </si>
  <si>
    <t>081283259296</t>
  </si>
  <si>
    <t>https://drive.google.com/open?id=1CyKGsTziE9gs82h0g29-z_chZYBjj1V3</t>
  </si>
  <si>
    <t>KORNELIS KADU BEPA</t>
  </si>
  <si>
    <t>081339016538</t>
  </si>
  <si>
    <t>https://drive.google.com/open?id=1JgBbrU8BB9zTRMcaW4adNMlC0fjMCOPM</t>
  </si>
  <si>
    <t>Tay Kanjepi</t>
  </si>
  <si>
    <t>082136136859</t>
  </si>
  <si>
    <t>Belum di setujuu</t>
  </si>
  <si>
    <t>https://drive.google.com/open?id=1q3TTFa9qt3dQlsED12yEt08NJNmiXig6</t>
  </si>
  <si>
    <t>ANDRITUS DENDO NGARA</t>
  </si>
  <si>
    <t>085339495598</t>
  </si>
  <si>
    <t>https://drive.google.com/open?id=1DkbV00KDKFkr3kgTeUAC_hiGxJZpf6Xl</t>
  </si>
  <si>
    <t>Selvince bako</t>
  </si>
  <si>
    <t>085339200895</t>
  </si>
  <si>
    <t>https://drive.google.com/open?id=1NsY0_AvbU0tRac-sShwCuhgGQTdAGEm3</t>
  </si>
  <si>
    <t>ANASTASYA SESFAOT</t>
  </si>
  <si>
    <t>081238765258</t>
  </si>
  <si>
    <t>https://drive.google.com/open?id=1Kqr7RLgKce7RLn2z9Iq0mUZggcnAkZUM</t>
  </si>
  <si>
    <t>Stefanus Erdin Kou</t>
  </si>
  <si>
    <t xml:space="preserve">+62 </t>
  </si>
  <si>
    <t xml:space="preserve">Di rijec </t>
  </si>
  <si>
    <t>https://drive.google.com/open?id=1KfIFjUgLMkzrJ14eqLnI400_XHiAjpVk</t>
  </si>
  <si>
    <t>Yogalindo Abi</t>
  </si>
  <si>
    <t>081236825446</t>
  </si>
  <si>
    <t>https://drive.google.com/open?id=1iHG90dlIdC6xBklO__5AGrR_wbzdh86l</t>
  </si>
  <si>
    <t>Tince Dawa</t>
  </si>
  <si>
    <t>081324648425</t>
  </si>
  <si>
    <t>https://drive.google.com/open?id=1vsYL0maA2uhWPUOYxdW1gQiqZDJuvrPT</t>
  </si>
  <si>
    <t>LIDIA DAIRU GENYA</t>
  </si>
  <si>
    <t>081338757714</t>
  </si>
  <si>
    <t>https://drive.google.com/open?id=1CAVZa2nARwYzvohB7yj6Hc7tNMZ7SLUs</t>
  </si>
  <si>
    <t>Moses eklopas eki</t>
  </si>
  <si>
    <t>082144868837</t>
  </si>
  <si>
    <t>https://drive.google.com/open?id=16eNXx3tONWHLDXQOcUL81oZmtCF9dIWd</t>
  </si>
  <si>
    <t>Florantina atok</t>
  </si>
  <si>
    <t>081339167525</t>
  </si>
  <si>
    <t>https://drive.google.com/open?id=1Nu3g4SeEwX6Bs1mWe26v1-tplvcwdd1_</t>
  </si>
  <si>
    <t>Imanuel panchas banu</t>
  </si>
  <si>
    <t>087784904589</t>
  </si>
  <si>
    <t>https://drive.google.com/open?id=1syrR9oOb7B0CCFbcE8kyenC193FTfX77</t>
  </si>
  <si>
    <t>Ferdinan Olin</t>
  </si>
  <si>
    <t>082297508288</t>
  </si>
  <si>
    <t>https://drive.google.com/open?id=1KMuFqOyS0iPcAifIqRr7MdZ9xecKIiv6</t>
  </si>
  <si>
    <t>Mega aprilia</t>
  </si>
  <si>
    <t>083336967514</t>
  </si>
  <si>
    <t>Grab</t>
  </si>
  <si>
    <t>https://drive.google.com/open?id=12gkuZmd1okwx85ndo1GwxTFlXlZoE_nK</t>
  </si>
  <si>
    <t>Rifaldo elias elan</t>
  </si>
  <si>
    <t>082213123515</t>
  </si>
  <si>
    <t>https://drive.google.com/open?id=1qncclECKXVf8d2SgS8b-MVq58JfZTBrO</t>
  </si>
  <si>
    <t>Mea Magtelda Mesah</t>
  </si>
  <si>
    <t>082237962839</t>
  </si>
  <si>
    <t>https://drive.google.com/open?id=14qFBPRKH07t4bpuO3hCAYZhBaGyYJf_U</t>
  </si>
  <si>
    <t>𝘒𝘳𝘪𝘴𝘵𝘪𝘯𝘢 𝘠𝘶𝘯𝘪𝘵𝘢 𝘉𝘦𝘶</t>
  </si>
  <si>
    <t>082147640856</t>
  </si>
  <si>
    <t xml:space="preserve">𝘗𝘦𝘮𝘪𝘭𝘪𝘬 𝘴𝘢𝘭𝘰𝘯 </t>
  </si>
  <si>
    <t>https://drive.google.com/open?id=1BDxj2S6uH2PI1XeihhSBCQsDgBOMsKvw</t>
  </si>
  <si>
    <t>YULCE SELFINA FABIA DANO</t>
  </si>
  <si>
    <t>085339148279</t>
  </si>
  <si>
    <t>wiraswasta</t>
  </si>
  <si>
    <t>tidk</t>
  </si>
  <si>
    <t>https://drive.google.com/open?id=1b9pn_4t2xLNNzv1lMi7nek6cQDq1rLGw</t>
  </si>
  <si>
    <t>Gerson Mokola</t>
  </si>
  <si>
    <t>085713621838</t>
  </si>
  <si>
    <t>https://drive.google.com/open?id=1e0QP6abYQWAmWkIFJ187D9ird62vZhlP</t>
  </si>
  <si>
    <t>MUNING YUNUS DULWACHID</t>
  </si>
  <si>
    <t>082147166030</t>
  </si>
  <si>
    <t>https://drive.google.com/open?id=1yHyIzW_kfAkiz33HmeKk9QMtjYNQ5tYN</t>
  </si>
  <si>
    <t>Petrus bulu bebe</t>
  </si>
  <si>
    <t>082340489733</t>
  </si>
  <si>
    <t>Petani/ berkebun</t>
  </si>
  <si>
    <t>https://drive.google.com/open?id=1pZorekrL9rAGOReXgD6Eg_UmQXLMCLgI</t>
  </si>
  <si>
    <t>KETLIN IVONDA NIFU</t>
  </si>
  <si>
    <t>087765194498</t>
  </si>
  <si>
    <t>https://drive.google.com/open?id=18WjWGoTfX0xZ5_NPrWfyT0koUz5n59oj</t>
  </si>
  <si>
    <t>Maria oktoviana kefi</t>
  </si>
  <si>
    <t>081239838545</t>
  </si>
  <si>
    <t>https://drive.google.com/open?id=11hI9OFZ5fDdwhhMeZnQYvP85QixkeUVf</t>
  </si>
  <si>
    <t>Tunggu praimalinya</t>
  </si>
  <si>
    <t>081358089483</t>
  </si>
  <si>
    <t>https://drive.google.com/open?id=1rpGzM0OxVaNEchlxp_HDu4M5mqJqpxLN</t>
  </si>
  <si>
    <t>Magdalena pindu amah</t>
  </si>
  <si>
    <t>085258858820</t>
  </si>
  <si>
    <t>https://drive.google.com/open?id=16qpjtNGQaRXqqA4C7kJgX84MaUPK6dnO</t>
  </si>
  <si>
    <t>Netersia amaral da costa</t>
  </si>
  <si>
    <t>082247992749</t>
  </si>
  <si>
    <t>Usaha jualan dirumah</t>
  </si>
  <si>
    <t>https://drive.google.com/open?id=1AA8HtYcwav8UiBTW6E_MKevRQlCMAlSx</t>
  </si>
  <si>
    <t>MARIA SELA WEEK</t>
  </si>
  <si>
    <t>https://drive.google.com/open?id=1FxehK-bZ97FflUTkGqXQksVjiYNcXxq1</t>
  </si>
  <si>
    <t>Asti tefa</t>
  </si>
  <si>
    <t>082250228003</t>
  </si>
  <si>
    <t>https://drive.google.com/open?id=1FXGW3v2gRr1SVZsSxYhWrSR_agz21PPd</t>
  </si>
  <si>
    <t>Patricio maupelun</t>
  </si>
  <si>
    <t>082144622643</t>
  </si>
  <si>
    <t>https://drive.google.com/open?id=1h9XNm7W8AwmY0nHMm1xCebDPzERm6HeO</t>
  </si>
  <si>
    <t>Virginia</t>
  </si>
  <si>
    <t>082234259938</t>
  </si>
  <si>
    <t>https://drive.google.com/open?id=1FQ3scDGcacQYLreNO7u77E-3qECpAaiV</t>
  </si>
  <si>
    <t>Asgarius ngongo dodo</t>
  </si>
  <si>
    <t>082124975163</t>
  </si>
  <si>
    <t>https://drive.google.com/open?id=1kJINEhXAntjGYIaa5pEljUVb5CP4v-vk</t>
  </si>
  <si>
    <t>MELAN GITASYA PANIE</t>
  </si>
  <si>
    <t>082146763841</t>
  </si>
  <si>
    <t>https://drive.google.com/open?id=1uB8WXoBBKgDE2tWmQ3motONlmZw60NG_</t>
  </si>
  <si>
    <t>Ingggrid nobita sonbaifeto</t>
  </si>
  <si>
    <t>082213358441</t>
  </si>
  <si>
    <t>https://drive.google.com/open?id=16f9m79wym1fDKlvtWcJxK9Ubnv03L952</t>
  </si>
  <si>
    <t>Fransiskus abi</t>
  </si>
  <si>
    <t>081238603175</t>
  </si>
  <si>
    <t>https://drive.google.com/open?id=1c3X4V7QOU9x47abaZFog0kprQYpf_VSh</t>
  </si>
  <si>
    <t>Elsada Rosalina Magang</t>
  </si>
  <si>
    <t>085232206667</t>
  </si>
  <si>
    <t>https://drive.google.com/open?id=140lrf3Ade2gvTmNHfgqn_4Ayqh0z_dB5</t>
  </si>
  <si>
    <t>Gorgonia maria kapitan</t>
  </si>
  <si>
    <t>082237478129</t>
  </si>
  <si>
    <t>https://drive.google.com/open?id=1AfYD7OChH444PreQqEJTiip1eBLJWnEx</t>
  </si>
  <si>
    <t>CHANDRA PRANATA FOLLA</t>
  </si>
  <si>
    <t>082247565947</t>
  </si>
  <si>
    <t>https://drive.google.com/open?id=1kpzMpubL_YFECGPoF5CJsfTe15EZBJKi</t>
  </si>
  <si>
    <t>Mariningsi danga lila</t>
  </si>
  <si>
    <t>082132704779</t>
  </si>
  <si>
    <t>Pegawai pt muria sumba manis</t>
  </si>
  <si>
    <t>https://drive.google.com/open?id=1hgxrLwqZM0eijVU_AJKBTvF7Oxy3NlOj</t>
  </si>
  <si>
    <t>Yany bety lusi</t>
  </si>
  <si>
    <t>085962523581</t>
  </si>
  <si>
    <t>Riject</t>
  </si>
  <si>
    <t>https://drive.google.com/open?id=1ip3WSi3cBkJqTogMY58f7EyCND9-SMqD</t>
  </si>
  <si>
    <t>APRIYANTO TAGA</t>
  </si>
  <si>
    <t>087751299355</t>
  </si>
  <si>
    <t>https://drive.google.com/open?id=1ILElUhOhIvudzXTIDdVKbGJAEkIdDlRx</t>
  </si>
  <si>
    <t>FERIYANTI ISKANDAR</t>
  </si>
  <si>
    <t>+6282186777397</t>
  </si>
  <si>
    <t>https://drive.google.com/open?id=1sCGJzYrdGc8gEzYitIqpnVpEb-0Xdv1m</t>
  </si>
  <si>
    <t>Aryanto sae</t>
  </si>
  <si>
    <t>081236209700</t>
  </si>
  <si>
    <t>https://drive.google.com/open?id=1P7Slkf3l73OKPxs0lqMoPbtWRGCx0_Bl</t>
  </si>
  <si>
    <t>DANIEL GALU LERO</t>
  </si>
  <si>
    <t>082228101792</t>
  </si>
  <si>
    <t>https://drive.google.com/open?id=15jrVnwAFlGlG5iBFp3Um-QrHrDUkgviq</t>
  </si>
  <si>
    <t>MARIA CARMELITA MNOU</t>
  </si>
  <si>
    <t>08533748080841</t>
  </si>
  <si>
    <t>https://drive.google.com/open?id=1Wx3iUXwJIm7bva7DEW92K76DdXAE1XuR</t>
  </si>
  <si>
    <t>Yolenta bui fahik</t>
  </si>
  <si>
    <t>082247817118</t>
  </si>
  <si>
    <t>https://drive.google.com/open?id=1TZfKBV6EnkLSvpf2c58aqDivKMwO-dOs</t>
  </si>
  <si>
    <t>SPV WILIBRODUS R MANEK SAMARA</t>
  </si>
  <si>
    <t>SANTI MARIA LUKMINI NAHAK</t>
  </si>
  <si>
    <t>Jefri Mbai Mau Amah</t>
  </si>
  <si>
    <t>085337549061</t>
  </si>
  <si>
    <t>https://drive.google.com/open?id=1bGi5rzGS0rNBmnx-_7I3XKxAIXiA9C_S</t>
  </si>
  <si>
    <t>GEFLIN ING MEMBUBU</t>
  </si>
  <si>
    <t>085921887591</t>
  </si>
  <si>
    <t>https://drive.google.com/open?id=1KqCOuHxrrR94TJCVWJwlwekoOIT5cDKQ</t>
  </si>
  <si>
    <t xml:space="preserve">Toni indra bernadus </t>
  </si>
  <si>
    <t>081213347589</t>
  </si>
  <si>
    <t>Kios sembako</t>
  </si>
  <si>
    <t>https://drive.google.com/open?id=1OT17uuPZKi-KsmuFeuzicMJP9ez-l8dY</t>
  </si>
  <si>
    <t>ARNI MARIANCE TANIU</t>
  </si>
  <si>
    <t>083113164996</t>
  </si>
  <si>
    <t>https://drive.google.com/open?id=1SI2hv_RyZGS-i4ikK91D4cEzHZug0yV7</t>
  </si>
  <si>
    <t>Santi asmada bahan</t>
  </si>
  <si>
    <t>081338065748</t>
  </si>
  <si>
    <t>https://drive.google.com/open?id=12M_R9xbgImIisXZyDyBU8o6XSUbBYH-f</t>
  </si>
  <si>
    <t>AGNES ANU DOSI</t>
  </si>
  <si>
    <t>082146007667</t>
  </si>
  <si>
    <t>https://drive.google.com/open?id=1dMo76SS-TVgmU2F5UYYCNxaLEUtQ6Quz</t>
  </si>
  <si>
    <t>MEXY ALEXANDER HETMINA</t>
  </si>
  <si>
    <t>Agustinus Robertus Th Toke Ngole</t>
  </si>
  <si>
    <t>082247499389</t>
  </si>
  <si>
    <t>https://drive.google.com/open?id=1xBUhTpSMSBbgRJBOHeFdOTNYrLGxvLi9</t>
  </si>
  <si>
    <t>YANA DANGU</t>
  </si>
  <si>
    <t>Berti toabnani</t>
  </si>
  <si>
    <t>082145508945</t>
  </si>
  <si>
    <t>https://drive.google.com/open?id=1_3vA817aJNt3b-myexPg87p56A8I5N36</t>
  </si>
  <si>
    <t>Forten Jaya Fromin Agony</t>
  </si>
  <si>
    <t>082247223604</t>
  </si>
  <si>
    <t>https://drive.google.com/open?id=1ASujXM8aRxkFuIKSkioYhVo8u1Cm5H5U</t>
  </si>
  <si>
    <t>Yusni ndaumanu</t>
  </si>
  <si>
    <t>081235880456</t>
  </si>
  <si>
    <t>https://drive.google.com/open?id=1ydipkVR-lUXt8zmgkKwEeL0VjnSxWrY7</t>
  </si>
  <si>
    <t>Adrianus henuk</t>
  </si>
  <si>
    <t>088292243412</t>
  </si>
  <si>
    <t>https://drive.google.com/open?id=1K1dLqHCuu_-CVMUBrecJWSi7EXQMcl2k</t>
  </si>
  <si>
    <t>Yoga Dera Kore</t>
  </si>
  <si>
    <t>087858990670</t>
  </si>
  <si>
    <t>Supir maxim</t>
  </si>
  <si>
    <t>https://drive.google.com/open?id=1VtyHtRwmY_-bFfN-mOFTzKCBZrCacKRP</t>
  </si>
  <si>
    <t>ANYARMITHA SOPHIA SUEK</t>
  </si>
  <si>
    <t>yulensia oktavianus A.Md,keb</t>
  </si>
  <si>
    <t>082112261736</t>
  </si>
  <si>
    <t>peternak</t>
  </si>
  <si>
    <t>https://drive.google.com/open?id=1k-HWl5oBg3fZIUr9MfK9oqEe4iMco9Fx</t>
  </si>
  <si>
    <t>YOSEPH YONATHAN PATTIPEILOHY</t>
  </si>
  <si>
    <t>082238546637</t>
  </si>
  <si>
    <t>https://drive.google.com/open?id=17E_tqJZBEAAp6UYMIuhNC-dAy_h5B9BI</t>
  </si>
  <si>
    <t>ariyanto u h n radji</t>
  </si>
  <si>
    <t>081367827307</t>
  </si>
  <si>
    <t>dokumen belum di setujui</t>
  </si>
  <si>
    <t>https://drive.google.com/open?id=1mAQPHHvFjYLWUVd1XfGzPAbDljg3HRgA</t>
  </si>
  <si>
    <t>https://drive.google.com/open?id=198WA8MRpJY15gxksH7TRe0lS1lZsckda</t>
  </si>
  <si>
    <t>V60 Lite series</t>
  </si>
  <si>
    <t>Linda ormaja ano</t>
  </si>
  <si>
    <t>081353202283</t>
  </si>
  <si>
    <t>https://drive.google.com/open?id=1LaFYQJOhsKB8x5Q1bX7IE60MWmgl9BX7</t>
  </si>
  <si>
    <t>Nepa Sahabat Mnahonin</t>
  </si>
  <si>
    <t>081338839290</t>
  </si>
  <si>
    <t>https://drive.google.com/open?id=1l92P4lzynWIGnIIoahUJtJBUj1e6JeQo</t>
  </si>
  <si>
    <t>Marselus M lambo</t>
  </si>
  <si>
    <t>081239528895</t>
  </si>
  <si>
    <t>https://drive.google.com/open?id=1Ex05584BgKtLoYSqapwalC4lCaoPCnDt</t>
  </si>
  <si>
    <t>FELIX OSCAR BILI</t>
  </si>
  <si>
    <t>081381413049</t>
  </si>
  <si>
    <t>https://drive.google.com/open?id=1U8fgHCe1Wq-Mrsvla0vWxHMjHqV6v683</t>
  </si>
  <si>
    <t>Nando Lani</t>
  </si>
  <si>
    <t>087764395754</t>
  </si>
  <si>
    <t>https://drive.google.com/open?id=15WumgOQHMY_xMqy4LZyM5K1-M87ww6HK</t>
  </si>
  <si>
    <t>Amos bangi</t>
  </si>
  <si>
    <t>081319363658</t>
  </si>
  <si>
    <t>Umur belum cukup</t>
  </si>
  <si>
    <t>https://drive.google.com/open?id=1Y_F_4VtrAjinbHJGIgBE1nnKkNNV8d6W</t>
  </si>
  <si>
    <t>Sandi maria ambasan</t>
  </si>
  <si>
    <t>082147748361</t>
  </si>
  <si>
    <t>https://drive.google.com/open?id=1_aRfonTynUMNBlh1zsF9qVXGNDOWhLj_</t>
  </si>
  <si>
    <t>Rini Sumarlin Suan</t>
  </si>
  <si>
    <t>081241594657</t>
  </si>
  <si>
    <t>https://drive.google.com/open?id=1gV5fZzhQy2iY67RmA9GVg3vs7h92_8HW</t>
  </si>
  <si>
    <t>Ichsan jenneri bengkiuk</t>
  </si>
  <si>
    <t>087740048593</t>
  </si>
  <si>
    <t>https://drive.google.com/open?id=12DFCy0HcVkr5percppudtehh9Fw9WsO7</t>
  </si>
  <si>
    <t>Pimrot paulus dillak</t>
  </si>
  <si>
    <t>082225649118</t>
  </si>
  <si>
    <t>Pekebun</t>
  </si>
  <si>
    <t>https://drive.google.com/open?id=1qOS0A514aX7hRIaptjJoWOrxyM2hvoAS</t>
  </si>
  <si>
    <t>YAKOBA KABA LEIRU</t>
  </si>
  <si>
    <t>082146024728</t>
  </si>
  <si>
    <t>https://drive.google.com/open?id=1id6KTLXXjoDG5zrNyYWKZRXTfR7-YePj</t>
  </si>
  <si>
    <t>IMANUEL PAH</t>
  </si>
  <si>
    <t>081238346590</t>
  </si>
  <si>
    <t>https://drive.google.com/open?id=11Q0rMrqCIRKFzMtp2XqK-5ugsLpeWx0F</t>
  </si>
  <si>
    <t>Daniel ulfi</t>
  </si>
  <si>
    <t>081236035641</t>
  </si>
  <si>
    <t>Rejected</t>
  </si>
  <si>
    <t>https://drive.google.com/open?id=1zl_RwkmOS0w8ikR813hYT4BhJLMGixE2</t>
  </si>
  <si>
    <t>Stepanus k windi</t>
  </si>
  <si>
    <t>082341392199</t>
  </si>
  <si>
    <t>Pt muria sumba mnis</t>
  </si>
  <si>
    <t>https://drive.google.com/open?id=1ngNlJOIWZW12FDFmL8utdYN3R0rNrlxl</t>
  </si>
  <si>
    <t>Abraham derusel tethun</t>
  </si>
  <si>
    <t>085339344792</t>
  </si>
  <si>
    <t>https://drive.google.com/open?id=1qK9RekvwK0zz7fByIDS5nwjUVsOMX7Q-</t>
  </si>
  <si>
    <t>AYU ELLO</t>
  </si>
  <si>
    <t>081338613290</t>
  </si>
  <si>
    <t>https://drive.google.com/open?id=1nRbxeAJrAQoB77Rdvyv8oHnGFPkrwKkq</t>
  </si>
  <si>
    <t>JENI ELLO</t>
  </si>
  <si>
    <t>082314268692</t>
  </si>
  <si>
    <t>https://drive.google.com/open?id=1J5P1S4TtW2jloZT_5TmrW-ea8tJ028Xf</t>
  </si>
  <si>
    <t>Aplonia sakan</t>
  </si>
  <si>
    <t>085183858406</t>
  </si>
  <si>
    <t>Pedagang</t>
  </si>
  <si>
    <t>https://drive.google.com/open?id=1a-a2III_uH9Cgz3Ara0_JaTBjisuOzPt</t>
  </si>
  <si>
    <t>Urbanus p anaokoda tukan</t>
  </si>
  <si>
    <t>081337483658</t>
  </si>
  <si>
    <t>https://drive.google.com/open?id=1O4vIJtnC_7mCbznJQ1OaLwMNv0388enG</t>
  </si>
  <si>
    <t>Daniel Datu biru</t>
  </si>
  <si>
    <t>+6289526140779</t>
  </si>
  <si>
    <t>https://drive.google.com/open?id=1lNr-9vLRcHNBiG5rxq4yFcYhfEB4bF_p</t>
  </si>
  <si>
    <t>AZ ZAHRA SITI ZAINAB</t>
  </si>
  <si>
    <t>Riowati Tena Bolo</t>
  </si>
  <si>
    <t>082359581315</t>
  </si>
  <si>
    <t>https://drive.google.com/open?id=1IXqUY4EKtN3f13IUmXNHOOYGJrZ_uwrN</t>
  </si>
  <si>
    <t>Damianus Nesi Naif</t>
  </si>
  <si>
    <t>087888085737</t>
  </si>
  <si>
    <t>https://drive.google.com/open?id=1CRTsSqMqmpPaIZR60BTKvZ8gUZgfTurW</t>
  </si>
  <si>
    <t>merty turupaita</t>
  </si>
  <si>
    <t>081238045174</t>
  </si>
  <si>
    <t>https://drive.google.com/open?id=1HNjgktWl-HBOudgfIPJjKlv0W7TVTxds</t>
  </si>
  <si>
    <t>Yehezkiel djuru happa</t>
  </si>
  <si>
    <t>085337671691</t>
  </si>
  <si>
    <t>https://drive.google.com/open?id=1tuxeQa_igobELQNI63yJHEX0i-AvY3Kp</t>
  </si>
  <si>
    <t>Servianus neno teme</t>
  </si>
  <si>
    <t>082235885581</t>
  </si>
  <si>
    <t>Perangkat pemerintahan</t>
  </si>
  <si>
    <t>https://drive.google.com/open?id=1tyKvkjNgbqtiuFi-DXytHLF2HPwxHsJG</t>
  </si>
  <si>
    <t>Dominggus Abani</t>
  </si>
  <si>
    <t>082144982812</t>
  </si>
  <si>
    <t>https://drive.google.com/open?id=1zg84aN3AvzmXBmP84EgefA93DG2uzovJ</t>
  </si>
  <si>
    <t>Desi Maria Abani</t>
  </si>
  <si>
    <t>081236758137</t>
  </si>
  <si>
    <t>https://drive.google.com/open?id=1SrpyWvafDT7VeoxE_aFFAPpCHDHiFGv2</t>
  </si>
  <si>
    <t>Octavianus lede ngongo</t>
  </si>
  <si>
    <t>085338165150</t>
  </si>
  <si>
    <t>https://drive.google.com/open?id=1_lkzLPi7nz79ecNJXwAIyauEaBWmIqiJ</t>
  </si>
  <si>
    <t xml:space="preserve">Natalia da Costa fatima </t>
  </si>
  <si>
    <t>081237808975</t>
  </si>
  <si>
    <t>https://drive.google.com/open?id=1q5aSRQft16RkrKPJZaOaxlDhfs0Gxwq4</t>
  </si>
  <si>
    <t>YOMELIANA MARIA MAGNO</t>
  </si>
  <si>
    <t>Maria Gracela Eli</t>
  </si>
  <si>
    <t>081398802484</t>
  </si>
  <si>
    <t>https://drive.google.com/open?id=11NmuUr4Z7BCVp3tEd7-xPirGP6sYzg1w</t>
  </si>
  <si>
    <t>Maria Deklin Djonoe</t>
  </si>
  <si>
    <t>Konter</t>
  </si>
  <si>
    <t>https://drive.google.com/open?id=1OsazcfuA60h6BI5TXixuQwTI66Sf_yDA</t>
  </si>
  <si>
    <t>Ni'am isbat Fatonoah</t>
  </si>
  <si>
    <t xml:space="preserve">Konter </t>
  </si>
  <si>
    <t>1.9</t>
  </si>
  <si>
    <t>https://drive.google.com/open?id=1ndiBewDOY_KZ307vizCVOh7ba6Dp1zcV</t>
  </si>
  <si>
    <t>Lorensius Talo</t>
  </si>
  <si>
    <t>082145701190</t>
  </si>
  <si>
    <t>https://drive.google.com/open?id=1ZNuzAAXnQJe7pPDjIrhsKtE9lSvVxs9p</t>
  </si>
  <si>
    <t>Aprianti kahi hamu</t>
  </si>
  <si>
    <t>081236088761</t>
  </si>
  <si>
    <t>https://drive.google.com/open?id=1c7mt3imyRMNL-wk4lDXovwExTd8yzggJ</t>
  </si>
  <si>
    <t>BOB AIHERY</t>
  </si>
  <si>
    <t>085142017933</t>
  </si>
  <si>
    <t>https://drive.google.com/open?id=1wPG9B4r6FJ4HojBB_gHw3IMswv6vioS5</t>
  </si>
  <si>
    <t>Ana xavier Amaral</t>
  </si>
  <si>
    <t>082254673797</t>
  </si>
  <si>
    <t>https://drive.google.com/open?id=1UrM5mczjbUBV_NrR0jKN2J8kew-WUxPu</t>
  </si>
  <si>
    <t>MAGDALENA TOLEU</t>
  </si>
  <si>
    <t>082247998989</t>
  </si>
  <si>
    <t>https://drive.google.com/open?id=18RseOA3IUDTNcNWBFCHqTgpKVxExZ2wJ</t>
  </si>
  <si>
    <t>9/5/0025</t>
  </si>
  <si>
    <t>Intan Marsela Saputri Mbuilima</t>
  </si>
  <si>
    <t>081215540440</t>
  </si>
  <si>
    <t>https://drive.google.com/open?id=1fpG9Je_R7oGakx8xZDy7DS0lz27iZ6Ue</t>
  </si>
  <si>
    <t>Femi liunokas</t>
  </si>
  <si>
    <t>081236700480</t>
  </si>
  <si>
    <t>Cicilan aktif di tempat lain</t>
  </si>
  <si>
    <t>https://drive.google.com/open?id=1T8piXUceNwUFwgCIDnXRZSdCLCLHi0E0</t>
  </si>
  <si>
    <t>Apris banamtuan</t>
  </si>
  <si>
    <t>085857846127</t>
  </si>
  <si>
    <t>https://drive.google.com/open?id=1oO2kde4uqNQZzcnfnToaXdHU8P3f_K0r</t>
  </si>
  <si>
    <t>Archiles Baylon Baunsele</t>
  </si>
  <si>
    <t>082146163540</t>
  </si>
  <si>
    <t>https://drive.google.com/open?id=1L0mMNgztFNyeMI8unxawNcsSNRtI6nuI</t>
  </si>
  <si>
    <t>Regina Hingi hayon</t>
  </si>
  <si>
    <t>082144734898</t>
  </si>
  <si>
    <t>https://drive.google.com/open?id=1XAYwISBWlPfqXj0HpEGpFdjs8NuYYvYt</t>
  </si>
  <si>
    <t>Bay nubatonis</t>
  </si>
  <si>
    <t>081329468432</t>
  </si>
  <si>
    <t>https://drive.google.com/open?id=1SeItUz3uI0w48S31eHXw5hIxTgIA8eKL</t>
  </si>
  <si>
    <t>Alfa Sandrya Gablita Ndoen</t>
  </si>
  <si>
    <t>082146015038</t>
  </si>
  <si>
    <t>https://drive.google.com/open?id=1GiqWO-deZXx-3iBlnHgRvGnvGgqT6hMw</t>
  </si>
  <si>
    <t>MAGI TALO</t>
  </si>
  <si>
    <t>081217500947</t>
  </si>
  <si>
    <t>https://drive.google.com/open?id=1HhF062nwOeO2YCEbBXeIrMDGFd6ByCKJ</t>
  </si>
  <si>
    <t>Bernadina abuk</t>
  </si>
  <si>
    <t>081238342819</t>
  </si>
  <si>
    <t>https://drive.google.com/open?id=1cjJ-VWDq6xVSOr80dr2ydztqlvJuKxls</t>
  </si>
  <si>
    <t>Anak Angung Ayu Deska Ningsih</t>
  </si>
  <si>
    <t>085142992614</t>
  </si>
  <si>
    <t>https://drive.google.com/open?id=1HmOKuR2OUFdE_JgsZyxT8nt0btdrRhdc</t>
  </si>
  <si>
    <t>Fransisca mendonca</t>
  </si>
  <si>
    <t>081239310282</t>
  </si>
  <si>
    <t>https://drive.google.com/open?id=10xriPf-QPVsbh2WroOaEtxVREY_ah6Lr</t>
  </si>
  <si>
    <t>Jeni bete ulu</t>
  </si>
  <si>
    <t>081246101968</t>
  </si>
  <si>
    <t>https://drive.google.com/open?id=1LoWXGTZEGMT-QJ_EaeV6cOCtrJ-n0dr4</t>
  </si>
  <si>
    <t>Philipus Atok Seran</t>
  </si>
  <si>
    <t>081353831132</t>
  </si>
  <si>
    <t>https://drive.google.com/open?id=1hJnX0pNkh11gFmt3xiTzTISbuYAAT4Vu</t>
  </si>
  <si>
    <t>Nerci lin fatuli</t>
  </si>
  <si>
    <t>081215673877</t>
  </si>
  <si>
    <t>https://drive.google.com/open?id=1ptEz2K2K1yqHCNIUqPq_88IDu1jVVk9c</t>
  </si>
  <si>
    <t>Jesri rambu mbangi mahang</t>
  </si>
  <si>
    <t>082324171631</t>
  </si>
  <si>
    <t>Kariawan pt muria sumba manis</t>
  </si>
  <si>
    <t>Blm disetujui</t>
  </si>
  <si>
    <t>https://drive.google.com/open?id=1y-qMHrN3WKNz92qNVt8-tcMLRsOA1RMV</t>
  </si>
  <si>
    <t>Andini Julintri Balukh</t>
  </si>
  <si>
    <t>082339966334</t>
  </si>
  <si>
    <t>https://drive.google.com/open?id=186JP8LI3AGe-IyGwnpV5S-lNRhPDFKFd</t>
  </si>
  <si>
    <t>Desti Diana Lowu</t>
  </si>
  <si>
    <t>081353923151</t>
  </si>
  <si>
    <t>https://drive.google.com/open?id=1y4g8F50bvm4nVc8KU8o9K9dvtaluPPuN</t>
  </si>
  <si>
    <t>Dison elifelet bessie</t>
  </si>
  <si>
    <t>082188856958</t>
  </si>
  <si>
    <t>petani</t>
  </si>
  <si>
    <t>https://drive.google.com/open?id=10iNVS_sTDm49dmVl2FlX6jfG-1vrki3n</t>
  </si>
  <si>
    <t>Michael Anggelos Neno</t>
  </si>
  <si>
    <t>082339496331</t>
  </si>
  <si>
    <t>https://drive.google.com/open?id=1IeQDfScrIp4gaeAzlvm1GoRTuQUKaJFf</t>
  </si>
  <si>
    <t>SANDI MARTONI ISMAU</t>
  </si>
  <si>
    <t>081258088674</t>
  </si>
  <si>
    <t>Bengkel tambal ban</t>
  </si>
  <si>
    <t>https://drive.google.com/open?id=1KKni9FaaDjZVq8S4MydteDxu7UaogBXd</t>
  </si>
  <si>
    <t xml:space="preserve">Giovany Albertho Tiran </t>
  </si>
  <si>
    <t>082146900085</t>
  </si>
  <si>
    <t xml:space="preserve">Konten Kreator </t>
  </si>
  <si>
    <t>https://drive.google.com/open?id=16NL51hoNLdYjvhtvSRnc1j6K1Uv2tR_6</t>
  </si>
  <si>
    <t>Jitro Neonane</t>
  </si>
  <si>
    <t>082312102414</t>
  </si>
  <si>
    <t>Cicilan berjalan</t>
  </si>
  <si>
    <t>https://drive.google.com/open?id=1ycGDHjnMnOUakQULPFUnf2ITckjvyj-z</t>
  </si>
  <si>
    <t>Adriana F Anin</t>
  </si>
  <si>
    <t>081239089868</t>
  </si>
  <si>
    <t>https://drive.google.com/open?id=1Zzpo7vTpiBEWca_25C1ZEedvOIHOzinU</t>
  </si>
  <si>
    <t>Kristina tanabora</t>
  </si>
  <si>
    <t>081246680012</t>
  </si>
  <si>
    <t>Usaha kantin disekolah</t>
  </si>
  <si>
    <t>https://drive.google.com/open?id=1xmbI6bPAPCVfl0KUnGgCpcaUTp2YqMwZ</t>
  </si>
  <si>
    <t>AFANDI JUBITU SERAN</t>
  </si>
  <si>
    <t>081255957697</t>
  </si>
  <si>
    <t>https://drive.google.com/open?id=1Uz7fY3_DAQMC76GXgn9BteLk0mRKRjgQ</t>
  </si>
  <si>
    <t>martha dorce pormes</t>
  </si>
  <si>
    <t>082341666855</t>
  </si>
  <si>
    <t>Bisnis Expedisi</t>
  </si>
  <si>
    <t>https://drive.google.com/open?id=1IJDYG4ZcBCwlIy_ZDMa5WIPFWQPBgTVG, https://drive.google.com/open?id=12574cJ-flpyIJjKhhCHtH3qbcOA10zKa</t>
  </si>
  <si>
    <t>Semuel benyamin hanas</t>
  </si>
  <si>
    <t>082146510092</t>
  </si>
  <si>
    <t>https://drive.google.com/open?id=1cbUjny8bIrCFNOLUgYauP-1iCxPDUl-R</t>
  </si>
  <si>
    <t>Delviana mbau</t>
  </si>
  <si>
    <t>082144869759</t>
  </si>
  <si>
    <t>https://drive.google.com/open?id=1Ko1DkWzIhlaE1s7an0lkwjAV0jzLDmE0</t>
  </si>
  <si>
    <t>Gregonia virginio naiobe</t>
  </si>
  <si>
    <t>085282181254</t>
  </si>
  <si>
    <t>https://drive.google.com/open?id=1j0f-5wmjBY-vsFP2VVrYrK8OUnTXUhiL</t>
  </si>
  <si>
    <t>EDISON INDRA NENOHAIFETO</t>
  </si>
  <si>
    <t>081353387627</t>
  </si>
  <si>
    <t>https://drive.google.com/open?id=1mXsKSCSMzpvq9JefZ8Ox22arAGx6oh-N</t>
  </si>
  <si>
    <t>Rofinus legong</t>
  </si>
  <si>
    <t>085119269529</t>
  </si>
  <si>
    <t>https://drive.google.com/open?id=1v3D0nhcSoi8VMQD9F20JHBVFwcy0Ipme</t>
  </si>
  <si>
    <t>AGUSTINA MEYSHA SAPUTRI</t>
  </si>
  <si>
    <t>081312864151</t>
  </si>
  <si>
    <t>https://drive.google.com/open?id=1RM-UjycUmSjGxKXfm9d2M_jRYAdCA60f</t>
  </si>
  <si>
    <t>Hapu mbay</t>
  </si>
  <si>
    <t>085251938</t>
  </si>
  <si>
    <t>Securita pt muria sumba manis</t>
  </si>
  <si>
    <t>https://drive.google.com/open?id=1n85mRHfAIGDGxseKHUo3kYR9ccGVCo32</t>
  </si>
  <si>
    <t>Yustina Maria magdalena nate keraf</t>
  </si>
  <si>
    <t>085239440474</t>
  </si>
  <si>
    <t>https://drive.google.com/open?id=1VAgp-j6nGqxJoHtcD9DN3EEyf1Y74XpZ, https://drive.google.com/open?id=1v9nQ4TWYX3w4wxiDyg7-DOfwuIffWfEk</t>
  </si>
  <si>
    <t>Sinta nuryati tasi</t>
  </si>
  <si>
    <t>082146150811</t>
  </si>
  <si>
    <t>Cicilan aktif di platfom lain</t>
  </si>
  <si>
    <t>https://drive.google.com/open?id=1pNjDFUriSTv5ZL5h5fZrPqcwd5BuMprz</t>
  </si>
  <si>
    <t>Maria Magdalena Lim</t>
  </si>
  <si>
    <t>082146093623</t>
  </si>
  <si>
    <t xml:space="preserve">Wiraswasta </t>
  </si>
  <si>
    <t>https://drive.google.com/open?id=1vLWIIpJOcB7jrFSNJzAt8gaGanV7_onD</t>
  </si>
  <si>
    <t>Yehuda knaofmone</t>
  </si>
  <si>
    <t>082274627119</t>
  </si>
  <si>
    <t>https://drive.google.com/open?id=13iI05paOEYS5hPMwBKA7Ioqd6ETUoWpP</t>
  </si>
  <si>
    <t>Wulandari sira</t>
  </si>
  <si>
    <t>085191405201</t>
  </si>
  <si>
    <t>https://drive.google.com/open?id=1S4OVNKN1aldEM4QzvketsJMulgigCClh</t>
  </si>
  <si>
    <t>https://drive.google.com/open?id=1OyarQegcnoMOjlbT4ztbuGqNfl6Gk5x1</t>
  </si>
  <si>
    <t>Santri</t>
  </si>
  <si>
    <t>085333824073</t>
  </si>
  <si>
    <t>https://drive.google.com/open?id=1kW_RsVyeGZTVczHbojQFf-crTkQVZFet</t>
  </si>
  <si>
    <t>+6281353387627</t>
  </si>
  <si>
    <t>https://drive.google.com/open?id=1_-Aby3z32k6RklqtCUMzdKwGHlREf1LT</t>
  </si>
  <si>
    <t>Betti sari</t>
  </si>
  <si>
    <t>Usaha peternakan</t>
  </si>
  <si>
    <t>https://drive.google.com/open?id=1FIWXHBU86nYKIaWuObudDhNsmKXoRc63</t>
  </si>
  <si>
    <t>Merliani Inggriani Lado</t>
  </si>
  <si>
    <t>Karyawan konter hp</t>
  </si>
  <si>
    <t>https://drive.google.com/open?id=1bEMV5kIL2h40PIGZggANvfOFWrdf15nK</t>
  </si>
  <si>
    <t>Kornelis fanggidae</t>
  </si>
  <si>
    <t>085339201702</t>
  </si>
  <si>
    <t>https://drive.google.com/open?id=1t9rKHsPy20axJYvajCIjwqEdJHzVmfgT</t>
  </si>
  <si>
    <t>Ernesta keti</t>
  </si>
  <si>
    <t>081237644065</t>
  </si>
  <si>
    <t>https://drive.google.com/open?id=1aUQABllvHD84Ef-TvRKUGVT-LZYkLq59</t>
  </si>
  <si>
    <t>Marlen reinnati</t>
  </si>
  <si>
    <t>082146020389</t>
  </si>
  <si>
    <t>https://drive.google.com/open?id=1HrTrb-ZXkAhcq0STxPtTF20K7yBWgH2h</t>
  </si>
  <si>
    <t>ARIYANTO PATI KABEKO</t>
  </si>
  <si>
    <t>085258062997</t>
  </si>
  <si>
    <t>https://drive.google.com/open?id=1vsRfrIBTZR-qcZAPBe0EXvVL83JzSc9d</t>
  </si>
  <si>
    <t>Erni radjah</t>
  </si>
  <si>
    <t>081529588259</t>
  </si>
  <si>
    <t>https://drive.google.com/open?id=1C2ziMi7GgVNkSei5x8nz4cBs0Wc9_Zve</t>
  </si>
  <si>
    <t>Yermias Radjah</t>
  </si>
  <si>
    <t>082266182624</t>
  </si>
  <si>
    <t>https://drive.google.com/open?id=1W2GhpP8X-uSDHkNH4M_RKnzB6cUGpFAD</t>
  </si>
  <si>
    <t>Steven Krisdelis Udju</t>
  </si>
  <si>
    <t>081282955785</t>
  </si>
  <si>
    <t>https://drive.google.com/open?id=1P5IVW6T8-IRXGF3kLdmVFFqPChtD6f_S</t>
  </si>
  <si>
    <t>9/6/0025</t>
  </si>
  <si>
    <t>Risna Seubelan</t>
  </si>
  <si>
    <t>081337849220</t>
  </si>
  <si>
    <t>https://drive.google.com/open?id=1Go3k004rWxfVJ44kKYkx3KDkkIRgk54l</t>
  </si>
  <si>
    <t>Risaldi Anin</t>
  </si>
  <si>
    <t>081344133867</t>
  </si>
  <si>
    <t>https://drive.google.com/open?id=1q5zWMt4Oi-9tj9Bh7fvGkCFwidUhzr_w</t>
  </si>
  <si>
    <t>Muhammad Ary Sandy</t>
  </si>
  <si>
    <t>085219712505</t>
  </si>
  <si>
    <t>https://drive.google.com/open?id=1m4I36GzrYBQpIV8L8qxBMf8nb__BapOJ</t>
  </si>
  <si>
    <t>Dwi fitri wori hana</t>
  </si>
  <si>
    <t>082237167595</t>
  </si>
  <si>
    <t>Pegawai muria sumba manis</t>
  </si>
  <si>
    <t>https://drive.google.com/open?id=1N2z4DkQPJC6oHf2HsRwrZVWyXGY9zZOh</t>
  </si>
  <si>
    <t>SAMUEL MARKUS SINLAELOE</t>
  </si>
  <si>
    <t>082136789018</t>
  </si>
  <si>
    <t>Freelance</t>
  </si>
  <si>
    <t>https://drive.google.com/open?id=1hdfyzxdNNTXUEPburjq37M_hNEVTH2ma</t>
  </si>
  <si>
    <t>Joanito castro macode</t>
  </si>
  <si>
    <t>081236443531</t>
  </si>
  <si>
    <t>https://drive.google.com/open?id=1AzQVHImZ60Weo9MVpRInmLs8h_McbAXc</t>
  </si>
  <si>
    <t>Yosef nahak berek</t>
  </si>
  <si>
    <t>081339531268</t>
  </si>
  <si>
    <t>https://drive.google.com/open?id=1PPhOOymoZ91c2IqOnPsgLe93nCnE2ZIx</t>
  </si>
  <si>
    <t>Yohanes Mendjang Yehugen</t>
  </si>
  <si>
    <t>081236042698</t>
  </si>
  <si>
    <t>https://drive.google.com/open?id=1AtCqCDqYCYuygEboc3VDIqs8DxV2_fhm</t>
  </si>
  <si>
    <t>Dedi Tampani</t>
  </si>
  <si>
    <t>082247000507</t>
  </si>
  <si>
    <t>https://drive.google.com/open?id=1BQmlP8F-jwK37J2aCEjo_XX3T5IWS9kH</t>
  </si>
  <si>
    <t>Petrus nong sonimus</t>
  </si>
  <si>
    <t>082266567125</t>
  </si>
  <si>
    <t>https://drive.google.com/open?id=1iaG8rw7HDmuSM7Mb8Pwc6l9mGRAvxE0o</t>
  </si>
  <si>
    <t>Remigi sarmento</t>
  </si>
  <si>
    <t>https://drive.google.com/open?id=1C-qltGKsMCQD2GfQ7ANYoLnD-vPQpRpK</t>
  </si>
  <si>
    <t>Meyer lake</t>
  </si>
  <si>
    <t>https://drive.google.com/open?id=1O7Ern60Tire8T03-NoSBxMky3AeOs5Xu</t>
  </si>
  <si>
    <t>Sultan atapukan</t>
  </si>
  <si>
    <t>https://drive.google.com/open?id=1FCdW3KfXY2BGpFKj3lQEDAsQW06cLmBz</t>
  </si>
  <si>
    <t>Yuan mbuilima</t>
  </si>
  <si>
    <t>https://drive.google.com/open?id=1ruLpgLUA5V5vecDPY70ed3Uf9TNFvNYf</t>
  </si>
  <si>
    <t>MARIA KARMILA SEDU</t>
  </si>
  <si>
    <t>081234016032</t>
  </si>
  <si>
    <t>https://drive.google.com/open?id=1gFUz5zpPbo8R5X3CcgH95Z6YVkJ0wdaB</t>
  </si>
  <si>
    <t>Andreas adel maudo da costo xavier</t>
  </si>
  <si>
    <t>085701745672</t>
  </si>
  <si>
    <t>https://drive.google.com/open?id=1uV4_k_Fp2eF7pL1CDYi8D7uKWbCPkAZD</t>
  </si>
  <si>
    <t xml:space="preserve">Andreas Adel Maudo Da Costa </t>
  </si>
  <si>
    <t>https://drive.google.com/open?id=1nTWCwy7ydFz6VGhLVDwRjk0TdmJFvRyv</t>
  </si>
  <si>
    <t>Mimik wulandari</t>
  </si>
  <si>
    <t>085847367312</t>
  </si>
  <si>
    <t>https://drive.google.com/open?id=1rroiplR9MxFvS-XpQ8TEoUCXyr9rlSru</t>
  </si>
  <si>
    <t>Jefri fadly</t>
  </si>
  <si>
    <t>082144710823</t>
  </si>
  <si>
    <t>https://drive.google.com/open?id=1uMf4LYGco94QY0l2r8ZrdLXdF8P7ov-x</t>
  </si>
  <si>
    <t>Wulandari</t>
  </si>
  <si>
    <t>https://drive.google.com/open?id=1mr0i65LGZwiU5yWrWxdiVNtZXQJKc0an</t>
  </si>
  <si>
    <t>Sisilia santi ngongo</t>
  </si>
  <si>
    <t>081239956102</t>
  </si>
  <si>
    <t>https://drive.google.com/open?id=1DOLUwfTZ9e3L-oleTTGLLME6s8uWQwga</t>
  </si>
  <si>
    <t>Robertus nono jaga</t>
  </si>
  <si>
    <t>081338125025</t>
  </si>
  <si>
    <t>https://drive.google.com/open?id=1Z0B5K4M3MTYyAUIurWfB9yvuO8ihhMug</t>
  </si>
  <si>
    <t>Venesia da silva V. s</t>
  </si>
  <si>
    <t>082146752239</t>
  </si>
  <si>
    <t>https://drive.google.com/open?id=1LtUGfDP_NloA1bysrpW5ShX78lWU4Him</t>
  </si>
  <si>
    <t>Marice lotuk</t>
  </si>
  <si>
    <t>081236170781</t>
  </si>
  <si>
    <t>https://drive.google.com/open?id=14xuX6SaOaH323ZqdMA-d57dOH5W0ZlX4</t>
  </si>
  <si>
    <t>Rani Nuryanti Manu</t>
  </si>
  <si>
    <t>https://drive.google.com/open?id=1SRAGOpK0CHUHj4CkJRHqtWH6dr-JZetj</t>
  </si>
  <si>
    <t>Natalia Dami</t>
  </si>
  <si>
    <t>SPG</t>
  </si>
  <si>
    <t>https://drive.google.com/open?id=1_4W0AE1tmpwJKixxFMUbpGGeAsQDY8x7</t>
  </si>
  <si>
    <t>Patricia Yolifiona Renda Umbu</t>
  </si>
  <si>
    <t>https://drive.google.com/open?id=1YBKaKgWjxfF0uLxCX2aZVATIpjqhnXWV</t>
  </si>
  <si>
    <t>Maria Yuliana dadoek</t>
  </si>
  <si>
    <t>https://drive.google.com/open?id=1c4KG57_U8l4FkiyB6-0X3SpogEOeQK1h</t>
  </si>
  <si>
    <t>Marisa Desryani Messakh</t>
  </si>
  <si>
    <t xml:space="preserve">Spg </t>
  </si>
  <si>
    <t>https://drive.google.com/open?id=1pgMuJQ6B7YkgcTBfOksnAzLlOo5YzHeN</t>
  </si>
  <si>
    <t>Suryadi febrian utomo</t>
  </si>
  <si>
    <t>081236757545</t>
  </si>
  <si>
    <t>https://drive.google.com/open?id=1HktfnGkzcBlhRA4_aBoXnhtKxh2W6_FV</t>
  </si>
  <si>
    <t>Selvi</t>
  </si>
  <si>
    <t>081235979068</t>
  </si>
  <si>
    <t>https://drive.google.com/open?id=1mNSMbVJxxkIcAraiEn-JglGo2jbV0JOZ</t>
  </si>
  <si>
    <t>Maria</t>
  </si>
  <si>
    <t>081234680369</t>
  </si>
  <si>
    <t>https://drive.google.com/open?id=1kE8JwTUjqqEK5S7o-pg1NlUygqNIACMK</t>
  </si>
  <si>
    <t>Arkilaus malafu</t>
  </si>
  <si>
    <t>085792710591</t>
  </si>
  <si>
    <t>https://drive.google.com/open?id=1qvG3XBt0l7gassIS8hyT_w0qD9sGU4E0</t>
  </si>
  <si>
    <t>Marci debora liem</t>
  </si>
  <si>
    <t>081239219267</t>
  </si>
  <si>
    <t>https://drive.google.com/open?id=1CRxGI6Gssr5uPisI6VLfjJw5AIsyjk3P</t>
  </si>
  <si>
    <t>Agustina hoar</t>
  </si>
  <si>
    <t>081246125729</t>
  </si>
  <si>
    <t>https://drive.google.com/open?id=1UIOrcn_tLjjZyUGW2fN9Z18R2fHz2FxI</t>
  </si>
  <si>
    <t>Cornelia fanda</t>
  </si>
  <si>
    <t>081236286306</t>
  </si>
  <si>
    <t>https://drive.google.com/open?id=1ikvc9d2gZnQbcCZmRcDgYjNyvCLxFuUr</t>
  </si>
  <si>
    <t>Angela dowe inang hayong</t>
  </si>
  <si>
    <t>https://drive.google.com/open?id=1UWWEyEbDHuhH7TVjvWq_eBgDQ6agZAYP</t>
  </si>
  <si>
    <t>Joram Jonathan Nabuasa</t>
  </si>
  <si>
    <t>https://drive.google.com/open?id=1rNJ43AWqII7IPs_vOkThZlhG_BATr2lS</t>
  </si>
  <si>
    <t>Salma elasa lopo</t>
  </si>
  <si>
    <t>081339095220</t>
  </si>
  <si>
    <t>https://drive.google.com/open?id=1Apg11A9kgckZL8wveqgRk-oNSPg79BGs</t>
  </si>
  <si>
    <t>Melkianus Edi luan</t>
  </si>
  <si>
    <t>085147445030</t>
  </si>
  <si>
    <t>https://drive.google.com/open?id=1E0oasQ64un2lj9Ny-ujg5R9-sv6ItxyQ</t>
  </si>
  <si>
    <t>Fredik Semuel Pong</t>
  </si>
  <si>
    <t>081337012429</t>
  </si>
  <si>
    <t>https://drive.google.com/open?id=19WTuGRLeubs7i476QI46HifJY5da4v9U</t>
  </si>
  <si>
    <t>HOLDIAN POEL</t>
  </si>
  <si>
    <t>082342198918</t>
  </si>
  <si>
    <t>https://drive.google.com/open?id=1rxxRxU4Cn9rmzmEYv4TghMKTQlz_2TDw</t>
  </si>
  <si>
    <t>Maria yolanta seuk teti</t>
  </si>
  <si>
    <t>085134404783</t>
  </si>
  <si>
    <t>https://drive.google.com/open?id=1aujyp8fr6sRFE4U6ODW1NuRk84HOVGZn</t>
  </si>
  <si>
    <t>Febriyanto harun Ale</t>
  </si>
  <si>
    <t>+6281338287767</t>
  </si>
  <si>
    <t xml:space="preserve">ADA PINJAMAN YANG BELUM DILUNASI </t>
  </si>
  <si>
    <t>https://drive.google.com/open?id=1F7wEy_G0Wsl8QW9D-W8Hw8YjDB5D4NX-</t>
  </si>
  <si>
    <t>Wilson</t>
  </si>
  <si>
    <t>082358898249</t>
  </si>
  <si>
    <t>https://drive.google.com/open?id=1hQpD9oS-nGeQW87xw-nh6MxezA8rkkAV</t>
  </si>
  <si>
    <t>SIMFROIANUS WEDO ASO</t>
  </si>
  <si>
    <t>089529404150</t>
  </si>
  <si>
    <t>https://drive.google.com/open?id=1C2YZ0oEXKkf87o0ypaIKamYH4vCG5zyI</t>
  </si>
  <si>
    <t>PAMELA A. A. MASSU</t>
  </si>
  <si>
    <t>081238853019</t>
  </si>
  <si>
    <t>https://drive.google.com/open?id=1A7r0IBop432LHhLsg9bsIzdH3gkWKtp9</t>
  </si>
  <si>
    <t>Jeremy Djaro</t>
  </si>
  <si>
    <t>085137733651</t>
  </si>
  <si>
    <t>https://drive.google.com/open?id=1TAoi7HCuus0aIo7hiVSzhHPRC7UdpMJ9</t>
  </si>
  <si>
    <t>Yunus njurumana</t>
  </si>
  <si>
    <t>081278429799</t>
  </si>
  <si>
    <t>https://drive.google.com/open?id=1nnNSomB2x0u56is96Qxv2wv_JqtBLGa-</t>
  </si>
  <si>
    <t xml:space="preserve">Yustina Maria Leltakaeb </t>
  </si>
  <si>
    <t>082247687839</t>
  </si>
  <si>
    <t xml:space="preserve">STOKIS PRODUK HWI </t>
  </si>
  <si>
    <t>https://drive.google.com/open?id=12r_ahxeD5o76MHQBBMzG1uyurOynKt2f</t>
  </si>
  <si>
    <t>Imelda uduk tahuk</t>
  </si>
  <si>
    <t>08246127828</t>
  </si>
  <si>
    <t>https://drive.google.com/open?id=1mxQon6ClfdyusHNyG83hB85OuXRLi06z</t>
  </si>
  <si>
    <t xml:space="preserve">Efesus Ngeta Landja </t>
  </si>
  <si>
    <t>085338152223</t>
  </si>
  <si>
    <t>https://drive.google.com/open?id=1sQwnzuj9Ay8J9vek_UIPXzUAojfVj_dz</t>
  </si>
  <si>
    <t>Elhanan Talenalain Kenat</t>
  </si>
  <si>
    <t>085253775775</t>
  </si>
  <si>
    <t>https://drive.google.com/open?id=1nYsIMNUfJIoLlJ2A2Hr3s_xZBntx6wf8</t>
  </si>
  <si>
    <t>Misa Tasoin</t>
  </si>
  <si>
    <t>085138825013</t>
  </si>
  <si>
    <t xml:space="preserve">Barbershop </t>
  </si>
  <si>
    <t>https://drive.google.com/open?id=1HsADxxMi-Z51VpBHBOO4ea6M70c2iSzH</t>
  </si>
  <si>
    <t>Herculana hoar</t>
  </si>
  <si>
    <t>082236198081</t>
  </si>
  <si>
    <t>https://drive.google.com/open?id=1IAQlpidK4d2ls_zlPH42r_FBCRJ7IcDE</t>
  </si>
  <si>
    <t>Erwin hindrawan raja</t>
  </si>
  <si>
    <t>081247986490</t>
  </si>
  <si>
    <t>https://drive.google.com/open?id=14laiiSyaV6ILEI4r8tXGr1GsagID9A5a</t>
  </si>
  <si>
    <t>Eleonora nese naiobe</t>
  </si>
  <si>
    <t>081315698143</t>
  </si>
  <si>
    <t>https://drive.google.com/open?id=1LcEUdGhxSno8fqllu4_f0F-A5WQAWivD</t>
  </si>
  <si>
    <t>Anggela tora tetik</t>
  </si>
  <si>
    <t>085238841972</t>
  </si>
  <si>
    <t>https://drive.google.com/open?id=1SIPB6pIFB02jUeyKom4JqbKM3TW8lrfP</t>
  </si>
  <si>
    <t>JEFRIAN BILI</t>
  </si>
  <si>
    <t>082145438627</t>
  </si>
  <si>
    <t>https://drive.google.com/open?id=1X_PZFVvTOiCJ3RgBJ0yNlr4jnF9dqwbZ</t>
  </si>
  <si>
    <t>NGILA RENGU LANGU</t>
  </si>
  <si>
    <t>082237013198</t>
  </si>
  <si>
    <t>https://drive.google.com/open?id=1rfwT7T3025DxWZrdk7XCKJ-tIcYUVrtw</t>
  </si>
  <si>
    <t>BETSEBA METE LER</t>
  </si>
  <si>
    <t>085339168695</t>
  </si>
  <si>
    <t>https://drive.google.com/open?id=1qT_74E8iiujwXqQyc45gLDU6YtQJJ-k_</t>
  </si>
  <si>
    <t>Margarita nesimnasi</t>
  </si>
  <si>
    <t>082231307059</t>
  </si>
  <si>
    <t>https://drive.google.com/open?id=11ryifMgU86fXyqHGQemrheFv6chTaFNr</t>
  </si>
  <si>
    <t>Vinsensia amtonis</t>
  </si>
  <si>
    <t>082338583420</t>
  </si>
  <si>
    <t>https://drive.google.com/open?id=14JL2diXkqlGzpgBWncDMMbr_3KCw4rB6</t>
  </si>
  <si>
    <t>Pdt yanggu anakudu s.th</t>
  </si>
  <si>
    <t>081237262232</t>
  </si>
  <si>
    <t>https://drive.google.com/open?id=1KxGzqDaqcmSz-JirU0mq9Ll48vUrBsmJ</t>
  </si>
  <si>
    <t>Yunita Pandi</t>
  </si>
  <si>
    <t>081237467773</t>
  </si>
  <si>
    <t>https://drive.google.com/open?id=1lUJn83-2dre2aT1qGt4TycgXv6RunJPY</t>
  </si>
  <si>
    <t>Benediktus Ndolu Beka</t>
  </si>
  <si>
    <t>082144158427</t>
  </si>
  <si>
    <t>https://drive.google.com/open?id=1rJuPJt_2aLHs8c3IF5NUxSoDygVQ9hRi</t>
  </si>
  <si>
    <t>Geni Jenalri bria</t>
  </si>
  <si>
    <t>085333681413</t>
  </si>
  <si>
    <t>https://drive.google.com/open?id=1iTHsOiqbsUy9IqWS03cSIlEX7yycgsza</t>
  </si>
  <si>
    <t>Yohanes istovianus manus</t>
  </si>
  <si>
    <t>081352461341</t>
  </si>
  <si>
    <t>https://drive.google.com/open?id=1-nMx4yEBvrsxO1VuxG8psWQqhs54rZmS</t>
  </si>
  <si>
    <t>TERSIANA KADJA PAU</t>
  </si>
  <si>
    <t>Linda</t>
  </si>
  <si>
    <t>085180599737</t>
  </si>
  <si>
    <t>https://drive.google.com/open?id=166rFJu-xGl8MRdXESiB72KCXasw8HSD3</t>
  </si>
  <si>
    <t>Agustinus Bali Ate</t>
  </si>
  <si>
    <t>081246913213</t>
  </si>
  <si>
    <t>https://drive.google.com/open?id=1pwp6vYH59sL3hIxom2Xy2So8r6TSLJ-5</t>
  </si>
  <si>
    <t>Gilbert Lineker Ludji</t>
  </si>
  <si>
    <t>081338750207</t>
  </si>
  <si>
    <t>https://drive.google.com/open?id=1grCWLvtizwrJu-_EhGnURGUIuhjXr00w, https://drive.google.com/open?id=1ITHAudZoEIy7B_HZLt-sfhjhFPf47OT3</t>
  </si>
  <si>
    <t>Derven imanuel masu</t>
  </si>
  <si>
    <t>082216141400</t>
  </si>
  <si>
    <t>https://drive.google.com/open?id=1jr2q8hnckAFMqKFiTRWNOQwuvLVgZcxu</t>
  </si>
  <si>
    <t>carles dami</t>
  </si>
  <si>
    <t>081235668051</t>
  </si>
  <si>
    <t>https://drive.google.com/open?id=1AwVFL-2qaWPDQ2eIo9Ghg1jJUruXY0UE</t>
  </si>
  <si>
    <t>Fidelis Taku</t>
  </si>
  <si>
    <t>085700868963</t>
  </si>
  <si>
    <t>https://drive.google.com/open?id=1eUDqQ5sgsQ70aKKtKqbh8CF7APw1IXga</t>
  </si>
  <si>
    <t>Feronika nuban</t>
  </si>
  <si>
    <t>https://drive.google.com/open?id=1_l4QSGP-X9m_-NkIfojT_B2JpyA1zZqm</t>
  </si>
  <si>
    <t>Okran antonius kause</t>
  </si>
  <si>
    <t>081338185305</t>
  </si>
  <si>
    <t>https://drive.google.com/open?id=11kyGbP1TgYpgowJ7pslkG6BfqERJRVCE</t>
  </si>
  <si>
    <t>Arnoldus Lenggu</t>
  </si>
  <si>
    <t>082247530703</t>
  </si>
  <si>
    <t xml:space="preserve">Petani </t>
  </si>
  <si>
    <t>https://drive.google.com/open?id=1AFcMxhqDUrLrGCmsuVRCmx6kLKr9H9uY</t>
  </si>
  <si>
    <t>Afliana marselina sabaat</t>
  </si>
  <si>
    <t>085238883193</t>
  </si>
  <si>
    <t>https://drive.google.com/open?id=1tuYl2yxIzh3HUZ6MYYzy9VOx00hqCrcB</t>
  </si>
  <si>
    <t>Ferry mos ndaong</t>
  </si>
  <si>
    <t>081236452678</t>
  </si>
  <si>
    <t>https://drive.google.com/open?id=1C9ITuY5zfDvsFBzOcBYj4cxldWQPODmV</t>
  </si>
  <si>
    <t xml:space="preserve">Yance Nubatonis </t>
  </si>
  <si>
    <t>082144732260</t>
  </si>
  <si>
    <t>https://drive.google.com/open?id=1EFb5jUcHKk3fq7X2HyN7ahK0NsVVbUrU</t>
  </si>
  <si>
    <t>Ita rambu dauki</t>
  </si>
  <si>
    <t>082183591533</t>
  </si>
  <si>
    <t>Pendaftaran belum di setujui</t>
  </si>
  <si>
    <t>https://drive.google.com/open?id=1qEsH2W_4YECPAYTnk2fUdPFv2IUW44Og</t>
  </si>
  <si>
    <t>Harianton</t>
  </si>
  <si>
    <t>085299343121</t>
  </si>
  <si>
    <t>https://drive.google.com/open?id=12wVSgb8-ZXycqDUP5eLZ356lYqyp7DTq</t>
  </si>
  <si>
    <t>Marta tamo Ina</t>
  </si>
  <si>
    <t>081246436332</t>
  </si>
  <si>
    <t>https://drive.google.com/open?id=1skHfXjKKnI8lrnR8htiKDaRTstRU6fC6</t>
  </si>
  <si>
    <t>Andi lau webang</t>
  </si>
  <si>
    <t>082146020205</t>
  </si>
  <si>
    <t>https://drive.google.com/open?id=1ViYitBiKGWMXyQ6yfCa3Au9Li_PGGDZg</t>
  </si>
  <si>
    <t>AGWINTA AMALO</t>
  </si>
  <si>
    <t>+6282144709703</t>
  </si>
  <si>
    <t>https://drive.google.com/open?id=1kJEZKGU2t2VmSUvAMYNHoLwMMXPP0Kor, https://drive.google.com/open?id=1WlwHf7TPB5k-4Xum7oHjUaA14jvctA8k</t>
  </si>
  <si>
    <t>Maria hoar seran</t>
  </si>
  <si>
    <t>085368795984</t>
  </si>
  <si>
    <t>https://drive.google.com/open?id=1kiJR9uotPPevl6tZGmH8CgraEEU0Lrpu</t>
  </si>
  <si>
    <t>Stefanus bali mata</t>
  </si>
  <si>
    <t>081246441760</t>
  </si>
  <si>
    <t>https://drive.google.com/open?id=1lJMYxnNAfafJqP1bO3-ZzWLn8jXfE6tq</t>
  </si>
  <si>
    <t>Yunita tamelab</t>
  </si>
  <si>
    <t>082359325213</t>
  </si>
  <si>
    <t>https://drive.google.com/open?id=1HXtGjyolWnPBP_UKOSLE7QzAX4v_Ys7g</t>
  </si>
  <si>
    <t>Yudianto okto</t>
  </si>
  <si>
    <t>082340509507</t>
  </si>
  <si>
    <t>https://drive.google.com/open?id=1WunWzc8tWAzm0VL_TwMoHFOMqnu_JprZ</t>
  </si>
  <si>
    <t>ANITA ANA AMAH</t>
  </si>
  <si>
    <t>𝘐𝘯𝘥𝘳𝘢 𝘕𝘥𝘶𝘯</t>
  </si>
  <si>
    <t>081353574052</t>
  </si>
  <si>
    <t>https://drive.google.com/open?id=1m11x--5gj7YCwvp-T0J7P22hQvYF1b8x</t>
  </si>
  <si>
    <t>Maria pratania ningsi asa</t>
  </si>
  <si>
    <t>081338279350</t>
  </si>
  <si>
    <t>https://drive.google.com/open?id=1zDIf9P_0V3rBXKKz55n0KwnvEN8oMgiH</t>
  </si>
  <si>
    <t>Elisabeth Hendra Wati Lin</t>
  </si>
  <si>
    <t>081343180773</t>
  </si>
  <si>
    <t>https://drive.google.com/open?id=1yUcLnpiVaYxdwhz6HBD461pBupDO1t7H</t>
  </si>
  <si>
    <t xml:space="preserve">𝘎𝘩𝘪𝘭𝘴𝘰𝘯 𝘵𝘩𝘦 𝘱𝘶𝘵𝘳𝘢 𝘳𝘢𝘥𝘫𝘢 </t>
  </si>
  <si>
    <t>087751287724</t>
  </si>
  <si>
    <t>https://drive.google.com/open?id=1mrgg0WHELv4ZjfEw5E1P7Z7GmhNLPznf</t>
  </si>
  <si>
    <t>Putra Leo Zabramdo Ndun</t>
  </si>
  <si>
    <t>+6281350524109</t>
  </si>
  <si>
    <t>https://drive.google.com/open?id=1sXPR28CwmVX7fiFC8tYtU8GsPpd4vqES</t>
  </si>
  <si>
    <t>Chritina martha jire</t>
  </si>
  <si>
    <t>082144372678</t>
  </si>
  <si>
    <t>https://drive.google.com/open?id=1UyicOx3ChfLKwzoosIrU-wmU6kfovlwX</t>
  </si>
  <si>
    <t>LIDIA BOBA METI</t>
  </si>
  <si>
    <t>081353626898</t>
  </si>
  <si>
    <t>https://drive.google.com/open?id=1azmuZGp_MUjjHYuVOEfoxGOmPBlGliKV</t>
  </si>
  <si>
    <t>Pedis Kabela Manu</t>
  </si>
  <si>
    <t>085353226898</t>
  </si>
  <si>
    <t>https://drive.google.com/open?id=1klCakmlQURfIa7iMNV0xjEeFRA_G0xUu</t>
  </si>
  <si>
    <t>Yovan taloim</t>
  </si>
  <si>
    <t>+6282148021069</t>
  </si>
  <si>
    <t>https://drive.google.com/open?id=1NiQM4sMAaxXUYEXTT0DwTttDWl76i3tQ</t>
  </si>
  <si>
    <t>Yudith lopis</t>
  </si>
  <si>
    <t>082144702836</t>
  </si>
  <si>
    <t>https://drive.google.com/open?id=11cA0bIyPErtF37KxguWrOeuZxThUmkuk</t>
  </si>
  <si>
    <t>Cici Wrista Tasae</t>
  </si>
  <si>
    <t>087784741238</t>
  </si>
  <si>
    <t>https://drive.google.com/open?id=1MWU1SiSuf0VDt9HQJkpk6Wq-hl_-__Dl</t>
  </si>
  <si>
    <t>mal tosius bria</t>
  </si>
  <si>
    <t>082266233534</t>
  </si>
  <si>
    <t>https://drive.google.com/open?id=13fCIZ_jptq_7d0EVll58wka3GJ1tH1ra, https://drive.google.com/open?id=17kBrS3sj7GURgqMuMTAZs89KuHX6iKtp</t>
  </si>
  <si>
    <t>VIKY WIYONO</t>
  </si>
  <si>
    <t>085124144883</t>
  </si>
  <si>
    <t>https://drive.google.com/open?id=1wFI1wPV-cdtEx7eLRnrX8F7KynnUR3r0</t>
  </si>
  <si>
    <t>Maria irene malik</t>
  </si>
  <si>
    <t>081246357490</t>
  </si>
  <si>
    <t>https://drive.google.com/open?id=1RezUad3pEvz6qBoEWv6K9Dgp-vK5hndD</t>
  </si>
  <si>
    <t>Zadrak joyful judson korongahu</t>
  </si>
  <si>
    <t>0812040029105</t>
  </si>
  <si>
    <t>https://drive.google.com/open?id=1-uV_eVoSJB6CDYyngK-CHrCTdL-11iCw</t>
  </si>
  <si>
    <t>NURUT DIN, S. AB</t>
  </si>
  <si>
    <t>082144459142</t>
  </si>
  <si>
    <t>https://drive.google.com/open?id=1xMJP3ZGbq837yw7q_19V_UNr8INMDX0v</t>
  </si>
  <si>
    <t>Santi Anika Naklui</t>
  </si>
  <si>
    <t>081237071812</t>
  </si>
  <si>
    <t>Punya usaha</t>
  </si>
  <si>
    <t>https://drive.google.com/open?id=1wM5SPbRPvQBNeZxpl3S1YONn6g3iB8qy</t>
  </si>
  <si>
    <t>Resna devi agustin</t>
  </si>
  <si>
    <t>082339239252</t>
  </si>
  <si>
    <t>https://drive.google.com/open?id=1G-Os1WT08FycKidbH9pu43V8JXnlVyBp</t>
  </si>
  <si>
    <t>jela mitha mbuik</t>
  </si>
  <si>
    <t>085824691370</t>
  </si>
  <si>
    <t>https://drive.google.com/open?id=1tnCOpLiwgSiCYVE9IoCyxddKaD0xfHZK</t>
  </si>
  <si>
    <t>Oktovianus Missa</t>
  </si>
  <si>
    <t>081338461688</t>
  </si>
  <si>
    <t>https://drive.google.com/open?id=1cSRFn4GmkkhyXdvBnPzda88XrrwRxPV1</t>
  </si>
  <si>
    <t>Nanda Adolvinna Ledo</t>
  </si>
  <si>
    <t>081246144191</t>
  </si>
  <si>
    <t>https://drive.google.com/open?id=1SWwUA5AkKZfwounebcPIkaKjjmJUs2wd</t>
  </si>
  <si>
    <t>Rosalinda fnini</t>
  </si>
  <si>
    <t>082266390909</t>
  </si>
  <si>
    <t>https://drive.google.com/open?id=1OJOeXgJ4aeMhiQxistE-8qN1bLJPphHQ</t>
  </si>
  <si>
    <t>Maria krisanti bona fina</t>
  </si>
  <si>
    <t>081246009032</t>
  </si>
  <si>
    <t>https://drive.google.com/open?id=1F2rwXwUzOLD5XJpUTlG0HuLDAoHH2KzR</t>
  </si>
  <si>
    <t>Yohana BINENI</t>
  </si>
  <si>
    <t>081246500991</t>
  </si>
  <si>
    <t>https://drive.google.com/open?id=1nNinemt6M_X75WFkWhmR2DnX59GV5gVm</t>
  </si>
  <si>
    <t>Victor Liu</t>
  </si>
  <si>
    <t>082236497179</t>
  </si>
  <si>
    <t>https://drive.google.com/open?id=1LssWcsKD1tAvT3HXxC1O6W573R6OuhBj</t>
  </si>
  <si>
    <t>Tersia vera sakan</t>
  </si>
  <si>
    <t>082146925467</t>
  </si>
  <si>
    <t>https://drive.google.com/open?id=1h-hPLC27Of8n1SZpsXmF_90X7nqT3KaQ</t>
  </si>
  <si>
    <t>Nikodemus Saputra Radit raja</t>
  </si>
  <si>
    <t>081246436172</t>
  </si>
  <si>
    <t xml:space="preserve">PNM </t>
  </si>
  <si>
    <t>https://drive.google.com/open?id=1CmNRMuNTnLw-Lv_t2R4jz7WzvnTLvqkG</t>
  </si>
  <si>
    <t>PUSPA ANGGREINI</t>
  </si>
  <si>
    <t>Marlina estria sarinto bili</t>
  </si>
  <si>
    <t>081246956092</t>
  </si>
  <si>
    <t>https://drive.google.com/open?id=1X7arJ2t8xxcFVaDQJcTCQrJQXuqvwY2N</t>
  </si>
  <si>
    <t xml:space="preserve">Lurdis Gloria lau </t>
  </si>
  <si>
    <t>081246117568</t>
  </si>
  <si>
    <t>https://drive.google.com/open?id=10hd3kcXk8GTXilRTme-zzPU6BYaLmoWb</t>
  </si>
  <si>
    <t>Ade Ndun</t>
  </si>
  <si>
    <t>https://drive.google.com/open?id=156e1hxuV0kTj9zdZE6XKDqtGv8CFpSKz</t>
  </si>
  <si>
    <t>Nengsi Ina Aryan Kore</t>
  </si>
  <si>
    <t>081237850547</t>
  </si>
  <si>
    <t>https://drive.google.com/open?id=1CGQT8JA38MPyhxYTqJnlQx2kCA5jEknC</t>
  </si>
  <si>
    <t xml:space="preserve">Marce yuliana sabuna </t>
  </si>
  <si>
    <t>085134421060</t>
  </si>
  <si>
    <t>https://drive.google.com/open?id=1J8lidESrWqPi5PITPiTM2b11MfwNZ6Qv</t>
  </si>
  <si>
    <t>Yanke Veronika Hunggu Rami</t>
  </si>
  <si>
    <t>085238758717</t>
  </si>
  <si>
    <t>Pegawai honor</t>
  </si>
  <si>
    <t>https://drive.google.com/open?id=1Ss21s0jr1tXll9KIPFvyjnUHJT7G2gD1</t>
  </si>
  <si>
    <t>OKTOVIANUS SINTON TANU</t>
  </si>
  <si>
    <t>081290474166</t>
  </si>
  <si>
    <t>JUAL IKAN DIPASAR</t>
  </si>
  <si>
    <t>https://drive.google.com/open?id=1bIpCYndoNrcUhVT-DbzInMP_GEFhhfBL</t>
  </si>
  <si>
    <t>Nikodemus saputra radit raja</t>
  </si>
  <si>
    <t>https://drive.google.com/open?id=1SCdRzbB0MLFMberecTHYJ6OaXp02o0AL</t>
  </si>
  <si>
    <t>Cici Arista Tasae</t>
  </si>
  <si>
    <t>081233482893</t>
  </si>
  <si>
    <t>https://drive.google.com/open?id=1tjFX_kAjHLxzaNNjvFrX0DC8wynhNHo2</t>
  </si>
  <si>
    <t>Adriana mariana susiyanti boimau</t>
  </si>
  <si>
    <t>081353855022</t>
  </si>
  <si>
    <t>https://drive.google.com/open?id=1M7x74OZOYa1qXEYNV7AGMWftnsDeQ_Wi</t>
  </si>
  <si>
    <t xml:space="preserve">Yogan marselo epafras leneng </t>
  </si>
  <si>
    <t>085189232249</t>
  </si>
  <si>
    <t>Alfamart</t>
  </si>
  <si>
    <t>https://drive.google.com/open?id=1LrJoVqEkoQHw0C0CMYQjXn8jKznawplr</t>
  </si>
  <si>
    <t>GLORIA MARIA LEOH</t>
  </si>
  <si>
    <t>+6281312741718</t>
  </si>
  <si>
    <t>https://drive.google.com/open?id=1tG4M60yVcNLtA_yxdKK_gPFAd6jQkq0D</t>
  </si>
  <si>
    <t>Salem harabiti</t>
  </si>
  <si>
    <t>https://drive.google.com/open?id=1XtzkOi02Sj2bGwdC-pMUxcIwQa_l0pu0</t>
  </si>
  <si>
    <t>Jefrianto katanga lapu</t>
  </si>
  <si>
    <t>082266401720</t>
  </si>
  <si>
    <t>https://drive.google.com/open?id=148oU0JM-5ns8xZTOD9E7ve47KIVaRuxj</t>
  </si>
  <si>
    <t>Dortje Bully Loimalitna</t>
  </si>
  <si>
    <t>+6281998009405</t>
  </si>
  <si>
    <t>https://drive.google.com/open?id=1i7J3jg4TaQO_8w_Z7OS3JYPF2J6vDOeR</t>
  </si>
  <si>
    <t>Oktovianus Tabenu</t>
  </si>
  <si>
    <t>081292748242</t>
  </si>
  <si>
    <t>https://drive.google.com/open?id=1c3dkLNI9X9sQVCX0_ukVHAX7YWSSVDem</t>
  </si>
  <si>
    <t>Nurhayati Harlentji Nabatonis</t>
  </si>
  <si>
    <t>081246599950</t>
  </si>
  <si>
    <t>https://drive.google.com/open?id=15BJhiePUf81claD4SGCqd_BlVyHlEwB7</t>
  </si>
  <si>
    <t>Wiwit witalia pasya</t>
  </si>
  <si>
    <t>https://drive.google.com/open?id=1NAk1Bd0NCjbJhcbH0VFSTEc851cSsTn6</t>
  </si>
  <si>
    <t>Florentina Aurelia Sarty</t>
  </si>
  <si>
    <t>085283546974</t>
  </si>
  <si>
    <t>https://drive.google.com/open?id=10A4rwdWXPWCy9tqsacCPLtYUP-3vobUN</t>
  </si>
  <si>
    <t>Anggi novelia wunu</t>
  </si>
  <si>
    <t>081262354186</t>
  </si>
  <si>
    <t>https://drive.google.com/open?id=15sCFvLFkE7XZJgmxdX7Cab2EUYKbgwJo</t>
  </si>
  <si>
    <t>MARIA HANDRIANA SANSI</t>
  </si>
  <si>
    <t>085124144635</t>
  </si>
  <si>
    <t>https://drive.google.com/open?id=1UO83d-lHg044bq-7MADA8r5CdZaRZulL</t>
  </si>
  <si>
    <t>DEDY LEDE MUDE</t>
  </si>
  <si>
    <t>https://drive.google.com/open?id=1N7hE1lbm6JfhzE8HESVpSik12MzD7HGi</t>
  </si>
  <si>
    <t xml:space="preserve">Rical jeklin bureran </t>
  </si>
  <si>
    <t>085210571970</t>
  </si>
  <si>
    <t>https://drive.google.com/open?id=11qavDNvVbkkx_Ewli0DO8KnfTL6gtbLJ</t>
  </si>
  <si>
    <t>Mesak letmau</t>
  </si>
  <si>
    <t>085947409368</t>
  </si>
  <si>
    <t>https://drive.google.com/open?id=1qWtT494Z1WAPMgX79JgNvA01Bf02ACKM</t>
  </si>
  <si>
    <t>Bendelina Tuka</t>
  </si>
  <si>
    <t>082147858360</t>
  </si>
  <si>
    <t>https://drive.google.com/open?id=1xs5voDNSFHjb4aoXlYy8wV3s__SqobuV</t>
  </si>
  <si>
    <t>Elisabet Yulensi Adu</t>
  </si>
  <si>
    <t>085238444890</t>
  </si>
  <si>
    <t>https://drive.google.com/open?id=1nDqQJ7MfK4YGvcYAp9u5_thwK0ELLdzU</t>
  </si>
  <si>
    <t>Marthen salau</t>
  </si>
  <si>
    <t>082123524416</t>
  </si>
  <si>
    <t>https://drive.google.com/open?id=1JHF4XZSBlNIcXBpXJdTOQTdOhPSUJuP4</t>
  </si>
  <si>
    <t>Bayu falentino ndolu</t>
  </si>
  <si>
    <t>082146316495</t>
  </si>
  <si>
    <t>https://drive.google.com/open?id=19PU3USu-z810km-LAnhflOf-WA3ubvNB</t>
  </si>
  <si>
    <t>GABRIEL D.S.P. DA COSTA SENDA</t>
  </si>
  <si>
    <t>+6281246639647</t>
  </si>
  <si>
    <t>https://drive.google.com/open?id=18viXfBO8GLpOobL12rwcH43kn_wFARIO</t>
  </si>
  <si>
    <t>SINTA FITRI</t>
  </si>
  <si>
    <t>085210388063</t>
  </si>
  <si>
    <t>https://drive.google.com/open?id=1oS2aL00B3qDTA9uJHdJsGUjjWV6keY8t</t>
  </si>
  <si>
    <t>Maria Della Desi Timo</t>
  </si>
  <si>
    <t>082339490430</t>
  </si>
  <si>
    <t>https://drive.google.com/open?id=1Yrhz4lruvD-23YEBycuQGocH7CjPzA54</t>
  </si>
  <si>
    <t>MUHAMMAD IKBAL TUDE</t>
  </si>
  <si>
    <t>081239513858</t>
  </si>
  <si>
    <t>https://drive.google.com/open?id=1EdUrY_AEPGAKuv7cPsHcOpwqfUV2Ulha</t>
  </si>
  <si>
    <t>Elsa takoy</t>
  </si>
  <si>
    <t>081353479910</t>
  </si>
  <si>
    <t>https://drive.google.com/open?id=1Xdobbk6rTXWP1IEZzJNYjZkvMorzWOzr</t>
  </si>
  <si>
    <t>SOLEMAN PANDANG</t>
  </si>
  <si>
    <t>081236872661</t>
  </si>
  <si>
    <t>https://drive.google.com/open?id=16_ZKMe5J-vaKZIJGGJWz_QGM98vYU7GN</t>
  </si>
  <si>
    <t>Raymundus meo</t>
  </si>
  <si>
    <t>081246357947</t>
  </si>
  <si>
    <t>https://drive.google.com/open?id=1TlKKOKtWnNOmcnj70bwfUXweErzVV1uy</t>
  </si>
  <si>
    <t>Dominggus ngongo</t>
  </si>
  <si>
    <t>082145461407</t>
  </si>
  <si>
    <t>https://drive.google.com/open?id=1luaLMqDDQ6Svrjp_NwdpcG3NEFIVfcxK</t>
  </si>
  <si>
    <t>Sii hajar</t>
  </si>
  <si>
    <t>082144084132</t>
  </si>
  <si>
    <t>https://drive.google.com/open?id=1nABjbxsoT7ql2yGTuvZ1C13gk_nsHR9X</t>
  </si>
  <si>
    <t>Yosia bekani</t>
  </si>
  <si>
    <t>082266135013</t>
  </si>
  <si>
    <t>https://drive.google.com/open?id=1u8wHOyn8joh0zWowrDCv703C_PTZbEFy</t>
  </si>
  <si>
    <t>Ferdinan Tulle</t>
  </si>
  <si>
    <t>081399303687</t>
  </si>
  <si>
    <t>https://drive.google.com/open?id=1zEjyex359jCX3-t3wxpOWeq06_y2U7V8</t>
  </si>
  <si>
    <t>Frederikus zogara</t>
  </si>
  <si>
    <t>082359332078</t>
  </si>
  <si>
    <t>https://drive.google.com/open?id=1VAmi-grXvnhUvftZjdAeRFt_aJJ1qsOS</t>
  </si>
  <si>
    <t>JISREEL PENGABDIAN DJAMI</t>
  </si>
  <si>
    <t>082144739262</t>
  </si>
  <si>
    <t>https://drive.google.com/open?id=10e0kGilrVNIaIN_pF30F2oURQmk6Fc94</t>
  </si>
  <si>
    <t xml:space="preserve">𝘓𝘶𝘬𝘮𝘢𝘯 𝘢𝘳𝘪𝘧 </t>
  </si>
  <si>
    <t>081231928058</t>
  </si>
  <si>
    <t>𝘜𝘴𝘢𝘩𝘢 𝘸𝘢𝘳𝘶𝘯𝘨 𝘣𝘢𝘣𝘪 𝘨𝘶𝘭𝘪𝘯𝘨</t>
  </si>
  <si>
    <t>https://drive.google.com/open?id=1r6W_lkqF8I0N_KlfDYnu4fGYJMG3afR_</t>
  </si>
  <si>
    <t>Seldam taka mbaru</t>
  </si>
  <si>
    <t>085191433871</t>
  </si>
  <si>
    <t>https://drive.google.com/open?id=19hrV6JWKiEb5e6C5IJvpc96VwFE7tk-Y</t>
  </si>
  <si>
    <t>Kerlin Mehelina Foeh</t>
  </si>
  <si>
    <t>082333511092</t>
  </si>
  <si>
    <t>https://drive.google.com/open?id=1Dd_HM3K2W_J9tEOkSApSEVS4aycKVcSy</t>
  </si>
  <si>
    <t>Irwan saputra yeda</t>
  </si>
  <si>
    <t>081338497713</t>
  </si>
  <si>
    <t>https://drive.google.com/open?id=1E1e_6CK0f2iXrLE3uY23h3mNqmWhOntE</t>
  </si>
  <si>
    <t>Jimmy Titus nautu</t>
  </si>
  <si>
    <t>0812360982369</t>
  </si>
  <si>
    <t>https://drive.google.com/open?id=149vozkWEBVaY9s9baTgNg1xHU57RQ9rH</t>
  </si>
  <si>
    <t>Novita trifoni thaal</t>
  </si>
  <si>
    <t>082211024882</t>
  </si>
  <si>
    <t>https://drive.google.com/open?id=1C7Ay-XddmmkcJd18sodhWSVCuDOUIcnY</t>
  </si>
  <si>
    <t>Adolina naben</t>
  </si>
  <si>
    <t>085847012007</t>
  </si>
  <si>
    <t>https://drive.google.com/open?id=1KwjOt2zT1rBmaBTEiqcnwqwxxNWLMtai</t>
  </si>
  <si>
    <t>Petrus kono kofi</t>
  </si>
  <si>
    <t>082147238588</t>
  </si>
  <si>
    <t>https://drive.google.com/open?id=1fcdj_Qqc_46UElveniOBmPvrKinweXJg</t>
  </si>
  <si>
    <t>Icefina N. Fafo</t>
  </si>
  <si>
    <t>085238515642</t>
  </si>
  <si>
    <t>https://drive.google.com/open?id=1gScHB0d2duerBHd6OCBxIYZSpdy2oEGj</t>
  </si>
  <si>
    <t>Stefanus Penu</t>
  </si>
  <si>
    <t>081390620126</t>
  </si>
  <si>
    <t>https://drive.google.com/open?id=1UGcJruH2hzOvkZJwiM9Wgace8uJ1V_Sk</t>
  </si>
  <si>
    <t>Fatmawati kuma</t>
  </si>
  <si>
    <t>082314948214</t>
  </si>
  <si>
    <t>https://drive.google.com/open?id=1ebqcjZhpImbixPjnrY-NroJqsURU949j</t>
  </si>
  <si>
    <t>Anggi nevelia wunu</t>
  </si>
  <si>
    <t>https://drive.google.com/open?id=1zhvn1Ly8JDeqMK67asGc_Zg-lieH_UVu</t>
  </si>
  <si>
    <t>Wirlyn Neolaka</t>
  </si>
  <si>
    <t>081337702984</t>
  </si>
  <si>
    <t>https://drive.google.com/open?id=1if-EQnXccCqzNr5VvJOFiPg_kkeOdfvn</t>
  </si>
  <si>
    <t>MURNI LA MUNA</t>
  </si>
  <si>
    <t>087770652959</t>
  </si>
  <si>
    <t>https://drive.google.com/open?id=1L9fUiIIgLHphB0hUZFmjF4Rh9MlGCHTl</t>
  </si>
  <si>
    <t>Anastasia yosefa atanus</t>
  </si>
  <si>
    <t>085937416828</t>
  </si>
  <si>
    <t>https://drive.google.com/open?id=1YSWErfALuwOEK34cNPNumtZ-e47IjJFN</t>
  </si>
  <si>
    <t>Frans nolo bulu</t>
  </si>
  <si>
    <t>081329458692</t>
  </si>
  <si>
    <t>https://drive.google.com/open?id=15fXCaNNlRU6pGtBHhw2qYbM4CyldxtO0</t>
  </si>
  <si>
    <t>Maria goreti kolo</t>
  </si>
  <si>
    <t>082146698988</t>
  </si>
  <si>
    <t>https://drive.google.com/open?id=1y6Lauy2rlCNYEegzyPSGG0u0V4y0oaDo</t>
  </si>
  <si>
    <t>Albert alson meta</t>
  </si>
  <si>
    <t>082144308911</t>
  </si>
  <si>
    <t>https://drive.google.com/open?id=1K-bW3KnMMb_P09Qfi_W8phPNLS4u2I-z</t>
  </si>
  <si>
    <t>Rizky toto</t>
  </si>
  <si>
    <t>085222046615</t>
  </si>
  <si>
    <t>https://drive.google.com/open?id=1UyErVHofcIz02gghtri3_tl_mqMAc6i7</t>
  </si>
  <si>
    <t>Lili Suarni Saban</t>
  </si>
  <si>
    <t>085808932306</t>
  </si>
  <si>
    <t>https://drive.google.com/open?id=1KAMEwmSK5cCYjKhu_3ljfYzAIB98RE1r</t>
  </si>
  <si>
    <t>ARYANTO BORA GALLA</t>
  </si>
  <si>
    <t>085234574105</t>
  </si>
  <si>
    <t>https://drive.google.com/open?id=1zzBXptK3yvUhY0z7EkiZxt5zCT4yfPHY</t>
  </si>
  <si>
    <t>Pius Dae</t>
  </si>
  <si>
    <t>081237676549</t>
  </si>
  <si>
    <t>https://drive.google.com/open?id=1_tF9tpa2TnMuT8O7xt27qWu4Hi0tbcwF</t>
  </si>
  <si>
    <t>KRISTOFORUS HALE</t>
  </si>
  <si>
    <t>081239231759</t>
  </si>
  <si>
    <t>https://drive.google.com/open?id=1nEsLiL4h_7hssYeqcWham_ShjKe3GWUH</t>
  </si>
  <si>
    <t>Leonard kasse</t>
  </si>
  <si>
    <t>082359450638</t>
  </si>
  <si>
    <t>https://drive.google.com/open?id=1jAgE8lu0wODGassn1twINVWovw6bukUY</t>
  </si>
  <si>
    <t>Hildegardir Gaspar</t>
  </si>
  <si>
    <t>081237595214</t>
  </si>
  <si>
    <t>https://drive.google.com/open?id=1stk6oG3Rov4tCo4etRvrHNQgRKhMTxfj</t>
  </si>
  <si>
    <t>Florentina abuk tetik</t>
  </si>
  <si>
    <t>085126908126</t>
  </si>
  <si>
    <t>https://drive.google.com/open?id=1JwkA0yCuWdmo-p-44eI4G_ON0PhMkRyo</t>
  </si>
  <si>
    <t>SEFRIANI DOMINGGUS</t>
  </si>
  <si>
    <t>082147059004</t>
  </si>
  <si>
    <t>https://drive.google.com/open?id=1mCbCZBc-CqK5eYR9_9XKjLJgJtEPX5Tu</t>
  </si>
  <si>
    <t>Marthir yordymi meko</t>
  </si>
  <si>
    <t>082146505266</t>
  </si>
  <si>
    <t>https://drive.google.com/open?id=1nCPf3t8fL--L_9XdEEAZg5TyV2TeCZDH</t>
  </si>
  <si>
    <t>Petrus kuwat</t>
  </si>
  <si>
    <t>082144318374</t>
  </si>
  <si>
    <t>https://drive.google.com/open?id=1Z6K0mShjRoZ-gk5VMIrGPqYKJkh8DSZ6</t>
  </si>
  <si>
    <t>JORDI FREDIK ELLO</t>
  </si>
  <si>
    <t>+6285137357874</t>
  </si>
  <si>
    <t>https://drive.google.com/open?id=1OcigFkYAmhGOp2MvF8qMlCHruLTjzsoY</t>
  </si>
  <si>
    <t>Sani tasi</t>
  </si>
  <si>
    <t>https://drive.google.com/open?id=1_DGSrAlubv8CXJg_xE20BNS6fEH6yTL-</t>
  </si>
  <si>
    <t>RISALDI KURNIA LUIS OEMATAN</t>
  </si>
  <si>
    <t>082146763670</t>
  </si>
  <si>
    <t>https://drive.google.com/open?id=1UeoZ0qfKKW7wyVwNaR3qkE4US2GQ8ev2</t>
  </si>
  <si>
    <t>Ronaldo naitboho</t>
  </si>
  <si>
    <t>082247288607</t>
  </si>
  <si>
    <t>https://drive.google.com/open?id=1Mw4wV3RVSFxM6-w8PuWELZX0LfWUiUQZ</t>
  </si>
  <si>
    <t>Appolonaris Tomas Berkanis</t>
  </si>
  <si>
    <t>081235811929</t>
  </si>
  <si>
    <t>https://drive.google.com/open?id=1KOFqEAbkIhoR954H3CUJYw8FykTafHqp</t>
  </si>
  <si>
    <t>Sarce Mariati Lenggu</t>
  </si>
  <si>
    <t>https://drive.google.com/open?id=13IYmv2HCtzzFyL6qFPzHSvUDHH4Zyuia</t>
  </si>
  <si>
    <t>Fransiskus tai</t>
  </si>
  <si>
    <t>082144278410</t>
  </si>
  <si>
    <t>https://drive.google.com/open?id=10eI-6m2NoIG4Xi75WYlGRYnAZYT4eyDq</t>
  </si>
  <si>
    <t>Angela Beatrix K. Asuat</t>
  </si>
  <si>
    <t>085339154074</t>
  </si>
  <si>
    <t xml:space="preserve">Petugas Bulog </t>
  </si>
  <si>
    <t>https://drive.google.com/open?id=14NDP9njTD-5qE6fEKtupWXPZgjAIznio</t>
  </si>
  <si>
    <t>Soleman taneo</t>
  </si>
  <si>
    <t>081354100548</t>
  </si>
  <si>
    <t>https://drive.google.com/open?id=1my4Nmub0VGnMicxG0VcjoJvUGR1LX-8b</t>
  </si>
  <si>
    <t>NADIA RESITA LAPUDOOH</t>
  </si>
  <si>
    <t>081239424625</t>
  </si>
  <si>
    <t>https://drive.google.com/open?id=1B-RQJwFWZjxsnOISdXexmPmJbVNbVBsx</t>
  </si>
  <si>
    <t>SASTIEN LAPUDOOH</t>
  </si>
  <si>
    <t>085138833854</t>
  </si>
  <si>
    <t>https://drive.google.com/open?id=18hVzYHORPBBy1NgKdciv3LvtXAoeug0k</t>
  </si>
  <si>
    <t>Sisilia luruk bria</t>
  </si>
  <si>
    <t>082269538565</t>
  </si>
  <si>
    <t>https://drive.google.com/open?id=12hR558Z-kRJRLBmtAtS03kH1sk1NYKyD</t>
  </si>
  <si>
    <t>Andika U</t>
  </si>
  <si>
    <t>081337369254</t>
  </si>
  <si>
    <t>https://drive.google.com/open?id=1MzaUfzyV4TXpV2Lf53Wf9vsM1HxcFGsd</t>
  </si>
  <si>
    <t>Dominikus tamo ama</t>
  </si>
  <si>
    <t>081246247792</t>
  </si>
  <si>
    <t>https://drive.google.com/open?id=1owdua0bQc8KYy1tiM9p_hNBfolPHXu-P</t>
  </si>
  <si>
    <t>Olvirans thersia natu</t>
  </si>
  <si>
    <t>082341687088</t>
  </si>
  <si>
    <t>https://drive.google.com/open?id=1XXeWDFHlLhjNkLL5GTa-SxInBX7B-d_L</t>
  </si>
  <si>
    <t>Rudaya magdalena</t>
  </si>
  <si>
    <t>081236327450</t>
  </si>
  <si>
    <t>https://drive.google.com/open?id=171hJB0t3UaUfZgW0P7mRE0FwATLzb3iT</t>
  </si>
  <si>
    <t xml:space="preserve">Elfiana Banusu </t>
  </si>
  <si>
    <t>081246088264</t>
  </si>
  <si>
    <t>SPPG</t>
  </si>
  <si>
    <t>https://drive.google.com/open?id=1JwYGCo89CYu8ZD76pNfQhk2N58jSOyUD</t>
  </si>
  <si>
    <t>Modesta rambu sedu oyi</t>
  </si>
  <si>
    <t>081338497732</t>
  </si>
  <si>
    <t>Aparatur sipil negara</t>
  </si>
  <si>
    <t>https://drive.google.com/open?id=1xq0eZ4ffV274HGhc26BvxZa0e1cM5sEv</t>
  </si>
  <si>
    <t>Arista T Linggi</t>
  </si>
  <si>
    <t>082197928787</t>
  </si>
  <si>
    <t>https://drive.google.com/open?id=1HN49UKNKqagVQxAHUPmEv2P2mKwf7pV5</t>
  </si>
  <si>
    <t>Victor Oktovianus Djara Dima</t>
  </si>
  <si>
    <t>085737497504</t>
  </si>
  <si>
    <t>https://drive.google.com/open?id=1FhvP9H30UEyjNhGWYQy8b4J7ZlRZN78x</t>
  </si>
  <si>
    <t>Ayusanti handayani</t>
  </si>
  <si>
    <t>082359550113</t>
  </si>
  <si>
    <t>https://drive.google.com/open?id=16d-le9th7js_Cf49EB-56VObOpww0Ni4</t>
  </si>
  <si>
    <t>Viktor umbu deta</t>
  </si>
  <si>
    <t>082341580199</t>
  </si>
  <si>
    <t>https://drive.google.com/open?id=1UJgPBvFoiAyQCKJBHjDnFihNXIG3J5Jz</t>
  </si>
  <si>
    <t>Esther margarita Lebo</t>
  </si>
  <si>
    <t>081232608264</t>
  </si>
  <si>
    <t>https://drive.google.com/open?id=1QaufPzIGgu3LHnllgyEMVyG0OgAIrp_o</t>
  </si>
  <si>
    <t>Bunarihi nenometa</t>
  </si>
  <si>
    <t>https://drive.google.com/open?id=1VznOpMeBJ8SjvubwgVwobDAZIEL3ydKX</t>
  </si>
  <si>
    <t>Rugaya magdalena</t>
  </si>
  <si>
    <t>https://drive.google.com/open?id=1s-Wo32ZyeXH91B0Xp23OHBMjfqkaNsNT</t>
  </si>
  <si>
    <t>Veronika Tnaob</t>
  </si>
  <si>
    <t>082339239795</t>
  </si>
  <si>
    <t>https://drive.google.com/open?id=109YZfKyrQhY1_NtGulA3jhXKFHTYr8qP</t>
  </si>
  <si>
    <t>Mathias Bria Kehik</t>
  </si>
  <si>
    <t>08123751033</t>
  </si>
  <si>
    <t>https://drive.google.com/open?id=1aWhc27SYx76-cwZ8QUb2NRkRMaR54dcf</t>
  </si>
  <si>
    <t>Foni Jefira Nitbani</t>
  </si>
  <si>
    <t>085338786134</t>
  </si>
  <si>
    <t>https://drive.google.com/open?id=1Z3dYLLdZ0TWG13eyAnCDUl6ZZCc0buaX</t>
  </si>
  <si>
    <t>Maria babis</t>
  </si>
  <si>
    <t>082145213214</t>
  </si>
  <si>
    <t>https://drive.google.com/open?id=1IQeIJK0mfKjIQJUbWv55gUG-ezV1pnnB</t>
  </si>
  <si>
    <t>Andri jidro naonane</t>
  </si>
  <si>
    <t>08233668800</t>
  </si>
  <si>
    <t>https://drive.google.com/open?id=1fHjKrTp9Up5jAIA6GmhBNI9cizusAKSQ</t>
  </si>
  <si>
    <t>Ester Linda Ngefak</t>
  </si>
  <si>
    <t>081324371578</t>
  </si>
  <si>
    <t>https://drive.google.com/open?id=18wFBPY_suGPSYwfqf5OldarkS41vomZl</t>
  </si>
  <si>
    <t>Lusia laus</t>
  </si>
  <si>
    <t>082144330418</t>
  </si>
  <si>
    <t>https://drive.google.com/open?id=1KNFV1OLspJT6jyG_WPxUzNBYzPGNG55I</t>
  </si>
  <si>
    <t>Sanafia Yusar</t>
  </si>
  <si>
    <t>081237455559</t>
  </si>
  <si>
    <t>https://drive.google.com/open?id=1qSaUHAb2miggrbT2eae2_vyOq5BV8WfK</t>
  </si>
  <si>
    <t>Angelina bani</t>
  </si>
  <si>
    <t>082359439730</t>
  </si>
  <si>
    <t>https://drive.google.com/open?id=16XYkAIQFKVwXNwvZXHex0isgLXAQPWpl</t>
  </si>
  <si>
    <t>Andry Thrisony Anakay</t>
  </si>
  <si>
    <t>081339707114</t>
  </si>
  <si>
    <t>https://drive.google.com/open?id=1Pjl3B13TplbpVSk_i1WQSNZeUa5iLFwv</t>
  </si>
  <si>
    <t>Matje Meriati Huru</t>
  </si>
  <si>
    <t>08123751201</t>
  </si>
  <si>
    <t>https://drive.google.com/open?id=1jcEDdB5YGalV1RvECFbv2HHIj7AuKeLX</t>
  </si>
  <si>
    <t>Sarah tamar atakari</t>
  </si>
  <si>
    <t>081323362068</t>
  </si>
  <si>
    <t>https://drive.google.com/open?id=1KF2jWSXRtXu5v5GJvVeOIRJC4omyVi5K</t>
  </si>
  <si>
    <t>Susana esterina lake</t>
  </si>
  <si>
    <t>087879908077</t>
  </si>
  <si>
    <t>https://drive.google.com/open?id=1orBMKKqyO8Nt1cAtX676RNsTqPyoqS68</t>
  </si>
  <si>
    <t>Gerrad Cristiano Malelak</t>
  </si>
  <si>
    <t>081236768956</t>
  </si>
  <si>
    <t>https://drive.google.com/open?id=19QjDrfdMCqAp1Tt56J2XpnBW6XX8n_16</t>
  </si>
  <si>
    <t>Stefania Gregoriana Bano</t>
  </si>
  <si>
    <t>081237918988</t>
  </si>
  <si>
    <t>Punya usaha sembako</t>
  </si>
  <si>
    <t>https://drive.google.com/open?id=1J-y9TspZZBnk2n1owpM_8S2-ZjPTikEw</t>
  </si>
  <si>
    <t>Irfan</t>
  </si>
  <si>
    <t>082144734945</t>
  </si>
  <si>
    <t>https://drive.google.com/open?id=1ohv8V9sn2GCsWHcI1rec_vcwckqCAcBT</t>
  </si>
  <si>
    <t>ROSNINA UMBU PATI</t>
  </si>
  <si>
    <t>081237048057</t>
  </si>
  <si>
    <t>https://drive.google.com/open?id=1wRYPFtBblAZevGOuzjRFNfFa2kMZiELr</t>
  </si>
  <si>
    <t>Obed ngalu Dapa</t>
  </si>
  <si>
    <t>081529663370</t>
  </si>
  <si>
    <t>2.3</t>
  </si>
  <si>
    <t>https://drive.google.com/open?id=1yutkawZibtmrDGjHqB_5kEYE2UE2kio7</t>
  </si>
  <si>
    <t>Marko</t>
  </si>
  <si>
    <t>085217045142</t>
  </si>
  <si>
    <t>https://drive.google.com/open?id=1QSsP_ZK1p_yJnfPtbmYsOrwqGJhtv8V8</t>
  </si>
  <si>
    <t>Mesias tolnel</t>
  </si>
  <si>
    <t>081239171925</t>
  </si>
  <si>
    <t>https://drive.google.com/open?id=1NyhzwXzf4VQdJdMMctpk8eXXEqkgU49j</t>
  </si>
  <si>
    <t>Anita Hadu Nipa</t>
  </si>
  <si>
    <t>081237448460</t>
  </si>
  <si>
    <t>https://drive.google.com/open?id=19ERHjDbIW-z4MQiutajFDsD4B-Rw1Kge</t>
  </si>
  <si>
    <t>Muhamad Dedi Irawan</t>
  </si>
  <si>
    <t>081234727061</t>
  </si>
  <si>
    <t>https://drive.google.com/open?id=1OA9LFky82kdQJQU0CQ7VoTerOwOO0Ozh</t>
  </si>
  <si>
    <t>Musa otu</t>
  </si>
  <si>
    <t>081351550696</t>
  </si>
  <si>
    <t>https://drive.google.com/open?id=1zY1_j7iBr1HGzLYFq_o1tppWjtlZksLz</t>
  </si>
  <si>
    <t>Imelda bebe</t>
  </si>
  <si>
    <t>081246068287</t>
  </si>
  <si>
    <t>https://drive.google.com/open?id=10cbHDx5NWB9Vz3C-EljTCv_bWn4JpFIj</t>
  </si>
  <si>
    <t>Nefri Uky</t>
  </si>
  <si>
    <t>081238016079</t>
  </si>
  <si>
    <t>https://drive.google.com/open?id=11iP3BiXC_u1UHJPonD0-1VbXljVKbkTh</t>
  </si>
  <si>
    <t>Karolina bokilia</t>
  </si>
  <si>
    <t>085253894524</t>
  </si>
  <si>
    <t>https://drive.google.com/open?id=17MxVLQk-8iqCxsKWh536L26Kdh_bfLVk</t>
  </si>
  <si>
    <t>Maria Beatriks Peni Lajar</t>
  </si>
  <si>
    <t>085207897005</t>
  </si>
  <si>
    <t>https://drive.google.com/open?id=1hlCNqmXZYpWEk9gMj7M_v2VfCb4Sr0eF</t>
  </si>
  <si>
    <t>KRISTANTI</t>
  </si>
  <si>
    <t>085737446077</t>
  </si>
  <si>
    <t>https://drive.google.com/open?id=12rNY7FnVtgP8fDB4GP8RIk11r1NDoK9M</t>
  </si>
  <si>
    <t>Aprianingsi wulan giri</t>
  </si>
  <si>
    <t>082147329175</t>
  </si>
  <si>
    <t>https://drive.google.com/open?id=1w34GnhsPnUhBB5XxkL_U58Uat7ks2pZh</t>
  </si>
  <si>
    <t>Mesias Tolnel</t>
  </si>
  <si>
    <t>https://drive.google.com/open?id=1q_MVGWVGf3Ks_2su2MEnTmucVFx_g_7w</t>
  </si>
  <si>
    <t>Muhardy Arya Lu Wohangara</t>
  </si>
  <si>
    <t>082280492429</t>
  </si>
  <si>
    <t>https://drive.google.com/open?id=12vjneiSdoSgCpuZrNoRXqHAG6x56GS71</t>
  </si>
  <si>
    <t>Melianus ebenhaeser</t>
  </si>
  <si>
    <t>085237593731</t>
  </si>
  <si>
    <t>https://drive.google.com/open?id=1Z_KF96_ylLpwTFnx0lCK97K4J5CZEPt0</t>
  </si>
  <si>
    <t>Yohana Gabriela Cyndilla Siki</t>
  </si>
  <si>
    <t>085935490024</t>
  </si>
  <si>
    <t>https://drive.google.com/open?id=1PhORiAgrtnJqMs7UBhngWgbBY3poazgV</t>
  </si>
  <si>
    <t>Dortia Bahan</t>
  </si>
  <si>
    <t>082144569135</t>
  </si>
  <si>
    <t>https://drive.google.com/open?id=1894-T4-lhwDvCXHp2-R6vvBflUOs3XyK</t>
  </si>
  <si>
    <t>Yames Alen Ahiras Oematan</t>
  </si>
  <si>
    <t>081239097248</t>
  </si>
  <si>
    <t>https://drive.google.com/open?id=1n7Ma8iiGNOvI_h9uguEukGp7jrL5ipy9</t>
  </si>
  <si>
    <t>Elisabet kamba humba</t>
  </si>
  <si>
    <t>081345138704</t>
  </si>
  <si>
    <t>https://drive.google.com/open?id=1zFlAA_-mez3n3drAChmiuD8eV8YoneVh</t>
  </si>
  <si>
    <t>Lemba Ndoki</t>
  </si>
  <si>
    <t>https://drive.google.com/open?id=11cyqcTIhyfCEN8N4tDsXbCmvWmuMJmCG</t>
  </si>
  <si>
    <t>NETI TINENTI</t>
  </si>
  <si>
    <t>+6281339125194</t>
  </si>
  <si>
    <t>Ada tunggakan di leasing lain</t>
  </si>
  <si>
    <t>https://drive.google.com/open?id=1ownIlPialmVHMpp4pf_s-TzcAHPI1arv</t>
  </si>
  <si>
    <t>Ramo</t>
  </si>
  <si>
    <t>081329456979</t>
  </si>
  <si>
    <t>https://drive.google.com/open?id=1Z3g0_j11hnrJecmpmwMyEfBldNZESb-v</t>
  </si>
  <si>
    <t>Asta Dela Nuban</t>
  </si>
  <si>
    <t>081933034478</t>
  </si>
  <si>
    <t>https://drive.google.com/open?id=1GrctUvLhE5ch_oNTjWlsJPkaeZzDy2hw</t>
  </si>
  <si>
    <t xml:space="preserve">Nefertus Tlonaen </t>
  </si>
  <si>
    <t>082144747276</t>
  </si>
  <si>
    <t xml:space="preserve">Bengkel </t>
  </si>
  <si>
    <t>https://drive.google.com/open?id=1NBjgCMKSTTSjCtstuXHMLjYZ9kbYQJ13</t>
  </si>
  <si>
    <t>Maria yasinta Banunaek</t>
  </si>
  <si>
    <t>https://drive.google.com/open?id=13-NulOCp6yPEaOPF9nbta8UrO6OOupWB</t>
  </si>
  <si>
    <t>YUNITA LENDE</t>
  </si>
  <si>
    <t>081265694966</t>
  </si>
  <si>
    <t>https://drive.google.com/open?id=1SvCnxVylNQLPyIoh-rUvKcYMwgKkI22n</t>
  </si>
  <si>
    <t xml:space="preserve">YUSTINA U PATI </t>
  </si>
  <si>
    <t>082145461401</t>
  </si>
  <si>
    <t>https://drive.google.com/open?id=1qCw3tYgDSSk_dsd7wO7qVd0bdQE6Rb7t</t>
  </si>
  <si>
    <t>Jeene oba yohana tualaka</t>
  </si>
  <si>
    <t>081225025748</t>
  </si>
  <si>
    <t>https://drive.google.com/open?id=1UCNbBPvk4b98MV7LNJyOTqw-HeKO_sYN</t>
  </si>
  <si>
    <t xml:space="preserve">Mario stenly turangan </t>
  </si>
  <si>
    <t>082144240239</t>
  </si>
  <si>
    <t>https://drive.google.com/open?id=1jvcw7GWiCPxcvbSsbCuzdR6gmDlzgIyu</t>
  </si>
  <si>
    <t>Wulan Yolanda Agustina Lani</t>
  </si>
  <si>
    <t>085746928774</t>
  </si>
  <si>
    <t>https://drive.google.com/open?id=1y4k9hot1uhQ2iaL2fbxIdfKENtsfpknu</t>
  </si>
  <si>
    <t>Jocelyn ayuwandira maubana</t>
  </si>
  <si>
    <t>082146226134</t>
  </si>
  <si>
    <t>https://drive.google.com/open?id=1QQ2eN26HSDwQvBa44C5oY6O9FdPXlE7c</t>
  </si>
  <si>
    <t>MARSAL DARYANCE FAAH</t>
  </si>
  <si>
    <t>085354567890</t>
  </si>
  <si>
    <t>https://drive.google.com/open?id=1i8yaoXvyDD9ln8xldnz1vfJvaVvZa11J</t>
  </si>
  <si>
    <t>Erlinda bria</t>
  </si>
  <si>
    <t>082150799377</t>
  </si>
  <si>
    <t>https://drive.google.com/open?id=1OZa3ZlzZdpi6VD4rSVmbdnOQqxCSR_w-</t>
  </si>
  <si>
    <t xml:space="preserve">Helena Jamlean </t>
  </si>
  <si>
    <t>082239198755</t>
  </si>
  <si>
    <t>https://drive.google.com/open?id=1r-Ey9utJpwOdksHSazkPO94Ju8rlP937</t>
  </si>
  <si>
    <t>Waldi ramdani</t>
  </si>
  <si>
    <t>081311861313</t>
  </si>
  <si>
    <t>https://drive.google.com/open?id=1MJ85INSK4LRgLy-LLJuqSx0VPou5KPeQ</t>
  </si>
  <si>
    <t>Maria angelusia doek</t>
  </si>
  <si>
    <t>089525562262</t>
  </si>
  <si>
    <t>Wiraswsta</t>
  </si>
  <si>
    <t>https://drive.google.com/open?id=1alWTkWYLU6J3X-Kwxk-VoH43KPu_-5C5</t>
  </si>
  <si>
    <t>Yohana Henukh</t>
  </si>
  <si>
    <t>08123628499</t>
  </si>
  <si>
    <t>https://drive.google.com/open?id=1U6BfEsmUwJ49uDs0nYaTkJtF8dbJjo3b</t>
  </si>
  <si>
    <t>Norlince seran</t>
  </si>
  <si>
    <t>082266058468</t>
  </si>
  <si>
    <t>Wiraswata</t>
  </si>
  <si>
    <t>https://drive.google.com/open?id=1GJJ1TPacMj7ZWSWVVP0qkahd-1V4Ia2r</t>
  </si>
  <si>
    <t>Roni Melkisedek nayuf</t>
  </si>
  <si>
    <t>082123585226</t>
  </si>
  <si>
    <t>https://drive.google.com/open?id=1jdBOWVdd-vlg3hDJvhDPRYj0IpiWvffm</t>
  </si>
  <si>
    <t>Aldi lowu</t>
  </si>
  <si>
    <t>081339212411</t>
  </si>
  <si>
    <t>Pekerja paruh waktu</t>
  </si>
  <si>
    <t>https://drive.google.com/open?id=1R31ObIQHXbKmKqbLG0OGa_TLpsHjvzC6</t>
  </si>
  <si>
    <t>Roky Ndoen</t>
  </si>
  <si>
    <t>081338096710</t>
  </si>
  <si>
    <t>https://drive.google.com/open?id=1zSSCSf6OJWNc5xR-JJm9uQqavcrXHovC</t>
  </si>
  <si>
    <t>OMA HENDERINA SILLA</t>
  </si>
  <si>
    <t>085858808430</t>
  </si>
  <si>
    <t>https://drive.google.com/open?id=18T2vJx8D0Gq6JeoT4yvl2jbVAdN7Gfud</t>
  </si>
  <si>
    <t>Marlince Lida rowa</t>
  </si>
  <si>
    <t>081339881023</t>
  </si>
  <si>
    <t>5.7000</t>
  </si>
  <si>
    <t>https://drive.google.com/open?id=1dYp4_l-Ed_-7bGVh299BP77xyPBpgTIN</t>
  </si>
  <si>
    <t>STEPANUS NGONGO</t>
  </si>
  <si>
    <t>https://drive.google.com/open?id=1kexZQhpMwXjpWJVR_gT3sJQ_aYmpXGJ_</t>
  </si>
  <si>
    <t>GERSONA TANESAB</t>
  </si>
  <si>
    <t>082145609535</t>
  </si>
  <si>
    <t>https://drive.google.com/open?id=1MkDN9BoeYTKPwIymbrHF1-IZyIgyujXK</t>
  </si>
  <si>
    <t>Arnoldus tualaka</t>
  </si>
  <si>
    <t>081257416335</t>
  </si>
  <si>
    <t>https://drive.google.com/open?id=1KPs0Bcx9-eq6RqbZx6UBcyBvX8DRPKLw</t>
  </si>
  <si>
    <t>Aprianus tefa</t>
  </si>
  <si>
    <t>082121173167</t>
  </si>
  <si>
    <t>https://drive.google.com/open?id=1DVMSGa15o1OWP9B9o4GtWxMc5gCNLTiz</t>
  </si>
  <si>
    <t>Klaudius Taeki elu</t>
  </si>
  <si>
    <t>085739828829</t>
  </si>
  <si>
    <t>https://drive.google.com/open?id=1kHhBagWfdhlQGMbpAveYqBfhWEi0O9fe</t>
  </si>
  <si>
    <t>Fitriani ngguna manggil</t>
  </si>
  <si>
    <t>082266562083</t>
  </si>
  <si>
    <t>https://drive.google.com/open?id=1De4dJAqQaft_AXKoT5-66FtfUbJVPTTr</t>
  </si>
  <si>
    <t>SANTIKE LAU KALLANG</t>
  </si>
  <si>
    <t>081352476829</t>
  </si>
  <si>
    <t>https://drive.google.com/open?id=1NkeiSDoY6_GlbCZod6r0XuDwJy-zjd9m</t>
  </si>
  <si>
    <t>Selfanus Malaibeka</t>
  </si>
  <si>
    <t>085183856503</t>
  </si>
  <si>
    <t>https://drive.google.com/open?id=1v8fQTXKsplllO9FLjyFsNPr6rHJmWhHu</t>
  </si>
  <si>
    <t>Adelina sila</t>
  </si>
  <si>
    <t>081339416361</t>
  </si>
  <si>
    <t>https://drive.google.com/open?id=1npq9W-QkyDoaN72V123jRqSMl_jSvdAZ</t>
  </si>
  <si>
    <t>Silsitri ariance sina</t>
  </si>
  <si>
    <t>081339178038</t>
  </si>
  <si>
    <t>https://drive.google.com/open?id=1RFzy25ut2QMEzROiiwc3SK6lahq_5G-G</t>
  </si>
  <si>
    <t>Jose Timo</t>
  </si>
  <si>
    <t>081353317550</t>
  </si>
  <si>
    <t>TNI</t>
  </si>
  <si>
    <t>https://drive.google.com/open?id=1LwP2ZNe0-JSJ1hy7Rx3kNcFYo85AKzY-</t>
  </si>
  <si>
    <t>Margaretha dada gole</t>
  </si>
  <si>
    <t>085337517121</t>
  </si>
  <si>
    <t>https://drive.google.com/open?id=1cszcmcbBeEIicJ5xxje3QaVVWTLGQowk</t>
  </si>
  <si>
    <t>Gerto deki suek</t>
  </si>
  <si>
    <t>085792122241</t>
  </si>
  <si>
    <t>https://drive.google.com/open?id=1-D-I85p3gwquV13gB8UScBALJfgmF9kq</t>
  </si>
  <si>
    <t>Alberto putra virgo Dadi lado</t>
  </si>
  <si>
    <t>081337722724</t>
  </si>
  <si>
    <t>https://drive.google.com/open?id=1Pd9OQEf5pbdbJw2zn9l62O7CAuuKCB_g</t>
  </si>
  <si>
    <t>Erlin delila kofi</t>
  </si>
  <si>
    <t>082184540314</t>
  </si>
  <si>
    <t>Karyawan salon</t>
  </si>
  <si>
    <t>https://drive.google.com/open?id=1RQ1C_sHHbYGyaRlKayY5HN2kDhYyEYkc</t>
  </si>
  <si>
    <t>Adrianus Rychardo Salukh</t>
  </si>
  <si>
    <t>082251810260</t>
  </si>
  <si>
    <t>Supir</t>
  </si>
  <si>
    <t>https://drive.google.com/open?id=1IS-jRStpUV4VKw4Dtzi8js7LPAmj9onv</t>
  </si>
  <si>
    <t>Agustinus ndima djawakopi</t>
  </si>
  <si>
    <t>085255721025</t>
  </si>
  <si>
    <t>https://drive.google.com/open?id=1F3V-8uZoPFwt-3U5E1rlo-bSWJ8ka-sY</t>
  </si>
  <si>
    <t>Ketrin pingah</t>
  </si>
  <si>
    <t>085187937765</t>
  </si>
  <si>
    <t>https://drive.google.com/open?id=1dQ6FYzIOe2fqH5afkPShOj45kZGApfG0</t>
  </si>
  <si>
    <t>Ferdinatus boimau</t>
  </si>
  <si>
    <t>082237506745</t>
  </si>
  <si>
    <t>https://drive.google.com/open?id=1ZAV3OzK8aQGC8aKpqxQyyBxog6Z4JbcC</t>
  </si>
  <si>
    <t>Dehlina becabe bees</t>
  </si>
  <si>
    <t>082146989306</t>
  </si>
  <si>
    <t>https://drive.google.com/open?id=1rKkXMHyI8txzPjeKu24feC7Sc09tRMLs</t>
  </si>
  <si>
    <t>Cornelis nenogasu</t>
  </si>
  <si>
    <t>085858807340</t>
  </si>
  <si>
    <t>https://drive.google.com/open?id=1x-nE75Ei0w2iD_P6FR2dEUiiKKNRpypY</t>
  </si>
  <si>
    <t xml:space="preserve">Maher S. H. Lasar </t>
  </si>
  <si>
    <t>081339669643</t>
  </si>
  <si>
    <t>https://drive.google.com/open?id=1yuQ0oSbkKi52W_bbyYOloDerROpDyaM4</t>
  </si>
  <si>
    <t>Febi Sely Haning</t>
  </si>
  <si>
    <t>081998004098</t>
  </si>
  <si>
    <t>https://drive.google.com/open?id=1uaj2W-nuQraSxZ_SpAlOlwvbK3HKPL9z</t>
  </si>
  <si>
    <t>Hezkya firanza</t>
  </si>
  <si>
    <t>082188260441</t>
  </si>
  <si>
    <t>Tni</t>
  </si>
  <si>
    <t>https://drive.google.com/open?id=1ayaJ5dQ-_q5d8gV8NpMyZgufteS31cH4</t>
  </si>
  <si>
    <t>Yudian R. L. Newa</t>
  </si>
  <si>
    <t>085124145690</t>
  </si>
  <si>
    <t>https://drive.google.com/open?id=1z7nZAE14S73_ZvcZIwJ_z3kvFW_JJd1g</t>
  </si>
  <si>
    <t>Stenli I R Tahun</t>
  </si>
  <si>
    <t>085738627124</t>
  </si>
  <si>
    <t>https://drive.google.com/open?id=1LpeeCLXuUk_LsHmLvCTr6lXvQhgKzLx4</t>
  </si>
  <si>
    <t>Melkianus lalus</t>
  </si>
  <si>
    <t>081246287619</t>
  </si>
  <si>
    <t>https://drive.google.com/open?id=1jM8RJnxrgOlg3H8aQYKGq9wBzCt94Qnh</t>
  </si>
  <si>
    <t>Arisanty R. B. Todji</t>
  </si>
  <si>
    <t>0895403661955</t>
  </si>
  <si>
    <t>https://drive.google.com/open?id=10_6cEKQ_vgfLZnIBBrb_O5_KOLW7ybdd</t>
  </si>
  <si>
    <t>Sisilia yunita klau</t>
  </si>
  <si>
    <t>085739224563</t>
  </si>
  <si>
    <t>https://drive.google.com/open?id=1LETzSYCtleQZVD3s5yzDrrejMJwTL3Kt</t>
  </si>
  <si>
    <t>Maria Elendina  umbu yapu</t>
  </si>
  <si>
    <t>085293165291</t>
  </si>
  <si>
    <t>Jualan jajan</t>
  </si>
  <si>
    <t>https://drive.google.com/open?id=1ssSxMUNgUTTSuJ67QwBji2EophSbCZdr</t>
  </si>
  <si>
    <t>Albersius punuf</t>
  </si>
  <si>
    <t>082336729496</t>
  </si>
  <si>
    <t>https://drive.google.com/open?id=1MkfEHzgBACYAEf6oWyA_ddwr42yF6CmE</t>
  </si>
  <si>
    <t>YAKUB ELE DETA</t>
  </si>
  <si>
    <t>082340341311</t>
  </si>
  <si>
    <t>https://drive.google.com/open?id=1Vpxp66ESUGv5cUEolBp00KBUgXE8ufLt</t>
  </si>
  <si>
    <t>Gilbert Ndoi</t>
  </si>
  <si>
    <t>085798127678</t>
  </si>
  <si>
    <t>https://drive.google.com/open?id=1Yhp6I4nVFkfUizYTt6Z2tL3XRvCSACw9</t>
  </si>
  <si>
    <t>YOSIAS ADI DARMA WILSON GAU</t>
  </si>
  <si>
    <t>081238248586</t>
  </si>
  <si>
    <t>https://drive.google.com/open?id=1-eXYeJMHeF4BO-xOzxya09qgwylNNj_p</t>
  </si>
  <si>
    <t>Aisyah Gomang</t>
  </si>
  <si>
    <t>085136371671</t>
  </si>
  <si>
    <t>https://drive.google.com/open?id=1KQKBtgJMaZjusPoegFgc9cGKiAsAqPT9</t>
  </si>
  <si>
    <t>𝘖𝘭𝘺𝘷𝘪𝘢 𝘮𝘪𝘵𝘩𝘢 𝘪𝘷𝘩𝘰𝘯𝘪 𝘢𝘵𝘪</t>
  </si>
  <si>
    <t>081339777409</t>
  </si>
  <si>
    <t>https://drive.google.com/open?id=1XRse73WWGHmfKlEkoCTy77rr3IY571vK</t>
  </si>
  <si>
    <t>Seprina Charisanti Seo</t>
  </si>
  <si>
    <t>081349327652</t>
  </si>
  <si>
    <t>https://drive.google.com/open?id=1g4F6xq7bGgyTOL8c9M_gphhBgRLt2B0Q</t>
  </si>
  <si>
    <t>Ginza Sandriyati Elim</t>
  </si>
  <si>
    <t>08226608833353</t>
  </si>
  <si>
    <t xml:space="preserve">Infulancer </t>
  </si>
  <si>
    <t>https://drive.google.com/open?id=1cc2bU0tRJ4sCa5OyawLDoPUSarVIZR35</t>
  </si>
  <si>
    <t>Jelita Kamis</t>
  </si>
  <si>
    <t>081318890864</t>
  </si>
  <si>
    <t>https://drive.google.com/open?id=176x2BETRZyOfIN_SzFPWAMojfjmHBVRN</t>
  </si>
  <si>
    <t xml:space="preserve">Aripriana lopes dafonseka </t>
  </si>
  <si>
    <t>082144414488</t>
  </si>
  <si>
    <t>https://drive.google.com/open?id=1U2fGz1IVLjlAetMy87kNzfAASRHH4IQT</t>
  </si>
  <si>
    <t>Gustibela gresani nenosiki</t>
  </si>
  <si>
    <t>+6285738197329</t>
  </si>
  <si>
    <t>https://drive.google.com/open?id=1aUtBXl2GlncFRLAnEVCW28t1jrrHYmvN</t>
  </si>
  <si>
    <t>Irfan sidin</t>
  </si>
  <si>
    <t>081529249930</t>
  </si>
  <si>
    <t>https://drive.google.com/open?id=15TOymwwzeJFIMSVmKSiamPMD_73JxnLX</t>
  </si>
  <si>
    <t>Indra tefa</t>
  </si>
  <si>
    <t>+6281255004956</t>
  </si>
  <si>
    <t>https://drive.google.com/open?id=1wOyZQfkElT3mwnBjGZQsx9dyLWrKky77</t>
  </si>
  <si>
    <t>imelda mira</t>
  </si>
  <si>
    <t>085384232844</t>
  </si>
  <si>
    <t>https://drive.google.com/open?id=1BFJcHIKI_J6DN-VWQvSz9xyo8CzCCSxX</t>
  </si>
  <si>
    <t>Dewi nofridai suan</t>
  </si>
  <si>
    <t>082353159916</t>
  </si>
  <si>
    <t>https://drive.google.com/open?id=1ooyX9BCFAvrQ3ISHxBZ3s27YGXosEjiz</t>
  </si>
  <si>
    <t>Uli thalo</t>
  </si>
  <si>
    <t>08136117216</t>
  </si>
  <si>
    <t>https://drive.google.com/open?id=1BMKUKwdzpTZLZNTzbdeArq5pGafmU289</t>
  </si>
  <si>
    <t>Anthoneta  Dorthia Iba</t>
  </si>
  <si>
    <t>081337614615</t>
  </si>
  <si>
    <t>https://drive.google.com/open?id=1hjWjMVxRBiBB93zPsKVif2hReRbH5Eac</t>
  </si>
  <si>
    <t>Sem alex sandro mone</t>
  </si>
  <si>
    <t>081337978565</t>
  </si>
  <si>
    <t>https://drive.google.com/open?id=1iHF2GwH1R-ONcPAWXJW66PS2-ISZEJso</t>
  </si>
  <si>
    <t>Sani apriani tasi</t>
  </si>
  <si>
    <t>https://drive.google.com/open?id=1c3Ev3HjVjkNl-weH6yp0zhY16JFhO6-N</t>
  </si>
  <si>
    <t>Jesmeliyati hinggirandja</t>
  </si>
  <si>
    <t>085706158665</t>
  </si>
  <si>
    <t>https://drive.google.com/open?id=1NbGsiqEoct76q37U7_RKYFBBh_8hgYks</t>
  </si>
  <si>
    <t>Albertin Aldolfina salvatora thius</t>
  </si>
  <si>
    <t>081330252969</t>
  </si>
  <si>
    <t>https://drive.google.com/open?id=1fUvm5M-moI_Jk9GMMAeLMoS2PGqhucxA</t>
  </si>
  <si>
    <t>Muhamad syahrir lapaleng</t>
  </si>
  <si>
    <t>085738355969</t>
  </si>
  <si>
    <t>https://drive.google.com/open?id=1OI9NtQdcPxr235rZfsdvNV2a55KqNLkG</t>
  </si>
  <si>
    <t>Apronia tenis tuan</t>
  </si>
  <si>
    <t>https://drive.google.com/open?id=1eqyZuQVPImn_S_faNOPyWr8nfaM8T_23</t>
  </si>
  <si>
    <t>Minggustina timabar nau</t>
  </si>
  <si>
    <t>081237674762</t>
  </si>
  <si>
    <t>https://drive.google.com/open?id=17bE_nWGOlyWJObEeA-dFlrGdWPPAynuy</t>
  </si>
  <si>
    <t>Metildis jerifa</t>
  </si>
  <si>
    <t>082132719246</t>
  </si>
  <si>
    <t>https://drive.google.com/open?id=18S9NcAcb5BciPRT5k8KcXjCVyqiAgtAq</t>
  </si>
  <si>
    <t xml:space="preserve">Minggustina timabar nau </t>
  </si>
  <si>
    <t>https://drive.google.com/open?id=17u6_LtLcXLh9iC12FPntKpFxdsPYAWhJ</t>
  </si>
  <si>
    <t>Ester sioh lele</t>
  </si>
  <si>
    <t>082339218744</t>
  </si>
  <si>
    <t>https://drive.google.com/open?id=1UqdkRAGTv0-B-n2Ilf4LLttGqe46fo9O</t>
  </si>
  <si>
    <t>Rani Nenoliu</t>
  </si>
  <si>
    <t>https://drive.google.com/open?id=1wyEZvjSJlqGRAdxO9xlwPa-66qzaRY92</t>
  </si>
  <si>
    <t>Faustina manek</t>
  </si>
  <si>
    <t>081357882001</t>
  </si>
  <si>
    <t>https://drive.google.com/open?id=17q9aAGuugTyavsEvfcey-USgVdFGE1RQ</t>
  </si>
  <si>
    <t>Regina seran</t>
  </si>
  <si>
    <t>087857225278</t>
  </si>
  <si>
    <t>https://drive.google.com/open?id=1SKhub3yuXxdkIZW08yepQuif50kRgaKa</t>
  </si>
  <si>
    <t>Eni tegi nalu</t>
  </si>
  <si>
    <t>085137358828</t>
  </si>
  <si>
    <t>https://drive.google.com/open?id=1WrBXkHecVioElk39etGinGx8isZ5jWeZ</t>
  </si>
  <si>
    <t>Yolanda Thine</t>
  </si>
  <si>
    <t>081529481498</t>
  </si>
  <si>
    <t>Karyawan kafe</t>
  </si>
  <si>
    <t>https://drive.google.com/open?id=1yc2y2GMMqzsyKYkSt-aYJKpSD3OE-DDu</t>
  </si>
  <si>
    <t>Febriana lasnicha lette</t>
  </si>
  <si>
    <t>085337668197</t>
  </si>
  <si>
    <t>https://drive.google.com/open?id=1Msz8t3VuyXPIo7kS_qqoJeXWU6pCYAo9</t>
  </si>
  <si>
    <t>Andreas ndawa mana</t>
  </si>
  <si>
    <t>https://drive.google.com/open?id=18vUAblK-f0QilxGypYW7UV4Wn5ae3j01</t>
  </si>
  <si>
    <t>Anderias pati widu</t>
  </si>
  <si>
    <t>082213332208</t>
  </si>
  <si>
    <t>https://drive.google.com/open?id=1SJ9CBUJp_IMVpPbn29T3V8aDBYlVgxux</t>
  </si>
  <si>
    <t>Ance Benu</t>
  </si>
  <si>
    <t>082141818625</t>
  </si>
  <si>
    <t>https://drive.google.com/open?id=1E9vWBDfNb--7h1i-IBu2a9a2XQ8iTg7u</t>
  </si>
  <si>
    <t>MARIA LOMAN TUKAN</t>
  </si>
  <si>
    <t>081246260083</t>
  </si>
  <si>
    <t>https://drive.google.com/open?id=1wqKEnOqRFIFQ8a1AP945vM4yuhlr4Vv9</t>
  </si>
  <si>
    <t xml:space="preserve">Shania Pendo </t>
  </si>
  <si>
    <t>081353664605</t>
  </si>
  <si>
    <t>https://drive.google.com/open?id=1fazndGXrc0eCW04UUJI3MecJoIUuXzuB</t>
  </si>
  <si>
    <t>RAME SOBA</t>
  </si>
  <si>
    <t>082266561879</t>
  </si>
  <si>
    <t>https://drive.google.com/open?id=1Qqloxm4_htQq9HDA2V1b4MNtF0SCQAux</t>
  </si>
  <si>
    <t>Asrianti yakub gela</t>
  </si>
  <si>
    <t>082336613128</t>
  </si>
  <si>
    <t>https://drive.google.com/open?id=1Ys1Y4EWbRGJ0qzP-7URRCPucvRKXk-JN</t>
  </si>
  <si>
    <t>Albertus Agustinus Bai</t>
  </si>
  <si>
    <t>085253234567</t>
  </si>
  <si>
    <t>https://drive.google.com/open?id=1gXVCLceH4TSuYn9LOCv-MIHy0WcBQs3o</t>
  </si>
  <si>
    <t xml:space="preserve">Irma nilasari Irawan </t>
  </si>
  <si>
    <t>0813390088881</t>
  </si>
  <si>
    <t>https://drive.google.com/open?id=19qc5rUsHs46zVRk97JGhwL0m2vJ0whc-</t>
  </si>
  <si>
    <t>Ace Mariana Ga Elo</t>
  </si>
  <si>
    <t>Bertani</t>
  </si>
  <si>
    <t>https://drive.google.com/open?id=1EK7E_2z47g9DHPwZnDtrnLthr-xs-k9L</t>
  </si>
  <si>
    <t>Agustus Yoseph Tfkunani</t>
  </si>
  <si>
    <t>085361676981</t>
  </si>
  <si>
    <t>https://drive.google.com/open?id=1phWjMUD56XapATNZ0_ccZkZiXyscdkeq</t>
  </si>
  <si>
    <t>Sani Apriana Tasi</t>
  </si>
  <si>
    <t>Kerja ditoko roti</t>
  </si>
  <si>
    <t>https://drive.google.com/open?id=1OWaPH2kDZyy3iwVWu2ZW2O4Vh8I9ZXUQ</t>
  </si>
  <si>
    <t>Petrus Laituy</t>
  </si>
  <si>
    <t>https://drive.google.com/open?id=1pbyMLuXRnFB4oMwge2BsDERCIJW5fUR0</t>
  </si>
  <si>
    <t>Achmad Budi hadi Surya</t>
  </si>
  <si>
    <t>1.8888</t>
  </si>
  <si>
    <t>https://drive.google.com/open?id=16p6l8lqs7E_20pFKurfwix0YhGHq9--j</t>
  </si>
  <si>
    <t>Emiliana B. deda Nong</t>
  </si>
  <si>
    <t>https://drive.google.com/open?id=1uE7xBBpuZ7KAuW2HpptJIYTSMPPROmny</t>
  </si>
  <si>
    <t>Usaha jual sayul di pasar oeba</t>
  </si>
  <si>
    <t>https://drive.google.com/open?id=1dANyqXsFg93Qeqkb9Z2GeztEdW4KnW8G</t>
  </si>
  <si>
    <t>Rasuli</t>
  </si>
  <si>
    <t>085738888821</t>
  </si>
  <si>
    <t>https://drive.google.com/open?id=19XxkUOj4mb7TBT3Tw0UoaCptE7gVOkun</t>
  </si>
  <si>
    <t>https://drive.google.com/open?id=1FKb3KrrRts4nKsPHY2j0PIeeTCSmxDZ2</t>
  </si>
  <si>
    <t>Yakub Bei</t>
  </si>
  <si>
    <t>https://drive.google.com/open?id=1jGCjHxvwwLqndrNq42gZHvSaPZnYCjer</t>
  </si>
  <si>
    <t xml:space="preserve">Desi saudale </t>
  </si>
  <si>
    <t>082146152363</t>
  </si>
  <si>
    <t>https://drive.google.com/open?id=10zHiHTbAUR9_UMPWUFIcnRjeUV9mAx4p</t>
  </si>
  <si>
    <t xml:space="preserve">Yordan Timotius </t>
  </si>
  <si>
    <t>+6285847105778</t>
  </si>
  <si>
    <t>https://drive.google.com/open?id=1L6Cd2UnyZlK4f8tb66frZYCdZh_-MgT8</t>
  </si>
  <si>
    <t>ARTOLIO YAPPU LETE</t>
  </si>
  <si>
    <t>081235676081</t>
  </si>
  <si>
    <t>https://drive.google.com/open?id=1FCoOAzJeL4hLHC8fnhmY0z0hFl88wgTl</t>
  </si>
  <si>
    <t>JEFRI ELLO</t>
  </si>
  <si>
    <t>085142977734</t>
  </si>
  <si>
    <t>https://drive.google.com/open?id=1xhHL3FElCa0Mnbn4kMR1KeT10u7D4RQE</t>
  </si>
  <si>
    <t>Astiani Koda Betu</t>
  </si>
  <si>
    <t>082235520467</t>
  </si>
  <si>
    <t>Perawat bayi / lansia</t>
  </si>
  <si>
    <t>https://drive.google.com/open?id=1ROsIF3DwVJj0Dc15QlkcwSB7PIrrdurn</t>
  </si>
  <si>
    <t>YEREMIAS MBAWA KANJAPI</t>
  </si>
  <si>
    <t>Yosem abia fuah</t>
  </si>
  <si>
    <t>081246186881</t>
  </si>
  <si>
    <t>https://drive.google.com/open?id=1a_W8ELlcGu-qRro_EnuINCS4L3x1MFRa</t>
  </si>
  <si>
    <t>Theresia Sella marsenda mamoh</t>
  </si>
  <si>
    <t>081236457792</t>
  </si>
  <si>
    <t>https://drive.google.com/open?id=1YBjggl5bfsCZD7cj_BO6kKBNgQxtu5gJ</t>
  </si>
  <si>
    <t>Andris Zadokh Fallo</t>
  </si>
  <si>
    <t>085339198710</t>
  </si>
  <si>
    <t>https://drive.google.com/open?id=1lvM3Up01eEtyczf1ZaUFm2aevL7YLZ1n</t>
  </si>
  <si>
    <t>Jefri christian</t>
  </si>
  <si>
    <t>081547433202</t>
  </si>
  <si>
    <t>Pengajuan kadaluwarsa</t>
  </si>
  <si>
    <t>https://drive.google.com/open?id=1MvV8URfB948-zyvB8xJ-GsAue5lAgpmJ</t>
  </si>
  <si>
    <t xml:space="preserve">Kusnadi </t>
  </si>
  <si>
    <t>083130541834</t>
  </si>
  <si>
    <t>https://drive.google.com/open?id=1ZXHRQnyHTHFn4urhGwKLg965cW9_W5sR</t>
  </si>
  <si>
    <t xml:space="preserve">Heri </t>
  </si>
  <si>
    <t>082118628117</t>
  </si>
  <si>
    <t>https://drive.google.com/open?id=1bYTVqRPM8IJV5Z8-XjYKEqLRO-rKgOys</t>
  </si>
  <si>
    <t xml:space="preserve">Bonifasia sisilia yasintha dendo </t>
  </si>
  <si>
    <t>085829368054</t>
  </si>
  <si>
    <t>https://drive.google.com/open?id=1_uRcY-rRBwnFfoYQwM__obo9SwaQ_k_5</t>
  </si>
  <si>
    <t xml:space="preserve">Adinda Veronika  Valeri Naffie </t>
  </si>
  <si>
    <t>081244581900</t>
  </si>
  <si>
    <t xml:space="preserve">Karyawan toko sepatu </t>
  </si>
  <si>
    <t>https://drive.google.com/open?id=18EGsHo0cY8EWeys4q5gan265fYEnvOO0</t>
  </si>
  <si>
    <t>Fridoyanto lopo</t>
  </si>
  <si>
    <t>+6282155173860</t>
  </si>
  <si>
    <t>https://drive.google.com/open?id=1u0fbzkkAa57tU8Oo6tYvkHZRt76KrUHI</t>
  </si>
  <si>
    <t>Marlon marsiano lopo</t>
  </si>
  <si>
    <t>+6281231174846</t>
  </si>
  <si>
    <t>https://drive.google.com/open?id=1BFG7pYXyaGy8nwXFBIEmn7cSCdjplumd</t>
  </si>
  <si>
    <t>Margayati inna kii</t>
  </si>
  <si>
    <t>082117286930</t>
  </si>
  <si>
    <t>Guru</t>
  </si>
  <si>
    <t>https://drive.google.com/open?id=1HcjDBr1-7jSqAJLrDr20SLkLG1C0lbvB</t>
  </si>
  <si>
    <t>Mbewa ndepa wawa</t>
  </si>
  <si>
    <t>085238211602</t>
  </si>
  <si>
    <t>https://drive.google.com/open?id=1wOjL04PIViDrE3WAuhKDyfWyvxKfY09c</t>
  </si>
  <si>
    <t>NABILA RAHMAWATI</t>
  </si>
  <si>
    <t>Yulius magi bero</t>
  </si>
  <si>
    <t>https://drive.google.com/open?id=1XPec-PJYNdR9n-IZHUPTH7zQLLBrBd24</t>
  </si>
  <si>
    <t>ANDRIANUS NAITKAKIN</t>
  </si>
  <si>
    <t>0812337750431</t>
  </si>
  <si>
    <t>https://drive.google.com/open?id=1wojLP0zOo-6vRP0lytg5hLaISMS4QwG5</t>
  </si>
  <si>
    <t>Laurinda de almeida salsinha</t>
  </si>
  <si>
    <t>081324570045</t>
  </si>
  <si>
    <t>https://drive.google.com/open?id=1k16fdGL7MktB4F_BhzSMRgt1Tx8X8xSx</t>
  </si>
  <si>
    <t>EVELIN VIOLA R HERE</t>
  </si>
  <si>
    <t>082247598058</t>
  </si>
  <si>
    <t>https://drive.google.com/open?id=1u8F-oXxk8j_wR3DEjmRw68wBcD0yWUmG</t>
  </si>
  <si>
    <t>Jayusman yusmina baunsele</t>
  </si>
  <si>
    <t>0812377773701</t>
  </si>
  <si>
    <t>https://drive.google.com/open?id=1BvaXR9qr4rfENJ4RoMgTqhu2Zv2cywxZ</t>
  </si>
  <si>
    <t>ESTER LUDJI</t>
  </si>
  <si>
    <t>SEMBRI PONU</t>
  </si>
  <si>
    <t>085738295371</t>
  </si>
  <si>
    <t>https://drive.google.com/open?id=1P2AynpX1Ke1rM99HDBLCKRJpjz-jQ0wz</t>
  </si>
  <si>
    <t xml:space="preserve">Marri bildat yuliana la'a </t>
  </si>
  <si>
    <t>082341707998</t>
  </si>
  <si>
    <t>https://drive.google.com/open?id=1-kYGbb-2X36SVa5hGdBnPa_b7mYX2I3M</t>
  </si>
  <si>
    <t>Kristoforus Haki</t>
  </si>
  <si>
    <t>081246508036</t>
  </si>
  <si>
    <t>Memiliki usaha</t>
  </si>
  <si>
    <t>https://drive.google.com/open?id=11t9HzN06T88loNHgzqqIIFx18aHrvl27</t>
  </si>
  <si>
    <t>Matius nifu</t>
  </si>
  <si>
    <t>081339004931</t>
  </si>
  <si>
    <t>https://drive.google.com/open?id=19FJTzA9TfohJD3mRzB6KNe1tzWJ5H-ug</t>
  </si>
  <si>
    <t>Nurna nining kaupukong</t>
  </si>
  <si>
    <t>085283969171</t>
  </si>
  <si>
    <t>https://drive.google.com/open?id=1sNxCV03XJHprVddTtM37v_YVyElisDnQ</t>
  </si>
  <si>
    <t>RADA PEDA</t>
  </si>
  <si>
    <t>081353201841</t>
  </si>
  <si>
    <t>https://drive.google.com/open?id=1WSS4xX6SxZ_EFMVnK9d9RKeF-AZMDnOy</t>
  </si>
  <si>
    <t>ADOLFINA SAETBATAN</t>
  </si>
  <si>
    <t>082235007650</t>
  </si>
  <si>
    <t>https://drive.google.com/open?id=14pUpx9Er-7RLYEssZ4dlTDGPPkjpA5AZ</t>
  </si>
  <si>
    <t>Cintami hamba ora</t>
  </si>
  <si>
    <t>081239809778</t>
  </si>
  <si>
    <t>https://drive.google.com/open?id=1laWkeaCCVTBcLOoEWNoEGc0BqdYHR-Fq</t>
  </si>
  <si>
    <t>Yohanis kandi</t>
  </si>
  <si>
    <t>082146264286</t>
  </si>
  <si>
    <t>https://drive.google.com/open?id=1OPXQZgvcF_r3oMm0oS91ncaXMufCsvdf</t>
  </si>
  <si>
    <t>Angriani taru bani</t>
  </si>
  <si>
    <t>055339209708</t>
  </si>
  <si>
    <t>https://drive.google.com/open?id=1GFEJ2axVEFI2kSQLLpebp-V6bI08riB4</t>
  </si>
  <si>
    <t>Margaretha bili</t>
  </si>
  <si>
    <t>https://drive.google.com/open?id=1MfaRZoQsh4m7ZLrUcofuD4-KfYPSHFAh</t>
  </si>
  <si>
    <t>Stepanus ratu coreh</t>
  </si>
  <si>
    <t>081239870599</t>
  </si>
  <si>
    <t>https://drive.google.com/open?id=1Y51ZALk_NI-ilirtG92RVhfSFHoXBUIl</t>
  </si>
  <si>
    <t>EDVRIDIATNYA EDRATA TOMSI MEHA</t>
  </si>
  <si>
    <t>081346265292</t>
  </si>
  <si>
    <t>https://drive.google.com/open?id=1gW0qTOdp-fCpBw3j-dfFs-ECLkadz6Gc</t>
  </si>
  <si>
    <t>Noviana naihati</t>
  </si>
  <si>
    <t>085361679809</t>
  </si>
  <si>
    <t>https://drive.google.com/open?id=1O5jAz59JFMv5pF5PZTC4BqPwUoGVaYuW</t>
  </si>
  <si>
    <t xml:space="preserve">CLARTYA DELACONSITA ADJA </t>
  </si>
  <si>
    <t>https://drive.google.com/open?id=1Napeoa-Z2Z7ZFFkjIyZEuBwE3IV1gZrk</t>
  </si>
  <si>
    <t>IMELDA WAINGU BELLA</t>
  </si>
  <si>
    <t>085333505539</t>
  </si>
  <si>
    <t>https://drive.google.com/open?id=1nE97LoYPpRt57Y1eWdKMEGSEaIKNbIhf</t>
  </si>
  <si>
    <t>Karan petrus sinlaeloe</t>
  </si>
  <si>
    <t>https://drive.google.com/open?id=1sAe_7pU8zFMMBQAWabWo89ChOvBe4X4J</t>
  </si>
  <si>
    <t>Yulita Tafin</t>
  </si>
  <si>
    <t>081382558185</t>
  </si>
  <si>
    <t>Lapak RB</t>
  </si>
  <si>
    <t>https://drive.google.com/open?id=1mzi_Snt7vJqwtUjjZWPAa74hVzKynk_A</t>
  </si>
  <si>
    <t>Yuni Valentin Ndun</t>
  </si>
  <si>
    <t>087752462943</t>
  </si>
  <si>
    <t>https://drive.google.com/open?id=19YilEWuizgGsEtTonrFaqvcTv84-AB8w</t>
  </si>
  <si>
    <t>Yusni laia</t>
  </si>
  <si>
    <t>082349529867</t>
  </si>
  <si>
    <t>https://drive.google.com/open?id=1uie_1rfCh7RX5s_Qc1H8aEvZP4WiBoHi</t>
  </si>
  <si>
    <t>Gabriel david sado</t>
  </si>
  <si>
    <t>https://drive.google.com/open?id=1WALqIS0lYjYHp8iOLFimOQTMlxQ00MxO</t>
  </si>
  <si>
    <t>Timotius sonbai</t>
  </si>
  <si>
    <t>081330994738</t>
  </si>
  <si>
    <t>https://drive.google.com/open?id=1nTWLw61tipPMZaLGt6cGEIQoIbSC6V2I</t>
  </si>
  <si>
    <t>ADRIANUS ULU</t>
  </si>
  <si>
    <t>082177498554</t>
  </si>
  <si>
    <t>https://drive.google.com/open?id=10ynjxhzerzCsfzJF72-RYUJ9o6p3TzQG</t>
  </si>
  <si>
    <t>CHOIRUNISA ILHAM</t>
  </si>
  <si>
    <t>https://drive.google.com/open?id=1KTPB02r9AQq9M5hq8-BGGbKev6LSqLew</t>
  </si>
  <si>
    <t xml:space="preserve">Maria Jebe Kolin </t>
  </si>
  <si>
    <t>082216363531</t>
  </si>
  <si>
    <t>https://drive.google.com/open?id=15R-JQ_Cz3sCn1O2ENhmzELm1A0j4VcsB</t>
  </si>
  <si>
    <t>Welcorda stefly susang</t>
  </si>
  <si>
    <t>081238764012</t>
  </si>
  <si>
    <t>https://drive.google.com/open?id=1-IsDI-e8Zhv44ESSniWqOcFntOh8eEFX</t>
  </si>
  <si>
    <t>Yosina aunsuni</t>
  </si>
  <si>
    <t>082341480103</t>
  </si>
  <si>
    <t>https://drive.google.com/open?id=1qdklkq5w1LAp8Nqz8Rl8RrtAxRe4iIpb</t>
  </si>
  <si>
    <t>IRENE ANGGRENI REHI</t>
  </si>
  <si>
    <t>081252701623</t>
  </si>
  <si>
    <t>https://drive.google.com/open?id=1ymWsFyDs__v81kFVNnLDktXMuA3c6DvN</t>
  </si>
  <si>
    <t>AGUSTINUS MEI</t>
  </si>
  <si>
    <t>+6285165060566</t>
  </si>
  <si>
    <t>pekerja paru waktu</t>
  </si>
  <si>
    <t>tidak disetujui</t>
  </si>
  <si>
    <t>https://drive.google.com/open?id=1abLD0AO6pc-1OqHxKv3koZPpPZ4bYdXC</t>
  </si>
  <si>
    <t xml:space="preserve"> Briliana Mbadih</t>
  </si>
  <si>
    <t>085237887340</t>
  </si>
  <si>
    <t>https://drive.google.com/open?id=1RFV35Xs_L4IMDga3y9xRRq6FvT0GHONY</t>
  </si>
  <si>
    <t xml:space="preserve">Gaudensia Yuliana Mbere </t>
  </si>
  <si>
    <t>081237889089</t>
  </si>
  <si>
    <t>https://drive.google.com/open?id=1ah-6gnEss78pAlFYG9VVVfGr7sR61HJk</t>
  </si>
  <si>
    <t>Sisilia Putri Novelin</t>
  </si>
  <si>
    <t>0821536171516</t>
  </si>
  <si>
    <t>https://drive.google.com/open?id=1g7KvecicoCkIuIFQqewuNY1hE9vkWmqY</t>
  </si>
  <si>
    <t>YOSE NAZ</t>
  </si>
  <si>
    <t>+6281337883664</t>
  </si>
  <si>
    <t>https://drive.google.com/open?id=1tOjDn8xHharX5LQqhW-3D9isqqHG7StC</t>
  </si>
  <si>
    <t>SINTA TADAK</t>
  </si>
  <si>
    <t>087761182514</t>
  </si>
  <si>
    <t>https://drive.google.com/open?id=1cEuMze7Q9roDrV-zdSJISr3a6bL2IRju</t>
  </si>
  <si>
    <t>Fuizia ramlik</t>
  </si>
  <si>
    <t>081237900288</t>
  </si>
  <si>
    <t>Pengusaha ayam geprek</t>
  </si>
  <si>
    <t>https://drive.google.com/open?id=1FtNvB0Ncmi0LrnN6us2EAK6q9PZvKWZa</t>
  </si>
  <si>
    <t xml:space="preserve">Leni kahi ana lodu </t>
  </si>
  <si>
    <t>081225268996</t>
  </si>
  <si>
    <t>https://drive.google.com/open?id=137u64k-xOHL5xenD8KDp6pO2BFDYgr4Z</t>
  </si>
  <si>
    <t>Muhaji djafar</t>
  </si>
  <si>
    <t>081338408497</t>
  </si>
  <si>
    <t>https://drive.google.com/open?id=1bn2v-N84Var6qPiE1uUz5Q8XN3XuAiSE</t>
  </si>
  <si>
    <t>Aldin wada betta</t>
  </si>
  <si>
    <t>082342239411</t>
  </si>
  <si>
    <t>https://drive.google.com/open?id=1QbHE_AsMMaBlIljPeCT-Ft6B-drqydQe</t>
  </si>
  <si>
    <t>Maria Novita ervinne mone</t>
  </si>
  <si>
    <t>081216312976</t>
  </si>
  <si>
    <t>https://drive.google.com/open?id=1pXkVxU0tkJYtnv_8SA260KoBRUrO3ipw</t>
  </si>
  <si>
    <t>MARIA MELAN ANANCE BILI</t>
  </si>
  <si>
    <t>Salma Tolahi</t>
  </si>
  <si>
    <t>082236455100</t>
  </si>
  <si>
    <t>https://drive.google.com/open?id=1ru9LegSLsyPFR921NnwinWQG-oBaYG9j</t>
  </si>
  <si>
    <t>SEM PELI DOLU</t>
  </si>
  <si>
    <t>081237784615</t>
  </si>
  <si>
    <t>https://drive.google.com/open?id=1TKc8_WJ5GI9s30kb-B7ct30K9i7JkLBV</t>
  </si>
  <si>
    <t>Elisabet Lasitania kau</t>
  </si>
  <si>
    <t>082196659945</t>
  </si>
  <si>
    <t>https://drive.google.com/open?id=1AhMY1zapdXQhW5qJPBlZs5GiEkpQWltX</t>
  </si>
  <si>
    <t>YULIANA TAGGO NINI</t>
  </si>
  <si>
    <t>082139858121</t>
  </si>
  <si>
    <t>https://drive.google.com/open?id=1qWNMX0Q-VgbwMFAJtOAUOimC4Lsycaal</t>
  </si>
  <si>
    <t>NOFRIAN ANDRIAN MBAU</t>
  </si>
  <si>
    <t>082128021200</t>
  </si>
  <si>
    <t>https://drive.google.com/open?id=1fAnt2bB0hpsRbmVm9c3HsPQ3EghHESoH</t>
  </si>
  <si>
    <t>082145023317</t>
  </si>
  <si>
    <t>https://drive.google.com/open?id=1RQJJDOSrAnG2Bt9X_fgjItbyVu3H36hy</t>
  </si>
  <si>
    <t>Efradina marselina bianome</t>
  </si>
  <si>
    <t>0823411650502</t>
  </si>
  <si>
    <t>https://drive.google.com/open?id=1c34fGhIsxE6Dq0viZqhRa9Ektb65nhg1</t>
  </si>
  <si>
    <t>Arista samulina Berimau</t>
  </si>
  <si>
    <t>087840695183</t>
  </si>
  <si>
    <t>https://drive.google.com/open?id=1PLRbu8hW07mberQ7X-8Yx0NrlU2CMALR</t>
  </si>
  <si>
    <t xml:space="preserve">Elen Gele Mehe </t>
  </si>
  <si>
    <t>085137359293</t>
  </si>
  <si>
    <t>https://drive.google.com/open?id=1_FQmbvBNiJHfm-cWIL8c-xKXPTj2M-QU</t>
  </si>
  <si>
    <t xml:space="preserve">Aprianus Aoetpah </t>
  </si>
  <si>
    <t>081246215508</t>
  </si>
  <si>
    <t>https://drive.google.com/open?id=14wsW7xmiOwQgvAvQ1mErVW-P_Zhz9BRl</t>
  </si>
  <si>
    <t>Adrianus umbu zasa</t>
  </si>
  <si>
    <t>082266693350</t>
  </si>
  <si>
    <t>https://drive.google.com/open?id=1wGrct-d_ElIuejjaVWrIPpD1tpNb4T_d</t>
  </si>
  <si>
    <t>Savio Kotsa Mago</t>
  </si>
  <si>
    <t>081998541411</t>
  </si>
  <si>
    <t>https://drive.google.com/open?id=1qfaD4rvVMBsGRcrIWr2RHrPiuODsQAyX</t>
  </si>
  <si>
    <t>Orin Dysan Bani</t>
  </si>
  <si>
    <t>081246408962</t>
  </si>
  <si>
    <t>Pegawai honorer</t>
  </si>
  <si>
    <t>https://drive.google.com/open?id=1F5EBHnvfHlklIGMLBvQFoqwW05to6JNo</t>
  </si>
  <si>
    <t>Marla yuliana sarci indii</t>
  </si>
  <si>
    <t>081339571600</t>
  </si>
  <si>
    <t>https://drive.google.com/open?id=1s7TDpf4t0PXhmvBec0Hnfv7xjqaMTuCV</t>
  </si>
  <si>
    <t>Yantriana anunut</t>
  </si>
  <si>
    <t>087740048084</t>
  </si>
  <si>
    <t>https://drive.google.com/open?id=1vR4anxPsTTHSNpEbt0mW37NuxM29dRXd</t>
  </si>
  <si>
    <t>Yeremias siki</t>
  </si>
  <si>
    <t>081236772196</t>
  </si>
  <si>
    <t>https://drive.google.com/open?id=10RJZo2Fb_zvXeQ0FjO0vuS52XlPDuwVA</t>
  </si>
  <si>
    <t>HARIS HABA LAGU</t>
  </si>
  <si>
    <t>081337016869</t>
  </si>
  <si>
    <t>https://drive.google.com/open?id=1WhQwjBolxv1P3-iZwxwNSKXLp6Zxb3aI</t>
  </si>
  <si>
    <t>Venisia fridolina fallo</t>
  </si>
  <si>
    <t>082339238414</t>
  </si>
  <si>
    <t>https://drive.google.com/open?id=1KPemmwjV-hbO_Sjua6xgIdqn1qz521yf</t>
  </si>
  <si>
    <t>Metriana suni</t>
  </si>
  <si>
    <t>085333445541</t>
  </si>
  <si>
    <t>https://drive.google.com/open?id=147A3i8l0b5xGL6iG338i9WAJH7_dmuzL</t>
  </si>
  <si>
    <t>Yohanes neno</t>
  </si>
  <si>
    <t>081236097144</t>
  </si>
  <si>
    <t>https://drive.google.com/open?id=1W7JVCNN3y7ORrCkJQJvZHQ7knfSDU_kK</t>
  </si>
  <si>
    <t>Fredi de santo abi</t>
  </si>
  <si>
    <t>081339255994</t>
  </si>
  <si>
    <t>https://drive.google.com/open?id=1CzWN7W6XpMj3MzVRtYu4Iib6jdGNXksB</t>
  </si>
  <si>
    <t>HENDRIK MUNDE</t>
  </si>
  <si>
    <t>081337387669</t>
  </si>
  <si>
    <t>https://drive.google.com/open?id=1ZfkeU3z-4nDGbjd566Ttlo9i-CfS3Fp0</t>
  </si>
  <si>
    <t>Rehan luckyandro kedoh</t>
  </si>
  <si>
    <t>https://drive.google.com/open?id=1OQOo4CxFbyRNvnrIKIvPiwdjaNHP_r8e</t>
  </si>
  <si>
    <t>Siti Fatimah</t>
  </si>
  <si>
    <t>082146003302</t>
  </si>
  <si>
    <t>https://drive.google.com/open?id=15gDZo2ZxuAwgtdXbnL4WCKyqO9ah4lnz</t>
  </si>
  <si>
    <t>Erni Febriani Amalo</t>
  </si>
  <si>
    <t>081338795882</t>
  </si>
  <si>
    <t>https://drive.google.com/open?id=1KIU3W_VGWAzezqtBH2vOkfn1RxectMWO</t>
  </si>
  <si>
    <t xml:space="preserve">MARIA ERNAWATI KA'AUNI </t>
  </si>
  <si>
    <t>082118409427</t>
  </si>
  <si>
    <t>https://drive.google.com/open?id=1xvtyoVBJpbi9P-Kz8lWwYC8oaoK1GZUC</t>
  </si>
  <si>
    <t>Santike lau kallang</t>
  </si>
  <si>
    <t>https://drive.google.com/open?id=13Ac4TSojQi3Bh8LdU2nexMSM29lyAHTK</t>
  </si>
  <si>
    <t>delani lenora sopacua</t>
  </si>
  <si>
    <t>+6281953817795</t>
  </si>
  <si>
    <t>freelance</t>
  </si>
  <si>
    <t>https://drive.google.com/open?id=12X1ks2Ks0VWTmmaHNlw4sJFksy-tMsoY</t>
  </si>
  <si>
    <t>Aqrisilia Tasya Besin Bria</t>
  </si>
  <si>
    <t>085338124721</t>
  </si>
  <si>
    <t>https://drive.google.com/open?id=1mCrm6VxtFa3rsTt03MIUDmGv_WD-R7rs</t>
  </si>
  <si>
    <t>MARTHA FERDERIKA NALUK</t>
  </si>
  <si>
    <t>087727013782</t>
  </si>
  <si>
    <t>https://drive.google.com/open?id=1r4W3Mh5GoBlRouQ4XbCSFQbkz7JpqTRY</t>
  </si>
  <si>
    <t>jurin jelsa naluk</t>
  </si>
  <si>
    <t>085920050682</t>
  </si>
  <si>
    <t>frelance</t>
  </si>
  <si>
    <t>https://drive.google.com/open?id=1GJEGGydGqzvxxRX2-QfPtRtQV9ISe4EB</t>
  </si>
  <si>
    <t>Dikson benu</t>
  </si>
  <si>
    <t>https://drive.google.com/open?id=1mpY0E5HvSznvfzn2Ytb1nfCgX_Klp3jB</t>
  </si>
  <si>
    <t>Choirunisa ilham</t>
  </si>
  <si>
    <t>081260672161</t>
  </si>
  <si>
    <t>https://drive.google.com/open?id=1VJM46XMa9ka152CiBY8-I1UCvq_lhMDV</t>
  </si>
  <si>
    <t xml:space="preserve">Jon Frans Masus </t>
  </si>
  <si>
    <t>081285650810</t>
  </si>
  <si>
    <t>https://drive.google.com/open?id=11nnWT_gC9Zk2o0q60_leigXgHIzesxaT</t>
  </si>
  <si>
    <t>Eppy Tripifa Aby</t>
  </si>
  <si>
    <t>081353435499</t>
  </si>
  <si>
    <t>https://drive.google.com/open?id=1JB8VN81ajHInNp8W5fpIizn4xzesln2K</t>
  </si>
  <si>
    <t>Abdul majid bz panji</t>
  </si>
  <si>
    <t>082340297545</t>
  </si>
  <si>
    <t>https://drive.google.com/open?id=1RWRp6IyMAO-YHVIG-05zqGiEev27_zS_</t>
  </si>
  <si>
    <t>Yemsi Rosni Damayanti Namah</t>
  </si>
  <si>
    <t>https://drive.google.com/open?id=1PepMtPJaQ4HdwWClrYIyyXj-8W6e9v8J</t>
  </si>
  <si>
    <t>Maklon maakh</t>
  </si>
  <si>
    <t>085339172478</t>
  </si>
  <si>
    <t>https://drive.google.com/open?id=16RfOmmtMZaDVIz3_cI9fWv4IAVE3Gd_D</t>
  </si>
  <si>
    <t>jefta salomo bessie</t>
  </si>
  <si>
    <t>081237458925</t>
  </si>
  <si>
    <t>wiraswata</t>
  </si>
  <si>
    <t>https://drive.google.com/open?id=1ydTwy5d5yON96LFgG_xWtr8BgpPr9UqY</t>
  </si>
  <si>
    <t>NIKSON UKAT</t>
  </si>
  <si>
    <t>081329572913</t>
  </si>
  <si>
    <t>Freelance (Supir)</t>
  </si>
  <si>
    <t>https://drive.google.com/open?id=1tNe2C-cBhT5mB8tazXEa0Gre9i4CAwqc</t>
  </si>
  <si>
    <t>Aldha Aryanti Enga</t>
  </si>
  <si>
    <t>085191414547</t>
  </si>
  <si>
    <t>https://drive.google.com/open?id=1SBwg2EDI0AZIxqIZK4oSHGIeFYFvrgc-</t>
  </si>
  <si>
    <t>Aris Mangu Njalapati</t>
  </si>
  <si>
    <t>085238636960</t>
  </si>
  <si>
    <t>https://drive.google.com/open?id=1aolqrXI31_nzEjdobRaBZEj1Tc3auRtd</t>
  </si>
  <si>
    <t>Andreas nuuf</t>
  </si>
  <si>
    <t>085399158592</t>
  </si>
  <si>
    <t>https://drive.google.com/open?id=1G2QCP0bbPfxZT_rmQ4zS93IIOGO9jzjc</t>
  </si>
  <si>
    <t>Januarius mus</t>
  </si>
  <si>
    <t>081399975426</t>
  </si>
  <si>
    <t>https://drive.google.com/open?id=1ZWbi3cM_OoYNOBqJQPDQ6v1W3Ow_hB7u</t>
  </si>
  <si>
    <t>Fransiskus sonbay</t>
  </si>
  <si>
    <t>081339419562</t>
  </si>
  <si>
    <t>https://drive.google.com/open?id=1DQRNyd7sbt8uDwk-thEDHtWaTLu16QEf</t>
  </si>
  <si>
    <t>Yordan Pailak</t>
  </si>
  <si>
    <t>082145166857</t>
  </si>
  <si>
    <t>https://drive.google.com/open?id=1QRQqs9xqjpogG6SEAIRMZOgqNymP2cFd</t>
  </si>
  <si>
    <t xml:space="preserve">Yeni Irayati Octavianus </t>
  </si>
  <si>
    <t>082266780573</t>
  </si>
  <si>
    <t>Online shop pakaian dan makanan</t>
  </si>
  <si>
    <t>https://drive.google.com/open?id=1fuSfZjoq3NZ-NAHp6bCHrEc6wYyqvj8O</t>
  </si>
  <si>
    <t>Dominggus marthen filip pah</t>
  </si>
  <si>
    <t>082351147148</t>
  </si>
  <si>
    <t>Sopir</t>
  </si>
  <si>
    <t>https://drive.google.com/open?id=1LHXuKRt0RmEjUVlKYKyR0-2k7VXb1pdb</t>
  </si>
  <si>
    <t>Edizza La Vista Aha</t>
  </si>
  <si>
    <t>081818205616</t>
  </si>
  <si>
    <t>https://drive.google.com/open?id=1e8TA66tUY7YprOLnGjSRo7hg1IQIuCGI</t>
  </si>
  <si>
    <t>Rambu</t>
  </si>
  <si>
    <t>https://drive.google.com/open?id=1u_TUPo1Y7SUe1GzvKVBjjwO-_7EvDZnj</t>
  </si>
  <si>
    <t>ALEXANDER RETANG KABORANG</t>
  </si>
  <si>
    <t>081246421747</t>
  </si>
  <si>
    <t>https://drive.google.com/open?id=1bngagE9Cr6e96V06O-FafbVL8gTQKwjb</t>
  </si>
  <si>
    <t>DEBY CHRISTIN</t>
  </si>
  <si>
    <t>082145950283</t>
  </si>
  <si>
    <t>Ada usaha di tunau</t>
  </si>
  <si>
    <t>https://drive.google.com/open?id=1hbfxGnYkE19wuh9naY48AviJIE0ainoA</t>
  </si>
  <si>
    <t>FRIDA ANITA MUSKANAN</t>
  </si>
  <si>
    <t>085215251071</t>
  </si>
  <si>
    <t>https://drive.google.com/open?id=1DPAaYlT6-5V71NtMsn2Mu-kzDpsTsChl</t>
  </si>
  <si>
    <t>Paskalia bete</t>
  </si>
  <si>
    <t>081236464931</t>
  </si>
  <si>
    <t>https://drive.google.com/open?id=1qvu9-x4pwKWl1Ise901NEE45LxKOCzVW</t>
  </si>
  <si>
    <t>Desi Suek</t>
  </si>
  <si>
    <t>085338325922</t>
  </si>
  <si>
    <t>https://drive.google.com/open?id=1H9tTWSmIFnI4Np7EhGqdnDp2fCwVtP-J</t>
  </si>
  <si>
    <t>Margaretha Nertje f lapudooh</t>
  </si>
  <si>
    <t>https://drive.google.com/open?id=1kT8zR_bLzdoua4mmMmuE8sh-PH6Qq8E2</t>
  </si>
  <si>
    <t>Fransiskus Sonbay</t>
  </si>
  <si>
    <t>082322183003</t>
  </si>
  <si>
    <t>Berkebun dan Bisnis ternak</t>
  </si>
  <si>
    <t>https://drive.google.com/open?id=1j6itcemKYCb3VOgjL11ZxF105TbIBun8</t>
  </si>
  <si>
    <t>Yohanes Niron</t>
  </si>
  <si>
    <t>081338673127</t>
  </si>
  <si>
    <t>https://drive.google.com/open?id=1ExF7xY-MCbEJIfZjNjDLvkDnsV9mSTKy</t>
  </si>
  <si>
    <t>Yosep manek</t>
  </si>
  <si>
    <t>https://drive.google.com/open?id=1Riz_z2jIuxwrcCoX6H6wOlBrZwkhy8NS</t>
  </si>
  <si>
    <t>Nordi ferdianus malelak</t>
  </si>
  <si>
    <t>https://drive.google.com/open?id=1ApTIxs7F8Ru5cDDIqA6JrOWo_AI0hfoU</t>
  </si>
  <si>
    <t>Margerince Yohana mengngi</t>
  </si>
  <si>
    <t>085137370982</t>
  </si>
  <si>
    <t>https://drive.google.com/open?id=1T0z1_XjCRIot4U6wNfEpD78D5WC4BBRk</t>
  </si>
  <si>
    <t>Ruth bani</t>
  </si>
  <si>
    <t>https://drive.google.com/open?id=18_TkZT_6yU0r6dSUkCt-VWNkjefVJg9m</t>
  </si>
  <si>
    <t>YEFTA YAKOBUS</t>
  </si>
  <si>
    <t>081246122025</t>
  </si>
  <si>
    <t>https://drive.google.com/open?id=1XWvuKZ7RkxiAwvpkbhr68814qtIP2Ygb</t>
  </si>
  <si>
    <t>Robinson kore</t>
  </si>
  <si>
    <t>081246187563</t>
  </si>
  <si>
    <t>https://drive.google.com/open?id=13YrmKbg6CqZgN_ZQMARZCS4XqOgiKqNp</t>
  </si>
  <si>
    <t>Yordan nganga sentanu liman</t>
  </si>
  <si>
    <t>085847318177</t>
  </si>
  <si>
    <t>https://drive.google.com/open?id=1nfksfOwnwGMkTfv31gHVmOwe83-3Bd3e</t>
  </si>
  <si>
    <t>Hermanus here wadu</t>
  </si>
  <si>
    <t>081239153058</t>
  </si>
  <si>
    <t>https://drive.google.com/open?id=1QbF2NRuslNrjAculaG9cmy9neJckJrwc</t>
  </si>
  <si>
    <t>Mbora hurung</t>
  </si>
  <si>
    <t>089518142575</t>
  </si>
  <si>
    <t>https://drive.google.com/open?id=1okmGdQhimmQJvL3Q4TI1INNOqRTEJww-</t>
  </si>
  <si>
    <t>Yulius Liunokas</t>
  </si>
  <si>
    <t>081336006408</t>
  </si>
  <si>
    <t>https://drive.google.com/open?id=1CpvrnthTwEdhIvYAO0zy-GCubjkRlXnl</t>
  </si>
  <si>
    <t>marthini septiani fanggi</t>
  </si>
  <si>
    <t>081235661258</t>
  </si>
  <si>
    <t>https://drive.google.com/open?id=1u93pawfuYiNJYSrCyMxHQgNeKTnaG2pw</t>
  </si>
  <si>
    <t>Fransiskus De rosari</t>
  </si>
  <si>
    <t>081338226505</t>
  </si>
  <si>
    <t>https://drive.google.com/open?id=1QsMoNRbLXMDbvckeIFFEqVhX0IKJg2R7</t>
  </si>
  <si>
    <t>Fatya  Septi Roswida</t>
  </si>
  <si>
    <t>081335489954</t>
  </si>
  <si>
    <t>https://drive.google.com/open?id=1Ihkp2qtNiKH9lzV53Syay14cphQRT7oV</t>
  </si>
  <si>
    <t xml:space="preserve">Semly Nitanel Alunat </t>
  </si>
  <si>
    <t>082211234643</t>
  </si>
  <si>
    <t xml:space="preserve">Usaha rental </t>
  </si>
  <si>
    <t>https://drive.google.com/open?id=15AHFmymLPmboa1tKu7USv-PDztE-bS6n</t>
  </si>
  <si>
    <t>Olsri brivinia</t>
  </si>
  <si>
    <t>087851344679</t>
  </si>
  <si>
    <t>https://drive.google.com/open?id=1Y57XKDdy0UrYkfwTQ3ajuDDG2p1CmSM6</t>
  </si>
  <si>
    <t xml:space="preserve">Mayaria Merlina Gerimu </t>
  </si>
  <si>
    <t>081338897954</t>
  </si>
  <si>
    <t>https://drive.google.com/open?id=1zCalL1pD83NJ-SmePIjjNo8TMkAEGE3U</t>
  </si>
  <si>
    <t>YULIANA KORE</t>
  </si>
  <si>
    <t>081246258412</t>
  </si>
  <si>
    <t>https://drive.google.com/open?id=1JIAUwQmv4pyVGQykTVUkK8bGfcRVL0es</t>
  </si>
  <si>
    <t>Ruth Hunggu Ndami. S, pd</t>
  </si>
  <si>
    <t>081237220148</t>
  </si>
  <si>
    <t>https://drive.google.com/open?id=1ofMJCK527EubO5RiEfODuuIGR8D6BDsy</t>
  </si>
  <si>
    <t xml:space="preserve">Frans nolo bulu </t>
  </si>
  <si>
    <t>082339085696</t>
  </si>
  <si>
    <t>https://drive.google.com/open?id=13wjK0Onquth7FvwLSq5FvwGwbfcvcd-a</t>
  </si>
  <si>
    <t>Paulina lopung</t>
  </si>
  <si>
    <t>+6281383461918</t>
  </si>
  <si>
    <t>https://drive.google.com/open?id=12JqRB2g_llCEOatTJc4F2dW-c5SUPAVV</t>
  </si>
  <si>
    <t>Fitriani</t>
  </si>
  <si>
    <t>085172402650</t>
  </si>
  <si>
    <t>https://drive.google.com/open?id=10doB0PnY4BULiSFOSs-ttKpkaRBl5_0y</t>
  </si>
  <si>
    <t>JULIANUS MAUBOY</t>
  </si>
  <si>
    <t>081353718945</t>
  </si>
  <si>
    <t>https://drive.google.com/open?id=1nwLk8v_B6KSI2Zy3_Pu6yLboBLclV4B7</t>
  </si>
  <si>
    <t>MONA NUBATONIS</t>
  </si>
  <si>
    <t>https://drive.google.com/open?id=1bOnR7fKayXYfaYsol1cYurSs3cdGGAfT</t>
  </si>
  <si>
    <t>Sesilia rouna kaka</t>
  </si>
  <si>
    <t>081291144915</t>
  </si>
  <si>
    <t>https://drive.google.com/open?id=1H2RwVnpfee31SKYomjRPApkjOehKf8pE</t>
  </si>
  <si>
    <t>Umbu karay raja muda</t>
  </si>
  <si>
    <t>081356456027</t>
  </si>
  <si>
    <t>Pendaftaran belum disetujui</t>
  </si>
  <si>
    <t>https://drive.google.com/open?id=1cZZnV2Rk9Fh6tUugcgkRWNvOP3P-zIVI</t>
  </si>
  <si>
    <t>Nikodemus Anin</t>
  </si>
  <si>
    <t>https://drive.google.com/open?id=1hFpbN_YkeXFcs2ch-bvwlWcFj_YV6uHE</t>
  </si>
  <si>
    <t>Mariana ina</t>
  </si>
  <si>
    <t>https://drive.google.com/open?id=1-eCwGODvcL1QlkyaDNVtgo51M70XkbbM</t>
  </si>
  <si>
    <t>Pdt  octaviana mahu</t>
  </si>
  <si>
    <t>082119413014</t>
  </si>
  <si>
    <t>https://drive.google.com/open?id=1Db87fViP48ijpNlbUusNDuQ5mEuUjYUj</t>
  </si>
  <si>
    <t>Dini</t>
  </si>
  <si>
    <t>081339630037</t>
  </si>
  <si>
    <t>https://drive.google.com/open?id=124hvyQZZMwrwShluAfNDs3lldMfoAeZE</t>
  </si>
  <si>
    <t>Nonce halena amtiran</t>
  </si>
  <si>
    <t>0895405366751</t>
  </si>
  <si>
    <t>https://drive.google.com/open?id=1MHkeYF0Y_Xhf_S9YsceWXND40BLhSeC4</t>
  </si>
  <si>
    <t>SUKMAWATIN</t>
  </si>
  <si>
    <t>085338208996</t>
  </si>
  <si>
    <t>https://drive.google.com/open?id=1lDaTMWBUy-utNY_3rF-mCKmilug-uQhv</t>
  </si>
  <si>
    <t>Marni Kacia Nomleni</t>
  </si>
  <si>
    <t>082145195849</t>
  </si>
  <si>
    <t>Wiraswastas</t>
  </si>
  <si>
    <t>https://drive.google.com/open?id=1Kxd11VjEDoIkwaE95rd5ti8Cd3BvIuol</t>
  </si>
  <si>
    <t>Prima natalia usfinit</t>
  </si>
  <si>
    <t>081239919104</t>
  </si>
  <si>
    <t>https://drive.google.com/open?id=1A5GYe0r-FG2qafqPGdMePLnUNMtqnkJf</t>
  </si>
  <si>
    <t>Maria yesni anelci</t>
  </si>
  <si>
    <t>081365047754</t>
  </si>
  <si>
    <t>https://drive.google.com/open?id=1-nlUB_J67JQDULB8oZVd7GREGMkI0DqU</t>
  </si>
  <si>
    <t>LIDIA RORU</t>
  </si>
  <si>
    <t>081399329146</t>
  </si>
  <si>
    <t>https://drive.google.com/open?id=1DtAO9Aro8tLy94ugJv3-4FoX0bXvodBn</t>
  </si>
  <si>
    <t>Editha ob e</t>
  </si>
  <si>
    <t>082143831782</t>
  </si>
  <si>
    <t>https://drive.google.com/open?id=1tc9ydpD7pzC_O7l5u1WM1JIifOEVu3bx</t>
  </si>
  <si>
    <t>Olsri brivinia tiumlafu</t>
  </si>
  <si>
    <t>https://drive.google.com/open?id=1T6KiYqYUDXST-KozhWb_umlbbKllvKM8</t>
  </si>
  <si>
    <t>Marchelo steave immanuel daly</t>
  </si>
  <si>
    <t>089502146375</t>
  </si>
  <si>
    <t>https://drive.google.com/open?id=1hnFtUsldjbnDL5H3uHdLN3TpL0YKJpMx</t>
  </si>
  <si>
    <t>Sarifudin A Abdullah</t>
  </si>
  <si>
    <t>082145225726</t>
  </si>
  <si>
    <t>https://drive.google.com/open?id=130Cu6Mbj8XHSSQDNUDNFMH0F5fLQFRA0</t>
  </si>
  <si>
    <t>Nathasya junike manafe</t>
  </si>
  <si>
    <t>089520241773</t>
  </si>
  <si>
    <t>https://drive.google.com/open?id=16rdNMEziuu8d9wdV5bDUUnkJAYLvolom</t>
  </si>
  <si>
    <t>Susanti kristiani lodianty</t>
  </si>
  <si>
    <t>082144857005</t>
  </si>
  <si>
    <t>https://drive.google.com/open?id=1H6B948REwdq7tYeR6BqdKU59AEeNM7ke</t>
  </si>
  <si>
    <t>Fandi Erastisetia Pellokila</t>
  </si>
  <si>
    <t>081238955053</t>
  </si>
  <si>
    <t>https://drive.google.com/open?id=1QniKfcVjyCKmvD4JSJp-Q7a7pFLJ7O9_</t>
  </si>
  <si>
    <t>Fena Trifosa Bria</t>
  </si>
  <si>
    <t>082146017365</t>
  </si>
  <si>
    <t>https://drive.google.com/open?id=1bQZErnWhyRnwww_LZiZhcdnINwiBQ9HN</t>
  </si>
  <si>
    <t>Emanuel Gawa</t>
  </si>
  <si>
    <t>082160471648</t>
  </si>
  <si>
    <t>https://drive.google.com/open?id=1FvGIMUMJVH8xPl8mTY7ftF3omxePlxUG</t>
  </si>
  <si>
    <t>Mersy marsela lay lihu</t>
  </si>
  <si>
    <t>082340501393</t>
  </si>
  <si>
    <t>https://drive.google.com/open?id=17BL7CtYd1y51ePdff8NwGmkU32bYpiIL</t>
  </si>
  <si>
    <t>Linda betty</t>
  </si>
  <si>
    <t>081246169430</t>
  </si>
  <si>
    <t>Jaga toko</t>
  </si>
  <si>
    <t>https://drive.google.com/open?id=1uZBg4_aSqXioqY9ew-mttXjY3D4J31rf</t>
  </si>
  <si>
    <t>ORIAS OFYANUS BAAF</t>
  </si>
  <si>
    <t>081229344951</t>
  </si>
  <si>
    <t>https://drive.google.com/open?id=1cncTDjGWwXE4mbCvCuEVHKr2WX_DUcnQ</t>
  </si>
  <si>
    <t>DIANA  PADU LEBA</t>
  </si>
  <si>
    <t>082111085581</t>
  </si>
  <si>
    <t>https://drive.google.com/open?id=16vPBX6cnBSHDb0NGoYouEvj76B3A_vPl</t>
  </si>
  <si>
    <t>MEJA BITU</t>
  </si>
  <si>
    <t>081236787061</t>
  </si>
  <si>
    <t>https://drive.google.com/open?id=1OyMTymmgg1OYND9QWj4uItrqVL6wvBEh</t>
  </si>
  <si>
    <t>SATRIANSYAH</t>
  </si>
  <si>
    <t>+6281236996658</t>
  </si>
  <si>
    <t>https://drive.google.com/open?id=1xjciBZn9pjVV5PQxGh8PGOTpBW5lya7q</t>
  </si>
  <si>
    <t>Bernardus ngongk pala</t>
  </si>
  <si>
    <t>082332402142</t>
  </si>
  <si>
    <t>https://drive.google.com/open?id=1RmUZXFTCD_53FWmQOeRxUZeNYUDTTZIl</t>
  </si>
  <si>
    <t>Artom Daniel Bessy</t>
  </si>
  <si>
    <t>082340853456</t>
  </si>
  <si>
    <t>https://drive.google.com/open?id=1yKXMjqe7QayNLnZd-_7WU2hPpO6OAoB7</t>
  </si>
  <si>
    <t>KRISTINA NAIMENA</t>
  </si>
  <si>
    <t>081246642486</t>
  </si>
  <si>
    <t>https://drive.google.com/open?id=1MYvuG-uaLLSWRk4dgzKdnuYw0iX7KPhB</t>
  </si>
  <si>
    <t>https://drive.google.com/open?id=19kNyLJP3rVL0QGtjZ5LVb2ay_aiYvtFg</t>
  </si>
  <si>
    <t>Welem wora maghu</t>
  </si>
  <si>
    <t>081339087250</t>
  </si>
  <si>
    <t>https://drive.google.com/open?id=1MfvA36N5c20Ni4z7lbJn0ju6XgXK-tSj</t>
  </si>
  <si>
    <t xml:space="preserve">Jupiter </t>
  </si>
  <si>
    <t>https://drive.google.com/open?id=1C_vn1ZQKtmxJV7otmAmTLEHV2bycReZn</t>
  </si>
  <si>
    <t>Malson efendi leo</t>
  </si>
  <si>
    <t>081337700326</t>
  </si>
  <si>
    <t>Pengusaha bengkel</t>
  </si>
  <si>
    <t>https://drive.google.com/open?id=1-eo11pZ37NdVnUfhsaj_s7Ca7lxJ410B</t>
  </si>
  <si>
    <t>RAFAIL ROUTA PELI DOLI</t>
  </si>
  <si>
    <t>081215365436</t>
  </si>
  <si>
    <t>https://drive.google.com/open?id=1tCR2XUjqC2WHZzq4DK2eUAgdyA_OQWuO</t>
  </si>
  <si>
    <t>Erniyati Kapodo</t>
  </si>
  <si>
    <t>081337367170</t>
  </si>
  <si>
    <t>https://drive.google.com/open?id=1I8a96a99X5sVETWDJkrjDtYZgCKGAbw3</t>
  </si>
  <si>
    <t>Imelda roru kii</t>
  </si>
  <si>
    <t>081282587358</t>
  </si>
  <si>
    <t>https://drive.google.com/open?id=1lhsfAfRXXUSVSyET7GHG5Bxdthjv7NpC</t>
  </si>
  <si>
    <t>Viktor umbu mawu</t>
  </si>
  <si>
    <t>081339091223</t>
  </si>
  <si>
    <t>https://drive.google.com/open?id=1laYm6nwHFvmfX4yUcqcIBFpmWW-xO0xf</t>
  </si>
  <si>
    <t>Yanti rambu mbombu</t>
  </si>
  <si>
    <t>082339911787</t>
  </si>
  <si>
    <t>https://drive.google.com/open?id=1uXvp6r388BAFa59PpfYLbJZ6duIOJpNH</t>
  </si>
  <si>
    <t>Ferina Ratnasari Mau</t>
  </si>
  <si>
    <t>082125410564</t>
  </si>
  <si>
    <t>https://drive.google.com/open?id=119vMby1P69ZoaCOe7psC8dD0w8TUKXlF</t>
  </si>
  <si>
    <t>Irawan hamwora</t>
  </si>
  <si>
    <t>081246241869</t>
  </si>
  <si>
    <t>https://drive.google.com/open?id=1mM4_n2gXLiSxygQeb38yc11nF_PWbuOV</t>
  </si>
  <si>
    <t>Antonius teti</t>
  </si>
  <si>
    <t>082144306648</t>
  </si>
  <si>
    <t>https://drive.google.com/open?id=1UedRPpIIYbNA4XQBCePS-36Lf5Ze7Cpd</t>
  </si>
  <si>
    <t>Kristina Potranilla</t>
  </si>
  <si>
    <t>https://drive.google.com/open?id=11HqUeakzGn02B1twOKW2ix4L9DIVhWmt</t>
  </si>
  <si>
    <t>Charles Malelak</t>
  </si>
  <si>
    <t>082142419985</t>
  </si>
  <si>
    <t>https://drive.google.com/open?id=1ajOk7L9uYA-yLNCRzPeFlv8k99f43OIv</t>
  </si>
  <si>
    <t>Noven mali ngara</t>
  </si>
  <si>
    <t>082325491163</t>
  </si>
  <si>
    <t>https://drive.google.com/open?id=1uASMJUfgbr-IUMdzm4f00YdbJjZwyAgd</t>
  </si>
  <si>
    <t>Marteda mataufue</t>
  </si>
  <si>
    <t>081338465008</t>
  </si>
  <si>
    <t>https://drive.google.com/open?id=1JMfylOZGJ-zqDmZGTBcpG-WZPFGax2bo</t>
  </si>
  <si>
    <t>maselaus lete</t>
  </si>
  <si>
    <t>+6281278398803</t>
  </si>
  <si>
    <t>porli/tni</t>
  </si>
  <si>
    <t>https://drive.google.com/open?id=1wlUoXhJRnqyv1mgoYLdEEpm1J5-Q01wm</t>
  </si>
  <si>
    <t>Febi lasfeto</t>
  </si>
  <si>
    <t>082341482461</t>
  </si>
  <si>
    <t>Usaha kos kosan</t>
  </si>
  <si>
    <t>https://drive.google.com/open?id=18fYYwPHs6UXBfvwroHSOd7XQpv4sSfzG</t>
  </si>
  <si>
    <t>AFONSIA SERAN</t>
  </si>
  <si>
    <t>082146825006</t>
  </si>
  <si>
    <t>https://drive.google.com/open?id=12y-VYRzQcLKR-r3kzGtuu0GjDsN85qGp</t>
  </si>
  <si>
    <t>Deriska Sabatini Putri Mage</t>
  </si>
  <si>
    <t>082145833971</t>
  </si>
  <si>
    <t>Pemilik kios</t>
  </si>
  <si>
    <t>https://drive.google.com/open?id=1j4Xfbn2dlOu_aYmR0Y3wRb-u65ssyPWp</t>
  </si>
  <si>
    <t>Agustinus bria</t>
  </si>
  <si>
    <t>082266392175</t>
  </si>
  <si>
    <t>https://drive.google.com/open?id=1XlT3PwcpOsBC_nrmHfuOU_HVbiHlqfIH</t>
  </si>
  <si>
    <t>Karlus Kiik Nana</t>
  </si>
  <si>
    <t>085231266587</t>
  </si>
  <si>
    <t xml:space="preserve">Wiraswasta,Jual sembako </t>
  </si>
  <si>
    <t>https://drive.google.com/open?id=11KGenJruY-ghzSulN_yyRYlYVnSTDHIC</t>
  </si>
  <si>
    <t>Nadira Alfina Julianti</t>
  </si>
  <si>
    <t>0895320082820</t>
  </si>
  <si>
    <t>https://drive.google.com/open?id=1UG_fQR7pYUXLe8sX39JRXKYbQvSBYMwT</t>
  </si>
  <si>
    <t>Angela maria magdalena da silva</t>
  </si>
  <si>
    <t>0895404803425</t>
  </si>
  <si>
    <t>https://drive.google.com/open?id=1-fhSvKK55kCHrkPfsU4cZLTRx8fGm323</t>
  </si>
  <si>
    <t>ERLI FATMAH APRI</t>
  </si>
  <si>
    <t>081339314715</t>
  </si>
  <si>
    <t>https://drive.google.com/open?id=1AqahX2fAc-Scu12NdmZ-1ORnYC5SJd_Y</t>
  </si>
  <si>
    <t>JONI HATTI</t>
  </si>
  <si>
    <t>081262924674</t>
  </si>
  <si>
    <t>https://drive.google.com/open?id=148iX9ssoBC-m2_odBAJxkQV_oAIYZBIQ</t>
  </si>
  <si>
    <t>Helena krisnowati riwu rohi</t>
  </si>
  <si>
    <t>081339968834</t>
  </si>
  <si>
    <t>https://drive.google.com/open?id=1aKIqif3Nn_jJb5eeW6SJx8sht7IR-fTJ</t>
  </si>
  <si>
    <t>Ariyanto foni</t>
  </si>
  <si>
    <t>082266083300</t>
  </si>
  <si>
    <t>https://drive.google.com/open?id=1mobVcxeIk_n9FuqSR74vejBpS-JL2uj0</t>
  </si>
  <si>
    <t>Edelina taemnanu maf</t>
  </si>
  <si>
    <t>081330289655</t>
  </si>
  <si>
    <t>https://drive.google.com/open?id=1gxdYmc8I7BSyRTm0jRQWKt9Li75TK4WV</t>
  </si>
  <si>
    <t>Demetriana Tanik</t>
  </si>
  <si>
    <t>082282909569</t>
  </si>
  <si>
    <t>GURU SD</t>
  </si>
  <si>
    <t>https://drive.google.com/open?id=1nW3hWUlILOVC37UO-0qk-asfBAKuAVmL</t>
  </si>
  <si>
    <t>Gradiana Meni</t>
  </si>
  <si>
    <t>085183858445</t>
  </si>
  <si>
    <t>Penjaga Kantin Rektorat di Unimor</t>
  </si>
  <si>
    <t>https://drive.google.com/open?id=1bJYPJ5C390qBTlKAWwG0zGPPaZJPIHBI</t>
  </si>
  <si>
    <t>Yani eda anone</t>
  </si>
  <si>
    <t>081338597522</t>
  </si>
  <si>
    <t>https://drive.google.com/open?id=1uN-NrQ-Om-up_eZRzGM75A-q_RDigGBr</t>
  </si>
  <si>
    <t>Serlin kadja pau</t>
  </si>
  <si>
    <t>082237537363</t>
  </si>
  <si>
    <t>https://drive.google.com/open?id=16NYoj-M4IO4Mb_r7plG3rNPWqLn_Y52t</t>
  </si>
  <si>
    <t>Bildat sakarias baitninas</t>
  </si>
  <si>
    <t>082146144363</t>
  </si>
  <si>
    <t>https://drive.google.com/open?id=17Y0ACl_54kH8vKz_sxplgOqAdQ9eSYZ7</t>
  </si>
  <si>
    <t>Anderias Bauk</t>
  </si>
  <si>
    <t>081338577783</t>
  </si>
  <si>
    <t>https://drive.google.com/open?id=14mprp7MRajE965UE5eQlqxb0XW6nxhWr</t>
  </si>
  <si>
    <t>Dimas andreas uly koro</t>
  </si>
  <si>
    <t>085792159737</t>
  </si>
  <si>
    <t>https://drive.google.com/open?id=1vaQrJFzZ76uNe2_5BIzj08DQkjNjdGkC</t>
  </si>
  <si>
    <t xml:space="preserve">𝘋𝘰𝘯𝘯𝘺 𝘴𝘶𝘮𝘢𝘳𝘵𝘰 𝘳𝘢𝘵𝘶 </t>
  </si>
  <si>
    <t>082236669149</t>
  </si>
  <si>
    <t>https://drive.google.com/open?id=1eqtrT_xw82qc1UPxYN1tVUbHl_N7NGXh</t>
  </si>
  <si>
    <t>Absalom benu</t>
  </si>
  <si>
    <t>081339118961</t>
  </si>
  <si>
    <t>Wira</t>
  </si>
  <si>
    <t>https://drive.google.com/open?id=1D28dAq13c0JQDbFVWHEtA6uhnR50xI7q</t>
  </si>
  <si>
    <t>https://drive.google.com/open?id=15T7x5McJqWMG6BnBBaOk7jjABe_JsA7K</t>
  </si>
  <si>
    <t>Jemi paul</t>
  </si>
  <si>
    <t>087812299137</t>
  </si>
  <si>
    <t>https://drive.google.com/open?id=1Y4VeBK72LRvQRN3Q4U_qOl04Ec9cY31r</t>
  </si>
  <si>
    <t>Alfa omega kanaf</t>
  </si>
  <si>
    <t>081238369894</t>
  </si>
  <si>
    <t>https://drive.google.com/open?id=1X9qqT5qOIRfgUfeJaCj07LfjbKzAJrfE</t>
  </si>
  <si>
    <t>Maria Elisabethfreit as maia</t>
  </si>
  <si>
    <t>082143662071</t>
  </si>
  <si>
    <t>https://drive.google.com/open?id=1ZxgXj3sSyGTffgdZfHd44YxiOKit6p4v</t>
  </si>
  <si>
    <t>Bertus</t>
  </si>
  <si>
    <t>https://drive.google.com/open?id=1v-DuUi3K8sdbJseMbyZfIgJR_onUJfLp</t>
  </si>
  <si>
    <t>Satia pello</t>
  </si>
  <si>
    <t>081239739356</t>
  </si>
  <si>
    <t>https://drive.google.com/open?id=1YTsOfzvomucyD6OzTvPpstVpZy-Bd6gF</t>
  </si>
  <si>
    <t>Boldin bureran</t>
  </si>
  <si>
    <t>08111568317</t>
  </si>
  <si>
    <t>https://drive.google.com/open?id=1yO-M85ILrcqEvc4BOaOxZpIQ8XPYg12O</t>
  </si>
  <si>
    <t>Mariana manbait</t>
  </si>
  <si>
    <t>082146137235</t>
  </si>
  <si>
    <t>https://drive.google.com/open?id=1_Tke0TzCuV23olTwm1ZM-3nBxnRRuKrE</t>
  </si>
  <si>
    <t>Nolfi herwati ndun</t>
  </si>
  <si>
    <t>https://drive.google.com/open?id=13ygDh5fQBYDYRKq0CzAoML_O2EwQ6SEI</t>
  </si>
  <si>
    <t>ORPA WENYI TAGA</t>
  </si>
  <si>
    <t>081239606085</t>
  </si>
  <si>
    <t>https://drive.google.com/open?id=14QZCS4LyaGul-AtHRnvxoxpXgP1meXfY</t>
  </si>
  <si>
    <t>Adiraimon Sufmera</t>
  </si>
  <si>
    <t>08128936806</t>
  </si>
  <si>
    <t>https://drive.google.com/open?id=1WlVbmHcOFQ4SG01fKFpfjYTf3s6ofCww</t>
  </si>
  <si>
    <t>Maria dela strada ngongo</t>
  </si>
  <si>
    <t>082145835366</t>
  </si>
  <si>
    <t>https://drive.google.com/open?id=1QiOmW2avhoU3CNlhd8-hRUrvV6W9pDj2</t>
  </si>
  <si>
    <t>MELIANA CIOMPAH</t>
  </si>
  <si>
    <t>081226994966</t>
  </si>
  <si>
    <t>https://drive.google.com/open?id=1ZZXuFscuKldOxs8lT6BnkvJNBhSArel3</t>
  </si>
  <si>
    <t>Melki rino mauk</t>
  </si>
  <si>
    <t>https://drive.google.com/open?id=1LcOCEmZRI2nrP2e-pZi5DQG05jaet_qh</t>
  </si>
  <si>
    <t>MATIUS FRANSISKUS BILI</t>
  </si>
  <si>
    <t>082266127302</t>
  </si>
  <si>
    <t>https://drive.google.com/open?id=1-pSzcz8BozjWqz-ne1Hw3SFNNbbB1xKV</t>
  </si>
  <si>
    <t>Musafir</t>
  </si>
  <si>
    <t>081237336828</t>
  </si>
  <si>
    <t>https://drive.google.com/open?id=1aWxaseEZ9cxS9antBFG45bfscK-ycL8U</t>
  </si>
  <si>
    <t>Febriantia emerinsiana a. Klau</t>
  </si>
  <si>
    <t>082147253213</t>
  </si>
  <si>
    <t>https://drive.google.com/open?id=15b8eIjRY2Xv2xCGVaf4o7Z3dhr4sbH3w</t>
  </si>
  <si>
    <t>MARIA SUSANA BILI</t>
  </si>
  <si>
    <t>081237657654</t>
  </si>
  <si>
    <t>https://drive.google.com/open?id=119VbLphr1BbPqrJBJsfkjhI5jo30HzXJ</t>
  </si>
  <si>
    <t>Martina</t>
  </si>
  <si>
    <t>https://drive.google.com/open?id=18UXFRPm4o1s6lT7Wjhp2v2Uk6iNIIM7h</t>
  </si>
  <si>
    <t>Stefanus soba dede</t>
  </si>
  <si>
    <t>085337528624</t>
  </si>
  <si>
    <t>https://drive.google.com/open?id=1p-v9OiqmOScajUoOIn6gkv1QwLaoiSWv</t>
  </si>
  <si>
    <t>Sefanya yuniati aprilia rihi</t>
  </si>
  <si>
    <t>085165057513</t>
  </si>
  <si>
    <t>https://drive.google.com/open?id=1OawyleY38Ci4UG3uowtlboFgx9M5iRi0</t>
  </si>
  <si>
    <t>Nana bureni</t>
  </si>
  <si>
    <t>082236422100</t>
  </si>
  <si>
    <t>https://drive.google.com/open?id=13NjEuJazvTbGPEcbvoG2qlBzC921I6zB</t>
  </si>
  <si>
    <t>Duanita stefalina laome</t>
  </si>
  <si>
    <t>082237262321</t>
  </si>
  <si>
    <t>https://drive.google.com/open?id=13kpdQJyy6zVfTO0bxEhNIszVthN9IPDx</t>
  </si>
  <si>
    <t>Resa Tode</t>
  </si>
  <si>
    <t>+6285258154766</t>
  </si>
  <si>
    <t>https://drive.google.com/open?id=1NPYZjsFSu7kdkbJkeJCn_RoOWy57FrDl</t>
  </si>
  <si>
    <t>Debora unbanu</t>
  </si>
  <si>
    <t>082247883860</t>
  </si>
  <si>
    <t>https://drive.google.com/open?id=1o4UEf6zK2CFTwvWw-oJeZJYHFaRWI2Yh</t>
  </si>
  <si>
    <t xml:space="preserve">Nikolas moa nong </t>
  </si>
  <si>
    <t>081236696685</t>
  </si>
  <si>
    <t>https://drive.google.com/open?id=1-WmWl82YWWls3iBP69l9mVN3t_Hy_vhy</t>
  </si>
  <si>
    <t>OLANDUS DJUKI KOSAT</t>
  </si>
  <si>
    <t>Peternakan</t>
  </si>
  <si>
    <t>https://drive.google.com/open?id=1ajXXzhr0pGHOhg_LtBskXFTrhfxX23Ll</t>
  </si>
  <si>
    <t>Robert Gabrial Tiumulik</t>
  </si>
  <si>
    <t>https://drive.google.com/open?id=1MnV7Ct3Pw1pN-3ZogIMmuuDwsF0buBMX</t>
  </si>
  <si>
    <t>Mery ruth mariam nubatonis</t>
  </si>
  <si>
    <t>081337150495</t>
  </si>
  <si>
    <t>https://drive.google.com/open?id=13G9IrAR2QHF-oKfUTM7L2bys1eNCZZ-u</t>
  </si>
  <si>
    <t>Salestin rambu malairu</t>
  </si>
  <si>
    <t>082236415768</t>
  </si>
  <si>
    <t>https://drive.google.com/open?id=13ndCV8SzO72UQHAo9ciGgJOrggQCV6W-</t>
  </si>
  <si>
    <t>KRISTINA KANDI</t>
  </si>
  <si>
    <t>085253879732</t>
  </si>
  <si>
    <t>https://drive.google.com/open?id=1USlooeTYGws13PHLN-vf_9R6tKi1vil3</t>
  </si>
  <si>
    <t>Liberthy yungens pellokila</t>
  </si>
  <si>
    <t>085258098081</t>
  </si>
  <si>
    <t>https://drive.google.com/open?id=19GBCOdVD5k6GzzmvNJMKxmr1JBfMBoIY</t>
  </si>
  <si>
    <t>Serli kavoni</t>
  </si>
  <si>
    <t>082144739828</t>
  </si>
  <si>
    <t>https://drive.google.com/open?id=1h-H2_KPdVJ9uTV3lWEIGm9rMGD339ZRJ</t>
  </si>
  <si>
    <t>Desilon Sina</t>
  </si>
  <si>
    <t>085339191829</t>
  </si>
  <si>
    <t>https://drive.google.com/open?id=1922AAKGLh1bN7OWDiWu3bZ0ZdO8gBbD0</t>
  </si>
  <si>
    <t>Lian</t>
  </si>
  <si>
    <t>https://drive.google.com/open?id=1esVBDpb-NEsPbd9gLQq9yB2VV2d8ivNF</t>
  </si>
  <si>
    <t>Melkianus Noch</t>
  </si>
  <si>
    <t>081237469027</t>
  </si>
  <si>
    <t>https://drive.google.com/open?id=1cweR6wvjfVvyq6P3eK_PJsUR9bC98McI</t>
  </si>
  <si>
    <t>DELSIANA DADA GOLE</t>
  </si>
  <si>
    <t>081234767061</t>
  </si>
  <si>
    <t>https://drive.google.com/open?id=1nv3up55s3EZs-bYwSep4a7ipXWUk8CCb</t>
  </si>
  <si>
    <t>Jonetha Igniosa Dhelo</t>
  </si>
  <si>
    <t>085261285586</t>
  </si>
  <si>
    <t xml:space="preserve">Stela Catering </t>
  </si>
  <si>
    <t>https://drive.google.com/open?id=1R40o6DvdBF0XeZnBsX5_VKJa6khVMIsh</t>
  </si>
  <si>
    <t>LIFTEN AFENDI NOPUS</t>
  </si>
  <si>
    <t>081246192872</t>
  </si>
  <si>
    <t>https://drive.google.com/open?id=1isgU0t8ku7s1eNZ_nk2lPEnG5t65k5O3</t>
  </si>
  <si>
    <t>Nopriyanto obi harneno</t>
  </si>
  <si>
    <t>082321106037</t>
  </si>
  <si>
    <t>https://drive.google.com/open?id=1dzlmHlSLhR94whknqGwrBL-QpSd-Tpat</t>
  </si>
  <si>
    <t>Deni aprianto baitanu</t>
  </si>
  <si>
    <t>081381850527</t>
  </si>
  <si>
    <t>Blur tulisan hilang</t>
  </si>
  <si>
    <t>https://drive.google.com/open?id=1zAAQqVqmltMKrKF5Wa7TD_qHqxYVtI3B</t>
  </si>
  <si>
    <t>𝘍𝘪𝘯𝘤𝘦 𝘉𝘰𝘪𝘮𝘢𝘶</t>
  </si>
  <si>
    <t>081312001869</t>
  </si>
  <si>
    <t>https://drive.google.com/open?id=1sulAXsBg1fVBHqKrGyW8rpxW8YtPus8_</t>
  </si>
  <si>
    <t>DHEA NATALIA FEOH ANIN</t>
  </si>
  <si>
    <t>082147680255</t>
  </si>
  <si>
    <t>https://drive.google.com/open?id=1BYWcEucKRjP6TzXxQcWaf6v6wXFQc6BL</t>
  </si>
  <si>
    <t>Simon petrus patty</t>
  </si>
  <si>
    <t>082341482835</t>
  </si>
  <si>
    <t>https://drive.google.com/open?id=1U67d5BF_qCSw5EUb6CePRAWvDoL6AD91</t>
  </si>
  <si>
    <t>Yakobus bani lede</t>
  </si>
  <si>
    <t>082340721407</t>
  </si>
  <si>
    <t>https://drive.google.com/open?id=1_TbdlA540gCfTtduWVHoioEwVHGMU8PI</t>
  </si>
  <si>
    <t>Irnialdo kristiano henukh</t>
  </si>
  <si>
    <t>087708221201</t>
  </si>
  <si>
    <t>https://drive.google.com/open?id=1XhnBj0O9WPledS9csnbjRqARqYGfRF0t</t>
  </si>
  <si>
    <t>Marni R. Sebi Nipa</t>
  </si>
  <si>
    <t>081337387975</t>
  </si>
  <si>
    <t>https://drive.google.com/open?id=1UHUJa-i08PyEMgxcDGfJ9qca-R4JsgY3</t>
  </si>
  <si>
    <t>JEPRI PORUNG RATU AMAH</t>
  </si>
  <si>
    <t>081246439655</t>
  </si>
  <si>
    <t>https://drive.google.com/open?id=1ULi7RDZ8k9zCajOGXwikG1qnUlrzs-d-</t>
  </si>
  <si>
    <t>Tiras kahi ana hamu</t>
  </si>
  <si>
    <t>081239935549</t>
  </si>
  <si>
    <t>https://drive.google.com/open?id=14XJJK51FyIokNRud6Ft_Cm9zkkfNPobM</t>
  </si>
  <si>
    <t>Yus mikael mamun</t>
  </si>
  <si>
    <t>081246331686</t>
  </si>
  <si>
    <t>https://drive.google.com/open?id=1JjDD0QaMFukI6o-sf3Ofj4Zc7UHLE1zb</t>
  </si>
  <si>
    <t>Jerianus Kolo</t>
  </si>
  <si>
    <t>https://drive.google.com/open?id=1372hC9VyPiJ7reznoqJSDovbuaCbSt77</t>
  </si>
  <si>
    <t>https://drive.google.com/open?id=1DqpRzleAHL8OJzaXc4LJo6q_sJHOI5oH</t>
  </si>
  <si>
    <t>RIKARDO BILI</t>
  </si>
  <si>
    <t>081237678597</t>
  </si>
  <si>
    <t>https://drive.google.com/open?id=1-uSdsG3NZdF-SWlcc6DkhREgwrX7VMbN</t>
  </si>
  <si>
    <t>Andi Lau Webang</t>
  </si>
  <si>
    <t>https://drive.google.com/open?id=1QoGi8F5KVKWto-Hp-htbZJQUuVIqLkg1</t>
  </si>
  <si>
    <t>sriyanti bau</t>
  </si>
  <si>
    <t>082146937924</t>
  </si>
  <si>
    <t>https://drive.google.com/open?id=1Pz8dQTzuTNrIAHCMEWalnsHPkTZL4EMC</t>
  </si>
  <si>
    <t>ARYANA YUNIA SAEKETU</t>
  </si>
  <si>
    <t>https://drive.google.com/open?id=1EnxwuzBM0f6ml1HO9tSpeZ20uiW2Z6Rk</t>
  </si>
  <si>
    <t>Ryo Jemberto Pandie</t>
  </si>
  <si>
    <t>087765740644</t>
  </si>
  <si>
    <t>Driver maxim</t>
  </si>
  <si>
    <t>https://drive.google.com/open?id=1VVCVv_5dDkK9rFYZoR2MpDVb6WvzHHwK</t>
  </si>
  <si>
    <t>Anderias Nono</t>
  </si>
  <si>
    <t>081235190585</t>
  </si>
  <si>
    <t>https://drive.google.com/open?id=1tnM5CgD4xaJoP7iklncANQUTF6cUDVgR</t>
  </si>
  <si>
    <t>Jepri Porung Ratu Amah</t>
  </si>
  <si>
    <t>Peternak</t>
  </si>
  <si>
    <t>https://drive.google.com/open?id=1IQ5qvYMrcbAKtApghhBakh7rNezxtK05</t>
  </si>
  <si>
    <t>Migel leksoru tilukay manaha</t>
  </si>
  <si>
    <t>082146485622</t>
  </si>
  <si>
    <t>https://drive.google.com/open?id=1M-cCDuaQjicFdXH2teNJn_HAjZonPgtw</t>
  </si>
  <si>
    <t>Yulius jawabara</t>
  </si>
  <si>
    <t>083874224504</t>
  </si>
  <si>
    <t>https://drive.google.com/open?id=1LINYk7GAsgQ2_RNVoEUOpVojeSh0SxKR</t>
  </si>
  <si>
    <t>Dina Mariana Tameon</t>
  </si>
  <si>
    <t>087765190372</t>
  </si>
  <si>
    <t>https://drive.google.com/open?id=1Y2uGJQs2ttBzbT76UEbljodFuy9sSyAY</t>
  </si>
  <si>
    <t>Melpiyanus mbani</t>
  </si>
  <si>
    <t>082147430311</t>
  </si>
  <si>
    <t>https://drive.google.com/open?id=1moIp8MoAOkh7gyW8J6A1_Zd9kozFPUDv</t>
  </si>
  <si>
    <t>KORNELIS LENDE BULU</t>
  </si>
  <si>
    <t>082237726501</t>
  </si>
  <si>
    <t>https://drive.google.com/open?id=1cxZ66kAr-89GCujRedCru3KS1014Dctr</t>
  </si>
  <si>
    <t>Kuba haima</t>
  </si>
  <si>
    <t>0895340935029</t>
  </si>
  <si>
    <t>https://drive.google.com/open?id=1vNjFSUNbf9nIOkgmsyYTMqPIjLACCip-</t>
  </si>
  <si>
    <t>Arno sana bili</t>
  </si>
  <si>
    <t>https://drive.google.com/open?id=1bKBFRTAYc9eNa_6IXkGKcvFnEarjNBDC</t>
  </si>
  <si>
    <t>Charly Mooy</t>
  </si>
  <si>
    <t>081339453258</t>
  </si>
  <si>
    <t>https://drive.google.com/open?id=1FQim8MTCHN3hb_Bi3xA9ANHtxO__SApQ</t>
  </si>
  <si>
    <t>Sri harmini</t>
  </si>
  <si>
    <t>081236492212</t>
  </si>
  <si>
    <t>https://drive.google.com/open?id=1EqnqKVYZArla8ihBsCNBOPBwvykaxngR</t>
  </si>
  <si>
    <t>Selviana Kaka daha</t>
  </si>
  <si>
    <t>081353848678</t>
  </si>
  <si>
    <t>https://drive.google.com/open?id=1qRLfN3XCxyEoAFjbpyZHneqeLa-BzsNI</t>
  </si>
  <si>
    <t>Robert E Waang Sir</t>
  </si>
  <si>
    <t>081337124305</t>
  </si>
  <si>
    <t>https://drive.google.com/open?id=17TGF08etfgZZS0p3lWm-aoOGxLDAt22k</t>
  </si>
  <si>
    <t>Yosefina Tolangbako</t>
  </si>
  <si>
    <t>081246106842</t>
  </si>
  <si>
    <t>ajukan lagi 90 hari</t>
  </si>
  <si>
    <t>https://drive.google.com/open?id=1mboKenA_bLe2btRTYpdD-LOygoBEKg2U</t>
  </si>
  <si>
    <t>Dasarita tolangbako</t>
  </si>
  <si>
    <t>082234090627</t>
  </si>
  <si>
    <t>https://drive.google.com/open?id=1qIaT1hvt5AAr-wOPxQqFd2niNvJA-kCf</t>
  </si>
  <si>
    <t>Tensy Juliana Non</t>
  </si>
  <si>
    <t>081246699998</t>
  </si>
  <si>
    <t>https://drive.google.com/open?id=1QhPqDV1PnORwtIi-DgE0OodrGiU1gjLF</t>
  </si>
  <si>
    <t>GUSTI MONE</t>
  </si>
  <si>
    <t>085138920823</t>
  </si>
  <si>
    <t>https://drive.google.com/open?id=1HPgczAVtTMylmj6MjRaMR1PrwgPT4iI5</t>
  </si>
  <si>
    <t>Judan umbu pombu turaelu</t>
  </si>
  <si>
    <t>081337766709</t>
  </si>
  <si>
    <t>Pembantu desa</t>
  </si>
  <si>
    <t>https://drive.google.com/open?id=1wEpEZ8bn1-fNKeVtzN9Ko12EGlksr-gq</t>
  </si>
  <si>
    <t>SOLEMAN KATODA WATY</t>
  </si>
  <si>
    <t>081234567878</t>
  </si>
  <si>
    <t>https://drive.google.com/open?id=1kEyG4XBX6p1FcZyHJSSsUeXu3bmBVhYo</t>
  </si>
  <si>
    <t>Agnes Babis</t>
  </si>
  <si>
    <t>081259309915</t>
  </si>
  <si>
    <t>https://drive.google.com/open?id=1-_eEZKGhL-q53uBpggsqvTD9dvWGWXau</t>
  </si>
  <si>
    <t>Nahbi bin wofsi manunaijabi</t>
  </si>
  <si>
    <t>081353772892</t>
  </si>
  <si>
    <t>https://drive.google.com/open?id=1eiMrWpcI2mDCQWHtHvxsgdLQ0Fmw2HCU</t>
  </si>
  <si>
    <t>JEFRIANTO RANGGALODU SE</t>
  </si>
  <si>
    <t>082239654867</t>
  </si>
  <si>
    <t>https://drive.google.com/open?id=19XFNSAUbglulHShIGDFdRXAr2ban9HkP</t>
  </si>
  <si>
    <t>Helena kolpui</t>
  </si>
  <si>
    <t>082266064890</t>
  </si>
  <si>
    <t>https://drive.google.com/open?id=145Pb2v61bUY71s5RgiTJVdhwAaBO0_FX</t>
  </si>
  <si>
    <t>EVELIM TARI</t>
  </si>
  <si>
    <t>089602143814</t>
  </si>
  <si>
    <t>https://drive.google.com/open?id=15DSDr2x7ZZZLpJDZ5wbYhfKbnT4-fmTZ</t>
  </si>
  <si>
    <t>Maria renhilde hoar</t>
  </si>
  <si>
    <t>085338578410</t>
  </si>
  <si>
    <t>https://drive.google.com/open?id=1n3vPDXNTsjiAkZOyeXiseIZw36Jvcvg_</t>
  </si>
  <si>
    <t>OVRI JULIRON LAUOEN</t>
  </si>
  <si>
    <t>085165061853</t>
  </si>
  <si>
    <t>https://drive.google.com/open?id=1xJAOb__zxmTMWNBcCfkYkDA1HZs5cpci</t>
  </si>
  <si>
    <t>MUSA LEONARD DJOE</t>
  </si>
  <si>
    <t>+6281338171083</t>
  </si>
  <si>
    <t>sopir pribadi</t>
  </si>
  <si>
    <t>https://drive.google.com/open?id=1uccRmsfROEytgjIAjEWOjJ3QZv1aWAOP</t>
  </si>
  <si>
    <t>ALEKS JONAS</t>
  </si>
  <si>
    <t>082378890076</t>
  </si>
  <si>
    <t>https://drive.google.com/open?id=1Uaxf0L47kXKeHmKQdn4j222HMzFrk_XL</t>
  </si>
  <si>
    <t>FERNANDO BULU PEKA MILA</t>
  </si>
  <si>
    <t>081336286672</t>
  </si>
  <si>
    <t>https://drive.google.com/open?id=13-trfI4HOT40EqFoUtOuxKoCWOMwH6jL</t>
  </si>
  <si>
    <t>RONALDO LEDE MUDE DUKA</t>
  </si>
  <si>
    <t>082247952295</t>
  </si>
  <si>
    <t>https://drive.google.com/open?id=1_0NR1I5cBFQz98x8J80U0BykFhH3gefN</t>
  </si>
  <si>
    <t>SONIA GLEDIS KARTIKA MULYADI</t>
  </si>
  <si>
    <t>085704978752</t>
  </si>
  <si>
    <t>https://drive.google.com/open?id=1LoFK340Cu7l3jdo-F4jkm1hDIGptOluD</t>
  </si>
  <si>
    <t>RAMLAN H RUSLI</t>
  </si>
  <si>
    <t>0832233830902</t>
  </si>
  <si>
    <t>https://drive.google.com/open?id=1gqomM5ElYcbjoSjM-sK-ke9L5A_rKdSb</t>
  </si>
  <si>
    <t>Agustina Adriana Auw</t>
  </si>
  <si>
    <t>082144796470</t>
  </si>
  <si>
    <t>Wiraaswasta</t>
  </si>
  <si>
    <t>https://drive.google.com/open?id=18mDQek24tUPbHtosvqigv9WUCZmE6F5U</t>
  </si>
  <si>
    <t>Jesriani itu lendi</t>
  </si>
  <si>
    <t>081329332964</t>
  </si>
  <si>
    <t>https://drive.google.com/open?id=1-nJjybxKAutGgNyFI5QJGm74i9PCmmdF</t>
  </si>
  <si>
    <t>mince male rohi</t>
  </si>
  <si>
    <t>082340484067</t>
  </si>
  <si>
    <t>https://drive.google.com/open?id=1Gx-2FdDxVZhA6N0Ar0bYkaJuPb-2zM7X</t>
  </si>
  <si>
    <t>Naomi nenobais</t>
  </si>
  <si>
    <t>082123058874</t>
  </si>
  <si>
    <t>https://drive.google.com/open?id=1ib5b2Jf_LvYEflFd66QgrOIflCTg7qgR</t>
  </si>
  <si>
    <t>Wasny agustina bira</t>
  </si>
  <si>
    <t>082146149822</t>
  </si>
  <si>
    <t>Kios di rumah</t>
  </si>
  <si>
    <t>https://drive.google.com/open?id=1Xh3fPeV-zrZvWZ57oy9Ax2qNSTW7MUSs</t>
  </si>
  <si>
    <t>ROSA ANGGGRIYANI UTAMI DA SILVA</t>
  </si>
  <si>
    <t>087738900498</t>
  </si>
  <si>
    <t>Kerja paruh waktu</t>
  </si>
  <si>
    <t>https://drive.google.com/open?id=16efbJ-PwdG5q95t1gHVRrE2dys8BP9_p</t>
  </si>
  <si>
    <t>Nofrianus nahak pereira</t>
  </si>
  <si>
    <t>082146926744</t>
  </si>
  <si>
    <t>https://drive.google.com/open?id=1n0TURNoEfMzWj_m6KhAObmALF5uF2FJp</t>
  </si>
  <si>
    <t>Maria bani</t>
  </si>
  <si>
    <t>081237992982</t>
  </si>
  <si>
    <t>https://drive.google.com/open?id=1i9DdsdsjacNMVeO5Rlu3Co9T5orkU0fe</t>
  </si>
  <si>
    <t>PAULINA ROKI RERE</t>
  </si>
  <si>
    <t>081337784196</t>
  </si>
  <si>
    <t>Petani10</t>
  </si>
  <si>
    <t>https://drive.google.com/open?id=1cvDfY0YrUqCHKVzMUFz-pNVa0OvpQ3tK, https://drive.google.com/open?id=1nYo4H-UCdoX4FRY1rNCCUs31nQrKuzBL</t>
  </si>
  <si>
    <t>LASTRIANA PALUS</t>
  </si>
  <si>
    <t>Vebryanti hesliarni tari</t>
  </si>
  <si>
    <t>081949083760</t>
  </si>
  <si>
    <t>https://drive.google.com/open?id=1pqa3mnzX7-_stHi3L11n7uLIpo6DxfXf</t>
  </si>
  <si>
    <t>Sahrul h bdullah</t>
  </si>
  <si>
    <t>082145348936</t>
  </si>
  <si>
    <t>https://drive.google.com/open?id=1-cOleU8eNxgYvsnvA2AZmsq7uFIesR3c</t>
  </si>
  <si>
    <t>MERIANA LALI WUDA</t>
  </si>
  <si>
    <t>081337411087</t>
  </si>
  <si>
    <t>https://drive.google.com/open?id=1vRYKaQZAlpDiRS-8_SHSW-yQft3nVCty</t>
  </si>
  <si>
    <t>YISUF RIADA TEBA</t>
  </si>
  <si>
    <t>081337784431</t>
  </si>
  <si>
    <t>https://drive.google.com/open?id=1nBzaDI23WoGa_iFQE0INVDBOL-9kDuwj</t>
  </si>
  <si>
    <t>MARKUS DAUNGU BIRRU</t>
  </si>
  <si>
    <t>081231335781</t>
  </si>
  <si>
    <t>https://drive.google.com/open?id=1qfC6cpJcocWxV-sDoe2xDYU7HqEAG7uF</t>
  </si>
  <si>
    <t>VERONIKA US ABATAN</t>
  </si>
  <si>
    <t>088976704990</t>
  </si>
  <si>
    <t>https://drive.google.com/open?id=1zT58paXLf_GVJLli6hTBeLcogPTf5PAr</t>
  </si>
  <si>
    <t>Yakoba soli koba</t>
  </si>
  <si>
    <t>081337766708</t>
  </si>
  <si>
    <t>https://drive.google.com/open?id=1VIaurxp8ianAdno0BCh7IYmRiuAkmpeo</t>
  </si>
  <si>
    <t>Fatmawati</t>
  </si>
  <si>
    <t>081246603597</t>
  </si>
  <si>
    <t>https://drive.google.com/open?id=1JMicLc301F3ixwftu3rTIk1r0gpmfpvT</t>
  </si>
  <si>
    <t>Maria lopes bianco</t>
  </si>
  <si>
    <t>085338268817</t>
  </si>
  <si>
    <t>https://drive.google.com/open?id=1jPI48lAiJdFOKVeQ0Yd7cY24NACexnkT</t>
  </si>
  <si>
    <t>Marselina  novinda reni</t>
  </si>
  <si>
    <t>082247295233</t>
  </si>
  <si>
    <t>https://drive.google.com/open?id=1xpZR2KpQfGBElbFI0NX4e7TEpoZENY-c</t>
  </si>
  <si>
    <t>PAULUS PALLA MESA</t>
  </si>
  <si>
    <t>082295624106</t>
  </si>
  <si>
    <t>https://drive.google.com/open?id=1mVlrqo9-s-S5ZfeTzjJRKA9GJOBtEvAK</t>
  </si>
  <si>
    <t>Jems adrianto kale</t>
  </si>
  <si>
    <t>081386735255</t>
  </si>
  <si>
    <t>https://drive.google.com/open?id=15gmN7AoOzVWHVbBF2Z-BkuLzcpaIpRFV</t>
  </si>
  <si>
    <t>Steven ndawa hunggu mila</t>
  </si>
  <si>
    <t>081236226548</t>
  </si>
  <si>
    <t>https://drive.google.com/open?id=15Yday8K2AnZugVUR-LS1S8L6MOelZZXI</t>
  </si>
  <si>
    <t xml:space="preserve">𝘒𝘢𝘵𝘳𝘪𝘢𝘯𝘢 𝘬𝘰𝘳𝘦 𝘣𝘶𝘺 </t>
  </si>
  <si>
    <t>082339131186</t>
  </si>
  <si>
    <t>https://drive.google.com/open?id=1JtFIkV2Hu-yRt1SDbLFSZ-cTFN3bPR8n</t>
  </si>
  <si>
    <t>YANFANSIUS KANA MANGNGI</t>
  </si>
  <si>
    <t>081151144052</t>
  </si>
  <si>
    <t>https://drive.google.com/open?id=1RaayJkgX3_F7K0Fma7FcjNXLCVkbfNEf</t>
  </si>
  <si>
    <t>Adolfina Yeni Manilapai</t>
  </si>
  <si>
    <t>081337428326</t>
  </si>
  <si>
    <t>https://drive.google.com/open?id=16oUHl8DcKbrGlOb2GpLMoJ1zCHZe8PYn</t>
  </si>
  <si>
    <t>Yandri Tina Malinda Taopan</t>
  </si>
  <si>
    <t>081918055264</t>
  </si>
  <si>
    <t>https://drive.google.com/open?id=1ie9U0KtOGg03iFuETY9LEkp0cY8JBXBI</t>
  </si>
  <si>
    <t>MALVIN HOLLY CHRISTIANO MATA HINE</t>
  </si>
  <si>
    <t>085739513518</t>
  </si>
  <si>
    <t>https://drive.google.com/open?id=1Kxr9Q_cKa-K-BxesvugcKYJ8_XRe81Ot</t>
  </si>
  <si>
    <t>Markus Francis Malese</t>
  </si>
  <si>
    <t>https://drive.google.com/open?id=1oerbMaevpr0v_xexpPQQm2QNizy3Q4Zc</t>
  </si>
  <si>
    <t>Abbas</t>
  </si>
  <si>
    <t>082155656494</t>
  </si>
  <si>
    <t>https://drive.google.com/open?id=1XxcgW2r4rR6ytvxCfxzflprQO_T66s7f</t>
  </si>
  <si>
    <t>ALEXANDRA  ADISTA MAU MANTOLU</t>
  </si>
  <si>
    <t>081236695366</t>
  </si>
  <si>
    <t xml:space="preserve">Bisnis online </t>
  </si>
  <si>
    <t>https://drive.google.com/open?id=13puLMFtpkaukeYLJpLw1X3EZRHi_gTVz</t>
  </si>
  <si>
    <t>Viki rikardus enga</t>
  </si>
  <si>
    <t>081329792957</t>
  </si>
  <si>
    <t>https://drive.google.com/open?id=1C1CuY3kRcQUSi5rhHh03reZQWzyCEo9v</t>
  </si>
  <si>
    <t>Victoria susana runesi</t>
  </si>
  <si>
    <t>081373836386</t>
  </si>
  <si>
    <t>https://drive.google.com/open?id=1riWksXDho7rluDiDpCQ1yucpOYw0cgER</t>
  </si>
  <si>
    <t>HERLITA MEYKE</t>
  </si>
  <si>
    <t>081337120804</t>
  </si>
  <si>
    <t>https://drive.google.com/open?id=1iTEHBV7ibUyz3XzjBdeoMg46KssYbhcx</t>
  </si>
  <si>
    <t>Eryen alexander bunga</t>
  </si>
  <si>
    <t>08979453074</t>
  </si>
  <si>
    <t>https://drive.google.com/open?id=1vQPynbsuKWE4CttqqESeKziKmrZ2DEY7</t>
  </si>
  <si>
    <t>Jhon Balla</t>
  </si>
  <si>
    <t>082145832490</t>
  </si>
  <si>
    <t>https://drive.google.com/open?id=1blM5SwC13lkhBkdijGxygH3Mr3L5F19M</t>
  </si>
  <si>
    <t>PAULUS NGONGO PAWOLUNG S. SOS</t>
  </si>
  <si>
    <t>082147162003</t>
  </si>
  <si>
    <t>https://drive.google.com/open?id=1cOK31Rb9aWlDzd061SKmFH4pBQ7vf17Z</t>
  </si>
  <si>
    <t>Sri wahyuni Badu</t>
  </si>
  <si>
    <t>081236741372</t>
  </si>
  <si>
    <t>https://drive.google.com/open?id=1ksiO6zDsKL6U2cPLsiuKv_y442xddFdK</t>
  </si>
  <si>
    <t>Margareta maja putih</t>
  </si>
  <si>
    <t>082144608989</t>
  </si>
  <si>
    <t>https://drive.google.com/open?id=1pKTfc0kEtr9L91nSfP3LpNAy3pSqzdWf</t>
  </si>
  <si>
    <t>Yandri ndun</t>
  </si>
  <si>
    <t>081298829227</t>
  </si>
  <si>
    <t>https://drive.google.com/open?id=13IL7gqDJaBHuERaGonz5cxsamvrOZgVH</t>
  </si>
  <si>
    <t>Agryan tarsip nggadas</t>
  </si>
  <si>
    <t>082146554786</t>
  </si>
  <si>
    <t>https://drive.google.com/open?id=12LDZcTAXyrW2roSb-o5dzb64l4r203c1</t>
  </si>
  <si>
    <t>Ocyk yonanthan nggadas</t>
  </si>
  <si>
    <t>081245776138</t>
  </si>
  <si>
    <t>https://drive.google.com/open?id=1hA1AaMLv4ifBo15rdn4kbshqQFnHZ9_H</t>
  </si>
  <si>
    <t>Fatmawati hamzah bahren</t>
  </si>
  <si>
    <t>081353482275</t>
  </si>
  <si>
    <t>https://drive.google.com/open?id=1bRUwyfm0CH_6vvfLJbr1QSXCFdCFBOKu</t>
  </si>
  <si>
    <t>Asma bahren</t>
  </si>
  <si>
    <t>085253347602</t>
  </si>
  <si>
    <t>https://drive.google.com/open?id=1tJc6kxLXUy9mIqGIzImuzLHzz2rTNAw8</t>
  </si>
  <si>
    <t>Agustinus ate</t>
  </si>
  <si>
    <t>085253578655</t>
  </si>
  <si>
    <t>https://drive.google.com/open?id=1IflsUFcE7vzEYI01jY16R4tL9lbTduzN</t>
  </si>
  <si>
    <t>ARSON EDJER SAINGO</t>
  </si>
  <si>
    <t>081236908206</t>
  </si>
  <si>
    <t>https://drive.google.com/open?id=1YYehH-tgjjVs0_liIeHJXVt0F5yRA0e2</t>
  </si>
  <si>
    <t>Vamelia W. Lodang Tue Daso</t>
  </si>
  <si>
    <t>081353485206</t>
  </si>
  <si>
    <t>https://drive.google.com/open?id=1NdHNaPrYLBy5CaBIJcItH6ub2MPTL5eH</t>
  </si>
  <si>
    <t>Ferdi Alpedi Nombala</t>
  </si>
  <si>
    <t>https://drive.google.com/open?id=1-woueahYNHdGUv7AEGmPuEylBqc3OfAA</t>
  </si>
  <si>
    <t>DELFANSA HITIA</t>
  </si>
  <si>
    <t>081236878373</t>
  </si>
  <si>
    <t>https://drive.google.com/open?id=1XkuX0dDcGVf862fqS20skVeueKFvCupa</t>
  </si>
  <si>
    <t>Lika hanja</t>
  </si>
  <si>
    <t>082231249824</t>
  </si>
  <si>
    <t>https://drive.google.com/open?id=1-mqYyiDoAo9YxfAEIPIZ3E1L683D78qm</t>
  </si>
  <si>
    <t>Nesti hermina alunat</t>
  </si>
  <si>
    <t>082237139623</t>
  </si>
  <si>
    <t>https://drive.google.com/open?id=1Y0-SCNndu1arLIXPPquJf7jWusqxdoTg</t>
  </si>
  <si>
    <t>PETRUS LASI</t>
  </si>
  <si>
    <t>082146524480</t>
  </si>
  <si>
    <t>https://drive.google.com/open?id=1vk730M4KiP4Ng0-0zKullTzsbtDQcLj-</t>
  </si>
  <si>
    <t>ANDIANUS LENDE</t>
  </si>
  <si>
    <t>081238924747</t>
  </si>
  <si>
    <t>https://drive.google.com/open?id=1jtSDECqFX-6btcF2eNWLjOwo6qYdxtEe</t>
  </si>
  <si>
    <t>Sefriana ninef</t>
  </si>
  <si>
    <t>082340740331</t>
  </si>
  <si>
    <t>https://drive.google.com/open?id=1VR2FLm8JpMi9MOn0hzZoTq--xRblgipc</t>
  </si>
  <si>
    <t>Achas Gusti Ataupah</t>
  </si>
  <si>
    <t>082153688366</t>
  </si>
  <si>
    <t>https://drive.google.com/open?id=1IiKDJ4s7PAyBk7nxlVMIfTwysV7AH9l2</t>
  </si>
  <si>
    <t>MARIA GORETHI MUSKANAN</t>
  </si>
  <si>
    <t>081246126770</t>
  </si>
  <si>
    <t>Punya kos kosan</t>
  </si>
  <si>
    <t>https://drive.google.com/open?id=1FSXJkG_klkvKlre6C36t5fqACH3IC7wp</t>
  </si>
  <si>
    <t>Hermanjs diata kkaa</t>
  </si>
  <si>
    <t>082266181461</t>
  </si>
  <si>
    <t>https://drive.google.com/open?id=1TKF5kRLLJSmVq9ZzOl3w8ywFKT1nUvkA</t>
  </si>
  <si>
    <t>Vebronia Serliander Ndun</t>
  </si>
  <si>
    <t>085251532661</t>
  </si>
  <si>
    <t>ASN,BIDAN</t>
  </si>
  <si>
    <t>https://drive.google.com/open?id=1FeOHNv2YkffHUVYG309L0IWFwJu6JeEV</t>
  </si>
  <si>
    <t>Yelman babis</t>
  </si>
  <si>
    <t>085936561028</t>
  </si>
  <si>
    <t>https://drive.google.com/open?id=1HvPTjzZXZ38zkKdUO_COH-VqFAQPX8xk</t>
  </si>
  <si>
    <t>Novisius bria klau</t>
  </si>
  <si>
    <t>085338535011</t>
  </si>
  <si>
    <t>https://drive.google.com/open?id=1HYF7YdMk57lVW7EEBJEWGoczE_4KyxST</t>
  </si>
  <si>
    <t xml:space="preserve">Eri olimpas utan </t>
  </si>
  <si>
    <t>082266024157</t>
  </si>
  <si>
    <t xml:space="preserve">Online shop pakaian rombengan </t>
  </si>
  <si>
    <t>https://drive.google.com/open?id=1IVnKkaiDAaRXXDZRyXGF97H8Q-6CPVrF</t>
  </si>
  <si>
    <t>Maria imakulata</t>
  </si>
  <si>
    <t>082144460861</t>
  </si>
  <si>
    <t>https://drive.google.com/open?id=1tydLgS0pYOSX6eNXdQXueuxizDBC70aN</t>
  </si>
  <si>
    <t>IRFAN MALELAK NGGIE</t>
  </si>
  <si>
    <t>082340358448</t>
  </si>
  <si>
    <t>https://drive.google.com/open?id=1sGw90McxLf2C0G7ih5zO-wRycpf7EcX6</t>
  </si>
  <si>
    <t>Ermalinda mamuit salem</t>
  </si>
  <si>
    <t>081246375886</t>
  </si>
  <si>
    <t>https://drive.google.com/open?id=1hCGwODGuv3i_oUhIaB0hhhHZUxB2t_HZ</t>
  </si>
  <si>
    <t>Maria antonia bayangkari mugi</t>
  </si>
  <si>
    <t>082196660172</t>
  </si>
  <si>
    <t>https://drive.google.com/open?id=1t2XBV6ReNI16XbWToBrfnKnDv5E53g4X</t>
  </si>
  <si>
    <t>ARYANTO NDOLU</t>
  </si>
  <si>
    <t>081278901289</t>
  </si>
  <si>
    <t>https://drive.google.com/open?id=1uXMBpFtcRgZ3BolDqgwdh0isPlsx4Ly8</t>
  </si>
  <si>
    <t>Armandina Erni dos reis</t>
  </si>
  <si>
    <t>085333419324</t>
  </si>
  <si>
    <t xml:space="preserve">Jualan online </t>
  </si>
  <si>
    <t>https://drive.google.com/open?id=1RiTvwxx8ABaSVkSz-0LAHBQPQbSCkNkW</t>
  </si>
  <si>
    <t>Simon billiu</t>
  </si>
  <si>
    <t>082238555894</t>
  </si>
  <si>
    <t>https://drive.google.com/open?id=1IGM2P11_yjxVWffCSK45j0LnYQc-wevK</t>
  </si>
  <si>
    <t>IMANUEL RESSIE</t>
  </si>
  <si>
    <t>085156053966</t>
  </si>
  <si>
    <t>https://drive.google.com/open?id=16yJpEuPDq1PrU34M11xqX31u2GbOBzYC</t>
  </si>
  <si>
    <t>Janir rifaya bien</t>
  </si>
  <si>
    <t>082146226144</t>
  </si>
  <si>
    <t>https://drive.google.com/open?id=1l9rKrAR99zeglzH-a8FJ6Tbjf38xwKO0</t>
  </si>
  <si>
    <t>Rosalin Lomi</t>
  </si>
  <si>
    <t>https://drive.google.com/open?id=1zdzSCdyXNpfUEUpx1iZ6m6M1QRuE5z8S</t>
  </si>
  <si>
    <t>Marsala faah</t>
  </si>
  <si>
    <t>081237876901</t>
  </si>
  <si>
    <t>https://drive.google.com/open?id=1X9wfY0U2BOOgDyE5IF2YfykdIU_hiIQz</t>
  </si>
  <si>
    <t>Karolus K. Tagu Deta</t>
  </si>
  <si>
    <t>081327336460</t>
  </si>
  <si>
    <t>https://drive.google.com/open?id=1wg2foLc1rW1S_JhQqJ2iwe2MCe70gulM</t>
  </si>
  <si>
    <t>Angelina doloroson sakan</t>
  </si>
  <si>
    <t>081246554009</t>
  </si>
  <si>
    <t>https://drive.google.com/open?id=1hMGwhEUxl7frP1GRJkDE4dn8LpFMWXHP</t>
  </si>
  <si>
    <t>Meja bitu</t>
  </si>
  <si>
    <t>https://drive.google.com/open?id=1LMpqJIh-0mqMa0Y2MmVz9_86QmwKmn9W</t>
  </si>
  <si>
    <t>Ariando Mafeo</t>
  </si>
  <si>
    <t>087726250514</t>
  </si>
  <si>
    <t>https://drive.google.com/open?id=1gSGBo6K0O6DKpDR88cLGD3cEoDQWWWFO</t>
  </si>
  <si>
    <t>ADRIANUS T.T PAE</t>
  </si>
  <si>
    <t>081337456550</t>
  </si>
  <si>
    <t>https://drive.google.com/open?id=1AUbZtGofGWsdFW4FRGLYIKjmfxkPXfxZ</t>
  </si>
  <si>
    <t>Lusia nangi kewa</t>
  </si>
  <si>
    <t>085339187916</t>
  </si>
  <si>
    <t>https://drive.google.com/open?id=1PQT5yZHQF0kf7LIGoFvIDI-onBwpVU6a</t>
  </si>
  <si>
    <t>Aderian alan jeklin susanto lekewatu</t>
  </si>
  <si>
    <t>082145836136</t>
  </si>
  <si>
    <t>https://drive.google.com/open?id=1e4StHp38hN0Eryc0WJuzBtdjuKzH7SxX</t>
  </si>
  <si>
    <t>Marthinus umbu deta</t>
  </si>
  <si>
    <t>082235423980</t>
  </si>
  <si>
    <t>https://drive.google.com/open?id=1cJCA3Cx8BPDaiJvv9m_uOLscXUSCIJA1</t>
  </si>
  <si>
    <t>Thomasiana soi laku</t>
  </si>
  <si>
    <t>081239301474</t>
  </si>
  <si>
    <t>https://drive.google.com/open?id=1_4QC5Os_BkPTNKDo-YCW9EAbEDnlnJKR</t>
  </si>
  <si>
    <t>Adriana talan</t>
  </si>
  <si>
    <t>085339158364</t>
  </si>
  <si>
    <t>https://drive.google.com/open?id=1p9N8C7R-oOGhgliyBus_ISxZ40fxUPA1</t>
  </si>
  <si>
    <t>Maria Magdalena malo</t>
  </si>
  <si>
    <t>082341923156</t>
  </si>
  <si>
    <t>https://drive.google.com/open?id=1zkVfMYgbKSUkQmi-LigPmy4b1-fMgjI7</t>
  </si>
  <si>
    <t>Robertus Bulu</t>
  </si>
  <si>
    <t>081246317217</t>
  </si>
  <si>
    <t>https://drive.google.com/open?id=1IPYB6RnzQzGoEm0J0xlzfLhYZlsdutq6</t>
  </si>
  <si>
    <t>AGUS BULU</t>
  </si>
  <si>
    <t>082213309199</t>
  </si>
  <si>
    <t>https://drive.google.com/open?id=1aB27_XyU0I3lPWF8zwJ1uFX6RnpE-eHV</t>
  </si>
  <si>
    <t>Siti</t>
  </si>
  <si>
    <t>https://drive.google.com/open?id=1DVpArjrGu8aZChgJiTyRIrSVPTBTnwow</t>
  </si>
  <si>
    <t>081246190862</t>
  </si>
  <si>
    <t>Usaha jualan dipasar</t>
  </si>
  <si>
    <t>https://drive.google.com/open?id=1dANeMqfiPmmX11ZDPpFddrcEYA91lSN-</t>
  </si>
  <si>
    <t>Rita luba lauru</t>
  </si>
  <si>
    <t>082342297162</t>
  </si>
  <si>
    <t>https://drive.google.com/open?id=1J2yKBjtK7zXR5L-y8cKMXY-h29bYWiSg</t>
  </si>
  <si>
    <t>Sri Handayanyi</t>
  </si>
  <si>
    <t>082147614786</t>
  </si>
  <si>
    <t>https://drive.google.com/open?id=1QQ2sEmRAz8GGCzVY7yMlQI7jYRTZikWZ</t>
  </si>
  <si>
    <t>ADRIANUS DATU KADI</t>
  </si>
  <si>
    <t>081337382942</t>
  </si>
  <si>
    <t>https://drive.google.com/open?id=12jvsP80xkM2_eFMAvwsXwoQxLDWiSRBv</t>
  </si>
  <si>
    <t>GESTI MELINDA NASSA</t>
  </si>
  <si>
    <t>082236422156</t>
  </si>
  <si>
    <t>https://drive.google.com/open?id=1hMQRKvFGl9Av7p-LW_4UUcjWws2UGuzm</t>
  </si>
  <si>
    <t>081339232227</t>
  </si>
  <si>
    <t>https://drive.google.com/open?id=1t_F3KH6daqQZL9uKGxWcyrVK7XpSC5xo</t>
  </si>
  <si>
    <t>SELVY ANJELITA BUU</t>
  </si>
  <si>
    <t>082221703904</t>
  </si>
  <si>
    <t>https://drive.google.com/open?id=1CoSe9PkIUCiC6vEVcUEGLl72em0v_zB6</t>
  </si>
  <si>
    <t>Nikolas kono</t>
  </si>
  <si>
    <t>082145953148</t>
  </si>
  <si>
    <t>https://drive.google.com/open?id=1D-OdJ2X-9s09QkgcxtEgLAhS2j1jMsn9</t>
  </si>
  <si>
    <t>Larry vevarius wawo</t>
  </si>
  <si>
    <t>085955234543</t>
  </si>
  <si>
    <t>https://drive.google.com/open?id=1r57d4lrYeOowcFg7_r-5e0Asny-Eg39f</t>
  </si>
  <si>
    <t>Mardiana upa raji</t>
  </si>
  <si>
    <t>082235129906</t>
  </si>
  <si>
    <t>https://drive.google.com/open?id=1oUEn2Y1J0XN1UaIQ9FMkEGzCZPqwySUj</t>
  </si>
  <si>
    <t>Angela lotu</t>
  </si>
  <si>
    <t>082217327617</t>
  </si>
  <si>
    <t>https://drive.google.com/open?id=1NjqIaUctqGd4O4XjwGCd17N2u8oNTLlU</t>
  </si>
  <si>
    <t>Santriana Fia</t>
  </si>
  <si>
    <t>081237064559</t>
  </si>
  <si>
    <t>https://drive.google.com/open?id=1H6ayAlHH4MGBL-ukuBOWAitqfJcGGer0</t>
  </si>
  <si>
    <t>Marthen lende</t>
  </si>
  <si>
    <t>082340724189</t>
  </si>
  <si>
    <t>https://drive.google.com/open?id=1p13fnwiKjTUNbF4ZJ35F26Rxm7lXwl2T</t>
  </si>
  <si>
    <t>Yohanis ringgi malo</t>
  </si>
  <si>
    <t>082144279248</t>
  </si>
  <si>
    <t>https://drive.google.com/open?id=1X9CwoaZBTIgxZyoVVe5LV6L_jwIVoWA4</t>
  </si>
  <si>
    <t>Arny susanty halla</t>
  </si>
  <si>
    <t>085737497879</t>
  </si>
  <si>
    <t>https://drive.google.com/open?id=12j2QSX7S6BF6M7J_glHtVh9EZJ9msfdC</t>
  </si>
  <si>
    <t>Maria a</t>
  </si>
  <si>
    <t>085800913139</t>
  </si>
  <si>
    <t>https://drive.google.com/open?id=1HfRtX3FxiwkbVbuOLsmN_ew1r-yLtclz</t>
  </si>
  <si>
    <t>Yublina lombo</t>
  </si>
  <si>
    <t>081330893574</t>
  </si>
  <si>
    <t>https://drive.google.com/open?id=1Ka6Nz4oVoucDTRnjtQ6GVHAJb7fdYmb3</t>
  </si>
  <si>
    <t xml:space="preserve">Agustinus nadu bulu </t>
  </si>
  <si>
    <t>085168914397</t>
  </si>
  <si>
    <t>https://drive.google.com/open?id=1ag0N08MlNQJUfXowvPLvwTI8CfYkiN2l</t>
  </si>
  <si>
    <t>Maria Florensia lende</t>
  </si>
  <si>
    <t>081246507024</t>
  </si>
  <si>
    <t>https://drive.google.com/open?id=13R4P5FFawLxDotFlaHa0_mIk2LBO0w4c</t>
  </si>
  <si>
    <t>Yosep dadi dara</t>
  </si>
  <si>
    <t>https://drive.google.com/open?id=19ck90iAaServOE88BKgaaWWC081GVlJY</t>
  </si>
  <si>
    <t>Asti rafael</t>
  </si>
  <si>
    <t>085950562047</t>
  </si>
  <si>
    <t>https://drive.google.com/open?id=1QiUfDS1Me5Z3YOe3PVkh1EWcZ8UvaB5j</t>
  </si>
  <si>
    <t>Radit radja lado</t>
  </si>
  <si>
    <t>085338390619</t>
  </si>
  <si>
    <t>https://drive.google.com/open?id=1edNwbxqnnOy8v8k8a9BYD6ZzmBYXF1bE</t>
  </si>
  <si>
    <t>Delon reo</t>
  </si>
  <si>
    <t>081238976112</t>
  </si>
  <si>
    <t>https://drive.google.com/open?id=1iFZavkoKQOWEMWwQo0uq6X0XBSl926b3</t>
  </si>
  <si>
    <t>Dini kartika mone</t>
  </si>
  <si>
    <t>085137736628</t>
  </si>
  <si>
    <t>https://drive.google.com/open?id=1DfQby_Xp-vqidneMVu3wjNxKHH8oUQcH</t>
  </si>
  <si>
    <t>DORKAS BEKO DIMA</t>
  </si>
  <si>
    <t>081235676091</t>
  </si>
  <si>
    <t xml:space="preserve">WIRASWASTA </t>
  </si>
  <si>
    <t>https://drive.google.com/open?id=1rLtdabWYNoQLf_BzSkMCAJjxEDXm0vRf</t>
  </si>
  <si>
    <t>Desi Debora Oematan</t>
  </si>
  <si>
    <t>081324926266</t>
  </si>
  <si>
    <t>https://drive.google.com/open?id=1FjGGboBKuTq8jIW7yohYT5Jrhh6swWhX</t>
  </si>
  <si>
    <t>maria irene tae</t>
  </si>
  <si>
    <t>081237890245</t>
  </si>
  <si>
    <t>https://drive.google.com/open?id=1TKA20ksyUfnfueOJBbRZqnkChWyoK0s6</t>
  </si>
  <si>
    <t>Elani aprilia malelak nggie</t>
  </si>
  <si>
    <t>081236789021</t>
  </si>
  <si>
    <t>https://drive.google.com/open?id=1W3ERh-HNaHyvuQb-_SsOZc4xfB3n1qiz</t>
  </si>
  <si>
    <t>Anjelina Asri Kambe</t>
  </si>
  <si>
    <t>085700845465</t>
  </si>
  <si>
    <t>https://drive.google.com/open?id=1kMWDITi2Rd0hVWgzlDT6bvFageh2NEIE</t>
  </si>
  <si>
    <t>DEWI SHINTA</t>
  </si>
  <si>
    <t>081229685054</t>
  </si>
  <si>
    <t>https://drive.google.com/open?id=1AQ_BPGasCkeUan4LA_UeSkEG0B-BKO90</t>
  </si>
  <si>
    <t>Riska Yuliana Kabnani</t>
  </si>
  <si>
    <t>https://drive.google.com/open?id=1VFHkvyNGnqC-bsvVw_jmrb-HYopTlMfi</t>
  </si>
  <si>
    <t>Zakarias maak</t>
  </si>
  <si>
    <t>081337766743</t>
  </si>
  <si>
    <t>https://drive.google.com/open?id=11JLh9_NymE99uhP40R1ZAFoSTc20_Sgx</t>
  </si>
  <si>
    <t>Chalara P. a bengu</t>
  </si>
  <si>
    <t>082286286914</t>
  </si>
  <si>
    <t>https://drive.google.com/open?id=1DRsLOm4mqb6dIX2f6xxh9RpBi6pdZ2SB</t>
  </si>
  <si>
    <t xml:space="preserve">Vidal dos reis asa </t>
  </si>
  <si>
    <t>081367212615</t>
  </si>
  <si>
    <t>https://drive.google.com/open?id=1Hm1_WEWgBOhvQFhNMitpCL1sQqTHG7Ws</t>
  </si>
  <si>
    <t>TEO RISALDI DIKI TAKANJANJI</t>
  </si>
  <si>
    <t>082266249567</t>
  </si>
  <si>
    <t>https://drive.google.com/open?id=1Ezu8KFnRfaeFjDX_e3u7uQaTu_xt-cQv</t>
  </si>
  <si>
    <t>ARIS MAWU KABA</t>
  </si>
  <si>
    <t>081246242891</t>
  </si>
  <si>
    <t>https://drive.google.com/open?id=180DyQtxwTnS5gTQstBBRy87XXM1wpG08</t>
  </si>
  <si>
    <t>JURIA USMAN</t>
  </si>
  <si>
    <t>081</t>
  </si>
  <si>
    <t>https://drive.google.com/open?id=1PbRT4HXCHaN4Lh1KUXYR5QN4CKYhU26B</t>
  </si>
  <si>
    <t>Justina natonis</t>
  </si>
  <si>
    <t>082145827926</t>
  </si>
  <si>
    <t>https://drive.google.com/open?id=1-RCBfkIBLK34WutTZBUL-Fqu4H682paa</t>
  </si>
  <si>
    <t>junimus mbori</t>
  </si>
  <si>
    <t>082266059428</t>
  </si>
  <si>
    <t>https://drive.google.com/open?id=10aBdHrW0Umky68UOOt12XLUwrRxhGNKA</t>
  </si>
  <si>
    <t>RENIATI RIJA NGGAJI</t>
  </si>
  <si>
    <t>082147434655</t>
  </si>
  <si>
    <t>https://drive.google.com/open?id=1byR9OqVuj-Wrrge2VhOzvOKeQfQvWm9l</t>
  </si>
  <si>
    <t>Sopia Daindo Bili</t>
  </si>
  <si>
    <t>082377094556</t>
  </si>
  <si>
    <t>Kode IDN tidak jadi</t>
  </si>
  <si>
    <t>https://drive.google.com/open?id=1PGhAK8_4wy7PNxXx0WUycUkRyUdYFhFm</t>
  </si>
  <si>
    <t>Jekhonia sabuna</t>
  </si>
  <si>
    <t>082145151032</t>
  </si>
  <si>
    <t>https://drive.google.com/open?id=1tpQyEolKaD3eQix1LMRTTmcBnsJwJEkP</t>
  </si>
  <si>
    <t>welmynce s klaas</t>
  </si>
  <si>
    <t>081237890432</t>
  </si>
  <si>
    <t>https://drive.google.com/open?id=18rVYbwT7g-zkqLOGdjpw1qclUDT7tY7b</t>
  </si>
  <si>
    <t>Atin yaku danga</t>
  </si>
  <si>
    <t>081339106744</t>
  </si>
  <si>
    <t>https://drive.google.com/open?id=1jL0O4yQame0RVcfeas1FdFKGKFw-6W3A</t>
  </si>
  <si>
    <t>DEBORA MAGI BOLU</t>
  </si>
  <si>
    <t>081246247647</t>
  </si>
  <si>
    <t>https://drive.google.com/open?id=1Q47ftyr-67-yS6PSbMeWp4VauX3MScGq</t>
  </si>
  <si>
    <t>MELTON RICHARD DIRA</t>
  </si>
  <si>
    <t>081246004235</t>
  </si>
  <si>
    <t>https://drive.google.com/open?id=1ZRh7LfXXZ3fsE8zQdF1RZbxDTSq9TCE9</t>
  </si>
  <si>
    <t>Magi kariam</t>
  </si>
  <si>
    <t>https://drive.google.com/open?id=1UMrd-WKgBFDEl1mCfcT3JN0hPRbM0qFD</t>
  </si>
  <si>
    <t>https://drive.google.com/open?id=1Xc-UCZx8VDPpbfAT7UEzQwv_GG_Ab6mp</t>
  </si>
  <si>
    <t>ANCELIN P. A. MILA</t>
  </si>
  <si>
    <t>081260034654</t>
  </si>
  <si>
    <t>https://drive.google.com/open?id=1noASEMReo9mXHzS_7DzjgSozKcejw9c8</t>
  </si>
  <si>
    <t>yandrie fanggidae</t>
  </si>
  <si>
    <t>0812356789021</t>
  </si>
  <si>
    <t>https://drive.google.com/open?id=1GWk__sc4HcbqAQ7euPVsZExCEdOQOoxj</t>
  </si>
  <si>
    <t>Sardi Abraham Manuain</t>
  </si>
  <si>
    <t>085211640620</t>
  </si>
  <si>
    <t>https://drive.google.com/open?id=1txb1ofC50sbI5f4bBa8MGYKpdYI1bV-3</t>
  </si>
  <si>
    <t>SUSANTI MAGI RINGU</t>
  </si>
  <si>
    <t>082147433670</t>
  </si>
  <si>
    <t>https://drive.google.com/open?id=1So9zYAatlKOtKXkZ-NduA_UGU1p9iLP4</t>
  </si>
  <si>
    <t>LUSIA LAKA GALLU</t>
  </si>
  <si>
    <t>085338546896</t>
  </si>
  <si>
    <t>https://drive.google.com/open?id=10iHk2OYOxJFhba1q6sYeV5bvRaM3cti_</t>
  </si>
  <si>
    <t>Nonci liu</t>
  </si>
  <si>
    <t>082147627941</t>
  </si>
  <si>
    <t>https://drive.google.com/open?id=14nP1CknMDilPdB8Y79kARuibGMr0NdZv</t>
  </si>
  <si>
    <t>Margaretha safira bona</t>
  </si>
  <si>
    <t>082144281419</t>
  </si>
  <si>
    <t>https://drive.google.com/open?id=1x_Oz2rNEuo9w_OHSg9mZpTJU0XbHeh8M, https://drive.google.com/open?id=1f9DQX8a4FqrT1BPibFXZmN5ynr99dq82</t>
  </si>
  <si>
    <t xml:space="preserve">Mesakh Lattan </t>
  </si>
  <si>
    <t>082146606422</t>
  </si>
  <si>
    <t>https://drive.google.com/open?id=1m366g1rGQnKOr3tMk3tLLtYwKEsCMyCw</t>
  </si>
  <si>
    <t>Yanuarius Nae</t>
  </si>
  <si>
    <t>081216027431</t>
  </si>
  <si>
    <t>Satpam sekolah</t>
  </si>
  <si>
    <t>https://drive.google.com/open?id=14zh4OZjATNAIUZxIdxFo3pfz1Uxzxg8d</t>
  </si>
  <si>
    <t>Cindi Tambunan</t>
  </si>
  <si>
    <t>081312094847</t>
  </si>
  <si>
    <t>https://drive.google.com/open?id=13TNppiRVnvzXcUt2yxpHKbQOm1UDoF1D</t>
  </si>
  <si>
    <t>Soleman sairo</t>
  </si>
  <si>
    <t>https://drive.google.com/open?id=138k5XRiw5lCP3VLkz_QwaOrndLITpFGv</t>
  </si>
  <si>
    <t>Filomena sakera</t>
  </si>
  <si>
    <t>0895342078937</t>
  </si>
  <si>
    <t>https://drive.google.com/open?id=19YZsjDM2YEeu1MICP9PlpHrwN9YREkBH</t>
  </si>
  <si>
    <t xml:space="preserve"> Marselina hia</t>
  </si>
  <si>
    <t>081227608266</t>
  </si>
  <si>
    <t>https://drive.google.com/open?id=14C1q9BvVc4eRwv0R07pW8-wzuOYKs5PS</t>
  </si>
  <si>
    <t>INKA SINTIA RIHI</t>
  </si>
  <si>
    <t>082145464036</t>
  </si>
  <si>
    <t>https://drive.google.com/open?id=1ZdyOPHpn9svqBzrlukxQ4hVCOpAEKshW</t>
  </si>
  <si>
    <t>Adolfina margareta ledoh</t>
  </si>
  <si>
    <t>085921669421</t>
  </si>
  <si>
    <t>https://drive.google.com/open?id=1a7Ec7PZNyY6KrgjigyH34a51Rlq780Ww</t>
  </si>
  <si>
    <t>Emeince boineno</t>
  </si>
  <si>
    <t>082145661929</t>
  </si>
  <si>
    <t>https://drive.google.com/open?id=1C-Dd3_YflhPGdXc_6bZuom9ZtOI8k8pV</t>
  </si>
  <si>
    <t>Vincensius L erap</t>
  </si>
  <si>
    <t>082147577443</t>
  </si>
  <si>
    <t>https://drive.google.com/open?id=19pEyAZyCYTfNO-7eeRYklAVfsXoDz2ci</t>
  </si>
  <si>
    <t>Apolinaris Raja</t>
  </si>
  <si>
    <t>+6281238502162</t>
  </si>
  <si>
    <t>https://drive.google.com/open?id=1brJWvV-_nQCvrLGVaG-f2BdexxcM_HiS</t>
  </si>
  <si>
    <t>Dolli lado uju</t>
  </si>
  <si>
    <t>085738233084</t>
  </si>
  <si>
    <t>https://drive.google.com/open?id=1q4F2Rn_CaURzHphL4COWbZpgMRS8PgP6</t>
  </si>
  <si>
    <t>Dionisius anoit</t>
  </si>
  <si>
    <t>081337371672</t>
  </si>
  <si>
    <t>https://drive.google.com/open?id=14_oY82LB8owX_byVoul-9dlKuSQTVoYN</t>
  </si>
  <si>
    <t>Desiana timo inya</t>
  </si>
  <si>
    <t>085339169589</t>
  </si>
  <si>
    <t>https://drive.google.com/open?id=1QpDA8-AjGUAKgaF41zru-Yt-m_OHPnnJ</t>
  </si>
  <si>
    <t>Dominggus baitanu</t>
  </si>
  <si>
    <t>085239515357</t>
  </si>
  <si>
    <t>https://drive.google.com/open?id=1nMlxH27G8WM0w1bzkSaDY16abgoCS5Za</t>
  </si>
  <si>
    <t>ELISABETH DULU MOSA</t>
  </si>
  <si>
    <t>085141296696</t>
  </si>
  <si>
    <t>https://drive.google.com/open?id=1P5RSag1mS558RZ-mSKVoA-5TQBKgFsyk</t>
  </si>
  <si>
    <t>Jeni Ana Hutar</t>
  </si>
  <si>
    <t>082339407907</t>
  </si>
  <si>
    <t>https://drive.google.com/open?id=1PxbGi7fCKp0cgK3e5irIxGmvYTXjOYLr</t>
  </si>
  <si>
    <t>Arni Merlin Kenat</t>
  </si>
  <si>
    <t>082237263939</t>
  </si>
  <si>
    <t>https://drive.google.com/open?id=15Q8SzfDmD33hmywGhthmZ9Nd-OpGYH16</t>
  </si>
  <si>
    <t>Abraham nono</t>
  </si>
  <si>
    <t>https://drive.google.com/open?id=1wZnszyRDGC9AkigXUc0139ymfOwTcQYq</t>
  </si>
  <si>
    <t>https://drive.google.com/open?id=1Euj6M14BBFAq4OCr2AOeoAdjMWiU9xMp</t>
  </si>
  <si>
    <t>Fransiskus NAIKTEAS</t>
  </si>
  <si>
    <t>082144002314</t>
  </si>
  <si>
    <t>https://drive.google.com/open?id=1pFKCB-fThjVBt3rG0pGA9MSjFw1veS3G</t>
  </si>
  <si>
    <t>Yoksin sinbala</t>
  </si>
  <si>
    <t>085295255390</t>
  </si>
  <si>
    <t>https://drive.google.com/open?id=1UpfvS_2IaAGV1i-ReRD6z86x_vO9JsB2</t>
  </si>
  <si>
    <t>RATNA SARIANI</t>
  </si>
  <si>
    <t>082217857851</t>
  </si>
  <si>
    <t>https://drive.google.com/open?id=17udqqAWqfhoE47RDuFd4o8JjJXfS_bsF</t>
  </si>
  <si>
    <t>Ancilia moniz jong</t>
  </si>
  <si>
    <t>081338995998</t>
  </si>
  <si>
    <t>https://drive.google.com/open?id=1QL4lJtbQWuYvK46Mt2_0VlHR1X8PTRCM</t>
  </si>
  <si>
    <t>Yunus l kalinggoru</t>
  </si>
  <si>
    <t>085749525</t>
  </si>
  <si>
    <t>https://drive.google.com/open?id=1LWLqhHgp5P1BW2i0nl7VDMY0uWrxruaN</t>
  </si>
  <si>
    <t>𝘒𝘳𝘪𝘴𝘵𝘪𝘢𝘯 𝘴𝘯𝘢𝘦</t>
  </si>
  <si>
    <t>082144305910</t>
  </si>
  <si>
    <t>https://drive.google.com/open?id=1i1s6WQUSltX0CF9cFm2Rcqv_vUWUlVjN</t>
  </si>
  <si>
    <t>Yemina wunga pote</t>
  </si>
  <si>
    <t>081338142474</t>
  </si>
  <si>
    <t>https://drive.google.com/open?id=1mx_ZsJWYBcMlWj8u3rB5wctwuEE9MENv</t>
  </si>
  <si>
    <t>Rezin remalya sniut</t>
  </si>
  <si>
    <t>085134419314</t>
  </si>
  <si>
    <t>Penjual ikan</t>
  </si>
  <si>
    <t>https://drive.google.com/open?id=1QhYu4oFuEqYHK3zlZbq-Z9Wii1ij9sFT</t>
  </si>
  <si>
    <t>Danial sollu</t>
  </si>
  <si>
    <t>081238305634</t>
  </si>
  <si>
    <t>https://drive.google.com/open?id=1IKCRUDF8MoUvGPwFa6R85pO6EH65qYCM</t>
  </si>
  <si>
    <t>Jeane a meok</t>
  </si>
  <si>
    <t>085333092939</t>
  </si>
  <si>
    <t>https://drive.google.com/open?id=1UVjtm1q6N9Z4bmOYfp2rryT2BIuzACvi</t>
  </si>
  <si>
    <t>Elisabeth agustin baunsele</t>
  </si>
  <si>
    <t>087741422261</t>
  </si>
  <si>
    <t>https://drive.google.com/open?id=1kdadl9HOGSVj-z29_aU8x3ZZPRP0TyXC</t>
  </si>
  <si>
    <t>Oktavianus tanggu dendo</t>
  </si>
  <si>
    <t>085333730044</t>
  </si>
  <si>
    <t>https://drive.google.com/open?id=174HsBuSAoHQT20iTRSaCsTtIbZvH4-Qf</t>
  </si>
  <si>
    <t>Rusli marsuki</t>
  </si>
  <si>
    <t>085134421128</t>
  </si>
  <si>
    <t>Wirasuwasta</t>
  </si>
  <si>
    <t>https://drive.google.com/open?id=1E9XOop1mEMJo4W3XQkL7HofrzPWPnIFY</t>
  </si>
  <si>
    <t>TEOFILUS DJAMI</t>
  </si>
  <si>
    <t>085601971979</t>
  </si>
  <si>
    <t>https://drive.google.com/open?id=1XnQDZdt5lAxyGm3Fe8OQkMUnNQai42gt</t>
  </si>
  <si>
    <t>SERLINA INA BILI</t>
  </si>
  <si>
    <t>081234565061</t>
  </si>
  <si>
    <t>https://drive.google.com/open?id=1kzQMcpduIux5Sz7TKLAVtti5hHqDXOmy</t>
  </si>
  <si>
    <t>Yuliana ngaji pige</t>
  </si>
  <si>
    <t>081246245091</t>
  </si>
  <si>
    <t>https://drive.google.com/open?id=1e9kYjBIcX9e8fHgacSc1yECEuqhuQ5JD</t>
  </si>
  <si>
    <t>Desi kore mone</t>
  </si>
  <si>
    <t>081218723887</t>
  </si>
  <si>
    <t>https://drive.google.com/open?id=1Gmb7bpKyU-1xkETwQFVypCq6OCWccqB8</t>
  </si>
  <si>
    <t>JONIUS LENDE</t>
  </si>
  <si>
    <t>081246250289</t>
  </si>
  <si>
    <t>https://drive.google.com/open?id=1_TplS9KN7LNVIzUXaGTF-fjRe8m1dGm2</t>
  </si>
  <si>
    <t>Herman Obe</t>
  </si>
  <si>
    <t>081236072542</t>
  </si>
  <si>
    <t>Petani/Ojek</t>
  </si>
  <si>
    <t>https://drive.google.com/open?id=16rNASS5c4gDMl21vfIFvpSb3X6QAXYS9</t>
  </si>
  <si>
    <t>BENYAMIN B. DOWA</t>
  </si>
  <si>
    <t>081234656091</t>
  </si>
  <si>
    <t>https://drive.google.com/open?id=17O9xiPrCAPeOCpuHvlOmh2D2a6NDI9hU</t>
  </si>
  <si>
    <t>Alexander Seubelan</t>
  </si>
  <si>
    <t>081237640302</t>
  </si>
  <si>
    <t>https://drive.google.com/open?id=1ww9OiTBh2kSg29jqiwtTUpw5JE8jnJ5i</t>
  </si>
  <si>
    <t>Andrianus nikolas bria</t>
  </si>
  <si>
    <t>081381767496</t>
  </si>
  <si>
    <t>https://drive.google.com/open?id=1p8hxBcQ3P9o5EBwpPHCXwBeyOdMyGSSv</t>
  </si>
  <si>
    <t>Aril Ardiyansah yusuf</t>
  </si>
  <si>
    <t>3.5</t>
  </si>
  <si>
    <t>https://drive.google.com/open?id=1cwhXMrzsTtqDTpexgfsGWWutSmcra02n</t>
  </si>
  <si>
    <t>Lisda salomi lifu</t>
  </si>
  <si>
    <t>081805295738</t>
  </si>
  <si>
    <t>https://drive.google.com/open?id=1bmQStiGOIZBBR7a0Vhu5-wlUEkO3jKBu</t>
  </si>
  <si>
    <t>JHON LEVO HAINGU</t>
  </si>
  <si>
    <t>082266798709</t>
  </si>
  <si>
    <t>PETANI</t>
  </si>
  <si>
    <t>https://drive.google.com/open?id=1TN5vgntGBQcznQIb9MtJ360Cdjfivmdd</t>
  </si>
  <si>
    <t>WELEM WURAKA LEDI</t>
  </si>
  <si>
    <t>081246254670</t>
  </si>
  <si>
    <t>https://drive.google.com/open?id=1OHjyRDgQ_4Ip6ScaoYVRojc1Tf9SM3mL</t>
  </si>
  <si>
    <t>Debora billa wonda</t>
  </si>
  <si>
    <t>081339106056</t>
  </si>
  <si>
    <t>https://drive.google.com/open?id=1-MKQ3mxFJNTL9-XASFei2ZniBVx4oXkP</t>
  </si>
  <si>
    <t>Jefra edison leo</t>
  </si>
  <si>
    <t>082144843557</t>
  </si>
  <si>
    <t>https://drive.google.com/open?id=1NzXypAWRN0Z-M4e6DOciEMHBvy0hcBul</t>
  </si>
  <si>
    <t xml:space="preserve">Seprianus Missa </t>
  </si>
  <si>
    <t>082261880250</t>
  </si>
  <si>
    <t>https://drive.google.com/open?id=1q5HvufeXVQ4cbYBXvrGbZW70TaXdpuMq</t>
  </si>
  <si>
    <t>DIANA MANU</t>
  </si>
  <si>
    <t>085167110723</t>
  </si>
  <si>
    <t>https://drive.google.com/open?id=15Y8LFr05QmiX0mVGW8tGex6QG1QR6amj</t>
  </si>
  <si>
    <t>Fransiska Koa</t>
  </si>
  <si>
    <t>082340061410</t>
  </si>
  <si>
    <t>Bengkel Kayu(Mebel)</t>
  </si>
  <si>
    <t>https://drive.google.com/open?id=1AfPgx6Rt1d5W0aTdIfMmisC-tL-KxV4H</t>
  </si>
  <si>
    <t>Egidius Talan</t>
  </si>
  <si>
    <t>087727683303</t>
  </si>
  <si>
    <t>Wiraswasta,kerja di mebel kayu</t>
  </si>
  <si>
    <t>https://drive.google.com/open?id=1H4KtB757MhIVOvn2NEhWrNELu5ae-sw_</t>
  </si>
  <si>
    <t>Yanti delsi missa</t>
  </si>
  <si>
    <t>08224731655</t>
  </si>
  <si>
    <t>https://drive.google.com/open?id=1yfYErkmHXS1UY5bviBeC1g2qaheW0L6h</t>
  </si>
  <si>
    <t>Mekhy A Penuam</t>
  </si>
  <si>
    <t>081237444633</t>
  </si>
  <si>
    <t>https://drive.google.com/open?id=1MeufOPqghpg_Q-8aO5L7a8uL9TFGeGAW</t>
  </si>
  <si>
    <t>Florani rachel christians</t>
  </si>
  <si>
    <t>085148472660</t>
  </si>
  <si>
    <t>https://drive.google.com/open?id=1_38CU56Bcfjd8z9BxNFkfXFw8_xGyMAO</t>
  </si>
  <si>
    <t>ARYEN ALEXANDER BUNGA</t>
  </si>
  <si>
    <t>+628979453074</t>
  </si>
  <si>
    <t>https://drive.google.com/open?id=1sPx1_a_DdoJkmsbjFFppZDTkMUD1ROcO</t>
  </si>
  <si>
    <t>Noldi Alexander Nofus</t>
  </si>
  <si>
    <t>085708902249</t>
  </si>
  <si>
    <t>https://drive.google.com/open?id=1vdzd-vA0_GEizF8uddQl0ES5xyjq4nFS</t>
  </si>
  <si>
    <t>Martini rambu wandal</t>
  </si>
  <si>
    <t>0895335659276</t>
  </si>
  <si>
    <t>https://drive.google.com/open?id=1_Sf3N-atLHWbBzBchWRAAhClQYDmt7dn</t>
  </si>
  <si>
    <t>Stephani M Ndun</t>
  </si>
  <si>
    <t>081237204196</t>
  </si>
  <si>
    <t>https://drive.google.com/open?id=1q7IoswAngDIkrD7R0Q1ybxsVYpOSMenU</t>
  </si>
  <si>
    <t>Robinson donli seni</t>
  </si>
  <si>
    <t>085729544263</t>
  </si>
  <si>
    <t>https://drive.google.com/open?id=1gGgA8WDneXe07hAGxXxGKphpQmWYWN2D</t>
  </si>
  <si>
    <t xml:space="preserve">Kristofel mataubenu </t>
  </si>
  <si>
    <t>082160123841</t>
  </si>
  <si>
    <t>https://drive.google.com/open?id=1QTyF6fPUII1UkWmzBj5oR0pQLDddDngX</t>
  </si>
  <si>
    <t>FRANSISKUS SAVERIUS MALI NGARA</t>
  </si>
  <si>
    <t>082396048025</t>
  </si>
  <si>
    <t>https://drive.google.com/open?id=1lT5zapSsry82MrQIt2EbFU9DDKLI4Z3n</t>
  </si>
  <si>
    <t>YOHANIS MALO</t>
  </si>
  <si>
    <t>https://drive.google.com/open?id=1appmHl_Y8-xVAyARY9VRgUCczaoomQZQ</t>
  </si>
  <si>
    <t>Dedrikson kristian meta yiwa</t>
  </si>
  <si>
    <t>2.5</t>
  </si>
  <si>
    <t>https://drive.google.com/open?id=1DP4HyUrabNYahThJl8jCHFQru9EsfvwE</t>
  </si>
  <si>
    <t>Meni Mariance Ngili</t>
  </si>
  <si>
    <t>082343537829</t>
  </si>
  <si>
    <t>https://drive.google.com/open?id=1aM3wxTv2SX3PpyMNR5VlxJYcGj5xzov_</t>
  </si>
  <si>
    <t>Rendi Mbay Landu Kara</t>
  </si>
  <si>
    <t>082247726282</t>
  </si>
  <si>
    <t>https://drive.google.com/open?id=1WEn_yBy1xwLHDXEoZLswHwmGSw91I5e1</t>
  </si>
  <si>
    <t>Fanti adriana faot</t>
  </si>
  <si>
    <t>082147238151</t>
  </si>
  <si>
    <t>Jualan online</t>
  </si>
  <si>
    <t>https://drive.google.com/open?id=1b-XHVwSfQbLtaoVmItQ9fMrvcu4GtaHo</t>
  </si>
  <si>
    <t>Semri yeni atto</t>
  </si>
  <si>
    <t>081230620363</t>
  </si>
  <si>
    <t>https://drive.google.com/open?id=1i6jPKFE1J5rq01-DUHL_sitTbx-HgsSd</t>
  </si>
  <si>
    <t>PAULCE R. NDUN</t>
  </si>
  <si>
    <t>081998009343</t>
  </si>
  <si>
    <t>https://drive.google.com/open?id=10RbfVWRU2sYNaOvF5DlLJ4wTw-H2ua9A</t>
  </si>
  <si>
    <t>Aplonia Lani woda</t>
  </si>
  <si>
    <t>082144305686</t>
  </si>
  <si>
    <t>https://drive.google.com/open?id=1ehjJwg2vw4RZJiPl2m58EOc_S41cKQ4C</t>
  </si>
  <si>
    <t>Eri pindi ndahi</t>
  </si>
  <si>
    <t>https://drive.google.com/open?id=1XPoU46gSTvNbnbRDbyvSd83XTSZbySmB</t>
  </si>
  <si>
    <t>Gosyen hendrik mbatu</t>
  </si>
  <si>
    <t>082237932833</t>
  </si>
  <si>
    <t>https://drive.google.com/open?id=14F0akKBCeAxZen3DQq87yu8tEJF2GiPR</t>
  </si>
  <si>
    <t>Ridja ana tina</t>
  </si>
  <si>
    <t>081236974523</t>
  </si>
  <si>
    <t>https://drive.google.com/open?id=1_I2wKANHerMJfWtDlz_QWc1dXZcAF3Yz</t>
  </si>
  <si>
    <t>Petrus Gollu</t>
  </si>
  <si>
    <t>081238237513</t>
  </si>
  <si>
    <t>https://drive.google.com/open?id=1f04FjFFF-3m5r9IyrPkpH40w3o2d2Abb</t>
  </si>
  <si>
    <t>ZAINAB</t>
  </si>
  <si>
    <t>081337044625</t>
  </si>
  <si>
    <t>https://drive.google.com/open?id=13dNgJXpCEXFY3xMiLAZVMF8ZagxmgiHf</t>
  </si>
  <si>
    <t>Yulistiawati radjah</t>
  </si>
  <si>
    <t>082143831744</t>
  </si>
  <si>
    <t>https://drive.google.com/open?id=1nNH9IJOVGodbcLFJoniFe4KaLngsTPtV</t>
  </si>
  <si>
    <t>Riki brinaldi ndii</t>
  </si>
  <si>
    <t>082231304129</t>
  </si>
  <si>
    <t>https://drive.google.com/open?id=1io-65g_i-eUgN_iY749dtKJVQMwvBb7T</t>
  </si>
  <si>
    <t>Anggri hada ana</t>
  </si>
  <si>
    <t>082299475175</t>
  </si>
  <si>
    <t>https://drive.google.com/open?id=1H-yO2_y36nYxtHxLLgyYGUYig1dWCMsx</t>
  </si>
  <si>
    <t>astini fanggi</t>
  </si>
  <si>
    <t>081339868677</t>
  </si>
  <si>
    <t>https://drive.google.com/open?id=10qT7xYrNTkqBNG8GUfd1l1jcHp56xIGI</t>
  </si>
  <si>
    <t>Dwi adinda cicilia lenggu</t>
  </si>
  <si>
    <t>085253200430</t>
  </si>
  <si>
    <t>belum di setujui</t>
  </si>
  <si>
    <t>https://drive.google.com/open?id=1Q8WuJS0jDCu7bDewm0YPy-r0U7F5LyA7</t>
  </si>
  <si>
    <t>Anita Carolina salomi lay</t>
  </si>
  <si>
    <t>081339021876</t>
  </si>
  <si>
    <t>https://drive.google.com/open?id=1r2Ej7y4jf75RL2DVSsOFQt3HL5KNqkMw</t>
  </si>
  <si>
    <t xml:space="preserve">Jery rifaldo tameon </t>
  </si>
  <si>
    <t>https://drive.google.com/open?id=1FERGgWhUBJY5QFDLmXgCW65NUaLyoBDH</t>
  </si>
  <si>
    <t>WURAKA LERO</t>
  </si>
  <si>
    <t>085253358731</t>
  </si>
  <si>
    <t>https://drive.google.com/open?id=1CRlNxzSVvVLcfCnfhaHPt5MsfC68qDoc</t>
  </si>
  <si>
    <t>YANUARIUS LENDE WARA</t>
  </si>
  <si>
    <t>081238944849</t>
  </si>
  <si>
    <t>https://drive.google.com/open?id=1rsQ58mFMnMlemXGeMxo2CQOfsTxv9wjY</t>
  </si>
  <si>
    <t>Yuliana leda tarawini</t>
  </si>
  <si>
    <t>082144713862</t>
  </si>
  <si>
    <t>https://drive.google.com/open?id=1fCx6iaNpCiMOcQ5hBA7KTp6TiIJwQct3</t>
  </si>
  <si>
    <t>Jeni faot</t>
  </si>
  <si>
    <t>085216849751</t>
  </si>
  <si>
    <t>https://drive.google.com/open?id=1HAGvahxJd9V_r-Ek7JDvVTumlulT5FcP</t>
  </si>
  <si>
    <t>081239874895</t>
  </si>
  <si>
    <t>https://drive.google.com/open?id=10k6mDnHZdi7F2NQ8D16G8lmx2pR6kWGG</t>
  </si>
  <si>
    <t>Robi saputra</t>
  </si>
  <si>
    <t>081264753962</t>
  </si>
  <si>
    <t>https://drive.google.com/open?id=1HdKDqREPfm4DIPsipe5gLsvxJz8LxqMb</t>
  </si>
  <si>
    <t>Juniar magi taggu</t>
  </si>
  <si>
    <t>Kantor Desa</t>
  </si>
  <si>
    <t>https://drive.google.com/open?id=1zaQmTEbVXzJXemEkpcYkJX3JVYF0fL4e</t>
  </si>
  <si>
    <t>Linkan destini prilyan solu</t>
  </si>
  <si>
    <t>081246008551</t>
  </si>
  <si>
    <t>Salon QQ</t>
  </si>
  <si>
    <t>https://drive.google.com/open?id=1C0CasRyrQ74mHv7wkgqE5br7_ILw0Jju</t>
  </si>
  <si>
    <t>SUNARNI ASNA LOMBO</t>
  </si>
  <si>
    <t>082140755062</t>
  </si>
  <si>
    <t>https://drive.google.com/open?id=1umT-0p5XYquIWCk9lC1GUmZ9MVSC-NTf</t>
  </si>
  <si>
    <t>monce obaja seo</t>
  </si>
  <si>
    <t>082147779897</t>
  </si>
  <si>
    <t>https://drive.google.com/open?id=1YVDkTNXnuverc-h5cDU6SCfDe2OPi5MF, https://drive.google.com/open?id=1s7q9PoU4SngeINnsH5-ZZevB5vvyfmrV</t>
  </si>
  <si>
    <t>Yuliana  adilan klau</t>
  </si>
  <si>
    <t>082250521502</t>
  </si>
  <si>
    <t>https://drive.google.com/open?id=1Aauwn_FyK0YIMmEOxlVE5Lvxd9qcKqRr</t>
  </si>
  <si>
    <t>Angelinus ceunfin</t>
  </si>
  <si>
    <t>082124578092</t>
  </si>
  <si>
    <t>https://drive.google.com/open?id=1SZTMZknKnHjG4gzZgY3wo5Vgc0lsO_Bx</t>
  </si>
  <si>
    <t>Since Konga Naha</t>
  </si>
  <si>
    <t>https://drive.google.com/open?id=1_pGAKengs7EEd3OXDbiTL54FYtkz0D4E</t>
  </si>
  <si>
    <t>CHRISTIAN MALAFU</t>
  </si>
  <si>
    <t>081236291871</t>
  </si>
  <si>
    <t>https://drive.google.com/open?id=1P4epZW7xN-6n6r9TbrPrXj3a2pBcq-np</t>
  </si>
  <si>
    <t>MICHE DEVITA WIMRI KASSE</t>
  </si>
  <si>
    <t>085133331533</t>
  </si>
  <si>
    <t>https://drive.google.com/open?id=1XWtId1gmlGxwU6GK7Lwb_BSpjUFO06OS</t>
  </si>
  <si>
    <t>Dominggus tamo ama</t>
  </si>
  <si>
    <t>https://drive.google.com/open?id=1e248a8mAw_lixNzWLaXSB9I7Q07-0fJ3</t>
  </si>
  <si>
    <t>Martha abuk</t>
  </si>
  <si>
    <t>082234934099</t>
  </si>
  <si>
    <t>https://drive.google.com/open?id=1Gh_p_lL2Q4Xu9fzmwv49oXaXpiKdU139</t>
  </si>
  <si>
    <t>Febriyando dasin sun suni</t>
  </si>
  <si>
    <t>081246394521</t>
  </si>
  <si>
    <t>https://drive.google.com/open?id=1EuJKwEa9O2homBJshx9JTOPy5w8nG3Ww</t>
  </si>
  <si>
    <t>Angki sepriana liu</t>
  </si>
  <si>
    <t>081299733203</t>
  </si>
  <si>
    <t>https://drive.google.com/open?id=1X2pES_OSyfF1FjLgZvHlbwSDzAgbEKLx</t>
  </si>
  <si>
    <t>MANSUR SERA RAE</t>
  </si>
  <si>
    <t>+6281272837463</t>
  </si>
  <si>
    <t>https://drive.google.com/open?id=1l1NwGJOYWLwcXZ_XEl1dP-rMCz57ExJZ</t>
  </si>
  <si>
    <t>Anastasia seuk seran</t>
  </si>
  <si>
    <t>081246398272</t>
  </si>
  <si>
    <t>https://drive.google.com/open?id=1bI-Y8dApt2mK8LdqkqH--QqwgZkCKVIZ</t>
  </si>
  <si>
    <t>MARSELINUS TALO PAKE</t>
  </si>
  <si>
    <t>085138920923</t>
  </si>
  <si>
    <t>https://drive.google.com/open?id=1zzEup42ZELjVluER3lXdB04jVicrn1Y5</t>
  </si>
  <si>
    <t>Serli irvonsiana seuk</t>
  </si>
  <si>
    <t>081324570311</t>
  </si>
  <si>
    <t>https://drive.google.com/open?id=1UQHldOZfE3_YUcsvpVl5SGCl_S5YpS4U</t>
  </si>
  <si>
    <t>Vinsensius tahu</t>
  </si>
  <si>
    <t>081252580828</t>
  </si>
  <si>
    <t>https://drive.google.com/open?id=1fG8AI-8wlZMyKZjyGR_yyo16oUqyvnBA</t>
  </si>
  <si>
    <t>082341489714</t>
  </si>
  <si>
    <t>https://drive.google.com/open?id=1O7OJWbhjDiBYfEDoaSddl35DUO_WIOtS</t>
  </si>
  <si>
    <t>Yasinta watu</t>
  </si>
  <si>
    <t>081338105715</t>
  </si>
  <si>
    <t>https://drive.google.com/open?id=1iu31M0QBwIsObSZHT5-kNQvHJEJd-tOZ</t>
  </si>
  <si>
    <t>Angga Frenfens Daepani</t>
  </si>
  <si>
    <t>081338135039</t>
  </si>
  <si>
    <t>https://drive.google.com/open?id=1_IR3Pi14XFbAvOasHCPfZmQIUv-Lx0_j</t>
  </si>
  <si>
    <t>Anselmus naemnule</t>
  </si>
  <si>
    <t>https://drive.google.com/open?id=1EURCIRAo4R3Jm7nKuRunDKD7AB4Ey6qz</t>
  </si>
  <si>
    <t>Selfiana bana</t>
  </si>
  <si>
    <t>082147261824</t>
  </si>
  <si>
    <t>https://drive.google.com/open?id=1v4ttOo75cqCeziEqskUSSxcOSXgP2cn9</t>
  </si>
  <si>
    <t>yerni hunggu urang</t>
  </si>
  <si>
    <t>0895380689600</t>
  </si>
  <si>
    <t>https://drive.google.com/open?id=1qlUu54Itx1K7EwItN7EwhI9sVhkZoHoC</t>
  </si>
  <si>
    <t>Bungsu Jara Lodu</t>
  </si>
  <si>
    <t>085141158974</t>
  </si>
  <si>
    <t>https://drive.google.com/open?id=1yWLw0JhaSPGMVJw_MghfHEAqebPVIswl</t>
  </si>
  <si>
    <t>Erwin Bilian Taus</t>
  </si>
  <si>
    <t>081211501881</t>
  </si>
  <si>
    <t>https://drive.google.com/open?id=1uvjhZbXHIlJhynufCYEk8K3ZHbOh_DjL</t>
  </si>
  <si>
    <t>MARIA ISABELA NONIS</t>
  </si>
  <si>
    <t>Fince liu</t>
  </si>
  <si>
    <t>087787626670</t>
  </si>
  <si>
    <t>https://drive.google.com/open?id=178eshXf4td8fNmVSuAE-whda11UCOqpg</t>
  </si>
  <si>
    <t>Neksi antoneta panie</t>
  </si>
  <si>
    <t>082151087119</t>
  </si>
  <si>
    <t>https://drive.google.com/open?id=1SCa7R0H5TEBP84Q5cBGiwQZczf2hWWyF</t>
  </si>
  <si>
    <t>LEDE NGUDANG</t>
  </si>
  <si>
    <t>081291717698</t>
  </si>
  <si>
    <t>https://drive.google.com/open?id=10p2S52zJ7uhykkW5Bxx3UVTxa-T8B_kt</t>
  </si>
  <si>
    <t>Sella angriani datok</t>
  </si>
  <si>
    <t>081393739278</t>
  </si>
  <si>
    <t>https://drive.google.com/open?id=1kOzeVbntsNcpCC9udounv-w6qnCM3y2x</t>
  </si>
  <si>
    <t>Melodi Oktofiana Sila</t>
  </si>
  <si>
    <t>081246074502</t>
  </si>
  <si>
    <t xml:space="preserve">Kios Sembako </t>
  </si>
  <si>
    <t>https://drive.google.com/open?id=1NIiaZk7OWtqFk9DEMZraZsEzIsA3IvTZ</t>
  </si>
  <si>
    <t>Indrawati cienfin</t>
  </si>
  <si>
    <t>087836525488</t>
  </si>
  <si>
    <t>https://drive.google.com/open?id=1UPx-2C2_Ss8NEC8UOlwcylQA0hHD6cQX</t>
  </si>
  <si>
    <t>Daniel Agustinus kalau</t>
  </si>
  <si>
    <t>082146504219</t>
  </si>
  <si>
    <t>https://drive.google.com/open?id=1tYIEyvRa43ambZKyf8hXtdCi2QOWMAqI</t>
  </si>
  <si>
    <t>Sendi Rasti Bahan</t>
  </si>
  <si>
    <t>081237225005</t>
  </si>
  <si>
    <t>https://drive.google.com/open?id=1pY2xSEr9c8RJdasuGXGh5YKZXUrkZ-Y3</t>
  </si>
  <si>
    <t>YUNITA TAMELAB</t>
  </si>
  <si>
    <t>Nurhayati rambu teba</t>
  </si>
  <si>
    <t>085337130635</t>
  </si>
  <si>
    <t>https://drive.google.com/open?id=19DF73b9GuE_IQT4lM6eM35bhcnVxzdjJ</t>
  </si>
  <si>
    <t>Lince dangu wali</t>
  </si>
  <si>
    <t>https://drive.google.com/open?id=1_gp3GhN1UsOWynZV5ORxXs4o21AS4GCR</t>
  </si>
  <si>
    <t>CLAUDIA MARIA PUTRI DENO PALUS</t>
  </si>
  <si>
    <t>085339495108</t>
  </si>
  <si>
    <t>https://drive.google.com/open?id=1hFSLkp5fLi4EVHoPsl0hoPOyDSjj4Udz</t>
  </si>
  <si>
    <t>Danga leu</t>
  </si>
  <si>
    <t>082144732567</t>
  </si>
  <si>
    <t>https://drive.google.com/open?id=1LwfYqV0aY2dqHbRb6CkY0fadeZ3w5cjZ</t>
  </si>
  <si>
    <t>FERDIANUS NONO</t>
  </si>
  <si>
    <t>085147448885</t>
  </si>
  <si>
    <t>https://drive.google.com/open?id=1baBNIA24NIBLdzAyrXYnBwSXuyVnGn46</t>
  </si>
  <si>
    <t>Femina tsu</t>
  </si>
  <si>
    <t>085165040912</t>
  </si>
  <si>
    <t>https://drive.google.com/open?id=1xTnf65T4YAO7UKIIaTS7k4Zb9TQE5Z1t</t>
  </si>
  <si>
    <t>Zadrak Kersoma</t>
  </si>
  <si>
    <t>081529358001</t>
  </si>
  <si>
    <t>https://drive.google.com/open?id=1a8O74gSa1Ww6cXU1lbM9UWyb6uO_ECku</t>
  </si>
  <si>
    <t>Ronaldo Panda Huki</t>
  </si>
  <si>
    <t>082316141274</t>
  </si>
  <si>
    <t>https://drive.google.com/open?id=1STJhkiAds26RvlN0j8vUngNjvuhFRAQl</t>
  </si>
  <si>
    <t>THOBIAS ROMARIO JABES LANGKE</t>
  </si>
  <si>
    <t>085215853692</t>
  </si>
  <si>
    <t>https://drive.google.com/open?id=1FcHUWV_5N67_Sly_jyExJoLdiOIOZ-Hv</t>
  </si>
  <si>
    <t>Simon reti</t>
  </si>
  <si>
    <t>0881025216634</t>
  </si>
  <si>
    <t>Jual ikan di pasar</t>
  </si>
  <si>
    <t>https://drive.google.com/open?id=1whAaZ2GrsycVbh_sKwm2dYKb9xmerH8Q</t>
  </si>
  <si>
    <t>PAULUS NGONGU DETA</t>
  </si>
  <si>
    <t>081237443011</t>
  </si>
  <si>
    <t>https://drive.google.com/open?id=1hmuwiSkinQnTujYdr5IsL-9DJvX4NVOG</t>
  </si>
  <si>
    <t>Doratia abineno</t>
  </si>
  <si>
    <t>082342299400</t>
  </si>
  <si>
    <t>https://drive.google.com/open?id=18D8HZ1iz8fAnUV74N6M0gio6ZyiCXw3E</t>
  </si>
  <si>
    <t>Fransiskus Nuwa</t>
  </si>
  <si>
    <t>081338763167</t>
  </si>
  <si>
    <t>https://drive.google.com/open?id=1xIWPYw2RqZtgcykVes4rR8NlJCxrwZmp</t>
  </si>
  <si>
    <t>Melyakim gideon berd nabuasa</t>
  </si>
  <si>
    <t>081339554277</t>
  </si>
  <si>
    <t>https://drive.google.com/open?id=1cJvX-MsVEWFtd6hru0iP9E7pgVGycyMW</t>
  </si>
  <si>
    <t>Umbu ana rara</t>
  </si>
  <si>
    <t>081284510717</t>
  </si>
  <si>
    <t>https://drive.google.com/open?id=12FvmSSQQx8em2lyD1JTJPx6w95-TFMNl</t>
  </si>
  <si>
    <t>Febrida tobo</t>
  </si>
  <si>
    <t>081999285272</t>
  </si>
  <si>
    <t>https://drive.google.com/open?id=1KhgvbTALERABZW0GrVV5g33MEnwC3oHq</t>
  </si>
  <si>
    <t>Sarfina juita takesan</t>
  </si>
  <si>
    <t>085986406381164</t>
  </si>
  <si>
    <t>https://drive.google.com/open?id=1JQjZNNWzpZ0jd396TSi0Y5spUncosGRB</t>
  </si>
  <si>
    <t>Daniel Suek</t>
  </si>
  <si>
    <t>082251032457</t>
  </si>
  <si>
    <t>https://drive.google.com/open?id=1szSvAgBpZkqARaBNtYKOXH7dQtsPde75</t>
  </si>
  <si>
    <t>Yohanis bulu</t>
  </si>
  <si>
    <t>081337845611</t>
  </si>
  <si>
    <t>https://drive.google.com/open?id=15zw4tiyEyEsw3FMN5--yJ56r7JMZrp5t</t>
  </si>
  <si>
    <t>Zakharias Zefanya R. Wenipada</t>
  </si>
  <si>
    <t>082247592068</t>
  </si>
  <si>
    <t>https://drive.google.com/open?id=1Kp9t5m6az2VMI6HckFNukvysaBuqtFL3</t>
  </si>
  <si>
    <t>Yuliana Ina</t>
  </si>
  <si>
    <t>089524986610</t>
  </si>
  <si>
    <t>https://drive.google.com/open?id=1z996aiLieWfp4ijvG5rtqoOI6n0hiF_4</t>
  </si>
  <si>
    <t>DAMARIS KADI WANU</t>
  </si>
  <si>
    <t>3.2</t>
  </si>
  <si>
    <t>https://drive.google.com/open?id=1aidEde3sEsrH2AqiEC5hjgNOEIBg1ABa</t>
  </si>
  <si>
    <t>Sarci seakoko</t>
  </si>
  <si>
    <t>082339721042</t>
  </si>
  <si>
    <t>https://drive.google.com/open?id=1K5G3gsNglQavBEloZQldrNODZXM7th3_</t>
  </si>
  <si>
    <t>Klotilda heli</t>
  </si>
  <si>
    <t>089678871113</t>
  </si>
  <si>
    <t>https://drive.google.com/open?id=1Bd9v-lr1QM08GlL2-deML2JewojTQHRP</t>
  </si>
  <si>
    <t>Voldyana  ndoen</t>
  </si>
  <si>
    <t>088292243411</t>
  </si>
  <si>
    <t>https://drive.google.com/open?id=1dlJttHNBvWB10JBniOGHb-NeX0SMRAnX</t>
  </si>
  <si>
    <t>Frederingko Jodi Natara</t>
  </si>
  <si>
    <t>082144775552</t>
  </si>
  <si>
    <t>https://drive.google.com/open?id=1wpocMCgXtBhSoYVpzdehQrH9LaZMSTC_</t>
  </si>
  <si>
    <t>Erdin Gojali</t>
  </si>
  <si>
    <t>081339748372</t>
  </si>
  <si>
    <t>https://drive.google.com/open?id=1Z62L1x4sMQbRG-Vu2S0rBPNKE1mH31XU</t>
  </si>
  <si>
    <t>Dhea briguta udak</t>
  </si>
  <si>
    <t>082211130287</t>
  </si>
  <si>
    <t>https://drive.google.com/open?id=1e98CsFBm5Y5rXEcCa1puOFaR2nLsjkaw</t>
  </si>
  <si>
    <t>Elfidus sama lelo</t>
  </si>
  <si>
    <t>0895384305626</t>
  </si>
  <si>
    <t>https://drive.google.com/open?id=1HCnmF24GhYuLIToJozMDBqTZ0z_QHUvU</t>
  </si>
  <si>
    <t>MARSELINUS DASI BAU</t>
  </si>
  <si>
    <t>089677379722</t>
  </si>
  <si>
    <t>https://drive.google.com/open?id=1jQRGwa0jsbLSVK9tLZwftgvLPVM1p1sE</t>
  </si>
  <si>
    <t>Fauziah</t>
  </si>
  <si>
    <t>082235254163</t>
  </si>
  <si>
    <t>Jualan RB</t>
  </si>
  <si>
    <t>https://drive.google.com/open?id=1Ea_zsdRTw5nncf6n0_Zo2kRRm17AX3G6</t>
  </si>
  <si>
    <t>Magrid Maay</t>
  </si>
  <si>
    <t>085177500098</t>
  </si>
  <si>
    <t>Bisnis jual ternak</t>
  </si>
  <si>
    <t>https://drive.google.com/open?id=114BB6k-H4hKh0bLYhTgKLyUSY1ZngnEX</t>
  </si>
  <si>
    <t>Muhamad Fadli</t>
  </si>
  <si>
    <t>087762146820</t>
  </si>
  <si>
    <t xml:space="preserve">USAHA DEPOT AIR GALON </t>
  </si>
  <si>
    <t>https://drive.google.com/open?id=1tpJ-PclEdxuFkkaol5wr4tJh_N5757H2</t>
  </si>
  <si>
    <t>Bernadino Realino tael</t>
  </si>
  <si>
    <t>https://drive.google.com/open?id=1PpwTm2zldPx0q4EXMTsRsJ6s6LRGDNho</t>
  </si>
  <si>
    <t>Margarida moniz</t>
  </si>
  <si>
    <t>081337127616</t>
  </si>
  <si>
    <t>https://drive.google.com/open?id=1bAeX5toWKCba7XYT5pCBikqP1_in--64</t>
  </si>
  <si>
    <t>Yustina evy demitriana kabosu</t>
  </si>
  <si>
    <t>082271234579</t>
  </si>
  <si>
    <t>https://drive.google.com/open?id=1od_sCxfit-VQfaG04lSXZSCtENznv_lH</t>
  </si>
  <si>
    <t>Nikolas apalus sfunit</t>
  </si>
  <si>
    <t>085239718599</t>
  </si>
  <si>
    <t>https://drive.google.com/open?id=1Q8tjpR-DIsiQLiAIa9hhyMgxi07tZ5vz</t>
  </si>
  <si>
    <t>Rofinus seran klau</t>
  </si>
  <si>
    <t>081246398193</t>
  </si>
  <si>
    <t>https://drive.google.com/open?id=1h8N9wCB9TYBonAorJ0bGsHjIN0fOkGRZ</t>
  </si>
  <si>
    <t xml:space="preserve">Marlice niwa lapir </t>
  </si>
  <si>
    <t>082237982589</t>
  </si>
  <si>
    <t>https://drive.google.com/open?id=11ChRBFQ-9UpoUeoqMg0_qRhLyN1ZzEbZ</t>
  </si>
  <si>
    <t>Mesak elimanafe</t>
  </si>
  <si>
    <t>Kepolisian</t>
  </si>
  <si>
    <t>https://drive.google.com/open?id=1pJV0xU71e_OY_1rB1VFG7b-siEbu2-y-</t>
  </si>
  <si>
    <t>DINA YUNIARTI BANANI</t>
  </si>
  <si>
    <t>081353619281</t>
  </si>
  <si>
    <t>https://drive.google.com/open?id=173N0z1gGHfKNZ2iloHBqXvy0wGtLbNCc</t>
  </si>
  <si>
    <t>Akjen Saul Dapa Lawi</t>
  </si>
  <si>
    <t>085700844922</t>
  </si>
  <si>
    <t>https://drive.google.com/open?id=15RvG4aPVdno4acC80DUeEojiAB8EZbRY</t>
  </si>
  <si>
    <t>Matias Napoleon Fori Bessie</t>
  </si>
  <si>
    <t>081239005149</t>
  </si>
  <si>
    <t>https://drive.google.com/open?id=1ltNPGApgaHpIMra8h-aIUjGp9Xr9ImIa</t>
  </si>
  <si>
    <t>Mikaela Maria Kewuta,SE</t>
  </si>
  <si>
    <t>081239780682</t>
  </si>
  <si>
    <t>https://drive.google.com/open?id=1thsaeIAvymHn7hzVy-CwAApSncD33F97</t>
  </si>
  <si>
    <t>Indah Dian kaba ehe</t>
  </si>
  <si>
    <t>081337760120</t>
  </si>
  <si>
    <t>https://drive.google.com/open?id=19BBnTv5_vSEBlOu2Ds3URPDRlCxBv-5-</t>
  </si>
  <si>
    <t>putra adibyandra tassy</t>
  </si>
  <si>
    <t>085189232544</t>
  </si>
  <si>
    <t>https://drive.google.com/open?id=1tOVw3jNCvYKB8eDFUsK4Y2XM6lSkJr82</t>
  </si>
  <si>
    <t>Eki Robertus djara</t>
  </si>
  <si>
    <t>0985405350266</t>
  </si>
  <si>
    <t>https://drive.google.com/open?id=1Zed7o8pVE0l9XVVtvyqWZx6q6TGFX75o</t>
  </si>
  <si>
    <t>PAULINA PODU RENGU</t>
  </si>
  <si>
    <t>https://drive.google.com/open?id=1DHcfQXr1xSnjGvoq_WxcJM0zrcfkl8Uh</t>
  </si>
  <si>
    <t>SATRIAWAN BURA GERA</t>
  </si>
  <si>
    <t>081236737061</t>
  </si>
  <si>
    <t>https://drive.google.com/open?id=1YH-XUkSq13THRFMF-B0LlPuqZRx8DnHF</t>
  </si>
  <si>
    <t>Getrudis bonefasia bili</t>
  </si>
  <si>
    <t>085713786922</t>
  </si>
  <si>
    <t>https://drive.google.com/open?id=1PrVHbNwP8FlCkETGDi4MqTtVcFpLNzeC</t>
  </si>
  <si>
    <t>SRI WAHYUNI</t>
  </si>
  <si>
    <t>5.6</t>
  </si>
  <si>
    <t>https://drive.google.com/open?id=1NDlzRlGTjyl8vjiiimsUuNOnG_0PRS4q</t>
  </si>
  <si>
    <t>Dominggus riwu</t>
  </si>
  <si>
    <t>081246240272</t>
  </si>
  <si>
    <t>https://drive.google.com/open?id=1RhA7y_6v6LzXlnzxD8yikL8PHwZnU8Pa</t>
  </si>
  <si>
    <t>https://drive.google.com/open?id=1N_JvpejmGYQeWEMl_gztIB-YYvv1al2W</t>
  </si>
  <si>
    <t>Yudhi Efriana huru</t>
  </si>
  <si>
    <t>081339092345</t>
  </si>
  <si>
    <t>https://drive.google.com/open?id=1Y97yOpgblU4qJAjgtWWEf9-lgUgu3v47</t>
  </si>
  <si>
    <t>ILAWILAMAS TLAAN</t>
  </si>
  <si>
    <t>082339499324</t>
  </si>
  <si>
    <t>https://drive.google.com/open?id=18KLCoVMvAz1edT3SJog6L50Y-B2e8w53</t>
  </si>
  <si>
    <t>Mario armindo Tanesib</t>
  </si>
  <si>
    <t>https://drive.google.com/open?id=1-YYay6kyZpWKNWI11pZyAtMQHhII0fd0</t>
  </si>
  <si>
    <t>Florida luruk bria</t>
  </si>
  <si>
    <t>081246428849</t>
  </si>
  <si>
    <t>https://drive.google.com/open?id=1MKMR172cvFmAUcuI1kTjf_kRmiFENeGi</t>
  </si>
  <si>
    <t>Felomena kefi</t>
  </si>
  <si>
    <t>082146932378</t>
  </si>
  <si>
    <t>https://drive.google.com/open?id=1RCFX7yAB4iK31tJv5gZ0lWEYU1xUyiAN</t>
  </si>
  <si>
    <t>Vinsensius nurak</t>
  </si>
  <si>
    <t>082144030882</t>
  </si>
  <si>
    <t>https://drive.google.com/open?id=1maOA_AFymD8Nf8xAe5jO3QQXxvmSxMrB</t>
  </si>
  <si>
    <t>Marlin rambu sada moki</t>
  </si>
  <si>
    <t>082144615129</t>
  </si>
  <si>
    <t>https://drive.google.com/open?id=1rgxjTFdpsRYbSckity_QM3nJPcNn2JrG</t>
  </si>
  <si>
    <t>Modesta seuk</t>
  </si>
  <si>
    <t>081238606739</t>
  </si>
  <si>
    <t>https://drive.google.com/open?id=16IyGZyuMutVxLCpsGOpAYZKmu5hv5feS</t>
  </si>
  <si>
    <t xml:space="preserve">Johanna ngefak </t>
  </si>
  <si>
    <t>085237028481</t>
  </si>
  <si>
    <t>https://drive.google.com/open?id=1--CW6hchyYgCLp3OfwHSU-vA2OkCMVvL</t>
  </si>
  <si>
    <t>Samuel kitu</t>
  </si>
  <si>
    <t>https://drive.google.com/open?id=1IJXU-EXp8irzuX8xIj_4Jn1DHZXCl-Dh</t>
  </si>
  <si>
    <t>Syahrul h abdullah</t>
  </si>
  <si>
    <t>https://drive.google.com/open?id=1l1RKtU3RBHPE3Pf4dirsYdPcs28gPZGj</t>
  </si>
  <si>
    <t xml:space="preserve">Maurithio Rivaldo Calvin </t>
  </si>
  <si>
    <t>085141089456</t>
  </si>
  <si>
    <t>https://drive.google.com/open?id=12AJYUrnFPgXFzyZW2leXmULN4_pHtA8h</t>
  </si>
  <si>
    <t>Amelia radjah</t>
  </si>
  <si>
    <t>081338574753</t>
  </si>
  <si>
    <t>https://drive.google.com/open?id=1Xx73bxi3py8SyxBqdSGm3eS2sluCw730</t>
  </si>
  <si>
    <t>Hesry adriningsih muloko</t>
  </si>
  <si>
    <t>081353295869</t>
  </si>
  <si>
    <t>https://drive.google.com/open?id=1vQKrClo388-d0softhoGBZzbP-sA_9jB</t>
  </si>
  <si>
    <t>GAUDENSIANA SIRIK BABA</t>
  </si>
  <si>
    <t>085239027324</t>
  </si>
  <si>
    <t>https://drive.google.com/open?id=1_Qimt_D6Sf5K2R-w5du1U4lT49GIZgfQ</t>
  </si>
  <si>
    <t>Patrisius tae</t>
  </si>
  <si>
    <t>082295270516</t>
  </si>
  <si>
    <t>https://drive.google.com/open?id=1MC_4t6iRJOwVuE69zJNzHsVXff1VIjYT</t>
  </si>
  <si>
    <t>https://drive.google.com/open?id=12CWCR-NNtqXIApXDB5fxPbmwMOC7kqwn</t>
  </si>
  <si>
    <t>Narsi Harabi Loda</t>
  </si>
  <si>
    <t>https://drive.google.com/open?id=1NnZB1pCPesUU99M7blES4wtOBi4WPJ_S</t>
  </si>
  <si>
    <t>Aplonia abuk nahak</t>
  </si>
  <si>
    <t>081284834791</t>
  </si>
  <si>
    <t>https://drive.google.com/open?id=154MNNMdjUD6kStwJMWDt8yqSeYkQ2PX3</t>
  </si>
  <si>
    <t>Nelciana abi</t>
  </si>
  <si>
    <t>082247894881</t>
  </si>
  <si>
    <t>https://drive.google.com/open?id=1b7XdpPysQIOXbAO4zVUEfNr1m5q65Q2s</t>
  </si>
  <si>
    <t>Irman sach sidin b.m nasir</t>
  </si>
  <si>
    <t>081339428643</t>
  </si>
  <si>
    <t>https://drive.google.com/open?id=1uiO6MvOVkTzKtEYGvfdCACOu2gJ1sXAl</t>
  </si>
  <si>
    <t>VICTOR PEWALI, SH</t>
  </si>
  <si>
    <t>082172230725</t>
  </si>
  <si>
    <t>https://drive.google.com/open?id=1pXiOlzccOfHOoi4pOAUUjYmmVPnvqDaX</t>
  </si>
  <si>
    <t>Santi soli dunga</t>
  </si>
  <si>
    <t>081236737091</t>
  </si>
  <si>
    <t>https://drive.google.com/open?id=1JEpS48qyjqrFvUBxGzABw_tnyDAPucUY</t>
  </si>
  <si>
    <t>Rinto baun</t>
  </si>
  <si>
    <t>081238046791</t>
  </si>
  <si>
    <t>https://drive.google.com/open?id=1BYccBt6Xrrgv1YlKnhfQIO5WZw9hHr9f, https://drive.google.com/open?id=1NKio7eLkvA4u1DzgSG3SqfkIf9iiO9Tt</t>
  </si>
  <si>
    <t>FALENTINU MARIA NINU</t>
  </si>
  <si>
    <t>082235813632</t>
  </si>
  <si>
    <t>https://drive.google.com/open?id=18AhTGfbJXMpQrfRBD812Z-QSATfXr0M-</t>
  </si>
  <si>
    <t>Marselus klau</t>
  </si>
  <si>
    <t>081239289640</t>
  </si>
  <si>
    <t>https://drive.google.com/open?id=1f30lEpjQoOXiYWt1ezPy-RkshoPwiAIz</t>
  </si>
  <si>
    <t>YOHANA BOBO</t>
  </si>
  <si>
    <t>082247254427</t>
  </si>
  <si>
    <t>https://drive.google.com/open?id=1qFvLS9Kt38VPC08bETkDBXmuO0qx2R1t</t>
  </si>
  <si>
    <t>Yohanis Liu</t>
  </si>
  <si>
    <t>081336814317</t>
  </si>
  <si>
    <t>https://drive.google.com/open?id=1vYvnvWvayHPw2a5DYQREbjbqAJeNRlVV</t>
  </si>
  <si>
    <t>DETRISIA OCTAVIANUS</t>
  </si>
  <si>
    <t>087770651999</t>
  </si>
  <si>
    <t>https://drive.google.com/open?id=1r-mqxpKPdp4qOcgF2loWOIZ8bR1o2ks3</t>
  </si>
  <si>
    <t>Febrianto sota laku wanda</t>
  </si>
  <si>
    <t>https://drive.google.com/open?id=1bVWGWsGm4wPLO9jnSnDoyUzjwFaNkyaU</t>
  </si>
  <si>
    <t>Haruntun pilandilu</t>
  </si>
  <si>
    <t>082267507794</t>
  </si>
  <si>
    <t>https://drive.google.com/open?id=1CWSNC1w6YALr72yVbcP6AMQMfzNsolbg</t>
  </si>
  <si>
    <t>SITI NURHAYANI</t>
  </si>
  <si>
    <t>082247717674</t>
  </si>
  <si>
    <t>https://drive.google.com/open?id=1CU2G4lxYE_L83pdUZMXr7rj8F-TWSQLr</t>
  </si>
  <si>
    <t>ADINDA DEFARA TAMU APU</t>
  </si>
  <si>
    <t>082145341936</t>
  </si>
  <si>
    <t>https://drive.google.com/open?id=1jXTm9dPgW1QB210LbppE_8wgD0tvIpFa</t>
  </si>
  <si>
    <t>SRIWULAN WIDIYANTI</t>
  </si>
  <si>
    <t>081238065585</t>
  </si>
  <si>
    <t>https://drive.google.com/open?id=13z8FG3Qf4ESayHfrSgdV6zPDXDRtvqPU</t>
  </si>
  <si>
    <t>Marta Awang</t>
  </si>
  <si>
    <t>085746144388</t>
  </si>
  <si>
    <t>https://drive.google.com/open?id=1IQfnI2oN68C3GC2M3wAu7KXCAjdXZiW1</t>
  </si>
  <si>
    <t>Zakharias tulle</t>
  </si>
  <si>
    <t>https://drive.google.com/open?id=1PbjrEhPGBblRWdfjx2pN3UOVpAWDyCf4</t>
  </si>
  <si>
    <t>Oktaviana adu</t>
  </si>
  <si>
    <t>Bekerja di warung makan</t>
  </si>
  <si>
    <t>https://drive.google.com/open?id=1huW54-Y-Sef5gdSyKkYagHu8dF4JYHTG</t>
  </si>
  <si>
    <t>Mayasari babang ana hamu</t>
  </si>
  <si>
    <t>081239639623</t>
  </si>
  <si>
    <t>https://drive.google.com/open?id=1qdwxH9ibJAeNTevccGgjrYJ2LiFPIp7d</t>
  </si>
  <si>
    <t>Jibrael Toh</t>
  </si>
  <si>
    <t>081338607988</t>
  </si>
  <si>
    <t>https://drive.google.com/open?id=1O9KSmu_ZO9d9kSkR0RrRccbpRo3VswG6</t>
  </si>
  <si>
    <t>Marla Yasinta Sesfao</t>
  </si>
  <si>
    <t>085333090406</t>
  </si>
  <si>
    <t>https://drive.google.com/open?id=1p18ykE74FmpN6SGK0L50rE7xi53jIiRs</t>
  </si>
  <si>
    <t>081246046382</t>
  </si>
  <si>
    <t>https://drive.google.com/open?id=12FMbW4hyFbcYmJXJpPJMbc_2v7fYJ5zJ</t>
  </si>
  <si>
    <t>Sovie Marice Deddy Makandoloe</t>
  </si>
  <si>
    <t>0821144537958</t>
  </si>
  <si>
    <t>https://drive.google.com/open?id=1R0xgDoMSA476pfkwh_kVDizj228ZcvzO</t>
  </si>
  <si>
    <t>Juferdi ringu langu</t>
  </si>
  <si>
    <t>2.4</t>
  </si>
  <si>
    <t>https://drive.google.com/open?id=16ZNvwqDVVAdDDn2Cb60cyCAgyr-Or6wU</t>
  </si>
  <si>
    <t>Isak Nomnafa</t>
  </si>
  <si>
    <t>085337304419</t>
  </si>
  <si>
    <t>https://drive.google.com/open?id=1Hhobu6-3Cvv6tBRnt0_NsvIevblwhOhx</t>
  </si>
  <si>
    <t>081238225005</t>
  </si>
  <si>
    <t>https://drive.google.com/open?id=1ZHGy6rLDwc2yCrVd-ArH6kCA5PSWSZZq</t>
  </si>
  <si>
    <t>Heliodoris virdam nambu</t>
  </si>
  <si>
    <t>085137369693</t>
  </si>
  <si>
    <t>https://drive.google.com/open?id=1hCyGFfI0Atmq2ay-c8goRdoPjNgD-g3p</t>
  </si>
  <si>
    <t>Imelda Tulasi</t>
  </si>
  <si>
    <t>081246357603</t>
  </si>
  <si>
    <t>https://drive.google.com/open?id=1PBkXfDMAjIOyC1gDKGRGUmF6KDSYFJQu</t>
  </si>
  <si>
    <t>Melanda Grasela Mete Ratu</t>
  </si>
  <si>
    <t>082228205482</t>
  </si>
  <si>
    <t>https://drive.google.com/open?id=1JmlGICfr3mizAaPm7wIYm1P1SqaYPaHw</t>
  </si>
  <si>
    <t>Arianto pote paza</t>
  </si>
  <si>
    <t>085218924063</t>
  </si>
  <si>
    <t>https://drive.google.com/open?id=1FprQisaB_NnsWpFTlAGohm8vT6xbBwDJ</t>
  </si>
  <si>
    <t xml:space="preserve">Theresia rambu tanggu </t>
  </si>
  <si>
    <t>2.6</t>
  </si>
  <si>
    <t>https://drive.google.com/open?id=1zmb1VWAu2ZVreofWy1pp2Kwwt24ove7z</t>
  </si>
  <si>
    <t>Damaris Wula wadu</t>
  </si>
  <si>
    <t>081236373091</t>
  </si>
  <si>
    <t>https://drive.google.com/open?id=1TPQHcwxa1z0195dFJHZuFsInskKIx0_t</t>
  </si>
  <si>
    <t>Mariana Magi Biri</t>
  </si>
  <si>
    <t>081234567890</t>
  </si>
  <si>
    <t>https://drive.google.com/open?id=1wRpI9BAJs_EqpeeMR3TsLgQpcOCns6fK</t>
  </si>
  <si>
    <t>Banju mara</t>
  </si>
  <si>
    <t>085138927235</t>
  </si>
  <si>
    <t>https://drive.google.com/open?id=1y3Bij2YB2ISswNHobY4wAEeaNOgghLA4</t>
  </si>
  <si>
    <t>Defriana lelo</t>
  </si>
  <si>
    <t>082237481749</t>
  </si>
  <si>
    <t>https://drive.google.com/open?id=1Zfyu3oeDJ1g1lcR4aypiWJTwYIHJ5wGA</t>
  </si>
  <si>
    <t>Yunita doiki rengu langu</t>
  </si>
  <si>
    <t>https://drive.google.com/open?id=1m6iQ1hWyYsnNn0Byn0hvKT32wDbvvCRe</t>
  </si>
  <si>
    <t>Yusmina hello</t>
  </si>
  <si>
    <t>083846444325</t>
  </si>
  <si>
    <t>https://drive.google.com/open?id=19xD-Mw3j80EOo5LOBWM-eya3CHM0hI8-</t>
  </si>
  <si>
    <t>Yuliana abuk klau</t>
  </si>
  <si>
    <t>085225562396</t>
  </si>
  <si>
    <t>https://drive.google.com/open?id=1Yxto8ir8LHdYA3UCL9RPoyBYGoMU9-LQ</t>
  </si>
  <si>
    <t>Maria j naibobe</t>
  </si>
  <si>
    <t>082115204585</t>
  </si>
  <si>
    <t>https://drive.google.com/open?id=1OZV6plChzNEIGDbqY17PvmkdHp2IiiqC</t>
  </si>
  <si>
    <t>ARMINDA TEKU MANEK</t>
  </si>
  <si>
    <t>Maria imakulata palbeno</t>
  </si>
  <si>
    <t>081239370194</t>
  </si>
  <si>
    <t>https://drive.google.com/open?id=1qg5dFNSwiNa_yg99Sbdm8UDBkiNw4ISl</t>
  </si>
  <si>
    <t>Jornan da malo</t>
  </si>
  <si>
    <t>082340699312</t>
  </si>
  <si>
    <t>https://drive.google.com/open?id=1LPjbZH6cse4k1pwowAbQvbJNTvIK_qwR</t>
  </si>
  <si>
    <t>sriwulan widiyanti kangeli</t>
  </si>
  <si>
    <t>https://drive.google.com/open?id=1Jq5KB7AnQrdHt60KNc052Yow5MZikfUm</t>
  </si>
  <si>
    <t>Magdaintan mokos</t>
  </si>
  <si>
    <t>081337731452</t>
  </si>
  <si>
    <t>https://drive.google.com/open?id=1U5v51gUJZhRFEuCcfL2cIE3ruH7C5XVl</t>
  </si>
  <si>
    <t>Yunius nomleni</t>
  </si>
  <si>
    <t>081238560965</t>
  </si>
  <si>
    <t>https://drive.google.com/open?id=1cnYgm-D7KWAqL-9zsSj0LLu2qa9MC5b9</t>
  </si>
  <si>
    <t>Fandi martin tesa</t>
  </si>
  <si>
    <t>088292253412</t>
  </si>
  <si>
    <t>Petani perkebunan</t>
  </si>
  <si>
    <t>https://drive.google.com/open?id=1UE2yPcQ9QssjTZhpQ_eA0RT1Ki1VGZ1j</t>
  </si>
  <si>
    <t>Edwar tunliu</t>
  </si>
  <si>
    <t>085119981950</t>
  </si>
  <si>
    <t>https://drive.google.com/open?id=1pze5HUgVeQXadNvhw6DjSIdXp2QK4e75</t>
  </si>
  <si>
    <t>Oktaviana Adu</t>
  </si>
  <si>
    <t>081282329346</t>
  </si>
  <si>
    <t>https://drive.google.com/open?id=11G9mvr_2HKhS3i6g7oycaSjIrRtjFJiq</t>
  </si>
  <si>
    <t>Ferdinan juku lakar</t>
  </si>
  <si>
    <t>Pegawai perikanan</t>
  </si>
  <si>
    <t>https://drive.google.com/open?id=1iqeG_YhGEe9FgvE4pKi6pvvoIZLA1NIK</t>
  </si>
  <si>
    <t>DOMINGGUS UMBU MANGU NJALAPATI</t>
  </si>
  <si>
    <t>081238199665</t>
  </si>
  <si>
    <t>https://drive.google.com/open?id=1lNsPnzm-GyItAEMqHpueaoQObl7q5GEc</t>
  </si>
  <si>
    <t>MANUEL DOMINGOS MESQUITA</t>
  </si>
  <si>
    <t>081214713519</t>
  </si>
  <si>
    <t>https://drive.google.com/open?id=1dYifVrqnJXtlXQTSsqpy7lweHvUWpqYq</t>
  </si>
  <si>
    <t>Deometriana Marques</t>
  </si>
  <si>
    <t>081239133181</t>
  </si>
  <si>
    <t>https://drive.google.com/open?id=1DoLZMG-c173vVgww8-ihaHpm9ZfJcnUj</t>
  </si>
  <si>
    <t>Jimmy alexsander lusi</t>
  </si>
  <si>
    <t>085738011812</t>
  </si>
  <si>
    <t>https://drive.google.com/open?id=1xuHb9NcKWcmXLIiRpKAB4w9iGV1QLodp</t>
  </si>
  <si>
    <t>Yakobus feob tpoy</t>
  </si>
  <si>
    <t>082144778907</t>
  </si>
  <si>
    <t>https://drive.google.com/open?id=17xTdqc4MZaAYB-M4xFLVMVM8eyTJSVcw</t>
  </si>
  <si>
    <t>Aprianus lede huki</t>
  </si>
  <si>
    <t>082147166525</t>
  </si>
  <si>
    <t>https://drive.google.com/open?id=1ET7QWbFIsF1RVEe1QTRaxu_uoMtuB78R</t>
  </si>
  <si>
    <t>Sesilia rewa</t>
  </si>
  <si>
    <t>https://drive.google.com/open?id=18leqT4wfSGFWY6ILYm3SrDwnSCep6QM9</t>
  </si>
  <si>
    <t>Yohanes palus</t>
  </si>
  <si>
    <t>081216181266</t>
  </si>
  <si>
    <t>https://drive.google.com/open?id=1h4SJ6twsSOSzKXcFs0sKsmquftcxpmlV</t>
  </si>
  <si>
    <t>Ana Maria Taus</t>
  </si>
  <si>
    <t>082129009756</t>
  </si>
  <si>
    <t>PPPK</t>
  </si>
  <si>
    <t>https://drive.google.com/open?id=1UpLEkNjvYf4lBFCsL90gqcFwNmak8NLr</t>
  </si>
  <si>
    <t xml:space="preserve">Gregorius Canai Naifeka </t>
  </si>
  <si>
    <t>081239291042</t>
  </si>
  <si>
    <t xml:space="preserve">Mahasiswa </t>
  </si>
  <si>
    <t>https://drive.google.com/open?id=1HJ5Ngx8QAaPmxfx_z0R72DRBACstfd3m</t>
  </si>
  <si>
    <t xml:space="preserve">Nur Fatimah Molbang </t>
  </si>
  <si>
    <t>081237597192</t>
  </si>
  <si>
    <t>https://drive.google.com/open?id=1Tj3TFPeWpERTAXmNcKWlOAAQpCBf-2v0</t>
  </si>
  <si>
    <t>Eduardus sasi</t>
  </si>
  <si>
    <t>081236756353</t>
  </si>
  <si>
    <t>https://drive.google.com/open?id=1AX1XmjZ0K2-JX3ZN0yn1wnvabQzXkXke</t>
  </si>
  <si>
    <t>Nori oematan</t>
  </si>
  <si>
    <t>085959113987</t>
  </si>
  <si>
    <t>https://drive.google.com/open?id=1fBgIDDOJMjHTWVcqac5uMSU-OPHK0FAI</t>
  </si>
  <si>
    <t>YUSTINA LIUKAE</t>
  </si>
  <si>
    <t>085238979360</t>
  </si>
  <si>
    <t>https://drive.google.com/open?id=1IXlxdwhw8G4XqoQ8WYFb2KVKaw92OCW0</t>
  </si>
  <si>
    <t>Olvianus rengga nale</t>
  </si>
  <si>
    <t>081337715755</t>
  </si>
  <si>
    <t>https://drive.google.com/open?id=1H0d-4RrvwOWO7qmYgY_9SCXqUF0eHTSC</t>
  </si>
  <si>
    <t>Maria Magdalena kalumbang</t>
  </si>
  <si>
    <t>081239325624</t>
  </si>
  <si>
    <t>https://drive.google.com/open?id=1KWzEDHptCpkh_BdpEPb2Wn8hLHXZtsmY</t>
  </si>
  <si>
    <t>Virgonerio Talan</t>
  </si>
  <si>
    <t>085167114446</t>
  </si>
  <si>
    <t xml:space="preserve">Sopir Rental </t>
  </si>
  <si>
    <t>https://drive.google.com/open?id=1c5z3S7_L-Te9BKTXSzhTM3LNtMrk71js</t>
  </si>
  <si>
    <t>MARGARETHA DAMA WAWO</t>
  </si>
  <si>
    <t>081229842828</t>
  </si>
  <si>
    <t>https://drive.google.com/open?id=1qm6VrFRuZfEz7JdfwwZybijjUYGZFVSy</t>
  </si>
  <si>
    <t>Yumince tameon</t>
  </si>
  <si>
    <t>081338544143</t>
  </si>
  <si>
    <t>Jualan dipasar</t>
  </si>
  <si>
    <t>https://drive.google.com/open?id=1OKl5m1VzohdZJv3pmVz_Ada3lczbls_r</t>
  </si>
  <si>
    <t>Jekli Elson Dekrison Selan</t>
  </si>
  <si>
    <t>082144088696</t>
  </si>
  <si>
    <t>https://drive.google.com/open?id=1eWPZ681BHV3Qu1lJNGOgf2EAL0kXrMDB</t>
  </si>
  <si>
    <t xml:space="preserve">Fransiska sia hayon </t>
  </si>
  <si>
    <t>081236300373</t>
  </si>
  <si>
    <t>https://drive.google.com/open?id=10WPTc2_R5g0XH_OwrM6QCddIqsR1ulpo</t>
  </si>
  <si>
    <t>Alfianus Robertus</t>
  </si>
  <si>
    <t>082342273520</t>
  </si>
  <si>
    <t>https://drive.google.com/open?id=1uInAMxnmd51-CXAqUFXZSA5Km1AzBu2I</t>
  </si>
  <si>
    <t>Filomena fallo</t>
  </si>
  <si>
    <t>082241748913</t>
  </si>
  <si>
    <t>https://drive.google.com/open?id=1DCp9AlF0ikSGf777p1ibVm7XBYuKZGUI</t>
  </si>
  <si>
    <t>Marce Darmita Tafui</t>
  </si>
  <si>
    <t>081251773379</t>
  </si>
  <si>
    <t>https://drive.google.com/open?id=1prqMZO9-IDluEzeuUQVYl6oCo3F42OXX</t>
  </si>
  <si>
    <t>Yohana teuf</t>
  </si>
  <si>
    <t>081353662523</t>
  </si>
  <si>
    <t>https://drive.google.com/open?id=1xcSqxXJD1Hl28ADDEj3v8lOabXlNNVVT</t>
  </si>
  <si>
    <t>081236772857</t>
  </si>
  <si>
    <t>https://drive.google.com/open?id=1kDibTWGtjatBbVzX42fR8Z-735dPt-5d</t>
  </si>
  <si>
    <t>Nofri bokimnasi</t>
  </si>
  <si>
    <t>081353666890</t>
  </si>
  <si>
    <t>https://drive.google.com/open?id=1Z0GwOslqpQ8_4kSxSVSh4si9q1SxkSoY</t>
  </si>
  <si>
    <t>Ledriech suni</t>
  </si>
  <si>
    <t>081353626771</t>
  </si>
  <si>
    <t>https://drive.google.com/open?id=1biouvMsTSPWtpr0h9gdIHFMiDfBRAXkV</t>
  </si>
  <si>
    <t>Metsen Fia</t>
  </si>
  <si>
    <t>081236451213</t>
  </si>
  <si>
    <t>https://drive.google.com/open?id=19nJs3dtgrD27wzpM8gQrH894qJjWV9hj</t>
  </si>
  <si>
    <t>Mia rambu pengu</t>
  </si>
  <si>
    <t>081236737081</t>
  </si>
  <si>
    <t>https://drive.google.com/open?id=1LARSvy5lM4PeAVCWIZWlOz6PDwS8UOT0</t>
  </si>
  <si>
    <t>Maryam</t>
  </si>
  <si>
    <t>https://drive.google.com/open?id=1IUKI_weySsKDvgi9943YLhPGpNMvvkHW, https://drive.google.com/open?id=1cPRE6dWfDSVIEIziJSmd0vxzyTHCyylc, https://drive.google.com/open?id=1zJD8HwkTJCu0lqSNpOGUr1C3Tsgm9Qlf</t>
  </si>
  <si>
    <t>Maria aditomi</t>
  </si>
  <si>
    <t>087753973567</t>
  </si>
  <si>
    <t>https://drive.google.com/open?id=1J_qZthTngLxtZHeDF2MDImKcw0ohmoFh</t>
  </si>
  <si>
    <t>Zadrak kersoma</t>
  </si>
  <si>
    <t>081353772846</t>
  </si>
  <si>
    <t>https://drive.google.com/open?id=1j6Sk3XhKfdv51El6kF_W7Ic-VIUfeUpu</t>
  </si>
  <si>
    <t>Elias laka</t>
  </si>
  <si>
    <t>https://drive.google.com/open?id=1hevMq3MKJH8vociZCYKxk7lHOxt-o1D9</t>
  </si>
  <si>
    <t>Hilarius nahak</t>
  </si>
  <si>
    <t>082295995266</t>
  </si>
  <si>
    <t>https://drive.google.com/open?id=19vgUTwEwSJwH_rfMbJ3qYdqgZ1xwRnzx</t>
  </si>
  <si>
    <t>Prima melania bikolo</t>
  </si>
  <si>
    <t>081356164246</t>
  </si>
  <si>
    <t>https://drive.google.com/open?id=1zQ5Jrhx5Nu2aSqMa2jJmtVpcpFs_bdDb</t>
  </si>
  <si>
    <t>Arnol rawambaku</t>
  </si>
  <si>
    <t>082145350549</t>
  </si>
  <si>
    <t>https://drive.google.com/open?id=1LqrFZaBYVGlWuQ4S5nHw6bP0SaM6AwYl</t>
  </si>
  <si>
    <t>Agni Merlanti Kotta</t>
  </si>
  <si>
    <t>081288714623</t>
  </si>
  <si>
    <t>https://drive.google.com/open?id=1DvyG10jsQLAedHHEDDHeQ3aIPiqOR1Jk</t>
  </si>
  <si>
    <t>FRANSISKUS MAU</t>
  </si>
  <si>
    <t>081319185922</t>
  </si>
  <si>
    <t>https://drive.google.com/open?id=1oYhraCQq6q68DI15pMXUYjD7kdenMAH-</t>
  </si>
  <si>
    <t>Selin Marselina mally</t>
  </si>
  <si>
    <t>https://drive.google.com/open?id=1eKqhGUybfgp-LVxZ03kjLGNZe0x60HiM</t>
  </si>
  <si>
    <t>Matra N Tunliu</t>
  </si>
  <si>
    <t>081239625547</t>
  </si>
  <si>
    <t>https://drive.google.com/open?id=1jEbGLXCQ4oSL_Zn9S9hzS5sCu_3YAr_K</t>
  </si>
  <si>
    <t>Anthoneta saefatu</t>
  </si>
  <si>
    <t>082144227975</t>
  </si>
  <si>
    <t>https://drive.google.com/open?id=1eYYBRT_MMK1Ab7rBgVjcPhTHnYqCalq0</t>
  </si>
  <si>
    <t>Welmince para</t>
  </si>
  <si>
    <t>081337975422</t>
  </si>
  <si>
    <t>https://drive.google.com/open?id=1wQG51shT_RVSI2-ZaG5z42ObC96GNLPb</t>
  </si>
  <si>
    <t>Yuvenrius Taslulu</t>
  </si>
  <si>
    <t>082159064098</t>
  </si>
  <si>
    <t>https://drive.google.com/open?id=1Cr1LcSm-DpUgGkAlUqYGlin2xYsbKnnu</t>
  </si>
  <si>
    <t>Maria delviana haumen</t>
  </si>
  <si>
    <t>081337654872</t>
  </si>
  <si>
    <t>https://drive.google.com/open?id=1BwYdiArM7v2ZG9T2YXS5_o2ajqs16y10</t>
  </si>
  <si>
    <t>Margaretha Pindi Leo</t>
  </si>
  <si>
    <t>081236218176</t>
  </si>
  <si>
    <t>Wiswasta</t>
  </si>
  <si>
    <t>https://drive.google.com/open?id=1w3M89nx0gMi9X7uaHB9hhXIOVnXOk8Am</t>
  </si>
  <si>
    <t>Apriana marselina kehi</t>
  </si>
  <si>
    <t>082146535020</t>
  </si>
  <si>
    <t>https://drive.google.com/open?id=1VDC6QqjoP15wFX9qWYlbWM7OBPyspldl</t>
  </si>
  <si>
    <t>Meksi mone</t>
  </si>
  <si>
    <t>085947585577</t>
  </si>
  <si>
    <t>https://drive.google.com/open?id=1LmYOrwjeXVkgY8y_qAJBQGwjNNMErNYm</t>
  </si>
  <si>
    <t>Mardiana Ata Luda</t>
  </si>
  <si>
    <t>081246966516</t>
  </si>
  <si>
    <t>https://drive.google.com/open?id=1re1DFrrWlhCavW8m1dgUuL9cazJh3Xns</t>
  </si>
  <si>
    <t>https://drive.google.com/open?id=1rWNo04DgTUt_ZimDeKq5k8ulXmqSIWEZ</t>
  </si>
  <si>
    <t>https://drive.google.com/open?id=1ICA9iIIEAB3u3QqeOKOe5S7UHzlO7Ubm</t>
  </si>
  <si>
    <t>Amoy Rambu kalaiju</t>
  </si>
  <si>
    <t>082250108564</t>
  </si>
  <si>
    <t>https://drive.google.com/open?id=1MNCkFL7Vw3WgIPvvMSO8wNeWMNvRyb3f</t>
  </si>
  <si>
    <t>pretilia ledoh</t>
  </si>
  <si>
    <t>081235668012</t>
  </si>
  <si>
    <t>https://drive.google.com/open?id=1J3CGDlycdCfzREN1RQfhzL1__tlLLpq5</t>
  </si>
  <si>
    <t>Rambu diawati abdurahman bima</t>
  </si>
  <si>
    <t>082236600450</t>
  </si>
  <si>
    <t>https://drive.google.com/open?id=1M6jsoxgmnR6chK0mownnnwPND6ATFXfo</t>
  </si>
  <si>
    <t>Magdalena afresia</t>
  </si>
  <si>
    <t>085137741917</t>
  </si>
  <si>
    <t>https://drive.google.com/open?id=1jcZnjwFtjFh83BxilisNpCFs9HTH77Fi</t>
  </si>
  <si>
    <t>Permatasari Rambu Munggul</t>
  </si>
  <si>
    <t>085124144131</t>
  </si>
  <si>
    <t>https://drive.google.com/open?id=1bwW9IcUKXG_TWQRps_hePXAPMWwOAmfR</t>
  </si>
  <si>
    <t>Lodewich Ratu Kadja</t>
  </si>
  <si>
    <t>081529264968</t>
  </si>
  <si>
    <t>https://drive.google.com/open?id=1PiQNmURBpmOSM1hjTU8t2zl3WKApLfO-</t>
  </si>
  <si>
    <t>Sadrak  foeh</t>
  </si>
  <si>
    <t>https://drive.google.com/open?id=1_kZk6Q3t5wP7FIyR4cY3qm1rqclLc-I6</t>
  </si>
  <si>
    <t>Yesaya messakh</t>
  </si>
  <si>
    <t>https://drive.google.com/open?id=1QRVBE24NsgrCNRvb4WoH4MN3IL7l8sHC</t>
  </si>
  <si>
    <t>Yandi atonis</t>
  </si>
  <si>
    <t>081338528247</t>
  </si>
  <si>
    <t>https://drive.google.com/open?id=1KtjOhDkJy1OXwSMXpS8Vj6R--P5j7S9_</t>
  </si>
  <si>
    <t>Rehabian noven rudyanto tunjaas</t>
  </si>
  <si>
    <t>082143825048</t>
  </si>
  <si>
    <t>https://drive.google.com/open?id=1yPjSkFDq6n7zW7qiM1cE0ltVVaXv3Ahy</t>
  </si>
  <si>
    <t>Yuliana yasmin</t>
  </si>
  <si>
    <t>082147241987</t>
  </si>
  <si>
    <t>https://drive.google.com/open?id=1ymE5XqXeTsxuBxpPeZckxZkTe30QyfWY</t>
  </si>
  <si>
    <t>Olan Alfan Putra Dunggun</t>
  </si>
  <si>
    <t>https://drive.google.com/open?id=1kiGCQEmcEUAm7r8-XDog4yAHfL2Coxx_</t>
  </si>
  <si>
    <t>Yuliana Sanit</t>
  </si>
  <si>
    <t>085649951967</t>
  </si>
  <si>
    <t>Aparat desa</t>
  </si>
  <si>
    <t>https://drive.google.com/open?id=158KsyI4HNTFUTUu8hvJ9EkH0uq__yi0q</t>
  </si>
  <si>
    <t>Lenci bula</t>
  </si>
  <si>
    <t>081246365357</t>
  </si>
  <si>
    <t>https://drive.google.com/open?id=1rHCgUYmDdomBGzzTQZIXfKTYkO1RZ8HH</t>
  </si>
  <si>
    <t>ADE IRMA PELI DOLU</t>
  </si>
  <si>
    <t>085238050062</t>
  </si>
  <si>
    <t>https://drive.google.com/open?id=1omeEZuylzjINlXx1FkUm3G_7y3ZxpT7r</t>
  </si>
  <si>
    <t>Viktor leba</t>
  </si>
  <si>
    <t>081332617983</t>
  </si>
  <si>
    <t>https://drive.google.com/open?id=1KjrRZPrdtmR8vb6wwpBqT1dQlf9SsNYs</t>
  </si>
  <si>
    <t>Lince Dangu wali</t>
  </si>
  <si>
    <t>https://drive.google.com/open?id=1-ctJJ27BpBzcr1fCzPzBYMVsMWkS2g0p</t>
  </si>
  <si>
    <t>GODELIVA  KAU KOSAT</t>
  </si>
  <si>
    <t>08223654190</t>
  </si>
  <si>
    <t>https://drive.google.com/open?id=1DslDS0yS0sxfbCji5uYHiIfwAK3j5HTW</t>
  </si>
  <si>
    <t>Yorianus andinus meni</t>
  </si>
  <si>
    <t>081253260633</t>
  </si>
  <si>
    <t>https://drive.google.com/open?id=15nK-hHOlP8hF-NQMsk8b2LIZxKGMlkbX</t>
  </si>
  <si>
    <t>YOHANIS AMORIUS JEWU BELA</t>
  </si>
  <si>
    <t>081235676891</t>
  </si>
  <si>
    <t>https://drive.google.com/open?id=1HCvELtVTh4YTmw0S990WBQMHQacuuUJi</t>
  </si>
  <si>
    <t>TRIFANI SUSANTI NIFU</t>
  </si>
  <si>
    <t>081246194415</t>
  </si>
  <si>
    <t>https://drive.google.com/open?id=1bemS5Cpm21iaeAfJAoOgMMm3Mz1aMyxl</t>
  </si>
  <si>
    <t xml:space="preserve">MARIA NOVALIA TUNLIU </t>
  </si>
  <si>
    <t>081246020762</t>
  </si>
  <si>
    <t>https://drive.google.com/open?id=1t5V6UnEgHD5_0vPOCCMCHdwroRxb3Xzr</t>
  </si>
  <si>
    <t>Ana Sifera Penu</t>
  </si>
  <si>
    <t>082340235769</t>
  </si>
  <si>
    <t xml:space="preserve">Kios </t>
  </si>
  <si>
    <t>https://drive.google.com/open?id=1Vn161wTYNnGOcsJzhZGqQ1MG-ERwYYKT</t>
  </si>
  <si>
    <t>roby isak danial kadafuk</t>
  </si>
  <si>
    <t>085333222131</t>
  </si>
  <si>
    <t>https://drive.google.com/open?id=1Ep63izxbZrpA72sglwN05MfTssqFx6OY</t>
  </si>
  <si>
    <t>081353662834</t>
  </si>
  <si>
    <t>https://drive.google.com/open?id=1PIWxziqe1Z9mH7f1vmAgQBFpryYSPRVJ</t>
  </si>
  <si>
    <t>Neltji Norma Sumilat</t>
  </si>
  <si>
    <t>085167107215</t>
  </si>
  <si>
    <t>https://drive.google.com/open?id=1aSw8cIPyQ4NXqzJ1ehHPNhdY0HohzVmT</t>
  </si>
  <si>
    <t>LUKAS BALA KABORANG</t>
  </si>
  <si>
    <t>082235834885</t>
  </si>
  <si>
    <t>https://drive.google.com/open?id=1O2UJbzeIl19e2KnZtA6GR_mdRr3g8yTQ</t>
  </si>
  <si>
    <t>Cilia ogeni tafuli</t>
  </si>
  <si>
    <t>082144228189</t>
  </si>
  <si>
    <t>https://drive.google.com/open?id=1KR2LCirQ_QDACBUKU8isNg1BAEScY7xH</t>
  </si>
  <si>
    <t>Tuwa Negu</t>
  </si>
  <si>
    <t>https://drive.google.com/open?id=1SCp7rbWNgfRrzpudkHPVPn7wMBGhY_qC</t>
  </si>
  <si>
    <t>Yuventus banunaek</t>
  </si>
  <si>
    <t>082146698141</t>
  </si>
  <si>
    <t>https://drive.google.com/open?id=1q-JFuhd-Vz7UDHTwl8VQL-5nLmDOq_NJ</t>
  </si>
  <si>
    <t>Fransiskus Seran</t>
  </si>
  <si>
    <t>081225127491</t>
  </si>
  <si>
    <t>https://drive.google.com/open?id=1FhKdvxsZ65MVDv5yDU3STqLgUXJ3uTZi</t>
  </si>
  <si>
    <t xml:space="preserve">Rezzy Rabeka Nafi </t>
  </si>
  <si>
    <t>082247434284</t>
  </si>
  <si>
    <t>https://drive.google.com/open?id=1U_bI47IlEjhHq51FoM5m-ljQk1X00KDV</t>
  </si>
  <si>
    <t>Sukardi</t>
  </si>
  <si>
    <t>https://drive.google.com/open?id=18f0PydUtDpY8AZs5DCtSlE8ZKbJo1Rms</t>
  </si>
  <si>
    <t>Joao suriano</t>
  </si>
  <si>
    <t>085947685166</t>
  </si>
  <si>
    <t>https://drive.google.com/open?id=1KrvkF0545Dbf4ZDwGLI9ySs7IMMsvcOi</t>
  </si>
  <si>
    <t>Trismo susanto Y njurumbaha</t>
  </si>
  <si>
    <t>082144125615</t>
  </si>
  <si>
    <t>https://drive.google.com/open?id=1deBjLqapu_vSd3dTSMe1IcOrPyCPQpRy</t>
  </si>
  <si>
    <t>Neti lumba babang SE</t>
  </si>
  <si>
    <t>085333406485</t>
  </si>
  <si>
    <t>https://drive.google.com/open?id=1vZcULmcYuhlhmzZN8vACSA_vqxSDjSYP</t>
  </si>
  <si>
    <t>INTANIA HUBY CAROLINA</t>
  </si>
  <si>
    <t>081237534025</t>
  </si>
  <si>
    <t>https://drive.google.com/open?id=1TwM1uz5smCSzcxotnZ-qp0VFcVeJ7G_p</t>
  </si>
  <si>
    <t>IBRAHIM SAKMAN SINLAE</t>
  </si>
  <si>
    <t>082266266221</t>
  </si>
  <si>
    <t>https://drive.google.com/open?id=1KN1V2N4uE3kh9GFXBE_x2tD06cHyjY7Y</t>
  </si>
  <si>
    <t>Maria muti</t>
  </si>
  <si>
    <t>08179024691</t>
  </si>
  <si>
    <t>https://drive.google.com/open?id=1JrcUEv-FWPA0zl2wAM8lyFsa_1q27mPw</t>
  </si>
  <si>
    <t>Marcus dos santos</t>
  </si>
  <si>
    <t>085134415791</t>
  </si>
  <si>
    <t>https://drive.google.com/open?id=1yx3cwujSuZ4uYWS8VJSmWOOGPhdQUVsz</t>
  </si>
  <si>
    <t>Daud kaledi wawu</t>
  </si>
  <si>
    <t>085362023289</t>
  </si>
  <si>
    <t>https://drive.google.com/open?id=1vHfJPZrL4qqE4Ksz7A0bAUJ1iMpyADyk</t>
  </si>
  <si>
    <t>Maxi Melkisedek banoet</t>
  </si>
  <si>
    <t>081291739621</t>
  </si>
  <si>
    <t>https://drive.google.com/open?id=1iu3bISdRaWeIwc7vlEdNm3HzTQkzLwyq</t>
  </si>
  <si>
    <t>Glen nuban</t>
  </si>
  <si>
    <t>082234259710</t>
  </si>
  <si>
    <t>https://drive.google.com/open?id=1o2k1DfQnfJABMtpICoreOMazX4Qptt82</t>
  </si>
  <si>
    <t>MATILDA KALOIT</t>
  </si>
  <si>
    <t>085238332193</t>
  </si>
  <si>
    <t>Jualan</t>
  </si>
  <si>
    <t>https://drive.google.com/open?id=1rCqXwSmo30zBsDrUG_LcHxCZqm7X9OMz</t>
  </si>
  <si>
    <t>LENY NADIA KABITI</t>
  </si>
  <si>
    <t>087741423006</t>
  </si>
  <si>
    <t>JUAL DIPASAR</t>
  </si>
  <si>
    <t>https://drive.google.com/open?id=1lXYB-RDRwHCqDUQ8vmY2a5iXxr1d6szg</t>
  </si>
  <si>
    <t>ALBERTINO DE A GAMA</t>
  </si>
  <si>
    <t>081339880588</t>
  </si>
  <si>
    <t>https://drive.google.com/open?id=1Le-RJKgykvDRvgH8vNEQU_mkIFRfEPl8</t>
  </si>
  <si>
    <t>Adriana Luruk</t>
  </si>
  <si>
    <t>085738348412</t>
  </si>
  <si>
    <t>https://drive.google.com/open?id=1hr_i45BIIJ7UUl-Lv_hjxXCwWxUsertu</t>
  </si>
  <si>
    <t>Fence toineno</t>
  </si>
  <si>
    <t>081337569500</t>
  </si>
  <si>
    <t>https://drive.google.com/open?id=14-DKhRSMzO7t6BAeWyQI_c3-QE2XwbyP</t>
  </si>
  <si>
    <t>Maria Peronika Walu</t>
  </si>
  <si>
    <t>081246240412</t>
  </si>
  <si>
    <t>https://drive.google.com/open?id=1Jq9GENn9EKsAGWXKcfFjWuxplmqs6tkZ</t>
  </si>
  <si>
    <t>Ringga M. Larasaty sale</t>
  </si>
  <si>
    <t>081999286079</t>
  </si>
  <si>
    <t>https://drive.google.com/open?id=1hrXyxrEUaG0PX5btKlGy19d5WlVc3yPB</t>
  </si>
  <si>
    <t>Reny hana atajawa</t>
  </si>
  <si>
    <t>https://drive.google.com/open?id=1pKVwaUbgG4Yw9pknLO_P5dYf5hXCCi9k</t>
  </si>
  <si>
    <t>OSINTA BELA MATA</t>
  </si>
  <si>
    <t>081246052670</t>
  </si>
  <si>
    <t>https://drive.google.com/open?id=1Oo5nygSTal06VrJCUybzJOcmRbYJGn1I</t>
  </si>
  <si>
    <t>Yanto kristo benu</t>
  </si>
  <si>
    <t>082266044749</t>
  </si>
  <si>
    <t>https://drive.google.com/open?id=1KgGZLPPtGQs8QxkgzZb3wTx_T6pq34eI</t>
  </si>
  <si>
    <t>EVAN'S JESEVAN MEGOTH</t>
  </si>
  <si>
    <t>081526277288</t>
  </si>
  <si>
    <t>https://drive.google.com/open?id=1XB6JxejyLgO8tw00GPcNQW-K1NU-f3MP</t>
  </si>
  <si>
    <t>YULENSI KILLA</t>
  </si>
  <si>
    <t>081273861393</t>
  </si>
  <si>
    <t xml:space="preserve">Wirausaha </t>
  </si>
  <si>
    <t>https://drive.google.com/open?id=1CPkAHGFXUbwOBQAnnM3NciOf6AZFz7DL</t>
  </si>
  <si>
    <t>Kanora mburu</t>
  </si>
  <si>
    <t>082147545228</t>
  </si>
  <si>
    <t>https://drive.google.com/open?id=1RXCk_hzdhpf3LViMxwSAh_c5l5XgOrMp</t>
  </si>
  <si>
    <t>Andri manu</t>
  </si>
  <si>
    <t>+6282266389368</t>
  </si>
  <si>
    <t>https://drive.google.com/open?id=1YBAMDO4Vnq5k7pNIewc5-ilhpCy5qQRI</t>
  </si>
  <si>
    <t>florywan sefraynd kore nara</t>
  </si>
  <si>
    <t>082247786133</t>
  </si>
  <si>
    <t>https://drive.google.com/open?id=1TI_RxRvCYMjq4OBtJvPcUydC8Se4OTqJ</t>
  </si>
  <si>
    <t>Fitra Kasim</t>
  </si>
  <si>
    <t>081216344956</t>
  </si>
  <si>
    <t>https://drive.google.com/open?id=1YMxSBIHfnxWBf-9uTl78R8nD2ASLtslk</t>
  </si>
  <si>
    <t>Maria Imakulata mikel</t>
  </si>
  <si>
    <t>085333432503</t>
  </si>
  <si>
    <t>https://drive.google.com/open?id=1ZVLN3K5BjS9lkdIeYnC2NmIhzkjXJZYI</t>
  </si>
  <si>
    <t>ANGGELINI VIDEYOFA SNOE</t>
  </si>
  <si>
    <t>081239622359</t>
  </si>
  <si>
    <t>https://drive.google.com/open?id=16PEM29yAv9rscHx8KGOlW-oQxq_oeVuz</t>
  </si>
  <si>
    <t>Rizal Awang</t>
  </si>
  <si>
    <t>08155287339</t>
  </si>
  <si>
    <t>https://drive.google.com/open?id=1EZ9h3lXtm-bATaf7AU3v8OJOLsDVxw3N</t>
  </si>
  <si>
    <t>Kartini maryanty mooy</t>
  </si>
  <si>
    <t>https://drive.google.com/open?id=1JMSTOOh56awOZKvQDi92jTChvKvdPhFi</t>
  </si>
  <si>
    <t>Dominggus adu</t>
  </si>
  <si>
    <t>https://drive.google.com/open?id=1SEKgJOBAry7MT6F1LrI3nF0r2E7JL2vP</t>
  </si>
  <si>
    <t>Abdul Sunardi Kaya</t>
  </si>
  <si>
    <t>085182414023</t>
  </si>
  <si>
    <t>https://drive.google.com/open?id=1MWO2MOkPtUYZ2eDtqWZN_sqesJ1v6R7F</t>
  </si>
  <si>
    <t>Regina Liubana</t>
  </si>
  <si>
    <t>08999895517</t>
  </si>
  <si>
    <t>https://drive.google.com/open?id=13d896x0Eh8FuOUU59wpRiQhW_Kf1MzZP</t>
  </si>
  <si>
    <t>Odelia martins barros</t>
  </si>
  <si>
    <t>081339243947</t>
  </si>
  <si>
    <t>https://drive.google.com/open?id=1H0bJvfIzTsbJ7hywL0bWg9d03mFkA5DO</t>
  </si>
  <si>
    <t>TUTI SUPRIANI</t>
  </si>
  <si>
    <t>085216943378</t>
  </si>
  <si>
    <t>https://drive.google.com/open?id=1EWOpZBlISPOaJbOlbYI8eoIWSUoZNFOY</t>
  </si>
  <si>
    <t>Fransiskus Malo ngaba</t>
  </si>
  <si>
    <t>0881011080971</t>
  </si>
  <si>
    <t>https://drive.google.com/open?id=10U_y3tf9AGKLIyxiujQWXuFT4tdxH0bJ</t>
  </si>
  <si>
    <t>Yuliana lede</t>
  </si>
  <si>
    <t>085339080995</t>
  </si>
  <si>
    <t>https://drive.google.com/open?id=1AmP8oawdisvQkr0TFJnxzGNzbctY1gc6</t>
  </si>
  <si>
    <t>Florentina buik</t>
  </si>
  <si>
    <t>https://drive.google.com/open?id=1PntbAs_vq99gQ3bbdA5Dn0m7cNf16dVn</t>
  </si>
  <si>
    <t>Santi maria lukmini nahak</t>
  </si>
  <si>
    <t>https://drive.google.com/open?id=1izspZ1CgSSQReQAdTeXeyhMZe8pj7odW</t>
  </si>
  <si>
    <t>Cornelis bili malo</t>
  </si>
  <si>
    <t>081236523592</t>
  </si>
  <si>
    <t>https://drive.google.com/open?id=1a-0dopiIjpkME88VLELYV6XE3zkQd-qu</t>
  </si>
  <si>
    <t>Abrita Dedi</t>
  </si>
  <si>
    <t>081235676841</t>
  </si>
  <si>
    <t>https://drive.google.com/open?id=1NfBpc-nJStFQRSwexxYRA8M1vnN8cHZc</t>
  </si>
  <si>
    <t>Lida reza nono</t>
  </si>
  <si>
    <t>082247720509</t>
  </si>
  <si>
    <t>https://drive.google.com/open?id=1ylC50ew6A-062zcIa7LfKRFgtcGxdEst</t>
  </si>
  <si>
    <t>Hen u l sobang</t>
  </si>
  <si>
    <t>https://drive.google.com/open?id=1DWHe6p9mkwhGafBRQ86MyvU4QtWWjDSG</t>
  </si>
  <si>
    <t>Hendrik polli</t>
  </si>
  <si>
    <t>082340325141</t>
  </si>
  <si>
    <t>https://drive.google.com/open?id=1_F5DoTAJ3sc8hGCZVshX3uIaDWzbb6yR</t>
  </si>
  <si>
    <t>Pretti Angriani Boik</t>
  </si>
  <si>
    <t>081362133943</t>
  </si>
  <si>
    <t>https://drive.google.com/open?id=1lGaWtpgh_j0Exn_uDfSZFKdDhJoupSWS</t>
  </si>
  <si>
    <t>Lucky tulle</t>
  </si>
  <si>
    <t>082340995593</t>
  </si>
  <si>
    <t>https://drive.google.com/open?id=1_5_sp1KcEOUsUxgcLRICCf2UJ_ARUxNY</t>
  </si>
  <si>
    <t>ANDREAS NOBERTO EO</t>
  </si>
  <si>
    <t>082237956016</t>
  </si>
  <si>
    <t>https://drive.google.com/open?id=1rmyuXY4x0iCzdwFBONPReVPmUXeX_Kve</t>
  </si>
  <si>
    <t>Maria yantri hoar nahak</t>
  </si>
  <si>
    <t>081246127898</t>
  </si>
  <si>
    <t>https://drive.google.com/open?id=1xiTd3_FEn4os4OwClNFHW2MS8OuiwCPe</t>
  </si>
  <si>
    <t>Gustafianus manafe</t>
  </si>
  <si>
    <t>082172206260</t>
  </si>
  <si>
    <t>https://drive.google.com/open?id=1Zz0gIvndg3l0aDP5c4cLkTu9HSlE8EGv</t>
  </si>
  <si>
    <t>081246391275</t>
  </si>
  <si>
    <t>https://drive.google.com/open?id=1mlPHJbyTjPOb-9ZEilHf5BpsFxuooCtZ</t>
  </si>
  <si>
    <t>Nadia Siti Indrawati bussu</t>
  </si>
  <si>
    <t>081279725121</t>
  </si>
  <si>
    <t>https://drive.google.com/open?id=1AvEYJsKqN_uBCMKmkytTbA5azbrmQbNU</t>
  </si>
  <si>
    <t xml:space="preserve">Yunita Amelia Hamba Wudi </t>
  </si>
  <si>
    <t>082340387838</t>
  </si>
  <si>
    <t>https://drive.google.com/open?id=1Ew4qPYLM1f1VqT1-TOS1GRg3V0H6dtml</t>
  </si>
  <si>
    <t>Farida hasan</t>
  </si>
  <si>
    <t>085802790221</t>
  </si>
  <si>
    <t>https://drive.google.com/open?id=1ET1ZYAiwl85nGaz-G-KNT4IgcEwRz17k</t>
  </si>
  <si>
    <t>Siti salma</t>
  </si>
  <si>
    <t>081246317867</t>
  </si>
  <si>
    <t>https://drive.google.com/open?id=1izkdS7jNf_ZOX2MSOXnZDl3vLUJw1WEZ</t>
  </si>
  <si>
    <t>Elisa putri moni</t>
  </si>
  <si>
    <t>https://drive.google.com/open?id=1Ve0PTAY-t2KT1ufGl9ljOViONEu34ZKX</t>
  </si>
  <si>
    <t>ABDULRAHMAN AHMAD</t>
  </si>
  <si>
    <t>081339869462</t>
  </si>
  <si>
    <t>https://drive.google.com/open?id=1S3sE-6M6Dq4riBkuImbDBbdNrkF-goT4</t>
  </si>
  <si>
    <t>08222779075</t>
  </si>
  <si>
    <t>Wiraswatsa</t>
  </si>
  <si>
    <t>https://drive.google.com/open?id=13AXOWXRKdZdIoAVEyPkdWFVD7m4Iqgmt</t>
  </si>
  <si>
    <t>Steffi Kapitan</t>
  </si>
  <si>
    <t>+6285205169341</t>
  </si>
  <si>
    <t xml:space="preserve">Penjahit </t>
  </si>
  <si>
    <t>https://drive.google.com/open?id=1WDOsrPUIC79g1gDGQQz7VhozHb3n8uMg</t>
  </si>
  <si>
    <t>ITO ARKITOMUS PELLOKILA</t>
  </si>
  <si>
    <t>081338697169</t>
  </si>
  <si>
    <t>https://drive.google.com/open?id=1UgsTEX_tRf-rriM8tbET-N3B0F-C99av</t>
  </si>
  <si>
    <t>Dorkas kase</t>
  </si>
  <si>
    <t>https://drive.google.com/open?id=16lU8mT0BwW7NV2dFd_olNOtOqYwndQX7</t>
  </si>
  <si>
    <t>Sulthon aziz</t>
  </si>
  <si>
    <t>082266102059</t>
  </si>
  <si>
    <t>https://drive.google.com/open?id=1xnVY07dbHfUOE6G1WLNz5YspnLn31X3a</t>
  </si>
  <si>
    <t>Yovita manus</t>
  </si>
  <si>
    <t>081243357252</t>
  </si>
  <si>
    <t>https://drive.google.com/open?id=1RxubVcYCvLTqNh5QS9R3ct7bwY8M7zCA</t>
  </si>
  <si>
    <t>Gregorius palbeno</t>
  </si>
  <si>
    <t>081353216394</t>
  </si>
  <si>
    <t>https://drive.google.com/open?id=164aVvqbe6Rh7bpLRvUjMYrwk2XBHV9Wh</t>
  </si>
  <si>
    <t>Elsaliana talan</t>
  </si>
  <si>
    <t>082247894366</t>
  </si>
  <si>
    <t>https://drive.google.com/open?id=1RiXK-tEJmnDOEDWzPksXgZLWuciNoNPB</t>
  </si>
  <si>
    <t>Deplonia fersince leimany</t>
  </si>
  <si>
    <t>082144281988</t>
  </si>
  <si>
    <t>https://drive.google.com/open?id=18v9gkPZC7bK8nKB3GXwXDMa16E4IAH8-</t>
  </si>
  <si>
    <t>Claryta delaconsita adja</t>
  </si>
  <si>
    <t>0821461918811</t>
  </si>
  <si>
    <t>https://drive.google.com/open?id=18N74AHAQn_byjPloKRjcOYEOiwLqmS0R</t>
  </si>
  <si>
    <t>Yohana Bineni</t>
  </si>
  <si>
    <t>082150690301</t>
  </si>
  <si>
    <t>https://drive.google.com/open?id=19QYVxfeDmzOqH3xHCHwkt_z9VtnBLJYN</t>
  </si>
  <si>
    <t>Mardi Diki Langganjanji</t>
  </si>
  <si>
    <t>Penjual Ikan</t>
  </si>
  <si>
    <t>https://drive.google.com/open?id=1wPKqBgMjcRMfrpMCJ5ZEvKEU8SktwqW-</t>
  </si>
  <si>
    <t>Eliani reiha rosani</t>
  </si>
  <si>
    <t>081239102367</t>
  </si>
  <si>
    <t>https://drive.google.com/open?id=1LpmR8gHygcmke6F05FyaYR16QpKWRIFp</t>
  </si>
  <si>
    <t>Maria ferina rofle</t>
  </si>
  <si>
    <t>082266325399</t>
  </si>
  <si>
    <t>https://drive.google.com/open?id=10pQPxy-SVTqoUbYHRWFa4cWIOafOyq86</t>
  </si>
  <si>
    <t>Yohana Erni nau</t>
  </si>
  <si>
    <t>081236200372</t>
  </si>
  <si>
    <t>https://drive.google.com/open?id=1KvsRVcgdWqwyCf6Oum1mn68SKrbidpQe</t>
  </si>
  <si>
    <t>Defandris metkono</t>
  </si>
  <si>
    <t>https://drive.google.com/open?id=1o9YY11UdvgI4BssUj4ySdea7535cPxni</t>
  </si>
  <si>
    <t>Jundro Natonis</t>
  </si>
  <si>
    <t>https://drive.google.com/open?id=1gnAGX0KQif29AOmWa9NM3fTE3QXzDWkD</t>
  </si>
  <si>
    <t>𝘚𝘳𝘪𝘺𝘢𝘯𝘤𝘦 𝘛𝘢𝘭𝘢</t>
  </si>
  <si>
    <t>082146007195</t>
  </si>
  <si>
    <t>https://drive.google.com/open?id=10xqVVcu-1D67jgzx1QDGdBe0R08GoQ0C</t>
  </si>
  <si>
    <t>Siti Nur</t>
  </si>
  <si>
    <t>082236946103</t>
  </si>
  <si>
    <t>https://drive.google.com/open?id=1qyG5ayeqk67bU7aHq2Ik8OSh4UZVpB7M</t>
  </si>
  <si>
    <t>RIMA BUNYAMIN</t>
  </si>
  <si>
    <t>082144733744</t>
  </si>
  <si>
    <t>https://drive.google.com/open?id=1ZqAPFxO3WLW0qhSJzIIIl6akaZy6tvSD</t>
  </si>
  <si>
    <t>Sam putra bole tade</t>
  </si>
  <si>
    <t>085126904959</t>
  </si>
  <si>
    <t>https://drive.google.com/open?id=1HdE6WDKR6zKTfValFKUYI8i94TvckK-6</t>
  </si>
  <si>
    <t>Frans Malo bulu</t>
  </si>
  <si>
    <t>085228907285</t>
  </si>
  <si>
    <t>https://drive.google.com/open?id=1L2sjEIWv5uTIlWzzdj8WsQckXBd0WJ1S</t>
  </si>
  <si>
    <t>DEMETRIO PAULUS FERNANDEZ</t>
  </si>
  <si>
    <t>082247593408</t>
  </si>
  <si>
    <t>https://drive.google.com/open?id=1TWO92HjVVCMjWDrCDejq3aLGy90cDmNH</t>
  </si>
  <si>
    <t>Welsi petrek kapitan</t>
  </si>
  <si>
    <t>085739616552</t>
  </si>
  <si>
    <t>https://drive.google.com/open?id=19P8azZIIXGF3d1CbVPtGGZqYHpGBM8gh</t>
  </si>
  <si>
    <t>Maria Windi marawali</t>
  </si>
  <si>
    <t>081547425952</t>
  </si>
  <si>
    <t>https://drive.google.com/open?id=1fnC1PDR16f5iR3xLdpNcuqVb0jCLT434</t>
  </si>
  <si>
    <t>Alya Refalin Rotte</t>
  </si>
  <si>
    <t>085829236749</t>
  </si>
  <si>
    <t>https://drive.google.com/open?id=1OPjNj83r_gqzO4gsFmj0hLBKMmMfHNtZ</t>
  </si>
  <si>
    <t>Yakobus Kristian Taek</t>
  </si>
  <si>
    <t>082350372141</t>
  </si>
  <si>
    <t>https://drive.google.com/open?id=1HKPJxIFK6gvT17ZUgMQUDZtJzEGJGtkd</t>
  </si>
  <si>
    <t>Nicyd's Benyamin Aden Lenggu</t>
  </si>
  <si>
    <t>082340888486</t>
  </si>
  <si>
    <t>https://drive.google.com/open?id=1mSOoi41jcYmqruRs3GVDp3uIw9XdJ5T1</t>
  </si>
  <si>
    <t>Rahab Rambu Tamar</t>
  </si>
  <si>
    <t>081246307882</t>
  </si>
  <si>
    <t>https://drive.google.com/open?id=18e4G8t-f1ETqHilOIbDnj1nCCVaZsagg</t>
  </si>
  <si>
    <t>Brian Kristo Rano</t>
  </si>
  <si>
    <t>082254671059</t>
  </si>
  <si>
    <t>https://drive.google.com/open?id=18bYNbAw7cgwmz9wn1Ee-BEHKYWozhRbw</t>
  </si>
  <si>
    <t xml:space="preserve">Yongki elekson balama </t>
  </si>
  <si>
    <t>https://drive.google.com/open?id=1bjPJ1i-gPuOnJZmLzRxdPoMJFGFC9GpK</t>
  </si>
  <si>
    <t>Donatus dedi rinaldi tefa</t>
  </si>
  <si>
    <t>0895600395256</t>
  </si>
  <si>
    <t>https://drive.google.com/open?id=15ChofvJ6dnUC4d_l0wjgVcp_LTWvNrL0</t>
  </si>
  <si>
    <t>Diston Naitani</t>
  </si>
  <si>
    <t>082339485265</t>
  </si>
  <si>
    <t>https://drive.google.com/open?id=1TCW5llsZW0ZG13VxklW_GWESUCI7ot2x</t>
  </si>
  <si>
    <t>KRISMANTO LAY PA</t>
  </si>
  <si>
    <t>https://drive.google.com/open?id=19Ej07Q6jk4ebflMCTvZoepqSYlnZf-xQ</t>
  </si>
  <si>
    <t>Noldi irandi boibana</t>
  </si>
  <si>
    <t>085253881720</t>
  </si>
  <si>
    <t>https://drive.google.com/open?id=1FKKyRaVrQhHIMjDF2scd8-yMqsV-sabx</t>
  </si>
  <si>
    <t>Semual sabu</t>
  </si>
  <si>
    <t>081239108618</t>
  </si>
  <si>
    <t>https://drive.google.com/open?id=1iaTOB1_Z6K5mMxQipQaw6vUkPlRJjFIl</t>
  </si>
  <si>
    <t>Silvino bere</t>
  </si>
  <si>
    <t>081246127822</t>
  </si>
  <si>
    <t>Pertukangan</t>
  </si>
  <si>
    <t>https://drive.google.com/open?id=18y4KZOrkxKblU9pstP03ckc0VG-xdp6X</t>
  </si>
  <si>
    <t>Cindy Saraheit Amalo</t>
  </si>
  <si>
    <t>081235447188</t>
  </si>
  <si>
    <t>https://drive.google.com/open?id=1iXPZwuv1UoGT0XP9ryKQe4S2x61xIKkl</t>
  </si>
  <si>
    <t>Jekli Selan</t>
  </si>
  <si>
    <t>https://drive.google.com/open?id=1eansBrMPGlIGjPaFTctK_HkuOI7oowqT</t>
  </si>
  <si>
    <t>Iman ulumando</t>
  </si>
  <si>
    <t>081338215521</t>
  </si>
  <si>
    <t>https://drive.google.com/open?id=1-o3yXc8HXR2Z-bXa3ctOaS2fT4RM1fZv</t>
  </si>
  <si>
    <t>Heslin fanggi</t>
  </si>
  <si>
    <t>Pekebun/petaani</t>
  </si>
  <si>
    <t>https://drive.google.com/open?id=1WDLFar7BWpygA3IU89rFF2cQnuQ7e6Su</t>
  </si>
  <si>
    <t>Jansen sasi</t>
  </si>
  <si>
    <t>081246074274</t>
  </si>
  <si>
    <t>https://drive.google.com/open?id=1P22Y-nAgq7dnJH5dNjs79lhcTIJYuPhb</t>
  </si>
  <si>
    <t>Yunita Selan</t>
  </si>
  <si>
    <t>081339882020</t>
  </si>
  <si>
    <t>Usaha kantin sekolah</t>
  </si>
  <si>
    <t>https://drive.google.com/open?id=1TRRZ6dhqqIKgBjB9KYyG5AdWD0AJmemV</t>
  </si>
  <si>
    <t>Yovita erwinda h. Seran</t>
  </si>
  <si>
    <t>081337796269</t>
  </si>
  <si>
    <t>https://drive.google.com/open?id=1HOB4NYgyA7wtmbkdx5fhxk1cWPiCjReg</t>
  </si>
  <si>
    <t>Alis anderias mbuik</t>
  </si>
  <si>
    <t>081239117305</t>
  </si>
  <si>
    <t>https://drive.google.com/open?id=1lEWIxOI7674LZYF8mGubyUZkbqG9diTe</t>
  </si>
  <si>
    <t>raldi bessie</t>
  </si>
  <si>
    <t>081547431909</t>
  </si>
  <si>
    <t>https://drive.google.com/open?id=1S7GCdfRcu0A-hFhhCuJ0ABBXaOhS0sv8</t>
  </si>
  <si>
    <t>ryo imanuel oktavianus nggebu</t>
  </si>
  <si>
    <t>081235669812</t>
  </si>
  <si>
    <t>https://drive.google.com/open?id=1tKpGy_9Au4uj6q684thV1AMRv9719Fic</t>
  </si>
  <si>
    <t>Astri wolatrida bessie</t>
  </si>
  <si>
    <t>081239606062</t>
  </si>
  <si>
    <t>Pengusaha kantin</t>
  </si>
  <si>
    <t>https://drive.google.com/open?id=1uew-CFs_sKsjDlSV_TjNaC5w_sk8AhUw</t>
  </si>
  <si>
    <t>Marthen ege masa</t>
  </si>
  <si>
    <t>085745700507</t>
  </si>
  <si>
    <t>https://drive.google.com/open?id=1kchEyw1E0pJalhOZUZvc6Y2aAVKQsxGc</t>
  </si>
  <si>
    <t>Renaldy Jalla Pelang</t>
  </si>
  <si>
    <t>+6285333003426</t>
  </si>
  <si>
    <t>https://drive.google.com/open?id=13SZDiKbfNHBusEqg446mn22YyfRshlPe</t>
  </si>
  <si>
    <t>081236087227</t>
  </si>
  <si>
    <t>https://drive.google.com/open?id=1h_-MoaiqeyrcyMu-ITrrqU8lZhQbRpNz</t>
  </si>
  <si>
    <t>Jose dinis soares</t>
  </si>
  <si>
    <t>089529332230</t>
  </si>
  <si>
    <t>https://drive.google.com/open?id=1NrYTo8DxFESUhYhyYD01WvWsJBapebB8</t>
  </si>
  <si>
    <t>Maxon teul hawula</t>
  </si>
  <si>
    <t>081558676162</t>
  </si>
  <si>
    <t>https://drive.google.com/open?id=1TtdO6jbfEMpjP6P3sRDphOmYClFd9o50</t>
  </si>
  <si>
    <t>MELANI IMELDA TAMOES</t>
  </si>
  <si>
    <t>081246129664</t>
  </si>
  <si>
    <t>https://drive.google.com/open?id=1xo8iBj0Q59ix7_N9NvcsPv6RIAq5qaK2</t>
  </si>
  <si>
    <t>Magdalena Dontoli</t>
  </si>
  <si>
    <t>081239104798</t>
  </si>
  <si>
    <t>https://drive.google.com/open?id=1nMv9i7PccTZuI8CxwGX7cIAwMQicm7R8</t>
  </si>
  <si>
    <t>NICK GIOFANO BAITANU</t>
  </si>
  <si>
    <t>081337425660</t>
  </si>
  <si>
    <t>https://drive.google.com/open?id=1k4SMCyzasjWu9Ue2CbnnEDuS5bX6aLza</t>
  </si>
  <si>
    <t>SANTRIANTI MARIA BABYS</t>
  </si>
  <si>
    <t>082144786094</t>
  </si>
  <si>
    <t>https://drive.google.com/open?id=1-jxG4BsZbtHEgLZK_Qdo2xhrcIKsox4Z</t>
  </si>
  <si>
    <t>Marthen landu praing</t>
  </si>
  <si>
    <t>081273105634</t>
  </si>
  <si>
    <t>https://drive.google.com/open?id=15F-eHkYi6B0LN9SNoY8TSSk9kRjwJa11</t>
  </si>
  <si>
    <t>Anita getrudis tanu</t>
  </si>
  <si>
    <t>081292052691</t>
  </si>
  <si>
    <t>https://drive.google.com/open?id=1WAG9juc4BZ8-v0OH-VxZkde_mtlVAWXa</t>
  </si>
  <si>
    <t>AMBU THALIB</t>
  </si>
  <si>
    <t>082341747619</t>
  </si>
  <si>
    <t>https://drive.google.com/open?id=1ef_4RJX-QOwdhgVEeSMa1IV8gBc6c7qE</t>
  </si>
  <si>
    <t>Johana reobisa</t>
  </si>
  <si>
    <t>085165056951</t>
  </si>
  <si>
    <t>https://drive.google.com/open?id=1PPy_ZdlkjeDRCrkRZrnZO9wQK7CGu98-</t>
  </si>
  <si>
    <t>Petronela puer</t>
  </si>
  <si>
    <t>082142488693</t>
  </si>
  <si>
    <t>https://drive.google.com/open?id=1vOcdqxINWKki1HQ9cXa72KkYFjoD6iKX</t>
  </si>
  <si>
    <t>belum bekerja</t>
  </si>
  <si>
    <t>https://drive.google.com/open?id=1zqL-G5ADkBGH4EqSruRc7pAn6D21RWnG</t>
  </si>
  <si>
    <t>https://drive.google.com/open?id=1poTnhZTPvUE4ysjdSKQ-nHAAv_Ob0gbl</t>
  </si>
  <si>
    <t>Petrus retang hamba mangili</t>
  </si>
  <si>
    <t>081246240281</t>
  </si>
  <si>
    <t>https://drive.google.com/open?id=1KYaal-8ul121xtTBMVoEmVsutTuv8XXo</t>
  </si>
  <si>
    <t>Alfret nenosaet</t>
  </si>
  <si>
    <t>085750044186</t>
  </si>
  <si>
    <t>https://drive.google.com/open?id=10ZAL0l5vt0ZdXXJ1VK742bqg11PbWsnE</t>
  </si>
  <si>
    <t>Nofri Yanti Maya Baun</t>
  </si>
  <si>
    <t>081246011756</t>
  </si>
  <si>
    <t>https://drive.google.com/open?id=1uq-3Q109L2iewvryRBHDkcqxRZoYhdjd</t>
  </si>
  <si>
    <t>Kornelia y ati</t>
  </si>
  <si>
    <t>https://drive.google.com/open?id=1IwwFSX81KWkQ15F_Eyp5aguoX-nfoC0D</t>
  </si>
  <si>
    <t>William Geraldo Hayon</t>
  </si>
  <si>
    <t>085921627169</t>
  </si>
  <si>
    <t>https://drive.google.com/open?id=1548tuWHSaArlDG9QfDtSwun6EgshgnQI</t>
  </si>
  <si>
    <t xml:space="preserve">Ewaldi sanaunu </t>
  </si>
  <si>
    <t>082144307244</t>
  </si>
  <si>
    <t>https://drive.google.com/open?id=1Uuw46a6xYcKifE69dC9R15_cSsoHF4nE</t>
  </si>
  <si>
    <t>Trimilti helmi yati rensini</t>
  </si>
  <si>
    <t>081339722160</t>
  </si>
  <si>
    <t>https://drive.google.com/open?id=1M6wiDIHKZ4RhZXE4yPXGtMNz_ryLM9B7</t>
  </si>
  <si>
    <t>I PUTU YUDHA WIRA KRISNA</t>
  </si>
  <si>
    <t>082235568970</t>
  </si>
  <si>
    <t>https://drive.google.com/open?id=1_YYkWj564mWhdCbk2rzw0dtTKkgs-8es</t>
  </si>
  <si>
    <t xml:space="preserve">Santi Yuliana Oenunu </t>
  </si>
  <si>
    <t>https://drive.google.com/open?id=15LXRqvkAxZJbOU4UJtU8IzsTnNuWjSbJ</t>
  </si>
  <si>
    <t>Brigida pinto</t>
  </si>
  <si>
    <t>082197846963</t>
  </si>
  <si>
    <t>https://drive.google.com/open?id=1EtyBQThEtM4bqFHcEFB4G-xluRZujfQ0</t>
  </si>
  <si>
    <t xml:space="preserve">GREGORUS ORMANDA </t>
  </si>
  <si>
    <t>0812399251527</t>
  </si>
  <si>
    <t>https://drive.google.com/open?id=13iq4r7fcsRHxqd8kYxvyiyCX1tBOY-ud</t>
  </si>
  <si>
    <t>Olga alves</t>
  </si>
  <si>
    <t>085738745382</t>
  </si>
  <si>
    <t>https://drive.google.com/open?id=1sivoTIQDXTQmoy3CP8f5_J-Uw9eYXF1F</t>
  </si>
  <si>
    <t>ADI PAPA NAMU NJANJI</t>
  </si>
  <si>
    <t>082247876834</t>
  </si>
  <si>
    <t>https://drive.google.com/open?id=1XFPGVwyZg1NLbIouhcEjod3v9uMryuq7</t>
  </si>
  <si>
    <t>Veronica pereira</t>
  </si>
  <si>
    <t>081246331670</t>
  </si>
  <si>
    <t>https://drive.google.com/open?id=1zVSDiWAe_KtbIt8vI9JMOBUgt8KLUNlB</t>
  </si>
  <si>
    <t>Armelia maria tersiyani tahu</t>
  </si>
  <si>
    <t>082235942468</t>
  </si>
  <si>
    <t>https://drive.google.com/open?id=1iSVP4yQwzO1QuJxCgg3e29OOZZOkGou9</t>
  </si>
  <si>
    <t>Yulianus Kabba Kadu</t>
  </si>
  <si>
    <t>https://drive.google.com/open?id=1tGYeWwHEpOE8J_D08Io7_N751wLKJ2JH</t>
  </si>
  <si>
    <t>APOLONIA MAUMABE</t>
  </si>
  <si>
    <t>081246631984</t>
  </si>
  <si>
    <t>https://drive.google.com/open?id=1hbGCs_7MLYHcDOc5pLdQjddFRFqAct-u</t>
  </si>
  <si>
    <t>Serly Marlina Pitay</t>
  </si>
  <si>
    <t>082157882751</t>
  </si>
  <si>
    <t>https://drive.google.com/open?id=1M_hYgi2bdxaKeSd16Dk8QuznZri-jW6g</t>
  </si>
  <si>
    <t>Antonia solita tkela</t>
  </si>
  <si>
    <t>082144704658</t>
  </si>
  <si>
    <t>https://drive.google.com/open?id=12-aGueTecSxul904BYRmEMJkIZ3n8x-s</t>
  </si>
  <si>
    <t>Yusmina faot</t>
  </si>
  <si>
    <t>08131073378</t>
  </si>
  <si>
    <t>https://drive.google.com/open?id=1ieEr-SIg5RAS9_zXDX09ls4PDemgcC4D</t>
  </si>
  <si>
    <t>GREGORIUS BRIA NAHAK</t>
  </si>
  <si>
    <t>081346260990</t>
  </si>
  <si>
    <t>https://drive.google.com/open?id=1y4izvjSpCVVxU1fWVVkmINc_-I4hTd8l</t>
  </si>
  <si>
    <t>https://drive.google.com/open?id=1jLES5bAp58WMU3-iXgTuq5Ky186oFagd</t>
  </si>
  <si>
    <t>Meidia sry waty liu</t>
  </si>
  <si>
    <t>082312686614</t>
  </si>
  <si>
    <t>https://drive.google.com/open?id=1BzmOjtDTR0m2az_We9UhzwNV93m4a8Lp</t>
  </si>
  <si>
    <t>Junior juliano wadu djani</t>
  </si>
  <si>
    <t>085746141936</t>
  </si>
  <si>
    <t>https://drive.google.com/open?id=132nABEbgoNgXf4H8rsWyVMobQPgk5ClY</t>
  </si>
  <si>
    <t>Yeni Beatrix luruk</t>
  </si>
  <si>
    <t>081247596227</t>
  </si>
  <si>
    <t>https://drive.google.com/open?id=1ewMjoifMSkn3pRZP5clMfhUzINkQBrRE</t>
  </si>
  <si>
    <t>Yosintus Froyem Froheyem Hasiman</t>
  </si>
  <si>
    <t>082146752845</t>
  </si>
  <si>
    <t>https://drive.google.com/open?id=13KiUgrtltZ4tz3wJooXMxfSIPiKFKulE</t>
  </si>
  <si>
    <t>Deki herianto dopen</t>
  </si>
  <si>
    <t>081273837387</t>
  </si>
  <si>
    <t>https://drive.google.com/open?id=11q-mGzzbOVj9VG-xiM9y8fyU0D9SHz5W</t>
  </si>
  <si>
    <t>IMANUEL TIBERWAN ATAUPAH</t>
  </si>
  <si>
    <t>082258379620</t>
  </si>
  <si>
    <t>https://drive.google.com/open?id=1X-PvgTgfTRE1T4neNkSumc0mVVW4AuA0</t>
  </si>
  <si>
    <t>ANGGUN CHASMI  RAMBU PADU LEBA</t>
  </si>
  <si>
    <t>081246410291</t>
  </si>
  <si>
    <t>https://drive.google.com/open?id=1YZIgCigE-Fx75YlHVZrnJr9Tq0YcnsIU</t>
  </si>
  <si>
    <t>YOHANIS IMANUEL MUNI</t>
  </si>
  <si>
    <t>082144546135</t>
  </si>
  <si>
    <t>https://drive.google.com/open?id=1kXJXlLN9sjCNo9VSes7MEXPaGT8VOwzT</t>
  </si>
  <si>
    <t>Samba pua harun</t>
  </si>
  <si>
    <t>087747770537</t>
  </si>
  <si>
    <t>Pln</t>
  </si>
  <si>
    <t>https://drive.google.com/open?id=1hguD_Vklz43Bl1ZlIeyg7JMbstK6ZWFA</t>
  </si>
  <si>
    <t>esa talenalain pello</t>
  </si>
  <si>
    <t>01823588123458</t>
  </si>
  <si>
    <t>https://drive.google.com/open?id=1fIBkKxSXR_uW8U_XCAIysPghF-vRlcak</t>
  </si>
  <si>
    <t>Santiana Milla ate</t>
  </si>
  <si>
    <t>081337408610</t>
  </si>
  <si>
    <t>https://drive.google.com/open?id=18e8cwBH7LYogc2fOH22c8CqFqb5YJ4Ym</t>
  </si>
  <si>
    <t>mikris aryanto olly</t>
  </si>
  <si>
    <t>082335572781</t>
  </si>
  <si>
    <t>https://drive.google.com/open?id=1KASNSouHNg73c-oLv4Rq6A8XpoXrdFgr</t>
  </si>
  <si>
    <t>Vinsensia Tanting</t>
  </si>
  <si>
    <t>082339420427</t>
  </si>
  <si>
    <t>https://drive.google.com/open?id=1uSkI3NJnbeE3t9ROce28OnEFJdIYc9Hn</t>
  </si>
  <si>
    <t>JANUARIO JOHAN SERAN</t>
  </si>
  <si>
    <t>082145703087</t>
  </si>
  <si>
    <t>https://drive.google.com/open?id=1hDZJc2NnAK2F5yXegGNv7iXrh4ENLjv-</t>
  </si>
  <si>
    <t>Anita Rohi</t>
  </si>
  <si>
    <t>https://drive.google.com/open?id=14lwkgCnUtr_pRqXiSP6qiWVhvd47bm9x</t>
  </si>
  <si>
    <t>Mariana rambu dulu</t>
  </si>
  <si>
    <t>https://drive.google.com/open?id=1rD7t6O_PryZ8pjQZ9HQlseEW0N08USiw</t>
  </si>
  <si>
    <t xml:space="preserve">Eprianus adelbertus bere m. </t>
  </si>
  <si>
    <t>082144077179</t>
  </si>
  <si>
    <t>https://drive.google.com/open?id=12ZT22U8qNR8kdCTSGEGLrzStlDpmuwMt</t>
  </si>
  <si>
    <t>Rosdiana Ragalay Spd</t>
  </si>
  <si>
    <t>081229678099</t>
  </si>
  <si>
    <t>https://drive.google.com/open?id=1g8_RsiahjEVwn33I9Q1fJI3357t-TU-z</t>
  </si>
  <si>
    <t>LENSYTYA LUNGA DAPAWOLW</t>
  </si>
  <si>
    <t>082341392076</t>
  </si>
  <si>
    <t>https://drive.google.com/open?id=1DGPH18EOLs93kQc7n7J2GXbExkz5Zqbh</t>
  </si>
  <si>
    <t>Ofriani</t>
  </si>
  <si>
    <t>https://drive.google.com/open?id=1NFhuwnTfv_s-3F33ToJKVOPH8Nr1Ph8h</t>
  </si>
  <si>
    <t>Yorim andri lopo</t>
  </si>
  <si>
    <t>085215110234</t>
  </si>
  <si>
    <t>https://drive.google.com/open?id=1o02GILP4vvGMPt7O3UABQpo2OxmNI3Mg</t>
  </si>
  <si>
    <t>yosua rimon kamangko</t>
  </si>
  <si>
    <t>https://drive.google.com/open?id=1m20eGsq72jR1eCzAeGaLTz9m1mvXEOG6</t>
  </si>
  <si>
    <t>Laristo Elison Lay Dewa</t>
  </si>
  <si>
    <t>085238683933</t>
  </si>
  <si>
    <t>https://drive.google.com/open?id=1hIQcCk6Ik3SjvzUkx0gg1Kys89lVpLv8</t>
  </si>
  <si>
    <t>DEWIYANTI ELISABET SOLE</t>
  </si>
  <si>
    <t>085339177512</t>
  </si>
  <si>
    <t>https://drive.google.com/open?id=1R-atQbQR7jOf_l9bUDIxBrD6L5KHBK3V</t>
  </si>
  <si>
    <t>Alfonsus selan</t>
  </si>
  <si>
    <t>08131073354</t>
  </si>
  <si>
    <t>https://drive.google.com/open?id=1JeVd_976p8_MRY-_8mQV4vMORjcUbpMM</t>
  </si>
  <si>
    <t>Saptriani susana bora</t>
  </si>
  <si>
    <t>082213343590</t>
  </si>
  <si>
    <t>https://drive.google.com/open?id=1kQVDLOpYcZaa3IE92Gzxxba4uiGsbjGF</t>
  </si>
  <si>
    <t>Lidwina fermina bulele</t>
  </si>
  <si>
    <t>082340924260</t>
  </si>
  <si>
    <t>https://drive.google.com/open?id=1L_sg3mbOtcDePmFbrHoF0NvEsJ6pFuqO</t>
  </si>
  <si>
    <t>Jitro bansele</t>
  </si>
  <si>
    <t>081246601693</t>
  </si>
  <si>
    <t>https://drive.google.com/open?id=1dx5H4IGpRma91yojdvgxKJgA5w3CwM8p</t>
  </si>
  <si>
    <t xml:space="preserve">Kyria chara Irene Pello </t>
  </si>
  <si>
    <t>081715151414</t>
  </si>
  <si>
    <t>https://drive.google.com/open?id=1lgCfL6i4WNc1PaPAtfr6_4vvHMSAEOJx</t>
  </si>
  <si>
    <t>Feriska Chintya Faah</t>
  </si>
  <si>
    <t>085237747928</t>
  </si>
  <si>
    <t>https://drive.google.com/open?id=10JSuAQXvvfM8sK9MHnozFTaR7FUNIEon</t>
  </si>
  <si>
    <t>Diago gawu mata</t>
  </si>
  <si>
    <t>085349448473</t>
  </si>
  <si>
    <t>https://drive.google.com/open?id=1wj703vwrbqM7esp0u_uuQHULkcMvWV4f</t>
  </si>
  <si>
    <t>Abner sudi dedo</t>
  </si>
  <si>
    <t>https://drive.google.com/open?id=1j3V3ZRXkcUuhWB-j9TNE_oq3aIm1IIbH</t>
  </si>
  <si>
    <t>Anggia nguda lewo</t>
  </si>
  <si>
    <t>https://drive.google.com/open?id=1nP5POX59DSXNj66QT3ReuQciMti2Ippm</t>
  </si>
  <si>
    <t>ABD RAHIM</t>
  </si>
  <si>
    <t>082261477470</t>
  </si>
  <si>
    <t>https://drive.google.com/open?id=1gNSbBgJH7coiQnq4yRWRqHSg1grQXKaD</t>
  </si>
  <si>
    <t>Erniwati Elimanafe</t>
  </si>
  <si>
    <t>082145832195</t>
  </si>
  <si>
    <t>https://drive.google.com/open?id=13RS2BM0il7td5sBdeqaPwA1QFi0yBPcH</t>
  </si>
  <si>
    <t>Marinus lende</t>
  </si>
  <si>
    <t>081245139500</t>
  </si>
  <si>
    <t xml:space="preserve">Dapat limit tpi ktp di tolak </t>
  </si>
  <si>
    <t>https://drive.google.com/open?id=1r6GtojxxE-QwVp0cfVQs_-70IkpkrRau, https://drive.google.com/open?id=16hNrihP2tyjhFw-YrK7G_uiOJg7RZ-K1</t>
  </si>
  <si>
    <t>Moh sarif ratuloli</t>
  </si>
  <si>
    <t>082266184721</t>
  </si>
  <si>
    <t>https://drive.google.com/open?id=1_UTQW3V0IFp6tX4u6NJhO37d2adqmcvO</t>
  </si>
  <si>
    <t>Yesaya Silopo</t>
  </si>
  <si>
    <t>08123755128</t>
  </si>
  <si>
    <t>Pekerja lepas</t>
  </si>
  <si>
    <t>https://drive.google.com/open?id=10ND2iBU-9a4357OeRE4Oc20AO8t2IEh2</t>
  </si>
  <si>
    <t>Yuliana Yango Ate</t>
  </si>
  <si>
    <t>087769574634</t>
  </si>
  <si>
    <t>https://drive.google.com/open?id=1Sq5ghqqb3rFRtb_kTe6swe43wOq-VWp5</t>
  </si>
  <si>
    <t>Paulus bulu karika</t>
  </si>
  <si>
    <t>https://drive.google.com/open?id=1w3x69gMn4OKhsXvk78CDdf6fIdUu4X4_</t>
  </si>
  <si>
    <t>Suryadi Rahman</t>
  </si>
  <si>
    <t>082262623156</t>
  </si>
  <si>
    <t>https://drive.google.com/open?id=1DjcjdVUwIBG1BB3u4SFvwma6hMKp04li</t>
  </si>
  <si>
    <t>Christina Oktavianus dama</t>
  </si>
  <si>
    <t>https://drive.google.com/open?id=1AZsIyx06oq0EMBBKJ11-UOBDpw3RQx8e</t>
  </si>
  <si>
    <t>Indrayanti Hama</t>
  </si>
  <si>
    <t>082177509870</t>
  </si>
  <si>
    <t>https://drive.google.com/open?id=1ZOdTjV7gkM-Os--1rvrXwAGry3K9Jg3f</t>
  </si>
  <si>
    <t>YOSEFINA NENO</t>
  </si>
  <si>
    <t>https://drive.google.com/open?id=1cNTQFVAkMzIGvbPxQ6uzrhV9bs9UyH7g</t>
  </si>
  <si>
    <t>ALEX BILI</t>
  </si>
  <si>
    <t>081345172056</t>
  </si>
  <si>
    <t>https://drive.google.com/open?id=1ladg_vcfwjRcaAy6EPll7IHt2YpPTnY3</t>
  </si>
  <si>
    <t>Jupriyanto blegur</t>
  </si>
  <si>
    <t>081246060928</t>
  </si>
  <si>
    <t>https://drive.google.com/open?id=1sSL7_jZvhlaa7pAtyDXlTuLnlYTGQvqQ</t>
  </si>
  <si>
    <t>Beniknu katanga kini</t>
  </si>
  <si>
    <t>082211390856</t>
  </si>
  <si>
    <t>https://drive.google.com/open?id=1DW7_H7p0dc22EQ_dhizWS8MXu2KEx7mX, https://drive.google.com/open?id=11VBwbRSxaO561T5UGERk9JlDkwXRDhuR</t>
  </si>
  <si>
    <t>Melkianus Hulu bara</t>
  </si>
  <si>
    <t>4.5</t>
  </si>
  <si>
    <t>https://drive.google.com/open?id=1DGK5-qis8_rJr-8iR4ZV-_1L0rMyQMZd</t>
  </si>
  <si>
    <t>Ignasius bere</t>
  </si>
  <si>
    <t>082312608643</t>
  </si>
  <si>
    <t>https://drive.google.com/open?id=1BKpoc3eHhF561gaBeN3mjtrajdIFtAFj</t>
  </si>
  <si>
    <t>Abel mehola kabnani</t>
  </si>
  <si>
    <t>081353611290</t>
  </si>
  <si>
    <t>https://drive.google.com/open?id=136WtAO7B_wOWdR7zOhOQlZZHzHATWpte</t>
  </si>
  <si>
    <t>I gusti ayu nyoman suarini</t>
  </si>
  <si>
    <t>https://drive.google.com/open?id=1I5PmJyrMy_wV4nukVhEgAGlYor2S_Hda</t>
  </si>
  <si>
    <t>Yovita erwinda h seran</t>
  </si>
  <si>
    <t>https://drive.google.com/open?id=1a3Px7EL8TEv82IouypZOpbSt2m5tF2Ib</t>
  </si>
  <si>
    <t>Sumi</t>
  </si>
  <si>
    <t>https://drive.google.com/open?id=1b0PqSvCngmk5DxrLEMRF602Hzlhkcg9V</t>
  </si>
  <si>
    <t>indra sari sinlae</t>
  </si>
  <si>
    <t>082144139913</t>
  </si>
  <si>
    <t>https://drive.google.com/open?id=1fucuRh9LmBDRagzYrkMOjQAufmYIMb4S</t>
  </si>
  <si>
    <t>Apris missa</t>
  </si>
  <si>
    <t>081273939379</t>
  </si>
  <si>
    <t>https://drive.google.com/open?id=1rwRHCGgsi7a4AVZpX2392_HThzVzlhiY</t>
  </si>
  <si>
    <t>Rona etnison betty</t>
  </si>
  <si>
    <t>082199657142</t>
  </si>
  <si>
    <t>https://drive.google.com/open?id=1v6ZsThpzvl5bsZMpmPh_tEiekRe_xddC</t>
  </si>
  <si>
    <t>Evelino nopriyanto amfotis</t>
  </si>
  <si>
    <t>085792313811</t>
  </si>
  <si>
    <t>https://drive.google.com/open?id=1jWu6FGsT0kNqMgjK3SXUGTx6fQd0IUzd</t>
  </si>
  <si>
    <t>Ana vermo kosat</t>
  </si>
  <si>
    <t>081236055004</t>
  </si>
  <si>
    <t>https://drive.google.com/open?id=1E0PbLRMaivKwnuoLP0lVzR70pYa0DH-U</t>
  </si>
  <si>
    <t>aldo muskananfola</t>
  </si>
  <si>
    <t>081333185040</t>
  </si>
  <si>
    <t>https://drive.google.com/open?id=1nYQ79DQh2dlxutNIZ_A3FA8wEIUq1zYC</t>
  </si>
  <si>
    <t>Maria imakulata miranti hale</t>
  </si>
  <si>
    <t>085339174946</t>
  </si>
  <si>
    <t>https://drive.google.com/open?id=1M2FC9eJKZYt3zUpw73-iFV4LzFupyXiN</t>
  </si>
  <si>
    <t>Longinus Daniel hely</t>
  </si>
  <si>
    <t>081225229404</t>
  </si>
  <si>
    <t>https://drive.google.com/open?id=1gmswd0YRrf_1MIM-JvtMvOaKKkzZiWpl</t>
  </si>
  <si>
    <t>Elisabeth hendra luan</t>
  </si>
  <si>
    <t>https://drive.google.com/open?id=1448P-ysQxR5nUZEZ3kEcmzJGR74fbAVS</t>
  </si>
  <si>
    <t>Stefanus metboki</t>
  </si>
  <si>
    <t>081253982118</t>
  </si>
  <si>
    <t>https://drive.google.com/open?id=1IWo2ZiQCpF1kiE48lXXagt_md4TJc52X</t>
  </si>
  <si>
    <t>Igniosa ceunfin</t>
  </si>
  <si>
    <t>081236700242</t>
  </si>
  <si>
    <t>https://drive.google.com/open?id=16zgKL3pGHdKlhg5gIkXoDvRMhhcZjSc0</t>
  </si>
  <si>
    <t>081238985820</t>
  </si>
  <si>
    <t>https://drive.google.com/open?id=1jRuUSxLVI3XfniK2NJEbH3H8pczSUQyB</t>
  </si>
  <si>
    <t>heri octovianus loe</t>
  </si>
  <si>
    <t>081278182853</t>
  </si>
  <si>
    <t>https://drive.google.com/open?id=1FqK7EUC_wt1jqEuRwMD7_t4wEuDoAd3X</t>
  </si>
  <si>
    <t>Hendrikus tanik</t>
  </si>
  <si>
    <t>081258924366</t>
  </si>
  <si>
    <t>https://drive.google.com/open?id=16ZA1Bo3ctdjdUNJxC39zgikbvmpUlmck</t>
  </si>
  <si>
    <t>081246810629</t>
  </si>
  <si>
    <t>https://drive.google.com/open?id=1gP9lK7lG1u-ssJN_yOt6tmc-vA1UBZoL</t>
  </si>
  <si>
    <t>Valeria fenci baunsele</t>
  </si>
  <si>
    <t>082339487276</t>
  </si>
  <si>
    <t>https://drive.google.com/open?id=1luhfqx9eCKM7XzRBK784REksp0gw3hFZ</t>
  </si>
  <si>
    <t>YERMIAS DJEIWU DIDU</t>
  </si>
  <si>
    <t>082235361233</t>
  </si>
  <si>
    <t>https://drive.google.com/open?id=1fuKOgu532GGr0IKIR2YGeal0LwA4NTLk</t>
  </si>
  <si>
    <t>Indri ndaumanu</t>
  </si>
  <si>
    <t>081236756724</t>
  </si>
  <si>
    <t>https://drive.google.com/open?id=1MPty8AmyGZibw4kButGpoiNzJrbdRXSR</t>
  </si>
  <si>
    <t>Argianus nailape</t>
  </si>
  <si>
    <t>085253105663</t>
  </si>
  <si>
    <t>https://drive.google.com/open?id=1FjhPUqQ8pdRZTvQp5z12zZpmyyx-eGo9</t>
  </si>
  <si>
    <t>Imanuel benu</t>
  </si>
  <si>
    <t>088282243412</t>
  </si>
  <si>
    <t>https://drive.google.com/open?id=1Bsm19sPHFVKgUuymGOPr46AylrjFFOr1</t>
  </si>
  <si>
    <t>Efrianus kolo</t>
  </si>
  <si>
    <t>082236805377</t>
  </si>
  <si>
    <t>https://drive.google.com/open?id=1mhGfv_5OYeP5VeGCBlABmZRnxn2i02UX</t>
  </si>
  <si>
    <t>Leni marianti anin</t>
  </si>
  <si>
    <t>082340694088</t>
  </si>
  <si>
    <t>https://drive.google.com/open?id=1TXGANObH9wQoA5dSvy3mF8lXHmSxcHeW</t>
  </si>
  <si>
    <t>ledi nge bulan</t>
  </si>
  <si>
    <t>081235112369</t>
  </si>
  <si>
    <t>https://drive.google.com/open?id=1lm591u03_3JULs_gdcxgpbMYje3SROJd</t>
  </si>
  <si>
    <t>Alfriani rattu</t>
  </si>
  <si>
    <t>https://drive.google.com/open?id=1foDkfxnfNx2rIBLFCxlpRFfWWMZZIYJl</t>
  </si>
  <si>
    <t>Beby fanda kasim</t>
  </si>
  <si>
    <t>087790158366</t>
  </si>
  <si>
    <t>https://drive.google.com/open?id=1IzUJz-HxSf3vpV834oRY92Bd1emalEth</t>
  </si>
  <si>
    <t>ARIFIN HINADAKA</t>
  </si>
  <si>
    <t>081237371774</t>
  </si>
  <si>
    <t>https://drive.google.com/open?id=1mY-lj2JgAsMZfSJHNAqi53Lvg8R5ELOp</t>
  </si>
  <si>
    <t>Gerry rivaldo sina</t>
  </si>
  <si>
    <t>https://drive.google.com/open?id=19gzjcEXW8XQUbhODi91JFhQh8qyppbwA</t>
  </si>
  <si>
    <t>081235668123</t>
  </si>
  <si>
    <t>https://drive.google.com/open?id=1IKTW_nIelz4-TN-OrhFCl5ATQqoXT6I_</t>
  </si>
  <si>
    <t>Mokrifah</t>
  </si>
  <si>
    <t>+6285847855337</t>
  </si>
  <si>
    <t>https://drive.google.com/open?id=1MoQMabnqTMBF9jOmZVt8njxAAcNkBVQF</t>
  </si>
  <si>
    <t>fritfin bessi</t>
  </si>
  <si>
    <t>082351868071</t>
  </si>
  <si>
    <t>https://drive.google.com/open?id=1sMba5vpGabqVN2WoZogh87zi4Q-dhQNT</t>
  </si>
  <si>
    <t>putra adi yandra tassy</t>
  </si>
  <si>
    <t>087819501924</t>
  </si>
  <si>
    <t>https://drive.google.com/open?id=13cIWgaCSuilsAHZb1Kq4dOYwfN8x3sCa</t>
  </si>
  <si>
    <t>https://drive.google.com/open?id=1knuX-JybSJh83V4xR0wP_YWRmvXdoDwy</t>
  </si>
  <si>
    <t>Samuel ndolu</t>
  </si>
  <si>
    <t>https://drive.google.com/open?id=1_ncDVU5Rb2BTPiR9C4m4ivLTEN3Qz5a3</t>
  </si>
  <si>
    <t>yastri xisto</t>
  </si>
  <si>
    <t>0822660052227</t>
  </si>
  <si>
    <t>https://drive.google.com/open?id=1J0opv_zt3fHdYrS4NBGacW20-qP9SIWb</t>
  </si>
  <si>
    <t>ROBERTUS NDONI TAKANJANJI</t>
  </si>
  <si>
    <t>082145591464</t>
  </si>
  <si>
    <t>https://drive.google.com/open?id=1zQwoayIeezR4SMkADlODrnmqF2LQMVeZ</t>
  </si>
  <si>
    <t>Jasica febriani anin</t>
  </si>
  <si>
    <t>082146092073</t>
  </si>
  <si>
    <t>https://drive.google.com/open?id=1PwFyqqhfrpQQQMkq1CBoOqDks34gzfQo</t>
  </si>
  <si>
    <t>Ervin Harabi Tahi</t>
  </si>
  <si>
    <t>082235280052</t>
  </si>
  <si>
    <t>https://drive.google.com/open?id=1tefO5GiBNgzEaOI4i4xWZe8imwBPw6AW</t>
  </si>
  <si>
    <t>Reman T. Selan</t>
  </si>
  <si>
    <t>https://drive.google.com/open?id=1n-362-xGXnDUZsehBJWx4nqyzG0ABOC-</t>
  </si>
  <si>
    <t>Yustina Novain jesi</t>
  </si>
  <si>
    <t>https://drive.google.com/open?id=1xazoNGN9PmvNyjjZIEUjCeVT3NfFF9tr</t>
  </si>
  <si>
    <t>Ni made Sudiasih runesi</t>
  </si>
  <si>
    <t>082151144045</t>
  </si>
  <si>
    <t>https://drive.google.com/open?id=1fJyDWQ5aDsTuIEFbjU9yLki6lo5aWiG9</t>
  </si>
  <si>
    <t>Lenimariati anin</t>
  </si>
  <si>
    <t>081374699104</t>
  </si>
  <si>
    <t>https://drive.google.com/open?id=1VuQs5LY71vZ1vGDD8ZpSyuUgnau0_Hh1</t>
  </si>
  <si>
    <t>Yeri edison djako pau</t>
  </si>
  <si>
    <t>081353886791</t>
  </si>
  <si>
    <t>Wiraswaata</t>
  </si>
  <si>
    <t>https://drive.google.com/open?id=1l6lLyPXesENLmuF86GgV-h7bhEQeuhcA</t>
  </si>
  <si>
    <t xml:space="preserve"> Radja</t>
  </si>
  <si>
    <t>085746141810</t>
  </si>
  <si>
    <t>https://drive.google.com/open?id=1a0r6Hnvs-ClCrGVf0buufF5N_9_5AiEr</t>
  </si>
  <si>
    <t xml:space="preserve"> Amon israel molina</t>
  </si>
  <si>
    <t>081353007889</t>
  </si>
  <si>
    <t>https://drive.google.com/open?id=1eGAPlyTZ93MaqP4Los3-nabbeSBrO8wH</t>
  </si>
  <si>
    <t>FLORA AMBASAN</t>
  </si>
  <si>
    <t xml:space="preserve">Penjualan </t>
  </si>
  <si>
    <t>https://drive.google.com/open?id=17QoUnWMWqUtOATURzbwPaYuN24owSw1Q</t>
  </si>
  <si>
    <t>Natanael Alfredo Alupan</t>
  </si>
  <si>
    <t>085737544558</t>
  </si>
  <si>
    <t xml:space="preserve">DAPUR SATUAN PELAYANAN PEMENUHAN GIZI </t>
  </si>
  <si>
    <t>https://drive.google.com/open?id=1xxeFu5n7MzHlOCQQTs4PSxH5k9r9r0TG</t>
  </si>
  <si>
    <t>Samuel yonathan nokas</t>
  </si>
  <si>
    <t>082147438164</t>
  </si>
  <si>
    <t>https://drive.google.com/open?id=1Wi0S6M1N-pLXiJqJQc53HPE22YsGIPB0</t>
  </si>
  <si>
    <t>Vewi sri etmaya maunino</t>
  </si>
  <si>
    <t>085339178812</t>
  </si>
  <si>
    <t>https://drive.google.com/open?id=13V1gP4C-0d8zrNk-G_-MhKtNvuksLgyX</t>
  </si>
  <si>
    <t>LAMBERTINA HALE</t>
  </si>
  <si>
    <t>085792394523</t>
  </si>
  <si>
    <t>https://drive.google.com/open?id=1ricHJ0Y_giOX1w2bxd8i4jj9rV6LIL9S</t>
  </si>
  <si>
    <t>KRISTINA INA BILI</t>
  </si>
  <si>
    <t>082267017258</t>
  </si>
  <si>
    <t>https://drive.google.com/open?id=1ynt_JaJqvaoAhViQvG8-ObnJw9VKp9sM</t>
  </si>
  <si>
    <t>Joanina de carvalho</t>
  </si>
  <si>
    <t>085211334899</t>
  </si>
  <si>
    <t>https://drive.google.com/open?id=1O7hctTwPKd_pyLkdJ4aIC1zlxmwaq9ak</t>
  </si>
  <si>
    <t>OCE BOBA JORU</t>
  </si>
  <si>
    <t>082140698535</t>
  </si>
  <si>
    <t>https://drive.google.com/open?id=1GqX9N9ZOkaTqqNPN-o_GglrmmS8yAaKl</t>
  </si>
  <si>
    <t>Jufri Sinlaeloe</t>
  </si>
  <si>
    <t>082189524822</t>
  </si>
  <si>
    <t>https://drive.google.com/open?id=1x-Tu9CZREIWh9KH9Q2ZZa37YPmowbGzt</t>
  </si>
  <si>
    <t>Patrix junandi to</t>
  </si>
  <si>
    <t>081237460436</t>
  </si>
  <si>
    <t>https://drive.google.com/open?id=18BE1u79FN-traB2I60tUn--6XlmdcjEJ</t>
  </si>
  <si>
    <t>NENY MERLIANTI NA'U</t>
  </si>
  <si>
    <t>Dorkas T Leosae Spd</t>
  </si>
  <si>
    <t>081237687855</t>
  </si>
  <si>
    <t>https://drive.google.com/open?id=1mqmZ6yTcA-HAIiyOK1mR6JFo2r8Jwyr3</t>
  </si>
  <si>
    <t>Maria adriana goa dhase</t>
  </si>
  <si>
    <t>081337867657</t>
  </si>
  <si>
    <t>Ktp sudah di blcklist</t>
  </si>
  <si>
    <t>https://drive.google.com/open?id=1CV2-Cm8dqDTJnKak7EoLMmRL-yifJEkg</t>
  </si>
  <si>
    <t>Wilhelmina dhiu radho</t>
  </si>
  <si>
    <t>081235499675</t>
  </si>
  <si>
    <t>https://drive.google.com/open?id=1eyFzVbNW0UtHB6aFT5Y8sYacnUb5C17c</t>
  </si>
  <si>
    <t>Viktor masan</t>
  </si>
  <si>
    <t>087839637596</t>
  </si>
  <si>
    <t>https://drive.google.com/open?id=1Zhc2CqxZuTWBTqM70myL0BMKttOotnwt</t>
  </si>
  <si>
    <t>Yance tamonob</t>
  </si>
  <si>
    <t>082123724970</t>
  </si>
  <si>
    <t>https://drive.google.com/open?id=1zwWZIAWx3qHf76oSc6TfWvMhZhseGlHz</t>
  </si>
  <si>
    <t>MARIA SCOLASTIKA BERE</t>
  </si>
  <si>
    <t>081246084621</t>
  </si>
  <si>
    <t>https://drive.google.com/open?id=1c10cqplsvNJSdPyb1PufB48R-H8CSa2f</t>
  </si>
  <si>
    <t>Demiela tbet</t>
  </si>
  <si>
    <t>0822214828064</t>
  </si>
  <si>
    <t>https://drive.google.com/open?id=1_X-GlNJZNKhJS8uyyN3vz3jAqGsCPnSW</t>
  </si>
  <si>
    <t>Sigit kristiyanti</t>
  </si>
  <si>
    <t>082144272602</t>
  </si>
  <si>
    <t>https://drive.google.com/open?id=1kN3GPPKaOxk1LDRTjuIFZbvR9-hMdj0i</t>
  </si>
  <si>
    <t>081346240990</t>
  </si>
  <si>
    <t>https://drive.google.com/open?id=1sF9RduVk29XwHyNFGrM2ukoeHQMQDXEP</t>
  </si>
  <si>
    <t xml:space="preserve">M Saleh Alaudin </t>
  </si>
  <si>
    <t>081233938672</t>
  </si>
  <si>
    <t>https://drive.google.com/open?id=10ELvQKh1qcg9gOlBGIjeIPx_kf4PvghV</t>
  </si>
  <si>
    <t xml:space="preserve">Sardi </t>
  </si>
  <si>
    <t>081318015043</t>
  </si>
  <si>
    <t>https://drive.google.com/open?id=120OmJxbcyBjB_b6cC3kabhoTbxiu6WWE</t>
  </si>
  <si>
    <t>Yubal tlonaen</t>
  </si>
  <si>
    <t>085338531795</t>
  </si>
  <si>
    <t>https://drive.google.com/open?id=1CCN62_QLAG8zV9RcFo9_JOlXcs7-1wbu</t>
  </si>
  <si>
    <t>Juandro rival tallo manafe</t>
  </si>
  <si>
    <t>081529849733</t>
  </si>
  <si>
    <t>https://drive.google.com/open?id=1vlDsl9lkFn-tc5F88CNMtmds1H9SmQ5i</t>
  </si>
  <si>
    <t>Rostia</t>
  </si>
  <si>
    <t>081386426916</t>
  </si>
  <si>
    <t>https://drive.google.com/open?id=17sIw7nPBxi7Wq8bJ8csCIlC3XoN2PhWp</t>
  </si>
  <si>
    <t>Oktovianus Tefa</t>
  </si>
  <si>
    <t>081337</t>
  </si>
  <si>
    <t>https://drive.google.com/open?id=1g2UVtlxu4wrfJPa4pQPUx09ZtpnvZoLM</t>
  </si>
  <si>
    <t>Vewi maunino</t>
  </si>
  <si>
    <t>https://drive.google.com/open?id=1B8lPEOz-uvUj4BrjxzhABAxa0r7rvaaV</t>
  </si>
  <si>
    <t>Abd Rahim</t>
  </si>
  <si>
    <t>https://drive.google.com/open?id=1ZIAi6TtQ2jm9uiGJsCTZvpf_La07YMWq</t>
  </si>
  <si>
    <t>Dominikus nahak berek</t>
  </si>
  <si>
    <t>087849665687</t>
  </si>
  <si>
    <t>https://drive.google.com/open?id=1GdLGiH8XY56KXAjO0Y6NomLRzY_2Hy1a</t>
  </si>
  <si>
    <t>ERLIS ANA MADJI</t>
  </si>
  <si>
    <t>081239524460</t>
  </si>
  <si>
    <t>https://drive.google.com/open?id=1eLAZY8VCMyooR0bQMqgvQixf4G1SV2Hv</t>
  </si>
  <si>
    <t>Anita hoar nahak</t>
  </si>
  <si>
    <t>082358680931</t>
  </si>
  <si>
    <t>https://drive.google.com/open?id=1y6ZzhKgCBBteJERiye54ISOAMZy57U0v</t>
  </si>
  <si>
    <t>Agustinus Soenbala</t>
  </si>
  <si>
    <t>081236486080</t>
  </si>
  <si>
    <t>Sppg</t>
  </si>
  <si>
    <t>https://drive.google.com/open?id=19G3ZCrdC-Cav6B-KpqduDCRnCTozkXqH</t>
  </si>
  <si>
    <t>Baym melenson frans</t>
  </si>
  <si>
    <t>085134421011</t>
  </si>
  <si>
    <t>https://drive.google.com/open?id=1-EDnJn41GC-JMqtj2ZNZ29r7DiaB4PEw</t>
  </si>
  <si>
    <t>Aprianus nabuasa</t>
  </si>
  <si>
    <t>081267888899</t>
  </si>
  <si>
    <t>https://drive.google.com/open?id=1YbxuXLt0Aa0fqHFarrsJXF75fBOFrb9J</t>
  </si>
  <si>
    <t>Apris aoetpah</t>
  </si>
  <si>
    <t>085337987926</t>
  </si>
  <si>
    <t>https://drive.google.com/open?id=18TGY8Dov63fFPEJNK342H0AoNdtMX5GT</t>
  </si>
  <si>
    <t>AMINAH ENDANG SARI</t>
  </si>
  <si>
    <t>082144731735</t>
  </si>
  <si>
    <t>https://drive.google.com/open?id=1o4ormrRUn1KRlEnaLICubFtMq91iZw8v</t>
  </si>
  <si>
    <t xml:space="preserve">Jeky Ronny Pello </t>
  </si>
  <si>
    <t>082145248547</t>
  </si>
  <si>
    <t>https://drive.google.com/open?id=1MTSlm4vNYnuetzMz-UKhO5nQFKPhFXK0</t>
  </si>
  <si>
    <t>MERIANA BERI NIJA</t>
  </si>
  <si>
    <t>082145028758</t>
  </si>
  <si>
    <t>https://drive.google.com/open?id=1LtHVkmaBUV4gY_--zgVaMJYeiiiCuNft</t>
  </si>
  <si>
    <t>ANGGI DWI ASTUTI</t>
  </si>
  <si>
    <t>085850585468</t>
  </si>
  <si>
    <t>https://drive.google.com/open?id=1GgRtwpcuBjA9wJLyYdbeJmqDAIiIGVbY</t>
  </si>
  <si>
    <t>Eti Tnomel</t>
  </si>
  <si>
    <t>081246359366</t>
  </si>
  <si>
    <t>Sembako</t>
  </si>
  <si>
    <t>https://drive.google.com/open?id=1XYiWkbYVn5uzWfCGBcfmaLdv0d3cmE7-</t>
  </si>
  <si>
    <t>Ariyanto</t>
  </si>
  <si>
    <t>https://drive.google.com/open?id=19bzq8DFoRGUmC9TWzcVhD7ywaYnukzjC</t>
  </si>
  <si>
    <t>Albertina bulu</t>
  </si>
  <si>
    <t>087721874046</t>
  </si>
  <si>
    <t>https://drive.google.com/open?id=1xxW5lbX1gBvo9CXZ_fAKdMYx3faGOTWH</t>
  </si>
  <si>
    <t>Susi yuliasari</t>
  </si>
  <si>
    <t>081362037459</t>
  </si>
  <si>
    <t>https://drive.google.com/open?id=1zCUUDk8IeBBzAS09ZjBfkpiYxA6XMq_I</t>
  </si>
  <si>
    <t>Yasinta Bili</t>
  </si>
  <si>
    <t>https://drive.google.com/open?id=11XFSGg-piOQv71n2r_lWAnEGBDxdQ832</t>
  </si>
  <si>
    <t>Oflinansi erlin ana ote</t>
  </si>
  <si>
    <t>https://drive.google.com/open?id=14dn9mJJbLaULmqUf807CFwZxzrnw6ci8</t>
  </si>
  <si>
    <t>Yohanes regis nino</t>
  </si>
  <si>
    <t>085205461361</t>
  </si>
  <si>
    <t>https://drive.google.com/open?id=1J98G2wE9vFufCy2r7tswZHvC6ihaxMYX</t>
  </si>
  <si>
    <t>Imanuel sae</t>
  </si>
  <si>
    <t>082231448172</t>
  </si>
  <si>
    <t>https://drive.google.com/open?id=1bhkKfTm23gB8PriuzKS4IFUrUJxQhfWj</t>
  </si>
  <si>
    <t>Jul bahri rahman</t>
  </si>
  <si>
    <t>082359558949</t>
  </si>
  <si>
    <t>https://drive.google.com/open?id=1l2ZxafJb23rJzByEC0vJKg0L7NlfPzcn</t>
  </si>
  <si>
    <t>Yohana welhelmina nenobais</t>
  </si>
  <si>
    <t>081238376894</t>
  </si>
  <si>
    <t>https://drive.google.com/open?id=1G3kspRDBRfyCHB1o7iOsTOAote47wVQt</t>
  </si>
  <si>
    <t>Veronika</t>
  </si>
  <si>
    <t>https://drive.google.com/open?id=1Ptjw--kjw5gm91Vix8SOWhv51zA3cQDw</t>
  </si>
  <si>
    <t>081274219103</t>
  </si>
  <si>
    <t>https://drive.google.com/open?id=1p39KJ7ok0me26E8zwSQn1Kw317DvKQF_</t>
  </si>
  <si>
    <t>Debora rambu sida</t>
  </si>
  <si>
    <t>082213334520</t>
  </si>
  <si>
    <t>https://drive.google.com/open?id=1xdmOt5vfEM6LQQSTZuQ7qCgGS2dtAhIc</t>
  </si>
  <si>
    <t xml:space="preserve">Jeverson mbombu </t>
  </si>
  <si>
    <t>082266126650</t>
  </si>
  <si>
    <t>https://drive.google.com/open?id=1Sdcw7EF-sDmQ6qupHKvok5lmUq-5rscR</t>
  </si>
  <si>
    <t>yowem abia fuah</t>
  </si>
  <si>
    <t>https://drive.google.com/open?id=1Cw4EQSAo430f59DjNy3FCCOoUT8Kexye</t>
  </si>
  <si>
    <t>Sari novita poweranto</t>
  </si>
  <si>
    <t>081246620101</t>
  </si>
  <si>
    <t>https://drive.google.com/open?id=1kSTX3lFwwOAaGp4kBvs5ZefotTeadJ3K</t>
  </si>
  <si>
    <t>Dina manggi obo</t>
  </si>
  <si>
    <t>082145685769</t>
  </si>
  <si>
    <t>https://drive.google.com/open?id=1IW7IJtncUBKIlNbPzPXFilpEIPualudu</t>
  </si>
  <si>
    <t>Ani panna atahiwu</t>
  </si>
  <si>
    <t>082147252641</t>
  </si>
  <si>
    <t>https://drive.google.com/open?id=1nbnuCW7wvf2sl2iWczg9nSyxzYmOlQ_y</t>
  </si>
  <si>
    <t>ALBERTUS KENO</t>
  </si>
  <si>
    <t>085234675890</t>
  </si>
  <si>
    <t>https://drive.google.com/open?id=1ge28s-4lSupTrgGwkYXX7kwL6BIdGMMH</t>
  </si>
  <si>
    <t>Nion giri</t>
  </si>
  <si>
    <t>Nelayan/perikanan</t>
  </si>
  <si>
    <t>https://drive.google.com/open?id=1X5VEs-iLcfrms-00XF2E9IoT1mSXrdzK</t>
  </si>
  <si>
    <t>082340325769</t>
  </si>
  <si>
    <t>Kantin Sekolah</t>
  </si>
  <si>
    <t>https://drive.google.com/open?id=19wx4aE--gg7GJlLsKGzksrXtEuo6cTvP</t>
  </si>
  <si>
    <t>Agnes talan</t>
  </si>
  <si>
    <t>085947431846</t>
  </si>
  <si>
    <t>https://drive.google.com/open?id=1C-gFFs7LxY3CttQiXNKucbi6kEC3t9IN</t>
  </si>
  <si>
    <t>Anjela natun</t>
  </si>
  <si>
    <t>087740933994</t>
  </si>
  <si>
    <t>https://drive.google.com/open?id=1SG-JE1q64chCeqTrCi3l8O7WviloEGqj</t>
  </si>
  <si>
    <t>Renol Arison Sesfao</t>
  </si>
  <si>
    <t>085167111029</t>
  </si>
  <si>
    <t>https://drive.google.com/open?id=1Tg8fGe0fZ4_uK8HMbekrkfNTShGMUo8W</t>
  </si>
  <si>
    <t>Dominggus meko</t>
  </si>
  <si>
    <t>081239524178</t>
  </si>
  <si>
    <t>https://drive.google.com/open?id=1EZy-vbHIdO2HxaOtMEVV-v4Joi8p-i7D</t>
  </si>
  <si>
    <t>Agustina rara holi</t>
  </si>
  <si>
    <t>https://drive.google.com/open?id=1_a4d_AZLcuYHW4a7rqNoAkUI5QEzG9zT</t>
  </si>
  <si>
    <t>REINILDO HUNU</t>
  </si>
  <si>
    <t>081244089545</t>
  </si>
  <si>
    <t>https://drive.google.com/open?id=1A5pvHfs6fZIIhpFPjt9_jE8HNn_9T-QK</t>
  </si>
  <si>
    <t>MARLYN KATU</t>
  </si>
  <si>
    <t>081236686249</t>
  </si>
  <si>
    <t>https://drive.google.com/open?id=1lvEsojWK1ivlOdZi5WwpGegxpmtScPax</t>
  </si>
  <si>
    <t>Ana ratu may maramba rihi</t>
  </si>
  <si>
    <t>082213044936</t>
  </si>
  <si>
    <t>https://drive.google.com/open?id=1OD4AZhNpdyKXWuTJVJaF871wR8afWCbI</t>
  </si>
  <si>
    <t>Anderias Lakmau</t>
  </si>
  <si>
    <t>0821312410783</t>
  </si>
  <si>
    <t>https://drive.google.com/open?id=1aDdON-hmL6D1js2VerTEYVmzDUTbyMpJ</t>
  </si>
  <si>
    <t>Joni Semuel Faot</t>
  </si>
  <si>
    <t>082236816796</t>
  </si>
  <si>
    <t>https://drive.google.com/open?id=1FN-9dTAHtxpAcvlrKPwkXRd7O8u6Pfin</t>
  </si>
  <si>
    <t>MARIA CELSITIA SIKI</t>
  </si>
  <si>
    <t>085142979010</t>
  </si>
  <si>
    <t>https://drive.google.com/open?id=1L-q_XJOKbkp1K5dfxcCSjIkXlzMsfFRp</t>
  </si>
  <si>
    <t>Suryani Leki</t>
  </si>
  <si>
    <t>081229425414</t>
  </si>
  <si>
    <t>https://drive.google.com/open?id=1iwsWrkBWNTfYIfcHaFWP-GxKzcUHWowh</t>
  </si>
  <si>
    <t>Jennya batista barros</t>
  </si>
  <si>
    <t>082210928971</t>
  </si>
  <si>
    <t>https://drive.google.com/open?id=1u8rFHdkYobl4sa2bmO6l0dzn59XzEo2i</t>
  </si>
  <si>
    <t>Lukas ngongo dangga</t>
  </si>
  <si>
    <t>081236223145</t>
  </si>
  <si>
    <t>https://drive.google.com/open?id=1gtPD8fEDh32N1Xiov_UzT0ID78vS54hu</t>
  </si>
  <si>
    <t>Rivaldy martin beeh riwoe</t>
  </si>
  <si>
    <t>https://drive.google.com/open?id=1UYzrnCvEW4-FknsZQc2VK_0aLGN7XLdA</t>
  </si>
  <si>
    <t>Nomrot bili</t>
  </si>
  <si>
    <t>081273839378</t>
  </si>
  <si>
    <t>https://drive.google.com/open?id=1hKKKlA8DYfF1Y2XhxIL81F4ybUcl2DXn</t>
  </si>
  <si>
    <t>Raihan ismael</t>
  </si>
  <si>
    <t>085857565055</t>
  </si>
  <si>
    <t>https://drive.google.com/open?id=1vcoTmnNBKu2eQ22q9iJZcMlcjMH8NxYI</t>
  </si>
  <si>
    <t>Jelviskol fobia</t>
  </si>
  <si>
    <t>081282469334</t>
  </si>
  <si>
    <t>https://drive.google.com/open?id=1jJgiUTYrAdYU2bE97tGrT4UL6qC6LW--</t>
  </si>
  <si>
    <t>Sofia ina kii</t>
  </si>
  <si>
    <t>4.3</t>
  </si>
  <si>
    <t>https://drive.google.com/open?id=1Ysv6o7Wr4FZDJi8Rh9YzKc-uNhmY9AbZ</t>
  </si>
  <si>
    <t>Matheus Bana</t>
  </si>
  <si>
    <t>081238985782</t>
  </si>
  <si>
    <t xml:space="preserve">Nelayan </t>
  </si>
  <si>
    <t>https://drive.google.com/open?id=1naBg_x2G-XuSHRPZWcQe6GszJDE2yGqN</t>
  </si>
  <si>
    <t>MARIA FATINA BEREK</t>
  </si>
  <si>
    <t>082147634188</t>
  </si>
  <si>
    <t>6.1000</t>
  </si>
  <si>
    <t>https://drive.google.com/open?id=1LE6tS2IfpYxW8_LRTvKhTwH4HQUUjH-g</t>
  </si>
  <si>
    <t>Florianti Fina</t>
  </si>
  <si>
    <t>081367603385</t>
  </si>
  <si>
    <t>https://drive.google.com/open?id=12yUB1hXpGv4VnX6Mqg3ke_Fyevtlopjf, https://drive.google.com/open?id=1xmTfwqPp1Y2oy5sx-O8z5WN4CgMR4iJc</t>
  </si>
  <si>
    <t>MATIAS BANFATIAN</t>
  </si>
  <si>
    <t>087769034960</t>
  </si>
  <si>
    <t>https://drive.google.com/open?id=1kE9_tTx4n-G00cGaBByrs9JTrm73BmsS</t>
  </si>
  <si>
    <t>EMA JEASLYN TO</t>
  </si>
  <si>
    <t>081255978430</t>
  </si>
  <si>
    <t>https://drive.google.com/open?id=1g1n0t3mLIDIfNxyNXX0umqonC58M6LfS</t>
  </si>
  <si>
    <t>PUTRI PATRESIA KOY</t>
  </si>
  <si>
    <t>https://drive.google.com/open?id=1v2udrcpX2kvu0hW2xT2M0zVDgZSScFN_</t>
  </si>
  <si>
    <t>Dolvinu tadu robu</t>
  </si>
  <si>
    <t>081236224207</t>
  </si>
  <si>
    <t>https://drive.google.com/open?id=1rUWYqbxEvXncH653yEy7Cgl9WF_3YuIN</t>
  </si>
  <si>
    <t>Yulius dimu</t>
  </si>
  <si>
    <t>085138927668</t>
  </si>
  <si>
    <t>https://drive.google.com/open?id=1eIv0ijt350uo7s0pDBa4zJtXfbBIi0rx</t>
  </si>
  <si>
    <t>Yuan umbu sangaji</t>
  </si>
  <si>
    <t>081350126426</t>
  </si>
  <si>
    <t>https://drive.google.com/open?id=1IuGnVLURvpUx6O9B62Xi--sMTqO3pl_H</t>
  </si>
  <si>
    <t>Yohanes  bobi</t>
  </si>
  <si>
    <t>082392052690</t>
  </si>
  <si>
    <t>https://drive.google.com/open?id=1cY8GG-jxq6n8aCzGQhzdlxGETmL9Go8f</t>
  </si>
  <si>
    <t>SIPRIANUS TRISNO LENDE</t>
  </si>
  <si>
    <t>082145348268</t>
  </si>
  <si>
    <t>https://drive.google.com/open?id=1doo3INNNUWDgFkJORfLwSh_z8srOTRHQ</t>
  </si>
  <si>
    <t>Oktaviana shanra lau</t>
  </si>
  <si>
    <t>081233165179</t>
  </si>
  <si>
    <t>https://drive.google.com/open?id=15Qi9zpeLPuH2lUqrDtAOM9eMLWt77nu1</t>
  </si>
  <si>
    <t>Nova yana pah</t>
  </si>
  <si>
    <t>https://drive.google.com/open?id=1eZY5C2ECjGMGVw7G7eKkr_QcSgfSV-hH</t>
  </si>
  <si>
    <t>Ali Akbar Abdollah</t>
  </si>
  <si>
    <t>082145072075</t>
  </si>
  <si>
    <t>https://drive.google.com/open?id=1AgG7yEzGvJBX-E1XNvJEatNnci2N7bC_</t>
  </si>
  <si>
    <t>Sonia foni kapitan</t>
  </si>
  <si>
    <t>081236759043</t>
  </si>
  <si>
    <t>https://drive.google.com/open?id=1rz-eIj4LzT07xv0zxImOUAMiBhvfb3RW</t>
  </si>
  <si>
    <t>Nitanel Sabuna</t>
  </si>
  <si>
    <t>082120763233</t>
  </si>
  <si>
    <t xml:space="preserve">Usaha kapal ikan </t>
  </si>
  <si>
    <t>https://drive.google.com/open?id=1tk3pokNaMXuERxq0czVA6OUZPntzKe9e</t>
  </si>
  <si>
    <t>Maria goreti anunut</t>
  </si>
  <si>
    <t>085253884145</t>
  </si>
  <si>
    <t>Blacklist di lising lain</t>
  </si>
  <si>
    <t>https://drive.google.com/open?id=1pV7YiIdj_70nBl5ZE8OLc-wBG_Br-hAS</t>
  </si>
  <si>
    <t>Betty joand ndolu</t>
  </si>
  <si>
    <t>087873466811</t>
  </si>
  <si>
    <t>https://drive.google.com/open?id=1VyDj4EQbJGNTesbkvsVD2oW7pzcqCJIR</t>
  </si>
  <si>
    <t>Ibren aditia boik</t>
  </si>
  <si>
    <t>085137377314</t>
  </si>
  <si>
    <t>https://drive.google.com/open?id=1AL0pdyYcxHcOysys_OWH_jzqj1T6Kr7w</t>
  </si>
  <si>
    <t>GRACELLA SARI HIVANA MANAFE</t>
  </si>
  <si>
    <t>Esry sarci sae</t>
  </si>
  <si>
    <t>082312411618</t>
  </si>
  <si>
    <t>https://drive.google.com/open?id=1fq6Xg36jkBzz5KwZ9spIK3HgouITj0US</t>
  </si>
  <si>
    <t>Fransisca Ina Loy</t>
  </si>
  <si>
    <t>082334764473</t>
  </si>
  <si>
    <t>https://drive.google.com/open?id=1uP0gCnwwP0JqvRQDG3QbdrbabXKj5Vud</t>
  </si>
  <si>
    <t>Sepriana mboro</t>
  </si>
  <si>
    <t>Jualan sayur</t>
  </si>
  <si>
    <t>https://drive.google.com/open?id=1zMrdopHEC8swTG0rV59cMtDet_lzWvGw</t>
  </si>
  <si>
    <t>Rizaldhy darma putra umar</t>
  </si>
  <si>
    <t>082235349993</t>
  </si>
  <si>
    <t>https://drive.google.com/open?id=1st4p9Af0mjdTtrkeWjLgA92xdgiucP7n</t>
  </si>
  <si>
    <t>Alex dani warandoy</t>
  </si>
  <si>
    <t>082132864658</t>
  </si>
  <si>
    <t>https://drive.google.com/open?id=1tK_9qG1BH7k8AI8PSMWiDzWM-ZvL20cQ</t>
  </si>
  <si>
    <t>Febriani rambu yaku ripa</t>
  </si>
  <si>
    <t>08123739338</t>
  </si>
  <si>
    <t>https://drive.google.com/open?id=1SN1jXbLYzgNDP4GSkt2IJwzTPDfHOAWF</t>
  </si>
  <si>
    <t>Ernawalde T. M Subani</t>
  </si>
  <si>
    <t>081288971963</t>
  </si>
  <si>
    <t>https://drive.google.com/open?id=14p4RNEegvrsC8lNcLdTsauXhrj9H2L82</t>
  </si>
  <si>
    <t>Elisabeth lay</t>
  </si>
  <si>
    <t>089520026391</t>
  </si>
  <si>
    <t>https://drive.google.com/open?id=10X5LzAXfqF4gnkSwHMb-C1_kMAiYaS_7</t>
  </si>
  <si>
    <t>AMBU BABANG LOTI, S.Pd</t>
  </si>
  <si>
    <t>085237780406</t>
  </si>
  <si>
    <t>https://drive.google.com/open?id=1lhmztZh8MKHfj_clLIyhIQPsAdbjiNpW</t>
  </si>
  <si>
    <t>Elisabeth tanggu doda</t>
  </si>
  <si>
    <t>082235280799</t>
  </si>
  <si>
    <t>https://drive.google.com/open?id=1DRwIsCWHGlHElTUgCoMYE_vFu5Y-eXT5</t>
  </si>
  <si>
    <t>Yufriko Allo soares</t>
  </si>
  <si>
    <t>081353019870</t>
  </si>
  <si>
    <t>https://drive.google.com/open?id=185YafaQHx86NZwcmVL9SvvUB0cQl9YbF</t>
  </si>
  <si>
    <t>Anjelina raga</t>
  </si>
  <si>
    <t>081237889078</t>
  </si>
  <si>
    <t>https://drive.google.com/open?id=123ajrBnyxWZDIDrTjLPCKKfiu4H55jCM</t>
  </si>
  <si>
    <t>Getrudis ningsih dala</t>
  </si>
  <si>
    <t>081338309607</t>
  </si>
  <si>
    <t>https://drive.google.com/open?id=1omnxTnmx4LT0gOGWQ3tINLQjUTzHtc8k</t>
  </si>
  <si>
    <t>Yanti esriana saebani</t>
  </si>
  <si>
    <t>081345143918</t>
  </si>
  <si>
    <t>https://drive.google.com/open?id=1DekUvaFHjERUWgV4-VMhiPjZhwd8xhp8</t>
  </si>
  <si>
    <t>Ferdinandus bria</t>
  </si>
  <si>
    <t>082147646744</t>
  </si>
  <si>
    <t>https://drive.google.com/open?id=1_Op4y3ZgkiteV6rLuZnJH_tagwqeouh2</t>
  </si>
  <si>
    <t>ARDIANUS PORRO</t>
  </si>
  <si>
    <t>081237047558</t>
  </si>
  <si>
    <t>https://drive.google.com/open?id=14Ix_n-D_wl4rRIBH6IZAp0eUb-_FZJ0Y</t>
  </si>
  <si>
    <t>Maria angela bete tahu</t>
  </si>
  <si>
    <t>085250874998</t>
  </si>
  <si>
    <t>https://drive.google.com/open?id=1FDxRn2p4M6Fc7KlTXlqHWnNhcSVvJtDz</t>
  </si>
  <si>
    <t>Feby petronela damaris tari</t>
  </si>
  <si>
    <t>082147545982</t>
  </si>
  <si>
    <t>https://drive.google.com/open?id=15WoHxCWlqJcAMbF4M-92bKHxJYfJwcJe</t>
  </si>
  <si>
    <t>Maksi talan</t>
  </si>
  <si>
    <t>081338987520</t>
  </si>
  <si>
    <t>https://drive.google.com/open?id=1hs9UQBW8VVChE9m205jEbXhZAKdgyKfM</t>
  </si>
  <si>
    <t>IAN FIRMANSYAH</t>
  </si>
  <si>
    <t>081237534417</t>
  </si>
  <si>
    <t>https://drive.google.com/open?id=1bcR2BoYmaxtoUrjkXDZn67DH8-onb5vh</t>
  </si>
  <si>
    <t>Ria arisma amsar</t>
  </si>
  <si>
    <t>https://drive.google.com/open?id=1lCxjhawCQlZbSXuM7Me-wi1ytl95626S</t>
  </si>
  <si>
    <t>Eti Yumin Namangjabar</t>
  </si>
  <si>
    <t>082247182021</t>
  </si>
  <si>
    <t>https://drive.google.com/open?id=16BP7e0eFe7RniAKAs-RFWJ_Pqy8lZ571</t>
  </si>
  <si>
    <t>Risaldy Aditia Riwu Hegi</t>
  </si>
  <si>
    <t>https://drive.google.com/open?id=1uFeNscUaSiXxr4Bc13zkYAtFlXVQFwgo</t>
  </si>
  <si>
    <t>Okin Dorce Nggi</t>
  </si>
  <si>
    <t>082145611332</t>
  </si>
  <si>
    <t>https://drive.google.com/open?id=1gL-vS8Snbhib-KxT64e4ck8T_Ew-dz97</t>
  </si>
  <si>
    <t>Lady chrisna manafe</t>
  </si>
  <si>
    <t>081235661234</t>
  </si>
  <si>
    <t>https://drive.google.com/open?id=1Bj2BLd664pf7CAyPskHoCHg443mbPWL_</t>
  </si>
  <si>
    <t>ALFA IVANA DAPPA TUA</t>
  </si>
  <si>
    <t>Karyawan swasta</t>
  </si>
  <si>
    <t>https://drive.google.com/open?id=1ppMgv_CHAmoPmyfuXfnerMfe5KiN1CUr</t>
  </si>
  <si>
    <t>CHRISTOFORUS MARIO KOKE</t>
  </si>
  <si>
    <t>087765433951</t>
  </si>
  <si>
    <t>https://drive.google.com/open?id=1naGedD8hRNG7ZW6lJRJTpaeDHhw91VRt</t>
  </si>
  <si>
    <t>085288902028</t>
  </si>
  <si>
    <t>https://drive.google.com/open?id=1namsu3piVGAlM8HdyO6MqVMZcbfaLuCe</t>
  </si>
  <si>
    <t>Faren Wly</t>
  </si>
  <si>
    <t>082146987878</t>
  </si>
  <si>
    <t>https://drive.google.com/open?id=1ZZFeHNGW5bKAHOCbUUCuYipJ1xNCp3Q3</t>
  </si>
  <si>
    <t>Juvanca claudia radja raga</t>
  </si>
  <si>
    <t>085165051482</t>
  </si>
  <si>
    <t>https://drive.google.com/open?id=1tl5_m8K--fBicUxixxLiJ86Rwff6WNfi</t>
  </si>
  <si>
    <t>RIAN TUKA</t>
  </si>
  <si>
    <t>085333461934</t>
  </si>
  <si>
    <t>https://drive.google.com/open?id=1IyU43JCJsPlCzaTTe6omg1H__si8hbTd</t>
  </si>
  <si>
    <t>YOHANIS LILY</t>
  </si>
  <si>
    <t>082146947782</t>
  </si>
  <si>
    <t>https://drive.google.com/open?id=13wRJoV8dd16rwhcqTKhgfC3zt-7mlop7</t>
  </si>
  <si>
    <t>RESTIANY MARIA LUAN KALI</t>
  </si>
  <si>
    <t>Vivi sunancy tahun</t>
  </si>
  <si>
    <t>082339934635</t>
  </si>
  <si>
    <t>https://drive.google.com/open?id=1s33LURfIj6VWlmUDoT3VjDdXYJHhzvKX</t>
  </si>
  <si>
    <t>RITAVERA RAHMATWATI MANEHAT ROHI RIWU</t>
  </si>
  <si>
    <t>087890414281</t>
  </si>
  <si>
    <t>https://drive.google.com/open?id=15vF-jNmxpXiOBlaz850CxN9y-dGBYexh</t>
  </si>
  <si>
    <t>Aryanti Mbura Hito</t>
  </si>
  <si>
    <t>https://drive.google.com/open?id=1iH49mdgWZjO7B4dVTJ95cnTIf4btf2T0</t>
  </si>
  <si>
    <t>Ina rohi</t>
  </si>
  <si>
    <t>081236133277</t>
  </si>
  <si>
    <t>https://drive.google.com/open?id=1B0uAGv72GFttfbXgSv2hxdrTgKMG2pwz</t>
  </si>
  <si>
    <t>Maria mangiasti meo due</t>
  </si>
  <si>
    <t>https://drive.google.com/open?id=1qSO-nSJzsiLJX9XdJBtEkpRGQSEXHWuP</t>
  </si>
  <si>
    <t>Antonius Doniyantus Mau</t>
  </si>
  <si>
    <t>082146335575</t>
  </si>
  <si>
    <t>https://drive.google.com/open?id=1w_VGMlJrdh8NvylVmYhsGX0dOLGBUzIg</t>
  </si>
  <si>
    <t>Apriani rambu karadji dewingana</t>
  </si>
  <si>
    <t>081337613658</t>
  </si>
  <si>
    <t>https://drive.google.com/open?id=1KfEX4BZxZFJxEIeqbGSzIznJD_xOSe9O</t>
  </si>
  <si>
    <t>Margarice Naat</t>
  </si>
  <si>
    <t>082113766182</t>
  </si>
  <si>
    <t>https://drive.google.com/open?id=1exDoboo7djCHijQwuFIizEIy5KCN0kNJ</t>
  </si>
  <si>
    <t>Alena Safitri konga</t>
  </si>
  <si>
    <t>085337053334</t>
  </si>
  <si>
    <t>https://drive.google.com/open?id=17KYsyNJNz_XHeTwacXx7HXP-HJ4iryr-</t>
  </si>
  <si>
    <t>Esni rambu lika dupa</t>
  </si>
  <si>
    <t>082341236063</t>
  </si>
  <si>
    <t>https://drive.google.com/open?id=1E2n8vtyZD_rjtj7OvTspPwCiJiUl4KWv</t>
  </si>
  <si>
    <t>KORNELIUS GE'LE BATA</t>
  </si>
  <si>
    <t>+6281236450482</t>
  </si>
  <si>
    <t>https://drive.google.com/open?id=1ATsV34HiiN_DVWJS6OSemDvWvKaOgTNX</t>
  </si>
  <si>
    <t>Y21d series</t>
  </si>
  <si>
    <t>Yuniati atahau</t>
  </si>
  <si>
    <t>082341754751</t>
  </si>
  <si>
    <t>https://drive.google.com/open?id=1m27FXweM5z_f__62Zk95E5mLNSLxTbSY</t>
  </si>
  <si>
    <t>Febriyanto moikari</t>
  </si>
  <si>
    <t>085222051690</t>
  </si>
  <si>
    <t>https://drive.google.com/open?id=1qYiDu5Mn9tLjFG2lCSfhI_3NZBe-JKVT</t>
  </si>
  <si>
    <t>EDISIUS TAFEOT SAU</t>
  </si>
  <si>
    <t>082367540789</t>
  </si>
  <si>
    <t>https://drive.google.com/open?id=15zT-yc4Fkn-oYLQDgSmYdTgV-ywuLqdg</t>
  </si>
  <si>
    <t>Emirsiana Malo</t>
  </si>
  <si>
    <t>085137364287</t>
  </si>
  <si>
    <t>https://drive.google.com/open?id=15XLpJBrWC5lgpgrUnrET3fXoM5gQ8kSe</t>
  </si>
  <si>
    <t>Velvis Diana Hotan</t>
  </si>
  <si>
    <t>081347414948</t>
  </si>
  <si>
    <t>4.7000</t>
  </si>
  <si>
    <t>https://drive.google.com/open?id=1crZgvrPZ7Mo2Eqo6PBlM9JYQBgFmmG4i</t>
  </si>
  <si>
    <t>RIDENIA DA SILVA</t>
  </si>
  <si>
    <t>082298110581</t>
  </si>
  <si>
    <t>https://drive.google.com/open?id=1Plj16UB_g6zeVwKXiIrVXv342r33gCEC</t>
  </si>
  <si>
    <t>Patresia Ina Tondo</t>
  </si>
  <si>
    <t>082235281488</t>
  </si>
  <si>
    <t>https://drive.google.com/open?id=18jsVx1W-ovXcGoUeLQSdXv5b-IRLfFtt</t>
  </si>
  <si>
    <t>Eni florida neonane</t>
  </si>
  <si>
    <t>081239600358</t>
  </si>
  <si>
    <t>https://drive.google.com/open?id=1xKNF8tEeGxYN0I3d9bz_OXJrfF5dQCG-</t>
  </si>
  <si>
    <t>Margarita sako unsain</t>
  </si>
  <si>
    <t>081246077210</t>
  </si>
  <si>
    <t>https://drive.google.com/open?id=1eyH3n_bszm90Qqkp8lCu6dVo5b8xly9r</t>
  </si>
  <si>
    <t>Marline Lodan Lasi</t>
  </si>
  <si>
    <t>085321192996</t>
  </si>
  <si>
    <t>https://drive.google.com/open?id=1k6un4Rlt2kRdN8wYT0EkkbKhh78RPLIy</t>
  </si>
  <si>
    <t>JULIA DESY CASANDRA DA SILVA FREITAS</t>
  </si>
  <si>
    <t>Hendrikus loe</t>
  </si>
  <si>
    <t>https://drive.google.com/open?id=1BbNOVB--7Uwm45K0HP1LI4iVPqLyk3dA</t>
  </si>
  <si>
    <t>YOSE UMBU INDANG ADI PUTRA</t>
  </si>
  <si>
    <t>082340386025</t>
  </si>
  <si>
    <t>https://drive.google.com/open?id=1MtbUHNeUxk7lYtYvoKPxfj8Rce4G0ZfF</t>
  </si>
  <si>
    <t>Jhon Arlindo D Foni</t>
  </si>
  <si>
    <t>https://drive.google.com/open?id=1Id80oKeeBCMta3ltviLMpvyTmwDCugHn</t>
  </si>
  <si>
    <t>DAVID DUBU BAIYA</t>
  </si>
  <si>
    <t>https://drive.google.com/open?id=1f-GBMHygB-PDn21SaLZJDpxbFbAtgb89</t>
  </si>
  <si>
    <t>Apolonaris Taru Bani</t>
  </si>
  <si>
    <t>082259253428</t>
  </si>
  <si>
    <t>https://drive.google.com/open?id=18eEw4pj31EuyJsgnApomdHM2ziTd57hL</t>
  </si>
  <si>
    <t>Dominikus dara jaha</t>
  </si>
  <si>
    <t>085355833079</t>
  </si>
  <si>
    <t>https://drive.google.com/open?id=1XVoAK0DmtC19cEo2Vt8_bpE7uKOsD6jW</t>
  </si>
  <si>
    <t>ADELFINA MARIA SALFATORI AMLUPU</t>
  </si>
  <si>
    <t>082672548790</t>
  </si>
  <si>
    <t>https://drive.google.com/open?id=1p6MdWDEwT-KGk7e_XPcV-YMxzeazZqlY</t>
  </si>
  <si>
    <t>Karmila omenu</t>
  </si>
  <si>
    <t>085225250925</t>
  </si>
  <si>
    <t>https://drive.google.com/open?id=1fPrnPy_htyBsWtwfmot8-URhSC0jwTaP</t>
  </si>
  <si>
    <t>Semi melianus nesi</t>
  </si>
  <si>
    <t>0813536672819</t>
  </si>
  <si>
    <t>https://drive.google.com/open?id=1pB_26SQFSEAGPTf0CQoAezgmmroPMdX8</t>
  </si>
  <si>
    <t>ZET SNAE</t>
  </si>
  <si>
    <t>https://drive.google.com/open?id=13NXJFbMHcGdvo-nnpNILag2tQYupDRQ3</t>
  </si>
  <si>
    <t>ANDHIKA ULLY</t>
  </si>
  <si>
    <t>Margareta malo</t>
  </si>
  <si>
    <t>081282587583</t>
  </si>
  <si>
    <t>https://drive.google.com/open?id=1gmnwGdtThl2WDmFc1MB52ltnvq9q5JuS</t>
  </si>
  <si>
    <t>Febnur ga rata</t>
  </si>
  <si>
    <t>085237867564</t>
  </si>
  <si>
    <t>https://drive.google.com/open?id=1-zrPdPcn1A4TRdcRGaib6nSTCllW-lQO</t>
  </si>
  <si>
    <t>MARIA KRISTINA SELAN</t>
  </si>
  <si>
    <t>085236573860</t>
  </si>
  <si>
    <t>https://drive.google.com/open?id=1nU6VCcugyn9Wr_EcDTjZyQ-vdG7TBPbs</t>
  </si>
  <si>
    <t>JEDIDIAH DJUANDAMARTA</t>
  </si>
  <si>
    <t>082213361941</t>
  </si>
  <si>
    <t>https://drive.google.com/open?id=1QP-TiYZUqCeSvCr5JoMa6TX0DQgcgynC</t>
  </si>
  <si>
    <t>Nelci adriana talan</t>
  </si>
  <si>
    <t>082214094292</t>
  </si>
  <si>
    <t>https://drive.google.com/open?id=1llGd7pYkwIcTbI3ell6FOFUaa2uCKePG</t>
  </si>
  <si>
    <t>Yulius markus dala amanutur</t>
  </si>
  <si>
    <t>081239871</t>
  </si>
  <si>
    <t>https://drive.google.com/open?id=1HmlSGi-uz925vkgzJsIjF9VFvsYXVPN4</t>
  </si>
  <si>
    <t>Aprilia Maria Veronika Nusin</t>
  </si>
  <si>
    <t>08125151414</t>
  </si>
  <si>
    <t>https://drive.google.com/open?id=1UZ7k5NfVMMAoadj7Po3EUOjBgtisMSeH</t>
  </si>
  <si>
    <t>Alfonsus Muda Kondo</t>
  </si>
  <si>
    <t>085338235820</t>
  </si>
  <si>
    <t>https://drive.google.com/open?id=1Ot5Y8ArAENO_0uAsrSI3BPEaKY4MFAbE</t>
  </si>
  <si>
    <t>Yuliana peda bili</t>
  </si>
  <si>
    <t>https://drive.google.com/open?id=1Fjit_uR7s3WYZgCCFYnA2WqVLhleM_xk</t>
  </si>
  <si>
    <t>Dewy Arung</t>
  </si>
  <si>
    <t>082237251643</t>
  </si>
  <si>
    <t>https://drive.google.com/open?id=1Y-1dfDGkFwg6zFOCszylwl-AxqG05dKZ</t>
  </si>
  <si>
    <t>RAHMANIAH</t>
  </si>
  <si>
    <t>085237356724</t>
  </si>
  <si>
    <t>https://drive.google.com/open?id=13bSA2s2PonLf-DVk8JYdhXaoPQslJxbt</t>
  </si>
  <si>
    <t>Ferdinan ropa bale</t>
  </si>
  <si>
    <t>081246192322</t>
  </si>
  <si>
    <t>https://drive.google.com/open?id=1ZS9pZ7iuEpGOND-vzmvwH0PJRExULn8u</t>
  </si>
  <si>
    <t>Risto Ignasius selan</t>
  </si>
  <si>
    <t>085333836033</t>
  </si>
  <si>
    <t>https://drive.google.com/open?id=1SMWyjSnsJGycutDYEGRVxvZ8zQQJMera</t>
  </si>
  <si>
    <t>Ronald humau</t>
  </si>
  <si>
    <t>081338236307</t>
  </si>
  <si>
    <t>https://drive.google.com/open?id=19f_6L3slH03-Lv4PPC9r-gO8GPGqnw39</t>
  </si>
  <si>
    <t>mince madik nduakang</t>
  </si>
  <si>
    <t>085921627121</t>
  </si>
  <si>
    <t>https://drive.google.com/open?id=120A5RlpqP8G79inh0N7X5ke9yBxb3mMS</t>
  </si>
  <si>
    <t>DELNI YULSIATI LAY DAY</t>
  </si>
  <si>
    <t>081638364189</t>
  </si>
  <si>
    <t>https://drive.google.com/open?id=1uwKVxRicoCxUgr9v4FQJFaNBHUUNhI6J</t>
  </si>
  <si>
    <t>Ariyunus giku laya</t>
  </si>
  <si>
    <t>https://drive.google.com/open?id=1dpzFHRGZ1610s1ajHwNR1fhM2tdpeGyE</t>
  </si>
  <si>
    <t>087778689097</t>
  </si>
  <si>
    <t>https://drive.google.com/open?id=1BrQSjHaLeHAboCoKK5g_pV_j6scUFQ83</t>
  </si>
  <si>
    <t>Akhmad Assa</t>
  </si>
  <si>
    <t>https://drive.google.com/open?id=16feha5Of-SdeG6H5UGTMb7rnXnKopg4_, https://drive.google.com/open?id=1nTxv6nX6O9u76N-pHGTxvYavuCDwjwtT, https://drive.google.com/open?id=1qZ0UULqsJoShhbEkL52FScJH3Hw6buHx, https://drive.google.com/open?id=1hVxIlXPfn5cAdUdJ4EAVpTs2yuy_Tyb3</t>
  </si>
  <si>
    <t xml:space="preserve"> jarno Robinson vancelia nenabu</t>
  </si>
  <si>
    <t>082155357016</t>
  </si>
  <si>
    <t>https://drive.google.com/open?id=118LxCS3bdpx0oGAWp-TVFhJEljRlhIiW</t>
  </si>
  <si>
    <t>Reni anggriani Doo</t>
  </si>
  <si>
    <t>082347858750</t>
  </si>
  <si>
    <t>https://drive.google.com/open?id=1MNiHACs1_dF8BzqPnTr_LmxOsJus_TUR</t>
  </si>
  <si>
    <t>Abel Mahola Kabnani</t>
  </si>
  <si>
    <t>081330894100</t>
  </si>
  <si>
    <t>https://drive.google.com/open?id=1M3rsQeh3WkrX26Nc6mhmAb9r_wi95704</t>
  </si>
  <si>
    <t>GOTFRITS TASIK</t>
  </si>
  <si>
    <t>082144426462</t>
  </si>
  <si>
    <t>Kadalwarsa</t>
  </si>
  <si>
    <t>https://drive.google.com/open?id=1pI7zH4dPfpnRsSzjRHpCz6S-HvT9whrW</t>
  </si>
  <si>
    <t>Muhammad ali kwairumaratu</t>
  </si>
  <si>
    <t>082247375966</t>
  </si>
  <si>
    <t>Polisi</t>
  </si>
  <si>
    <t>https://drive.google.com/open?id=1fKiFFzdGgV-ydJgon9Vdicc6Mu99nFHx</t>
  </si>
  <si>
    <t>Yeremia seran</t>
  </si>
  <si>
    <t>082145185153</t>
  </si>
  <si>
    <t>https://drive.google.com/open?id=1g6ZTmROievgUIJHq3n-ZXY5f4IYJqxMf</t>
  </si>
  <si>
    <t>Theresia Noni Nitjano</t>
  </si>
  <si>
    <t>081246260990</t>
  </si>
  <si>
    <t>https://drive.google.com/open?id=1mSFfHmtoNdftr5bcjvHpDoWaNFadI_8E</t>
  </si>
  <si>
    <t>Manto ndena nggaba</t>
  </si>
  <si>
    <t>081216728644</t>
  </si>
  <si>
    <t>https://drive.google.com/open?id=15IfNR0DiV_dNY8n62tLnt2G3rZa0eaeK</t>
  </si>
  <si>
    <t>Grinold adu</t>
  </si>
  <si>
    <t>Petani pekebun</t>
  </si>
  <si>
    <t>https://drive.google.com/open?id=1pzui-qGxBzzqQ7qO_7pCYmOSV16T6Tb-</t>
  </si>
  <si>
    <t>Stevania yunita intan zerri</t>
  </si>
  <si>
    <t>081329618110</t>
  </si>
  <si>
    <t>https://drive.google.com/open?id=1EG07ul4jBMEtUfUH1oG8e0IlriAvyOEJ</t>
  </si>
  <si>
    <t>Selfia kristiani loinati</t>
  </si>
  <si>
    <t>082312419931</t>
  </si>
  <si>
    <t>https://drive.google.com/open?id=1I3VVK7OgdCM7ZHvf2U_4EJlkBaatypCJ</t>
  </si>
  <si>
    <t>Petronela Oebnam</t>
  </si>
  <si>
    <t>https://drive.google.com/open?id=16DZWGJxHlaV6x_fD8eFUF5fCOvY13Ru-</t>
  </si>
  <si>
    <t>Ardon Umbu karauta pati</t>
  </si>
  <si>
    <t>089676993833</t>
  </si>
  <si>
    <t>https://drive.google.com/open?id=1WZNYRdrvfRO0c4FJJqkzqWb4k-m4Smgj</t>
  </si>
  <si>
    <t>KRISTINA SASI</t>
  </si>
  <si>
    <t>081238856723</t>
  </si>
  <si>
    <t>https://drive.google.com/open?id=1BlwizGsiogklO5T2fs1yVXdAZtFP_wTQ</t>
  </si>
  <si>
    <t>DOUNGU BALLA</t>
  </si>
  <si>
    <t>082340723130</t>
  </si>
  <si>
    <t>https://drive.google.com/open?id=11lJjkp1fcGi3rNYGSF5ZtfL_kxRdZLbx</t>
  </si>
  <si>
    <t>TIALA GOLE</t>
  </si>
  <si>
    <t>081338237985</t>
  </si>
  <si>
    <t>https://drive.google.com/open?id=1tUyasnAnKvkiLzYE1VQ6_mdbqX0KDO8n</t>
  </si>
  <si>
    <t>Utami Indawati</t>
  </si>
  <si>
    <t>082144919191</t>
  </si>
  <si>
    <t>https://drive.google.com/open?id=1TtOq7trNYNytAzpoSAFJSV1Hz5xzRrGU</t>
  </si>
  <si>
    <t>Anastasia feka</t>
  </si>
  <si>
    <t>https://drive.google.com/open?id=1LiBi7D5vBH_xnpcywY2SnqOgjKs1Lphd</t>
  </si>
  <si>
    <t>Norina vivi ruth saly</t>
  </si>
  <si>
    <t>081286385314</t>
  </si>
  <si>
    <t>https://drive.google.com/open?id=1gEFc3wP0WO9bdC9C_P0yqz9VD1prnTK1</t>
  </si>
  <si>
    <t>Juliyanto paulus ndun</t>
  </si>
  <si>
    <t>085137358353</t>
  </si>
  <si>
    <t>Maxim</t>
  </si>
  <si>
    <t>https://drive.google.com/open?id=1k1guCTQTvcVWsGmXsXBZ1-gpnhitCx5m</t>
  </si>
  <si>
    <t>Mario winno kaka</t>
  </si>
  <si>
    <t>081238926479</t>
  </si>
  <si>
    <t>https://drive.google.com/open?id=1WEVoJ5SVZUPksZQRjbMiyJyEJz57FJT9</t>
  </si>
  <si>
    <t>Imelda Labertini Bili</t>
  </si>
  <si>
    <t>082144008634</t>
  </si>
  <si>
    <t>https://drive.google.com/open?id=1vfQb-bhqqTlNj_44rMpvfavZ3oKu4qSJ</t>
  </si>
  <si>
    <t>Elvis Laiya Boka</t>
  </si>
  <si>
    <t>https://drive.google.com/open?id=1vSeS6uXG8GlZt4DUU2Cg0StBcAyIfTD8</t>
  </si>
  <si>
    <t>Naaman penggoam</t>
  </si>
  <si>
    <t>081239548714</t>
  </si>
  <si>
    <t>https://drive.google.com/open?id=1C8NVWb68-mLBhlcAxg5aipcPtFo1bN3A</t>
  </si>
  <si>
    <t>INRIWATI PRAFITRI POLIN</t>
  </si>
  <si>
    <t>082115012846</t>
  </si>
  <si>
    <t>https://drive.google.com/open?id=1EoU9RkKsntCS5cwl0gJ93snrw2le1Tty</t>
  </si>
  <si>
    <t>Maria Marlin Balok</t>
  </si>
  <si>
    <t>092147665676</t>
  </si>
  <si>
    <t>https://drive.google.com/open?id=1nurpfMVDPAag1-NzCneM5OzfqnMAMLzb</t>
  </si>
  <si>
    <t>MARIANA SERY SEO KOSAT</t>
  </si>
  <si>
    <t>085138834912</t>
  </si>
  <si>
    <t>https://drive.google.com/open?id=1K_gVZYQeOAsCrxpv6rKl0MI5LeI8ivOH</t>
  </si>
  <si>
    <t>FERY DOMINGGUS TALLO</t>
  </si>
  <si>
    <t>081266810429</t>
  </si>
  <si>
    <t>https://drive.google.com/open?id=1w9Rto-vuohnT_Rei_KCBZfAad_fdN6Nu</t>
  </si>
  <si>
    <t>Puri sari dewi lani</t>
  </si>
  <si>
    <t>https://drive.google.com/open?id=1JmONY4u0DLJA2wNPiahOl1p1G0QURIfP</t>
  </si>
  <si>
    <t>Maria celerosa sengkoen</t>
  </si>
  <si>
    <t>085737133231</t>
  </si>
  <si>
    <t>https://drive.google.com/open?id=1uEe_TRUVD5VqDhbdCEkHxGw7WOVLQM1k</t>
  </si>
  <si>
    <t>Romana mestri kono</t>
  </si>
  <si>
    <t>081237426201</t>
  </si>
  <si>
    <t>https://drive.google.com/open?id=1MGO9V0gP6PQa81si80PYT1ijmA7pTQ87</t>
  </si>
  <si>
    <t>Meriana rambu bera anabuni</t>
  </si>
  <si>
    <t>082266128851</t>
  </si>
  <si>
    <t>https://drive.google.com/open?id=11Dl6OVT8gZLyjmxe_CR4WdxGDyyBUo8R</t>
  </si>
  <si>
    <t>Ferry domingus tallo</t>
  </si>
  <si>
    <t>https://drive.google.com/open?id=1Tym0as_RC6g4uvuVHhvaG2IVYa6LJdhI</t>
  </si>
  <si>
    <t xml:space="preserve">Agustinus tae </t>
  </si>
  <si>
    <t>082147074582</t>
  </si>
  <si>
    <t xml:space="preserve">Toko kios sembako </t>
  </si>
  <si>
    <t>https://drive.google.com/open?id=1MXJcfxkUx9qFKDvkB6Viod5sBjCAs-T7</t>
  </si>
  <si>
    <t>Maria Fentyanti bria</t>
  </si>
  <si>
    <t>085333734356</t>
  </si>
  <si>
    <t>https://drive.google.com/open?id=1UJP_FpZ8U3wf9o0bc-nKExDKI8R4qDGc</t>
  </si>
  <si>
    <t>Febryanto Nesi</t>
  </si>
  <si>
    <t>082146924068</t>
  </si>
  <si>
    <t>https://drive.google.com/open?id=1anczdUcgKguBM_UmMHQ9ha72m3u0LCl-</t>
  </si>
  <si>
    <t>FAREL ANDREAN NUNU</t>
  </si>
  <si>
    <t>081237380864</t>
  </si>
  <si>
    <t>https://drive.google.com/open?id=1TuhZHxHmtL6a7NjjL8v6Ir8fLUKEAQgn</t>
  </si>
  <si>
    <t>APLIYANTI KANORA ANA AMAH</t>
  </si>
  <si>
    <t>085339231943</t>
  </si>
  <si>
    <t>https://drive.google.com/open?id=1w1YYb50C45flwTrDBXIjlwpFgS1TANCC</t>
  </si>
  <si>
    <t>Primus damianus naiheli</t>
  </si>
  <si>
    <t>082342388192</t>
  </si>
  <si>
    <t>https://drive.google.com/open?id=1iNxtwf6m8E8K-0p_5s3FAmji3wgaFTVA</t>
  </si>
  <si>
    <t>Monica Lelo</t>
  </si>
  <si>
    <t>082341484641</t>
  </si>
  <si>
    <t>https://drive.google.com/open?id=1qZDkT8qGCOt52qp0v92ZPGPuZAt5Uru5</t>
  </si>
  <si>
    <t>Eunike Rambu Kaita Radja Pandjang</t>
  </si>
  <si>
    <t>081343387934</t>
  </si>
  <si>
    <t>https://drive.google.com/open?id=1FTB4dLhd5sxP_4_EiV_bEek8NlokaNHj</t>
  </si>
  <si>
    <t xml:space="preserve">Rasty milkha betty </t>
  </si>
  <si>
    <t>085138826971</t>
  </si>
  <si>
    <t>Toko buah</t>
  </si>
  <si>
    <t>https://drive.google.com/open?id=1pj2GyGRonz0EPP_6-RAyHPj0nXp20pSF</t>
  </si>
  <si>
    <t>MAGDALENA NABU</t>
  </si>
  <si>
    <t>085165023490</t>
  </si>
  <si>
    <t>Pegawai di hasil bumi</t>
  </si>
  <si>
    <t>https://drive.google.com/open?id=1CpB7R0k1Kt5W2cVC7DbyEwYTsrJfXuDk</t>
  </si>
  <si>
    <t>Samuel dangga</t>
  </si>
  <si>
    <t>085180787318</t>
  </si>
  <si>
    <t>https://drive.google.com/open?id=1zaqLv4GDTFWRUOtNhhEGuNfsJS-TiT90</t>
  </si>
  <si>
    <t>Vinsensius bani</t>
  </si>
  <si>
    <t>081236095995</t>
  </si>
  <si>
    <t>https://drive.google.com/open?id=1qst7sPfPqJwYCDJ0I8iPMNRoqHS8bMJT</t>
  </si>
  <si>
    <t>Mathias Baun</t>
  </si>
  <si>
    <t>085746928133</t>
  </si>
  <si>
    <t>https://drive.google.com/open?id=1Z8QjJ_2sNoey15_H2bpzzUSSNwu8T9J0</t>
  </si>
  <si>
    <t>Mathias baun</t>
  </si>
  <si>
    <t>https://drive.google.com/open?id=1T5ViwwklzK41kXMb3k8__xaQj84lFC3C</t>
  </si>
  <si>
    <t>Afliana limu</t>
  </si>
  <si>
    <t>085137371117</t>
  </si>
  <si>
    <t>https://drive.google.com/open?id=1aMj6zp4HcIbjXe0ZTuhMAqyFhfeY-cwn</t>
  </si>
  <si>
    <t>Irma Irsanti Dapa</t>
  </si>
  <si>
    <t>082236854245</t>
  </si>
  <si>
    <t>https://drive.google.com/open?id=1joHXr4hg8pNNcteu3jM_Y2ulobutTurw</t>
  </si>
  <si>
    <t>Albertina enga namu</t>
  </si>
  <si>
    <t>082144297067</t>
  </si>
  <si>
    <t>https://drive.google.com/open?id=1kZ2ihM6oo0kuAlud2cHhVBG7YBA03O4Z</t>
  </si>
  <si>
    <t>IMELDA OETPAH</t>
  </si>
  <si>
    <t>085137654063</t>
  </si>
  <si>
    <t>https://drive.google.com/open?id=1tC3E3CXN-T3ACQIJuD6rmb_T30WZ9xIj</t>
  </si>
  <si>
    <t>Fera Susana Kain</t>
  </si>
  <si>
    <t>082144740539</t>
  </si>
  <si>
    <t>https://drive.google.com/open?id=1XyadftOLEYIjjcEZDkbLxBVkul-ECMXB</t>
  </si>
  <si>
    <t>Yakobus kamlasi</t>
  </si>
  <si>
    <t>082224491505</t>
  </si>
  <si>
    <t>https://drive.google.com/open?id=1YJvCP91lMgEw_BQeiV36BSg78Hqm3eov</t>
  </si>
  <si>
    <t>Natalina da Silva do rosario</t>
  </si>
  <si>
    <t>081238393738</t>
  </si>
  <si>
    <t>https://drive.google.com/open?id=1FF7Gg7hCqEdYR0SmYJHtLrYng017scLR</t>
  </si>
  <si>
    <t>ERENSTINA ESTER BANA LADO</t>
  </si>
  <si>
    <t>081236217501</t>
  </si>
  <si>
    <t>https://drive.google.com/open?id=1BQJ-g--tzyX7-NabqWA30GMB1ZXp-A7K</t>
  </si>
  <si>
    <t>Maxima Abi</t>
  </si>
  <si>
    <t>https://drive.google.com/open?id=1BQAfZ7t99jbvUmUeIB6xMkwBHqb_xsEp</t>
  </si>
  <si>
    <t>Marten benu</t>
  </si>
  <si>
    <t>081235985489</t>
  </si>
  <si>
    <t>https://drive.google.com/open?id=1FibGBZ3N5PaBVa6BTj7Y-uvNNFwgEejg</t>
  </si>
  <si>
    <t>Abang Riker fallo</t>
  </si>
  <si>
    <t>08123609538</t>
  </si>
  <si>
    <t>https://drive.google.com/open?id=1KdqYvUfxqhD2LFMLx6UxMnFVN-Qoxiet</t>
  </si>
  <si>
    <t>Melki Rino mauk</t>
  </si>
  <si>
    <t>https://drive.google.com/open?id=14HBQ4_2p2fw6sY6x7cT_t5omWAGMFGxm</t>
  </si>
  <si>
    <t>https://drive.google.com/open?id=1YVZVwOc0exXWzGgTC6XAGrvUotK4rRNF</t>
  </si>
  <si>
    <t>Melkianus Lunggi Panda</t>
  </si>
  <si>
    <t>085236789990</t>
  </si>
  <si>
    <t>https://drive.google.com/open?id=1qnrAhf0HcT43T82nxVAUTjs-OwZRlavk</t>
  </si>
  <si>
    <t>Phiter tio</t>
  </si>
  <si>
    <t>082247787043</t>
  </si>
  <si>
    <t>https://drive.google.com/open?id=1TS1H9R2lC9NIdoaFLWrC2uL_qrH1LEQa</t>
  </si>
  <si>
    <t>Jerianus Nahak</t>
  </si>
  <si>
    <t>082144322955</t>
  </si>
  <si>
    <t>https://drive.google.com/open?id=1e7tPVekMw4oVeV0nm-hHJvZEsX90VLEu</t>
  </si>
  <si>
    <t>Dedi Yermias Tefbana</t>
  </si>
  <si>
    <t>085337078269</t>
  </si>
  <si>
    <t>https://drive.google.com/open?id=1g5QFiFh-9qyAfryL-Rdlx-5PXSZQbzgj, https://drive.google.com/open?id=1XVqLbdwaYRqB_tldcab9B5NZqedKdXYS, https://drive.google.com/open?id=1NmbuYBzMtD1UDgfha5q-YpRBzz3J5lGr, https://drive.google.com/open?id=1PM5TrtFyavEInkpauMjtFuiBQ3b8YNu3</t>
  </si>
  <si>
    <t>Arniyanti Danga Atandima</t>
  </si>
  <si>
    <t>085333240578</t>
  </si>
  <si>
    <t>https://drive.google.com/open?id=13dylGPdxqEHr2lCWMtrI-ZFjU4EY25r5</t>
  </si>
  <si>
    <t>Emilia Utu Lendi</t>
  </si>
  <si>
    <t>082266131657</t>
  </si>
  <si>
    <t>https://drive.google.com/open?id=1K0N7h0z8sNUvYMesZwkqj65dbL1seufx</t>
  </si>
  <si>
    <t>Norma oematan</t>
  </si>
  <si>
    <t>082236931413</t>
  </si>
  <si>
    <t>https://drive.google.com/open?id=1Qa6GRypQid0L93MDXbaoHTfY-z30XNFb</t>
  </si>
  <si>
    <t>Yohana oktaviani lowa</t>
  </si>
  <si>
    <t>https://drive.google.com/open?id=17W183olHUYJRhIA1f7tym4W9vjA665iX</t>
  </si>
  <si>
    <t>Mustafa Mailing</t>
  </si>
  <si>
    <t>085142721632</t>
  </si>
  <si>
    <t>https://drive.google.com/open?id=1DjcCeKTPj7Uyc296xFKm7j4n1-AZWoEb</t>
  </si>
  <si>
    <t>Daniel sangu ate</t>
  </si>
  <si>
    <t>081339609548</t>
  </si>
  <si>
    <t>https://drive.google.com/open?id=1D3VVW9e9IzmqncI_RtEK7dbkKDGcaW9B</t>
  </si>
  <si>
    <t>Hironimus Naitili</t>
  </si>
  <si>
    <t>https://drive.google.com/open?id=17fiHYDnZfm1Hy4gvY3PHzZtFNHz68LlH</t>
  </si>
  <si>
    <t>https://drive.google.com/open?id=1RxckvFjd_L-iXu-Wqgx5MVrHhMRMvdPr</t>
  </si>
  <si>
    <t>Gabriel paskalis bulu</t>
  </si>
  <si>
    <t>082210365488</t>
  </si>
  <si>
    <t>https://drive.google.com/open?id=1IYZC6gQQJDV--2dUrEbFC2leD8xy806J</t>
  </si>
  <si>
    <t>Sara selviana bayo</t>
  </si>
  <si>
    <t>081338915149</t>
  </si>
  <si>
    <t>https://drive.google.com/open?id=1qrgp8dzQO2ZdUoHJifQsvIjsgrMxMUbv</t>
  </si>
  <si>
    <t>Selviana fransina adu</t>
  </si>
  <si>
    <t>082245383851</t>
  </si>
  <si>
    <t>https://drive.google.com/open?id=13C1UZLdL7Xj5A3KxQcPTx3cWchDtwmH7</t>
  </si>
  <si>
    <t>Retno herlenci fnatun</t>
  </si>
  <si>
    <t>082146982327</t>
  </si>
  <si>
    <t>https://drive.google.com/open?id=1QmfieUs7LAC9lyMKoh38pCfvYlCKCMCZ</t>
  </si>
  <si>
    <t>YOHANES NONO MALO</t>
  </si>
  <si>
    <t>085338281190</t>
  </si>
  <si>
    <t>https://drive.google.com/open?id=11ERDSeKmxg2fnMesB5h94l-R_qw9nPnh</t>
  </si>
  <si>
    <t>Yanti oktaviana polin</t>
  </si>
  <si>
    <t>082144308893</t>
  </si>
  <si>
    <t>https://drive.google.com/open?id=1mBJo6pyp6XTEpcB9ujw56hQrwY2HiNJW</t>
  </si>
  <si>
    <t>NURMA JUNITA</t>
  </si>
  <si>
    <t>082146988277</t>
  </si>
  <si>
    <t>https://drive.google.com/open?id=17_im7O_eyB-zcWiwH4udiOT8DFvO9W8O</t>
  </si>
  <si>
    <t xml:space="preserve">Julisko toni seran </t>
  </si>
  <si>
    <t>082136577580</t>
  </si>
  <si>
    <t>https://drive.google.com/open?id=1-1xVR7zU7dhzs1fHm1NPTjgmATnJXnCN</t>
  </si>
  <si>
    <t>Andi A Johannes</t>
  </si>
  <si>
    <t>085339194718</t>
  </si>
  <si>
    <t>https://drive.google.com/open?id=1ZHlD0b7trJ3yc_DSCvbVnBzfnJPBIJqT</t>
  </si>
  <si>
    <t>Erfin varlin daik</t>
  </si>
  <si>
    <t>https://drive.google.com/open?id=1iNLBH67Y4G-Ot-6QIQpVXr35nRR4n9iG</t>
  </si>
  <si>
    <t>Ayu margareth gratia daik</t>
  </si>
  <si>
    <t>https://drive.google.com/open?id=1p1ZRzBE415KE4BUiw45SSFJTD0jC02jD</t>
  </si>
  <si>
    <t>Maria Magdalena Iba</t>
  </si>
  <si>
    <t>087857612312</t>
  </si>
  <si>
    <t>https://drive.google.com/open?id=1Er6Yjr54Rj1uqNTdgiN46ugP3qc4nS6m</t>
  </si>
  <si>
    <t>Marlis delani</t>
  </si>
  <si>
    <t>081547186181</t>
  </si>
  <si>
    <t>https://drive.google.com/open?id=1_jDm0x43bGpZiQ4rwcnbLmFPRzwjgngL</t>
  </si>
  <si>
    <t>Dominggus Libing</t>
  </si>
  <si>
    <t>https://drive.google.com/open?id=12kF6D2Fb081zgqgAJLrrODy4ijnV62Ui</t>
  </si>
  <si>
    <t>Julia Desy Casandra Da Silva Freitas</t>
  </si>
  <si>
    <t>085847144061</t>
  </si>
  <si>
    <t>https://drive.google.com/open?id=1hzn6RFV0i09olZJYsBPywjAGdA8E4fVV</t>
  </si>
  <si>
    <t>MARIA MAGDALENA IBA</t>
  </si>
  <si>
    <t>https://drive.google.com/open?id=1HIXR_kaBreZ7cXJcHsX-VnccNDPZMANh</t>
  </si>
  <si>
    <t>Arjun wadu neli</t>
  </si>
  <si>
    <t>https://drive.google.com/open?id=1ZC55nMIgt1DvtKkE0Y9lJFlyxaOxTFtq</t>
  </si>
  <si>
    <t>Yufuf la amu</t>
  </si>
  <si>
    <t>https://drive.google.com/open?id=1XsR-fLv1WCVP_QxSZnSkvDetGJQBvTjY</t>
  </si>
  <si>
    <t>Ester pallo</t>
  </si>
  <si>
    <t>https://drive.google.com/open?id=1j49i7jsE53xHOcK63m842MnWElxa8gVY</t>
  </si>
  <si>
    <t>Rabadan joni gorang</t>
  </si>
  <si>
    <t>https://drive.google.com/open?id=1boHCkak1LGaljgBGQMruefvQxnBESIq7</t>
  </si>
  <si>
    <t>Florensia elis tefa</t>
  </si>
  <si>
    <t>081246358760</t>
  </si>
  <si>
    <t>https://drive.google.com/open?id=1b4auk7Lp_nOR8GEnAO9MyO-AVycf3f1z</t>
  </si>
  <si>
    <t>Maria gaudensia kolo</t>
  </si>
  <si>
    <t>082144567089</t>
  </si>
  <si>
    <t>https://drive.google.com/open?id=1G0iaT28Cvb-xe0vX4DkxT0Ze1aps_4EM</t>
  </si>
  <si>
    <t>Nino leo</t>
  </si>
  <si>
    <t>08214433339</t>
  </si>
  <si>
    <t>https://drive.google.com/open?id=1N4k4JdfA9UFXXrps_A_uB0DvrIhW-kvu</t>
  </si>
  <si>
    <t>Marten Mone Duka</t>
  </si>
  <si>
    <t>081238250212</t>
  </si>
  <si>
    <t>https://drive.google.com/open?id=10xM5zywR2qM5mZXVtkT6t8iddOaA-z_J</t>
  </si>
  <si>
    <t>PAULUS LABAN ETDING</t>
  </si>
  <si>
    <t>https://drive.google.com/open?id=1A-gst9WIoAdzmRzSinPDgonZTVZmvjpM</t>
  </si>
  <si>
    <t>Angga</t>
  </si>
  <si>
    <t>087770653083</t>
  </si>
  <si>
    <t>https://drive.google.com/open?id=1sXI79QeJII5SzuWDizXdCOHfdGiNeH-i</t>
  </si>
  <si>
    <t>Daniel Johanes Denggi Dando</t>
  </si>
  <si>
    <t>081282616904</t>
  </si>
  <si>
    <t>GRAB</t>
  </si>
  <si>
    <t>https://drive.google.com/open?id=1hDwXoB96N1LNzhavMRr-aNfscg24OUo_</t>
  </si>
  <si>
    <t>Ince leki nguju</t>
  </si>
  <si>
    <t>082144036004</t>
  </si>
  <si>
    <t>https://drive.google.com/open?id=1DmHWthqHoWgAiO0RLaRrJfOJhx_83mSK</t>
  </si>
  <si>
    <t>Yohanes jeminggus Bulu</t>
  </si>
  <si>
    <t>085138922576</t>
  </si>
  <si>
    <t>https://drive.google.com/open?id=1oNtHcd_nMngvQDMy1nYrA0RnTbwiXA-v</t>
  </si>
  <si>
    <t>https://drive.google.com/open?id=1EW7DuTDBJZW9Xd_86TobQZYZbDq-42mO</t>
  </si>
  <si>
    <t>Adriana karmelita bira</t>
  </si>
  <si>
    <t>082246544055</t>
  </si>
  <si>
    <t>https://drive.google.com/open?id=1taERGgTTAxFfWTGBZCAsNRmkH0FWfx5W</t>
  </si>
  <si>
    <t>Maria tamu ina</t>
  </si>
  <si>
    <t>081236952482</t>
  </si>
  <si>
    <t>https://drive.google.com/open?id=1TArqtcWNmSIWo8dDLJ2J-5WINFzCzNYK</t>
  </si>
  <si>
    <t>Prediyanto bulu ege</t>
  </si>
  <si>
    <t>https://drive.google.com/open?id=1pVg_t39x0JrK4mNeNW8EV5DKCwYVLtWg</t>
  </si>
  <si>
    <t>Melkianus Suri</t>
  </si>
  <si>
    <t>087899546283</t>
  </si>
  <si>
    <t>https://drive.google.com/open?id=1a87az7BIPhClp4Dge8qlJG03tPwfVKKo</t>
  </si>
  <si>
    <t>Paulus tungga</t>
  </si>
  <si>
    <t>085738549391</t>
  </si>
  <si>
    <t>https://drive.google.com/open?id=1TsccJ3ZXMUnLDGdTZ_6UjUkS_C3UXl54</t>
  </si>
  <si>
    <t>Since naomi pais</t>
  </si>
  <si>
    <t>082147821179</t>
  </si>
  <si>
    <t>https://drive.google.com/open?id=1K5oI4owHfZDaiTNTrEOlLCO0YSR_hheQ</t>
  </si>
  <si>
    <t>Suryani</t>
  </si>
  <si>
    <t>082182136563</t>
  </si>
  <si>
    <t>https://drive.google.com/open?id=10bJXyl6wD6pkyQqVKfXVjwL7drzXLUhQ</t>
  </si>
  <si>
    <t>Mildha f. Mbura</t>
  </si>
  <si>
    <t>082115819898</t>
  </si>
  <si>
    <t>https://drive.google.com/open?id=1OOdNEOk4cRMoebE2jrjxiDCWoLFa6yrO</t>
  </si>
  <si>
    <t>Katerina koten</t>
  </si>
  <si>
    <t>082376876059</t>
  </si>
  <si>
    <t>https://drive.google.com/open?id=1_zhpgRx2Kyw8mePsjYRjEOibAruO7NEC</t>
  </si>
  <si>
    <t>Hilaria Asriani bibsasi</t>
  </si>
  <si>
    <t>082348763890</t>
  </si>
  <si>
    <t>https://drive.google.com/open?id=17rzeglStyacIdSR7Tsmc5xrEvsf9TZ83</t>
  </si>
  <si>
    <t>Enong mbangan</t>
  </si>
  <si>
    <t>082144709860</t>
  </si>
  <si>
    <t>https://drive.google.com/open?id=1O2BfBGfNajkGuwooQLTjDg6a15EzmUw3</t>
  </si>
  <si>
    <t>Samuel ana lalo</t>
  </si>
  <si>
    <t>081355516050</t>
  </si>
  <si>
    <t>https://drive.google.com/open?id=1JMTqVrTuwZf8pOfCKO08yxaiOw4iYb8W</t>
  </si>
  <si>
    <t>Welmince boimau</t>
  </si>
  <si>
    <t>081223885730</t>
  </si>
  <si>
    <t>https://drive.google.com/open?id=1DhJ-7EkbSN--80mx85zWc5JvbrgSE2NK</t>
  </si>
  <si>
    <t xml:space="preserve">Vinsensius bulu </t>
  </si>
  <si>
    <t>082359498705</t>
  </si>
  <si>
    <t>https://drive.google.com/open?id=1y6EeElwckm_mswZFlyvFV50UFfrnwRSO</t>
  </si>
  <si>
    <t>DESIDERATA TAUS</t>
  </si>
  <si>
    <t>082144219715</t>
  </si>
  <si>
    <t>https://drive.google.com/open?id=1TYNGgI_YwesqojmqXhYkgHrUV8ukqH20</t>
  </si>
  <si>
    <t>SAMUEL KOROLULU</t>
  </si>
  <si>
    <t>081288450926</t>
  </si>
  <si>
    <t>https://drive.google.com/open?id=1TDm8RiooSUw3pGl6qkUqKaeLDu-QsfSa</t>
  </si>
  <si>
    <t>Selviana dewi nenu pesa</t>
  </si>
  <si>
    <t>085143258297</t>
  </si>
  <si>
    <t>https://drive.google.com/open?id=1lZTqsg5lu5AkJX_bg0C_zlaI7kwlqfT_</t>
  </si>
  <si>
    <t>Agustinus bala</t>
  </si>
  <si>
    <t>082359274045</t>
  </si>
  <si>
    <t>https://drive.google.com/open?id=1zR7kgzVVLsZHkpWYzryb5a6fx-oelZub</t>
  </si>
  <si>
    <t>De dorce kabosu</t>
  </si>
  <si>
    <t>081353672882</t>
  </si>
  <si>
    <t>https://drive.google.com/open?id=15zpJHbZGUu26H3f48qCT5SU4_tOCxM3F</t>
  </si>
  <si>
    <t>Surhatitin elvita sari s.kom</t>
  </si>
  <si>
    <t>082359548989</t>
  </si>
  <si>
    <t>https://drive.google.com/open?id=1FNLr4N8GBzo4m5v1a6ta4iIgQq0_eCcB</t>
  </si>
  <si>
    <t>Sisilia apriliani maramis</t>
  </si>
  <si>
    <t>082144081915</t>
  </si>
  <si>
    <t>https://drive.google.com/open?id=1OdkiXpLzKtzsYrZQAGnogbnwPPPONQKn</t>
  </si>
  <si>
    <t>Marta kabora</t>
  </si>
  <si>
    <t>081246951905</t>
  </si>
  <si>
    <t>https://drive.google.com/open?id=1YON0js21a7zhlrVHy4Jp68DLBIdZ6-YB</t>
  </si>
  <si>
    <t>Frans Bunda</t>
  </si>
  <si>
    <t>082226974684</t>
  </si>
  <si>
    <t>https://drive.google.com/open?id=12odsUPqK4wbi2HbUwsz-LzIv8vFYwUtm</t>
  </si>
  <si>
    <t>Maria lolo muri</t>
  </si>
  <si>
    <t>082146681642</t>
  </si>
  <si>
    <t>https://drive.google.com/open?id=10_tuEXSDnWV2GPglfRXSoLsxI52frBPO</t>
  </si>
  <si>
    <t>Alexander bessie</t>
  </si>
  <si>
    <t>085218502576</t>
  </si>
  <si>
    <t>https://drive.google.com/open?id=1bL96wo8o6SDC2D5Kx_dtr7y-Z7gcl1lD</t>
  </si>
  <si>
    <t>Chorlina Wandal</t>
  </si>
  <si>
    <t>08123939256</t>
  </si>
  <si>
    <t>https://drive.google.com/open?id=1usQh756c_qvM0qPnQiWXPNqhmzvYsDPL</t>
  </si>
  <si>
    <t>Stenli seprianus lakapu</t>
  </si>
  <si>
    <t>081236659505</t>
  </si>
  <si>
    <t>https://drive.google.com/open?id=1tPFqw3Cq15C2K9CRgS598t_1wR0k0VT9</t>
  </si>
  <si>
    <t>ESTER JANGGA RATU</t>
  </si>
  <si>
    <t>081337400428</t>
  </si>
  <si>
    <t>https://drive.google.com/open?id=121w_VR_U3V9Uc_MaH5SalYhJCXmurQtT</t>
  </si>
  <si>
    <t>Imelda Lasa</t>
  </si>
  <si>
    <t>081292976594</t>
  </si>
  <si>
    <t>https://drive.google.com/open?id=1hU7cE0NR6gdF48ops3BOTuNuFUFirO7E</t>
  </si>
  <si>
    <t xml:space="preserve">Fransiska longa </t>
  </si>
  <si>
    <t>082124728607</t>
  </si>
  <si>
    <t>https://drive.google.com/open?id=1vvWUKkppCn0ibG97qGFQozUJtQ2YTsl0</t>
  </si>
  <si>
    <t>Viller Bramasta Ndolu</t>
  </si>
  <si>
    <t>085161975690</t>
  </si>
  <si>
    <t>https://drive.google.com/open?id=1ybPKfub_DxfJn7TPi2rGCTaziaZNQd2s</t>
  </si>
  <si>
    <t>Yusmita yati tana</t>
  </si>
  <si>
    <t>085141297283</t>
  </si>
  <si>
    <t>https://drive.google.com/open?id=1Vpbb56VH6WuG2Wy9UjAocawWL_b0tXIr</t>
  </si>
  <si>
    <t>Ridwan juanda</t>
  </si>
  <si>
    <t>085847102433</t>
  </si>
  <si>
    <t>https://drive.google.com/open?id=1vjEdnlJyajyxrOkkcUv-_JK3NQQgVVjP</t>
  </si>
  <si>
    <t>Meriana bulu</t>
  </si>
  <si>
    <t>081339074189</t>
  </si>
  <si>
    <t>https://drive.google.com/open?id=1BEELepjJ8A_8H8hfayW_M-SZMG2Zx-2g</t>
  </si>
  <si>
    <t>Intan Elfrosa Nalle</t>
  </si>
  <si>
    <t>087892061777</t>
  </si>
  <si>
    <t>https://drive.google.com/open?id=1wNiLnOyoeOIXu7dpVZ9c70-08ZqBxGvT</t>
  </si>
  <si>
    <t>Agustinus Umbu Zaghilla</t>
  </si>
  <si>
    <t>081339601956</t>
  </si>
  <si>
    <t>https://drive.google.com/open?id=1OMKyNJrPUhosPjCvY8i_e8D7aXCZy6Ru</t>
  </si>
  <si>
    <t>Monika malo</t>
  </si>
  <si>
    <t>081338873232</t>
  </si>
  <si>
    <t>https://drive.google.com/open?id=1uEz5R7OtyF337vmBhVYi3XutOm1rQVMi</t>
  </si>
  <si>
    <t>Getridus</t>
  </si>
  <si>
    <t>https://drive.google.com/open?id=1ybW9s0wX6P7Wd2j5yP4OFjCiYO2-T1Wh</t>
  </si>
  <si>
    <t>Christmas Imanuel Tanesab</t>
  </si>
  <si>
    <t>081211545908</t>
  </si>
  <si>
    <t>Petani dan Ternak Babi</t>
  </si>
  <si>
    <t>https://drive.google.com/open?id=1eDS7Dmsx23m1ltJPaG4sSJHhJpBfWRU4</t>
  </si>
  <si>
    <t>Apriana yanti busu</t>
  </si>
  <si>
    <t>https://drive.google.com/open?id=1jPdck_JIhGOs-pZdZrOKEDGLc7J4LHir</t>
  </si>
  <si>
    <t>Maria lincewati bau</t>
  </si>
  <si>
    <t>081339015721</t>
  </si>
  <si>
    <t>https://drive.google.com/open?id=1eDEVDGIEKvRh3X6PrlKaofDMyzWpQT6N</t>
  </si>
  <si>
    <t>Yuventus bana</t>
  </si>
  <si>
    <t>085138833167</t>
  </si>
  <si>
    <t>https://drive.google.com/open?id=1JpLlHXiq7yRJJMrWSA6LYrVQiX_k_4PB</t>
  </si>
  <si>
    <t>YUVENTUS BANA</t>
  </si>
  <si>
    <t>https://drive.google.com/open?id=1zso1wdxnQZ2gnITTuaW3n1eNy3u2OS_C</t>
  </si>
  <si>
    <t>Agnes hori magi</t>
  </si>
  <si>
    <t>081228803994</t>
  </si>
  <si>
    <t>https://drive.google.com/open?id=1KMWsu6CjXYDYWM7mdBkilGViDzcDuE0z</t>
  </si>
  <si>
    <t>Andrean  marsu Deni ranci</t>
  </si>
  <si>
    <t>081337126118</t>
  </si>
  <si>
    <t>https://drive.google.com/open?id=1AixkOy_yrvKhbZ5LXLrQIO0RVFF--y_9</t>
  </si>
  <si>
    <t>Maksi bansele</t>
  </si>
  <si>
    <t>081337958966</t>
  </si>
  <si>
    <t>https://drive.google.com/open?id=1r_T5MDRyq15noOM6COh7AfHsPnBin0il</t>
  </si>
  <si>
    <t>Dendy pertama afrido paul</t>
  </si>
  <si>
    <t>085137372321</t>
  </si>
  <si>
    <t>https://drive.google.com/open?id=1Yz62CDowdT6WIq0_dAkowqJNThVQx8Q2</t>
  </si>
  <si>
    <t>Yosef naben</t>
  </si>
  <si>
    <t>081239565601</t>
  </si>
  <si>
    <t>https://drive.google.com/open?id=1gmb0AErgHYwdUR3nNfQZePheI5rO15V_</t>
  </si>
  <si>
    <t>Yohana adilfina nenotek</t>
  </si>
  <si>
    <t>Pendeta</t>
  </si>
  <si>
    <t>https://drive.google.com/open?id=1VPu1YfQH_8BIww2NwbQN5T6mr4z33fmL</t>
  </si>
  <si>
    <t>081246389143</t>
  </si>
  <si>
    <t>https://drive.google.com/open?id=1CVX8lxx51BhSIn-l3SjvU6LaI3ExDiJD</t>
  </si>
  <si>
    <t>Naomi ledu</t>
  </si>
  <si>
    <t>082340411081</t>
  </si>
  <si>
    <t>https://drive.google.com/open?id=1q0_B4zI_CQhaopORpxeZf8IC9i8kl7QN</t>
  </si>
  <si>
    <t>YOASAP MAUDAKA</t>
  </si>
  <si>
    <t>+6281353895956</t>
  </si>
  <si>
    <t>https://drive.google.com/open?id=17Qh_pAFzVc92dgqPbUprSEaYxymHQPQO</t>
  </si>
  <si>
    <t>Titoniu Rokiat Bahan</t>
  </si>
  <si>
    <t>082237927892</t>
  </si>
  <si>
    <t>GURU SMK</t>
  </si>
  <si>
    <t>https://drive.google.com/open?id=16_hz_Z-k_jDcfm7fAnGd_ajNhA33FemU</t>
  </si>
  <si>
    <t>Djunaidy Agusten Bunga, SE</t>
  </si>
  <si>
    <t>087853799000</t>
  </si>
  <si>
    <t>https://drive.google.com/open?id=17MUXMnj3uDnGCmgRqZ4fmQu0JdDDJJx1</t>
  </si>
  <si>
    <t>Herybertus neonbeni</t>
  </si>
  <si>
    <t>081236035591</t>
  </si>
  <si>
    <t>https://drive.google.com/open?id=14i01G2XQbSsUedZ0YKybuHElKN3aUCFk</t>
  </si>
  <si>
    <t>KAROLUS MALO LENDE</t>
  </si>
  <si>
    <t>082144306451</t>
  </si>
  <si>
    <t>https://drive.google.com/open?id=1VntamNU6UZQOM2KjZxzU3k4Ci-nY3OSn</t>
  </si>
  <si>
    <t>Hector ronaldo putra tomasui</t>
  </si>
  <si>
    <t>082245649029</t>
  </si>
  <si>
    <t>Polri</t>
  </si>
  <si>
    <t>https://drive.google.com/open?id=1h390AKUuxYCT4ro9JrAED3XzZtsI8XGk</t>
  </si>
  <si>
    <t>Intan juliana radja pono</t>
  </si>
  <si>
    <t>081238856242</t>
  </si>
  <si>
    <t>https://drive.google.com/open?id=1i4Wn8Hi0PpBuoTW3Hs9v07gox80MSSLv</t>
  </si>
  <si>
    <t>Lazarus kolloh</t>
  </si>
  <si>
    <t>087718037426</t>
  </si>
  <si>
    <t>https://drive.google.com/open?id=1B1tcDU46M_VoLpehCQ-jnCcAIB6Pcyw2</t>
  </si>
  <si>
    <t>Matheus Nduru</t>
  </si>
  <si>
    <t>082145689083</t>
  </si>
  <si>
    <t>https://drive.google.com/open?id=1jgPYv0_ZKMPB1Wu4p4G0x6xOA2xnJatK</t>
  </si>
  <si>
    <t>Jeremias petrik Ghode</t>
  </si>
  <si>
    <t>082237452422</t>
  </si>
  <si>
    <t>https://drive.google.com/open?id=1obj-hHD-hWdCsg92qfqhm0LRhy-4Oh1s</t>
  </si>
  <si>
    <t>Srihartati Widyastuti</t>
  </si>
  <si>
    <t>085737537482</t>
  </si>
  <si>
    <t>https://drive.google.com/open?id=1cFGTVzxlRFHrHYH67shYlZnHhMEQhq5x</t>
  </si>
  <si>
    <t>Andika Hendrikus Balsano</t>
  </si>
  <si>
    <t>082132664574</t>
  </si>
  <si>
    <t>https://drive.google.com/open?id=1s_rV56YdfxmORAHwkiM5nLqrh5PSD6Xu</t>
  </si>
  <si>
    <t>Noldianto Umbu Yailu</t>
  </si>
  <si>
    <t>081279807132</t>
  </si>
  <si>
    <t>https://drive.google.com/open?id=1F93sAgGWCRLnqhzc2RmJkF6lzvqZk4fV</t>
  </si>
  <si>
    <t xml:space="preserve"> Petrus Frengki Banase </t>
  </si>
  <si>
    <t>082227289906</t>
  </si>
  <si>
    <t>https://drive.google.com/open?id=1ypKjYgd-OBRwyVp7cBVQqj-Rw1n_aVxv</t>
  </si>
  <si>
    <t>THERESIA MADRONA TEDA</t>
  </si>
  <si>
    <t>081299522302</t>
  </si>
  <si>
    <t>https://drive.google.com/open?id=1V3gLEvDEMuCg0ZftMDGZAlJ9uM9wORUg</t>
  </si>
  <si>
    <t>Kasyful Anwar</t>
  </si>
  <si>
    <t>082146823456</t>
  </si>
  <si>
    <t>https://drive.google.com/open?id=1ObgRzeo81kDbJd-bGFS290zdST1rpTCU</t>
  </si>
  <si>
    <t xml:space="preserve">Timo hermis linome </t>
  </si>
  <si>
    <t>082231304316</t>
  </si>
  <si>
    <t>https://drive.google.com/open?id=15k_kWZ-nT_xc8nLI8ByqvhTtliKC-V_2</t>
  </si>
  <si>
    <t>Ferdi Umbu Lele</t>
  </si>
  <si>
    <t>081237718640</t>
  </si>
  <si>
    <t>https://drive.google.com/open?id=1mk_0fO354iZ4AeZe_dolyeBy9YaICtQZ</t>
  </si>
  <si>
    <t>Yongki desten fando</t>
  </si>
  <si>
    <t>085857826725</t>
  </si>
  <si>
    <t>Bengkel</t>
  </si>
  <si>
    <t>https://drive.google.com/open?id=1aBlL6arKH4A2gFQ8Q1JSkn0H9KICvxEh</t>
  </si>
  <si>
    <t>Marianus De Neri</t>
  </si>
  <si>
    <t>081341246382</t>
  </si>
  <si>
    <t>https://drive.google.com/open?id=1En8D24e2w20EbkhiDkdAQlz3PTScU50y</t>
  </si>
  <si>
    <t>Odilia Tokan</t>
  </si>
  <si>
    <t>085338056046</t>
  </si>
  <si>
    <t>https://drive.google.com/open?id=1POJY6kauccOQ_Qz2BuR9MXgtL7RCveGw</t>
  </si>
  <si>
    <t>WAQIDIN SYAFULLA</t>
  </si>
  <si>
    <t>081246342450</t>
  </si>
  <si>
    <t>https://drive.google.com/open?id=1slY7l_mZy_2n5akFJwv_XLi8379ysyqm</t>
  </si>
  <si>
    <t>Welmenci tauopan</t>
  </si>
  <si>
    <t>085963060223</t>
  </si>
  <si>
    <t>https://drive.google.com/open?id=1e8N13ZPtFuQVL4uF4mTLnWgLjjp9oocf</t>
  </si>
  <si>
    <t xml:space="preserve">Sunarsih </t>
  </si>
  <si>
    <t>082145618344</t>
  </si>
  <si>
    <t>https://drive.google.com/open?id=10yLmq1zx2rNDP0F37LMn85jUjmuDzxwa</t>
  </si>
  <si>
    <t>Indrawati Berlian Beama</t>
  </si>
  <si>
    <t>https://drive.google.com/open?id=1fxqMLVPbOjhEvJeMymYUlKxcEwj39Ier</t>
  </si>
  <si>
    <t>Ilon Soni malo</t>
  </si>
  <si>
    <t>085330139524</t>
  </si>
  <si>
    <t>https://drive.google.com/open?id=1qHERmN0z8DMR_U_4YGmzlozctHd93Ahu</t>
  </si>
  <si>
    <t>MARIA GORETI ADITOMO</t>
  </si>
  <si>
    <t>085922160318</t>
  </si>
  <si>
    <t>https://drive.google.com/open?id=1arHKnYJR1tXJ8O4TC5bnw95oKsCo4Qt0</t>
  </si>
  <si>
    <t>Eri Nebajota Taneo</t>
  </si>
  <si>
    <t>082247393891</t>
  </si>
  <si>
    <t>https://drive.google.com/open?id=19POdde1saDSL-xrvGV_JqQyh_4Wp65Z2</t>
  </si>
  <si>
    <t>Ferdinan Dundu Rawambaku</t>
  </si>
  <si>
    <t>085239188036</t>
  </si>
  <si>
    <t>https://drive.google.com/open?id=1cUik4PvRjOZMJpQ5-NN18CjXVcgPepHs</t>
  </si>
  <si>
    <t>Kristovorus G. Wau</t>
  </si>
  <si>
    <t>5.4</t>
  </si>
  <si>
    <t>https://drive.google.com/open?id=1gVBlaCLOCdFlWB2ADxPFgWCB8pxRlGna</t>
  </si>
  <si>
    <t>Maria naitek</t>
  </si>
  <si>
    <t>082146346738</t>
  </si>
  <si>
    <t>https://drive.google.com/open?id=1wZNNaIgub0NCtlZr6jWdWuyB6r1U-lx7</t>
  </si>
  <si>
    <t>Sance deventy benu</t>
  </si>
  <si>
    <t>085142978263</t>
  </si>
  <si>
    <t>https://drive.google.com/open?id=1jvcZJ9kPm7F_D3mzpHxrWQpFukpqgEGI</t>
  </si>
  <si>
    <t>Andreas Marsu Deni Ranci</t>
  </si>
  <si>
    <t>https://drive.google.com/open?id=1mGzR8ew4OO3Lu-HMwDb_ixYAYKo0c62e</t>
  </si>
  <si>
    <t>Helmi lisanti tefbana</t>
  </si>
  <si>
    <t>081246334931</t>
  </si>
  <si>
    <t>https://drive.google.com/open?id=1ypOycVW0osy9-iTYCUPXERi9HAFfdt2N</t>
  </si>
  <si>
    <t>Oktavianua Resi kii</t>
  </si>
  <si>
    <t>082145524029</t>
  </si>
  <si>
    <t>https://drive.google.com/open?id=1DkvX4LaYiTP3gYdnDRU2WfEDUx3kEsJ9</t>
  </si>
  <si>
    <t>Antonius ki</t>
  </si>
  <si>
    <t>082147270897</t>
  </si>
  <si>
    <t>https://drive.google.com/open?id=1-oiuPxwr1S-BCV8cnYgNHKa3p-lzafuA</t>
  </si>
  <si>
    <t>Irene Aprilia Helli Faot</t>
  </si>
  <si>
    <t>https://drive.google.com/open?id=16ZKCVcwgJOUF-tPODhZ-Rqb5BiqPrB5z</t>
  </si>
  <si>
    <t>Yudi Lay</t>
  </si>
  <si>
    <t>085182412866</t>
  </si>
  <si>
    <t>https://drive.google.com/open?id=1yXa6Unz8kXgb_XcphPJN2GvL1c00740c</t>
  </si>
  <si>
    <t>Yusuf tamo ama</t>
  </si>
  <si>
    <t>085119293041</t>
  </si>
  <si>
    <t>https://drive.google.com/open?id=18vOtBOFZBsoCItJbtkwWCjjBsSvfvxN9</t>
  </si>
  <si>
    <t>Vinsensia hoar tahuk</t>
  </si>
  <si>
    <t>082144034905</t>
  </si>
  <si>
    <t>https://drive.google.com/open?id=16TkXRyDx44nz_d8BUZlyvUO0PTcvj07g</t>
  </si>
  <si>
    <t>Asrit ngana mbahi</t>
  </si>
  <si>
    <t>085607608510</t>
  </si>
  <si>
    <t>https://drive.google.com/open?id=16dwagaqO8kVID4fT50KFo-M2SL5Eomwh</t>
  </si>
  <si>
    <t>Wilfridus djawa</t>
  </si>
  <si>
    <t>082147239522</t>
  </si>
  <si>
    <t>https://drive.google.com/open?id=1tUHDsvbz05oqj-owRAdf1Bt0vch-s6C5</t>
  </si>
  <si>
    <t>Aldi wilco laisina</t>
  </si>
  <si>
    <t>082312131728</t>
  </si>
  <si>
    <t>https://drive.google.com/open?id=1Ax-w5bcDOjn4oKjxXBKB_fG9fO1pUsbM</t>
  </si>
  <si>
    <t>ISTIN RAMBU ATA DJAWA</t>
  </si>
  <si>
    <t>085134428310</t>
  </si>
  <si>
    <t>https://drive.google.com/open?id=14FTYFCDkUdrtdERJAi1XUnRMbecq-QL-</t>
  </si>
  <si>
    <t>Daud do</t>
  </si>
  <si>
    <t>081239851057</t>
  </si>
  <si>
    <t>https://drive.google.com/open?id=1FC8CU54PhJP7mdRm7DsXvcalOWxowm-Y</t>
  </si>
  <si>
    <t>Arianto Dano</t>
  </si>
  <si>
    <t>081298999692</t>
  </si>
  <si>
    <t>https://drive.google.com/open?id=1375IYtN0EPm2SM5hI6TTpAB7rP0bETYB</t>
  </si>
  <si>
    <t>Adrianus lorenso klau</t>
  </si>
  <si>
    <t>082252775821</t>
  </si>
  <si>
    <t>https://drive.google.com/open?id=1hv_Aqe8jFbSlp6jZWeawWD0p5-39MeUL</t>
  </si>
  <si>
    <t>Syamsiah ismael</t>
  </si>
  <si>
    <t>085641956942</t>
  </si>
  <si>
    <t>https://drive.google.com/open?id=1MhfQH9zrQ68DyEhEJEjh7lVcSHYhXXCu</t>
  </si>
  <si>
    <t>Devon Alfred Felipus Daik</t>
  </si>
  <si>
    <t>081237472906</t>
  </si>
  <si>
    <t>Usaha</t>
  </si>
  <si>
    <t>https://drive.google.com/open?id=16ckXia0Au0a7MwpCTZuLn9pWjxrbwk8P</t>
  </si>
  <si>
    <t>Febriyanti Desilya Nenotek</t>
  </si>
  <si>
    <t>082247224230</t>
  </si>
  <si>
    <t>https://drive.google.com/open?id=1HtOEEu70xHbLrmM3_BLqsglIj9gQwv7q</t>
  </si>
  <si>
    <t>Junto tunu</t>
  </si>
  <si>
    <t>081339398107</t>
  </si>
  <si>
    <t>https://drive.google.com/open?id=1ygcgXwMTn0EwMn_Q6AMTCnfYTKhIvEy_, https://drive.google.com/open?id=1PBzB_DwVF1XNQiK6r428Bjp9ZuQkUmKm, https://drive.google.com/open?id=1DScp6AMOQ9UuRnIy_KxPLOJaF69B3qy9, https://drive.google.com/open?id=1WNVtFG8N1lt-2bbF4OAPKRt2pKrat6JS</t>
  </si>
  <si>
    <t>Noviana hoar nahak</t>
  </si>
  <si>
    <t>082266392164</t>
  </si>
  <si>
    <t>https://drive.google.com/open?id=1g94i8EB0ctkP8DJMCBd-pddxXaETaPzo</t>
  </si>
  <si>
    <t>MARIA LAMAHODA</t>
  </si>
  <si>
    <t>087723435222</t>
  </si>
  <si>
    <t>https://drive.google.com/open?id=1GUgJ8UWjQ1lDvqudhet0OJad6hJDhGnX</t>
  </si>
  <si>
    <t>https://drive.google.com/open?id=1HOKcPMor5o3wIoWQmRXvimOZLi3rLiH5</t>
  </si>
  <si>
    <t>Jebrianus banunaek</t>
  </si>
  <si>
    <t>081337022916</t>
  </si>
  <si>
    <t>https://drive.google.com/open?id=1GVDi9Mb0qXZ7STIRUHFkoRrTUMF52TGR</t>
  </si>
  <si>
    <t>Laurenzo randy v tetengkeng</t>
  </si>
  <si>
    <t>085742470076</t>
  </si>
  <si>
    <t>https://drive.google.com/open?id=1EhCSiU7iJuzjvajh8JKRmpWNhXeZMb5s</t>
  </si>
  <si>
    <t>Anderias Nikodemos Eky</t>
  </si>
  <si>
    <t>082138123586</t>
  </si>
  <si>
    <t>https://drive.google.com/open?id=1xdbX7d-jlRrwhWSegbN3_eZ4C1N_nB6b</t>
  </si>
  <si>
    <t>Paskalia susana paila</t>
  </si>
  <si>
    <t>081337393324</t>
  </si>
  <si>
    <t>https://drive.google.com/open?id=1kQXNSlKF5m5Ubfckvo5gbuy1DjPUeK-o</t>
  </si>
  <si>
    <t>Lindi yana mauk</t>
  </si>
  <si>
    <t>087766964664</t>
  </si>
  <si>
    <t>https://drive.google.com/open?id=1f8AAlWciqbSQ_WBfQy7xBSKd1Vel-OOg</t>
  </si>
  <si>
    <t>Aini rahmatini natalia moestakim</t>
  </si>
  <si>
    <t>085337997737</t>
  </si>
  <si>
    <t>https://drive.google.com/open?id=1shwXJ6lYVhixzFq9NUx72mdRttq3TcX3</t>
  </si>
  <si>
    <t>Astuti yuliana wila</t>
  </si>
  <si>
    <t>081998009262</t>
  </si>
  <si>
    <t>https://drive.google.com/open?id=1FAS_tu_Ty22r863sOOQKe0QNXCx1ikM3</t>
  </si>
  <si>
    <t>sebastian gerardus bili</t>
  </si>
  <si>
    <t>082247420129</t>
  </si>
  <si>
    <t>https://drive.google.com/open?id=1-fsUvHBEGju1ObN1NCeCr8i7LXNaoZPu</t>
  </si>
  <si>
    <t>YULIANTI ALUPAN</t>
  </si>
  <si>
    <t>https://drive.google.com/open?id=16A3kP4g6_khm5Ii3XAX3Z_z3Mm01EDwa</t>
  </si>
  <si>
    <t>NOVITA TRIFONI THALL</t>
  </si>
  <si>
    <t>08221102882</t>
  </si>
  <si>
    <t>https://drive.google.com/open?id=1S_97MGNqf2u7fvZoGDGfxsbQmrv1IlKP</t>
  </si>
  <si>
    <t>Frederikus seran</t>
  </si>
  <si>
    <t>081237065179</t>
  </si>
  <si>
    <t>https://drive.google.com/open?id=1-FDFsM9p4A4aAi9mcD0WFct0yft8sZrn</t>
  </si>
  <si>
    <t>PAULUS HANI</t>
  </si>
  <si>
    <t>082225299172</t>
  </si>
  <si>
    <t>https://drive.google.com/open?id=1fAR2KXLQKPkArbKlbm23_q64guUrnW30</t>
  </si>
  <si>
    <t>Martha lende</t>
  </si>
  <si>
    <t>081338446525</t>
  </si>
  <si>
    <t>https://drive.google.com/open?id=1PGidBKH8xs7hckuk9M8GSIgJl9A_gbr2</t>
  </si>
  <si>
    <t>082247121689</t>
  </si>
  <si>
    <t>https://drive.google.com/open?id=1ihDKfI7EVm7LkJzFmFDbsf9yqtJE7nFk</t>
  </si>
  <si>
    <t xml:space="preserve">YENISTA </t>
  </si>
  <si>
    <t>081236878089</t>
  </si>
  <si>
    <t>https://drive.google.com/open?id=1_a2fA-h06gkDg8ShZEKfr5aczLL21P8n</t>
  </si>
  <si>
    <t>Obaja toni molina</t>
  </si>
  <si>
    <t>082252469072</t>
  </si>
  <si>
    <t>https://drive.google.com/open?id=15AwpjSYeOTGmdzwszfsVtaPLggv1d9q3</t>
  </si>
  <si>
    <t>Istin rambu ata djawa</t>
  </si>
  <si>
    <t>https://drive.google.com/open?id=1FpBSEVgbL-Unq2L3CmaqxjkXzwQwYJkp</t>
  </si>
  <si>
    <t>DEBORA DAIRU NEDI</t>
  </si>
  <si>
    <t>081337382808</t>
  </si>
  <si>
    <t>https://drive.google.com/open?id=1rjasYTFeq_rGvqiMgLgvQtd-Em0n4GDN</t>
  </si>
  <si>
    <t>Rani avrelia kilimandu</t>
  </si>
  <si>
    <t>085231415245</t>
  </si>
  <si>
    <t>https://drive.google.com/open?id=164EjWdV3_vnbz7Tzss7kN2OJHyGDJP4r</t>
  </si>
  <si>
    <t>Aprilia falo</t>
  </si>
  <si>
    <t>081229549804</t>
  </si>
  <si>
    <t>https://drive.google.com/open?id=1IZ0NJm81gRioBf9UuA1xcb-9hj_evRTM</t>
  </si>
  <si>
    <t>Kristoforus naikoan</t>
  </si>
  <si>
    <t>082111076019</t>
  </si>
  <si>
    <t>https://drive.google.com/open?id=14Llvs55nXUxeRISyuqQHy_csfi_2I0rZ</t>
  </si>
  <si>
    <t>Martha naituna</t>
  </si>
  <si>
    <t>081239557407</t>
  </si>
  <si>
    <t>https://drive.google.com/open?id=1JX_D3XQNwJlqjYw77Z1OvUe7tywP1xXX</t>
  </si>
  <si>
    <t>STEPANUS BILI</t>
  </si>
  <si>
    <t>085338154993</t>
  </si>
  <si>
    <t>https://drive.google.com/open?id=1SIVwQN5A9bmvwy-ImkDx9AYDSMT0aXjC</t>
  </si>
  <si>
    <t>Muhathir muhamad nurdin</t>
  </si>
  <si>
    <t>082153889554</t>
  </si>
  <si>
    <t>https://drive.google.com/open?id=1wDwsNVA1knfa15-SA1tzLp7SeTi6YsmY</t>
  </si>
  <si>
    <t xml:space="preserve">Martina Hamuli, Spd </t>
  </si>
  <si>
    <t>081237223290</t>
  </si>
  <si>
    <t>https://drive.google.com/open?id=1PjsIJPe20oJLC5cGGLkyhk5wJPvtTrVH</t>
  </si>
  <si>
    <t>https://drive.google.com/open?id=14J-e2IJ24KM8TwrQybQOqDuN6tW3_V4C</t>
  </si>
  <si>
    <t>Sania stefania sonbaifeto</t>
  </si>
  <si>
    <t>085338851556</t>
  </si>
  <si>
    <t>https://drive.google.com/open?id=1TgkvlJcJhbXAOtzsDEjdAf1V-bZXDEBa</t>
  </si>
  <si>
    <t>Eston neno</t>
  </si>
  <si>
    <t>0895393898705</t>
  </si>
  <si>
    <t>https://drive.google.com/open?id=1NpkEF3QBxwBAVVbH_TpyOjJGRoioYRrW</t>
  </si>
  <si>
    <t>Emiliana maria agustina a. Fahik</t>
  </si>
  <si>
    <t>082339369620</t>
  </si>
  <si>
    <t>https://drive.google.com/open?id=14ZiExsmbjnUdhsM2ruN3SknObAJI5t4h</t>
  </si>
  <si>
    <t>YOHANIS BUNNI LERO</t>
  </si>
  <si>
    <t>https://drive.google.com/open?id=1cT3WgthnNA7f8c_baHfCftM5oYgOUSLt</t>
  </si>
  <si>
    <t>RIFKI</t>
  </si>
  <si>
    <t>081217235477</t>
  </si>
  <si>
    <t>https://drive.google.com/open?id=1Tmbpwc2Oa7-pp_Qtic1gJhClyTbX0t9S</t>
  </si>
  <si>
    <t>Markus isyak lobo</t>
  </si>
  <si>
    <t>082312419903</t>
  </si>
  <si>
    <t>https://drive.google.com/open?id=1I4XPUGes7ihtVSMQHxjYwum-t9QT8HMl</t>
  </si>
  <si>
    <t>Laazar yarethno beli</t>
  </si>
  <si>
    <t>082311330214</t>
  </si>
  <si>
    <t>https://drive.google.com/open?id=1mfmfqdik8zX8W_zAHyUDOZzlVqfvsHFk</t>
  </si>
  <si>
    <t>Umbu manja nggahar</t>
  </si>
  <si>
    <t>082351211497</t>
  </si>
  <si>
    <t>https://drive.google.com/open?id=1z95BuyyZ4EFjX3ypzSeecli162OhZd9d</t>
  </si>
  <si>
    <t>Oktobianus siprianto mona</t>
  </si>
  <si>
    <t>081353806642</t>
  </si>
  <si>
    <t>https://drive.google.com/open?id=1a7yJigjzH8tMeY-AUbhU0Bo3VQtDLgJ4</t>
  </si>
  <si>
    <t>Alyan Adiel Hendra Nenosaban</t>
  </si>
  <si>
    <t>087780485063</t>
  </si>
  <si>
    <t>https://drive.google.com/open?id=1VplEHgmqi8DAjkqEbJbRGThjsm-_aafw</t>
  </si>
  <si>
    <t>Maria Goreti Aditomo</t>
  </si>
  <si>
    <t>085117152710</t>
  </si>
  <si>
    <t>https://drive.google.com/open?id=1QH5LDNxmm8fWUUb5VKP9Rv3SjtsQBEgq, https://drive.google.com/open?id=1Te_k6aasxYOwZly4k9-lDDwYxoE4Tsuw, https://drive.google.com/open?id=1v8FNb72G0pHUFQZHv4rAIp_d-R79RKz9, https://drive.google.com/open?id=1dObCbkKP701bG_CyDuI7Uxd6_3v8n9uU</t>
  </si>
  <si>
    <t>SUHARNOWO</t>
  </si>
  <si>
    <t>085729629118</t>
  </si>
  <si>
    <t>https://drive.google.com/open?id=1u13G_Ix7uv8DJQHXUqhp0zBM0Vqp120U</t>
  </si>
  <si>
    <t>Yuliana wallu</t>
  </si>
  <si>
    <t>081346092845</t>
  </si>
  <si>
    <t>https://drive.google.com/open?id=1vJojKRa2YXEhR-yxBop-_W9TrHnU6eAl</t>
  </si>
  <si>
    <t>Jumiati bili</t>
  </si>
  <si>
    <t>081228909877</t>
  </si>
  <si>
    <t>https://drive.google.com/open?id=13l_06uMKfrmLYwP9bXLtkKxBJmeh6lLc</t>
  </si>
  <si>
    <t>DESIANA RARA HOLI</t>
  </si>
  <si>
    <t>https://drive.google.com/open?id=1ZAI7d-ORhW4Tp_uwy0QUhSmHNxyPoy2O</t>
  </si>
  <si>
    <t>LELY MARLINA</t>
  </si>
  <si>
    <t>081338194482</t>
  </si>
  <si>
    <t>https://drive.google.com/open?id=1UsvJfZLg-7xuSkewHfPdr3diWbMVz6Sb</t>
  </si>
  <si>
    <t>Siswanto</t>
  </si>
  <si>
    <t>085165020962</t>
  </si>
  <si>
    <t>https://drive.google.com/open?id=11dGoIBHV8A2PfV1qawE526PlJoz0sxoc</t>
  </si>
  <si>
    <t>Sri mariati</t>
  </si>
  <si>
    <t>085165020963</t>
  </si>
  <si>
    <t>https://drive.google.com/open?id=1QK1PjK2DqDoqOqNu_ECFB4uThDr1Wcvl</t>
  </si>
  <si>
    <t>Yosefina raba bili</t>
  </si>
  <si>
    <t>081246973534</t>
  </si>
  <si>
    <t>https://drive.google.com/open?id=1IRXCWtyQQLyhtrppK--bft8UwxXEJTLF</t>
  </si>
  <si>
    <t>Kristin Daepanie</t>
  </si>
  <si>
    <t>085138828152</t>
  </si>
  <si>
    <t>https://drive.google.com/open?id=1RQ7Kp6Y_1AxNPAEqs29hZPd9bsDTNUwd</t>
  </si>
  <si>
    <t>NURHAYATI ABBAS</t>
  </si>
  <si>
    <t>085336073773</t>
  </si>
  <si>
    <t>https://drive.google.com/open?id=1dceinvI1n0yH4QOq0Iq0qBot0ltzPImM</t>
  </si>
  <si>
    <t>EVA RAMBU LEKI</t>
  </si>
  <si>
    <t>082298110501</t>
  </si>
  <si>
    <t>https://drive.google.com/open?id=1QJxq9FAS6GE8bYMacmFoDtr7LXfV_X51</t>
  </si>
  <si>
    <t>ERNIATI MANGA SUDI</t>
  </si>
  <si>
    <t>081246309076</t>
  </si>
  <si>
    <t>https://drive.google.com/open?id=16ppyF8TUZ1vYJbb484URBfD5R1m5JPCy</t>
  </si>
  <si>
    <t>MARSEL LEIHU HABBA</t>
  </si>
  <si>
    <t>081236171060</t>
  </si>
  <si>
    <t>PETERNAK</t>
  </si>
  <si>
    <t>https://drive.google.com/open?id=1RGtQJhGxXjnmZc2EwwyR1pbVY56I06Lg</t>
  </si>
  <si>
    <t>Rasya Manafe</t>
  </si>
  <si>
    <t>085182696179</t>
  </si>
  <si>
    <t>https://drive.google.com/open?id=1P42pqevf_ybeV4EakIq5ToWL9UBSQMIz</t>
  </si>
  <si>
    <t>Benediktus Laga</t>
  </si>
  <si>
    <t>https://drive.google.com/open?id=1kmzdRoxgQwS5tE1eFFLsAnXDLevhZ7p8</t>
  </si>
  <si>
    <t>Rosalia Rou Puga</t>
  </si>
  <si>
    <t>081232565787</t>
  </si>
  <si>
    <t>https://drive.google.com/open?id=1F9pVtR98Wyr08XWO2QiSwDhHgrDBa9VM</t>
  </si>
  <si>
    <t>AGUS DAIRO</t>
  </si>
  <si>
    <t>081236737051</t>
  </si>
  <si>
    <t>https://drive.google.com/open?id=1vAdtD16n2zhV3PveqUzlEbrz2KyspQEh</t>
  </si>
  <si>
    <t>Melkihor Suri</t>
  </si>
  <si>
    <t>087829453882</t>
  </si>
  <si>
    <t>https://drive.google.com/open?id=1NEvSkwglisobXQPKqQMzLMc6gAUr6l2m</t>
  </si>
  <si>
    <t>Imanuel hadju wele</t>
  </si>
  <si>
    <t>082146489226</t>
  </si>
  <si>
    <t>https://drive.google.com/open?id=1viOdo4zcjG8HvfIGZdQJz9WdgUD4ucOt</t>
  </si>
  <si>
    <t>Melda Merianto Atto</t>
  </si>
  <si>
    <t>081525141412</t>
  </si>
  <si>
    <t>https://drive.google.com/open?id=1Gei1ELrRea6NaEnPZ_ozlgW0CK4T8RDw</t>
  </si>
  <si>
    <t>James dar klau</t>
  </si>
  <si>
    <t>082147467442</t>
  </si>
  <si>
    <t>https://drive.google.com/open?id=1KnaLntabTtUEzvsaUsx3omD4XbUOL_cF</t>
  </si>
  <si>
    <t>Johanna magdalena ngefak</t>
  </si>
  <si>
    <t>https://drive.google.com/open?id=1QFzt1gZ1GzQIJuaNr2iz1oiAF_BlkXwj, https://drive.google.com/open?id=1ABjg_uRPypgL6QqoMaJCYg9dJ9hAYKnw</t>
  </si>
  <si>
    <t>Trianti desy billy tana</t>
  </si>
  <si>
    <t>082147499313</t>
  </si>
  <si>
    <t>https://drive.google.com/open?id=14wwyeXb9jXOFZa4kS7Vxft7Wb39SY6_T</t>
  </si>
  <si>
    <t>Ivan Melkior Tuaf</t>
  </si>
  <si>
    <t>082213324927</t>
  </si>
  <si>
    <t>https://drive.google.com/open?id=1FT0gWITMWH2kkmmIxpPGh_6bjPOikLUv</t>
  </si>
  <si>
    <t>Denny Daniel Oktavianus Tiran</t>
  </si>
  <si>
    <t>081339095909</t>
  </si>
  <si>
    <t>https://drive.google.com/open?id=1d2meeaY5rim-Di-Tj-_n6K0SHkqJRvoH</t>
  </si>
  <si>
    <t>Frengki Kebkole</t>
  </si>
  <si>
    <t>081246288397</t>
  </si>
  <si>
    <t>https://drive.google.com/open?id=1wYd9zPgMAw0KO2WabCb81qxvEfU9EOMT</t>
  </si>
  <si>
    <t>Kristovel Haris Kaleb</t>
  </si>
  <si>
    <t>082147308867</t>
  </si>
  <si>
    <t>https://drive.google.com/open?id=1PiPTu3_Y4FIU5G2akesQuN1-nLrzMALF</t>
  </si>
  <si>
    <t>Domu maramba tana</t>
  </si>
  <si>
    <t>082147156949</t>
  </si>
  <si>
    <t>https://drive.google.com/open?id=16yVd1uwQJKvgNssZeq50gJnKBIhmVuxQ</t>
  </si>
  <si>
    <t>Nofis epeles tusi</t>
  </si>
  <si>
    <t>089529758476</t>
  </si>
  <si>
    <t>https://drive.google.com/open?id=1SzYA2o1YNlA3wZ5K3BfGwTf9ghsZ9uIq</t>
  </si>
  <si>
    <t>Alexander seo misa</t>
  </si>
  <si>
    <t>https://drive.google.com/open?id=1OV7Qyw_3EjRbjhLocYnk1gkGMcxoAvCU</t>
  </si>
  <si>
    <t>Aprilianus bria atok</t>
  </si>
  <si>
    <t>https://drive.google.com/open?id=1TLIsU98U2U_u85HQ-l46MS6unKBmhtn4</t>
  </si>
  <si>
    <t>Selvi anita nokas</t>
  </si>
  <si>
    <t>082311224876</t>
  </si>
  <si>
    <t>https://drive.google.com/open?id=1_2afX_9pGTSaFiKj2ZuZ9g3kTnCOuycW</t>
  </si>
  <si>
    <t>Kiki riskiyanti ananda</t>
  </si>
  <si>
    <t>082144750804</t>
  </si>
  <si>
    <t>https://drive.google.com/open?id=15EM8jHb2GR0VHXdK0R6LVX7e2UssxFjs</t>
  </si>
  <si>
    <t>Inosensius mone liti</t>
  </si>
  <si>
    <t>085349681807</t>
  </si>
  <si>
    <t>https://drive.google.com/open?id=1criXrSvInFGLsxpXT3vzLG4qO-Od2-ET</t>
  </si>
  <si>
    <t>Dama moma</t>
  </si>
  <si>
    <t>https://drive.google.com/open?id=1_3oh80ZuF9Hp7WiDY_d2ISjfMKrFI3jA</t>
  </si>
  <si>
    <t>Marce rispa tasoin</t>
  </si>
  <si>
    <t>081353951347</t>
  </si>
  <si>
    <t>https://drive.google.com/open?id=1ijB4s3sS1ePe-dGLhENNhDN9ISPrO4Tf</t>
  </si>
  <si>
    <t>DELMINCE BULU</t>
  </si>
  <si>
    <t>082266127193</t>
  </si>
  <si>
    <t>https://drive.google.com/open?id=1oyhCBxiLfAwDBGn_NMZtcwijTRtVJ09T</t>
  </si>
  <si>
    <t>Ida kahi timba</t>
  </si>
  <si>
    <t>081246258784</t>
  </si>
  <si>
    <t>https://drive.google.com/open?id=1YXAzeBnIY2e2xenliztCVQRHoe9t6lF6</t>
  </si>
  <si>
    <t>Frida Ndun</t>
  </si>
  <si>
    <t>085253870580</t>
  </si>
  <si>
    <t>https://drive.google.com/open?id=1nRkNS7fUvHtxuyCbV0MjTqbZEc1TiTxd</t>
  </si>
  <si>
    <t>Asri Karwayu</t>
  </si>
  <si>
    <t>085333421779</t>
  </si>
  <si>
    <t>https://drive.google.com/open?id=1dkUsnQZ2ZLLzHEgxUffGHqa36T4KzhRt</t>
  </si>
  <si>
    <t>Legia Talo Goro</t>
  </si>
  <si>
    <t>081256747972</t>
  </si>
  <si>
    <t>https://drive.google.com/open?id=1LM-TlLthiBbnKqYzzy32F3Gq2qT07Dta</t>
  </si>
  <si>
    <t>Wisna Alpia Roza</t>
  </si>
  <si>
    <t>085857827048</t>
  </si>
  <si>
    <t>punya usaha salon</t>
  </si>
  <si>
    <t>https://drive.google.com/open?id=1XLYeCaEY9ZKt1KBNfRS1Fc6-bkvPshht</t>
  </si>
  <si>
    <t xml:space="preserve">Dorce mnune </t>
  </si>
  <si>
    <t>082136848908</t>
  </si>
  <si>
    <t>https://drive.google.com/open?id=1Ix_0CrG8pCXmd64yP2qagSnBjl6RK4AK</t>
  </si>
  <si>
    <t>Anisia tael</t>
  </si>
  <si>
    <t>085237863980</t>
  </si>
  <si>
    <t>https://drive.google.com/open?id=1ft7SMKqkOeTeeJVZrA45mWrCu42mGiH9</t>
  </si>
  <si>
    <t>Soleman gheru jama nuna</t>
  </si>
  <si>
    <t>082312687766</t>
  </si>
  <si>
    <t>https://drive.google.com/open?id=1plqy9LjAfA1ZkGxzU8VDNU9xJ7ae1njJ</t>
  </si>
  <si>
    <t>Fauziah Ishaq</t>
  </si>
  <si>
    <t>085857754225</t>
  </si>
  <si>
    <t>https://drive.google.com/open?id=1C314lH7PObgTtq8a7TS-LtCAosHC2TcB</t>
  </si>
  <si>
    <t>Kris yefta kase</t>
  </si>
  <si>
    <t>https://drive.google.com/open?id=1chJE2y3dF1zYEHPqkryZyorGjuX9s_sQ</t>
  </si>
  <si>
    <t>Aningrayana rengulay</t>
  </si>
  <si>
    <t>081337789928</t>
  </si>
  <si>
    <t>https://drive.google.com/open?id=15sUO642O7tgR-jcZVV7V4rYnTCHOMlJt</t>
  </si>
  <si>
    <t>SURIATI M. BAHRUN</t>
  </si>
  <si>
    <t>081236740769</t>
  </si>
  <si>
    <t>PEGAWAI SWASTA</t>
  </si>
  <si>
    <t>https://drive.google.com/open?id=1C9cNO7leqGyLMD6nXQFcQY1yJSIWL-ql</t>
  </si>
  <si>
    <t>ANNA RAHMATIA JUFRI</t>
  </si>
  <si>
    <t>Damianus Bouk Tae</t>
  </si>
  <si>
    <t>085253181130</t>
  </si>
  <si>
    <t>https://drive.google.com/open?id=15yZxAS9N0pBA2CovypuTgGokwesyfg43</t>
  </si>
  <si>
    <t>Ernatrudis ratrigis</t>
  </si>
  <si>
    <t>081337633945</t>
  </si>
  <si>
    <t>https://drive.google.com/open?id=1dNBl9i6cOk2l7xT9SAwyksl5dxIuoLKK</t>
  </si>
  <si>
    <t>Theresia binsasi</t>
  </si>
  <si>
    <t>082147762470</t>
  </si>
  <si>
    <t>https://drive.google.com/open?id=1ccdsw2yUeePaClcOKIJP0Xx4yApZyenm</t>
  </si>
  <si>
    <t>RETNA YUMARNI SELAN</t>
  </si>
  <si>
    <t>087756167034</t>
  </si>
  <si>
    <t>https://drive.google.com/open?id=16poOt6xYxF9MvIfyJcFLxpE0EfxIQVkI</t>
  </si>
  <si>
    <t>Maria fridolina kofi</t>
  </si>
  <si>
    <t>081339004853</t>
  </si>
  <si>
    <t>https://drive.google.com/open?id=1CqBHtWZUL5kbTp0AOku2r94NP2EsjbHV</t>
  </si>
  <si>
    <t>Roswita natalia gaina</t>
  </si>
  <si>
    <t>081250059243</t>
  </si>
  <si>
    <t>https://drive.google.com/open?id=15DLr9TLHwy2kJ1RapGZeIbvBEWk7ySa9</t>
  </si>
  <si>
    <t>Yohanes manna</t>
  </si>
  <si>
    <t>082142488564</t>
  </si>
  <si>
    <t>https://drive.google.com/open?id=1AXgPFglO3DnpL9PChhwBAljr6pINKOhJ</t>
  </si>
  <si>
    <t>Rosalinda saluat</t>
  </si>
  <si>
    <t>081236298818</t>
  </si>
  <si>
    <t>https://drive.google.com/open?id=1u8JgNenw91RA9WwLlAHdaRafD0dZOHN5</t>
  </si>
  <si>
    <t>Yupiter tahun</t>
  </si>
  <si>
    <t>082266403341</t>
  </si>
  <si>
    <t>Perna kredit bank</t>
  </si>
  <si>
    <t>https://drive.google.com/open?id=1yKOhh0P982UJqp0jhcDMqjAMNZyvF5ct</t>
  </si>
  <si>
    <t>Uni kaci nitbani</t>
  </si>
  <si>
    <t>0822271273332</t>
  </si>
  <si>
    <t>https://drive.google.com/open?id=10zNWlKjrgwj3pwFZkZme3DVk16a9tphP</t>
  </si>
  <si>
    <t>YETTY MARSELINA NITBANI</t>
  </si>
  <si>
    <t>087812105520</t>
  </si>
  <si>
    <t>https://drive.google.com/open?id=1e5IFE5mQ9cuiFfM6SRQGDAAAo3dhw3j8</t>
  </si>
  <si>
    <t>Arnoldus Y. Bau</t>
  </si>
  <si>
    <t>082189278076</t>
  </si>
  <si>
    <t>https://drive.google.com/open?id=1Q4XP3Xagt5psG2JTYryel1RAroZbp296</t>
  </si>
  <si>
    <t>Oktafiana aryanti leki</t>
  </si>
  <si>
    <t>081246387275</t>
  </si>
  <si>
    <t>https://drive.google.com/open?id=1D9h-Bb_05vzs1dD-wdPH-sQ3XKZzlCbo</t>
  </si>
  <si>
    <t>YUNGLES UMBU OLLY YANJER NDAPPA</t>
  </si>
  <si>
    <t>081337200912</t>
  </si>
  <si>
    <t>https://drive.google.com/open?id=1flx9h4v2FKSYipvGslOmMXUBelge2fhr</t>
  </si>
  <si>
    <t>Edmundus meko da cunha</t>
  </si>
  <si>
    <t>082266390940</t>
  </si>
  <si>
    <t>https://drive.google.com/open?id=1LJDHZoMarwOK1EC7DDvalrjyCrhxXp7l</t>
  </si>
  <si>
    <t>Dikson boimau</t>
  </si>
  <si>
    <t>081217054688</t>
  </si>
  <si>
    <t>https://drive.google.com/open?id=1d4NonyaPWNfOc7T5TDLki_i6E-PO4BPY</t>
  </si>
  <si>
    <t>Yunus tanggu</t>
  </si>
  <si>
    <t>081237029281</t>
  </si>
  <si>
    <t>https://drive.google.com/open?id=1jdbqxZU9v_fwB604mMkrqjmWSBGf6-ZZ</t>
  </si>
  <si>
    <t>lazarus kolloh</t>
  </si>
  <si>
    <t>https://drive.google.com/open?id=1tBl_z4Q4w3WRKAGwpDZGkVTktxB4S_T3</t>
  </si>
  <si>
    <t>Regina Rendi lota</t>
  </si>
  <si>
    <t>082144714119</t>
  </si>
  <si>
    <t>https://drive.google.com/open?id=12oo9AKjOzwVMUOwwuaW87E9B6VoGn1ud</t>
  </si>
  <si>
    <t>MARIA IRENE TAP</t>
  </si>
  <si>
    <t>082138890616</t>
  </si>
  <si>
    <t>https://drive.google.com/open?id=1-F2avHtBpGGzz5v8pCgdIRU8FOgSs0bO</t>
  </si>
  <si>
    <t>Adriana banunaek</t>
  </si>
  <si>
    <t>082144231569</t>
  </si>
  <si>
    <t>https://drive.google.com/open?id=10LyHMLBuxSCEe1zeNyQKZ0wHdRV9xs4B</t>
  </si>
  <si>
    <t>Antonio thomas guterres</t>
  </si>
  <si>
    <t>085282217911</t>
  </si>
  <si>
    <t>https://drive.google.com/open?id=1TdGyBosnMHdQQnp8sYDu4jBHo3pg6YTH</t>
  </si>
  <si>
    <t>Selfiana lodia crisita ninef</t>
  </si>
  <si>
    <t>082297680216</t>
  </si>
  <si>
    <t>https://drive.google.com/open?id=1oNCNr6ULdemHulmD7bcvnd1KpZ6iDVuK</t>
  </si>
  <si>
    <t>Vicky meldandri williamson tuka</t>
  </si>
  <si>
    <t>081337529615</t>
  </si>
  <si>
    <t>https://drive.google.com/open?id=1FYreCKeackcJN7TSHS-6XSG3gM59YU3u</t>
  </si>
  <si>
    <t>Rambu endah</t>
  </si>
  <si>
    <t>085137381365</t>
  </si>
  <si>
    <t>https://drive.google.com/open?id=1dYVCK6NXZSiS_A3JwJOssAMPQJJV-Q-X</t>
  </si>
  <si>
    <t>Orpa tabelak</t>
  </si>
  <si>
    <t>087784668641</t>
  </si>
  <si>
    <t>https://drive.google.com/open?id=1iN9YsStG5vJPGE_RGWWn7NLJ-kSLGrR_</t>
  </si>
  <si>
    <t xml:space="preserve">Evanka lubalu </t>
  </si>
  <si>
    <t>087762677645</t>
  </si>
  <si>
    <t>https://drive.google.com/open?id=1KiYHMC32ompMJHZB4DirYRvTX5IPU5f2</t>
  </si>
  <si>
    <t>Antonius naifeka</t>
  </si>
  <si>
    <t>081238101091</t>
  </si>
  <si>
    <t>https://drive.google.com/open?id=19aJeZQctC58jNelNZWJxZnacoCqhR2ww</t>
  </si>
  <si>
    <t>hendrikus uba</t>
  </si>
  <si>
    <t>081237764878</t>
  </si>
  <si>
    <t>https://drive.google.com/open?id=11nDui2w7998TmA2jWlEGZ5jrTW4JBorj</t>
  </si>
  <si>
    <t>081238857279</t>
  </si>
  <si>
    <t>https://drive.google.com/open?id=1oYuDxno7QW2nz-N-0lfYK4ZrEF1NKG2t</t>
  </si>
  <si>
    <t>Adriana welmi nirma tefa</t>
  </si>
  <si>
    <t>082144492135</t>
  </si>
  <si>
    <t>https://drive.google.com/open?id=1d9q1ww-towMaktQ4x7EY3-sDt0017qkv</t>
  </si>
  <si>
    <t>Ricky Rismansyah</t>
  </si>
  <si>
    <t>081237210317</t>
  </si>
  <si>
    <t>https://drive.google.com/open?id=1PiSKJtgLbmiScxsebO8OG_4YA7dOGoAF</t>
  </si>
  <si>
    <t>Yumince messakh</t>
  </si>
  <si>
    <t>https://drive.google.com/open?id=1eqRiemJwrQ_VCqDyizE_TVcfVulBnsXb</t>
  </si>
  <si>
    <t>Onesimus mangngi leba</t>
  </si>
  <si>
    <t>082227262731</t>
  </si>
  <si>
    <t>https://drive.google.com/open?id=1mOgJ68QL3Evbu3gRdwWQqnrCQquY9Pda</t>
  </si>
  <si>
    <t>DESMOND LEO PUTRA LOBO WIE</t>
  </si>
  <si>
    <t>Rental oto</t>
  </si>
  <si>
    <t>https://drive.google.com/open?id=1vKj1fK6m91R2bU-V9xrvYkoKClFLKVlY</t>
  </si>
  <si>
    <t>Demitrianus atanus</t>
  </si>
  <si>
    <t>https://drive.google.com/open?id=1h4WM2s8bKYJ639CAP4VVBHfAe6jJ3oFo</t>
  </si>
  <si>
    <t>Petronela Abi</t>
  </si>
  <si>
    <t xml:space="preserve">Kios Sembako dan Ternak Ayam Petelur </t>
  </si>
  <si>
    <t>https://drive.google.com/open?id=18LUilDscMsuqgFLZLiPZxz0nDbyo6vD0</t>
  </si>
  <si>
    <t>Jayanti Marianti Dere</t>
  </si>
  <si>
    <t>082297934678</t>
  </si>
  <si>
    <t>PENDETA</t>
  </si>
  <si>
    <t>https://drive.google.com/open?id=1IxZ5HUP29W0McsQ0UsNtHVtCGhaQJOao</t>
  </si>
  <si>
    <t xml:space="preserve">Folkes koanak sinlae </t>
  </si>
  <si>
    <t>081237406119</t>
  </si>
  <si>
    <t>https://drive.google.com/open?id=1ame_-3xVlYcLTzRfxmOSoZ4Ea2w9WLR-</t>
  </si>
  <si>
    <t>YULIANA KELA BEKU</t>
  </si>
  <si>
    <t>085338278814</t>
  </si>
  <si>
    <t>https://drive.google.com/open?id=1wpRyQ9uqoNa0KTppCuTcZkQcIrzcB2ca</t>
  </si>
  <si>
    <t>Afliana marsalina sanam</t>
  </si>
  <si>
    <t>082327885762</t>
  </si>
  <si>
    <t>https://drive.google.com/open?id=1fg6OnyMVYJdMGgJfmQr_B5-TDaO_wY9j</t>
  </si>
  <si>
    <t>Falentina Maria Ninu</t>
  </si>
  <si>
    <t>https://drive.google.com/open?id=1roXrtK0qUgsOBAgG2Oi6v2t3teajNPqA</t>
  </si>
  <si>
    <t>Sindylusi N. A. Paendon</t>
  </si>
  <si>
    <t>081239118664</t>
  </si>
  <si>
    <t>https://drive.google.com/open?id=1zJALNSnvp6v-jBTpfTvn_ftBotuMkLxF</t>
  </si>
  <si>
    <t>Yohanes bano</t>
  </si>
  <si>
    <t>082144310629</t>
  </si>
  <si>
    <t>https://drive.google.com/open?id=1Z6s-wJFy6cnOOh1UoMPOmGZvjZREwSo3</t>
  </si>
  <si>
    <t>Nahor rassi</t>
  </si>
  <si>
    <t>085338054569</t>
  </si>
  <si>
    <t>https://drive.google.com/open?id=1PT8UGU5mcwZTtK1RR20Qt6po_HjFsbxF</t>
  </si>
  <si>
    <t>Mardiah aklis</t>
  </si>
  <si>
    <t>085333094586</t>
  </si>
  <si>
    <t>https://drive.google.com/open?id=1n7VhncNa8dpLvogTb2Re902r3kyBa15F</t>
  </si>
  <si>
    <t>Lukas raga lawa</t>
  </si>
  <si>
    <t>081337337209</t>
  </si>
  <si>
    <t>https://drive.google.com/open?id=1ZAOwxpn5h3MOXazhBQxFy6GckGXSM2tz</t>
  </si>
  <si>
    <t>SISILIA FLORIDA TIMO</t>
  </si>
  <si>
    <t>082349876450</t>
  </si>
  <si>
    <t>https://drive.google.com/open?id=1JbjNbCPbctSRW7T62PPO0NSCokywBT86</t>
  </si>
  <si>
    <t>Andreas Neka Lelung</t>
  </si>
  <si>
    <t>081237267965</t>
  </si>
  <si>
    <t>https://drive.google.com/open?id=1B1fCleJCsW1ojn2BuFt2cGU_uvaRwRLC</t>
  </si>
  <si>
    <t>Ronaldo Kanisius faot</t>
  </si>
  <si>
    <t>081949082391</t>
  </si>
  <si>
    <t>https://drive.google.com/open?id=13A-BdyHhpDyy3He4mOjYX7aElie_FLna</t>
  </si>
  <si>
    <t xml:space="preserve">Philipus Tael </t>
  </si>
  <si>
    <t>https://drive.google.com/open?id=1nnrsW7Xwm4p2KaHfQZzOrrNxlRYUzs3t</t>
  </si>
  <si>
    <t>Stefanus seingo bulu</t>
  </si>
  <si>
    <t>082322849987</t>
  </si>
  <si>
    <t>https://drive.google.com/open?id=1oD-535gt8j7lcgdEmxmd3W86TMXXxgb2</t>
  </si>
  <si>
    <t>LODOWYK YUPITER ELVIS DUIL</t>
  </si>
  <si>
    <t>https://drive.google.com/open?id=1hSwczX33NDih6BX6OC2vtxtcz8oHjV_2</t>
  </si>
  <si>
    <t>MELIANUS LANMAY</t>
  </si>
  <si>
    <t>082342294837</t>
  </si>
  <si>
    <t>https://drive.google.com/open?id=17YCmqV_8aEsIdBbD5lM1XsfO_-j1K8_1</t>
  </si>
  <si>
    <t>Yudistira</t>
  </si>
  <si>
    <t>https://drive.google.com/open?id=1NmcVezhMplvOE_u2SG2dcFm0GL9BNM7f</t>
  </si>
  <si>
    <t>Yoseph neno</t>
  </si>
  <si>
    <t>085339672335</t>
  </si>
  <si>
    <t>https://drive.google.com/open?id=1uU7ek0aoFXcjvRBY812Y-WU77MUPBgP1</t>
  </si>
  <si>
    <t>Venilia selviana abuk lau</t>
  </si>
  <si>
    <t>085134420700</t>
  </si>
  <si>
    <t>https://drive.google.com/open?id=1aeCccKyROF4lpXHd476y1mwUiHYUmG1P</t>
  </si>
  <si>
    <t>Maria winno kaka</t>
  </si>
  <si>
    <t>085184519307</t>
  </si>
  <si>
    <t>https://drive.google.com/open?id=1feZsRBrqFAbBUU2dgmO7LBv5yeD5Ibxp</t>
  </si>
  <si>
    <t>081977619664</t>
  </si>
  <si>
    <t>https://drive.google.com/open?id=1ljV1D0Moeph2kEHg0Ckznr3hIcUCkSI6</t>
  </si>
  <si>
    <t>Sesylia modok nifu</t>
  </si>
  <si>
    <t>082312146452</t>
  </si>
  <si>
    <t>https://drive.google.com/open?id=1xO-0wo60ki5T9fJh8Uj5EhAot-3Juq1f</t>
  </si>
  <si>
    <t>Lidia bili sh</t>
  </si>
  <si>
    <t>081246493131</t>
  </si>
  <si>
    <t>https://drive.google.com/open?id=1aOeWjrJlD0M6vDz55zQf9L_F7Qifa1-p</t>
  </si>
  <si>
    <t>HELMIANA PALUS</t>
  </si>
  <si>
    <t>081337530940</t>
  </si>
  <si>
    <t>https://drive.google.com/open?id=12s1GxhBS9ZpQ6Aj0Q8lC0Z52i8UcPY45</t>
  </si>
  <si>
    <t>Heribertua riano</t>
  </si>
  <si>
    <t>https://drive.google.com/open?id=1wqq4v_hk32lt1EZdC5VqiOTSZPVKO5qo</t>
  </si>
  <si>
    <t>Grecela magdalena edu kiuk</t>
  </si>
  <si>
    <t>0827765193770</t>
  </si>
  <si>
    <t>https://drive.google.com/open?id=1LmWQ6Zdw6vtoTkxaL_Wlm-6RZRAQyn3N</t>
  </si>
  <si>
    <t>MARIA FEBIANA KABA</t>
  </si>
  <si>
    <t>082765340874</t>
  </si>
  <si>
    <t>https://drive.google.com/open?id=1KpdHUBKB4Y81TelHgVtP0Gl8e0zZ01h_</t>
  </si>
  <si>
    <t>Soleman buningani</t>
  </si>
  <si>
    <t>081339440190</t>
  </si>
  <si>
    <t>https://drive.google.com/open?id=1BBoyNfCd6TDGkgMlBPSdnKQM_MOrZKaR</t>
  </si>
  <si>
    <t>Olyvia Mitha ivhoni ati</t>
  </si>
  <si>
    <t>081339777409128</t>
  </si>
  <si>
    <t>https://drive.google.com/open?id=1lpIkU1YNMW7UXKQ593hSMwm4syhcw9Va</t>
  </si>
  <si>
    <t>Imanuel oni mau</t>
  </si>
  <si>
    <t>082146012312</t>
  </si>
  <si>
    <t>https://drive.google.com/open?id=1OwYrN1PE9Wy91ms2hQbeUSLz5odWd_Y6</t>
  </si>
  <si>
    <t>Maria Aprivani Pingky</t>
  </si>
  <si>
    <t>082144135273</t>
  </si>
  <si>
    <t>https://drive.google.com/open?id=1Mq4iXNNQL4j2loZpXA8E1G2NcNhIoNWq</t>
  </si>
  <si>
    <t>Fransiskus</t>
  </si>
  <si>
    <t>081339786993</t>
  </si>
  <si>
    <t>https://drive.google.com/open?id=1A8a51uMuv6d1fqF9_G7uZXduIxla96tp</t>
  </si>
  <si>
    <t>085857541995</t>
  </si>
  <si>
    <t>https://drive.google.com/open?id=1xf3VGuSM5axFlmvClnH0vvsp_Hlug0Bq</t>
  </si>
  <si>
    <t>Obriantus Tino</t>
  </si>
  <si>
    <t>081246643856</t>
  </si>
  <si>
    <t>https://drive.google.com/open?id=17ThYqY5m1EeDQZnryR-R4vVNgUxlsdUf</t>
  </si>
  <si>
    <t>Aprianus Ana Matalu</t>
  </si>
  <si>
    <t>082341844318</t>
  </si>
  <si>
    <t>https://drive.google.com/open?id=1tSInEsiGFPRTza9FvM-rlx_evfOSubVj</t>
  </si>
  <si>
    <t>FEBY YAKU DANGA</t>
  </si>
  <si>
    <t>085142992436</t>
  </si>
  <si>
    <t>https://drive.google.com/open?id=1vyKEPas_SCuf85UwP7p1qEommCIXTOj3</t>
  </si>
  <si>
    <t>Daniel nini nija</t>
  </si>
  <si>
    <t>https://drive.google.com/open?id=1TtbHDZgQqbGNdD9a0tNtTCR8dmyrS3OX</t>
  </si>
  <si>
    <t>Maria aprivani pingky</t>
  </si>
  <si>
    <t>Baby Sister</t>
  </si>
  <si>
    <t>https://drive.google.com/open?id=1mANxRWXwUUu-WNUx3fxNIlsvqo3IMhVe</t>
  </si>
  <si>
    <t>Agustinus nubatonis</t>
  </si>
  <si>
    <t>081238100569</t>
  </si>
  <si>
    <t>https://drive.google.com/open?id=15sX9owENWJ8ZZ40oRW_SOwdMYxYNoCG5</t>
  </si>
  <si>
    <t>Magdalena sabaat</t>
  </si>
  <si>
    <t>085238600336</t>
  </si>
  <si>
    <t>https://drive.google.com/open?id=1NTXBpyUIE9QV487IHVUI9u5e2a5n5-n7</t>
  </si>
  <si>
    <t>Marlinda Uskono</t>
  </si>
  <si>
    <t>082146893730</t>
  </si>
  <si>
    <t>https://drive.google.com/open?id=1n38FtTKrjO5ERefEF0S5IlXdB1ewQwY0</t>
  </si>
  <si>
    <t>Novirius ebenhaiser tafuli</t>
  </si>
  <si>
    <t>082147290381</t>
  </si>
  <si>
    <t>https://drive.google.com/open?id=1J86f6ajkm6Pdua8eKWF8uncwws2_rpqE</t>
  </si>
  <si>
    <t>YOLANDA LOURU LERO</t>
  </si>
  <si>
    <t>082298875180</t>
  </si>
  <si>
    <t>https://drive.google.com/open?id=1knxzh1zgCmnk9XCBs6j2ywDpHWvU4Yjl</t>
  </si>
  <si>
    <t>SUSANA YETI PRATIWI TAMEON</t>
  </si>
  <si>
    <t>081337128778</t>
  </si>
  <si>
    <t>https://drive.google.com/open?id=14VvkJxLo51OicT-a0Q7nUqYaj5fha6v6</t>
  </si>
  <si>
    <t>MUHAMAD RIZKIA RAHMAN</t>
  </si>
  <si>
    <t>08123456789</t>
  </si>
  <si>
    <t>https://drive.google.com/open?id=1ZA7clgOeXuf2LmINcliH3or7OUAtiTtB</t>
  </si>
  <si>
    <t>Devis Artur Lorenso Adu</t>
  </si>
  <si>
    <t>082247562811</t>
  </si>
  <si>
    <t>https://drive.google.com/open?id=1ZphAF0rZHD_cQzX4PJXL17IBWCesU1tG</t>
  </si>
  <si>
    <t xml:space="preserve"> Carolina adolfina huteas</t>
  </si>
  <si>
    <t>082235480049</t>
  </si>
  <si>
    <t>https://drive.google.com/open?id=1-OW4ZhYm9_TtaNvfoRhEZcFIRxzuw5d-</t>
  </si>
  <si>
    <t>Gregorius Lan</t>
  </si>
  <si>
    <t>081348234554</t>
  </si>
  <si>
    <t>https://drive.google.com/open?id=1eAe63s90emhmK_RnDS0cdcbBO7HiW1R9</t>
  </si>
  <si>
    <t>Yonasius banao</t>
  </si>
  <si>
    <t>081337890123</t>
  </si>
  <si>
    <t>https://drive.google.com/open?id=1sAvbKOZxlzJdpN7Zcr4xsHEAqhPydBuU</t>
  </si>
  <si>
    <t>Ayu rahmawati</t>
  </si>
  <si>
    <t>082221592011</t>
  </si>
  <si>
    <t>https://drive.google.com/open?id=1H8xBOM3lmgHmCb1gj3ys_kLerirzt28L</t>
  </si>
  <si>
    <t>MARIANA LALI TEWO</t>
  </si>
  <si>
    <t>081337579743</t>
  </si>
  <si>
    <t>https://drive.google.com/open?id=1Wog4DB5W9Y80hEXbh9EHHunZk0yHSaee</t>
  </si>
  <si>
    <t>Tati Aprilia</t>
  </si>
  <si>
    <t>082146229942</t>
  </si>
  <si>
    <t>https://drive.google.com/open?id=1TQ8CdYVxhWsFBjT8mMDn9TXJWWwIdA8Z</t>
  </si>
  <si>
    <t>Faisal Tamolung</t>
  </si>
  <si>
    <t>081236449168</t>
  </si>
  <si>
    <t>https://drive.google.com/open?id=1hnkyip3wlevHZIsNWIklEPAxmVJttRTw</t>
  </si>
  <si>
    <t>Yasintus Obe, S.Pd</t>
  </si>
  <si>
    <t>081318895700</t>
  </si>
  <si>
    <t>Guru SDK Inbate</t>
  </si>
  <si>
    <t>https://drive.google.com/open?id=1evbYh1cItSKVrPfy6vx9CHP_58jrHZDz</t>
  </si>
  <si>
    <t>Agustina rinaldi pedor</t>
  </si>
  <si>
    <t>081246006005</t>
  </si>
  <si>
    <t>https://drive.google.com/open?id=1Gw8Vmt_nBlEUZe8DE0d9fzfPuR_SgB7t</t>
  </si>
  <si>
    <t>Petrus Nggau Behar</t>
  </si>
  <si>
    <t>085138918668</t>
  </si>
  <si>
    <t>https://drive.google.com/open?id=1aJxYC9Y9fO3zxPkMp-K6kSREMJGQXzS5</t>
  </si>
  <si>
    <t>Maria Angreni dede</t>
  </si>
  <si>
    <t>087848360955</t>
  </si>
  <si>
    <t>https://drive.google.com/open?id=1Tl7z9dbnkZkHXWavN8QrAHP_2cFTlH7K</t>
  </si>
  <si>
    <t>Odo kakkar kondi</t>
  </si>
  <si>
    <t>081239381922</t>
  </si>
  <si>
    <t>https://drive.google.com/open?id=1fz7t--5_HytG0tSCPfVAIcG5ZFeIRYkR</t>
  </si>
  <si>
    <t>YOSUA UMBU LAGA BARUNO</t>
  </si>
  <si>
    <t>081246071863</t>
  </si>
  <si>
    <t>https://drive.google.com/open?id=1pf1iLOv91e02_xsIX4FOUoEq5OSbWuic</t>
  </si>
  <si>
    <t>YASINTA HOAR</t>
  </si>
  <si>
    <t>085128673980</t>
  </si>
  <si>
    <t>https://drive.google.com/open?id=1nxGx9UqxhvdbhKTp9q2ZHdlchX5dpnLB</t>
  </si>
  <si>
    <t>Umbu kondi</t>
  </si>
  <si>
    <t>085355833160</t>
  </si>
  <si>
    <t>https://drive.google.com/open?id=1Nl8QHeMu7izXZG_tdcUtOu6J7Q1M-bEU</t>
  </si>
  <si>
    <t>SOLEMAN TUGU BANI</t>
  </si>
  <si>
    <t>082152009961</t>
  </si>
  <si>
    <t>https://drive.google.com/open?id=1l72U0Wi8ydO_tSvBqXsu51DLoiYEE1XG</t>
  </si>
  <si>
    <t>Bernardus bulu nani</t>
  </si>
  <si>
    <t>0895393739046</t>
  </si>
  <si>
    <t>https://drive.google.com/open?id=1-QAHz3T7Ke43AvHjY721oQsjcR4jdnR4</t>
  </si>
  <si>
    <t>Yanti rosita suy</t>
  </si>
  <si>
    <t>085739224703</t>
  </si>
  <si>
    <t>https://drive.google.com/open?id=1VfKi1c5U-6RZJH10goBUr5HP8Ao63ZoH</t>
  </si>
  <si>
    <t>ELEND TLONAIN</t>
  </si>
  <si>
    <t>0821606721167</t>
  </si>
  <si>
    <t>https://drive.google.com/open?id=17KRzOlre1IWtZqQAZMipQyXlfwN-Em9N</t>
  </si>
  <si>
    <t>Felisitas w malo</t>
  </si>
  <si>
    <t>081353860548</t>
  </si>
  <si>
    <t>https://drive.google.com/open?id=14RfWwdDcAuyph9yCFaTVSCzmCjTXlWFV</t>
  </si>
  <si>
    <t>Orance rut Tefa</t>
  </si>
  <si>
    <t>087898542100</t>
  </si>
  <si>
    <t>https://drive.google.com/open?id=1SKcywUoH2u34kROIBGZarLD-yT6Um_kk</t>
  </si>
  <si>
    <t>Fransiska beatrix nila</t>
  </si>
  <si>
    <t>085278966900</t>
  </si>
  <si>
    <t>https://drive.google.com/open?id=1Cbaa1qdAbtLUeBLiCW3VkarbfGvLWXuE</t>
  </si>
  <si>
    <t>Johni foord polly</t>
  </si>
  <si>
    <t>081253369188</t>
  </si>
  <si>
    <t>https://drive.google.com/open?id=1BBOWj6gofWTvik8ALr7RY6tF9Psc97I8</t>
  </si>
  <si>
    <t>Edwin gabrielapi gadi</t>
  </si>
  <si>
    <t>082237853232</t>
  </si>
  <si>
    <t>https://drive.google.com/open?id=1sQUjgjXd79jPX-_50kPIOOeANVh09MvX</t>
  </si>
  <si>
    <t>Rikardus Dominggus wolo massi</t>
  </si>
  <si>
    <t>085119979671</t>
  </si>
  <si>
    <t>https://drive.google.com/open?id=1EGusJN1gL6EoxaShhK6bOi1vceJ5Linc</t>
  </si>
  <si>
    <t>YORNI LEBA</t>
  </si>
  <si>
    <t>085335306605</t>
  </si>
  <si>
    <t>https://drive.google.com/open?id=1kPmu2IitPSagvz9sQS9VL1yQ7JQndME-</t>
  </si>
  <si>
    <t>NOLDIANTO UMBU YAILU</t>
  </si>
  <si>
    <t>https://drive.google.com/open?id=1iiLXdyHGc-lqimf6Wi5M3-BCb5O3agc-</t>
  </si>
  <si>
    <t>YOHANES PEMANDI BUANG KOU</t>
  </si>
  <si>
    <t>082123290207</t>
  </si>
  <si>
    <t>https://drive.google.com/open?id=1eOezOUKYI9jFuspi3W6AyXdvRe69iWqD</t>
  </si>
  <si>
    <t>Dirk Braynd Coumans</t>
  </si>
  <si>
    <t>085143328609</t>
  </si>
  <si>
    <t>https://drive.google.com/open?id=1BXz8nIZkFnGgmdieJYAUZlszvP610UW8</t>
  </si>
  <si>
    <t>Anderias boimau</t>
  </si>
  <si>
    <t>0815273839929</t>
  </si>
  <si>
    <t>https://drive.google.com/open?id=1wMGMl3YvHiWlcq09_kJTsodVNL0Pz_9l</t>
  </si>
  <si>
    <t>JENI LEOFETO</t>
  </si>
  <si>
    <t>0875263738839</t>
  </si>
  <si>
    <t>https://drive.google.com/open?id=1vG6MjXL4NLzARyotmu49FlaubUMyq3P4</t>
  </si>
  <si>
    <t>MELKIANUS HAMBU NJURUMANA</t>
  </si>
  <si>
    <t>081237012170</t>
  </si>
  <si>
    <t>https://drive.google.com/open?id=1VyDrgxky342P_w9EO3ZVNpnxLGJbLj3t</t>
  </si>
  <si>
    <t>Alposius Nd. Langga</t>
  </si>
  <si>
    <t>081246951024</t>
  </si>
  <si>
    <t>https://drive.google.com/open?id=1kKTiJ0HOEfwK95kS3gps8V0uiPyWvSfg</t>
  </si>
  <si>
    <t>Agustina lapa ala</t>
  </si>
  <si>
    <t>https://drive.google.com/open?id=19Bi8TFotNpYe0v-3y3VNQFHAcnPv4hys</t>
  </si>
  <si>
    <t>ROSMIATI</t>
  </si>
  <si>
    <t>081337759359</t>
  </si>
  <si>
    <t>https://drive.google.com/open?id=19w7tRN2pfbWEMJp5VH59x0bgkvG8x1ba</t>
  </si>
  <si>
    <t>Yulita kenda st</t>
  </si>
  <si>
    <t>081236769472</t>
  </si>
  <si>
    <t>https://drive.google.com/open?id=1obCvwlK_ScsSGdiAY5z5LHmDkBxTeahi</t>
  </si>
  <si>
    <t>Nikson bala nggadi</t>
  </si>
  <si>
    <t>081246638646</t>
  </si>
  <si>
    <t>https://drive.google.com/open?id=1JT29zyvLE-jjjYVX8YxaCeKjoXrd9f_2</t>
  </si>
  <si>
    <t>yudi yanto liem</t>
  </si>
  <si>
    <t>082121163481</t>
  </si>
  <si>
    <t>https://drive.google.com/open?id=1-Wk4jZ61r379wkHQ6W8DUsNMRdAvd5WX</t>
  </si>
  <si>
    <t>James aldrien maakh</t>
  </si>
  <si>
    <t>081263839377</t>
  </si>
  <si>
    <t>https://drive.google.com/open?id=1tnNcHVZLHscc5ByORtJ0u97caNqy-kaG</t>
  </si>
  <si>
    <t>Lenny marlina bani</t>
  </si>
  <si>
    <t>081339569652</t>
  </si>
  <si>
    <t>https://drive.google.com/open?id=147Iv2F5rSB9-Ke1Pxn6CGa-T0LQ_X_yM</t>
  </si>
  <si>
    <t>DIANA BILI</t>
  </si>
  <si>
    <t>082146519384</t>
  </si>
  <si>
    <t>https://drive.google.com/open?id=1CyS8vgSuRaF8fjTsGFchmfM3zNtD3EEf</t>
  </si>
  <si>
    <t>FERDINANDUS BULU</t>
  </si>
  <si>
    <t>https://drive.google.com/open?id=14Q5Ui0LGEyrgKNpNGn6Ji31LpLszMxO2</t>
  </si>
  <si>
    <t>Yulita Tamo inna</t>
  </si>
  <si>
    <t>https://drive.google.com/open?id=1GVo0ClC9HVdaVX8_ceHOx87gmU6uAP8Z</t>
  </si>
  <si>
    <t>Yonitha Ariani Trifani</t>
  </si>
  <si>
    <t>082127237557</t>
  </si>
  <si>
    <t>Wirasuasta</t>
  </si>
  <si>
    <t>https://drive.google.com/open?id=1qW5suAOHWMidhmz-qf-zfx1qpY3eV61x</t>
  </si>
  <si>
    <t>ORANCE MANU</t>
  </si>
  <si>
    <t>https://drive.google.com/open?id=1AWwEK8Qaw_TCI3CtWlSKcU9gSh5SQuXa</t>
  </si>
  <si>
    <t>Yanto nahak</t>
  </si>
  <si>
    <t>082147569094</t>
  </si>
  <si>
    <t>https://drive.google.com/open?id=1HOLNxHzcES6ZrmEPQCDOPLbVSnyfS47k</t>
  </si>
  <si>
    <t>Arwanto ndamung kilimandu</t>
  </si>
  <si>
    <t>082339222322</t>
  </si>
  <si>
    <t>https://drive.google.com/open?id=1mI8KSRsbP3MHNjT6jPZmdtEkAewhOYKw</t>
  </si>
  <si>
    <t>Anaci Nubatonis</t>
  </si>
  <si>
    <t>081238154215</t>
  </si>
  <si>
    <t>https://drive.google.com/open?id=12q-boV_sstkuZh0DLqlTdthAaE7-Q3GR</t>
  </si>
  <si>
    <t>Patricia dimun</t>
  </si>
  <si>
    <t>082117994896</t>
  </si>
  <si>
    <t>https://drive.google.com/open?id=1CiDxdE0r3CPgssVWgWbkHfS8UMv0vW-5</t>
  </si>
  <si>
    <t>Alma lidia neno</t>
  </si>
  <si>
    <t>081338547011</t>
  </si>
  <si>
    <t>https://drive.google.com/open?id=1d0QOJaY8F7VZ-hXxa5IxHgj-Krh4BSBK</t>
  </si>
  <si>
    <t>Selviana seuk</t>
  </si>
  <si>
    <t>082357313847</t>
  </si>
  <si>
    <t>https://drive.google.com/open?id=1u-XwEtIzg5AMfKjVhCqDTdSs5Wob5w3k</t>
  </si>
  <si>
    <t>Anita Mbalu</t>
  </si>
  <si>
    <t>081399875233</t>
  </si>
  <si>
    <t>https://drive.google.com/open?id=1rGOxIjw4JX--MONndGOk7dYE-vzbNgi6</t>
  </si>
  <si>
    <t>Zulkifli moy Ehaq</t>
  </si>
  <si>
    <t>085339255825</t>
  </si>
  <si>
    <t>https://drive.google.com/open?id=1tE88Mii5u342HLgZQVa3gMGsbf0emock</t>
  </si>
  <si>
    <t>Ekawati Tamolunf</t>
  </si>
  <si>
    <t>081339180526</t>
  </si>
  <si>
    <t>https://drive.google.com/open?id=1VwiQQZrP1P02FdIkfzkSPiSv9Xjr8_1K</t>
  </si>
  <si>
    <t>APRIANTO E I LOINENAK</t>
  </si>
  <si>
    <t>082254685314</t>
  </si>
  <si>
    <t>https://drive.google.com/open?id=1DaI-GlqLCEjvLbAZZSTTAy6pgtdtPP3q</t>
  </si>
  <si>
    <t>Fibance neno</t>
  </si>
  <si>
    <t>https://drive.google.com/open?id=1ZCW_LPtkfQ4b35UfwBzLfXcy6UAU679X</t>
  </si>
  <si>
    <t>Dean Benediktus Kefi</t>
  </si>
  <si>
    <t>081237045714</t>
  </si>
  <si>
    <t>https://drive.google.com/open?id=1k-Dz3VOvRSJwblEbDbWx_pDWfbXS2YcC</t>
  </si>
  <si>
    <t>Marta Lakapu</t>
  </si>
  <si>
    <t>082310522686</t>
  </si>
  <si>
    <t>https://drive.google.com/open?id=1fG4t2oTLfXViRMVaYPWKMyjBT2A-0bdl</t>
  </si>
  <si>
    <t>Januaria nitjano</t>
  </si>
  <si>
    <t>081239034664</t>
  </si>
  <si>
    <t>https://drive.google.com/open?id=1Pq1ydEp28XFwvBMecN_LTuiuTw_LX_3d</t>
  </si>
  <si>
    <t>Kariri Hara</t>
  </si>
  <si>
    <t>082342084302</t>
  </si>
  <si>
    <t>https://drive.google.com/open?id=1XVsunCxYxNfnNBPHw4mQHuEAvVm3DX9P</t>
  </si>
  <si>
    <t>Yulius ngongo bora</t>
  </si>
  <si>
    <t>https://drive.google.com/open?id=11zgJhDSVbkIsZcrXospmkrQWUMbsCMPP</t>
  </si>
  <si>
    <t>Ariance bora</t>
  </si>
  <si>
    <t>082247671636</t>
  </si>
  <si>
    <t>https://drive.google.com/open?id=1uru1kFHmggesKu7rJKq5psjBha-YYRGf</t>
  </si>
  <si>
    <t>YULIANA ITE ANARATO</t>
  </si>
  <si>
    <t>085351478449</t>
  </si>
  <si>
    <t>https://drive.google.com/open?id=1IJejkxcV5lCxeTrNfucp-AJ0NE8Qz4Ay</t>
  </si>
  <si>
    <t>Yustina gaba</t>
  </si>
  <si>
    <t>082247541260</t>
  </si>
  <si>
    <t>https://drive.google.com/open?id=15dyENCy8DKreFRTjIscun3TO633MBteQ</t>
  </si>
  <si>
    <t>Aristo duka kabba</t>
  </si>
  <si>
    <t>081337790003</t>
  </si>
  <si>
    <t>https://drive.google.com/open?id=1hETFiw-wlPQ9RZIHFdWqO5aoDZ2EZ5Wh</t>
  </si>
  <si>
    <t>MESI TROSIA BOLING</t>
  </si>
  <si>
    <t>081228833516</t>
  </si>
  <si>
    <t>KONTEN KREATOR</t>
  </si>
  <si>
    <t>https://drive.google.com/open?id=1xDZd4mvsKu-r_145-pxVth65S9i7Uloc</t>
  </si>
  <si>
    <t>Cilian boboy</t>
  </si>
  <si>
    <t>087727680134</t>
  </si>
  <si>
    <t>https://drive.google.com/open?id=1W9t7iYpxCvicNKeAuyAiXZBiJIF8aUax</t>
  </si>
  <si>
    <t>Gerfridus nino</t>
  </si>
  <si>
    <t>082144701597</t>
  </si>
  <si>
    <t>https://drive.google.com/open?id=1hiIpWQM4pjetrrDZ4FhFM0DF4L6UC1Fk</t>
  </si>
  <si>
    <t>Yulianto amkolo</t>
  </si>
  <si>
    <t>https://drive.google.com/open?id=15M0uJZO_8BsaVP43rsTMW0MsjR06tKzw</t>
  </si>
  <si>
    <t>Mardiana trisila loe</t>
  </si>
  <si>
    <t>https://drive.google.com/open?id=1ulTNT8TuFhd4tyEGjD5Dw7vm9vkzxXp7</t>
  </si>
  <si>
    <t>Petrus pati dita</t>
  </si>
  <si>
    <t>081338316317</t>
  </si>
  <si>
    <t>https://drive.google.com/open?id=1xFGlYhnSxVeLPRPK9Ewm2Ex-4dK5vmpZ</t>
  </si>
  <si>
    <t>Benyamin bulu</t>
  </si>
  <si>
    <t>https://drive.google.com/open?id=1utlynwstPi-byDKtRKTX9bV2MCEKsEjS</t>
  </si>
  <si>
    <t>Petrus takanjnji</t>
  </si>
  <si>
    <t>082124975</t>
  </si>
  <si>
    <t>https://drive.google.com/open?id=1zg7tDICKslv8eWLoXbQtFirohl3ygrhT</t>
  </si>
  <si>
    <t>ESTER ADOLFINA ANAKAY</t>
  </si>
  <si>
    <t>https://drive.google.com/open?id=1wDLOmpsYrgQLNy3uuzPpa1BKukEDSHIg</t>
  </si>
  <si>
    <t>DEBIANA GHERU WALU</t>
  </si>
  <si>
    <t>https://drive.google.com/open?id=12NmS8oL4CGZVLE-RJgUB9Pcb-_GHXAEY</t>
  </si>
  <si>
    <t>Febrian Laa</t>
  </si>
  <si>
    <t>085829327298</t>
  </si>
  <si>
    <t>https://drive.google.com/open?id=1_ActNdJrNMAkN0WH3mkNZrmgHFlh31yA</t>
  </si>
  <si>
    <t>Elsiliana elisofi ukat</t>
  </si>
  <si>
    <t>081237890778</t>
  </si>
  <si>
    <t>https://drive.google.com/open?id=1sqh90C0L669NhQd1lwCoJSAkJIjYInsN</t>
  </si>
  <si>
    <t>Enjel samuel messakh</t>
  </si>
  <si>
    <t>https://drive.google.com/open?id=1lnkdYwUImkptKa2i4vwDxPjKUBZPr7VS</t>
  </si>
  <si>
    <t>WIWI HARDYYANTI</t>
  </si>
  <si>
    <t>082237702888</t>
  </si>
  <si>
    <t>https://drive.google.com/open?id=1gA4SKhUAYdUqZF23Of60W1xdENfDtPDT</t>
  </si>
  <si>
    <t>Jeni tresia abanat</t>
  </si>
  <si>
    <t>081237823559</t>
  </si>
  <si>
    <t>https://drive.google.com/open?id=1Xum5ggdx1B8c4Q-jAUiesxFMPbigX_bE</t>
  </si>
  <si>
    <t>Sesarius kopongbelan jawan</t>
  </si>
  <si>
    <t>081339562100</t>
  </si>
  <si>
    <t>https://drive.google.com/open?id=15xtRNcG8rlz6mKcB-jWlHDrTX-0iabgr</t>
  </si>
  <si>
    <t xml:space="preserve">Desiderius juang jawan </t>
  </si>
  <si>
    <t>081266834803</t>
  </si>
  <si>
    <t>https://drive.google.com/open?id=1SLAdYgA_xho2gYccsgaGzDT0yfytDFJt</t>
  </si>
  <si>
    <t>Jurit selan</t>
  </si>
  <si>
    <t>082136137343</t>
  </si>
  <si>
    <t>https://drive.google.com/open?id=1b5ooy5U-mEdsr9jOqdemRuuviuYlJKxc</t>
  </si>
  <si>
    <t>putri pereira</t>
  </si>
  <si>
    <t>085954745971</t>
  </si>
  <si>
    <t>https://drive.google.com/open?id=1YcT0RPaOy7Kg-FNXg76rMUHXSpo3HcaF</t>
  </si>
  <si>
    <t>Archadius angga asa</t>
  </si>
  <si>
    <t>082340743558</t>
  </si>
  <si>
    <t>https://drive.google.com/open?id=1n4PX1RkF-BkI8mcgs-svVz0MXowSX0Y7</t>
  </si>
  <si>
    <t>Klemensiana vebi hartoyo</t>
  </si>
  <si>
    <t>082144706860</t>
  </si>
  <si>
    <t>https://drive.google.com/open?id=15b-XJWp-o1SESmIL_JE7pBI-zeUNgUVq</t>
  </si>
  <si>
    <t>ROKI PARE</t>
  </si>
  <si>
    <t>https://drive.google.com/open?id=1l-6rxnM0A_0drU8JDfI_bq1T-EWcFKKP</t>
  </si>
  <si>
    <t>Karolus damareus tena</t>
  </si>
  <si>
    <t>https://drive.google.com/open?id=1w46ze5tCLaBR64lkWKh_P55z8mccdoQL</t>
  </si>
  <si>
    <t>Widyawati r lawa jati</t>
  </si>
  <si>
    <t>085339187455</t>
  </si>
  <si>
    <t>https://drive.google.com/open?id=1vPNd9z432GoJPOCmDUgnkxf2uUA9QYfW</t>
  </si>
  <si>
    <t>ASRIAL NGONGO</t>
  </si>
  <si>
    <t>085337131899</t>
  </si>
  <si>
    <t>https://drive.google.com/open?id=1gFSIiVBh_Fr6tOb_HEs64X1-VWR2U8r1</t>
  </si>
  <si>
    <t>Lenny Marlina bani</t>
  </si>
  <si>
    <t>085237814414</t>
  </si>
  <si>
    <t>https://drive.google.com/open?id=1vBs78OkfK6ZhfzxJJs4F9tOr8leL25Kd</t>
  </si>
  <si>
    <t>Trimurti Elvin lende</t>
  </si>
  <si>
    <t>082112428068</t>
  </si>
  <si>
    <t>https://drive.google.com/open?id=1Y02m5pLCX6e4yFVbySkbx2n0BmR6TnR1</t>
  </si>
  <si>
    <t>Susana mese</t>
  </si>
  <si>
    <t>082146187225</t>
  </si>
  <si>
    <t>https://drive.google.com/open?id=1gNXDuokQgVOynL71t7nGHuQacrGjqWop</t>
  </si>
  <si>
    <t>Marniati marsalina selam</t>
  </si>
  <si>
    <t>085137361055</t>
  </si>
  <si>
    <t>https://drive.google.com/open?id=1WxFAFbT_4y7A5pdbjtqQBN9wy7Tul_IW</t>
  </si>
  <si>
    <t xml:space="preserve">Andriana fanggidae </t>
  </si>
  <si>
    <t>081246686249</t>
  </si>
  <si>
    <t>https://drive.google.com/open?id=1D41qdYI97KkDP5gOEuMuoHFTcKGTlOzI</t>
  </si>
  <si>
    <t>DONI ASMARINA ORA</t>
  </si>
  <si>
    <t>085183853641</t>
  </si>
  <si>
    <t>https://drive.google.com/open?id=1ZLfPR-pHu20oWxOkytki0CGa_PLdH-Or</t>
  </si>
  <si>
    <t>Marlina lede</t>
  </si>
  <si>
    <t>082342400653</t>
  </si>
  <si>
    <t>https://drive.google.com/open?id=18HnW-b_o6NcXoNZUWnE_atj7YHenFp4s</t>
  </si>
  <si>
    <t>Vino keke</t>
  </si>
  <si>
    <t>https://drive.google.com/open?id=1hsxrB9z7OgvFLwDdlD_gYw0HJV5ba2ew</t>
  </si>
  <si>
    <t>Teolina belak</t>
  </si>
  <si>
    <t>081346465292</t>
  </si>
  <si>
    <t>https://drive.google.com/open?id=16TVvzPihfyEB1HfLBAZF0Op8zK-LSbGe</t>
  </si>
  <si>
    <t>Gorius bora bili</t>
  </si>
  <si>
    <t>089531171079</t>
  </si>
  <si>
    <t>https://drive.google.com/open?id=1dBri3DqTT6TGcasdQ4Ts7-do2h4ae96l</t>
  </si>
  <si>
    <t>Niwa roku riti</t>
  </si>
  <si>
    <t>Petani/peternak</t>
  </si>
  <si>
    <t>https://drive.google.com/open?id=1guPcP7KhdJjsQOm0qJskU2wxNU9sd2qa</t>
  </si>
  <si>
    <t>Dewi zahrotul hasanah</t>
  </si>
  <si>
    <t>08152626272772</t>
  </si>
  <si>
    <t>https://drive.google.com/open?id=1kbtFqLbVkvzCSi468c25igR6fu4npR0V</t>
  </si>
  <si>
    <t>Friska agnolita tabelak</t>
  </si>
  <si>
    <t>087848362291</t>
  </si>
  <si>
    <t>https://drive.google.com/open?id=144bDkHxxKIEd9n2KCXmxbq9PLtdzLd0O</t>
  </si>
  <si>
    <t>Julio guterres</t>
  </si>
  <si>
    <t>087848734857</t>
  </si>
  <si>
    <t>https://drive.google.com/open?id=1wcrdAXuGhOd6VLhOq0LyuWuca-2bFnpg</t>
  </si>
  <si>
    <t>Benyamin bulu gole</t>
  </si>
  <si>
    <t>https://drive.google.com/open?id=1NPmxk3eVb21TTkcHe-p0vLmifYX2_bdd</t>
  </si>
  <si>
    <t>Getrudis landi</t>
  </si>
  <si>
    <t>082213819740</t>
  </si>
  <si>
    <t>https://drive.google.com/open?id=1c8rKeDxMrBVeX6s7G8nsOv7oOI4Qcn5-</t>
  </si>
  <si>
    <t>Kornelis K. Namu Andung</t>
  </si>
  <si>
    <t>081353697546</t>
  </si>
  <si>
    <t>https://drive.google.com/open?id=1SS7bGqIof0pr4LMPsYxYqkTTnVIqXjLf</t>
  </si>
  <si>
    <t>Matius talo mayiring</t>
  </si>
  <si>
    <t>082236399699</t>
  </si>
  <si>
    <t>https://drive.google.com/open?id=1lvDbY1PO0ogXiF0iCDPnTaL9KiTX7Pjf</t>
  </si>
  <si>
    <t>Apriana maria ola amd kep</t>
  </si>
  <si>
    <t>082146388365</t>
  </si>
  <si>
    <t>https://drive.google.com/open?id=1xPHbKQ3xYFk6c_37Dn-9n968aA74wS7s</t>
  </si>
  <si>
    <t>Yohana rambu tagu pati</t>
  </si>
  <si>
    <t>08123766913</t>
  </si>
  <si>
    <t>https://drive.google.com/open?id=1Bfk-KD1HDTtfGK-SNBpAfONl8zI3Oztf</t>
  </si>
  <si>
    <t>Yuwilda leo</t>
  </si>
  <si>
    <t>https://drive.google.com/open?id=13nNsPGK5F5LWztF_wgiQ8J-a3Rg0nXO6</t>
  </si>
  <si>
    <t>Thomas Benu</t>
  </si>
  <si>
    <t>https://drive.google.com/open?id=1vYk6xwiaMnMQ6qepPo1ISTed3nMAdoSH</t>
  </si>
  <si>
    <t>Lusia Derosari</t>
  </si>
  <si>
    <t>081353619549</t>
  </si>
  <si>
    <t>https://drive.google.com/open?id=1Gna4LorCPxaKPJMeF4jPn6cT45s_AQdr</t>
  </si>
  <si>
    <t>Arni rambu nedi</t>
  </si>
  <si>
    <t>082359542424</t>
  </si>
  <si>
    <t>https://drive.google.com/open?id=1MEXXt7ARj7hKoMH5HiEth707P_W1nEby</t>
  </si>
  <si>
    <t>Andris louishantos welkis</t>
  </si>
  <si>
    <t>087822389175</t>
  </si>
  <si>
    <t>https://drive.google.com/open?id=1l02LSgQislOxgXpq5f9Q0jcPFBJqnqgz</t>
  </si>
  <si>
    <t>Nurdin</t>
  </si>
  <si>
    <t>085338322195</t>
  </si>
  <si>
    <t>https://drive.google.com/open?id=19DGMRQLpuSFqxgPIvJVxkNxMWHvfw9p6</t>
  </si>
  <si>
    <t>MARIA FELISIA NAY</t>
  </si>
  <si>
    <t>082144820324</t>
  </si>
  <si>
    <t>https://drive.google.com/open?id=1t9kwLIeItji8dOcW5CbKKBzdODKTi6OR</t>
  </si>
  <si>
    <t>Obet Adu</t>
  </si>
  <si>
    <t>082298423826</t>
  </si>
  <si>
    <t>https://drive.google.com/open?id=1yjhId87W0CxBAIBYx2g_bhRvdlwgxxCT</t>
  </si>
  <si>
    <t>Yusuf Lamba Nggading</t>
  </si>
  <si>
    <t>081337306642</t>
  </si>
  <si>
    <t>https://drive.google.com/open?id=1fv54jlrYcjZEBUFs2oUr9PZCv5xf7-Bq</t>
  </si>
  <si>
    <t xml:space="preserve">Nofri Wunu Hari </t>
  </si>
  <si>
    <t>082267419182</t>
  </si>
  <si>
    <t>Pengrajin Tenun</t>
  </si>
  <si>
    <t>https://drive.google.com/open?id=1eOwj5Eu708j96F_MLmOmu4Ovp4myOPLq</t>
  </si>
  <si>
    <t>Keterina Karmadi</t>
  </si>
  <si>
    <t>0895406411514</t>
  </si>
  <si>
    <t>https://drive.google.com/open?id=1qM2id16OMy2BjMDeDh12IuZRv1GAncv-</t>
  </si>
  <si>
    <t>Rinaldi leosandro fallo</t>
  </si>
  <si>
    <t>085239109624</t>
  </si>
  <si>
    <t>https://drive.google.com/open?id=1EolThBtJGmHRkfhP9pHTkiwAw1jq4Jdk</t>
  </si>
  <si>
    <t>Kus Rachmat</t>
  </si>
  <si>
    <t>081353861315</t>
  </si>
  <si>
    <t>https://drive.google.com/open?id=1DFPub3FW5RzPJiMMuci1XH2UVAOGb9Rs</t>
  </si>
  <si>
    <t>Nur Abdul</t>
  </si>
  <si>
    <t>085239812121</t>
  </si>
  <si>
    <t>https://drive.google.com/open?id=1xkSmKYVZ534wUKScMTypETJY58hC_GmI</t>
  </si>
  <si>
    <t>johana adriana usboko</t>
  </si>
  <si>
    <t>081353075398</t>
  </si>
  <si>
    <t>https://drive.google.com/open?id=1GIbDqWPYRb7x5bbApTLC3CMfjlf0QugU</t>
  </si>
  <si>
    <t>SCOLASTIKA STEFANI TAFIN</t>
  </si>
  <si>
    <t>082353705895</t>
  </si>
  <si>
    <t>https://drive.google.com/open?id=1lJxuJrdj5SOm4JWLdai57alcIrSvGGcQ</t>
  </si>
  <si>
    <t>JONJELIUS MALEYFANI</t>
  </si>
  <si>
    <t>081238929105</t>
  </si>
  <si>
    <t>https://drive.google.com/open?id=1Q0NC1Rh63bRGmL35jb3lVmYNPZ_uA6tr</t>
  </si>
  <si>
    <t>DAVID DAIRO BIO</t>
  </si>
  <si>
    <t>081236427538</t>
  </si>
  <si>
    <t>https://drive.google.com/open?id=1c55vhOaGZUSnNDrzQd-4GLT8IuR9yUNt</t>
  </si>
  <si>
    <t xml:space="preserve">Ami Edison Boimau </t>
  </si>
  <si>
    <t>https://drive.google.com/open?id=1sH3cMsSiphmBirQR-WbbSMpKJFCa8ofw</t>
  </si>
  <si>
    <t>OSRI YANTO KEDA</t>
  </si>
  <si>
    <t>081251773637</t>
  </si>
  <si>
    <t>https://drive.google.com/open?id=17QXb3IFxsG5Mpooz39ZLu9q5k-XrPMOM</t>
  </si>
  <si>
    <t>wehelmina bertha tangko</t>
  </si>
  <si>
    <t>081239104585</t>
  </si>
  <si>
    <t>https://drive.google.com/open?id=1zvkG487w0ayFV6v1dsGWepS9pdxhzQ2m</t>
  </si>
  <si>
    <t>Mujain muhammad pua luka</t>
  </si>
  <si>
    <t>081339066520</t>
  </si>
  <si>
    <t>https://drive.google.com/open?id=1EYrkDpXv38eAa_h2piP_cpUoUDVIwlIC</t>
  </si>
  <si>
    <t>Daud manetde</t>
  </si>
  <si>
    <t>085134418240</t>
  </si>
  <si>
    <t>https://drive.google.com/open?id=1QOBmYEisHnP8f4Mlw3cPlhtCPIOiXb9R</t>
  </si>
  <si>
    <t>Yublina niwa natar</t>
  </si>
  <si>
    <t>082214641432</t>
  </si>
  <si>
    <t>https://drive.google.com/open?id=1LycSg8pOrlDaswl5XeC0SDGxnNJ02FGk</t>
  </si>
  <si>
    <t>Fernandus kahora ndilu</t>
  </si>
  <si>
    <t>082236345091</t>
  </si>
  <si>
    <t>https://drive.google.com/open?id=1B7IRJGOC2Kdf8UjFeutQT2eOVjFOTf4v</t>
  </si>
  <si>
    <t>MELDI TONDA MBITU</t>
  </si>
  <si>
    <t>082220689269</t>
  </si>
  <si>
    <t>https://drive.google.com/open?id=1zJG3zMNkd3XpVsyIUvlPhq74xnTMRuua</t>
  </si>
  <si>
    <t>Marthen ate</t>
  </si>
  <si>
    <t>081234900788</t>
  </si>
  <si>
    <t>https://drive.google.com/open?id=1n0BHEe1UCjO27FMoWbcpebs54CioZTbF</t>
  </si>
  <si>
    <t>Gabriel manek klau</t>
  </si>
  <si>
    <t>081245987429</t>
  </si>
  <si>
    <t>https://drive.google.com/open?id=1w4iSSZnaIpx2A-sSiBVuvs-E9k__MQZz</t>
  </si>
  <si>
    <t>Rambu edda rija</t>
  </si>
  <si>
    <t>082328479300</t>
  </si>
  <si>
    <t>https://drive.google.com/open?id=1Q32dXyPt-xUEgOAN2M8F9eOAyTEntjfc</t>
  </si>
  <si>
    <t>Arnilia lusiana ngongo</t>
  </si>
  <si>
    <t>081246957019</t>
  </si>
  <si>
    <t>https://drive.google.com/open?id=1pFT2lXsVIj4cgxUdhvM9Cv82zEnQdQvo</t>
  </si>
  <si>
    <t>Scolastika bregita kiik</t>
  </si>
  <si>
    <t>087745903126</t>
  </si>
  <si>
    <t xml:space="preserve">Usaha  salon nail art </t>
  </si>
  <si>
    <t>https://drive.google.com/open?id=1ucOGQB4Rpq6T0L5NwsfU-UqqqgeT8uvH</t>
  </si>
  <si>
    <t>Roswita seru</t>
  </si>
  <si>
    <t>081330012373</t>
  </si>
  <si>
    <t>https://drive.google.com/open?id=1ljxB10vLjtOrf8Z21rrvYhBY-qPe6odl</t>
  </si>
  <si>
    <t>MARIDON MAGA</t>
  </si>
  <si>
    <t>085738419085</t>
  </si>
  <si>
    <t>https://drive.google.com/open?id=1jP5zxDaPS1lcenB85pELW1wNj3BwwMHY</t>
  </si>
  <si>
    <t>Natalia hoar</t>
  </si>
  <si>
    <t>081266696810</t>
  </si>
  <si>
    <t>https://drive.google.com/open?id=1VY-wwUO0_C1J7VuJCvfATAB5dVbRU6Ew</t>
  </si>
  <si>
    <t>Herculana hoar timu</t>
  </si>
  <si>
    <t>082247884550</t>
  </si>
  <si>
    <t>https://drive.google.com/open?id=1mKQZrG-P6Blg1R3zW4dSVEd3-wX2fTel</t>
  </si>
  <si>
    <t>MARGARETA RADA BERA</t>
  </si>
  <si>
    <t>082253575816</t>
  </si>
  <si>
    <t>https://drive.google.com/open?id=1JEiZ9XUDplWs0QtekMFFwGOD1zrt9wj7</t>
  </si>
  <si>
    <t xml:space="preserve">Menci rabeka pa'y </t>
  </si>
  <si>
    <t>01239200656</t>
  </si>
  <si>
    <t>https://drive.google.com/open?id=1o1gIXZBfqpEW0cW-CZW8jZAF6ZjZa40m</t>
  </si>
  <si>
    <t>Ferdiana Kause</t>
  </si>
  <si>
    <t>082127818717</t>
  </si>
  <si>
    <t>https://drive.google.com/open?id=1yGSJnnp7Tjas6GmBNil-cFFpa27ll2-M</t>
  </si>
  <si>
    <t>Febrianti Missa</t>
  </si>
  <si>
    <t>082233015526</t>
  </si>
  <si>
    <t>https://drive.google.com/open?id=1XSoXs3sxyst0AncsXMk23EzdKPdDS0iM</t>
  </si>
  <si>
    <t>Arce sose</t>
  </si>
  <si>
    <t>085333533937</t>
  </si>
  <si>
    <t>https://drive.google.com/open?id=11kUPcmK2YWtn9qtoC0OPiVCP3Y3mEhwu</t>
  </si>
  <si>
    <t>Florida taunu</t>
  </si>
  <si>
    <t>085792815200</t>
  </si>
  <si>
    <t>https://drive.google.com/open?id=1ZS3FTeTi3qN-ifUGEJSCDlhJwnB1bgar</t>
  </si>
  <si>
    <t>Kristina tamo inya</t>
  </si>
  <si>
    <t>https://drive.google.com/open?id=1DqWbJKbcYDGs_NA7coBO7ZOMd1LpuUk0</t>
  </si>
  <si>
    <t xml:space="preserve">Kaci yosina saduk </t>
  </si>
  <si>
    <t>089526281223</t>
  </si>
  <si>
    <t xml:space="preserve">Online shop </t>
  </si>
  <si>
    <t>https://drive.google.com/open?id=1R_YoDVo2NOhVMIoUJYaqoR74pPrisi_y</t>
  </si>
  <si>
    <t>ELFIANUS</t>
  </si>
  <si>
    <t>+6281236499440</t>
  </si>
  <si>
    <t>https://drive.google.com/open?id=16ZKpu5-Har-iGpbDhnpb8DCAipyvDHe8</t>
  </si>
  <si>
    <t>Santika putri najala</t>
  </si>
  <si>
    <t>081246324693</t>
  </si>
  <si>
    <t xml:space="preserve">Karyawan rumah makan </t>
  </si>
  <si>
    <t>https://drive.google.com/open?id=1MkVx5SmFM2CBfgaQpLqjrX4MjOr-O7UL</t>
  </si>
  <si>
    <t>Enilia Kareri Hara</t>
  </si>
  <si>
    <t>085337684339</t>
  </si>
  <si>
    <t>https://drive.google.com/open?id=1SqteSYA99tJZGUU4bwMk5ieFHZKXpJCU</t>
  </si>
  <si>
    <t>yorim tahun</t>
  </si>
  <si>
    <t>085213666167</t>
  </si>
  <si>
    <t>https://drive.google.com/open?id=1mJ2tOCG8g_iWIfwUOnaXtMbhPhlf_Mjm</t>
  </si>
  <si>
    <t>Rudi yanto liem</t>
  </si>
  <si>
    <t>082159033281</t>
  </si>
  <si>
    <t>https://drive.google.com/open?id=1-EaT73fWTYstWQPGE_5Qlbd6gA8sYc3E</t>
  </si>
  <si>
    <t>Yusuf umbu bagu jongumara</t>
  </si>
  <si>
    <t>082331455749</t>
  </si>
  <si>
    <t>https://drive.google.com/open?id=1RxFfyEuWfjTOETznW4bAh1GyHehH86eU</t>
  </si>
  <si>
    <t>Sarce puay</t>
  </si>
  <si>
    <t>087812102630</t>
  </si>
  <si>
    <t>https://drive.google.com/open?id=1ahkF_9wHHuP06xbY8zW44WlIzLkqZG71</t>
  </si>
  <si>
    <t>Avriani Kaleka</t>
  </si>
  <si>
    <t>081239785082</t>
  </si>
  <si>
    <t>https://drive.google.com/open?id=1LaWbGJ6aMnEjTbDPNcoVgGfNuVRo-QYZ</t>
  </si>
  <si>
    <t>Alfred Radja</t>
  </si>
  <si>
    <t>https://drive.google.com/open?id=15U59WhjDsWjyF_lQepaGfJN7JavgnIdP</t>
  </si>
  <si>
    <t>Natalia livia nahak</t>
  </si>
  <si>
    <t>https://drive.google.com/open?id=1r887JUZtH5zh8Rh6AiWgPJQKPsUU2dR1</t>
  </si>
  <si>
    <t>RINCE MANHITU</t>
  </si>
  <si>
    <t>082146848240</t>
  </si>
  <si>
    <t>https://drive.google.com/open?id=13mfeMqqAdldcBz8v-l_TlgDdMkRZk5Su</t>
  </si>
  <si>
    <t>MARTON TON</t>
  </si>
  <si>
    <t>082266323794</t>
  </si>
  <si>
    <t>https://drive.google.com/open?id=1hPTctL4v4z6qBRbgZQK-gh_b4kvPx19V</t>
  </si>
  <si>
    <t>Gracea trivena lindinau</t>
  </si>
  <si>
    <t>082211604289</t>
  </si>
  <si>
    <t>https://drive.google.com/open?id=1KhFjgGRAdPrRETk6Cp5sUShd4FXlaKFO</t>
  </si>
  <si>
    <t xml:space="preserve">Monita Boimau </t>
  </si>
  <si>
    <t>085739568596</t>
  </si>
  <si>
    <t>https://drive.google.com/open?id=1twP8Xh6zCDbj2XV85dCZRqAcb6ATz38n</t>
  </si>
  <si>
    <t>Antonio De Janairo Tomasoey</t>
  </si>
  <si>
    <t>081338353146</t>
  </si>
  <si>
    <t>https://drive.google.com/open?id=1jHCixvS5N6drQj34KQ5FVR_M4lhRdgWY</t>
  </si>
  <si>
    <t>Dwifena Inez Boimau</t>
  </si>
  <si>
    <t>081228169799</t>
  </si>
  <si>
    <t>https://drive.google.com/open?id=1MwhTKbCDlRMVUKyjzbWYAW-mun4AJuME</t>
  </si>
  <si>
    <t>081236268104</t>
  </si>
  <si>
    <t>https://drive.google.com/open?id=1yvCi4XrISz_K8ZWMjo-6S_Mzv3DgrE_b</t>
  </si>
  <si>
    <t>Ariance magi moto</t>
  </si>
  <si>
    <t>https://drive.google.com/open?id=1zFJsMMvUpK9qYHJJvE6EUGjbZXk-IMmO</t>
  </si>
  <si>
    <t>Bertha wiku</t>
  </si>
  <si>
    <t>https://drive.google.com/open?id=1vsrkIHVeDvdMdbVTLFXUx4y_v9SjzxyB</t>
  </si>
  <si>
    <t>Maximus naisau</t>
  </si>
  <si>
    <t>081237426315</t>
  </si>
  <si>
    <t>https://drive.google.com/open?id=1BQkSxFu5a9T5-mLr6hAcF5GWXD66vOGF</t>
  </si>
  <si>
    <t>Elpi missa</t>
  </si>
  <si>
    <t>082146023105</t>
  </si>
  <si>
    <t>https://drive.google.com/open?id=1dzgJpmPar99N42SA8vx3gv1fDjnQ12P1</t>
  </si>
  <si>
    <t>Yulinda kevi</t>
  </si>
  <si>
    <t>081273937396</t>
  </si>
  <si>
    <t>https://drive.google.com/open?id=1zxpLZbr90rRWtsgNs5GI3UgtqB8NIdLZ</t>
  </si>
  <si>
    <t>Maci yusina nitbani</t>
  </si>
  <si>
    <t>082144733845</t>
  </si>
  <si>
    <t>https://drive.google.com/open?id=1-q10pjbOUic5R6DYFzzVrzQZE-ehuzs_</t>
  </si>
  <si>
    <t>Luis Adu</t>
  </si>
  <si>
    <t>081246384062</t>
  </si>
  <si>
    <t>https://drive.google.com/open?id=1T2qeotTxsQKhP2gIWM_RqAfi85R6hWXZ</t>
  </si>
  <si>
    <t>Margaretha dairo loru</t>
  </si>
  <si>
    <t>082147154754</t>
  </si>
  <si>
    <t>https://drive.google.com/open?id=1a9apMAStMUaoTT0BR4bkQzc7ZM92hi_R</t>
  </si>
  <si>
    <t>Rasma A. Kiah Fanggidae</t>
  </si>
  <si>
    <t>082339219358</t>
  </si>
  <si>
    <t>https://drive.google.com/open?id=1Bnoik8jgb7gAm3tPUPFc26dgfMhHGPb-</t>
  </si>
  <si>
    <t>Yoram Paulus Polly</t>
  </si>
  <si>
    <t>085239220085</t>
  </si>
  <si>
    <t>https://drive.google.com/open?id=1KmiSCQcW5OQ51ZsvSghjKDodPQ-FbXli</t>
  </si>
  <si>
    <t>Sri ritanti sabata</t>
  </si>
  <si>
    <t>087712614709</t>
  </si>
  <si>
    <t>https://drive.google.com/open?id=1NPNwQMU7UTmR-tga5fqyl3y0okf1NrfS</t>
  </si>
  <si>
    <t>Krisma Anggriani Amir</t>
  </si>
  <si>
    <t>085273342292</t>
  </si>
  <si>
    <t>https://drive.google.com/open?id=15uje_9rSHQ417aIVPiC89tEIoOIGI_zP</t>
  </si>
  <si>
    <t>Richie patola ballo</t>
  </si>
  <si>
    <t>085339496469</t>
  </si>
  <si>
    <t>https://drive.google.com/open?id=1B8fDKPHzLgD4rgmbjdjASc2OU__BET0q</t>
  </si>
  <si>
    <t>LENI MARIATI ANIN</t>
  </si>
  <si>
    <t>https://drive.google.com/open?id=1y0oIpoSRQEL89u3jmExH3YlKsWv5Sosq</t>
  </si>
  <si>
    <t>MARIA T. TALAN</t>
  </si>
  <si>
    <t>082146761143</t>
  </si>
  <si>
    <t>https://drive.google.com/open?id=10LfHkug_Em63aTau-J6foLpClbvSzvn1</t>
  </si>
  <si>
    <t>Asterius umbu deta</t>
  </si>
  <si>
    <t>081337392426</t>
  </si>
  <si>
    <t>https://drive.google.com/open?id=1DGWzcUTGt1lX6jjSbuy8_K0jI8kkQMEj</t>
  </si>
  <si>
    <t>Bernoldi sibensius seran</t>
  </si>
  <si>
    <t>087839637845</t>
  </si>
  <si>
    <t>https://drive.google.com/open?id=1GTZ37MBCV541BKAqJFrn1JY8fSP4_-NO</t>
  </si>
  <si>
    <t>Delviana luruk sio</t>
  </si>
  <si>
    <t>081339349466</t>
  </si>
  <si>
    <t>https://drive.google.com/open?id=1cQ1-9je9ssisgcgAGRTZ33U_zZYjEli5</t>
  </si>
  <si>
    <t>Akmal Yasir</t>
  </si>
  <si>
    <t>085338320877</t>
  </si>
  <si>
    <t>https://drive.google.com/open?id=1LdfgtxLQOee0qZ-s03Bq7Habdhh6ORzq</t>
  </si>
  <si>
    <t>Nida Selan</t>
  </si>
  <si>
    <t>081339710510</t>
  </si>
  <si>
    <t>https://drive.google.com/open?id=12UNXElJTiC1IyrXy5EkZAj1gUZ4_6li4</t>
  </si>
  <si>
    <t xml:space="preserve">Yeri H. Tualaka </t>
  </si>
  <si>
    <t>081353941226</t>
  </si>
  <si>
    <t>https://drive.google.com/open?id=1c65HbUeScoQh0SohVsKDiYe8bTUjMBIy</t>
  </si>
  <si>
    <t>Sry Rahayu</t>
  </si>
  <si>
    <t>085137724439</t>
  </si>
  <si>
    <t>https://drive.google.com/open?id=1w5B02w_0qReK2ATFmyA5fKJgjp_P2ziP</t>
  </si>
  <si>
    <t>Herwin Selan</t>
  </si>
  <si>
    <t>085220086420</t>
  </si>
  <si>
    <t>https://drive.google.com/open?id=1SRPNj_4WogC3hU06YnAgtTv5Q1ijQpzH</t>
  </si>
  <si>
    <t>https://drive.google.com/open?id=11rPIz-KbffVywFbfNxIYZnhNE1TXE1t4</t>
  </si>
  <si>
    <t>MILIANTI MEAK</t>
  </si>
  <si>
    <t>082314168359</t>
  </si>
  <si>
    <t>https://drive.google.com/open?id=1q6H74boM3aAFI_2cZc9alVEBpzOjWL0m</t>
  </si>
  <si>
    <t>AHMAD SATRIA RAMADHAN BETAWI</t>
  </si>
  <si>
    <t>082242309930</t>
  </si>
  <si>
    <t>SWASTA</t>
  </si>
  <si>
    <t>https://drive.google.com/open?id=1uNohYZOsiu9XXRCpY_N_6tPqZZcUpWIL</t>
  </si>
  <si>
    <t>Maria anjelika tae</t>
  </si>
  <si>
    <t>081338977601</t>
  </si>
  <si>
    <t>https://drive.google.com/open?id=13B51eUuwk6VxxpsJm9fTBknHh2JL1HaX</t>
  </si>
  <si>
    <t>Mindy mariana nautu</t>
  </si>
  <si>
    <t>087741420622</t>
  </si>
  <si>
    <t>https://drive.google.com/open?id=1DkmqsljHVJ97SHn1hVmhvX74gRFQdbCc</t>
  </si>
  <si>
    <t>Rosari delvanti un</t>
  </si>
  <si>
    <t>081339791465</t>
  </si>
  <si>
    <t>https://drive.google.com/open?id=1O2fpv5nzCRd1uwPkykLR4p8ubxl42ZsO</t>
  </si>
  <si>
    <t>Megaliana nautu</t>
  </si>
  <si>
    <t>082147955787</t>
  </si>
  <si>
    <t>https://drive.google.com/open?id=19aHAykoZRPoUZfp24ksOznxup5IudzWO</t>
  </si>
  <si>
    <t>GABRIELLA SABATANI IKUN</t>
  </si>
  <si>
    <t>081365061093</t>
  </si>
  <si>
    <t>https://drive.google.com/open?id=12bzmufIrrav9TVXY-0MvY6a0uWzMy1G2</t>
  </si>
  <si>
    <t>YANTO NAHAK</t>
  </si>
  <si>
    <t>https://drive.google.com/open?id=1sZiHSzBUndpZ2KuRZmnQ0ZPLkw_V_Fih</t>
  </si>
  <si>
    <t>SANDRA LAU</t>
  </si>
  <si>
    <t>ANSILA MAU</t>
  </si>
  <si>
    <t>081353947336</t>
  </si>
  <si>
    <t>Rejecd</t>
  </si>
  <si>
    <t>https://drive.google.com/open?id=1HD9W-k_tvDgojoowjY3-pPa5Cl_b4xom</t>
  </si>
  <si>
    <t>Adelina Nino</t>
  </si>
  <si>
    <t>082111478407</t>
  </si>
  <si>
    <t>https://drive.google.com/open?id=10VJp0gXIgsNhARkViTx-hHhjTQ5YCk5B</t>
  </si>
  <si>
    <t>Yohanes Kolo</t>
  </si>
  <si>
    <t>085706001746</t>
  </si>
  <si>
    <t>https://drive.google.com/open?id=1Lc5a_p6rb_qaIvNArwtgg2RUymAk7rda</t>
  </si>
  <si>
    <t>ADELHEID ANITA ONA</t>
  </si>
  <si>
    <t>https://drive.google.com/open?id=10NXAXei4eI1DJo3qthuTYrnlHTOuQrNC</t>
  </si>
  <si>
    <t>Inonimus Mau</t>
  </si>
  <si>
    <t>081213660252</t>
  </si>
  <si>
    <t>https://drive.google.com/open?id=1rMiUPWBihbttjUE4hw1daO8A0AYOkVUy</t>
  </si>
  <si>
    <t>Yusri frisen nitsae</t>
  </si>
  <si>
    <t>085351214897</t>
  </si>
  <si>
    <t>Pelayanan</t>
  </si>
  <si>
    <t>https://drive.google.com/open?id=1eXvO80_RAl5AA8__uh2ajcw25BO5PUb2</t>
  </si>
  <si>
    <t>elvi vebriana puai</t>
  </si>
  <si>
    <t>08222565583</t>
  </si>
  <si>
    <t>https://drive.google.com/open?id=1l3OpZ7-su1oUX0vt7eMo5SxMXZJnWttD</t>
  </si>
  <si>
    <t>085337765129</t>
  </si>
  <si>
    <t>https://drive.google.com/open?id=1cLTLTpQo2pCOiLRvSFYSGEziT1q2kkhZ</t>
  </si>
  <si>
    <t>Yanuaria hoar</t>
  </si>
  <si>
    <t>082146193455</t>
  </si>
  <si>
    <t>Kios</t>
  </si>
  <si>
    <t>https://drive.google.com/open?id=1Kqy_7bqc1HHd3V_m7aQBTHTUJWCEmcSW</t>
  </si>
  <si>
    <t>IGNASJA MERINA KIN</t>
  </si>
  <si>
    <t>085337694767</t>
  </si>
  <si>
    <t>https://drive.google.com/open?id=1y80kzNOnTOXxx7rtT4IJBfM-ZJkLx2aY</t>
  </si>
  <si>
    <t>Damarkus korbafo</t>
  </si>
  <si>
    <t>https://drive.google.com/open?id=1u6A-N32nGwVZzLMsdEfmYJd2mQn8fM0u</t>
  </si>
  <si>
    <t>Jusmiyati Rosmince Bhure</t>
  </si>
  <si>
    <t>081238669016</t>
  </si>
  <si>
    <t>https://drive.google.com/open?id=1_3_4TeouKJEXcNwo5JVo9IO2QJ0WxDfV</t>
  </si>
  <si>
    <t>Christian barce seran</t>
  </si>
  <si>
    <t>082295463532</t>
  </si>
  <si>
    <t>https://drive.google.com/open?id=1EPPiKTCmCiTAH-XuhcDfg-HFJkif46VF</t>
  </si>
  <si>
    <t>Marice Bolla</t>
  </si>
  <si>
    <t>081236462669</t>
  </si>
  <si>
    <t>https://drive.google.com/open?id=1VtgVjHXrKid1p_dKV3OYQmX-GxRKB24N</t>
  </si>
  <si>
    <t>Nofliana gresce manu</t>
  </si>
  <si>
    <t>081273863838</t>
  </si>
  <si>
    <t>https://drive.google.com/open?id=1x0Lnf-huaAsS2d8R6A_YhRIStg4m1jgG</t>
  </si>
  <si>
    <t>Dominggus seo kuabib</t>
  </si>
  <si>
    <t>082237222441</t>
  </si>
  <si>
    <t>https://drive.google.com/open?id=1bz5ZtJofTmhW5yqXGWkPQY3e8_sP9WlG</t>
  </si>
  <si>
    <t>Jovin kono</t>
  </si>
  <si>
    <t>085801668121</t>
  </si>
  <si>
    <t>https://drive.google.com/open?id=1aHmm_5AvXiXv7hErsssRN68DzO7oBKue</t>
  </si>
  <si>
    <t>Inyong star ka matang limu</t>
  </si>
  <si>
    <t>082211437863</t>
  </si>
  <si>
    <t>Asn</t>
  </si>
  <si>
    <t>https://drive.google.com/open?id=1O50MUU-Z7QjzRU9ynVCY_q542g_uZlRC</t>
  </si>
  <si>
    <t>daniel sollu</t>
  </si>
  <si>
    <t>https://drive.google.com/open?id=1ZXJ_aoc6RFKWgr3DGX9QxN9AGM5J8XIw</t>
  </si>
  <si>
    <t>Nelci Tanono</t>
  </si>
  <si>
    <t>081337700800</t>
  </si>
  <si>
    <t>https://drive.google.com/open?id=1nDYStk-c88fQL29DQOrXN5wmtDr7aR6X</t>
  </si>
  <si>
    <t>https://drive.google.com/open?id=15HjGlsVK_SK-BQAErw0FgHP0MtmXULZG</t>
  </si>
  <si>
    <t>Sepri oemanu</t>
  </si>
  <si>
    <t>https://drive.google.com/open?id=1Xw4m1aXZXcVDmC5T8JaBhJYq-GcaX2vQ</t>
  </si>
  <si>
    <t>Adelina nino</t>
  </si>
  <si>
    <t>https://drive.google.com/open?id=1LAxcQHPcaxPsgJ3AzoZchXpq9lT0CKQI</t>
  </si>
  <si>
    <t>Arsenius agung uskuluan</t>
  </si>
  <si>
    <t>082370465128</t>
  </si>
  <si>
    <t>https://drive.google.com/open?id=1qBQivniQXpHwfPXoreMi2R0mHUk2x8w6</t>
  </si>
  <si>
    <t>Redemptus Naihati</t>
  </si>
  <si>
    <t>082311364128</t>
  </si>
  <si>
    <t>https://drive.google.com/open?id=18uxrlpXBKnUTLuZM8sDOjNYtK-4wyLvH</t>
  </si>
  <si>
    <t>Melkisedek benu</t>
  </si>
  <si>
    <t>082266111012</t>
  </si>
  <si>
    <t>https://drive.google.com/open?id=1Dkdh_glefTu_QnRByTk9dpAwRJuIsLCj</t>
  </si>
  <si>
    <t>Chimeria penina nenohay</t>
  </si>
  <si>
    <t>082340589308</t>
  </si>
  <si>
    <t>https://drive.google.com/open?id=1ju1h7NpWFmyqWR4UjF4I1gvEEdHuFMeM</t>
  </si>
  <si>
    <t>Alowisius ari sau</t>
  </si>
  <si>
    <t>081353014063</t>
  </si>
  <si>
    <t>https://drive.google.com/open?id=15mD0pTJWZjg-A7MspS8-ipja5xqyaYm-</t>
  </si>
  <si>
    <t>Agnes glismi suwita ridiani sorenina</t>
  </si>
  <si>
    <t>085962523520</t>
  </si>
  <si>
    <t>https://drive.google.com/open?id=1mcwwgE_CIcG3mdkQPbBtOh3ufjbnAQX3</t>
  </si>
  <si>
    <t>jefri polly</t>
  </si>
  <si>
    <t>0895322375983</t>
  </si>
  <si>
    <t>pegawai paruh waktu</t>
  </si>
  <si>
    <t>https://drive.google.com/open?id=1ilrSuH2jwoqBWhJwQs2kRa6irmm6w9CF</t>
  </si>
  <si>
    <t>Yunita Tewu Goa</t>
  </si>
  <si>
    <t>https://drive.google.com/open?id=1AznMmtYhy0jN_vMVWyijoXQ_o-FllKk-</t>
  </si>
  <si>
    <t>Mardiana pono</t>
  </si>
  <si>
    <t>082144629033</t>
  </si>
  <si>
    <t>https://drive.google.com/open?id=1EfvgCk7YpoJeHIHE5J8XGsRUcw0NbWhI</t>
  </si>
  <si>
    <t>Ruben</t>
  </si>
  <si>
    <t>https://drive.google.com/open?id=18FWXrteqBmFDbnhlLML9zpM-DjtJd6Lr</t>
  </si>
  <si>
    <t>Novita Yohana Sally</t>
  </si>
  <si>
    <t>081231981449</t>
  </si>
  <si>
    <t>https://drive.google.com/open?id=1SH60mMS4gRCwHNp4aCOAwSFGyPnDEIzR</t>
  </si>
  <si>
    <t>Yunista kremo</t>
  </si>
  <si>
    <t>085210388051</t>
  </si>
  <si>
    <t>https://drive.google.com/open?id=1i6tk6deYcpsnrynD7CxfE1f0suRd2_eN</t>
  </si>
  <si>
    <t xml:space="preserve">BUDIANTORO KLAU </t>
  </si>
  <si>
    <t>082146986233</t>
  </si>
  <si>
    <t>https://drive.google.com/open?id=1s9xrb9Do1KBxoMJIVsKfp_ZwQ4wXVMv4</t>
  </si>
  <si>
    <t>Serli diana kudang</t>
  </si>
  <si>
    <t>082245779818</t>
  </si>
  <si>
    <t>https://drive.google.com/open?id=1JFw4zbaNqqZ3BGMkODKjO1JoJa5oaDRg</t>
  </si>
  <si>
    <t>Adriana May Kudu S. Pd</t>
  </si>
  <si>
    <t>081246161140</t>
  </si>
  <si>
    <t>https://drive.google.com/open?id=1y9gepan-X91VCzVZxa1rVXhGTdpNeHZD</t>
  </si>
  <si>
    <t>Irawati mutiara tela</t>
  </si>
  <si>
    <t>08213389867</t>
  </si>
  <si>
    <t>https://drive.google.com/open?id=1NHdnHRBKm9PsrZQjdKHlLO5ULt_CDScI</t>
  </si>
  <si>
    <t>ANGELA BOUKA BERI</t>
  </si>
  <si>
    <t>Samalena kakutung</t>
  </si>
  <si>
    <t>081246926043</t>
  </si>
  <si>
    <t>https://drive.google.com/open?id=1OmfaTCywFEcaPqbN2UOINguGx6nyWwmO</t>
  </si>
  <si>
    <t>NAOMI WENI</t>
  </si>
  <si>
    <t>085792317534</t>
  </si>
  <si>
    <t>https://drive.google.com/open?id=10hJSYjP6tdtcauCnYJQlu_pVZqhtN58k</t>
  </si>
  <si>
    <t>sahbudin sengaji</t>
  </si>
  <si>
    <t>085134402174</t>
  </si>
  <si>
    <t>https://drive.google.com/open?id=1BAuaMpbechmNqy9OypcfcTsXDyCAdkcm</t>
  </si>
  <si>
    <t>Givano armando bere</t>
  </si>
  <si>
    <t>085137287604</t>
  </si>
  <si>
    <t>https://drive.google.com/open?id=1SksnWVjMKv2GAvA6Qjf77hSVpD5YSWwk</t>
  </si>
  <si>
    <t>Matius nono malo</t>
  </si>
  <si>
    <t>081239527199</t>
  </si>
  <si>
    <t>https://drive.google.com/open?id=1ytFOQSEFuUB_wazWnPgP5Np3dWnggEGl</t>
  </si>
  <si>
    <t>yunita sepriana dethan</t>
  </si>
  <si>
    <t>081235661804</t>
  </si>
  <si>
    <t>https://drive.google.com/open?id=1w58-rzio6jecIZZJXXfRpNH-9ZI5fBb6</t>
  </si>
  <si>
    <t>Melki albertus banfatin</t>
  </si>
  <si>
    <t>085237737204</t>
  </si>
  <si>
    <t>https://drive.google.com/open?id=14luX3dQYK0IiBg0GEGbW8u8Z4tVRXP8l</t>
  </si>
  <si>
    <t>Claudia konga atahau</t>
  </si>
  <si>
    <t>085137724370</t>
  </si>
  <si>
    <t>https://drive.google.com/open?id=1q4VZ93ENBpp7jts98WGXLE-yIh34AgSz</t>
  </si>
  <si>
    <t>FLORENSIA VINI ANA KAKA</t>
  </si>
  <si>
    <t>082341708038</t>
  </si>
  <si>
    <t>https://drive.google.com/open?id=1wbDBO7-4gOUrWoUQPVst8YDx8nUiKIIG</t>
  </si>
  <si>
    <t>https://drive.google.com/open?id=1AzsSB7t9H63a_T3usg560-1d8NzHjkPf</t>
  </si>
  <si>
    <t>Fariance naomi habita</t>
  </si>
  <si>
    <t>082341149481</t>
  </si>
  <si>
    <t>https://drive.google.com/open?id=1nTt7TaMTTFfmWdDMjJPDPMt3quICkZre</t>
  </si>
  <si>
    <t>Bano Daniel Bayfeto</t>
  </si>
  <si>
    <t>082339987477</t>
  </si>
  <si>
    <t>https://drive.google.com/open?id=146nnDtuUhtrNf2Rlhrjo4J3lVpzi4D8Z</t>
  </si>
  <si>
    <t>Yulita Ria</t>
  </si>
  <si>
    <t>082226297472</t>
  </si>
  <si>
    <t>Pengurus PPA</t>
  </si>
  <si>
    <t>https://drive.google.com/open?id=1i0J0HG2ZCrLJY2NGDl6u1zKqi99mRtje</t>
  </si>
  <si>
    <t>SAMALENA KAKUTUNG</t>
  </si>
  <si>
    <t>085191406688</t>
  </si>
  <si>
    <t>https://drive.google.com/open?id=161BANApAZcYa4mZIETZPOqDngq02Fatk</t>
  </si>
  <si>
    <t>https://drive.google.com/open?id=1jlU3_S2xPAHGn4eZ6YxOOpY4GPQrgjBY</t>
  </si>
  <si>
    <t>SABAR F. KAPITANG</t>
  </si>
  <si>
    <t>087738901469</t>
  </si>
  <si>
    <t>https://drive.google.com/open?id=17_pJj9zDQJR0ZXMKw39YbpgFZIFhUIOG</t>
  </si>
  <si>
    <t xml:space="preserve">Nimrot Govinda </t>
  </si>
  <si>
    <t>082341632825</t>
  </si>
  <si>
    <t>https://drive.google.com/open?id=1VLykoBPmy8jGsnK-BvVw5etDg0pu6atg</t>
  </si>
  <si>
    <t>Kristina susani ege</t>
  </si>
  <si>
    <t>085745700405</t>
  </si>
  <si>
    <t>https://drive.google.com/open?id=1O2q-rVJAZUKFzSCElLzTuP5K5cu86d7a</t>
  </si>
  <si>
    <t>Yakob nero</t>
  </si>
  <si>
    <t>085141042947</t>
  </si>
  <si>
    <t>https://drive.google.com/open?id=1GU2BlCDwwT4JlndYR-7Bp8VWyDn57Qfw</t>
  </si>
  <si>
    <t>Jeni rosita benu</t>
  </si>
  <si>
    <t>085337864238</t>
  </si>
  <si>
    <t>https://drive.google.com/open?id=1hy0Fqi8-h71HZqcrT1Yol4kS9R5nI6u5</t>
  </si>
  <si>
    <t>MARTHEN DARA KOTA</t>
  </si>
  <si>
    <t>082236945871</t>
  </si>
  <si>
    <t>https://drive.google.com/open?id=18eQvyDgAVH61tWNYzWhISaizhG2NUOQW</t>
  </si>
  <si>
    <t>ZELIA DA CRUS</t>
  </si>
  <si>
    <t>082247710659</t>
  </si>
  <si>
    <t>https://drive.google.com/open?id=1UOqdh2uJXWJ4jCDfU8nmDMjxkWsIPSUq</t>
  </si>
  <si>
    <t>Yustina ngongo</t>
  </si>
  <si>
    <t>081246883066</t>
  </si>
  <si>
    <t>https://drive.google.com/open?id=16Uzlfds-3-mwDatow7DTEt-k5SP7EJac</t>
  </si>
  <si>
    <t>Katrina jama nuna</t>
  </si>
  <si>
    <t>081294624850</t>
  </si>
  <si>
    <t>https://drive.google.com/open?id=1du7Ep3H2UIyyLWX8v-i8UQWtkuTZo7i6</t>
  </si>
  <si>
    <t>YOHANIS DAPPA TADI</t>
  </si>
  <si>
    <t>https://drive.google.com/open?id=11k8eZXXb1csJkzhUPN4jyIdN84i8nJC7</t>
  </si>
  <si>
    <t>Maxi Anderias Nggili</t>
  </si>
  <si>
    <t>085237812635</t>
  </si>
  <si>
    <t>https://drive.google.com/open?id=1Y2ymPw0E0EMLTP7yP2s9RoQLiLGfJAnT</t>
  </si>
  <si>
    <t>Selpina Sonbai</t>
  </si>
  <si>
    <t>082158621837</t>
  </si>
  <si>
    <t>https://drive.google.com/open?id=1ri1J0kWLs1W3DtSxP5qU0sCnDfnGJFfN</t>
  </si>
  <si>
    <t>Orance E Ita</t>
  </si>
  <si>
    <t>082261056450</t>
  </si>
  <si>
    <t>Pemilik usaha Rumahan</t>
  </si>
  <si>
    <t>https://drive.google.com/open?id=1I-BC94g4NmdhxFZejHKEsJi7yD6wqbm8</t>
  </si>
  <si>
    <t>Derlintje lede djara</t>
  </si>
  <si>
    <t>081246900847</t>
  </si>
  <si>
    <t>https://drive.google.com/open?id=1yiQY3KgowSCV0WH04VTu9-nK1HhAThsk</t>
  </si>
  <si>
    <t>Charlos Petrickson Januar Forah</t>
  </si>
  <si>
    <t>081367366731</t>
  </si>
  <si>
    <t>https://drive.google.com/open?id=1ovG48ZRGhERdHNs5cN8B1-JQLMHO3irb</t>
  </si>
  <si>
    <t>GERALD INDRA PETRUS PAULUS</t>
  </si>
  <si>
    <t>082144740226</t>
  </si>
  <si>
    <t>https://drive.google.com/open?id=1rigZzLJIVatKkO75tviA0jtN1zirNmWT</t>
  </si>
  <si>
    <t>Romualdus Mario Noni Hun</t>
  </si>
  <si>
    <t>081353942054</t>
  </si>
  <si>
    <t>https://drive.google.com/open?id=1ZzUSEw58CBqSzl5zrsieKWBnvlOGa6T8</t>
  </si>
  <si>
    <t>Alfrida nahak</t>
  </si>
  <si>
    <t>0895329910983</t>
  </si>
  <si>
    <t>https://drive.google.com/open?id=1BIDqmdabv20k4Qp4qzrAfEHvAonxCkkQ</t>
  </si>
  <si>
    <t>YONFREDERIKA RIEZKI TANI</t>
  </si>
  <si>
    <t>https://drive.google.com/open?id=1O8AZVEZPN58ykiri9oPT-2ZwRd8UcBBw</t>
  </si>
  <si>
    <t>Antonio Barros</t>
  </si>
  <si>
    <t>082145139969</t>
  </si>
  <si>
    <t>https://drive.google.com/open?id=1dCji77XekwIEU3gemx5v4F9YiUUkG-rL</t>
  </si>
  <si>
    <t>PUTRI ELISABTH RADJA KONO</t>
  </si>
  <si>
    <t>081238019755</t>
  </si>
  <si>
    <t>https://drive.google.com/open?id=1R9aYVsqmVSknBquhAFaDCk8EyVa6eRxa</t>
  </si>
  <si>
    <t>MATHILDA AFU</t>
  </si>
  <si>
    <t>081246124499</t>
  </si>
  <si>
    <t>https://drive.google.com/open?id=178hX7Gr2oYI0rVuBE6A9kCbBZ9rW7hvW</t>
  </si>
  <si>
    <t>Robyanto kamlasi</t>
  </si>
  <si>
    <t>085165057180</t>
  </si>
  <si>
    <t>https://drive.google.com/open?id=16NeGN3My_H_9Sv-0YlrhyODZatSqsczK</t>
  </si>
  <si>
    <t>Paulina rengga malo</t>
  </si>
  <si>
    <t>082146536908</t>
  </si>
  <si>
    <t>https://drive.google.com/open?id=1A6AEwxjPRgeSfI10bB2c6Ymci7xTM-eD</t>
  </si>
  <si>
    <t>Maria Rosalinda</t>
  </si>
  <si>
    <t>081238366038</t>
  </si>
  <si>
    <t xml:space="preserve">Sembako </t>
  </si>
  <si>
    <t>https://drive.google.com/open?id=1xjZTYAUNLSrJqXTHmPPsvIlW_HyPvpGp</t>
  </si>
  <si>
    <t>Gusny tameon</t>
  </si>
  <si>
    <t>081339748384</t>
  </si>
  <si>
    <t>https://drive.google.com/open?id=1Ww6ANE2U46HtD87RM0PpgRTCvTH-EayK</t>
  </si>
  <si>
    <t>Samsudin lamen</t>
  </si>
  <si>
    <t>081237668908</t>
  </si>
  <si>
    <t>https://drive.google.com/open?id=1ZH8NT2jbD5oGN4zR8w_UoxRgrBHIp5_e</t>
  </si>
  <si>
    <t>Desren nyongki toni</t>
  </si>
  <si>
    <t>085215202635</t>
  </si>
  <si>
    <t>https://drive.google.com/open?id=1JqjYLDPCV9rEOUZ092YXBjUZIoktfsfa</t>
  </si>
  <si>
    <t>dwi adinda lenggu</t>
  </si>
  <si>
    <t>081237823772</t>
  </si>
  <si>
    <t>https://drive.google.com/open?id=1IJiQkZpL3GuprE0MZh19J2ySEXrqKMku</t>
  </si>
  <si>
    <t>Ruben arjuna donggi</t>
  </si>
  <si>
    <t>082144742980</t>
  </si>
  <si>
    <t>https://drive.google.com/open?id=15J5I_cRim-0UtbR9aDzCI6jTGrpCfPFc</t>
  </si>
  <si>
    <t>Thin rostiana polin</t>
  </si>
  <si>
    <t>082144868788</t>
  </si>
  <si>
    <t>https://drive.google.com/open?id=1wbdMoMtF8zrbDIJ2nE7yU4SbkxaNtNlv</t>
  </si>
  <si>
    <t>𝗪𝗲𝗹𝗺𝗶𝗻𝗰𝗲 𝗻𝗮𝘂𝗯𝗻𝗼𝗺𝗲</t>
  </si>
  <si>
    <t>081329115387</t>
  </si>
  <si>
    <t>https://drive.google.com/open?id=1zNSLoU-KDvI_hmKEpsJP9L_zW-AffOGv</t>
  </si>
  <si>
    <t xml:space="preserve">Stivend ozias donggi </t>
  </si>
  <si>
    <t>https://drive.google.com/open?id=1hR7YBMyL7L7oFLq4kKQb6zBx1uW2Tmf7</t>
  </si>
  <si>
    <t>wilma trifena takoy</t>
  </si>
  <si>
    <t>https://drive.google.com/open?id=1PRMiE2O8IR-kOuUbfJsoi3N_YX0EQlWx</t>
  </si>
  <si>
    <t>Tanga teul</t>
  </si>
  <si>
    <t>082298747015</t>
  </si>
  <si>
    <t>https://drive.google.com/open?id=1_lImkBl59d-Pf4WPoV2WgaEBmQsv-a1T</t>
  </si>
  <si>
    <t>Mesak habita rimu</t>
  </si>
  <si>
    <t>085147450976</t>
  </si>
  <si>
    <t>https://drive.google.com/open?id=1W_V-pSZkz5gLHx0rHEFkZHdJMGvBTFxi</t>
  </si>
  <si>
    <t>Sriningsi Pala SE</t>
  </si>
  <si>
    <t>085338352340</t>
  </si>
  <si>
    <t>https://drive.google.com/open?id=1qWteKpH5ScEoZG5CDvG7KMzQXnHtClGR</t>
  </si>
  <si>
    <t>Dina Donuisang</t>
  </si>
  <si>
    <t>082266329761</t>
  </si>
  <si>
    <t>https://drive.google.com/open?id=1nZAuw_JOwUaermvWBOioHiw1Uac4W6my</t>
  </si>
  <si>
    <t>NAOMI APLIANA NGONGO</t>
  </si>
  <si>
    <t>081339024348</t>
  </si>
  <si>
    <t>https://drive.google.com/open?id=1fpAnNntALFi96WxcuCkrCS2VkexlaRDV</t>
  </si>
  <si>
    <t>Helmi Lisanti Tefbana</t>
  </si>
  <si>
    <t>https://drive.google.com/open?id=19qP_mBzhU-JQe-cvv1OvVGUaqudUJ-kA</t>
  </si>
  <si>
    <t>Julianto cristian hane</t>
  </si>
  <si>
    <t>082299411689</t>
  </si>
  <si>
    <t>https://drive.google.com/open?id=1qzBqDNpyldeymy_Lq2Q7NXqDzc7TydMy</t>
  </si>
  <si>
    <t>Aprilia Albertin maraben</t>
  </si>
  <si>
    <t>082236049481</t>
  </si>
  <si>
    <t>https://drive.google.com/open?id=1YQs-aOERDtCc7HnkpgGAEpOIObt8nzXw</t>
  </si>
  <si>
    <t>Solia gracia radja</t>
  </si>
  <si>
    <t>081246715704</t>
  </si>
  <si>
    <t>https://drive.google.com/open?id=1ox6jVGd0-xAgW-e64WWYqEkis-wjZs0b</t>
  </si>
  <si>
    <t>Yeri aresti robinhard benu</t>
  </si>
  <si>
    <t>082144212214</t>
  </si>
  <si>
    <t>https://drive.google.com/open?id=1RTYYqJT4rDHZuLFyJ83-84SWIOmlKKxp</t>
  </si>
  <si>
    <t>Jefridus bria seran</t>
  </si>
  <si>
    <t>082146054862</t>
  </si>
  <si>
    <t>https://drive.google.com/open?id=1Emqrpo26egfUTcBsvlQ3lO3nuhs0TST5</t>
  </si>
  <si>
    <t>Mardista rinjani saudale</t>
  </si>
  <si>
    <t>https://drive.google.com/open?id=1sClb20VZ1FGrv53C6CDrQdmrjID3pNAN</t>
  </si>
  <si>
    <t>Asmira Rahman</t>
  </si>
  <si>
    <t>085142989606</t>
  </si>
  <si>
    <t>https://drive.google.com/open?id=1FMkfseqYULJyzfpQf-JHjc7Bsr0qvkrh</t>
  </si>
  <si>
    <t>Linda rosita koanak</t>
  </si>
  <si>
    <t>https://drive.google.com/open?id=1k2EeOQ28gY-FIGToMIM7kaJ-5jXjZFBw</t>
  </si>
  <si>
    <t>Ervina rambu peda rada</t>
  </si>
  <si>
    <t>082147270381</t>
  </si>
  <si>
    <t>https://drive.google.com/open?id=1xbB-nA6oX9Q5eSpCDAGEyI572U13HGFX</t>
  </si>
  <si>
    <t>https://drive.google.com/open?id=1sJayYKZS1H5wVH3Dafy2vJsQYNZO87rU</t>
  </si>
  <si>
    <t>dwwi nofridai suan</t>
  </si>
  <si>
    <t>081237827339</t>
  </si>
  <si>
    <t>https://drive.google.com/open?id=18gFn0JUvrtuz60_0yXI78hIk70xsu32M</t>
  </si>
  <si>
    <t>Anesia J Misa</t>
  </si>
  <si>
    <t>085167110089</t>
  </si>
  <si>
    <t>Pemilik kios Rumahan</t>
  </si>
  <si>
    <t>https://drive.google.com/open?id=1gik3toRoKntLZykwIFjJOXTYrpxVGiUq</t>
  </si>
  <si>
    <t>DEASSY CHRISTIANI FINMETA</t>
  </si>
  <si>
    <t>082146560208</t>
  </si>
  <si>
    <t>https://drive.google.com/open?id=10JotN_IquuLdrFhwOoC1OGeFruZNVNNx</t>
  </si>
  <si>
    <t>SRIYANTI UMBU DETA</t>
  </si>
  <si>
    <t>https://drive.google.com/open?id=1bQsBUaILCOsG_m22eWYYqEGfY_UlOTMR</t>
  </si>
  <si>
    <t>Florida luruk</t>
  </si>
  <si>
    <t>082144242068</t>
  </si>
  <si>
    <t>https://drive.google.com/open?id=1ZMYBTZ3yc_M-n8Rz9CGglj4LqiBCVcjI</t>
  </si>
  <si>
    <t>BREGITA MARGARETA INA KII</t>
  </si>
  <si>
    <t>082231676770</t>
  </si>
  <si>
    <t>https://drive.google.com/open?id=1PSEMb4SLv3Vr9bC6T4RNy01Q80Ql9Cf6</t>
  </si>
  <si>
    <t>11/12/0025</t>
  </si>
  <si>
    <t>Charly Arianto Mooy</t>
  </si>
  <si>
    <t>https://drive.google.com/open?id=1C83ikmylBBqVxEzzC-f6j-RmfDcS5Wxm</t>
  </si>
  <si>
    <t>Anryanus Obe</t>
  </si>
  <si>
    <t>082123330845</t>
  </si>
  <si>
    <t>https://drive.google.com/open?id=1OFJr49P0GqywjJ1aQztEQP8CJUolGNF1</t>
  </si>
  <si>
    <t>Ludovikus Paul</t>
  </si>
  <si>
    <t>081239799374</t>
  </si>
  <si>
    <t>https://drive.google.com/open?id=1Q76gDCcKSjoPZ1h-0Ttt4g0LLnybV3aP</t>
  </si>
  <si>
    <t>Aldi karlin djollo</t>
  </si>
  <si>
    <t>081246193195</t>
  </si>
  <si>
    <t>https://drive.google.com/open?id=1tvSFNnkSWDHi0AWiMFC6PORNzjEWc2vm</t>
  </si>
  <si>
    <t>Siti rahmatia</t>
  </si>
  <si>
    <t>081772376707</t>
  </si>
  <si>
    <t>https://drive.google.com/open?id=1H1iU1A3b7WRcqqk7er8LxQQx1n3pzbjU</t>
  </si>
  <si>
    <t>KRISTIANA ALOKA</t>
  </si>
  <si>
    <t>082147140286</t>
  </si>
  <si>
    <t>https://drive.google.com/open?id=1dA7QjD_AeFhcsWeAsM-vOKNZssbfW9tc</t>
  </si>
  <si>
    <t>RAHAYU YUDITHIA NINGSIH LAY RATU</t>
  </si>
  <si>
    <t>Punya usaha konter handphone</t>
  </si>
  <si>
    <t>https://drive.google.com/open?id=1Ourmbccz3UOm8PoT4P92Ft18QQiLSr4x</t>
  </si>
  <si>
    <t>Maryanti Tawuru May</t>
  </si>
  <si>
    <t>082144606582</t>
  </si>
  <si>
    <t>https://drive.google.com/open?id=1v4_7Vk03-Z_ET2mc6g0bKlVPFH4tvU-E</t>
  </si>
  <si>
    <t>Selvianus kailo kaka</t>
  </si>
  <si>
    <t>085338432694</t>
  </si>
  <si>
    <t>https://drive.google.com/open?id=1Vj0h-1XIRfBe3aF7-B8tGkzcbRpuRBqE</t>
  </si>
  <si>
    <t>Intang widi astutik</t>
  </si>
  <si>
    <t>082124691136</t>
  </si>
  <si>
    <t>https://drive.google.com/open?id=1wcyMe89P-oAndiR8gS5hH4mRYE1eSgpN</t>
  </si>
  <si>
    <t>https://drive.google.com/open?id=1Q4NAj6C35QIAljLjF9gu_skmoY6q6uRc</t>
  </si>
  <si>
    <t>Delci Anaraci Surah</t>
  </si>
  <si>
    <t>082266323776</t>
  </si>
  <si>
    <t>https://drive.google.com/open?id=19KhJQdMmLUMkGNKcZdCeo96pqkUG_iVU</t>
  </si>
  <si>
    <t>Siti nurhayani</t>
  </si>
  <si>
    <t>https://drive.google.com/open?id=1rKNsYu1Qv7hH2CXsO_stew-13DUYUyzx</t>
  </si>
  <si>
    <t>Ester</t>
  </si>
  <si>
    <t>https://drive.google.com/open?id=1tGBEUATfsY2mc-yVztS1hAcKBfToA33R</t>
  </si>
  <si>
    <t>ROHANI</t>
  </si>
  <si>
    <t>082236962202</t>
  </si>
  <si>
    <t>https://drive.google.com/open?id=1iqBwe27v7yED1hZ6XGqjfGGSN0iDxPVQ</t>
  </si>
  <si>
    <t>Leksi yekson tefa</t>
  </si>
  <si>
    <t>08998208463</t>
  </si>
  <si>
    <t>https://drive.google.com/open?id=1lG_myVaWMTIqHUgbQkQsB2EXQBWlN03F</t>
  </si>
  <si>
    <t>Ayub bain</t>
  </si>
  <si>
    <t>081380404181</t>
  </si>
  <si>
    <t>https://drive.google.com/open?id=1EKIDnd4p0q1iHNMjDQ8jMxjheVwU8QHC</t>
  </si>
  <si>
    <t>Marlin Forah</t>
  </si>
  <si>
    <t>082237293103</t>
  </si>
  <si>
    <t>https://drive.google.com/open?id=1QT_BE-67hRiaCjgdBcYM7yxDhZkM_U4D</t>
  </si>
  <si>
    <t>Aldo Banfatin</t>
  </si>
  <si>
    <t>087844081844</t>
  </si>
  <si>
    <t>https://drive.google.com/open?id=1_hkB_fww24F2jdrdUcCbzkD1DCf5h49l</t>
  </si>
  <si>
    <t>Anita ariasandi Bebengu</t>
  </si>
  <si>
    <t>081239920030</t>
  </si>
  <si>
    <t>https://drive.google.com/open?id=13qvsPiXuJDuZ4O6U693lsEE427ZINcUK</t>
  </si>
  <si>
    <t xml:space="preserve">Anita Ariasandi Bebengu </t>
  </si>
  <si>
    <t>https://drive.google.com/open?id=1Wvvem3J87PkfHHdw--o90szzuz3A_jKH</t>
  </si>
  <si>
    <t>Yulhia trifena taopan</t>
  </si>
  <si>
    <t>081246047858</t>
  </si>
  <si>
    <t>https://drive.google.com/open?id=1TLmJrNUnK9wvoC8wBqgOADXOdyJtXxJS</t>
  </si>
  <si>
    <t>Atalia robekan cornelis</t>
  </si>
  <si>
    <t>0812637377388</t>
  </si>
  <si>
    <t>https://drive.google.com/open?id=1eh69GuXLjF18ir6TF1ZaSpHsiA9fRk73</t>
  </si>
  <si>
    <t>ISABELA POUIKCI TEY SERAN</t>
  </si>
  <si>
    <t>Usaha kios 5 bersaudara</t>
  </si>
  <si>
    <t>https://drive.google.com/open?id=1LG9fMsBJR_WSx7znsaijEUyCCmveK8Be</t>
  </si>
  <si>
    <t>Isteroni mooy</t>
  </si>
  <si>
    <t>https://drive.google.com/open?id=1EfUO3zYrxdH5RkJ_7UozmoMJzv0TFk_4</t>
  </si>
  <si>
    <t>Yanti uru ana hida</t>
  </si>
  <si>
    <t>081246068024</t>
  </si>
  <si>
    <t>https://drive.google.com/open?id=1CIkZ4BnupIKGF_-C70LtzQn7dNYi06Rf</t>
  </si>
  <si>
    <t>Jeniati</t>
  </si>
  <si>
    <t>https://drive.google.com/open?id=1zviPmDXAy9C69JIusQBiSfGOwXy0aR4c</t>
  </si>
  <si>
    <t>apriana yanti bus</t>
  </si>
  <si>
    <t>081235804213</t>
  </si>
  <si>
    <t>https://drive.google.com/open?id=1zbjGR0yOxwdKH-JKXvx5y54iW2m7CyNf</t>
  </si>
  <si>
    <t>Jerbian mooy</t>
  </si>
  <si>
    <t>https://drive.google.com/open?id=1NzAdKHx_CV3fRHyTBUYDRmTq2P6VvYqz</t>
  </si>
  <si>
    <t>YATI NATONIS</t>
  </si>
  <si>
    <t>082140718256</t>
  </si>
  <si>
    <t>https://drive.google.com/open?id=1bizIXRSN3XcNIQv-vwAaYyFupU8vckF9, https://drive.google.com/open?id=1FXP-KeBXNoqvgSwsvvhhgeUGuLzKV3mr</t>
  </si>
  <si>
    <t>Stepanus tamu ama</t>
  </si>
  <si>
    <t>081353177181</t>
  </si>
  <si>
    <t>https://drive.google.com/open?id=1UbsB-hOR0KpSfQGx0qA64bn26P1yIT13</t>
  </si>
  <si>
    <t>HABEL FINI</t>
  </si>
  <si>
    <t>087716841963</t>
  </si>
  <si>
    <t>https://drive.google.com/open?id=1N9rc7Ao_FAt6T_Rh_kM06mnT0dEOmU6f</t>
  </si>
  <si>
    <t>Vhyrsand Arisandy Neparasi</t>
  </si>
  <si>
    <t>081339652790</t>
  </si>
  <si>
    <t>https://drive.google.com/open?id=12BJZ20I6NLeyFnQ3oTovOWb0hC9fiPUG</t>
  </si>
  <si>
    <t>JABAL AMIN</t>
  </si>
  <si>
    <t>0815262727282</t>
  </si>
  <si>
    <t>https://drive.google.com/open?id=1Q-IkL9hmVrW-5a6t2plNJNrJPXAO8VEr</t>
  </si>
  <si>
    <t>ANDREAS ASA</t>
  </si>
  <si>
    <t>08511999756</t>
  </si>
  <si>
    <t>https://drive.google.com/open?id=1QDhac-15gn-YjnBJsTQv3TxNDfRucQAo</t>
  </si>
  <si>
    <t xml:space="preserve">Yatman Kobo </t>
  </si>
  <si>
    <t>+6282266463285</t>
  </si>
  <si>
    <t>https://drive.google.com/open?id=1zu_F_WOmAyPhAkDnAiOxWgQmWtOBtpkU</t>
  </si>
  <si>
    <t>Jerbian Mooy</t>
  </si>
  <si>
    <t>085243014863</t>
  </si>
  <si>
    <t>https://drive.google.com/open?id=1qIoy1mpEEfs1ejASfCOQ0Ih4-hB0ZrOR</t>
  </si>
  <si>
    <t>Rini neldes mokos</t>
  </si>
  <si>
    <t>082247918717</t>
  </si>
  <si>
    <t>Macet di lising lain</t>
  </si>
  <si>
    <t>https://drive.google.com/open?id=1i9OxkHsKzBfuIGekaBjyO0QhloDFPPzU</t>
  </si>
  <si>
    <t>Melkianus lu takanjanji</t>
  </si>
  <si>
    <t>085337046657</t>
  </si>
  <si>
    <t>https://drive.google.com/open?id=1OW7bshu2wsLi02Od8FvXxExY9Ea9HT8X</t>
  </si>
  <si>
    <t>RAYMUNDUS HIDA KEDE</t>
  </si>
  <si>
    <t>082234987653</t>
  </si>
  <si>
    <t>https://drive.google.com/open?id=1bIqf9rnFzUs9brlbe-w2H1motn9tq0DM</t>
  </si>
  <si>
    <t>+6282144820324</t>
  </si>
  <si>
    <t>https://drive.google.com/open?id=1nH3b6te-jZo9FEhnE9aWWKEF8v9NOvMq</t>
  </si>
  <si>
    <t>Julan Efesus Okasa Madjen</t>
  </si>
  <si>
    <t>081246820590</t>
  </si>
  <si>
    <t>https://drive.google.com/open?id=1cupgcYTgeD7_CJxZiUyhSX6Ge1NZ3130</t>
  </si>
  <si>
    <t>Felipus Renhans Bessi</t>
  </si>
  <si>
    <t>081233126235</t>
  </si>
  <si>
    <t>https://drive.google.com/open?id=1vqnfibEI-Un8Ozr4s883Il2b0EjjQyDV</t>
  </si>
  <si>
    <t>Maria yunita poli</t>
  </si>
  <si>
    <t>https://drive.google.com/open?id=1OzsfoSjo8uYtdGOFPRz4Fe2CpnaGyjkK</t>
  </si>
  <si>
    <t>Maria fatima kolo</t>
  </si>
  <si>
    <t>082376890321</t>
  </si>
  <si>
    <t>https://drive.google.com/open?id=1lpvAWmPVhL9l4pMXEWehfHj0JAieXAIE</t>
  </si>
  <si>
    <t>Adel yusni petronela betti</t>
  </si>
  <si>
    <t>082236824239</t>
  </si>
  <si>
    <t>https://drive.google.com/open?id=1mY6-gjswg9ZQlLcwt0No_T2mosAi6G-4</t>
  </si>
  <si>
    <t>081358147321</t>
  </si>
  <si>
    <t>https://drive.google.com/open?id=1LaSGTf68Uf8D6kH4BYOTG6L-qKulKOHQ</t>
  </si>
  <si>
    <t>Richard r h medo</t>
  </si>
  <si>
    <t>081246852166</t>
  </si>
  <si>
    <t>https://drive.google.com/open?id=1k3HHiBSi6_cSVk4VgAW4ze8IzacB9T9A</t>
  </si>
  <si>
    <t>Gardon ronardi babu</t>
  </si>
  <si>
    <t>081339837361</t>
  </si>
  <si>
    <t>https://drive.google.com/open?id=1RkwNA9oUxKHCxkunfDFfpR7XO-63lyAF</t>
  </si>
  <si>
    <t>Maria helmina ana making</t>
  </si>
  <si>
    <t>082237933342</t>
  </si>
  <si>
    <t>https://drive.google.com/open?id=17LekKRPwcKaP-cg0_p5w3vfQvUSDWQPI</t>
  </si>
  <si>
    <t>HENDRIKSEVERUS SUBI</t>
  </si>
  <si>
    <t>081228803757</t>
  </si>
  <si>
    <t>https://drive.google.com/open?id=13MjIx-EhpLsVh1s_87UlwZOjge_-FIP1</t>
  </si>
  <si>
    <t>Teti herlina lapaitukung</t>
  </si>
  <si>
    <t>081314660729</t>
  </si>
  <si>
    <t>https://drive.google.com/open?id=1VxV2tmUdC2c8DN_uO5DxM6vznIKJrvtk</t>
  </si>
  <si>
    <t>FRITZ WILLIAM LODOWYK HAWU</t>
  </si>
  <si>
    <t>082237194085</t>
  </si>
  <si>
    <t>https://drive.google.com/open?id=1NKB97687LdUBs737GFG7hEHOPhxJihY8</t>
  </si>
  <si>
    <t>Flaviana nahak</t>
  </si>
  <si>
    <t>082147286039</t>
  </si>
  <si>
    <t>https://drive.google.com/open?id=1snpFdSBpzNewxamQMCe3ca1HA_KZNXgK</t>
  </si>
  <si>
    <t>Erikson u. Jama</t>
  </si>
  <si>
    <t>085191432361</t>
  </si>
  <si>
    <t>https://drive.google.com/open?id=1NQYRUBeHLtLzjaSkTId1b13CQj628sBF</t>
  </si>
  <si>
    <t>Heryanto Salestin Taeki Tnomel</t>
  </si>
  <si>
    <t>085592329852</t>
  </si>
  <si>
    <t>https://drive.google.com/open?id=1gPCQajnWtd58n86_c0n9cjkA6QA-byt_</t>
  </si>
  <si>
    <t>URDAN M.Y. kase</t>
  </si>
  <si>
    <t>082120785989</t>
  </si>
  <si>
    <t>https://drive.google.com/open?id=1SyolOUuw029Uma2FRENqf5VLmor4ro3L</t>
  </si>
  <si>
    <t>YOHANIS MAU TAE</t>
  </si>
  <si>
    <t>081181286459</t>
  </si>
  <si>
    <t>https://drive.google.com/open?id=1nb6CyAWhqm1gRe1wpJPDRHZYL-DG6XO1</t>
  </si>
  <si>
    <t>Aprianus Umbu pati</t>
  </si>
  <si>
    <t>085337550328</t>
  </si>
  <si>
    <t>https://drive.google.com/open?id=1wVLKlzBGTq5B_DNhXxjdxgeRaq46qwtK</t>
  </si>
  <si>
    <t>Apliana lali pora</t>
  </si>
  <si>
    <t>081246255927</t>
  </si>
  <si>
    <t>https://drive.google.com/open?id=1vCTabX-H4aknQH4Boxx9f68he7HlbC_8</t>
  </si>
  <si>
    <t>Tanto hunggu burung</t>
  </si>
  <si>
    <t>081246306835</t>
  </si>
  <si>
    <t>https://drive.google.com/open?id=1gpd8Ha4MO41qYVdNA0Sv6PSU0i3i9GTV</t>
  </si>
  <si>
    <t>https://drive.google.com/open?id=1cFyfs-58OCSynxC5m6eNw5fIhDGugVVN</t>
  </si>
  <si>
    <t>Sufianti ningsi lolo maghu</t>
  </si>
  <si>
    <t>082236615545</t>
  </si>
  <si>
    <t>https://drive.google.com/open?id=1V_yb2jfETOahWe2auYXLTP0XDpmwlJ6N</t>
  </si>
  <si>
    <t>yemima ledoh</t>
  </si>
  <si>
    <t>https://drive.google.com/open?id=1K0bVGN1722KJqOOESB-0CbjSF76H2Eo7</t>
  </si>
  <si>
    <t>Daud Nitbani</t>
  </si>
  <si>
    <t>+6281236686001</t>
  </si>
  <si>
    <t>https://drive.google.com/open?id=14JcfkqV_kf2mnYJkRSOHlp5DWdjbvJuW</t>
  </si>
  <si>
    <t>NOVI ANGECITA MAUMUTANG</t>
  </si>
  <si>
    <t>085126915360</t>
  </si>
  <si>
    <t>https://drive.google.com/open?id=1KPwzl11hmFk3-sAwlGS7UZjI7DboHtfu</t>
  </si>
  <si>
    <t>AGUSTINA MOKOFALA</t>
  </si>
  <si>
    <t>085864151005</t>
  </si>
  <si>
    <t>https://drive.google.com/open?id=1YqxU1liIe52KP0b2_C8F1pEJjX8oIrRX</t>
  </si>
  <si>
    <t>Fitriana Mauring</t>
  </si>
  <si>
    <t>085238317647</t>
  </si>
  <si>
    <t>https://drive.google.com/open?id=1uzMLKeJnPATJS-3PFikvsS_r95PZ15WB</t>
  </si>
  <si>
    <t>Novita Bekak</t>
  </si>
  <si>
    <t>085338317647</t>
  </si>
  <si>
    <t>https://drive.google.com/open?id=1JZQNnPY15dV2XxlOMMuD-GEDgZdSLakH</t>
  </si>
  <si>
    <t>Habel Fini</t>
  </si>
  <si>
    <t>0877168419639</t>
  </si>
  <si>
    <t>https://drive.google.com/open?id=166g0NwOtVmAiXsGPqYVKOJrzvrEQE_01</t>
  </si>
  <si>
    <t>ELIASER THEON</t>
  </si>
  <si>
    <t>082174273017</t>
  </si>
  <si>
    <t>https://drive.google.com/open?id=15M-U3F_YuvJJXQQh4QeMnBnbjM2kpakk</t>
  </si>
  <si>
    <t>YOSLIN OLIN</t>
  </si>
  <si>
    <t>081284822463</t>
  </si>
  <si>
    <t>https://drive.google.com/open?id=1iO7Ztn958Dh2kymvgwnfKEibQTrmueFu</t>
  </si>
  <si>
    <t>Fransiska lopo</t>
  </si>
  <si>
    <t>082217588064</t>
  </si>
  <si>
    <t>https://drive.google.com/open?id=1CCTSDAz3tto6G3STzX31yQk36UaQ-WSS</t>
  </si>
  <si>
    <t>Jefringko Adi putra umbu</t>
  </si>
  <si>
    <t>082130245236</t>
  </si>
  <si>
    <t xml:space="preserve">Proyek </t>
  </si>
  <si>
    <t>https://drive.google.com/open?id=1TjTRulsAt_P_LzBaWqlEwS98HoVZbI0C</t>
  </si>
  <si>
    <t>Yoksan onisimus tenis</t>
  </si>
  <si>
    <t>https://drive.google.com/open?id=1HlAxPtIejnHjSiRTedy7Y4g7IvsLveGI</t>
  </si>
  <si>
    <t>11/13/0025</t>
  </si>
  <si>
    <t>Veronika Baleng</t>
  </si>
  <si>
    <t>085189233003</t>
  </si>
  <si>
    <t>https://drive.google.com/open?id=1dXooKcApLzapfTSMyeTxOFyTIYuAUPnG</t>
  </si>
  <si>
    <t>Mesak selan</t>
  </si>
  <si>
    <t>081237678909</t>
  </si>
  <si>
    <t>https://drive.google.com/open?id=1p3QIakO7SsphYE24dj18bv3WQ30rv8WW</t>
  </si>
  <si>
    <t>Agustina felsiansis klau</t>
  </si>
  <si>
    <t>082146928689</t>
  </si>
  <si>
    <t>https://drive.google.com/open?id=1TBKhodcuefmZAjpJOkHKfpl8E43jVy2J</t>
  </si>
  <si>
    <t xml:space="preserve">Anita hune </t>
  </si>
  <si>
    <t>081339050964</t>
  </si>
  <si>
    <t>https://drive.google.com/open?id=1w6CzgHrVQORMsbMGkGPA5S6zr6iq14rv</t>
  </si>
  <si>
    <t>LENDRAWATI</t>
  </si>
  <si>
    <t>085183853819</t>
  </si>
  <si>
    <t>https://drive.google.com/open?id=1_Y91k0v0f8G6o3-kjweP9tiZUmw3R8Jv</t>
  </si>
  <si>
    <t>Irwan Sukrianto</t>
  </si>
  <si>
    <t>08123613009</t>
  </si>
  <si>
    <t>https://drive.google.com/open?id=1Ts0b2y9yL5kcJopKBiku-9I52_GFTnY6</t>
  </si>
  <si>
    <t xml:space="preserve">Jermi jhoni nubatonis </t>
  </si>
  <si>
    <t>082138879264</t>
  </si>
  <si>
    <t>Rental mobil dan tempat cuci motor mobil</t>
  </si>
  <si>
    <t>https://drive.google.com/open?id=1n98qCdxLGa9s1mkI1cn5RYh91qGdy6Zk</t>
  </si>
  <si>
    <t>Mersiana taus</t>
  </si>
  <si>
    <t>082126011243</t>
  </si>
  <si>
    <t>https://drive.google.com/open?id=1qAbVTvhe5uaTA1-jDlLUHjitgSY_35WB</t>
  </si>
  <si>
    <t>Junida vitriani telnoni</t>
  </si>
  <si>
    <t>https://drive.google.com/open?id=1s6eZxzpbCWdyh6oWUE1DTDNVvtGISgtO</t>
  </si>
  <si>
    <t>Muchamad Karsono</t>
  </si>
  <si>
    <t>082140668384</t>
  </si>
  <si>
    <t>https://drive.google.com/open?id=125NMLBWlWfjcxxgpAeGLq8huuyg2MXyR</t>
  </si>
  <si>
    <t>SERFINUS VITALIS SANI LAKE</t>
  </si>
  <si>
    <t>081236780375</t>
  </si>
  <si>
    <t>https://drive.google.com/open?id=1Fo11yzn1-SdaeUr8w8M_IFbtBtjONcPI</t>
  </si>
  <si>
    <t>AFRIANA RASI</t>
  </si>
  <si>
    <t>087898256754</t>
  </si>
  <si>
    <t>https://drive.google.com/open?id=1dj9FHup5nwJZ4UigVvWudmEeoCzT5ngL</t>
  </si>
  <si>
    <t>Marce Tafui</t>
  </si>
  <si>
    <t>081246362743</t>
  </si>
  <si>
    <t>https://drive.google.com/open?id=1odJsIVp_DhF5_D5XukJEL7YcqHa2213I</t>
  </si>
  <si>
    <t>ROGERIUS PAULINUS RAO</t>
  </si>
  <si>
    <t>082390476128</t>
  </si>
  <si>
    <t>https://drive.google.com/open?id=1LxY7ktjkdKj0EntnmAV_Dv9kvBFjxXkw</t>
  </si>
  <si>
    <t>MARTINUS LINGNGU LANGO</t>
  </si>
  <si>
    <t>085389426731</t>
  </si>
  <si>
    <t>https://drive.google.com/open?id=1rcWzDXCeIfk1VXV3Y-VuoF_WbAe8_FMo</t>
  </si>
  <si>
    <t>Defrit Yonathan Manafe</t>
  </si>
  <si>
    <t>082374610006</t>
  </si>
  <si>
    <t>https://drive.google.com/open?id=1EGpuV08-P7ZbdI4lk0ptbA7oq6Ktutc8</t>
  </si>
  <si>
    <t>Vlegon tneh</t>
  </si>
  <si>
    <t>087872806110</t>
  </si>
  <si>
    <t>https://drive.google.com/open?id=1rHfpL32z77zXeZyS6Op7rJQyfsudOAF7</t>
  </si>
  <si>
    <t>Marsekina tnunay keo</t>
  </si>
  <si>
    <t>081263837397</t>
  </si>
  <si>
    <t>https://drive.google.com/open?id=18kZ736eZ-MgD3sI7IYCH_-Rsl6wWN69m</t>
  </si>
  <si>
    <t>MEKSI MONE</t>
  </si>
  <si>
    <t>Usaha geprek</t>
  </si>
  <si>
    <t>https://drive.google.com/open?id=1U7_mBI8UVqCo1kZUFUOw1CtnmJKNfAS0</t>
  </si>
  <si>
    <t>VORI KLAKIK</t>
  </si>
  <si>
    <t>Kerja digeprek juara</t>
  </si>
  <si>
    <t>https://drive.google.com/open?id=1OI2rLsxJMql0J6afezUtRG6xD5aiK4nP</t>
  </si>
  <si>
    <t>marina mooy</t>
  </si>
  <si>
    <t>089604147468</t>
  </si>
  <si>
    <t>https://drive.google.com/open?id=1jfYx8BoZ_PorgVm9wwhYsh_h3fNSOfgw</t>
  </si>
  <si>
    <t>Yofita Lalu</t>
  </si>
  <si>
    <t>08524252728299</t>
  </si>
  <si>
    <t>https://drive.google.com/open?id=1gjjSeb6Ge98Oki7r2rMk-GeigO2YA81H</t>
  </si>
  <si>
    <t>Flitner jansona beis</t>
  </si>
  <si>
    <t>082322489604</t>
  </si>
  <si>
    <t>https://drive.google.com/open?id=1w94EopY01eVJWC0p5RLVQlep0RJydjmM</t>
  </si>
  <si>
    <t>Lusia kristanti taba leku</t>
  </si>
  <si>
    <t>082129151070</t>
  </si>
  <si>
    <t>https://drive.google.com/open?id=1umgNRyU7s9uPYIj3TbdaeegYofaA00Zq</t>
  </si>
  <si>
    <t>Afrid Apolos</t>
  </si>
  <si>
    <t>081314310112</t>
  </si>
  <si>
    <t>https://drive.google.com/open?id=1GhJkeXvkHInqPsdybevWK1Sj-9NuZvvl</t>
  </si>
  <si>
    <t>SHERLY YOANE LELANGULU</t>
  </si>
  <si>
    <t>081246191450</t>
  </si>
  <si>
    <t>https://drive.google.com/open?id=1P_amiZWkGD8EZqwhimILizCKNAUaiZPG</t>
  </si>
  <si>
    <t>Yetty rambu sori suatu</t>
  </si>
  <si>
    <t>082144601447</t>
  </si>
  <si>
    <t>https://drive.google.com/open?id=1VDHkw0d8NdJwokYn5sa-mVq380k2cwfg</t>
  </si>
  <si>
    <t>Indah adolfina daepanie</t>
  </si>
  <si>
    <t>+6281237762186</t>
  </si>
  <si>
    <t>https://drive.google.com/open?id=1s4P1oQ0AGAc2cIbZbLNlPqdBccbEuImS</t>
  </si>
  <si>
    <t>EFRAIM MALAFU</t>
  </si>
  <si>
    <t>+6282143266989</t>
  </si>
  <si>
    <t>https://drive.google.com/open?id=1SLblX0c7XbOMHRbK8VF0Ip6wLXtlued3</t>
  </si>
  <si>
    <t>Kartika marcus</t>
  </si>
  <si>
    <t>081353030923</t>
  </si>
  <si>
    <t>https://drive.google.com/open?id=1KqLT7uXmk7rYy015tBKqYE-hgp-b3OU0</t>
  </si>
  <si>
    <t>YUSUF ARINATIA TOLEU</t>
  </si>
  <si>
    <t>082175642395</t>
  </si>
  <si>
    <t>https://drive.google.com/open?id=1lQw-AQ5JPRufPSUw5dSsHByo9cUo-FTo</t>
  </si>
  <si>
    <t>Rusniati esti bili</t>
  </si>
  <si>
    <t>081239716539</t>
  </si>
  <si>
    <t>https://drive.google.com/open?id=1r8Vf4gI0VOxBJ9wDdRd89ivNVj8ZQ60c</t>
  </si>
  <si>
    <t>Yohana Lende</t>
  </si>
  <si>
    <t>081236859191</t>
  </si>
  <si>
    <t>https://drive.google.com/open?id=1yAw26eY6BXXRGG-zsTz0JXps-vc_wxrr</t>
  </si>
  <si>
    <t>marhom lahaya</t>
  </si>
  <si>
    <t>085339201094</t>
  </si>
  <si>
    <t>nelayan</t>
  </si>
  <si>
    <t>https://drive.google.com/open?id=1WSySKr0OutmoRSJhU_4_PnCDFfYmWG9_, https://drive.google.com/open?id=1KqJPjCYUdykOiajZhvUU1asrg_LvUY7B</t>
  </si>
  <si>
    <t>Yunita bekak</t>
  </si>
  <si>
    <t>081141048596</t>
  </si>
  <si>
    <t>https://drive.google.com/open?id=1FeECRIvTpIbJB8S7y0plKBYq_Or1lSnU</t>
  </si>
  <si>
    <t>Yanto Edison Bana</t>
  </si>
  <si>
    <t>085800708587</t>
  </si>
  <si>
    <t>https://drive.google.com/open?id=1FWHOjTFvWYJodaulMiZZA6kM4K5YshnW</t>
  </si>
  <si>
    <t>Menciana sole</t>
  </si>
  <si>
    <t>081327195872</t>
  </si>
  <si>
    <t>https://drive.google.com/open?id=1f6CiJ1a65ahgJGDR82t_FQNsqXPkPR7A</t>
  </si>
  <si>
    <t>Marlinda kahi timba</t>
  </si>
  <si>
    <t>082266015403</t>
  </si>
  <si>
    <t>https://drive.google.com/open?id=1rotxOFxm1yavNvHFAbj8lFALOZPwKgo7</t>
  </si>
  <si>
    <t>Siti Linda Trisnawati Oktavia Tali Riwu</t>
  </si>
  <si>
    <t>081246071599</t>
  </si>
  <si>
    <t>https://drive.google.com/open?id=1dMt_A4JPRMcWPbGw0CKw1lZ1oT7xWdCm</t>
  </si>
  <si>
    <t>Ujel kinju praing</t>
  </si>
  <si>
    <t>082266401716</t>
  </si>
  <si>
    <t>https://drive.google.com/open?id=1mvO2uPwtnGcjRz-4KG45-URkkjVFJTSr</t>
  </si>
  <si>
    <t>FRIDOLINA NUSIN</t>
  </si>
  <si>
    <t>082144019244</t>
  </si>
  <si>
    <t>https://drive.google.com/open?id=1tVMXMbjSHovhkosklrEV6y74GymAsQ1S</t>
  </si>
  <si>
    <t xml:space="preserve">Erna Engglina Leoanak </t>
  </si>
  <si>
    <t>082340807717</t>
  </si>
  <si>
    <t>https://drive.google.com/open?id=1B9xyotx9JHpPh_uEllmxGZCfDWclU8np</t>
  </si>
  <si>
    <t>Ayunda tini langkola</t>
  </si>
  <si>
    <t>https://drive.google.com/open?id=13i_mUOf9dW6AaN5P-hhs1ZsjJwhmvRxC</t>
  </si>
  <si>
    <t>Rosi malina ataupah</t>
  </si>
  <si>
    <t>081254741216</t>
  </si>
  <si>
    <t>https://drive.google.com/open?id=1NNMMYbbm-yv5_gnJmU-WN3LLJP36146X</t>
  </si>
  <si>
    <t>Dewo oktopriandani</t>
  </si>
  <si>
    <t>082247372262</t>
  </si>
  <si>
    <t>https://drive.google.com/open?id=1yLwpVEeAqW_MDjVlZIFDJBm0-1ryc5xI</t>
  </si>
  <si>
    <t>Stefani deli luruk</t>
  </si>
  <si>
    <t>082146018323</t>
  </si>
  <si>
    <t>https://drive.google.com/open?id=1lMMUIR6a1tuG5uwePCy-6EbgTHmNFElj</t>
  </si>
  <si>
    <t>STEFANI PATRISIA FIORI</t>
  </si>
  <si>
    <t>081398319277</t>
  </si>
  <si>
    <t>https://drive.google.com/open?id=1BRzep7PGoDsvvUb1HM9QTZgHBF5IS1vA</t>
  </si>
  <si>
    <t>Dewinta seran</t>
  </si>
  <si>
    <t>081233126086</t>
  </si>
  <si>
    <t>https://drive.google.com/open?id=1f3EHu12DECIvhn46JDFUvrPvcafwIO27</t>
  </si>
  <si>
    <t>Hadrianus Alex Tukan</t>
  </si>
  <si>
    <t>082146502072</t>
  </si>
  <si>
    <t>https://drive.google.com/open?id=1tm_NJEpkw7sXXrUUc4_1YKkmYJlFqL_I</t>
  </si>
  <si>
    <t>Obo elisabet dael</t>
  </si>
  <si>
    <t>082127226364</t>
  </si>
  <si>
    <t>Karyawan prima elektronik</t>
  </si>
  <si>
    <t>https://drive.google.com/open?id=1kGZOfp8HYU7q6OtldjLDWAJAu6blA1_c</t>
  </si>
  <si>
    <t>YULIANA METBOKI</t>
  </si>
  <si>
    <t>082334890450</t>
  </si>
  <si>
    <t>https://drive.google.com/open?id=1uJMvo73gnbtoyT0GxjtFwRGWWwWRLQTo</t>
  </si>
  <si>
    <t>Margaretha wolla</t>
  </si>
  <si>
    <t>085337544894</t>
  </si>
  <si>
    <t>https://drive.google.com/open?id=1WH11yXdR-q5b6jsiPN7Uf9NMW1r8ixQo</t>
  </si>
  <si>
    <t>Dominggos sebastiao</t>
  </si>
  <si>
    <t>082144236701</t>
  </si>
  <si>
    <t>https://drive.google.com/open?id=1-UI8gtJZqzNDMH4C2CF9DAueZDlpMh31</t>
  </si>
  <si>
    <t>Janiarius Baki Dju</t>
  </si>
  <si>
    <t>082211827297</t>
  </si>
  <si>
    <t>https://drive.google.com/open?id=1TP3_wf6CdgSJt0UPDiH1izDONb0p23Fb</t>
  </si>
  <si>
    <t xml:space="preserve">Maria sofia Bano Nahak </t>
  </si>
  <si>
    <t>082298388437</t>
  </si>
  <si>
    <t>https://drive.google.com/open?id=1YknJBlsrLs-OCG2biEy3830uTvJzZgAa</t>
  </si>
  <si>
    <t>PETRONELA OELEU</t>
  </si>
  <si>
    <t>085167109628</t>
  </si>
  <si>
    <t>https://drive.google.com/open?id=1BYgPrV8PKcALvuXKc_O_W7ZXBkakMnWO</t>
  </si>
  <si>
    <t>MELKIANUS JOIVEN DJERU</t>
  </si>
  <si>
    <t>085338282472</t>
  </si>
  <si>
    <t>https://drive.google.com/open?id=1GErJ_aj0mOh0st1kkQIvgxLLRjHeGvBT</t>
  </si>
  <si>
    <t>pance christofel lassay</t>
  </si>
  <si>
    <t>082221545271</t>
  </si>
  <si>
    <t>https://drive.google.com/open?id=1V8N3eMQiypSbg6WeoonsKklo2wOIg20Q</t>
  </si>
  <si>
    <t>Adriana Rosa Ridi Retang</t>
  </si>
  <si>
    <t>081529422062</t>
  </si>
  <si>
    <t>https://drive.google.com/open?id=1JD6V2irtifvEJnSho-9wAU-A-kNHGz6T</t>
  </si>
  <si>
    <t>Yanti maria sabneno</t>
  </si>
  <si>
    <t>085600266462</t>
  </si>
  <si>
    <t>https://drive.google.com/open?id=1ZOZIchVKejW1cQHSOTm_3En6374KMU85</t>
  </si>
  <si>
    <t>Margaretha lambu</t>
  </si>
  <si>
    <t>085337235223</t>
  </si>
  <si>
    <t>https://drive.google.com/open?id=1E3dXeKws04uqm16jNzE6A4cDwt9tJMb_</t>
  </si>
  <si>
    <t>maria krisanti oeleu</t>
  </si>
  <si>
    <t>081247727211</t>
  </si>
  <si>
    <t>https://drive.google.com/open?id=1H81ZmnYHREmKP49q4k109YQ4ZCE4RV6H</t>
  </si>
  <si>
    <t>ANJELI FLORENTINA SALY</t>
  </si>
  <si>
    <t>082318585241</t>
  </si>
  <si>
    <t>https://drive.google.com/open?id=1_VkJWs0affLPcRLfFGMLxm0EZwXYFuxQ</t>
  </si>
  <si>
    <t>Lidia Nono</t>
  </si>
  <si>
    <t>081239109566</t>
  </si>
  <si>
    <t>https://drive.google.com/open?id=1U3kfqJ7KQKK5kp04KCG6ogDp08V0R13v</t>
  </si>
  <si>
    <t>Laka bidda</t>
  </si>
  <si>
    <t>081237389510</t>
  </si>
  <si>
    <t>https://drive.google.com/open?id=1KyBK21AlRM_L9Zxc0U5fSCpi2vhGQxja</t>
  </si>
  <si>
    <t>Maryana pindy ndjola</t>
  </si>
  <si>
    <t>081246241143</t>
  </si>
  <si>
    <t>Sribumi</t>
  </si>
  <si>
    <t>https://drive.google.com/open?id=1foSH_LE76hi9OZlNrbD_ZnlxfHloPqEt</t>
  </si>
  <si>
    <t>D'karlin kolnesi</t>
  </si>
  <si>
    <t>08244260987</t>
  </si>
  <si>
    <t>https://drive.google.com/open?id=1D8e6TX1jEogFFXmcJB1UEGcyypx-02ee</t>
  </si>
  <si>
    <t>Yakobus kloit</t>
  </si>
  <si>
    <t>https://drive.google.com/open?id=1kG7AMsxzMNHeVtr-pTC4p1zqPuivyPkV</t>
  </si>
  <si>
    <t>Arif korinus nebe</t>
  </si>
  <si>
    <t>085738431544</t>
  </si>
  <si>
    <t>https://drive.google.com/open?id=1Yg9h7sPZtidP3PU5d820VI5gJlCFkUQu</t>
  </si>
  <si>
    <t>Maya Nuhalawang</t>
  </si>
  <si>
    <t>082236796123</t>
  </si>
  <si>
    <t>https://drive.google.com/open?id=10wevJijWCdT3XhkBB6o-4Z5kKS8fipM_</t>
  </si>
  <si>
    <t>Iarshela Ridwan</t>
  </si>
  <si>
    <t>083166586796</t>
  </si>
  <si>
    <t>https://drive.google.com/open?id=1muNdl4juVvqDIq1JiywNQK_U-9vZyyef</t>
  </si>
  <si>
    <t>11/14/0025</t>
  </si>
  <si>
    <t>https://drive.google.com/open?id=12WzUUpNuxGn4bqKZ8NRlHPr4YD4WOJGX</t>
  </si>
  <si>
    <t>082236589815</t>
  </si>
  <si>
    <t>https://drive.google.com/open?id=1m9pUH26KeUD6Q8apxo0NC4F07D1EAknI</t>
  </si>
  <si>
    <t>Filbert feliph sarlot</t>
  </si>
  <si>
    <t>085333082845</t>
  </si>
  <si>
    <t>https://drive.google.com/open?id=10Vfr_jL3E8RBZcmxCL2X8wzcdhPThnzU</t>
  </si>
  <si>
    <t>Diana Maria Freitas</t>
  </si>
  <si>
    <t>081529590568</t>
  </si>
  <si>
    <t>https://drive.google.com/open?id=1170p85EzO86CDb6hYYnEnOWTMwqxi9O9</t>
  </si>
  <si>
    <t>Ignasius holo</t>
  </si>
  <si>
    <t>082146253646</t>
  </si>
  <si>
    <t>https://drive.google.com/open?id=1KgD1PcgrJgyFM4lzP6a2XE0AFCkCIEDx</t>
  </si>
  <si>
    <t>Dendry Adoe</t>
  </si>
  <si>
    <t>082341667981</t>
  </si>
  <si>
    <t>https://drive.google.com/open?id=1ffMeZ8ZUWbFYNx8NGKGyIyJZ0wg1zdbi</t>
  </si>
  <si>
    <t>Marianus Dewalking</t>
  </si>
  <si>
    <t>081236016675</t>
  </si>
  <si>
    <t>Pengacara</t>
  </si>
  <si>
    <t>https://drive.google.com/open?id=1HoMtP_TD8Q9jehZ84pYMfFgows32qYlT</t>
  </si>
  <si>
    <t>Mirnawati Nelbara Nuban</t>
  </si>
  <si>
    <t>081237534472</t>
  </si>
  <si>
    <t>https://drive.google.com/open?id=1XBbNXN7O2u3FDHPSVt94pYGl_mWUOpEw</t>
  </si>
  <si>
    <t>0812358801231</t>
  </si>
  <si>
    <t>pangkas</t>
  </si>
  <si>
    <t>https://drive.google.com/open?id=1Jw7D4a3843J44fnOj7rQ4ZtTGiJAyG1M</t>
  </si>
  <si>
    <t>Yuliana Lassa</t>
  </si>
  <si>
    <t>081338190964</t>
  </si>
  <si>
    <t>https://drive.google.com/open?id=1CGhqGDFNK0JadWcAgjrsiZLmloaRNpVu</t>
  </si>
  <si>
    <t>Sitti rahmawati</t>
  </si>
  <si>
    <t>082235137396</t>
  </si>
  <si>
    <t>https://drive.google.com/open?id=1DqRerPLYc6ZDOCfs_xFs-GkFIeUrepTU</t>
  </si>
  <si>
    <t>Paulus lede ngongo</t>
  </si>
  <si>
    <t>085238633046</t>
  </si>
  <si>
    <t>https://drive.google.com/open?id=1L7uiS8JyPjgMgugyZ3BOleQJjqgilI_2</t>
  </si>
  <si>
    <t>Yati Yatonis</t>
  </si>
  <si>
    <t>Asisten Rumah Tangga</t>
  </si>
  <si>
    <t>https://drive.google.com/open?id=14Q2IDQS9ookbQgGDJbYb53tuWijHv9W-</t>
  </si>
  <si>
    <t>FREDERIKA ALVONSIA LENGO</t>
  </si>
  <si>
    <t>Theresia wini</t>
  </si>
  <si>
    <t>081234900786</t>
  </si>
  <si>
    <t>https://drive.google.com/open?id=1DTSa21851iON5sxkwp01kxT_ATypgi3L</t>
  </si>
  <si>
    <t>Gasper metusak tanesib</t>
  </si>
  <si>
    <t>082146229156</t>
  </si>
  <si>
    <t>https://drive.google.com/open?id=1u6rF6iRgVRP4DKn6Tz9sjY_fulyvGzaL</t>
  </si>
  <si>
    <t>11/15/0025</t>
  </si>
  <si>
    <t>Yerison Giri</t>
  </si>
  <si>
    <t>082352058832</t>
  </si>
  <si>
    <t>https://drive.google.com/open?id=1SNCHkjvFEfo4PMI6P_JsrEnhYvVMlIqC</t>
  </si>
  <si>
    <t>Riyendra Tanjung</t>
  </si>
  <si>
    <t>082147972170</t>
  </si>
  <si>
    <t>https://drive.google.com/open?id=1CEh7xwRjh3a02LKHNNZwIOs2WPnp-dLl, https://drive.google.com/open?id=1PNZ2trRmR68u9mg4KyeJZaA_FlBCnMrd, https://drive.google.com/open?id=1LSQce11lsBLGbj5hvSHnICjTOSC1oN54, https://drive.google.com/open?id=1L5cj_QhimwfiXo_6pJzOC02-z4EVlL9m</t>
  </si>
  <si>
    <t>FRIDOLINA PAKAE</t>
  </si>
  <si>
    <t>081246073984</t>
  </si>
  <si>
    <t>https://drive.google.com/open?id=15h_y-v5HCGh3Y_-aX3ZodGSlv2fZSPqf</t>
  </si>
  <si>
    <t>Dian safitri</t>
  </si>
  <si>
    <t>081337820794</t>
  </si>
  <si>
    <t>https://drive.google.com/open?id=1ygL0BR8lnX9CLIxHDROMitaagt3AFk5m</t>
  </si>
  <si>
    <t>ESTER MAGI LODA</t>
  </si>
  <si>
    <t>081337785392</t>
  </si>
  <si>
    <t>https://drive.google.com/open?id=1jsG3HNGbCUtCHyXgBftsDOqQJvFK6iYP</t>
  </si>
  <si>
    <t>https://drive.google.com/open?id=1rHi6Q2Rj5iog9r8twVZbDIC9j5zNypIB</t>
  </si>
  <si>
    <t>NAFSIA JAUDAH</t>
  </si>
  <si>
    <t>082247866706</t>
  </si>
  <si>
    <t>https://drive.google.com/open?id=1Ax8ieDCuDh5JArv1Q6DveOKS1J7HDWge</t>
  </si>
  <si>
    <t>Faustina Ari Sinanuwa</t>
  </si>
  <si>
    <t>081238991683</t>
  </si>
  <si>
    <t>https://drive.google.com/open?id=13ffiFg44y9vhxnaEYd0I8aL8DGAsIyqz</t>
  </si>
  <si>
    <t>Anjelina Bani</t>
  </si>
  <si>
    <t>081214078611</t>
  </si>
  <si>
    <t>https://drive.google.com/open?id=1C2EGepXhRNDr2d4aGLqS-aK4rgXst82K</t>
  </si>
  <si>
    <t>https://drive.google.com/open?id=1F_jKp7UmdQoI9Z0QLLUojiRtRp3-_dl0</t>
  </si>
  <si>
    <t xml:space="preserve">SESILIA LIWU </t>
  </si>
  <si>
    <t>08152636377373</t>
  </si>
  <si>
    <t>https://drive.google.com/open?id=1SYg1_n2pYgnJ7cnCuOiDJWiRaoOoAN4o</t>
  </si>
  <si>
    <t>YORI YAKSON MALELAK</t>
  </si>
  <si>
    <t>081238115120</t>
  </si>
  <si>
    <t>https://drive.google.com/open?id=1ifP02RMDIu3A0gTkkvRTNoHnweSAbpuZ</t>
  </si>
  <si>
    <t xml:space="preserve">Adinda Valery Valeron Naffie </t>
  </si>
  <si>
    <t>081244581906</t>
  </si>
  <si>
    <t>https://drive.google.com/open?id=1jIUWEv4kKJFUDSs5gQv6dt6Sdr03PLiy</t>
  </si>
  <si>
    <t>Maria Octoviyanti Matauvina</t>
  </si>
  <si>
    <t>085232444080</t>
  </si>
  <si>
    <t>https://drive.google.com/open?id=1FPwsvjF_66UMWJ-W0ZD6Y6ocThpH_SVl</t>
  </si>
  <si>
    <t>0827273651511</t>
  </si>
  <si>
    <t>https://drive.google.com/open?id=1LwaOFBCFmqkKPka49MO5L2VMDOgu-Fbq</t>
  </si>
  <si>
    <t>Sephia Indarty Desmeryanti</t>
  </si>
  <si>
    <t>081297727844</t>
  </si>
  <si>
    <t>https://drive.google.com/open?id=1TbUTWmkNBmP782RhI1V0BfyeVomIOrUk</t>
  </si>
  <si>
    <t>Arkilaus nomleni</t>
  </si>
  <si>
    <t>082144232022</t>
  </si>
  <si>
    <t>https://drive.google.com/open?id=1CULVGvC-XjzLfavPPdopwxzIT1LbDelb</t>
  </si>
  <si>
    <t>Robertus Luis Koa</t>
  </si>
  <si>
    <t>081345440559</t>
  </si>
  <si>
    <t>https://drive.google.com/open?id=1_XUhlultFgriyyod9WT0-tHwn4IpttaA</t>
  </si>
  <si>
    <t>Jonti manoh</t>
  </si>
  <si>
    <t>082146741299</t>
  </si>
  <si>
    <t>https://drive.google.com/open?id=1za8LnnyvX7ZJ3gkPDfZoaX6CbDd0mLnl</t>
  </si>
  <si>
    <t>Henderikus lassi</t>
  </si>
  <si>
    <t>082146957448</t>
  </si>
  <si>
    <t>https://drive.google.com/open?id=1tiNO237tGwsk-KdAIFdZqTQvR9yN9AMM</t>
  </si>
  <si>
    <t>GRADIANA BIFEL</t>
  </si>
  <si>
    <t>081246073867</t>
  </si>
  <si>
    <t>https://drive.google.com/open?id=1YqWSJjFExqoCkPyJ1tReklmS8v21MJob</t>
  </si>
  <si>
    <t>Requelme suek</t>
  </si>
  <si>
    <t>082145145236</t>
  </si>
  <si>
    <t>https://drive.google.com/open?id=1k-gdkZ0zMt2t5I2uTNMsFO4sRppqrrkP</t>
  </si>
  <si>
    <t>Antonius Ronaldo Tende</t>
  </si>
  <si>
    <t>081260024821</t>
  </si>
  <si>
    <t>https://drive.google.com/open?id=1r_fGOaBK-91qMpplUy9xQXY-emBP-q76</t>
  </si>
  <si>
    <t xml:space="preserve">Andjainy Sarita fanggidae </t>
  </si>
  <si>
    <t>082147899341</t>
  </si>
  <si>
    <t>https://drive.google.com/open?id=1l0lK3p5SSfCaGOiKmJhawLv9LynBU2wB</t>
  </si>
  <si>
    <t>Jefira Marlia Hendrik</t>
  </si>
  <si>
    <t>081547348588</t>
  </si>
  <si>
    <t>https://drive.google.com/open?id=13OcgKesP4kysjubafN_oVuBzdoC4H8bG</t>
  </si>
  <si>
    <t>Johanes ade putra noip</t>
  </si>
  <si>
    <t>085253651747</t>
  </si>
  <si>
    <t>https://drive.google.com/open?id=1tfg33Kc4nwF3OSz7DQRWbQCe5Id7nJkY</t>
  </si>
  <si>
    <t>NURJEN FRONI AMBROSIUS SELAN</t>
  </si>
  <si>
    <t>081237852522</t>
  </si>
  <si>
    <t>https://drive.google.com/open?id=1hzBr_TpnFkMX68O31OYN0Yqnckf4cRSn</t>
  </si>
  <si>
    <t>Trichika balluk</t>
  </si>
  <si>
    <t>087789564540</t>
  </si>
  <si>
    <t>https://drive.google.com/open?id=1eVXSRhqGvJYw2DwUwJYDkiQF6lBNwiyc</t>
  </si>
  <si>
    <t>Resti rostanti manafe</t>
  </si>
  <si>
    <t>085338216178</t>
  </si>
  <si>
    <t>https://drive.google.com/open?id=1DBo_VesJByZpKcK2mrRXUrRlyESkFxuq</t>
  </si>
  <si>
    <t>ARIFIN AWAD</t>
  </si>
  <si>
    <t>085138918580</t>
  </si>
  <si>
    <t>https://drive.google.com/open?id=1PTf5iJ7SHLrVv2Nq-etwZIkE9btkH2QH</t>
  </si>
  <si>
    <t>arianto panie</t>
  </si>
  <si>
    <t>081235880312</t>
  </si>
  <si>
    <t>https://drive.google.com/open?id=1BMfwopZj6kxg9b2P6eeiLt5FUqZXggL_</t>
  </si>
  <si>
    <t>Kalfinus Bora bulu</t>
  </si>
  <si>
    <t>https://drive.google.com/open?id=14AAQGnYcIcjpq3pHcH0K5dK83b6pL1jF</t>
  </si>
  <si>
    <t>Jenitresia Abanat</t>
  </si>
  <si>
    <t>082133566788</t>
  </si>
  <si>
    <t>https://drive.google.com/open?id=1fHWRyJltpLs4yTcT-0yMA4PBDFoZsOfV</t>
  </si>
  <si>
    <t>Yusni Ndaumanu</t>
  </si>
  <si>
    <t>082133455133</t>
  </si>
  <si>
    <t>https://drive.google.com/open?id=1lBpwmo23g4nbkyqaYWqD0uSKepWt3GIl</t>
  </si>
  <si>
    <t>Novi Kornelia Sinale</t>
  </si>
  <si>
    <t>081239248416</t>
  </si>
  <si>
    <t>https://drive.google.com/open?id=1qKLeC6SWYUKBJviKrBwI6we2tO8Wdme2</t>
  </si>
  <si>
    <t>Irna nedu</t>
  </si>
  <si>
    <t>https://drive.google.com/open?id=1h2pzuEgrjPZrID0YasSCpBDS1-SrXPaP</t>
  </si>
  <si>
    <t>Himarniandari</t>
  </si>
  <si>
    <t>082237014911</t>
  </si>
  <si>
    <t>https://drive.google.com/open?id=1qRdIUwlpx1NLvoeEDksLNh_JRrt2UbRR</t>
  </si>
  <si>
    <t>Irna</t>
  </si>
  <si>
    <t>https://drive.google.com/open?id=1gXMdDCxnHr68670BaH5fRuXIDSZiC5Ad</t>
  </si>
  <si>
    <t>Theodorus agustinus pora</t>
  </si>
  <si>
    <t>082339661539</t>
  </si>
  <si>
    <t>https://drive.google.com/open?id=1ilLx_ShaYf0B9Mp--Igt8QSEVz1CPUFT</t>
  </si>
  <si>
    <t>Paulina</t>
  </si>
  <si>
    <t>https://drive.google.com/open?id=1Li6FMJvGi6De5Nro1ye-BOKGx6kh7waF</t>
  </si>
  <si>
    <t xml:space="preserve">Paulina </t>
  </si>
  <si>
    <t>https://drive.google.com/open?id=1CbhP48t3oVe7QDOBZ_r8hRUmR21X7a2m</t>
  </si>
  <si>
    <t>Marteda ida yohana selan</t>
  </si>
  <si>
    <t>082145208836</t>
  </si>
  <si>
    <t>https://drive.google.com/open?id=1jT-nNFgbsBT8A3xR4GtCAvaCjv_LQBJG</t>
  </si>
  <si>
    <t>Yuliana lende</t>
  </si>
  <si>
    <t>https://drive.google.com/open?id=1vPx3dfvLyyRDqEwe-CNzxp3YS0KML0kU</t>
  </si>
  <si>
    <t>Silas raingo deha</t>
  </si>
  <si>
    <t>https://drive.google.com/open?id=1q7M3o_6ZsO90BxuuuPU5DZLgAMlmZZ9V</t>
  </si>
  <si>
    <t>Jamres saebani</t>
  </si>
  <si>
    <t>085189233246</t>
  </si>
  <si>
    <t>https://drive.google.com/open?id=1L-2Q6-68DddknL-fCcI5jb5cOap3snE4</t>
  </si>
  <si>
    <t>Yulita matilde tafuli</t>
  </si>
  <si>
    <t>082237314023</t>
  </si>
  <si>
    <t>https://drive.google.com/open?id=1oIdC5inU9nCM1dgTA_RnZJOCnUBGQEt7</t>
  </si>
  <si>
    <t>JENI UMBU RADJA</t>
  </si>
  <si>
    <t>089528540647</t>
  </si>
  <si>
    <t>https://drive.google.com/open?id=1sZJ0JlYCJxWPcq43EwzKJs4qSn8_Jiyh</t>
  </si>
  <si>
    <t>MARIA ALE TONY S.PD.SD</t>
  </si>
  <si>
    <t>081236110973</t>
  </si>
  <si>
    <t>https://drive.google.com/open?id=1E6E-32sFMOp0_7SXvXlB7BNpkomIS5uP</t>
  </si>
  <si>
    <t>Alviyandro dendu ngara</t>
  </si>
  <si>
    <t>081246905605</t>
  </si>
  <si>
    <t>https://drive.google.com/open?id=1mq9tsg8a9-LrLcQZdsqpWV06MIUZTLKX</t>
  </si>
  <si>
    <t>Rovaldo huka pati</t>
  </si>
  <si>
    <t>085124143586</t>
  </si>
  <si>
    <t>https://drive.google.com/open?id=13y8Wa58XtH0-4GjlFo2_rLhshYdSHhLb</t>
  </si>
  <si>
    <t>Yamin jabaanam  ora</t>
  </si>
  <si>
    <t>081353096190</t>
  </si>
  <si>
    <t>https://drive.google.com/open?id=1o822SiOmtWeJXiRxazklfwgQ4y10z_pC</t>
  </si>
  <si>
    <t>Joice Adriana djami</t>
  </si>
  <si>
    <t>https://drive.google.com/open?id=16VDjmttg8bhD40CMdT6iXl5FYdTdZ0SZ</t>
  </si>
  <si>
    <t>JONKY TUKE</t>
  </si>
  <si>
    <t>085165047646</t>
  </si>
  <si>
    <t>https://drive.google.com/open?id=1-G3LGMo_VdF9AdJLWOMlQ-cLPp202JFc</t>
  </si>
  <si>
    <t>Melathon takadjaji</t>
  </si>
  <si>
    <t>081246530826</t>
  </si>
  <si>
    <t>https://drive.google.com/open?id=1OwSOhxRjtBAsZ4d2U7dddyLjZz4xePWD</t>
  </si>
  <si>
    <t>Aplonia naiburo</t>
  </si>
  <si>
    <t>+6281339741685</t>
  </si>
  <si>
    <t>Paruh waktu</t>
  </si>
  <si>
    <t>https://drive.google.com/open?id=1VsSTxSxcjIMfDO08--ys5eqouMxKiedJ</t>
  </si>
  <si>
    <t>Febriani oda dewi balol</t>
  </si>
  <si>
    <t>082147442274</t>
  </si>
  <si>
    <t>https://drive.google.com/open?id=1qQjDhzxUl_VwsjBwL2Q7FqWyGThuR8pe</t>
  </si>
  <si>
    <t>Gerald indra petrus paulus</t>
  </si>
  <si>
    <t>082144550763</t>
  </si>
  <si>
    <t>Wirswasta</t>
  </si>
  <si>
    <t>https://drive.google.com/open?id=1yZvinkvNEkoznIJDUW-BHZUOWD5I_jcR</t>
  </si>
  <si>
    <t>Nurnanining Kaupukong</t>
  </si>
  <si>
    <t>https://drive.google.com/open?id=1v00s8JcfDlNY542OIXxYwiNiNdHSn2em</t>
  </si>
  <si>
    <t>THEODORA UNA SENGKOEN</t>
  </si>
  <si>
    <t>085238890367</t>
  </si>
  <si>
    <t>https://drive.google.com/open?id=1RF82iy1Zx-cnZ7MmZKtUALh6R9R4CU7_</t>
  </si>
  <si>
    <t>Serli tana</t>
  </si>
  <si>
    <t>081291541874</t>
  </si>
  <si>
    <t>https://drive.google.com/open?id=1i7PNkcITM_OBN5syLqPG-kenzwQqiMbD</t>
  </si>
  <si>
    <t>CRISTIN AUSDAYANI RIWU</t>
  </si>
  <si>
    <t>https://drive.google.com/open?id=1iMqZbQ8rv-OkOsnvJE1gbdIRQBB-GbMq</t>
  </si>
  <si>
    <t>Siti Enga</t>
  </si>
  <si>
    <t>085238508666</t>
  </si>
  <si>
    <t>https://drive.google.com/open?id=1eGK2Iw9WUFS9wC_1lebwP467TcyFJBXY</t>
  </si>
  <si>
    <t>PETRONELA GA DJAMI</t>
  </si>
  <si>
    <t>082214432169</t>
  </si>
  <si>
    <t>https://drive.google.com/open?id=1DdzVyXKUoPB0A07uz7d580BdRQp5j8t3</t>
  </si>
  <si>
    <t>Nimrot umbu pati. S. Sp</t>
  </si>
  <si>
    <t>085239177833</t>
  </si>
  <si>
    <t>https://drive.google.com/open?id=1VFfgHt2c7Mvf84PPSQK07ur8AyBEtnT3</t>
  </si>
  <si>
    <t>Petronela ga djami</t>
  </si>
  <si>
    <t>https://drive.google.com/open?id=1caKqdSLrP-1FIZl3d6-wN_t3_AbhEmlm</t>
  </si>
  <si>
    <t>Putriana Febryanti Purba</t>
  </si>
  <si>
    <t>082272573812</t>
  </si>
  <si>
    <t>https://drive.google.com/open?id=1-fb_OreYI1WE6s9c6STy28jSD6ilnll0</t>
  </si>
  <si>
    <t>Yendri elizabeth bereloe</t>
  </si>
  <si>
    <t>082144479991</t>
  </si>
  <si>
    <t>https://drive.google.com/open?id=1cfTLTxjy9R-qT9DQE9S-dNIKb3vJx1mW</t>
  </si>
  <si>
    <t>YENDRI ELISHABET BERELOE</t>
  </si>
  <si>
    <t>Lisa pedi jola</t>
  </si>
  <si>
    <t>https://drive.google.com/open?id=1YHHhtnQLHBnVUDZ4QvWRjVOzUJJ6Z6Iu</t>
  </si>
  <si>
    <t>FARAH SARUNA</t>
  </si>
  <si>
    <t>https://drive.google.com/open?id=1azKAJqWY_70PvgqHT1PWhZEImJAmXZXm</t>
  </si>
  <si>
    <t>Arpaksad mau</t>
  </si>
  <si>
    <t>089504993494</t>
  </si>
  <si>
    <t>Macet lising lain</t>
  </si>
  <si>
    <t>https://drive.google.com/open?id=1iYPZDkv-MygzbrMhsYm2rR2n9yiSOKeF</t>
  </si>
  <si>
    <t>HORIYANTO ANA MEHA</t>
  </si>
  <si>
    <t>081239428967</t>
  </si>
  <si>
    <t>https://drive.google.com/open?id=1rGFF2CvV_YadJ6RFE6y06SksyUlVf-_D</t>
  </si>
  <si>
    <t>ANGELINA JENIATI KALLU</t>
  </si>
  <si>
    <t>https://drive.google.com/open?id=1rvVoBcsFLs4rb8ISTqHNDO4XOuh89Dy9</t>
  </si>
  <si>
    <t>maria magdelena oukoil</t>
  </si>
  <si>
    <t>081236740480</t>
  </si>
  <si>
    <t>https://drive.google.com/open?id=1VqxpuXrpmrSzxNe-RHViKH6s5y7Dyw01</t>
  </si>
  <si>
    <t>Anggie meysu suryati</t>
  </si>
  <si>
    <t>082227208819</t>
  </si>
  <si>
    <t>https://drive.google.com/open?id=10pM-IxJZYAoYDlmsYHqyVBlQaDg62tmL</t>
  </si>
  <si>
    <t xml:space="preserve">Stefany Petrisia Wangga Ndima </t>
  </si>
  <si>
    <t>081381795172</t>
  </si>
  <si>
    <t>https://drive.google.com/open?id=1iqZVowhOTAFK3ZFGA9qy6mwfdWeMViVq</t>
  </si>
  <si>
    <t>Aksamina tafuli</t>
  </si>
  <si>
    <t>082338637612</t>
  </si>
  <si>
    <t>https://drive.google.com/open?id=1czZ1Rl3rl85VC09HNTD4UpKEU_FqjziJ</t>
  </si>
  <si>
    <t>Petronela faot</t>
  </si>
  <si>
    <t>081239963192</t>
  </si>
  <si>
    <t>https://drive.google.com/open?id=1bw7GhB9HNBpCp-Jg5PuYP4EUPeE88ILd</t>
  </si>
  <si>
    <t>PETRUS RATU MBANI</t>
  </si>
  <si>
    <t>082338333386</t>
  </si>
  <si>
    <t>Kariawan pt muria sumba mnis</t>
  </si>
  <si>
    <t>https://drive.google.com/open?id=1-HH7W7Zppq5ts_STcnRq5U_TzMy5fBj2</t>
  </si>
  <si>
    <t>Maria Oukoil</t>
  </si>
  <si>
    <t>https://drive.google.com/open?id=13UbZhn0XItqBFrrMZzRUO4Ysm8-hHwE6</t>
  </si>
  <si>
    <t>Naomi ratu</t>
  </si>
  <si>
    <t>082145164399</t>
  </si>
  <si>
    <t>https://drive.google.com/open?id=1Dj_i20XoA2qp_UJb8Mz2nNCEzqeFkZrZ</t>
  </si>
  <si>
    <t>Marce saba</t>
  </si>
  <si>
    <t>081337890767</t>
  </si>
  <si>
    <t>https://drive.google.com/open?id=1JdCIAkJ9ZEVLsmBECQq8Aoa1YY9PI8X8</t>
  </si>
  <si>
    <t>Siti rahmadhani</t>
  </si>
  <si>
    <t>085337891554</t>
  </si>
  <si>
    <t>https://drive.google.com/open?id=1eT8QHBL-lL78q_J2505Y85J-olwMeNGD</t>
  </si>
  <si>
    <t>SISILIA WATI TAMU INA</t>
  </si>
  <si>
    <t>081524720029</t>
  </si>
  <si>
    <t>KONSUMEN SALAH KASIH NOMER</t>
  </si>
  <si>
    <t>https://drive.google.com/open?id=1TY7UxakWRsTToexaJS-Rp5wkG8Q-5ukd</t>
  </si>
  <si>
    <t>CORNELIA</t>
  </si>
  <si>
    <t>https://drive.google.com/open?id=1NH0Ixak5pg3r5Yi0Rh526ZIO3XKB1dHJ</t>
  </si>
  <si>
    <t>Yunita umbu deta</t>
  </si>
  <si>
    <t>081245435552</t>
  </si>
  <si>
    <t>https://drive.google.com/open?id=1E97671fQSkXjqiUYAXbqv85aMgJFYnIP</t>
  </si>
  <si>
    <t>DANIEL KADIWANU</t>
  </si>
  <si>
    <t>081337463611</t>
  </si>
  <si>
    <t>Pejabat pemerintahan</t>
  </si>
  <si>
    <t>https://drive.google.com/open?id=1E9aMT8vqizyjVs68HzXBHOL1CHMe_-hL</t>
  </si>
  <si>
    <t>Rofina Amaro</t>
  </si>
  <si>
    <t>081239152031</t>
  </si>
  <si>
    <t>https://drive.google.com/open?id=141uGs0LcrorgYJ_V29Wn0NIRMLyhL0yq</t>
  </si>
  <si>
    <t>Olfi Baitanu</t>
  </si>
  <si>
    <t>https://drive.google.com/open?id=13tvxJZXP9AXYv8ZmZ6rKDkCm3YedaCdG</t>
  </si>
  <si>
    <t>Merni naomi zacharya</t>
  </si>
  <si>
    <t>https://drive.google.com/open?id=13kIdWn-I4q2ZPQaR3NQ5XQTyQ36acwac</t>
  </si>
  <si>
    <t>Gersandi hendrik</t>
  </si>
  <si>
    <t>https://drive.google.com/open?id=1j6Tjfc8xm6wQ1zXNLYr-9CLRDPpSEkzZ</t>
  </si>
  <si>
    <t>Adela tamonob</t>
  </si>
  <si>
    <t>082341798400</t>
  </si>
  <si>
    <t>https://drive.google.com/open?id=1N7xv_4iYBvnZb0tVL0rB5xsvW4pkICqx</t>
  </si>
  <si>
    <t>Dela zulianti sanam</t>
  </si>
  <si>
    <t>081353868135</t>
  </si>
  <si>
    <t>https://drive.google.com/open?id=1lZHPdSceQ70kRfWzChSC5N4CgRVAoJKP</t>
  </si>
  <si>
    <t>Welhelmina Elisabeth Pratini Hella</t>
  </si>
  <si>
    <t>082247763514</t>
  </si>
  <si>
    <t>https://drive.google.com/open?id=1pNu9a5qfAvEpDjKNFHxN2EY4aCQiD8_h</t>
  </si>
  <si>
    <t>Marianty pelondou</t>
  </si>
  <si>
    <t>https://drive.google.com/open?id=1YIsPrtf6atj43USICM2LKcE0yN901bPo</t>
  </si>
  <si>
    <t>Mariati omarti nabuome</t>
  </si>
  <si>
    <t>https://drive.google.com/open?id=1UB8c22CCTQTv-e3IChOSBiuxcs1qZJ1j</t>
  </si>
  <si>
    <t>YOTAM RIKHARDO MUNI TUALAKA</t>
  </si>
  <si>
    <t>https://drive.google.com/open?id=1o_h6o-CL0PblA6yptyR42GVMN6sBt9Vd</t>
  </si>
  <si>
    <t>Todionar uki</t>
  </si>
  <si>
    <t>082144031800</t>
  </si>
  <si>
    <t>https://drive.google.com/open?id=186PTfiXqIDVmcYt7Msisn1801lJ-Ejjj</t>
  </si>
  <si>
    <t>11/17/0025</t>
  </si>
  <si>
    <t>Arison Mooy</t>
  </si>
  <si>
    <t>081240588548</t>
  </si>
  <si>
    <t>https://drive.google.com/open?id=1X5ewON0hu1Np115N4ph8K_hQykCoJS7T</t>
  </si>
  <si>
    <t>https://drive.google.com/open?id=1WEf71-ZF5J8ymTeKSq63bqnh8sf4V_jQ</t>
  </si>
  <si>
    <t>HELENA ULIA RIT A BETE</t>
  </si>
  <si>
    <t>082146982235</t>
  </si>
  <si>
    <t>https://drive.google.com/open?id=1QTGxwHXoXQMaQUtPdrp5JNe7MFDYVCri</t>
  </si>
  <si>
    <t>Ramli rambu leki</t>
  </si>
  <si>
    <t>081239719426</t>
  </si>
  <si>
    <t>https://drive.google.com/open?id=155QAt8TNHSHCJTpvcXwzRAbPtHvzu6Se</t>
  </si>
  <si>
    <t>Susan rambu luba lauru</t>
  </si>
  <si>
    <t>082338000556</t>
  </si>
  <si>
    <t>https://drive.google.com/open?id=1ybWM7IU-GXQZzERqMCjQ2aSc0LNwQWzr</t>
  </si>
  <si>
    <t>Lery adrian munandar</t>
  </si>
  <si>
    <t>082342002916</t>
  </si>
  <si>
    <t>https://drive.google.com/open?id=1_y1OsWfPATvltBvE9NhzDpXYR1IgzA8O</t>
  </si>
  <si>
    <t>MELANTHON TAKADJAJI</t>
  </si>
  <si>
    <t>https://drive.google.com/open?id=1-J1YScSGTuEP4s2h8UmhJiiJNgkMHnSd</t>
  </si>
  <si>
    <t>Elni Y abanat</t>
  </si>
  <si>
    <t>081373890278</t>
  </si>
  <si>
    <t>https://drive.google.com/open?id=1tsSN5Y0rqRWYJRqnVKY0AOo5z91VU-5A</t>
  </si>
  <si>
    <t>Ariel januerly manafe</t>
  </si>
  <si>
    <t>085737607178</t>
  </si>
  <si>
    <t>https://drive.google.com/open?id=1uu1kn6IheMdW2zLiI3vo6ZTBcSMqKIRq</t>
  </si>
  <si>
    <t>ARTISTA HADA INDAH</t>
  </si>
  <si>
    <t>081236931233</t>
  </si>
  <si>
    <t>https://drive.google.com/open?id=1PUjeOljOPMAuPswEivMK63l-Uc6JEudX</t>
  </si>
  <si>
    <t>Rudyanto Taneo</t>
  </si>
  <si>
    <t>081547338393</t>
  </si>
  <si>
    <t>https://drive.google.com/open?id=1huSu8OtD-TYFDATnGL38G5rwr_BbNfaX</t>
  </si>
  <si>
    <t>Katrina kondangan meha</t>
  </si>
  <si>
    <t>081337900131</t>
  </si>
  <si>
    <t>https://drive.google.com/open?id=1U-VUBzFNzh5F2yNF0LN1GdBW_23bkPu-</t>
  </si>
  <si>
    <t>Vince kariri Hamu tamu</t>
  </si>
  <si>
    <t>085339231636</t>
  </si>
  <si>
    <t xml:space="preserve">Pengusaha </t>
  </si>
  <si>
    <t>https://drive.google.com/open?id=1rUqwz7tdtdzmgpTuiTfZE463LBXRhe_f</t>
  </si>
  <si>
    <t>YESYURUN SILMUS NABU</t>
  </si>
  <si>
    <t>082315497181</t>
  </si>
  <si>
    <t>https://drive.google.com/open?id=1v5PZUWvDj0cCsoyfr2EF9VQiLyFz2xwd</t>
  </si>
  <si>
    <t>Stenly Jaiden Irwandi Penuam</t>
  </si>
  <si>
    <t>081254744876</t>
  </si>
  <si>
    <t>https://drive.google.com/open?id=1f0yyk0Ed3975noOe43r7j7mNlRE84u9T</t>
  </si>
  <si>
    <t>Maria angriani ralen</t>
  </si>
  <si>
    <t>https://drive.google.com/open?id=1c4VYnMtE3Bh9tKg1yMGeTnVaV8tkYFh7</t>
  </si>
  <si>
    <t>Yunita Kailbana</t>
  </si>
  <si>
    <t>https://drive.google.com/open?id=1s1vEiCpnQvINerrUnr_EqzuccOCnB4xp</t>
  </si>
  <si>
    <t>Sandi Zetronimus Leosae</t>
  </si>
  <si>
    <t>081246932695</t>
  </si>
  <si>
    <t>https://drive.google.com/open?id=1znvsdj9uCs7bsYsJBUgO9bDj-Yp09QC3</t>
  </si>
  <si>
    <t>Klemensius mario hotfal</t>
  </si>
  <si>
    <t>089524165415</t>
  </si>
  <si>
    <t>https://drive.google.com/open?id=1h1eeSjtpVenbokDKUoDNKXHRSbOTBGOs</t>
  </si>
  <si>
    <t xml:space="preserve">Yohan bullu </t>
  </si>
  <si>
    <t>087789780560</t>
  </si>
  <si>
    <t>https://drive.google.com/open?id=1QGyfd3M3g6AB3Hi22MnmXcFH-dDox0vn</t>
  </si>
  <si>
    <t>CATLYN FINA</t>
  </si>
  <si>
    <t>082238173640</t>
  </si>
  <si>
    <t>https://drive.google.com/open?id=1Vqpw12MwIXyXDDzWWteU3Maq-75As0ww</t>
  </si>
  <si>
    <t>Petronela ite</t>
  </si>
  <si>
    <t>082227409873</t>
  </si>
  <si>
    <t>https://drive.google.com/open?id=1IEpstMn9gs-GjFCRyD2VqjjFoH7dNTJ7</t>
  </si>
  <si>
    <t>Agusto delvandus nahak</t>
  </si>
  <si>
    <t>081264610177</t>
  </si>
  <si>
    <t>https://drive.google.com/open?id=1WfVFOGeDTODSegJav6OtmhtE0z0wzeY9</t>
  </si>
  <si>
    <t>Hendrika klau</t>
  </si>
  <si>
    <t>https://drive.google.com/open?id=1-cyGsoGIsnGIKesKMul3WKeedSHgpYkv</t>
  </si>
  <si>
    <t>Yanuarius bere</t>
  </si>
  <si>
    <t>0895429642948</t>
  </si>
  <si>
    <t>https://drive.google.com/open?id=1XHd2Iuop0hlHwZFLpJytwrqE-0vtx1D1</t>
  </si>
  <si>
    <t>Yakobus asep krowin</t>
  </si>
  <si>
    <t>085353920544</t>
  </si>
  <si>
    <t>https://drive.google.com/open?id=1uA51k95Kco2jCOZAmisOHb3p_9tS9-3T, https://drive.google.com/open?id=1bjTZbwx9p-5W9yh7LPfU3mCmFymlAKna</t>
  </si>
  <si>
    <t>Gaudiens Cleopatra Ines kaza</t>
  </si>
  <si>
    <t>+6281246600941</t>
  </si>
  <si>
    <t>https://drive.google.com/open?id=1nuZ0VpYpeTO5bBhwcaTMnegF2I89z3EC</t>
  </si>
  <si>
    <t>YUSTIN Y. DASSA</t>
  </si>
  <si>
    <t>085231471815</t>
  </si>
  <si>
    <t>https://drive.google.com/open?id=1wBa2GQmM--tJX5lhvNFqAPI04Cm_5PeF</t>
  </si>
  <si>
    <t>CHRIATIAN UMBU HABITA</t>
  </si>
  <si>
    <t>081246907335</t>
  </si>
  <si>
    <t>https://drive.google.com/open?id=1OuPGXZDd3H3uaoKKWi86iREXYoGrsYCj</t>
  </si>
  <si>
    <t>Marlin kristiana miha gili</t>
  </si>
  <si>
    <t>082247821377</t>
  </si>
  <si>
    <t>https://drive.google.com/open?id=12Z7Vw6_T68A2kbQm9gNfl-3bPouinw48</t>
  </si>
  <si>
    <t>Moris begilali beri</t>
  </si>
  <si>
    <t>082144082880</t>
  </si>
  <si>
    <t>https://drive.google.com/open?id=188pVDopeUg_V7HpD3z15mdq1DgKmJ1hc</t>
  </si>
  <si>
    <t>11/18/0025</t>
  </si>
  <si>
    <t>Melati Vlorensy Foeh</t>
  </si>
  <si>
    <t>https://drive.google.com/open?id=1qruKXHu3xVJprwU_vMpyWeLc7_kWzqFY</t>
  </si>
  <si>
    <t>Faustino bianco amaral</t>
  </si>
  <si>
    <t>081210808006</t>
  </si>
  <si>
    <t>https://drive.google.com/open?id=1HJweD1egmtfNJq3kuWq8wBDZGL9jO1CH</t>
  </si>
  <si>
    <t>Nita Moy</t>
  </si>
  <si>
    <t>082145727092</t>
  </si>
  <si>
    <t>https://drive.google.com/open?id=1ps_xrGkFC7c7WxPnqgEQuaDBVuBIex7n</t>
  </si>
  <si>
    <t>JULIUS DENDO NGARA</t>
  </si>
  <si>
    <t>085183860233</t>
  </si>
  <si>
    <t>https://drive.google.com/open?id=1wn6ueBllENo3r3TIZDdFkTs6j9Wl4Aye</t>
  </si>
  <si>
    <t>Maria Mbau</t>
  </si>
  <si>
    <t>085815142875</t>
  </si>
  <si>
    <t>https://drive.google.com/open?id=1qcuYWgdsyim_W0Ljdncb9DUE_8CaLidA</t>
  </si>
  <si>
    <t>Fellesni Yesiana Nomleni</t>
  </si>
  <si>
    <t>082150691744</t>
  </si>
  <si>
    <t>https://drive.google.com/open?id=1PBXc8I8z0kU1fnf4Bn4Xq-yWnLcltLaL</t>
  </si>
  <si>
    <t>Oriantel majeni</t>
  </si>
  <si>
    <t>087735022668</t>
  </si>
  <si>
    <t>https://drive.google.com/open?id=1Z2Q12n9YHeMMBFvPiHrDfItvTpmzp8U0</t>
  </si>
  <si>
    <t>EPRIANUS BIEN</t>
  </si>
  <si>
    <t>081367047133</t>
  </si>
  <si>
    <t>https://drive.google.com/open?id=19t1MzFK3RSToAR5zTY9RPrF0itqA7yu0</t>
  </si>
  <si>
    <t>Marliana dada seingo</t>
  </si>
  <si>
    <t>081239120245</t>
  </si>
  <si>
    <t>https://drive.google.com/open?id=10yI-m07x5HYLopzfr89xp7e4onJzhN0g</t>
  </si>
  <si>
    <t>Papius ama kii</t>
  </si>
  <si>
    <t>081246254002</t>
  </si>
  <si>
    <t>https://drive.google.com/open?id=1f6D_JvN7OaaFy67JAytuI-The6KEl_9f</t>
  </si>
  <si>
    <t>EVLIN TOHA</t>
  </si>
  <si>
    <t>0821444491417</t>
  </si>
  <si>
    <t>https://drive.google.com/open?id=19Yp7f2WvLzCYiNtqTtK8yjdx9_0f5Vzo</t>
  </si>
  <si>
    <t>VISTO FEBRIANTO SANTOSO</t>
  </si>
  <si>
    <t>085333355111</t>
  </si>
  <si>
    <t>https://drive.google.com/open?id=1SBioU4_MZgL2ecy9a7CFbpAL19W9nHuG</t>
  </si>
  <si>
    <t>Tabita tabarus</t>
  </si>
  <si>
    <t>085141731487</t>
  </si>
  <si>
    <t>https://drive.google.com/open?id=158ecCUlPxoTObEYXpQe4E9xeqz7a8MDw</t>
  </si>
  <si>
    <t>Yefri adiyunson nenosaet</t>
  </si>
  <si>
    <t>085738741715</t>
  </si>
  <si>
    <t>https://drive.google.com/open?id=1N1jv2C_J6HrrmBRs8iuoFFX3-wRfKxkV</t>
  </si>
  <si>
    <t>Milsan christian nenotek</t>
  </si>
  <si>
    <t>081337451165</t>
  </si>
  <si>
    <t>https://drive.google.com/open?id=1voBqKuWqTdLHwozatoP83PRivzaX5XLQ</t>
  </si>
  <si>
    <t>Yonatan daniel nonuhulu</t>
  </si>
  <si>
    <t>081336896567</t>
  </si>
  <si>
    <t>https://drive.google.com/open?id=1X2fbkm2llfkK_xOU_aTVBXVNtvLdASi2</t>
  </si>
  <si>
    <t>sarmince peda deti</t>
  </si>
  <si>
    <t>https://drive.google.com/open?id=1tQNCC0-LxrxIRmy8vbg_J8Tf20DRilsb</t>
  </si>
  <si>
    <t>MUHAMAD ZIDAN</t>
  </si>
  <si>
    <t>089123456789</t>
  </si>
  <si>
    <t>https://drive.google.com/open?id=1AQxzMrFkw0MHP4HPpxSqZx8p4BRMXR1V</t>
  </si>
  <si>
    <t>Kristian Putra Lado</t>
  </si>
  <si>
    <t>087719101826</t>
  </si>
  <si>
    <t>https://drive.google.com/open?id=15QPt5C57Oc652ZbuccF0qEmM5tds8RZ8</t>
  </si>
  <si>
    <t>Yohana Yeni Hoar Klau</t>
  </si>
  <si>
    <t>0823451441177</t>
  </si>
  <si>
    <t>https://drive.google.com/open?id=1NAGY0eBpXGMEjjcQpSFd5wJTTf1UgjB8</t>
  </si>
  <si>
    <t>Yandriyani Dama</t>
  </si>
  <si>
    <t>081352506701</t>
  </si>
  <si>
    <t>https://drive.google.com/open?id=13i0Gs3hEeqneMtjo1Ayzr_hw18Qh1pH1</t>
  </si>
  <si>
    <t>Katerina Tefu</t>
  </si>
  <si>
    <t>081237433711</t>
  </si>
  <si>
    <t>https://drive.google.com/open?id=1tCGAEsnemOIVcUHkrXMyKgu5Qma2pWPA</t>
  </si>
  <si>
    <t>Bernabas</t>
  </si>
  <si>
    <t>5.5</t>
  </si>
  <si>
    <t>https://drive.google.com/open?id=10-36XXtBj78a0UbZLECbvnS7HoKyfqbx</t>
  </si>
  <si>
    <t>Hadija</t>
  </si>
  <si>
    <t>085333883326</t>
  </si>
  <si>
    <t>https://drive.google.com/open?id=15XzTBPjCY21pVEPAbETxxksfXPdHO7WB</t>
  </si>
  <si>
    <t>DARIUS DATU REJA</t>
  </si>
  <si>
    <t>https://drive.google.com/open?id=16Uah2djcN-FK4D3S-zpEb0Ug_J9VX7tC</t>
  </si>
  <si>
    <t>Herybertus Neonbeni</t>
  </si>
  <si>
    <t>https://drive.google.com/open?id=1VbdhNEg1YGAupGfbsu0p_bs0Cb7fxYcf</t>
  </si>
  <si>
    <t>MARIA BANIFORTIS DERAN</t>
  </si>
  <si>
    <t>081337476724</t>
  </si>
  <si>
    <t>https://drive.google.com/open?id=1K2bh6zPHjqt5PVg4ibRmrfrcXqvoxn62</t>
  </si>
  <si>
    <t>Iksan Sulaiman RL</t>
  </si>
  <si>
    <t>085738410395</t>
  </si>
  <si>
    <t>https://drive.google.com/open?id=1gb9xe4dEtlTk2EQilxc4KfCVUNTDZ0t5</t>
  </si>
  <si>
    <t>Stevani inna</t>
  </si>
  <si>
    <t>081238256205</t>
  </si>
  <si>
    <t>https://drive.google.com/open?id=1mxJQ2OGASbF1NlkXcI5UUdJVWTFuLAC1</t>
  </si>
  <si>
    <t>https://drive.google.com/open?id=1bH8eCB-NtqI-tyWU85DkYMBDWMHo0g0R</t>
  </si>
  <si>
    <t>Dewi Sumi Maulidah</t>
  </si>
  <si>
    <t>081244853026</t>
  </si>
  <si>
    <t>https://drive.google.com/open?id=1MJ0by_YNAsntBYqvG7ID_me_gQk7lxXw</t>
  </si>
  <si>
    <t>DESRIANTI FAOT</t>
  </si>
  <si>
    <t>081253252614</t>
  </si>
  <si>
    <t>https://drive.google.com/open?id=1IujzKLewlyHTMrt-sjYkNJFPjSFkcqdh</t>
  </si>
  <si>
    <t>VERONIKA URU EMU</t>
  </si>
  <si>
    <t>082247538506</t>
  </si>
  <si>
    <t>https://drive.google.com/open?id=13iqSo44UFQQ0HkJpp7ZT1YnCVA1cJVGs</t>
  </si>
  <si>
    <t>Delon sefanya kase</t>
  </si>
  <si>
    <t>081246183717</t>
  </si>
  <si>
    <t>https://drive.google.com/open?id=1VZdbrEmYLzhloM0SF8tqL3WOx69ALoIY</t>
  </si>
  <si>
    <t>Sumiyati sadokaki</t>
  </si>
  <si>
    <t>082147342040</t>
  </si>
  <si>
    <t>https://drive.google.com/open?id=18Y6ZQvWGc03Pms2kF9zIFePDpBxHtXq4</t>
  </si>
  <si>
    <t>Tago</t>
  </si>
  <si>
    <t>https://drive.google.com/open?id=1TNn-1wytQ_3uhtKAvSfYr8k3rxdOigkU</t>
  </si>
  <si>
    <t xml:space="preserve">Yohanis </t>
  </si>
  <si>
    <t>3.4</t>
  </si>
  <si>
    <t>https://drive.google.com/open?id=1UbO-9FDdaYx5VudPFxaSooHdbuUyKBEm</t>
  </si>
  <si>
    <t>Martinus natun</t>
  </si>
  <si>
    <t>081256568937</t>
  </si>
  <si>
    <t>https://drive.google.com/open?id=1FOcQbG0j962NFlT7wN1FbtIS0dof9p1u</t>
  </si>
  <si>
    <t>ANGGI MARSELA R. Burak</t>
  </si>
  <si>
    <t>082266129827</t>
  </si>
  <si>
    <t>https://drive.google.com/open?id=12TWCCLYKdmk758dq5Al9MK1B0xUMf3Fr</t>
  </si>
  <si>
    <t>Elisabeth Ardin</t>
  </si>
  <si>
    <t>081225332656</t>
  </si>
  <si>
    <t>https://drive.google.com/open?id=1eguj8eFYLLlZ4axAL8zM0c8yZX4rwAJM</t>
  </si>
  <si>
    <t>Naomi talu goro</t>
  </si>
  <si>
    <t>085138928689</t>
  </si>
  <si>
    <t>https://drive.google.com/open?id=1s-MJr--lkG8k0kVmoO8YJw8zJ5epplbp</t>
  </si>
  <si>
    <t>Yohanis bolo kula</t>
  </si>
  <si>
    <t>082266016371</t>
  </si>
  <si>
    <t>https://drive.google.com/open?id=113AMkhyPKP9W6nmt99AQwPR4ZjEms8R0</t>
  </si>
  <si>
    <t>Stepanus timbu dona</t>
  </si>
  <si>
    <t>081325729661</t>
  </si>
  <si>
    <t>https://drive.google.com/open?id=15JSbHZhOwco-9v7wvmSwxy936kTCIUVo</t>
  </si>
  <si>
    <t>Bernadethe   marlin kaza</t>
  </si>
  <si>
    <t>082235139454</t>
  </si>
  <si>
    <t>https://drive.google.com/open?id=1byFjJ_hGEfAiC1wh_ndJXSI7qBq75rNY</t>
  </si>
  <si>
    <t>Yulhem domince suan</t>
  </si>
  <si>
    <t>081353285399</t>
  </si>
  <si>
    <t>https://drive.google.com/open?id=1isD7afd-7fISrO3oeLT27u_hC23MBiga</t>
  </si>
  <si>
    <t>Paulus bora tada</t>
  </si>
  <si>
    <t>082346254424</t>
  </si>
  <si>
    <t>https://drive.google.com/open?id=1ONWSR2-EnrWRXsdqkRWxNwDcCKXrl12r</t>
  </si>
  <si>
    <t>Yuven Abraham Adu</t>
  </si>
  <si>
    <t>082297601029</t>
  </si>
  <si>
    <t>https://drive.google.com/open?id=1HqMeA2u68pNZv9GpXYk2cYhwPZm7zLGj</t>
  </si>
  <si>
    <t>Hamdan pain soban</t>
  </si>
  <si>
    <t>089527569588</t>
  </si>
  <si>
    <t>https://drive.google.com/open?id=15NujDdej5B3N5YyZa6YEbxSdh7V06sbL</t>
  </si>
  <si>
    <t>Doriance  Jelinda Tse</t>
  </si>
  <si>
    <t>08131076483</t>
  </si>
  <si>
    <t>https://drive.google.com/open?id=1nzmM1OvyOf01q-y3_Ny-qI8O8L_pVMMs</t>
  </si>
  <si>
    <t>https://drive.google.com/open?id=1VS0hQkvKJTJHsUx6TWy8DnDROyOutNzX</t>
  </si>
  <si>
    <t>https://drive.google.com/open?id=1jOuQO_hWpOuKF9gd2-E346vw6BinS3XR, https://drive.google.com/open?id=1pXQS5ng8QYWmWytgJu1HQ5rKHHvzJ1oi</t>
  </si>
  <si>
    <t>Kopa rihi</t>
  </si>
  <si>
    <t>081288202958</t>
  </si>
  <si>
    <t>https://drive.google.com/open?id=1D-Lba-GnNVOUvQD3f6k5blgQdJ6zvifY</t>
  </si>
  <si>
    <t>ROSALIA ADOLFINA RADO</t>
  </si>
  <si>
    <t>081355314764</t>
  </si>
  <si>
    <t>https://drive.google.com/open?id=140FmS2ST51qqXqOZ7uBvmEu_kKrkRr9q</t>
  </si>
  <si>
    <t xml:space="preserve">Murniyati Linda lendi </t>
  </si>
  <si>
    <t>085338143248</t>
  </si>
  <si>
    <t>https://drive.google.com/open?id=1OMPEREQ03Inktbx7yCEJ1NRP-CAbWc-e</t>
  </si>
  <si>
    <t>Paulus asa</t>
  </si>
  <si>
    <t>081239288794</t>
  </si>
  <si>
    <t>https://drive.google.com/open?id=1UQ31mikMLH4a53BOpT8-_zljdnkEPRFz</t>
  </si>
  <si>
    <t>Sance yanidas metkono</t>
  </si>
  <si>
    <t>081250869503</t>
  </si>
  <si>
    <t>https://drive.google.com/open?id=1-qe4FlHxo4GX7rVxbP61hJf0sLjMG-6k</t>
  </si>
  <si>
    <t>Beni ata ratu</t>
  </si>
  <si>
    <t>081337768817</t>
  </si>
  <si>
    <t>https://drive.google.com/open?id=1EzhxEyx1g78FLtajnnJFjMG7TObp6XPV</t>
  </si>
  <si>
    <t>nur mutmainnah</t>
  </si>
  <si>
    <t>085137742607</t>
  </si>
  <si>
    <t>https://drive.google.com/open?id=1LhQkcOFm3szMXavdn06zIArrS9h2DfFr</t>
  </si>
  <si>
    <t>maria kristiana somi gerans</t>
  </si>
  <si>
    <t>087744700099</t>
  </si>
  <si>
    <t>https://drive.google.com/open?id=147PTsabfES2jYGvh-Km5x-QQJi1cQmA1</t>
  </si>
  <si>
    <t>Marselina dada gole</t>
  </si>
  <si>
    <t>https://drive.google.com/open?id=18QYgtZGUGJlkxjnSZcxD6nMIQA5MKpjf</t>
  </si>
  <si>
    <t>KORLINA WINNE MILLA</t>
  </si>
  <si>
    <t>082144376166</t>
  </si>
  <si>
    <t>https://drive.google.com/open?id=17l8Pp4xFyXf4beCOyE_WTOB0ERFR0jXc</t>
  </si>
  <si>
    <t>AGUSTINUS TAEK</t>
  </si>
  <si>
    <t>https://drive.google.com/open?id=1Wm-sk0xsjLyyy66z-BJwQdMz5V3E9OG4</t>
  </si>
  <si>
    <t>ADRIS DEFIESON AKAN BORU</t>
  </si>
  <si>
    <t>Ada usaha kios</t>
  </si>
  <si>
    <t>https://drive.google.com/open?id=102GYfcbf2CBSz_UO1ZEwoq4P65xknqBB</t>
  </si>
  <si>
    <t>Lurinsi A. Missa</t>
  </si>
  <si>
    <t>082146886265</t>
  </si>
  <si>
    <t>https://drive.google.com/open?id=11pMC9VUj-TJ4h1fK-IXdLQ95ubD8QwkM</t>
  </si>
  <si>
    <t>Sendi flodia tak</t>
  </si>
  <si>
    <t>081336897678</t>
  </si>
  <si>
    <t>https://drive.google.com/open?id=1A38gwNrDCaleN9jKzGyvAqJqqsE3wATw</t>
  </si>
  <si>
    <t>Petrus nogoama krowin</t>
  </si>
  <si>
    <t>089669153302</t>
  </si>
  <si>
    <t>https://drive.google.com/open?id=1_0jpRPX7JIBNfZuotwQFxUP05d2cj58S</t>
  </si>
  <si>
    <t xml:space="preserve">𝗩𝗿𝗶𝗱𝗶𝘆𝗮𝗻𝗮 𝗸𝗮𝗻𝗲𝘁𝘆 </t>
  </si>
  <si>
    <t>085253110981</t>
  </si>
  <si>
    <t>https://drive.google.com/open?id=1H_UFc6PuVT469RbXTGBc2LNyhHMSUk9g</t>
  </si>
  <si>
    <t>Silverius mali</t>
  </si>
  <si>
    <t>081337651840</t>
  </si>
  <si>
    <t>https://drive.google.com/open?id=1AFpun5rs0FBlmIMBo3QcwrlerdCa4DYq</t>
  </si>
  <si>
    <t>Yohanis amos alfonsus reo</t>
  </si>
  <si>
    <t>085739060625</t>
  </si>
  <si>
    <t>Supir pribadi</t>
  </si>
  <si>
    <t>https://drive.google.com/open?id=11OOFmesjdojWLZ2NURnMIbI8ldCIKpoJ</t>
  </si>
  <si>
    <t>KRISTIAN ADITIA KADU</t>
  </si>
  <si>
    <t>081246301899</t>
  </si>
  <si>
    <t>https://drive.google.com/open?id=1k5OOGpwd_oHh4pVSZTmJIMdogsXxozJn</t>
  </si>
  <si>
    <t>Patris rudianto kase</t>
  </si>
  <si>
    <t>085246971760</t>
  </si>
  <si>
    <t>https://drive.google.com/open?id=1YiahR0lWMLZvS4csRnnqynKYylx9NHib</t>
  </si>
  <si>
    <t>Ady Kolioe</t>
  </si>
  <si>
    <t>085165043779</t>
  </si>
  <si>
    <t>https://drive.google.com/open?id=1MHrKPItPriLALK-azwF7-inRUlgWaMBN</t>
  </si>
  <si>
    <t>Aldo muskananfola</t>
  </si>
  <si>
    <t>081237827336</t>
  </si>
  <si>
    <t>https://drive.google.com/open?id=1ZhoxPdGqerEP9bO6xVjq3N2uXmjPKJHe</t>
  </si>
  <si>
    <t>Oktavianus adu</t>
  </si>
  <si>
    <t>https://drive.google.com/open?id=11j-NiaeuxW-QGlTQ1a4_yAF2ymowPRrn</t>
  </si>
  <si>
    <t>DETRI ORANCE OEMATAN</t>
  </si>
  <si>
    <t>082227086615</t>
  </si>
  <si>
    <t>https://drive.google.com/open?id=1ljZiSC-WVK3N6sGv7QNW8qxiNNUcDtEe</t>
  </si>
  <si>
    <t>JUNNY RESKY SAE HUKUN</t>
  </si>
  <si>
    <t>0881038384037</t>
  </si>
  <si>
    <t>https://drive.google.com/open?id=1gujuuEIxi_fQkQSbb57lHCIKJkYIHvjf</t>
  </si>
  <si>
    <t>FRANSISCA DA SILVA</t>
  </si>
  <si>
    <t>081325509948</t>
  </si>
  <si>
    <t>https://drive.google.com/open?id=1VX13-gRYX4iOxvGcNfYJ-m8M5k6ME1S_</t>
  </si>
  <si>
    <t xml:space="preserve">Yohan Nggebu </t>
  </si>
  <si>
    <t>086237887980</t>
  </si>
  <si>
    <t>https://drive.google.com/open?id=1D7RrINzeEqEnQTBn7Hk4q08Zf1J3xn9a</t>
  </si>
  <si>
    <t>Alfazat Nubatoni</t>
  </si>
  <si>
    <t>082192014608</t>
  </si>
  <si>
    <t>https://drive.google.com/open?id=1OSJvLMMMaWBeJmo6eJdgCOtcWTEsHfo3</t>
  </si>
  <si>
    <t>11/20/0025</t>
  </si>
  <si>
    <t>Robby Dance Henukh</t>
  </si>
  <si>
    <t>081239929409</t>
  </si>
  <si>
    <t>https://drive.google.com/open?id=10TAHejG0iJUlNpBqRrNjQTh1wpX1t5hs</t>
  </si>
  <si>
    <t>ferdinand kamlasi</t>
  </si>
  <si>
    <t>085745595165</t>
  </si>
  <si>
    <t>https://drive.google.com/open?id=1lYzn0pb2gB0AOXHIBHuTrqTgObckEtDn</t>
  </si>
  <si>
    <t>Efi marta dethan</t>
  </si>
  <si>
    <t>https://drive.google.com/open?id=1K6AKcmHV9U4WIXBgmmxTvg3UwSRGSvrl</t>
  </si>
  <si>
    <t>MARIA ALFONSA SANIT</t>
  </si>
  <si>
    <t>082247531298</t>
  </si>
  <si>
    <t>https://drive.google.com/open?id=1Y95rBngvAnWyxlY4110FNRNana3CeYmM</t>
  </si>
  <si>
    <t>YUDION RANJA WALI</t>
  </si>
  <si>
    <t>082144611516</t>
  </si>
  <si>
    <t>https://drive.google.com/open?id=195bp2CfIyVlNiztQpJqzgFVeLKXEhX_Y</t>
  </si>
  <si>
    <t>Felix Alfa Ufi</t>
  </si>
  <si>
    <t>08251422615414</t>
  </si>
  <si>
    <t>https://drive.google.com/open?id=1pcCZDQWN_MBvdmYqnAGG-7JBKAC9uaQZ</t>
  </si>
  <si>
    <t>081238719445</t>
  </si>
  <si>
    <t>https://drive.google.com/open?id=1WrE4phkQYcizi6oIbhMPdEWMgrgBWLPR</t>
  </si>
  <si>
    <t>Aisa vanesa</t>
  </si>
  <si>
    <t>082236167187</t>
  </si>
  <si>
    <t>https://drive.google.com/open?id=1KM-RJD8dh46k8-ZSmih2wXMLGFv_kAtv</t>
  </si>
  <si>
    <t>Ahimas lodo</t>
  </si>
  <si>
    <t>https://drive.google.com/open?id=1D_g3-dT2WKW06b00z0XlMnRuqlSXqGPt</t>
  </si>
  <si>
    <t>Rizet yunoldi Zacharias</t>
  </si>
  <si>
    <t>https://drive.google.com/open?id=19SOZdayusaxqMLkoJ0DTJ0b7kqE-YDkW</t>
  </si>
  <si>
    <t>Yusak lodo</t>
  </si>
  <si>
    <t>0818052957380</t>
  </si>
  <si>
    <t>https://drive.google.com/open?id=1Wg4XSwkPiOc6zxCGkwJIxoO-AQU60azZ</t>
  </si>
  <si>
    <t>Yosefina bete</t>
  </si>
  <si>
    <t>085213309841</t>
  </si>
  <si>
    <t>https://drive.google.com/open?id=1TpyOiikWKIGIPhWj010Vtt2fEWM8B_HW</t>
  </si>
  <si>
    <t>Selviana boba kerri</t>
  </si>
  <si>
    <t>081246249081</t>
  </si>
  <si>
    <t>https://drive.google.com/open?id=1m1pL4j1O2YFsC8JZIBxXyzu0_zRF81oP</t>
  </si>
  <si>
    <t>Rivaldi septian heo</t>
  </si>
  <si>
    <t>085142980022</t>
  </si>
  <si>
    <t>https://drive.google.com/open?id=1cM2-1YOGgXIbQM7WKr12sSORigVC-LFt</t>
  </si>
  <si>
    <t>Kevin kolo</t>
  </si>
  <si>
    <t>https://drive.google.com/open?id=19U1aSc_xUEreUB3vTF8BHdlk08-ekK1v</t>
  </si>
  <si>
    <t>NURCITA DAUD</t>
  </si>
  <si>
    <t>081234568890</t>
  </si>
  <si>
    <t>https://drive.google.com/open?id=1rJtcRFZ91aZGQFMEeU_gdXTjo7x7TBXd</t>
  </si>
  <si>
    <t>ROSWITA ANGELINA BILI</t>
  </si>
  <si>
    <t>081391782898</t>
  </si>
  <si>
    <t>https://drive.google.com/open?id=1WSddeLITVz2pvhpvLV0DXWzXDsLT9ssU</t>
  </si>
  <si>
    <t>Irene enjelina laak</t>
  </si>
  <si>
    <t>081246387224</t>
  </si>
  <si>
    <t>https://drive.google.com/open?id=1g7pRlYhxcX68bfhYk0qiYUzgzz5RTEnB</t>
  </si>
  <si>
    <t>Yuliani mali</t>
  </si>
  <si>
    <t>081228956697</t>
  </si>
  <si>
    <t>https://drive.google.com/open?id=1iFdaeQWEfla4KlGNpUw65OQ1xCrdF9iW</t>
  </si>
  <si>
    <t>https://drive.google.com/open?id=1xuCsuKFLamOtB3v_6Y4ACrTk-pvruSqp</t>
  </si>
  <si>
    <t>Valensius risaldo malo</t>
  </si>
  <si>
    <t>082247726152</t>
  </si>
  <si>
    <t>https://drive.google.com/open?id=1yc-ZPcf4ctNDPHBiszUcBmPijCYPhrPf</t>
  </si>
  <si>
    <t>Marius albertus loe mela</t>
  </si>
  <si>
    <t>085738309755</t>
  </si>
  <si>
    <t>https://drive.google.com/open?id=1rqP4BCgMLdWSw3aDrvvFG3qvS3w5Hpuw</t>
  </si>
  <si>
    <t>Donbosco Ricardo Kune</t>
  </si>
  <si>
    <t>081249661335</t>
  </si>
  <si>
    <t>https://drive.google.com/open?id=1ri6i1_hyJ8kc_-G2rOXIAbtN4cULm0U4</t>
  </si>
  <si>
    <t>FREDERIKA MARAMBA MEHA</t>
  </si>
  <si>
    <t>082144607605</t>
  </si>
  <si>
    <t>https://drive.google.com/open?id=1WyooMSzzwyIynuElVSIdSruYUA12v-jN</t>
  </si>
  <si>
    <t>https://drive.google.com/open?id=11-cMTtNMnlJ7ztF6Bu5bmIuVZWmOysPF</t>
  </si>
  <si>
    <t>Estiyana Tapatab</t>
  </si>
  <si>
    <t>081337289843</t>
  </si>
  <si>
    <t>https://drive.google.com/open?id=1qNlqFxRVtTNaGatZpsnbkRpZeJ8hhDWl</t>
  </si>
  <si>
    <t>Wima ramadhan putra</t>
  </si>
  <si>
    <t>082142934049</t>
  </si>
  <si>
    <t>https://drive.google.com/open?id=1KbtjUfwIEgN5AFf3yARhDsmXmJYy9lhp</t>
  </si>
  <si>
    <t>Wilfridus Bani Bore</t>
  </si>
  <si>
    <t>087765740825</t>
  </si>
  <si>
    <t>https://drive.google.com/open?id=1PTuWro8mvWsEuSyRjhWXr8BWx9G2rpG8</t>
  </si>
  <si>
    <t>Selfi finmet</t>
  </si>
  <si>
    <t>082266326357</t>
  </si>
  <si>
    <t>https://drive.google.com/open?id=18sTWAxcadkBK89jLkB84C6mm5JzwHvus</t>
  </si>
  <si>
    <t>Hasan muslimin bapa</t>
  </si>
  <si>
    <t>081236890765</t>
  </si>
  <si>
    <t>https://drive.google.com/open?id=1-hsf0gQwYyLI8xeKejZuK84FPQyCqh6e</t>
  </si>
  <si>
    <t>Welmince borola</t>
  </si>
  <si>
    <t>https://drive.google.com/open?id=14YF8stvK7s7EVanICDNs1ljkP04OFTNW</t>
  </si>
  <si>
    <t>Fransiska boleng werang</t>
  </si>
  <si>
    <t>085183662047</t>
  </si>
  <si>
    <t>https://drive.google.com/open?id=1LnYB0uZaXzTJ9UsTrZMkRPKKwd0xUBZ6</t>
  </si>
  <si>
    <t>Desi indrawati fanggidae</t>
  </si>
  <si>
    <t>https://drive.google.com/open?id=1BG6YuxsUKOWAP5ZHEg68GMbzs00byuMn</t>
  </si>
  <si>
    <t>Yorison Cristovel Nomleni</t>
  </si>
  <si>
    <t>081239054949</t>
  </si>
  <si>
    <t>https://drive.google.com/open?id=17O7c2eZKcsn6GtikgFqY_-2CtVHlb0sG</t>
  </si>
  <si>
    <t>081337646882</t>
  </si>
  <si>
    <t>https://drive.google.com/open?id=1exHCi6sz8PZVRQ5yWNNLXa9Z9cQReCYM</t>
  </si>
  <si>
    <t>Yuce Obed Nenabu</t>
  </si>
  <si>
    <t>081283504020</t>
  </si>
  <si>
    <t>https://drive.google.com/open?id=1jLMpV0785KGjWOigX51zaXMtGiphiFk9</t>
  </si>
  <si>
    <t>Kevin Hosea Bani Umbu Pati</t>
  </si>
  <si>
    <t>085239193228</t>
  </si>
  <si>
    <t>https://drive.google.com/open?id=1KifG9ykfH_6ukYQbXqG4VOpDe6J-Ikkj</t>
  </si>
  <si>
    <t>Diven pingah</t>
  </si>
  <si>
    <t>082134667678</t>
  </si>
  <si>
    <t>https://drive.google.com/open?id=1qmneq9vdbTKRLT6Y8lefN8mqG0d3AuU3</t>
  </si>
  <si>
    <t>Remigius nasi naif</t>
  </si>
  <si>
    <t>087824652550</t>
  </si>
  <si>
    <t>https://drive.google.com/open?id=18UwkFY6oHEx0ijGglIlBbTByNi-K872j</t>
  </si>
  <si>
    <t>AGUSTINA KAHI LEBA</t>
  </si>
  <si>
    <t>081252335680</t>
  </si>
  <si>
    <t>https://drive.google.com/open?id=104jYJ8Q0joikDE6SKKbQh3SLHh3scGx3, https://drive.google.com/open?id=1ys616pDvpZfnz4CZKSaz5G7zlcUX5g7J</t>
  </si>
  <si>
    <t>Ivon Ermawati kore</t>
  </si>
  <si>
    <t>082146988241</t>
  </si>
  <si>
    <t>https://drive.google.com/open?id=1YEa7SaWBZvkqqc72uVBjdD2euOT1zQuq</t>
  </si>
  <si>
    <t>Melkianus feka</t>
  </si>
  <si>
    <t>085138828239</t>
  </si>
  <si>
    <t>https://drive.google.com/open?id=1r1UDK81jIbskTFDy81AJR00ycBwHSxQY</t>
  </si>
  <si>
    <t>Wiliam Robertson apapun</t>
  </si>
  <si>
    <t>08226790577</t>
  </si>
  <si>
    <t>https://drive.google.com/open?id=1A7lWS6YxL_mHvEfNr62EIvsL4NjaBOSY</t>
  </si>
  <si>
    <t>Ribka A Y Ully</t>
  </si>
  <si>
    <t>085238506752</t>
  </si>
  <si>
    <t>https://drive.google.com/open?id=1SJYQbsaJketjgekPeItMoUqC2CED0EGR</t>
  </si>
  <si>
    <t>Odillia Dede</t>
  </si>
  <si>
    <t>081338312319</t>
  </si>
  <si>
    <t>https://drive.google.com/open?id=1DS80R3PgSjMGa_CHa6QkQ9DbP9zTM0l7</t>
  </si>
  <si>
    <t>LIDIA PEDA LAJA</t>
  </si>
  <si>
    <t>085339187281</t>
  </si>
  <si>
    <t>https://drive.google.com/open?id=16_2mXnM0cIFZI7in7WBh1wY-KObmmAW-</t>
  </si>
  <si>
    <t>Alfridus Bani</t>
  </si>
  <si>
    <t>081236039169</t>
  </si>
  <si>
    <t>https://drive.google.com/open?id=1CoRzLoL0zhebZNXW67DFEU1x8FMbKXJt</t>
  </si>
  <si>
    <t>EDIZZA LA VISTA AHA</t>
  </si>
  <si>
    <t>sels</t>
  </si>
  <si>
    <t>https://drive.google.com/open?id=1T-tusOnCodDUYdycm83CBZAjQ2PLbys9</t>
  </si>
  <si>
    <t>Martina marta nawa nuka</t>
  </si>
  <si>
    <t>081246354883</t>
  </si>
  <si>
    <t>https://drive.google.com/open?id=1gMtWTzxJV7o2gmFqZ94AaBVE-Ofbf-BV</t>
  </si>
  <si>
    <t>ARISTON JERMIAS LETSAMA</t>
  </si>
  <si>
    <t>081237089349</t>
  </si>
  <si>
    <t>https://drive.google.com/open?id=16TNx0qCvKmLvd2qk-AnWTuiq3m4SH9xX</t>
  </si>
  <si>
    <t>KRISTOFORUS SIKI</t>
  </si>
  <si>
    <t>085393304632</t>
  </si>
  <si>
    <t>https://drive.google.com/open?id=1YEnHel3sdeA_Wkx20LKQJMP54eojnEhY</t>
  </si>
  <si>
    <t>Antonius Sonbay</t>
  </si>
  <si>
    <t>081246085098</t>
  </si>
  <si>
    <t>https://drive.google.com/open?id=18BSCR9RHyOfV5M6cDClmAOUgl103zIOs</t>
  </si>
  <si>
    <t>Fransiskus paineon</t>
  </si>
  <si>
    <t>https://drive.google.com/open?id=16vkNQ9K69jGUha-kLbLJ_-8EMROLqUE5</t>
  </si>
  <si>
    <t>EURO NEPAFAI</t>
  </si>
  <si>
    <t>081237992018</t>
  </si>
  <si>
    <t>https://drive.google.com/open?id=1UGAcF4cJgLHI6kXBTt4Iqaxp9UQpiw-I</t>
  </si>
  <si>
    <t>Ezra loriana banoet</t>
  </si>
  <si>
    <t>082237978483</t>
  </si>
  <si>
    <t>https://drive.google.com/open?id=1mkyHJq-is5CFzhRMIwc23EEJoOZ0nBFR</t>
  </si>
  <si>
    <t>Helmi santi namseo</t>
  </si>
  <si>
    <t>085182411278</t>
  </si>
  <si>
    <t>https://drive.google.com/open?id=1AjjxZewSUajNXez0qww6OyZktFaMpVU5</t>
  </si>
  <si>
    <t>Makhir maklon welhelmus benu</t>
  </si>
  <si>
    <t>082258709704</t>
  </si>
  <si>
    <t>https://drive.google.com/open?id=15RCtXV99cBS1FmcphzKPbWaah9oDG2VW</t>
  </si>
  <si>
    <t>Veronika Beti</t>
  </si>
  <si>
    <t>082321285310</t>
  </si>
  <si>
    <t>https://drive.google.com/open?id=1QI7M4imEd8_xgEofGxVOfovddSlSrI4D</t>
  </si>
  <si>
    <t>Theresia da silva</t>
  </si>
  <si>
    <t>081547474588</t>
  </si>
  <si>
    <t>https://drive.google.com/open?id=1ZWEZmldjn7XyJ5pH1ZU_XDTuGCmxtXEv</t>
  </si>
  <si>
    <t xml:space="preserve">Wanri Putra Alnabe </t>
  </si>
  <si>
    <t>085237870570</t>
  </si>
  <si>
    <t>https://drive.google.com/open?id=1PUkI6ylFK9UfJAdUu7C3AThLgY6YsZDr</t>
  </si>
  <si>
    <t>Ribkah simon</t>
  </si>
  <si>
    <t>089629671258</t>
  </si>
  <si>
    <t>https://drive.google.com/open?id=1gkl7EaWj5FFeCwbp1uhG49AD4Chleb8q</t>
  </si>
  <si>
    <t>Mejim agustinus tefi</t>
  </si>
  <si>
    <t>081246249206</t>
  </si>
  <si>
    <t>https://drive.google.com/open?id=1q3ikZV2_5SSZ4mQcWAaTnPH0EJGNlbmA</t>
  </si>
  <si>
    <t>MARGARETHA DUKA</t>
  </si>
  <si>
    <t>082147731332</t>
  </si>
  <si>
    <t>https://drive.google.com/open?id=13n7yGRALTtb4Rt6N_UR0FUphnm87wsLY</t>
  </si>
  <si>
    <t>MAGDELANA DUKA</t>
  </si>
  <si>
    <t>085333098084</t>
  </si>
  <si>
    <t>https://drive.google.com/open?id=1AmkHdfbo-SEDwKYLCAYtC9kCKQYExl0T</t>
  </si>
  <si>
    <t>ESTER KONGA WAY</t>
  </si>
  <si>
    <t>085295178335</t>
  </si>
  <si>
    <t>https://drive.google.com/open?id=113kLhWwGAssrw0gaNVGlJjpULhEpIbl8</t>
  </si>
  <si>
    <t>Desiani sintia dapa ole</t>
  </si>
  <si>
    <t>082147546576</t>
  </si>
  <si>
    <t>https://drive.google.com/open?id=11sdFtJu-xupJrwH_vgJvSAEqORP2XPd9</t>
  </si>
  <si>
    <t>JULINSIA TELAJAHA</t>
  </si>
  <si>
    <t>081246626236</t>
  </si>
  <si>
    <t>swasta</t>
  </si>
  <si>
    <t>https://drive.google.com/open?id=1lvpqCxtL199HU5cYHARPQeYuY8WifHHo</t>
  </si>
  <si>
    <t>AGNES YULIANA EVELYN JEMSEN</t>
  </si>
  <si>
    <t>083894862344</t>
  </si>
  <si>
    <t>https://drive.google.com/open?id=1rBZaGciCaS-8Q9kA8vpHFgr6gRQD1fE1</t>
  </si>
  <si>
    <t>MARIA TUWA NEGU</t>
  </si>
  <si>
    <t>082145592061</t>
  </si>
  <si>
    <t>https://drive.google.com/open?id=1gWxekazy4E8717TgfIJuJ_KzDwP1y8bP</t>
  </si>
  <si>
    <t>Rebecca Meilany Adu</t>
  </si>
  <si>
    <t>081385611913</t>
  </si>
  <si>
    <t>https://drive.google.com/open?id=1AVuCdqJfvJcXL5yGgoMiB0JbrxexaiV6</t>
  </si>
  <si>
    <t>YUSVINA MAHANG SE</t>
  </si>
  <si>
    <t>081237064649</t>
  </si>
  <si>
    <t>PEKERJA PARU WAKTU</t>
  </si>
  <si>
    <t>https://drive.google.com/open?id=1IerwK-hdXvb2c8O3-GbhxOUcufSlwVvY</t>
  </si>
  <si>
    <t>Maria kaka</t>
  </si>
  <si>
    <t>https://drive.google.com/open?id=1ufdgpP64TCxQYUvgKLiGZOrA9kq-kOOF</t>
  </si>
  <si>
    <t>Prahara Chrislianto Kana</t>
  </si>
  <si>
    <t>085285512522</t>
  </si>
  <si>
    <t>https://drive.google.com/open?id=1rdb15D0FMuqa6X3liuS5V4Xu43F_eua4</t>
  </si>
  <si>
    <t>Romana Lopo</t>
  </si>
  <si>
    <t>087727679192</t>
  </si>
  <si>
    <t>https://drive.google.com/open?id=1HNcGSzlJKuhrrrYAAl9p_k3v-3JxHoOf</t>
  </si>
  <si>
    <t>EWALDUS FLAVIANO USBAN</t>
  </si>
  <si>
    <t>081270914162</t>
  </si>
  <si>
    <t>https://drive.google.com/open?id=1hlQNjI95Lg_LTRwgZcgxRpbmt2VCgfHZ</t>
  </si>
  <si>
    <t>MARLIN SARIATI</t>
  </si>
  <si>
    <t>081237790184</t>
  </si>
  <si>
    <t>https://drive.google.com/open?id=1HtfgYcOLhKOTw9mWWgaWy5UlMlaMLVgn</t>
  </si>
  <si>
    <t>ANAK AGUNG SRI WULANTIWI</t>
  </si>
  <si>
    <t>Veronika Alexsandra aleus</t>
  </si>
  <si>
    <t>081239131937</t>
  </si>
  <si>
    <t>https://drive.google.com/open?id=1vm6DRRThynMLm3BncNmUfCriDb_86Wne</t>
  </si>
  <si>
    <t>HERLIN PEDA BILI</t>
  </si>
  <si>
    <t>085137734710</t>
  </si>
  <si>
    <t>https://drive.google.com/open?id=1EkBmN14ToCxBdarM1VuAnNDtiBbKPpJb</t>
  </si>
  <si>
    <t>Yakobus malo</t>
  </si>
  <si>
    <t>081227124906</t>
  </si>
  <si>
    <t>https://drive.google.com/open?id=1Pu9AlaIly9oTjHrusdwWdnLUk7MQBcea</t>
  </si>
  <si>
    <t>SARCINA POY</t>
  </si>
  <si>
    <t>https://drive.google.com/open?id=1tqNdN5CTHNI3JT0cgBP44sogySCOjikq</t>
  </si>
  <si>
    <t>Roswita Marselina Homba</t>
  </si>
  <si>
    <t>082155418456</t>
  </si>
  <si>
    <t>https://drive.google.com/open?id=19MY77YUPnuHIYfCr9omvW9mdR-C2XqMr</t>
  </si>
  <si>
    <t>Maria immaculata tembaum</t>
  </si>
  <si>
    <t>082236730840</t>
  </si>
  <si>
    <t>https://drive.google.com/open?id=1RgideEfL3tE-p1auudNg1AufTz-E2wJf</t>
  </si>
  <si>
    <t>Anita Oebenu</t>
  </si>
  <si>
    <t>085237744131</t>
  </si>
  <si>
    <t>https://drive.google.com/open?id=1NFAtk9BS9W56qPbnKQkM1mEubFYwkPh0</t>
  </si>
  <si>
    <t>Yusvina mira</t>
  </si>
  <si>
    <t>https://drive.google.com/open?id=1__-fex3MVWrNvkoPL9n0ufh2EqhCO0l0</t>
  </si>
  <si>
    <t>Betsi Fice Djami</t>
  </si>
  <si>
    <t>082116316573</t>
  </si>
  <si>
    <t>https://drive.google.com/open?id=1HYxeKgVsW0N9RS40lPUtPSqu0q5gaLL2</t>
  </si>
  <si>
    <t>DELSINA SELAN</t>
  </si>
  <si>
    <t>082235280032</t>
  </si>
  <si>
    <t>https://drive.google.com/open?id=1hABjKP_wrIRja-IfnPoyvUUGRGqhJff2</t>
  </si>
  <si>
    <t>JOVINTUS RENGGI KONDANG</t>
  </si>
  <si>
    <t>085271844675</t>
  </si>
  <si>
    <t>https://drive.google.com/open?id=1D_V50w31HWNudbBVZFWKqyrfnuBD000f</t>
  </si>
  <si>
    <t>Anselnimus Mafenat</t>
  </si>
  <si>
    <t>082235607399</t>
  </si>
  <si>
    <t>https://drive.google.com/open?id=19yY4Pg9e3ZoqVSiBs1NItW9RzUo44hfC</t>
  </si>
  <si>
    <t>OCTAVIANUS SAINGO</t>
  </si>
  <si>
    <t>082266132057</t>
  </si>
  <si>
    <t>https://drive.google.com/open?id=1gcLsVaK2nZWBfumVXTSM4qojqEtq36Ng</t>
  </si>
  <si>
    <t>Nahyun naomi kirang</t>
  </si>
  <si>
    <t>081239237126</t>
  </si>
  <si>
    <t>https://drive.google.com/open?id=1Yp3-pQV2_ZofKiSd3jGden_31SQn0YX9</t>
  </si>
  <si>
    <t>Jolis lauata</t>
  </si>
  <si>
    <t>082237654784</t>
  </si>
  <si>
    <t>https://drive.google.com/open?id=1tRkxGSBSYn9Kq7BAFqzXZtc9KC8MNJ8Q</t>
  </si>
  <si>
    <t>SAMUEL MALO LENDW</t>
  </si>
  <si>
    <t>081239008072</t>
  </si>
  <si>
    <t>https://drive.google.com/open?id=1h7AbQZGSQV-QNMJaq0cf2I1IaAu1aRJy</t>
  </si>
  <si>
    <t>ADRIS PALI NGGALA RATU</t>
  </si>
  <si>
    <t>085339492040</t>
  </si>
  <si>
    <t>Sopir pribadi</t>
  </si>
  <si>
    <t>https://drive.google.com/open?id=1dVYB9WI-eUbA0hwN5AZVVJwqQsbKVyeK</t>
  </si>
  <si>
    <t>Toby Selan</t>
  </si>
  <si>
    <t>081246371132</t>
  </si>
  <si>
    <t>https://drive.google.com/open?id=1ie1de0p6ZPGHnr46oIG6JaQ_d0cdhctS</t>
  </si>
  <si>
    <t>PAULINA LERA MAWU</t>
  </si>
  <si>
    <t>https://drive.google.com/open?id=1sRTsNKy_HBho8hD9HI9fghALEGlojxY0</t>
  </si>
  <si>
    <t>PAULINA HERMINA TAEK</t>
  </si>
  <si>
    <t>082228916431</t>
  </si>
  <si>
    <t>https://drive.google.com/open?id=1jwziCuAZfmX_rrXRKGQpVQ5QZCG2aVmW</t>
  </si>
  <si>
    <t>Ivan moli</t>
  </si>
  <si>
    <t>082298962967</t>
  </si>
  <si>
    <t>https://drive.google.com/open?id=1Q1_hubkflL0a-0UWqbItl6xQPpiFfhS_</t>
  </si>
  <si>
    <t>ANGGI MARSELA R. MBURAK</t>
  </si>
  <si>
    <t>082228072979</t>
  </si>
  <si>
    <t>https://drive.google.com/open?id=1xlRRb7Mjeywye-l3Rp1kPdx7YrGeRCWd</t>
  </si>
  <si>
    <t>JAMALUDIN BIN WINDI</t>
  </si>
  <si>
    <t>082341663781</t>
  </si>
  <si>
    <t>https://drive.google.com/open?id=1i7cwjhypm09eYzq8VwsfG-Je6Fg4jHf-</t>
  </si>
  <si>
    <t>PETRICIUS RICAHARD MALO</t>
  </si>
  <si>
    <t>082147303995</t>
  </si>
  <si>
    <t>https://drive.google.com/open?id=1VjeeF9nGRbq1Hn-gF_t0yeCgfR_u-eUh</t>
  </si>
  <si>
    <t>11/22/0025</t>
  </si>
  <si>
    <t>Yulius Ndolu</t>
  </si>
  <si>
    <t>081238588868</t>
  </si>
  <si>
    <t>https://drive.google.com/open?id=17pBHsxh4tEThuAra4y5XUAWmRDJ9JUhQ</t>
  </si>
  <si>
    <t>Dolvianus tanik</t>
  </si>
  <si>
    <t>085235027998</t>
  </si>
  <si>
    <t>https://drive.google.com/open?id=10EpK6QbJG3vaMfW2-FhJqp1VVcrwmVT9</t>
  </si>
  <si>
    <t>Reginia stevanya luruk bria</t>
  </si>
  <si>
    <t>085804133160</t>
  </si>
  <si>
    <t>https://drive.google.com/open?id=1jgKIY9YE6PHlIdSUUuiJ7Yk1HbKf5GT9</t>
  </si>
  <si>
    <t>Mersiana Timo</t>
  </si>
  <si>
    <t>081336249343</t>
  </si>
  <si>
    <t>https://drive.google.com/open?id=1-r4mscdUWFRIsAhUwf-_Zkn49vaFpPc1</t>
  </si>
  <si>
    <t>ANGRIYANI ARSANTI SOAN</t>
  </si>
  <si>
    <t>081359356783</t>
  </si>
  <si>
    <t>https://drive.google.com/open?id=1P0o9-p05YcKEJhuJuWqMCwhhag8cVQNL</t>
  </si>
  <si>
    <t xml:space="preserve">MELIYANI ESTER DETA </t>
  </si>
  <si>
    <t>081246243120</t>
  </si>
  <si>
    <t>https://drive.google.com/open?id=1zlnXcbZ4tgQtlfD5k2f_-JSI8Fu1U1uq</t>
  </si>
  <si>
    <t>DOLFIANUS MELKIADES SBAAT</t>
  </si>
  <si>
    <t>081239568825</t>
  </si>
  <si>
    <t>https://drive.google.com/open?id=1wuJLpfy1t6BWi3Cr591w3sPYs4vN09TW</t>
  </si>
  <si>
    <t>RENDY SURYAH PANDU</t>
  </si>
  <si>
    <t>082146735446</t>
  </si>
  <si>
    <t>https://drive.google.com/open?id=1UV66FTEBPjdrCpyZROSK4a1td3FHgNsv</t>
  </si>
  <si>
    <t>AGNES PANDANGO</t>
  </si>
  <si>
    <t>https://drive.google.com/open?id=1GjWk2JcJ-XnCpX8AkaPa5pAawku5peSj</t>
  </si>
  <si>
    <t>Elsina oematan</t>
  </si>
  <si>
    <t>085339170845</t>
  </si>
  <si>
    <t>Wirasuwata</t>
  </si>
  <si>
    <t>https://drive.google.com/open?id=1cBxoSPAmTKtl0Onqngl-u8khcjiA4swB</t>
  </si>
  <si>
    <t>Henrik pinis</t>
  </si>
  <si>
    <t>085333486789</t>
  </si>
  <si>
    <t>https://drive.google.com/open?id=1RojC4SVc7xiWU448dpGitgp6s5v7JEh1</t>
  </si>
  <si>
    <t>RAMBU BABANG ANA KOPU</t>
  </si>
  <si>
    <t>081237630932</t>
  </si>
  <si>
    <t>https://drive.google.com/open?id=13YBGuVypJuIAxZhCIXbkO3UvYTlhSKKH</t>
  </si>
  <si>
    <t>Hermanus ndara jakadana</t>
  </si>
  <si>
    <t>085339496966</t>
  </si>
  <si>
    <t>https://drive.google.com/open?id=1pbZ1QiDjFasMX2z3YXM4olCL07Jso-aw</t>
  </si>
  <si>
    <t>Sahrah anjani</t>
  </si>
  <si>
    <t>081239310827</t>
  </si>
  <si>
    <t>https://drive.google.com/open?id=1ByC6CQvI7fS23rAJU7R9NWHwtDU5xyqr</t>
  </si>
  <si>
    <t>CICILIA ELEN KILIMANDU A, MD FARM</t>
  </si>
  <si>
    <t>082339721016</t>
  </si>
  <si>
    <t>https://drive.google.com/open?id=1GXh_YO_pL8gKVc4YzZi-vsFurYcAzB4N</t>
  </si>
  <si>
    <t>PUTRI RAMBU TEBA</t>
  </si>
  <si>
    <t>081339750271</t>
  </si>
  <si>
    <t>https://drive.google.com/open?id=1tS04Ds_6PYvi4kwinfAGcVvViIr4JD-z</t>
  </si>
  <si>
    <t>Firgo kamlasi</t>
  </si>
  <si>
    <t>081238533037</t>
  </si>
  <si>
    <t>https://drive.google.com/open?id=1IsiQIofEBf-bapWoYMSRUV1LidKNYeGG</t>
  </si>
  <si>
    <t>Djul ismael</t>
  </si>
  <si>
    <t>081336829017</t>
  </si>
  <si>
    <t>https://drive.google.com/open?id=1j_fFpQE57W9rXIEB_sz2zqFPLVxIws75</t>
  </si>
  <si>
    <t>Ricky markus sefnat nome</t>
  </si>
  <si>
    <t>082237890378</t>
  </si>
  <si>
    <t>https://drive.google.com/open?id=1HwKDJh5af80YUgntIqRpGTIMTGDEB_zJ</t>
  </si>
  <si>
    <t>Rusmin saudale</t>
  </si>
  <si>
    <t>087870483481</t>
  </si>
  <si>
    <t>https://drive.google.com/open?id=178vDOY8V5JP0wQ3_-I7dKmGf-Cc8-O5U</t>
  </si>
  <si>
    <t>Boby fransklin tungga</t>
  </si>
  <si>
    <t>081235661872</t>
  </si>
  <si>
    <t>sopir</t>
  </si>
  <si>
    <t>https://drive.google.com/open?id=1g09c1sQQSXFgFXuvvWSM63KnlopIMPWP</t>
  </si>
  <si>
    <t>Yustus Be Amkolo</t>
  </si>
  <si>
    <t>081246047497</t>
  </si>
  <si>
    <t xml:space="preserve">Karyawan swasta </t>
  </si>
  <si>
    <t>https://drive.google.com/open?id=1t-7kuN-5MKGQarAX0RXq9z5lbxjoDx4C</t>
  </si>
  <si>
    <t>Bernardus neonsaet</t>
  </si>
  <si>
    <t>0822220212933</t>
  </si>
  <si>
    <t>https://drive.google.com/open?id=1NITUZp20eulYMcBHwUK1YdCdkMWO-Bhy</t>
  </si>
  <si>
    <t>KANIS ORLANDO SERAN</t>
  </si>
  <si>
    <t>082147240708</t>
  </si>
  <si>
    <t>Aparatur Sipil Negara</t>
  </si>
  <si>
    <t>https://drive.google.com/open?id=1y9ncBvvXvxoNaEUwrwgudVDW9O8_CzII</t>
  </si>
  <si>
    <t>TRISIFA DESRIYANI BAITANU</t>
  </si>
  <si>
    <t>https://drive.google.com/open?id=1kJZ4wLpRY7ZEIZbDcX6NTHryP9UoGIs4</t>
  </si>
  <si>
    <t>Maisun</t>
  </si>
  <si>
    <t>https://drive.google.com/open?id=14KdJ4OZkjYdx60e2ic4vAulLko3zyfVx</t>
  </si>
  <si>
    <t>PASKALIA DOMINGGA IKU</t>
  </si>
  <si>
    <t>082237732777</t>
  </si>
  <si>
    <t>https://drive.google.com/open?id=1bhjNA9M-m3sddVRFZD_-PP37jk1QSgXu</t>
  </si>
  <si>
    <t>leni antonia abanat</t>
  </si>
  <si>
    <t>085957587895</t>
  </si>
  <si>
    <t>https://drive.google.com/open?id=18yw06SdbiegPPYP1e9lyDCZz0jaoECvE</t>
  </si>
  <si>
    <t>winda yohana mbau</t>
  </si>
  <si>
    <t>081236795383</t>
  </si>
  <si>
    <t>https://drive.google.com/open?id=1qO1H_-imkgR3ukwUDnVzF7_OHAjfcYGQ</t>
  </si>
  <si>
    <t>hermanus paskalis masa</t>
  </si>
  <si>
    <t>081337146156</t>
  </si>
  <si>
    <t>https://drive.google.com/open?id=1Bk9u7p6uzjkGeyrvVH0Dk-gvBLXhD_xM</t>
  </si>
  <si>
    <t>Maria Tambubolon</t>
  </si>
  <si>
    <t>082144326781</t>
  </si>
  <si>
    <t>https://drive.google.com/open?id=1-shAAAZ2EAai3aFfmdVZ3c6KZfzF4i9v</t>
  </si>
  <si>
    <t>Aldy Jonnes Nassa</t>
  </si>
  <si>
    <t>085706367841</t>
  </si>
  <si>
    <t>https://drive.google.com/open?id=11TwrMekVtFtj5CJlmbTpMvHKirZwnQK8</t>
  </si>
  <si>
    <t>Dominggus ndolu</t>
  </si>
  <si>
    <t>https://drive.google.com/open?id=1J-noms0IoevSXT1ptMLMG5ObpM3gkyCW</t>
  </si>
  <si>
    <t>Yuliana saduk</t>
  </si>
  <si>
    <t>https://drive.google.com/open?id=1QJH-VSXadeALBMWgydyYkSruM61NevEx</t>
  </si>
  <si>
    <t>Risha idamina saebani</t>
  </si>
  <si>
    <t>081232802530</t>
  </si>
  <si>
    <t>https://drive.google.com/open?id=1PbetIkY-v7heAFonlnsUqUD0v16OJJs6</t>
  </si>
  <si>
    <t xml:space="preserve">Skolastika firance inna </t>
  </si>
  <si>
    <t>081330749164</t>
  </si>
  <si>
    <t>https://drive.google.com/open?id=1ONKS_QH29fpcXcOGsFBI4Xcwfrq9aFgi</t>
  </si>
  <si>
    <t xml:space="preserve">ERLYN PANDAUNGU NDOY </t>
  </si>
  <si>
    <t>082236065152</t>
  </si>
  <si>
    <t>https://drive.google.com/open?id=1VyYq8L4Clu5TWjedCAVYKr_QzsjHyHNr</t>
  </si>
  <si>
    <t>https://drive.google.com/open?id=1VKRzjaFg3fpV18sUOF34CcyErwP6dQu-</t>
  </si>
  <si>
    <t>Paulina houna buku</t>
  </si>
  <si>
    <t>081339227955</t>
  </si>
  <si>
    <t>https://drive.google.com/open?id=161e1J7flkxdxpmPNCzTmYJNuuW7PYlPs</t>
  </si>
  <si>
    <t>Sandrayani mustikawati</t>
  </si>
  <si>
    <t>https://drive.google.com/open?id=1SPTwgm7EPPMOdEFni7qr0C-PP5BVdCrr</t>
  </si>
  <si>
    <t>Muhamad alfadio moestakim</t>
  </si>
  <si>
    <t>081339567626</t>
  </si>
  <si>
    <t>https://drive.google.com/open?id=1d7VKzCDu0tg1HLp9BeiPF8zIVCN1kh-p</t>
  </si>
  <si>
    <t>nike irawati ndoluanak</t>
  </si>
  <si>
    <t>083875093443</t>
  </si>
  <si>
    <t>https://drive.google.com/open?id=1HZjhFNFLWmW6usJbvbqEY-ajXajTSeak</t>
  </si>
  <si>
    <t>estu rahayu</t>
  </si>
  <si>
    <t>082330129706</t>
  </si>
  <si>
    <t>https://drive.google.com/open?id=1ltCL4bf0_du2xd1mTl2KKVlosz0Y48ZS</t>
  </si>
  <si>
    <t>Jusuf ndolu</t>
  </si>
  <si>
    <t>081339676161</t>
  </si>
  <si>
    <t>https://drive.google.com/open?id=1V6iaEPCZbIX-XnMuJPbiDGiNjKoShuZD</t>
  </si>
  <si>
    <t>umi atika</t>
  </si>
  <si>
    <t>082310759551</t>
  </si>
  <si>
    <t>https://drive.google.com/open?id=1ArNNC0IN9ExYZsMul2I61eKoIfJQbEoF</t>
  </si>
  <si>
    <t>MATIUS GA KORE</t>
  </si>
  <si>
    <t>081353006317</t>
  </si>
  <si>
    <t>https://drive.google.com/open?id=10hUedbafeidoKOVGy23qFvbkQONXLP1p</t>
  </si>
  <si>
    <t>Gresando Mario Opat</t>
  </si>
  <si>
    <t>083827803411</t>
  </si>
  <si>
    <t>https://drive.google.com/open?id=1mnTOX0Hkt4CdHzkuy1cavRNrGOAkTiTe</t>
  </si>
  <si>
    <t>Nazarinus Opat</t>
  </si>
  <si>
    <t>081237720898</t>
  </si>
  <si>
    <t>Petugas PKH</t>
  </si>
  <si>
    <t>https://drive.google.com/open?id=1d3P8lxEx-KZN_u5I0ui5v8mUGELl0PWq</t>
  </si>
  <si>
    <t>Paulus ra mone</t>
  </si>
  <si>
    <t>081353428431</t>
  </si>
  <si>
    <t>https://drive.google.com/open?id=1kT3BaTS6cs_fMK3NGP_U_MNNbdMOGekk</t>
  </si>
  <si>
    <t xml:space="preserve">Anna Mathelda Lazarus </t>
  </si>
  <si>
    <t>085253813999</t>
  </si>
  <si>
    <t>https://drive.google.com/open?id=1yd2uGcgHoWhs9BFC6uFiec692Ynf0nTo</t>
  </si>
  <si>
    <t>Paramitha Saubaki</t>
  </si>
  <si>
    <t>081335486896</t>
  </si>
  <si>
    <t>https://drive.google.com/open?id=1tehKy1VoDbIOzdNuYpTbm52o-p3v8sBA</t>
  </si>
  <si>
    <t>Gustaf S pinga</t>
  </si>
  <si>
    <t>085792313504</t>
  </si>
  <si>
    <t>https://drive.google.com/open?id=1Menfqp7humfor0vJA-CvsQrQN5SeLwOu</t>
  </si>
  <si>
    <t>FRANKI SOGA LENA</t>
  </si>
  <si>
    <t>081337016754</t>
  </si>
  <si>
    <t>https://drive.google.com/open?id=1-gcujPIkO7Rgqgp2YpPxKosOH9PA24k_</t>
  </si>
  <si>
    <t>Domu pedi</t>
  </si>
  <si>
    <t>081246900305</t>
  </si>
  <si>
    <t>https://drive.google.com/open?id=1ObUeJwckdOSu6yVBWgsU3uW4czSVjofN</t>
  </si>
  <si>
    <t>Nikolaus uli ebautun</t>
  </si>
  <si>
    <t>https://drive.google.com/open?id=1dphC1Al8SBeisyK3T9SnQoV5mbRTvX05</t>
  </si>
  <si>
    <t>Nandi maria sombitan</t>
  </si>
  <si>
    <t>081381843869</t>
  </si>
  <si>
    <t>https://drive.google.com/open?id=1o8Y3yNqm3PibzkAMEPyBp4qDbVTqpqMd</t>
  </si>
  <si>
    <t>tiara clarisa dalle ba’a</t>
  </si>
  <si>
    <t>081236879834</t>
  </si>
  <si>
    <t>https://drive.google.com/open?id=1ynY9ANi1gA4JKS66N153csJWpDqaqY87</t>
  </si>
  <si>
    <t>Martinus duka tagu kawi</t>
  </si>
  <si>
    <t>https://drive.google.com/open?id=1hXubOfEqU9pebDtEhB7VaDItN0klwTPi</t>
  </si>
  <si>
    <t>Jengeki Mesang</t>
  </si>
  <si>
    <t>081353891589</t>
  </si>
  <si>
    <t>https://drive.google.com/open?id=1CUUuMCneKAxGtVMkctWrlHeBL7VhjKn6</t>
  </si>
  <si>
    <t>Sunarlini</t>
  </si>
  <si>
    <t>081237389762</t>
  </si>
  <si>
    <t>https://drive.google.com/open?id=1yDD8cCsv2JYwfbkaql-sWtcmpIkq3Y6f</t>
  </si>
  <si>
    <t>Agustina Bano</t>
  </si>
  <si>
    <t>081238373619</t>
  </si>
  <si>
    <t>https://drive.google.com/open?id=1W0bIPWAEhI9jSDnBZCsUtdhvuzZGA6oH</t>
  </si>
  <si>
    <t>DONCE YABES BIA</t>
  </si>
  <si>
    <t>082146237553</t>
  </si>
  <si>
    <t>https://drive.google.com/open?id=1Gg4L8PaaU_QNoo89Va3OCJ4gWBaCTrrQ</t>
  </si>
  <si>
    <t>Ishak ramba deta</t>
  </si>
  <si>
    <t>082235362096</t>
  </si>
  <si>
    <t>https://drive.google.com/open?id=160Vm6KAB8xKgynkRdFZGwFYs_8osbjrR</t>
  </si>
  <si>
    <t>Bernadethe kalumbang</t>
  </si>
  <si>
    <t>085238179780</t>
  </si>
  <si>
    <t>https://drive.google.com/open?id=18M44ym-rELM1vhCNtCzvrkszowt01pvw</t>
  </si>
  <si>
    <t>ALDY IRMAWAN NASER</t>
  </si>
  <si>
    <t>081246992125</t>
  </si>
  <si>
    <t>https://drive.google.com/open?id=1oExEliMLujqeFqqMBDO9lwBj8T71R6CC</t>
  </si>
  <si>
    <t>Nobertus ka'auni</t>
  </si>
  <si>
    <t>085338216947</t>
  </si>
  <si>
    <t>https://drive.google.com/open?id=1EWUExfAF2oZO19nxV7STrBFLDlwdsUft</t>
  </si>
  <si>
    <t>Yulita ati</t>
  </si>
  <si>
    <t>081234721152</t>
  </si>
  <si>
    <t>https://drive.google.com/open?id=13dxS_kViprJlANBPrzf964M8IrKO233f</t>
  </si>
  <si>
    <t>YANORIUS BRIA</t>
  </si>
  <si>
    <t>082236708340</t>
  </si>
  <si>
    <t>https://drive.google.com/open?id=1IHqm9MWNYF8xMkKR2Wa7iTHCa6HNIgE-</t>
  </si>
  <si>
    <t>Apris maramba ndamu</t>
  </si>
  <si>
    <t>082340370026</t>
  </si>
  <si>
    <t>https://drive.google.com/open?id=1pqviC2H29sze5szaMrPhSCVJ2bHKO6H9</t>
  </si>
  <si>
    <t>Fransiska eka putri dappa</t>
  </si>
  <si>
    <t>082213707821</t>
  </si>
  <si>
    <t>https://drive.google.com/open?id=1Uo7Ep5Cfm4If42DO1KnBPLQPVvMmoirz</t>
  </si>
  <si>
    <t xml:space="preserve">Petrus mbay makaborang </t>
  </si>
  <si>
    <t>08221399098</t>
  </si>
  <si>
    <t xml:space="preserve">Pengusaha kios </t>
  </si>
  <si>
    <t>https://drive.google.com/open?id=1wjSde9n4Mk31GsUhFJbg7bxT4U1L-_mt</t>
  </si>
  <si>
    <t>melinda yohana ledoh</t>
  </si>
  <si>
    <t>+6285162595982</t>
  </si>
  <si>
    <t>https://drive.google.com/open?id=1mb2zxZ-IzoEz_p66IIqR0364J6SmOYK7</t>
  </si>
  <si>
    <t>RAMBU HUDANG ANA AMAH, S.Pd</t>
  </si>
  <si>
    <t>082236484439</t>
  </si>
  <si>
    <t>https://drive.google.com/open?id=1smGr8b2Q4RGug3su0dHFM8WasIiG24wZ</t>
  </si>
  <si>
    <t>YAHYA LEOB</t>
  </si>
  <si>
    <t>085958989443</t>
  </si>
  <si>
    <t>https://drive.google.com/open?id=1xSx3gO1re8QVji86DeCO7mO2ytNVLfUT</t>
  </si>
  <si>
    <t>RENOLOF LAO</t>
  </si>
  <si>
    <t>https://drive.google.com/open?id=1KpBFo3Z7pChDU8FLnn2-MglBBNy5UVg6</t>
  </si>
  <si>
    <t>https://drive.google.com/open?id=1rMc9NcJG76-urcFFgrFY08H-VDYOQ2C2</t>
  </si>
  <si>
    <t>Yuliana laos</t>
  </si>
  <si>
    <t>Usaha kios sembako</t>
  </si>
  <si>
    <t>https://drive.google.com/open?id=1zG5h6qalLFNhTR4-ri8tPpIu9jrlvbY_</t>
  </si>
  <si>
    <t>MERIYANA MARLIN LETTE</t>
  </si>
  <si>
    <t>Pemilik usaha ayam potong</t>
  </si>
  <si>
    <t>https://drive.google.com/open?id=1q5n5jnQei5U4KAfc960yqvDXPbP8_Hhr</t>
  </si>
  <si>
    <t>DAUD LETIKAMA</t>
  </si>
  <si>
    <t>https://drive.google.com/open?id=1s_yeL5C8O3s38xRLkN4h1StD_EHd-XiI</t>
  </si>
  <si>
    <t>TRIFESTY MANAO</t>
  </si>
  <si>
    <t>https://drive.google.com/open?id=1AK_4wXeV3vcYufMj0AGBZoJf6ZjHhWd-</t>
  </si>
  <si>
    <t>ARICE BANAMTUAN</t>
  </si>
  <si>
    <t>Usaha tenun</t>
  </si>
  <si>
    <t>https://drive.google.com/open?id=1anao6EGhyr6SVSIGcRWC4z2iOB9VozW4</t>
  </si>
  <si>
    <t>ASNAT LASSA</t>
  </si>
  <si>
    <t>Usaha lombok</t>
  </si>
  <si>
    <t>https://drive.google.com/open?id=1QJWwJJuIWiv21C-dPFuCdN5BD3L3sRFx</t>
  </si>
  <si>
    <t>WORI HANA</t>
  </si>
  <si>
    <t>081236196425</t>
  </si>
  <si>
    <t>https://drive.google.com/open?id=1fOfxjDy-OA31wWaKZp_98nA797vfJ5m3</t>
  </si>
  <si>
    <t>Arniviani bulu</t>
  </si>
  <si>
    <t>081339301959</t>
  </si>
  <si>
    <t>https://drive.google.com/open?id=1zJhcZfjB_uxb4OHxg-DQPfJ7SznFVHv7</t>
  </si>
  <si>
    <t>DOMINIK WUTA TENGGU, SH</t>
  </si>
  <si>
    <t>082210728987</t>
  </si>
  <si>
    <t>https://drive.google.com/open?id=1ZuT1PACruNsXMG5Bg3ld4LEzE8_FQSHC</t>
  </si>
  <si>
    <t>Felisisima maria karunia ratumakin</t>
  </si>
  <si>
    <t>085338584517</t>
  </si>
  <si>
    <t>Kerja di salon</t>
  </si>
  <si>
    <t>https://drive.google.com/open?id=1dZGVwSDU6cIqfm3RfgpzDU0NEOXn4fJu</t>
  </si>
  <si>
    <t>UMANUEL BUNMO</t>
  </si>
  <si>
    <t>081285705010</t>
  </si>
  <si>
    <t>https://drive.google.com/open?id=1AlrlfLi7v6W_qVBAHvWGMlLvU1cMLuTa</t>
  </si>
  <si>
    <t>Fransina atabui</t>
  </si>
  <si>
    <t>082339723422</t>
  </si>
  <si>
    <t>https://drive.google.com/open?id=1kVlLnk_eWsvOY-X88O8rBSzeqOk6XYn6</t>
  </si>
  <si>
    <t>Lusia mabilani</t>
  </si>
  <si>
    <t>085620659504</t>
  </si>
  <si>
    <t>https://drive.google.com/open?id=1Hj9GkPP3h6yl4JeLXXlUp-L3IAwTKQDQ</t>
  </si>
  <si>
    <t>YUBLINA KAITA LEPIR, SPD, GR</t>
  </si>
  <si>
    <t>082236362358</t>
  </si>
  <si>
    <t>https://drive.google.com/open?id=1BZb6ADD4EPlkJB4WqqjOByADWRY-TiDk</t>
  </si>
  <si>
    <t>wely sulla</t>
  </si>
  <si>
    <t>https://drive.google.com/open?id=16mEv19K79mmtAxJs-dXO57rioZYqqz33</t>
  </si>
  <si>
    <t>Marsalina solo</t>
  </si>
  <si>
    <t>https://drive.google.com/open?id=1hTvlerwPoObdnTudDQxwnStjEGaVfZ-D</t>
  </si>
  <si>
    <t>11/24/0025</t>
  </si>
  <si>
    <t>Desri Ballo</t>
  </si>
  <si>
    <t>082144016679</t>
  </si>
  <si>
    <t>https://drive.google.com/open?id=1JPZF82XXYiq8ihITUssClN8b3v2KhGmW</t>
  </si>
  <si>
    <t>Osni sudiyanto lona</t>
  </si>
  <si>
    <t>087822388549</t>
  </si>
  <si>
    <t>https://drive.google.com/open?id=1-4GgX043QwR4ewKivdMDRhIvH51Andy1</t>
  </si>
  <si>
    <t>Desandri Lankiwata</t>
  </si>
  <si>
    <t>082236489621</t>
  </si>
  <si>
    <t>https://drive.google.com/open?id=18q98wq_Q44UxQRjJa43WwjE4fxTKxSGu</t>
  </si>
  <si>
    <t>Marteda</t>
  </si>
  <si>
    <t>081339004132</t>
  </si>
  <si>
    <t>https://drive.google.com/open?id=10ikWmDaJ-NhEAEutzYzaHKN3YznYnSvb</t>
  </si>
  <si>
    <t>Januarius Manek</t>
  </si>
  <si>
    <t>https://drive.google.com/open?id=16Naf9YRF42Nlv9ozLwKEVrpYYMy2Klbl</t>
  </si>
  <si>
    <t>Soleman langipi</t>
  </si>
  <si>
    <t>087763633552</t>
  </si>
  <si>
    <t>https://drive.google.com/open?id=1v9aCImi9LlgWGGuKLXkFp5dLKtYhEt17</t>
  </si>
  <si>
    <t>Rony Paulus Marulam Sitorus</t>
  </si>
  <si>
    <t>081337280378</t>
  </si>
  <si>
    <t>https://drive.google.com/open?id=1lipGUvfgoHehtZJh9o2WgZNHaFZ2xEWz</t>
  </si>
  <si>
    <t>Yohanes septembrianus kato</t>
  </si>
  <si>
    <t>087783847839</t>
  </si>
  <si>
    <t>https://drive.google.com/open?id=1ymHWdUXl-LLVdAltc6aSmqU1Q8RH2HkH</t>
  </si>
  <si>
    <t>Maldini jaya ibrahim</t>
  </si>
  <si>
    <t>081237689086</t>
  </si>
  <si>
    <t>https://drive.google.com/open?id=11WzzbCYMoRzpWW2wE-XvCD_LZ_K190ET</t>
  </si>
  <si>
    <t>Merlin Mariana Nalle</t>
  </si>
  <si>
    <t>082339703576</t>
  </si>
  <si>
    <t>https://drive.google.com/open?id=1XHxp6kuc6ErOSMBEu6dTvKnndJG_jqpc</t>
  </si>
  <si>
    <t>DIWA TALU AMA S. Pi</t>
  </si>
  <si>
    <t>081232004148</t>
  </si>
  <si>
    <t>https://drive.google.com/open?id=1rawPbyl9lDEPQ4YkimmflzmPwfXHRBii</t>
  </si>
  <si>
    <t>Damianus malo kaleka</t>
  </si>
  <si>
    <t>081285551718</t>
  </si>
  <si>
    <t>https://drive.google.com/open?id=1bxa_lpL8LqSuE7YTwDe_YMDL6xdx9kay</t>
  </si>
  <si>
    <t>YUVITA KALE DJARA</t>
  </si>
  <si>
    <t>082249224798</t>
  </si>
  <si>
    <t>https://drive.google.com/open?id=146GJwMv8grb0jg3efSm_XMSKQXgBFKZf</t>
  </si>
  <si>
    <t>Muchtar djakaria</t>
  </si>
  <si>
    <t>081215095658</t>
  </si>
  <si>
    <t>https://drive.google.com/open?id=1E4w0iJDwlubPXQMlGfY14YtwGujSlFNA</t>
  </si>
  <si>
    <t>ALBINA SONANG</t>
  </si>
  <si>
    <t>+6285800700460</t>
  </si>
  <si>
    <t>https://drive.google.com/open?id=1MafMo2fyJpxBYS9sPCFpvlW1UA2oR7n9</t>
  </si>
  <si>
    <t>Yohana Marlina Ndun</t>
  </si>
  <si>
    <t>082144473169</t>
  </si>
  <si>
    <t>https://drive.google.com/open?id=13N2zj4qmqqlB2WN7PBoceLvpnaWNwn5q</t>
  </si>
  <si>
    <t>Damaris Danga Lila</t>
  </si>
  <si>
    <t>082144606915</t>
  </si>
  <si>
    <t>https://drive.google.com/open?id=1xambi4kaHZJZs6SqYT0jvq2EyRl24vu7</t>
  </si>
  <si>
    <t>Herlina riwu</t>
  </si>
  <si>
    <t>082266390577</t>
  </si>
  <si>
    <t>https://drive.google.com/open?id=1xCnH9dY3HLwVJevPPNPZCtJ6bDVxLnrY</t>
  </si>
  <si>
    <t>Yustus be amkolo</t>
  </si>
  <si>
    <t>082157146497</t>
  </si>
  <si>
    <t>https://drive.google.com/open?id=1DHApNBrobEn_o9jDL9PfYb9yE-o5QI6-</t>
  </si>
  <si>
    <t>Rosalinda Koro</t>
  </si>
  <si>
    <t>082199673360</t>
  </si>
  <si>
    <t>https://drive.google.com/open?id=128MUKxOEVmh3htVupbpzcWinOeVGdAkY</t>
  </si>
  <si>
    <t>SATRIA B. J. PARA LOMI</t>
  </si>
  <si>
    <t>081239308169</t>
  </si>
  <si>
    <t>https://drive.google.com/open?id=1NEOopiYWL0YPYxTjFPP_3341zbFt53d3</t>
  </si>
  <si>
    <t>SATRIA B. J.PARA LOMI</t>
  </si>
  <si>
    <t>https://drive.google.com/open?id=1BsBnL0-LL2SjIEZZLvW4QbmCIlj43sbp</t>
  </si>
  <si>
    <t>Deki alfonsus nenobais</t>
  </si>
  <si>
    <t>089678331704</t>
  </si>
  <si>
    <t>https://drive.google.com/open?id=1hibmLp4a632fV-GjkhLbQhfNJ5vINBi0</t>
  </si>
  <si>
    <t>Fridoward Ndolu</t>
  </si>
  <si>
    <t>082298173303</t>
  </si>
  <si>
    <t>https://drive.google.com/open?id=1f95B5aLRTJY6kf_LnmcLold2rGPkFGM7</t>
  </si>
  <si>
    <t>Rovina awa ate</t>
  </si>
  <si>
    <t>082236612451</t>
  </si>
  <si>
    <t>https://drive.google.com/open?id=1RcEMnaBBxwSp_tk9ngdI6ZYfIihweeVQ</t>
  </si>
  <si>
    <t>Miranti Kahi Nggaji</t>
  </si>
  <si>
    <t>081337904625</t>
  </si>
  <si>
    <t>https://drive.google.com/open?id=1iRMdkpZVk2zKWYv4IYiqRdBwIrYSo4WZ</t>
  </si>
  <si>
    <t>ANTONIUS M. YIWA S,PD</t>
  </si>
  <si>
    <t>082231249459</t>
  </si>
  <si>
    <t>https://drive.google.com/open?id=1AZBWFobw5g-WnCxxZ0aUYBamEBTZirq5</t>
  </si>
  <si>
    <t xml:space="preserve">Yustina mamo wadoe </t>
  </si>
  <si>
    <t>081237900128</t>
  </si>
  <si>
    <t>https://drive.google.com/open?id=1ja6ermeKsmHYd-L53BULKY2hmHqteiqg</t>
  </si>
  <si>
    <t>Merry Evita Wenyi</t>
  </si>
  <si>
    <t>081238562415</t>
  </si>
  <si>
    <t>Karyawan Salon</t>
  </si>
  <si>
    <t>https://drive.google.com/open?id=1LEKNSobVGaFVNGZ_MC-4I_91lwf6MoJY</t>
  </si>
  <si>
    <t>Maria Magdalena Mesang</t>
  </si>
  <si>
    <t>0895429642882</t>
  </si>
  <si>
    <t>https://drive.google.com/open?id=1FUPHu2S5cha6JGO5C0k7pKxOLC_QYTzO</t>
  </si>
  <si>
    <t>Dominggus dappa talu</t>
  </si>
  <si>
    <t>081246990075</t>
  </si>
  <si>
    <t>https://drive.google.com/open?id=177uXq15TghurPiPV_rr5wsmYd5LnNUl3</t>
  </si>
  <si>
    <t>Semri nimrot paulus nanga</t>
  </si>
  <si>
    <t>082123720630</t>
  </si>
  <si>
    <t>https://drive.google.com/open?id=1MMzgea_eKiglChkTkv81217g-gS1li8e</t>
  </si>
  <si>
    <t>Jho Abianto Milan</t>
  </si>
  <si>
    <t>082141945003</t>
  </si>
  <si>
    <t>https://drive.google.com/open?id=1ao3Zj8QVXvNQen-S4ZZ1BZlqrxDLUNHb</t>
  </si>
  <si>
    <t>WUNU WALU WANJA</t>
  </si>
  <si>
    <t>081338506547</t>
  </si>
  <si>
    <t>https://drive.google.com/open?id=1p2XC3LrZUZe-J3LKInFPjFs5nS-460_c</t>
  </si>
  <si>
    <t>Astrida Poppy Chrestella</t>
  </si>
  <si>
    <t>082266436850</t>
  </si>
  <si>
    <t>https://drive.google.com/open?id=15S6ItCTv_vpWBw5yXKgFfQIonK4j8O5E</t>
  </si>
  <si>
    <t>Elfrida koa</t>
  </si>
  <si>
    <t>085253199230</t>
  </si>
  <si>
    <t>https://drive.google.com/open?id=1vqPfGB44gPupmSDmcBinrER6eK8LcMOL</t>
  </si>
  <si>
    <t>Hermanus tilu</t>
  </si>
  <si>
    <t>081338719416</t>
  </si>
  <si>
    <t>https://drive.google.com/open?id=1fQv5VrxbOYZav5hU8jANwtjM7otlknyT</t>
  </si>
  <si>
    <t>Yandres kristison imanuel ome</t>
  </si>
  <si>
    <t>081547512632</t>
  </si>
  <si>
    <t>https://drive.google.com/open?id=1x4ncaWJ8o8LyvvS0JrscwNmfFdaX2t6g</t>
  </si>
  <si>
    <t>Astry oktafiany mboeik</t>
  </si>
  <si>
    <t>081337562049</t>
  </si>
  <si>
    <t>https://drive.google.com/open?id=1UQ_SpA_Rjois-Y5Pv822RLvj73U6uHAy</t>
  </si>
  <si>
    <t>Louis Marie Jefry Liwun</t>
  </si>
  <si>
    <t>082276285848</t>
  </si>
  <si>
    <t>https://drive.google.com/open?id=1Q5_BjGT7-Pk5SinhDZXSGdiujMqqFZUK</t>
  </si>
  <si>
    <t>Angela Kat'eut farnesi</t>
  </si>
  <si>
    <t>0819174304429</t>
  </si>
  <si>
    <t>https://drive.google.com/open?id=1eePNxL2CZNUoMVbjOqS87cLRDih2XKhz</t>
  </si>
  <si>
    <t>Juliana Ririn kase</t>
  </si>
  <si>
    <t>https://drive.google.com/open?id=1rfoBUCotD75Sq_SlPNlPDE81VRmwIQbf</t>
  </si>
  <si>
    <t>Setyaning telnoni</t>
  </si>
  <si>
    <t>08123628438</t>
  </si>
  <si>
    <t>https://drive.google.com/open?id=1DtXCQefWKKcpkCw4XVMBs-7dx4W9L0fF</t>
  </si>
  <si>
    <t>Yanti mariana riwu</t>
  </si>
  <si>
    <t>081337027989</t>
  </si>
  <si>
    <t>Penjual RB</t>
  </si>
  <si>
    <t>https://drive.google.com/open?id=1zRdo9u1FL7L05_eX6b_N6vfZLQS9IsIm</t>
  </si>
  <si>
    <t>AIRINE ALSANI KITU</t>
  </si>
  <si>
    <t>089699619655</t>
  </si>
  <si>
    <t>https://drive.google.com/open?id=1LjGmATXY3-YO1E0XB395NHkQs9ms3qw5</t>
  </si>
  <si>
    <t>Debora kendu</t>
  </si>
  <si>
    <t>081229103963</t>
  </si>
  <si>
    <t>https://drive.google.com/open?id=1k03-uGD18zUkTwFfkKP2pEbGoeOmnmUx</t>
  </si>
  <si>
    <t>Verina rambu kareri bonya</t>
  </si>
  <si>
    <t>081237979377</t>
  </si>
  <si>
    <t>Konten kreator</t>
  </si>
  <si>
    <t>https://drive.google.com/open?id=1ZR81Ie5m7kimisphp-Am0GGoorHdqHXl</t>
  </si>
  <si>
    <t>DEBORA NGONGO</t>
  </si>
  <si>
    <t>https://drive.google.com/open?id=19uyIyf4J6ayovo0gyBW8zViwzSvB9eUp</t>
  </si>
  <si>
    <t>Desry Chrismawati Ballo</t>
  </si>
  <si>
    <t>https://drive.google.com/open?id=1k9E2zC65hsNkrRSC-x4KieJt9kCZ_6Hk</t>
  </si>
  <si>
    <t>Meliana Tafuli</t>
  </si>
  <si>
    <t>081237411479</t>
  </si>
  <si>
    <t>https://drive.google.com/open?id=1QQiFo6NWSIaGfXpENoJs6_MWIGX7PdBp</t>
  </si>
  <si>
    <t>Heri riti</t>
  </si>
  <si>
    <t>081238652327</t>
  </si>
  <si>
    <t>https://drive.google.com/open?id=1AAlIShsIXWjpMFrhkSSIkFIwyE7XkVEV</t>
  </si>
  <si>
    <t>Yanoarius gitatius ola ehen</t>
  </si>
  <si>
    <t>https://drive.google.com/open?id=1LjrtF3qDmneu2eXCC8w_vyi54SokVYue</t>
  </si>
  <si>
    <t>YUPITER TOSI</t>
  </si>
  <si>
    <t>https://drive.google.com/open?id=1HF8v8h_HJP5r1HD5veJ-QGR07MgPwVkQ</t>
  </si>
  <si>
    <t>jumina anita boimau</t>
  </si>
  <si>
    <t>082186582578</t>
  </si>
  <si>
    <t>https://drive.google.com/open?id=1ou0r4KU7tGKzxx5kq1Klc8GDPZT5KdQ6</t>
  </si>
  <si>
    <t>Maria lende</t>
  </si>
  <si>
    <t>https://drive.google.com/open?id=1QdoKvyhMd0lFuQ3nhbnp7TbyAsMdA_lY</t>
  </si>
  <si>
    <t xml:space="preserve">HARDIYANTI LIKA ATAHUMBA </t>
  </si>
  <si>
    <t>082247766966</t>
  </si>
  <si>
    <t>https://drive.google.com/open?id=1LqidBT-ZIu-0pkwyyFQxyn25J9Gi3Dg8</t>
  </si>
  <si>
    <t>Cristina angelina kalumbang</t>
  </si>
  <si>
    <t>082341072394</t>
  </si>
  <si>
    <t>https://drive.google.com/open?id=1FRDb_Drl8EAavF4p_Xp9b75WaYBo5qyx</t>
  </si>
  <si>
    <t>Marlina bili</t>
  </si>
  <si>
    <t>081236521228</t>
  </si>
  <si>
    <t>https://drive.google.com/open?id=1DRaprg_0kYG9_FgEMOpjbd1e5HO6nvpZ</t>
  </si>
  <si>
    <t>TAY HINGGA RANJA, S.Pd.K</t>
  </si>
  <si>
    <t>081271612422</t>
  </si>
  <si>
    <t>https://drive.google.com/open?id=1j8yX-x9ZZFtBiCWMDO9cr87kV3Ls05Zk</t>
  </si>
  <si>
    <t>THOMAS TASAKEB</t>
  </si>
  <si>
    <t>+6287872595164</t>
  </si>
  <si>
    <t>https://drive.google.com/open?id=1rUkzvv6527qnFcV6okX-ARkVf9D9YUY2</t>
  </si>
  <si>
    <t>Nicolaus nono buka</t>
  </si>
  <si>
    <t>081220285036</t>
  </si>
  <si>
    <t>https://drive.google.com/open?id=1LZh4QQcoqQbxnfCm9MrtOHV-B4Lg5Dts</t>
  </si>
  <si>
    <t>Maria elisabeth januantry lawa</t>
  </si>
  <si>
    <t>081236782819</t>
  </si>
  <si>
    <t>https://drive.google.com/open?id=1_-B0mwRUWeHwzyWsipICMJeW0bIkEiEC</t>
  </si>
  <si>
    <t>Katharina syuriana ehok S.sos</t>
  </si>
  <si>
    <t>085857737282</t>
  </si>
  <si>
    <t>https://drive.google.com/open?id=1yIVP7waQl8PimZnZB10QKSgFza1pZwpC</t>
  </si>
  <si>
    <t>Johan Abianto Milan</t>
  </si>
  <si>
    <t>https://drive.google.com/open?id=1sY7XluTu0mTSm57ng_mcN-iQaj1NxE1G</t>
  </si>
  <si>
    <t>Fabianus tamonob</t>
  </si>
  <si>
    <t>082213361626</t>
  </si>
  <si>
    <t>https://drive.google.com/open?id=1mQ7ZZ3jtLcmCk020xq2IFoC1Ju85Nlvu</t>
  </si>
  <si>
    <t>Federika rija wadang</t>
  </si>
  <si>
    <t>082144611625</t>
  </si>
  <si>
    <t>https://drive.google.com/open?id=1nPtmkyjQ11G5xb7-qIxqNtFlr62kbAo2</t>
  </si>
  <si>
    <t>Irwansyah panulung</t>
  </si>
  <si>
    <t>08998321427</t>
  </si>
  <si>
    <t>https://drive.google.com/open?id=1yoBslLkYH12Ql6Nzw8ucmG1-4FCEB-Pa</t>
  </si>
  <si>
    <t>Dewi Banni Ludji</t>
  </si>
  <si>
    <t>082146983985</t>
  </si>
  <si>
    <t>https://drive.google.com/open?id=1Km-7q1RmF9eq-_JssxSU6jsPUiBslmb_</t>
  </si>
  <si>
    <t>Audrey Cinderry Kala</t>
  </si>
  <si>
    <t>0812370225777</t>
  </si>
  <si>
    <t>https://drive.google.com/open?id=1X5ZDuP3aJZZbj0ujJ5G01rbs97QgfV8Q</t>
  </si>
  <si>
    <t>Andri manafe</t>
  </si>
  <si>
    <t>Sopir rental</t>
  </si>
  <si>
    <t>https://drive.google.com/open?id=1a2iGZusfwbm6GTY7tmAUWb-EvKMU2pUk</t>
  </si>
  <si>
    <t>GREGORIUS BRIA SERAN</t>
  </si>
  <si>
    <t>082144993494</t>
  </si>
  <si>
    <t>https://drive.google.com/open?id=1Ms2UZP93jfr1AQxjFpKRrhP_U87YENdT</t>
  </si>
  <si>
    <t>ATONIUS. A. G. ATAKARI</t>
  </si>
  <si>
    <t>081353824634</t>
  </si>
  <si>
    <t>https://drive.google.com/open?id=1AQd54Kw41BKQ_TOevuhCY-NsjJ5t_3mY</t>
  </si>
  <si>
    <t>AGUSTUNA LEGU AWA</t>
  </si>
  <si>
    <t>https://drive.google.com/open?id=1u4j_9fNS5nUuXHCtTFOuqJ5xhAnlFRiN</t>
  </si>
  <si>
    <t>Petrona danga leo</t>
  </si>
  <si>
    <t>082266799525</t>
  </si>
  <si>
    <t>https://drive.google.com/open?id=1cPJ7LLYH8A5voJZKgIHkS6U2NGG0Ujtg</t>
  </si>
  <si>
    <t>DORINCE MELLU</t>
  </si>
  <si>
    <t>082146747875</t>
  </si>
  <si>
    <t>https://drive.google.com/open?id=1dVCn7pRZRAtkbcZH4MF_5U901Nv2pzZk</t>
  </si>
  <si>
    <t>NASRANI NJATI MARAMBA MEHA</t>
  </si>
  <si>
    <t>082144814093</t>
  </si>
  <si>
    <t>https://drive.google.com/open?id=1zeFuw6mvuopkMi1v5PgVPubsT7DejCGg</t>
  </si>
  <si>
    <t>MELVIANUS SOGA KURULENA</t>
  </si>
  <si>
    <t>081246315249</t>
  </si>
  <si>
    <t>https://drive.google.com/open?id=11M7z6HcNduofnSF0G9E_Ux-auVNEzpzI</t>
  </si>
  <si>
    <t>ROMY ZULIYANTO MALEY</t>
  </si>
  <si>
    <t>081246652772</t>
  </si>
  <si>
    <t>https://drive.google.com/open?id=1-sfCv0f6zt9NX165knjsrquRgTLTiKZl</t>
  </si>
  <si>
    <t>MUSNAINI SULAIMAN</t>
  </si>
  <si>
    <t>085237259286</t>
  </si>
  <si>
    <t>https://drive.google.com/open?id=19-RF1dEhku4rvNmNJexbLVhz3B2VJpLD</t>
  </si>
  <si>
    <t>Fabianus Nahak</t>
  </si>
  <si>
    <t>082228807525</t>
  </si>
  <si>
    <t>Non pegawai</t>
  </si>
  <si>
    <t>https://drive.google.com/open?id=1dwNJWiwY8liZf5mme9n0lM1dxoJXgu-z</t>
  </si>
  <si>
    <t>KORNELIS KADU</t>
  </si>
  <si>
    <t>082147620326</t>
  </si>
  <si>
    <t>https://drive.google.com/open?id=1Sf5BIziFPe6DcRfztz_8Ib2A1kr1zrKZ</t>
  </si>
  <si>
    <t>PRISKILA NOVELIA NELLA</t>
  </si>
  <si>
    <t>https://drive.google.com/open?id=18anrc2LQa2vMm_s5jBJtXX4Sgx5VL8uz</t>
  </si>
  <si>
    <t>Herminto pakereng</t>
  </si>
  <si>
    <t>081238719416</t>
  </si>
  <si>
    <t>https://drive.google.com/open?id=1C8KYslPE7DLMV8sXwlIH99hplSVHYgRr</t>
  </si>
  <si>
    <t>Dionisius aguatinus nahak</t>
  </si>
  <si>
    <t>082245542480</t>
  </si>
  <si>
    <t>https://drive.google.com/open?id=1b3eb9tOwdstWKPvNafRct_u2d-MD0a_k</t>
  </si>
  <si>
    <t>Welfrida Bana</t>
  </si>
  <si>
    <t>082339051234</t>
  </si>
  <si>
    <t>https://drive.google.com/open?id=1ryfD0n6CC39vqwlSP4wwruIQL6CyNtw4</t>
  </si>
  <si>
    <t>Yohana homba</t>
  </si>
  <si>
    <t>085341513270</t>
  </si>
  <si>
    <t>https://drive.google.com/open?id=1dlVNxjLpGiJFbZcbKsQNmkL2CEqYtP7Z</t>
  </si>
  <si>
    <t>GRACIANA TAONE</t>
  </si>
  <si>
    <t>081312010631</t>
  </si>
  <si>
    <t>https://drive.google.com/open?id=1qjxf8OC-zegM0Y3zVP-q5ZeKxijRoT7d</t>
  </si>
  <si>
    <t xml:space="preserve">Anastasia Sri iswati </t>
  </si>
  <si>
    <t>081246310811</t>
  </si>
  <si>
    <t>https://drive.google.com/open?id=1WQzVuC-qku6__Ww6m9hXPafCGLXRbbwD</t>
  </si>
  <si>
    <t>ECHA RATU AMAH</t>
  </si>
  <si>
    <t>081337436749</t>
  </si>
  <si>
    <t>bisnis online</t>
  </si>
  <si>
    <t>https://drive.google.com/open?id=1ax-Li0hQHyo5TLrDHoOF_cHcv0Bre__T</t>
  </si>
  <si>
    <t>Katrina kalli ghoba</t>
  </si>
  <si>
    <t>082277566391</t>
  </si>
  <si>
    <t>https://drive.google.com/open?id=1-uQTWCfFjrNaOck62iqoArwDu28T6Zod</t>
  </si>
  <si>
    <t>MARSEN MANU</t>
  </si>
  <si>
    <t>081239311797</t>
  </si>
  <si>
    <t>Pegawai Honore</t>
  </si>
  <si>
    <t>https://drive.google.com/open?id=1n10FP_oTXMHarl5n4CqLAPk8AGV2-KIX</t>
  </si>
  <si>
    <t>Mariana dada gole</t>
  </si>
  <si>
    <t>4.6</t>
  </si>
  <si>
    <t>https://drive.google.com/open?id=1LihFvw-8uh0EFL_m5x8V32qh2m9FQDGK</t>
  </si>
  <si>
    <t>Martinus</t>
  </si>
  <si>
    <t>https://drive.google.com/open?id=1jcL_ggg4aox7m1LB9jZOAR77ZUICSdI0</t>
  </si>
  <si>
    <t>Yupiter Sanam</t>
  </si>
  <si>
    <t>082340378000</t>
  </si>
  <si>
    <t>https://drive.google.com/open?id=1l-JwEk5noxOoknpMRy33NxOlaRh6ye6D</t>
  </si>
  <si>
    <t>Yonatan amanit</t>
  </si>
  <si>
    <t>081342436810</t>
  </si>
  <si>
    <t>https://drive.google.com/open?id=1bFrL--n4HJ0darRlsaiwHX-5M4ZWrqvk</t>
  </si>
  <si>
    <t>081239212931</t>
  </si>
  <si>
    <t>https://drive.google.com/open?id=1NFjtGJdvrBOoHWFTFZEx9ZCR-9VzFMle</t>
  </si>
  <si>
    <t>Cherin joane  potokatoe</t>
  </si>
  <si>
    <t>081358598052</t>
  </si>
  <si>
    <t>https://drive.google.com/open?id=1oJByIcqwAy_r0QmmUc-Q2ziFmpEYtio1</t>
  </si>
  <si>
    <t>Nathasya ruxandra  loudoe</t>
  </si>
  <si>
    <t>082247282813</t>
  </si>
  <si>
    <t>https://drive.google.com/open?id=1nZIe31HkF1KOSwuw7zFCzVNb4HotlTkM</t>
  </si>
  <si>
    <t>Immaculata  dian putri</t>
  </si>
  <si>
    <t>082339860641</t>
  </si>
  <si>
    <t>https://drive.google.com/open?id=1RkHzm5pvjaHou95YnNXcaE4ljtvEIBHG</t>
  </si>
  <si>
    <t>Donisius funan</t>
  </si>
  <si>
    <t>081237655245</t>
  </si>
  <si>
    <t>https://drive.google.com/open?id=1wETXefYpRjY9vk_cYIs_mtYGM8Q7ix_u</t>
  </si>
  <si>
    <t>REGINA MARIA MANEHAT</t>
  </si>
  <si>
    <t>https://drive.google.com/open?id=1O0c0eDtnhLLkKvFMF6qf6eHpm1ihxtoa</t>
  </si>
  <si>
    <t>https://drive.google.com/open?id=1lwFPkKl1oKlPOHvmHl8foS0Q6Ngv_7GZ</t>
  </si>
  <si>
    <t>085231447562</t>
  </si>
  <si>
    <t>https://drive.google.com/open?id=1ExOCfu8QqfYciSYyeAksi68HT2hSNOLC</t>
  </si>
  <si>
    <t>11/26/0025</t>
  </si>
  <si>
    <t>Jemsi Yacob Kulle</t>
  </si>
  <si>
    <t>085165061126</t>
  </si>
  <si>
    <t>https://drive.google.com/open?id=1q-EndCSAYLUAvlzUKkaab57equbAHl54</t>
  </si>
  <si>
    <t>Medianya S Fallo</t>
  </si>
  <si>
    <t>085333682613</t>
  </si>
  <si>
    <t>https://drive.google.com/open?id=1gaCNMxfZCxtH8rMGMSzidP1yBIUKrw_7</t>
  </si>
  <si>
    <t>Yani leo</t>
  </si>
  <si>
    <t>082144369930</t>
  </si>
  <si>
    <t>https://drive.google.com/open?id=1X7J2WmWhDl_HSRwbw5dDuPwkV6QGxzT7</t>
  </si>
  <si>
    <t>Fredik mauboy</t>
  </si>
  <si>
    <t>081391463320</t>
  </si>
  <si>
    <t>https://drive.google.com/open?id=1HUX0fvV9N6GaLMl7JCHZMsiWMbP5iKLN</t>
  </si>
  <si>
    <t>Sahbudin Sengaji</t>
  </si>
  <si>
    <t>Ajulan lagi 90 hari</t>
  </si>
  <si>
    <t>https://drive.google.com/open?id=1bZKzWPhIqmGddyu7ZzZk8kgeWXFSn7wo</t>
  </si>
  <si>
    <t>https://drive.google.com/open?id=1yNLWDGYooOn7-vafXpldZ04HaxgfbgOO</t>
  </si>
  <si>
    <t>Joni Tamonob</t>
  </si>
  <si>
    <t>085337659393</t>
  </si>
  <si>
    <t>https://drive.google.com/open?id=1FMBJMwGOrW3NGIe2gPlWdmpUxRPmPrhh</t>
  </si>
  <si>
    <t>AGUSTINUS NANGA UMBU WARATA</t>
  </si>
  <si>
    <t>082266136684</t>
  </si>
  <si>
    <t>https://drive.google.com/open?id=1cAVrx2HlPoHQmAjsLWZBuHDaMwkvFJHm</t>
  </si>
  <si>
    <t>FAHTUR YUNUS</t>
  </si>
  <si>
    <t>082266133920</t>
  </si>
  <si>
    <t>https://drive.google.com/open?id=1zhwEiPFk7YLjHM8uyHu5Bk5aBoYb3Mwn</t>
  </si>
  <si>
    <t>ORJEN ARIYANTO SANAUNU</t>
  </si>
  <si>
    <t>082147561238</t>
  </si>
  <si>
    <t>https://drive.google.com/open?id=1-tGUsaFsJdpuLQSLIZg02HWuTphTbtQR</t>
  </si>
  <si>
    <t>Ekasandi Daik</t>
  </si>
  <si>
    <t>082147022768</t>
  </si>
  <si>
    <t>https://drive.google.com/open?id=1uAvo9vj_wx7kIP94IRp89-nDl39U3kvr</t>
  </si>
  <si>
    <t>JIMMY RONALDI BANOET</t>
  </si>
  <si>
    <t>082146985324</t>
  </si>
  <si>
    <t>https://drive.google.com/open?id=1Kygq249ZD1cV4xup4fkinhwwbnt_PGn6</t>
  </si>
  <si>
    <t>Aldi karambi</t>
  </si>
  <si>
    <t>081337842532</t>
  </si>
  <si>
    <t>https://drive.google.com/open?id=1-yjAZNAeJZRImIOKDA73oPjSYJ2bcWRs</t>
  </si>
  <si>
    <t>Santy M Ballo Malelak</t>
  </si>
  <si>
    <t>082339152999</t>
  </si>
  <si>
    <t>https://drive.google.com/open?id=1A2gUNyBsAi-uqdCt2IfGHP41D3Zt5cUA</t>
  </si>
  <si>
    <t>Meirisa Hardiani Tameon</t>
  </si>
  <si>
    <t>082393368050</t>
  </si>
  <si>
    <t>https://drive.google.com/open?id=1-usxq-FY3YflI2zClW3JHzSA29yAQqi5</t>
  </si>
  <si>
    <t>FRENDIRIKUS MOLO</t>
  </si>
  <si>
    <t>https://drive.google.com/open?id=1BZtZ4qF9v-cFelmLuxFCkc6jqeQgImz2</t>
  </si>
  <si>
    <t>Bernadikta usfinit</t>
  </si>
  <si>
    <t>082120075682</t>
  </si>
  <si>
    <t>https://drive.google.com/open?id=1lUdoDl5Mtn8gFHJ_6lwzNO7bfD7qsJfz</t>
  </si>
  <si>
    <t>Paulina pati bebe</t>
  </si>
  <si>
    <t>081246348468</t>
  </si>
  <si>
    <t>https://drive.google.com/open?id=1xSBM_hKGRNbBP--RCk6JXZnv30LetiNE</t>
  </si>
  <si>
    <t>Desy affrianti</t>
  </si>
  <si>
    <t>087865009313</t>
  </si>
  <si>
    <t>https://drive.google.com/open?id=1r5o5jmTBVl0XGW0XRcyvhyexw9RnOI3K</t>
  </si>
  <si>
    <t>Erniyati Erika eta pati</t>
  </si>
  <si>
    <t>081230690353</t>
  </si>
  <si>
    <t>https://drive.google.com/open?id=1UX-l6l-WhzghCJI36HmDEEiyLIqwP9LT</t>
  </si>
  <si>
    <t>Andrias Wemba towak</t>
  </si>
  <si>
    <t>081238303460</t>
  </si>
  <si>
    <t>https://drive.google.com/open?id=1HcQyORYnLg9CtvQMTPckG3yK8WR-mmF3</t>
  </si>
  <si>
    <t>Rida Eni waang sir</t>
  </si>
  <si>
    <t>085337024095</t>
  </si>
  <si>
    <t>https://drive.google.com/open?id=1puvO9a8i618rOmYv0Dmv7Ww5IWcWmSlA</t>
  </si>
  <si>
    <t>BENHUR AYALON KAPITAN</t>
  </si>
  <si>
    <t>081246986454</t>
  </si>
  <si>
    <t>https://drive.google.com/open?id=1xQtHgzbUNBwlyqYmWnEdSAqxyeAXJPy8</t>
  </si>
  <si>
    <t>Margareta bunni</t>
  </si>
  <si>
    <t>https://drive.google.com/open?id=19EhWC-oo7j8FQonOm8ybpnMbek-IYKOK</t>
  </si>
  <si>
    <t>Adriana Dairu</t>
  </si>
  <si>
    <t>081239719066</t>
  </si>
  <si>
    <t>https://drive.google.com/open?id=19klrsh5WtqJwVdNeofjPH6SxqmuHWzif</t>
  </si>
  <si>
    <t>METODIUS SANAN BONE</t>
  </si>
  <si>
    <t>082144735599</t>
  </si>
  <si>
    <t>https://drive.google.com/open?id=1Cz24f6morQDPgQMpodlwoQli5KNEZ37r</t>
  </si>
  <si>
    <t xml:space="preserve">Alexandra </t>
  </si>
  <si>
    <t>082340276222</t>
  </si>
  <si>
    <t>https://drive.google.com/open?id=1abEC-ep726OhAhDmU3krmPJ_v8OZDQu-</t>
  </si>
  <si>
    <t>esi debora tefbana</t>
  </si>
  <si>
    <t>https://drive.google.com/open?id=1CgMLG6T09jvcI82ICLcty0is1H-2TJCo</t>
  </si>
  <si>
    <t>Robert syukur djola</t>
  </si>
  <si>
    <t>089525464463</t>
  </si>
  <si>
    <t>Media mabes polri</t>
  </si>
  <si>
    <t>https://drive.google.com/open?id=1aRb6TMpdrECagFbNGm4MTT6HlVaethKH</t>
  </si>
  <si>
    <t>MARIA EKAYANTI AMFOTIS</t>
  </si>
  <si>
    <t>082145617599</t>
  </si>
  <si>
    <t>https://drive.google.com/open?id=1iRk_WsNER4KlWRn4g--VZeI6Kvw6LtAr</t>
  </si>
  <si>
    <t>marcho anugrah uruhue</t>
  </si>
  <si>
    <t>https://drive.google.com/open?id=1SWse6F79i6hygCn1GVpemSgEXD3hLK6p</t>
  </si>
  <si>
    <t>sovia jabi</t>
  </si>
  <si>
    <t>081239144420</t>
  </si>
  <si>
    <t>https://drive.google.com/open?id=1-OeJ8mMkFJvIobA3HBMPituau1ApbF9b</t>
  </si>
  <si>
    <t>APLONIA TAMPANI</t>
  </si>
  <si>
    <t>Usaha warung nasi kuning</t>
  </si>
  <si>
    <t>https://drive.google.com/open?id=1OUGeFRvBkC9iRA1cpSku59B3fE9CaI_0</t>
  </si>
  <si>
    <t>YOFINA SUAN</t>
  </si>
  <si>
    <t xml:space="preserve">Punya usaha salome </t>
  </si>
  <si>
    <t>https://drive.google.com/open?id=1eUyBh8uRfI8TiyXcDhaSFqul9TvYfPvR</t>
  </si>
  <si>
    <t>MARSEN NOMLENI</t>
  </si>
  <si>
    <t>https://drive.google.com/open?id=1Ni5t8julKrsyevsfbTAU_k3jZh9jYHNO</t>
  </si>
  <si>
    <t>DELMILANDAT TABUN</t>
  </si>
  <si>
    <t>Usaha sembako</t>
  </si>
  <si>
    <t>https://drive.google.com/open?id=1SEQ-N9PRRKNjPtXh2TGaSOkXiQ7Q22Cl</t>
  </si>
  <si>
    <t>PETRONELA LILY TES DESANTOS</t>
  </si>
  <si>
    <t>Usaha PETERNAKAN</t>
  </si>
  <si>
    <t>https://drive.google.com/open?id=102HkbQulP1lAOAC5Sj8KIAP9SEb5AZ4u</t>
  </si>
  <si>
    <t>FRIDA PITERNELLA MALELAK</t>
  </si>
  <si>
    <t>https://drive.google.com/open?id=1qNF_sU-C19PxeN8D3EW-gxwabJ_ilOP2</t>
  </si>
  <si>
    <t>Auxilia Rosari Neno</t>
  </si>
  <si>
    <t>081324565931</t>
  </si>
  <si>
    <t>https://drive.google.com/open?id=1qG-CdMf04ghKo3mWsvTKCDPMZNDvXVPZ</t>
  </si>
  <si>
    <t xml:space="preserve">Budi Cahyono </t>
  </si>
  <si>
    <t>081904200939</t>
  </si>
  <si>
    <t>https://drive.google.com/open?id=1mQd1-m4Iv0_Ad-g5192R4Rgml8UP0glD</t>
  </si>
  <si>
    <t>Yomeliana maria magno</t>
  </si>
  <si>
    <t>081337764588</t>
  </si>
  <si>
    <t>https://drive.google.com/open?id=17w9Av3I5zUNJKbIsOvRPjO5TW5-7ht88</t>
  </si>
  <si>
    <t>Asmawati hasan nur</t>
  </si>
  <si>
    <t>082236835654</t>
  </si>
  <si>
    <t>https://drive.google.com/open?id=1CNUZzSlyEpdUnZ85Q4LP9CYdERpJOfZU</t>
  </si>
  <si>
    <t>RABIATUN ADAWIAH ARSAD</t>
  </si>
  <si>
    <t>081237270854</t>
  </si>
  <si>
    <t>https://drive.google.com/open?id=1eLZcYOeoTUbXpBQNcDbQ-3OsIzEnIpNo</t>
  </si>
  <si>
    <t>MARTINI K. HARA</t>
  </si>
  <si>
    <t>082147217114</t>
  </si>
  <si>
    <t>https://drive.google.com/open?id=13uLW0Wfc0D3JucfsvEV7M8YHQyl_l36S</t>
  </si>
  <si>
    <t>Ardin silvester bere</t>
  </si>
  <si>
    <t>081236890767</t>
  </si>
  <si>
    <t>https://drive.google.com/open?id=1Tm98T8BbEiYD7itQ0wgLviZAX5xmkpO6</t>
  </si>
  <si>
    <t>Aranci klara uran</t>
  </si>
  <si>
    <t>082122789378</t>
  </si>
  <si>
    <t>https://drive.google.com/open?id=1w2Nq92rYeJHjQYciwSBIES7FE96sSLw_</t>
  </si>
  <si>
    <t>Gregorius ghaina</t>
  </si>
  <si>
    <t>085333911916</t>
  </si>
  <si>
    <t>https://drive.google.com/open?id=1mKQEy93AgvCkK4mKhPKvSSU-KLtZZjTg</t>
  </si>
  <si>
    <t>DESWITA SUCI RAHMAWATI</t>
  </si>
  <si>
    <t>081238560636</t>
  </si>
  <si>
    <t>https://drive.google.com/open?id=14CUvPhbiu4Bia4Lmeal_NhrRqZ0VeMmq</t>
  </si>
  <si>
    <t>Antonia bo'i beri</t>
  </si>
  <si>
    <t>082335729230</t>
  </si>
  <si>
    <t>https://drive.google.com/open?id=1JRk4T-R82ZGiy-HLN4udNwDJB9sjosJT</t>
  </si>
  <si>
    <t>GREGORIUS MOENSAKU</t>
  </si>
  <si>
    <t>081239870340</t>
  </si>
  <si>
    <t>https://drive.google.com/open?id=1ieW7qZGK98grLNX5ML64FkUFDwn2-GB_</t>
  </si>
  <si>
    <t>Fransiskus Tasesab</t>
  </si>
  <si>
    <t>081237022165</t>
  </si>
  <si>
    <t>https://drive.google.com/open?id=1yxAH9u97a7LnQqwTFoweiFSTTTlthUSY</t>
  </si>
  <si>
    <t>Yurfin hitrianus asbanu</t>
  </si>
  <si>
    <t>082331432030</t>
  </si>
  <si>
    <t>https://drive.google.com/open?id=1TF7ajv3NN51ekbvkBIn8ELoNCAyD1KDf</t>
  </si>
  <si>
    <t>Yenita seran</t>
  </si>
  <si>
    <t>082147286218</t>
  </si>
  <si>
    <t>https://drive.google.com/open?id=1Ad0uh903nMx9_RTSnLhpgOox0dC6-CVP</t>
  </si>
  <si>
    <t>Susanti lidia tefbana</t>
  </si>
  <si>
    <t>081237035210</t>
  </si>
  <si>
    <t>https://drive.google.com/open?id=1lztrCUngrRkqHk2PM7MGQtSfD0rtCtLN</t>
  </si>
  <si>
    <t>Efigenia maria xavier</t>
  </si>
  <si>
    <t>082146195957</t>
  </si>
  <si>
    <t>https://drive.google.com/open?id=1jJuoy6JL6gPiiEJToBXmnjqx2m_VWa1m</t>
  </si>
  <si>
    <t>Martinus radja lado</t>
  </si>
  <si>
    <t>085606808055</t>
  </si>
  <si>
    <t>https://drive.google.com/open?id=1BVntVvd1X7kKqk11NuYGhe-dz-Ubcp1w</t>
  </si>
  <si>
    <t>MARYANI TEFLIANA NAINATUN</t>
  </si>
  <si>
    <t>085339255519</t>
  </si>
  <si>
    <t>https://drive.google.com/open?id=1L6G16WiLOKH2Wl0V2nTR_pobmxxEDXbB</t>
  </si>
  <si>
    <t>Hinggu maramba nau</t>
  </si>
  <si>
    <t>081246512634</t>
  </si>
  <si>
    <t>https://drive.google.com/open?id=15fjRzLmd29j_lCJDstSiX-idTwldqHx5</t>
  </si>
  <si>
    <t>Yunita tamu ina</t>
  </si>
  <si>
    <t>085272406964</t>
  </si>
  <si>
    <t>https://drive.google.com/open?id=13rFhLOac7JWBvJnrKVccIJfUtbS_hqlV</t>
  </si>
  <si>
    <t>Semri rofus imenuel tualaka</t>
  </si>
  <si>
    <t>085191440331</t>
  </si>
  <si>
    <t>https://drive.google.com/open?id=1eI7ztmFDWYHGGRFFNfSqDjcYvNGqc610</t>
  </si>
  <si>
    <t>Martinus ndara lendu</t>
  </si>
  <si>
    <t>081338718628</t>
  </si>
  <si>
    <t>https://drive.google.com/open?id=1WIjdNFwzY-S6RKwAJ0zGUwCikd8SHNMA</t>
  </si>
  <si>
    <t>Edi doku bani</t>
  </si>
  <si>
    <t>082114664550</t>
  </si>
  <si>
    <t>https://drive.google.com/open?id=1Mq_imdvlT6U4XLXpDHlQhigzjMcjjVHL</t>
  </si>
  <si>
    <t>NUR FAJARYANTI TANUHANG</t>
  </si>
  <si>
    <t>081246005618</t>
  </si>
  <si>
    <t>https://drive.google.com/open?id=15dmyIUzNf2YUg3eV_BI0cKSQJf6-usfN</t>
  </si>
  <si>
    <t>Margaretha kolo sarmento lopez betlem</t>
  </si>
  <si>
    <t>082144258025</t>
  </si>
  <si>
    <t>https://drive.google.com/open?id=1w6k2k_1KlH5rYbtvOyVkbSdwi1LzkKYP</t>
  </si>
  <si>
    <t xml:space="preserve">YUMINUS AMOS LAIBUIS </t>
  </si>
  <si>
    <t>082135421778</t>
  </si>
  <si>
    <t>https://drive.google.com/open?id=1y4LiV4UKUefnSZhRmV4cfjAjJGL-nbsu</t>
  </si>
  <si>
    <t>Ice asnat snae</t>
  </si>
  <si>
    <t>081339719800</t>
  </si>
  <si>
    <t>https://drive.google.com/open?id=1LMEbXYrF0xsEAIfKJAai5lTva6i09G7x</t>
  </si>
  <si>
    <t>NEMUEL PATOLA</t>
  </si>
  <si>
    <t>081244882837</t>
  </si>
  <si>
    <t>https://drive.google.com/open?id=12KuwqynM7G88Cmz_yrEj563zIjsEaE0m</t>
  </si>
  <si>
    <t>Nemuel patola</t>
  </si>
  <si>
    <t>https://drive.google.com/open?id=1We4Y5qN-1jsFJx8CjKgld4_a_OYlx5jG</t>
  </si>
  <si>
    <t>Florince fredika tubbe sandy</t>
  </si>
  <si>
    <t>081244882838</t>
  </si>
  <si>
    <t>https://drive.google.com/open?id=1-YfoKJHXNx05F47KbNlFirtw48UBLJkM</t>
  </si>
  <si>
    <t>Selfoni saudale</t>
  </si>
  <si>
    <t>https://drive.google.com/open?id=1Zk9jPbqJhhn-KVZmCJFE0CqsJMCl8H2_</t>
  </si>
  <si>
    <t>Umbu lorung kawarajaga</t>
  </si>
  <si>
    <t>081325506109</t>
  </si>
  <si>
    <t>https://drive.google.com/open?id=1DLN92oEwIaQOsqR3AsHVJGPSGk_Uxb-I</t>
  </si>
  <si>
    <t>MERYANA LEDI</t>
  </si>
  <si>
    <t>082147767707</t>
  </si>
  <si>
    <t>https://drive.google.com/open?id=10b2sSGmjtbV8gnug68sqceHv2AUibDkF</t>
  </si>
  <si>
    <t>Leriboi Mone</t>
  </si>
  <si>
    <t>085738308940</t>
  </si>
  <si>
    <t>driver maxim</t>
  </si>
  <si>
    <t>https://drive.google.com/open?id=1A29BbNhPDeAc9JGSI2mNE830w1LioCqo</t>
  </si>
  <si>
    <t>Naomi lende</t>
  </si>
  <si>
    <t>https://drive.google.com/open?id=1-IT5rGYJJKMQI-7E2hD0T021h7j8WAj5</t>
  </si>
  <si>
    <t>KARMINA BETAEBA DHOLU</t>
  </si>
  <si>
    <t>+6285333534819</t>
  </si>
  <si>
    <t>https://drive.google.com/open?id=13WTc6Yw-QChso-_GbqNic4KOEaDUatve</t>
  </si>
  <si>
    <t>GREGORIUS GHELE</t>
  </si>
  <si>
    <t>082144090165</t>
  </si>
  <si>
    <t>https://drive.google.com/open?id=1dYHJtIRfIhBawj1KK0QIDb3wt40hedoR</t>
  </si>
  <si>
    <t>Maria Graciana Elu</t>
  </si>
  <si>
    <t>085126910847</t>
  </si>
  <si>
    <t>https://drive.google.com/open?id=1M0M8O_swzEhgFn4ET21eHzHFOPaW5yhp</t>
  </si>
  <si>
    <t xml:space="preserve">Fransiskus </t>
  </si>
  <si>
    <t>085125151755</t>
  </si>
  <si>
    <t>https://drive.google.com/open?id=1uClb_tDsIPypDreXQRWqcKPi3r4zzwnI</t>
  </si>
  <si>
    <t>Aksa mina kamuri</t>
  </si>
  <si>
    <t>082147620536</t>
  </si>
  <si>
    <t>https://drive.google.com/open?id=1TtwYpQ47yobHq15Y_dwPRJ5aP3ILxgA1</t>
  </si>
  <si>
    <t>Ribka tallo</t>
  </si>
  <si>
    <t>081339231851</t>
  </si>
  <si>
    <t>https://drive.google.com/open?id=1hDVXjcQeo76SS5PaNgAJ1oUmT1HN-ryq</t>
  </si>
  <si>
    <t xml:space="preserve">Anang Adeningsi Penebang </t>
  </si>
  <si>
    <t>08216515414177</t>
  </si>
  <si>
    <t>https://drive.google.com/open?id=16sKOEL5tVLKOfJoiBz8NNvTkD2zXRv2S</t>
  </si>
  <si>
    <t>ADI TAMU AMA S. E</t>
  </si>
  <si>
    <t>085230618011</t>
  </si>
  <si>
    <t>https://drive.google.com/open?id=15UU8JASca-XVhQyp_kGGjqsgdH8l1bLb</t>
  </si>
  <si>
    <t>Odilia telik manek</t>
  </si>
  <si>
    <t>081339093432</t>
  </si>
  <si>
    <t>https://drive.google.com/open?id=19WGovRmJYBmpIltMnf8wleOrJrgURQnV</t>
  </si>
  <si>
    <t>EMANUEL DODY HABANG RAYA</t>
  </si>
  <si>
    <t>082172987907</t>
  </si>
  <si>
    <t>https://drive.google.com/open?id=10IcWAnPC5CFjVJkr8VDgFb46DwHud_Oi</t>
  </si>
  <si>
    <t>Maria Ena</t>
  </si>
  <si>
    <t>081290916348</t>
  </si>
  <si>
    <t>https://drive.google.com/open?id=1imEN9hXzFS91EoJPyeKLxvheLPEdmkhg</t>
  </si>
  <si>
    <t>rufia magdalena ndun</t>
  </si>
  <si>
    <t>https://drive.google.com/open?id=1SO8BZV2pCj3TST3ZlHma8eQpHyrkh9CZ</t>
  </si>
  <si>
    <t>serly tefa</t>
  </si>
  <si>
    <t>085333464486</t>
  </si>
  <si>
    <t>usaha tenun</t>
  </si>
  <si>
    <t>https://drive.google.com/open?id=1c54JXZYDb5ftmsVkjm5uOFcFdEvptmd5</t>
  </si>
  <si>
    <t>ofriana margaretha soares</t>
  </si>
  <si>
    <t>082339986417</t>
  </si>
  <si>
    <t>https://drive.google.com/open?id=1hSglrw64YkFHG1cEx6y9OoNJ9z3O_G4U</t>
  </si>
  <si>
    <t>Andri yengki edison fanggi</t>
  </si>
  <si>
    <t>081336234890</t>
  </si>
  <si>
    <t>https://drive.google.com/open?id=1a1n9nG7IB_loa2wEgXciXyfy4h0_1SrK</t>
  </si>
  <si>
    <t>eka sulistya aminarti</t>
  </si>
  <si>
    <t>08123612676</t>
  </si>
  <si>
    <t>https://drive.google.com/open?id=1wYql1ljhODrGJS2tcw6ViiCqqDAoy2mh</t>
  </si>
  <si>
    <t>MBIPA NANI</t>
  </si>
  <si>
    <t>082247900561</t>
  </si>
  <si>
    <t>PETANI/PEKEBUN</t>
  </si>
  <si>
    <t>https://drive.google.com/open?id=1JpEX_2BkJJhKKkY6qaBfT9YNCMA0SmxJ</t>
  </si>
  <si>
    <t>uryaldi silbertho siokain</t>
  </si>
  <si>
    <t>082236568533</t>
  </si>
  <si>
    <t>https://drive.google.com/open?id=1mO12WoVwgkoI_58QmDGgPcIFscIxZoTg</t>
  </si>
  <si>
    <t>Benjamin Mone</t>
  </si>
  <si>
    <t>085239219122</t>
  </si>
  <si>
    <t>https://drive.google.com/open?id=1uuEQR2zirsYl2TboNzBPWdl1__7f84Hw</t>
  </si>
  <si>
    <t>tesalonika asti ngeta</t>
  </si>
  <si>
    <t>082147862231</t>
  </si>
  <si>
    <t>https://drive.google.com/open?id=1qcVPGpbNFk6drc1-OkVoqpnrTC0vrY1A</t>
  </si>
  <si>
    <t>Ince Salukh</t>
  </si>
  <si>
    <t>081246424751</t>
  </si>
  <si>
    <t>https://drive.google.com/open?id=1emdUpv1MOhlYeKCbGZVlBERH52dG0xQw</t>
  </si>
  <si>
    <t>Jefri mone</t>
  </si>
  <si>
    <t>085137381319</t>
  </si>
  <si>
    <t>https://drive.google.com/open?id=19rnLPrx5gklG_Ygrm9zrJL9drxYwl_NU</t>
  </si>
  <si>
    <t>Oni Misan Fradinus Boimau</t>
  </si>
  <si>
    <t>082144654323</t>
  </si>
  <si>
    <t>https://drive.google.com/open?id=1wfDifRLADuhJLmu28cQJKS-b-IzcEQ8r</t>
  </si>
  <si>
    <t>Nday Liti Ata S. Pd</t>
  </si>
  <si>
    <t>085253326656</t>
  </si>
  <si>
    <t>https://drive.google.com/open?id=1A-k0GnBTU9G5LlEt5G0kDipKHv_W2cJf</t>
  </si>
  <si>
    <t>Elisabet maara</t>
  </si>
  <si>
    <t>081232619478</t>
  </si>
  <si>
    <t>https://drive.google.com/open?id=1oQ0h8nYczsEXlwpOIU_vbBxuAAPpZ-Tt</t>
  </si>
  <si>
    <t>Lambertus lede</t>
  </si>
  <si>
    <t>https://drive.google.com/open?id=1reImzNIEGZDPB08aO2W_Wesp-wo3Nj8M</t>
  </si>
  <si>
    <t>Theresia keti kii</t>
  </si>
  <si>
    <t>085335714353</t>
  </si>
  <si>
    <t>https://drive.google.com/open?id=14FE2FSb3MoU4YZBS_G7JZ1tYgMVYuCsZ</t>
  </si>
  <si>
    <t>MARIA GRACIANA LEU</t>
  </si>
  <si>
    <t>082340987450</t>
  </si>
  <si>
    <t>https://drive.google.com/open?id=16g2tFXto8SkJ6mx0L2EFxEQiKs1QE6C4</t>
  </si>
  <si>
    <t>11/29/0025</t>
  </si>
  <si>
    <t>Lindy Fatu</t>
  </si>
  <si>
    <t>085316008477</t>
  </si>
  <si>
    <t>https://drive.google.com/open?id=1Tr4IhJfyMwGN_44yNsHKfcDTpIpphXnB</t>
  </si>
  <si>
    <t>Maria kristafora akoit</t>
  </si>
  <si>
    <t>081248627322</t>
  </si>
  <si>
    <t>https://drive.google.com/open?id=1CUG-YWdt2r7CF-Gfo89EAHGHJSuAmC4U</t>
  </si>
  <si>
    <t>Anjelina leba kaka</t>
  </si>
  <si>
    <t>082241660567</t>
  </si>
  <si>
    <t>https://drive.google.com/open?id=1UBH7kWGFUbAzwu-v3eB7T_RtiekHMYAo</t>
  </si>
  <si>
    <t>Magdalena bani</t>
  </si>
  <si>
    <t>081238415718</t>
  </si>
  <si>
    <t>https://drive.google.com/open?id=1uW7rHpXn_v-UTwKax2UBrwzlUCgfJeJH</t>
  </si>
  <si>
    <t>David awa</t>
  </si>
  <si>
    <t>https://drive.google.com/open?id=1NIOGwoqGpYoBEgoKoeGkB_WFjhz0-Fom</t>
  </si>
  <si>
    <t>elton dami</t>
  </si>
  <si>
    <t>082356112484</t>
  </si>
  <si>
    <t>https://drive.google.com/open?id=1IZIY46HASp4kri3whZtpJDjO_yQRNZ7D</t>
  </si>
  <si>
    <t>Ouhynny talan</t>
  </si>
  <si>
    <t>https://drive.google.com/open?id=1SHtJfBfl8TJ09MQeRrv9ybAcc_UJugro</t>
  </si>
  <si>
    <t>https://drive.google.com/open?id=1gHH7p2W9cgQrvcbM3h81XnfhZZpS4zsE</t>
  </si>
  <si>
    <t>PAULINA PATI BEBE</t>
  </si>
  <si>
    <t>https://drive.google.com/open?id=1IiPsDOVFCCiwVHvnS0RzuR-pExoKJYOp</t>
  </si>
  <si>
    <t>LUKAS LOWA BOLE</t>
  </si>
  <si>
    <t>https://drive.google.com/open?id=1VMQe-pUVSqTQQ55jOzXbWElwBot_rrAL</t>
  </si>
  <si>
    <t>THOMAS KAHEWA BULANG</t>
  </si>
  <si>
    <t>https://drive.google.com/open?id=15Hh5Xc6bC1xJrhV1rkJEtAICQly2YHaT</t>
  </si>
  <si>
    <t>https://drive.google.com/open?id=1O96jNOPw4y_WodBK9JlhzZ_V2qNwjLUI</t>
  </si>
  <si>
    <t>https://drive.google.com/open?id=1zChbTvDTCRsQravWHIj3k01_Mjm3YF6B</t>
  </si>
  <si>
    <t>ROSLINA SOLI PEUWA</t>
  </si>
  <si>
    <t>https://drive.google.com/open?id=1T9Ch1a-h-7kS4BP0OoHfpahNNdSMWF9-</t>
  </si>
  <si>
    <t>Sahratul Jannah</t>
  </si>
  <si>
    <t>081325449898</t>
  </si>
  <si>
    <t>https://drive.google.com/open?id=1jiCdSzp8jHHHYBwiOfZZjUUzpR3rtSIm</t>
  </si>
  <si>
    <t>ALFRYANTO REND DASALAKU</t>
  </si>
  <si>
    <t>https://drive.google.com/open?id=1sOaFI9uzBrmVg268Z_0NL2TXnlvKYvBq</t>
  </si>
  <si>
    <t>windi mariani nana</t>
  </si>
  <si>
    <t>081995338391</t>
  </si>
  <si>
    <t>https://drive.google.com/open?id=1Ie0HjKu26eS2F_cFglAxln4cM-Bk4C5x</t>
  </si>
  <si>
    <t>PAULINA MAMO</t>
  </si>
  <si>
    <t>081339127889</t>
  </si>
  <si>
    <t>https://drive.google.com/open?id=1joTjFf5nBpMux00ZUq3SYiQfilba514A</t>
  </si>
  <si>
    <t xml:space="preserve">Maria Octoviyanti </t>
  </si>
  <si>
    <t>082234606112</t>
  </si>
  <si>
    <t>https://drive.google.com/open?id=1_ScczOgS8YvftZ1pg6_UuGns7jPxe8Cq</t>
  </si>
  <si>
    <t>Jhony Frederick Banunu</t>
  </si>
  <si>
    <t>0812393746667</t>
  </si>
  <si>
    <t>https://drive.google.com/open?id=1DtcnSY7G8b2vDIDYC-nga4MRe3GYkluI</t>
  </si>
  <si>
    <t>alexander bessie</t>
  </si>
  <si>
    <t>081233580127</t>
  </si>
  <si>
    <t>https://drive.google.com/open?id=1iOOjdB6p3y_GH8KGwbO6P734S2ZHD-vN</t>
  </si>
  <si>
    <t>basilius japardi</t>
  </si>
  <si>
    <t>https://drive.google.com/open?id=1hKRIxu0keEoUql2OQE61_l4-UElpEXOA</t>
  </si>
  <si>
    <t>Arkilves irfan kolo</t>
  </si>
  <si>
    <t>081239947872</t>
  </si>
  <si>
    <t>https://drive.google.com/open?id=1e-Rp9QIFPCw2bFBNVyC9HyedyURnWSmT</t>
  </si>
  <si>
    <t>fonny riwu nawa</t>
  </si>
  <si>
    <t>087726254276</t>
  </si>
  <si>
    <t>https://drive.google.com/open?id=1vRIgiJ0e2QMzri29YkZLlUe4L95HK614</t>
  </si>
  <si>
    <t>Marlynce Mataufina</t>
  </si>
  <si>
    <t>082236190963</t>
  </si>
  <si>
    <t>https://drive.google.com/open?id=149X9hFsn6guIoFpynQA9ag19U6IWZ5eI</t>
  </si>
  <si>
    <t>EVER DAVIDSON MAMO</t>
  </si>
  <si>
    <t>087815270426</t>
  </si>
  <si>
    <t>https://drive.google.com/open?id=1rJkpjupvme7qF0dKl2-rdj-nGx326H0q</t>
  </si>
  <si>
    <t>Anang ningsih langko</t>
  </si>
  <si>
    <t>081237891231</t>
  </si>
  <si>
    <t>https://drive.google.com/open?id=1EWqiEtMLKxkKXm6U425Y08ezlcjJpIyg</t>
  </si>
  <si>
    <t>Nonci detriana taneo</t>
  </si>
  <si>
    <t>085792490621</t>
  </si>
  <si>
    <t>https://drive.google.com/open?id=1pA573MHCzE4tTGt1tZRwxrLeR81NeSN6</t>
  </si>
  <si>
    <t>Wilson ena blegur</t>
  </si>
  <si>
    <t>Usaha konter hp spc kuanino</t>
  </si>
  <si>
    <t>https://drive.google.com/open?id=1D-pUY3WQuIWtWkHwtFCgP4uH9Vz7viRW</t>
  </si>
  <si>
    <t>wily sianto nitbani</t>
  </si>
  <si>
    <t>https://drive.google.com/open?id=1fhtq2h174GHOSUXaOPEWTQDZ7mu6VJW9</t>
  </si>
  <si>
    <t>Febri mesah</t>
  </si>
  <si>
    <t>087789673120</t>
  </si>
  <si>
    <t>https://drive.google.com/open?id=1EZfTFvrYYkYxaBp-wX-WyjsJ9mBG1jwW</t>
  </si>
  <si>
    <t>JHONY KOTTEN</t>
  </si>
  <si>
    <t>https://drive.google.com/open?id=1dcQz9wu8Glbpp7J8tLWiYmxgaJKnmUD0</t>
  </si>
  <si>
    <t>Eurice Epifani Buan</t>
  </si>
  <si>
    <t>Usaha jual sayur di pasar kusnino</t>
  </si>
  <si>
    <t>https://drive.google.com/open?id=1c6lpzZnc71gtODRWtr7J_d8S9ySO26qG</t>
  </si>
  <si>
    <t>Plasida Rambu Podu</t>
  </si>
  <si>
    <t>081246435075</t>
  </si>
  <si>
    <t>Pemilik kios sembako</t>
  </si>
  <si>
    <t>https://drive.google.com/open?id=1oOaKwrpHcuiya6gRkt85wBYHHtY61bEr</t>
  </si>
  <si>
    <t>HERSOM ABSALOM KOEN</t>
  </si>
  <si>
    <t>https://drive.google.com/open?id=1UDHEZSZywmJO5bG_m3mLw_j37XBQ0Kjc</t>
  </si>
  <si>
    <t>MARIA JUNISTA MENGE</t>
  </si>
  <si>
    <t xml:space="preserve">Usaha sembako </t>
  </si>
  <si>
    <t>https://drive.google.com/open?id=1u17rjciVNrUDxK3epFpT4Q2YivusTfTc</t>
  </si>
  <si>
    <t>ALFREDO MONTEIRO</t>
  </si>
  <si>
    <t>https://drive.google.com/open?id=1vysxKQw42BEk4wlIjzWMCUhFqIYSTZVX</t>
  </si>
  <si>
    <t>SELIF MAXWEL KARYAWAN TO</t>
  </si>
  <si>
    <t>Karyawan PT. Imdomarco Prismatama</t>
  </si>
  <si>
    <t>https://drive.google.com/open?id=1_thiod2MMAnfd4aslSApNbB2y5taG-bs</t>
  </si>
  <si>
    <t>Risky Nimrot Mansula</t>
  </si>
  <si>
    <t>https://drive.google.com/open?id=12Dbja37-CAZhIWYaBmL15fZ5hMTdYZ4S</t>
  </si>
  <si>
    <t>Dicky Edward Alexander</t>
  </si>
  <si>
    <t>https://drive.google.com/open?id=1J1eRxH6Wnc6o9qxIf5LJuEg3pGHkl4YO</t>
  </si>
  <si>
    <t>Gabriel Ole</t>
  </si>
  <si>
    <t>082151131072</t>
  </si>
  <si>
    <t>PERAWAT RS UMUM</t>
  </si>
  <si>
    <t>https://drive.google.com/open?id=1uCQFQGA95pHahu7I0p-NtyvQxdIP0gwP</t>
  </si>
  <si>
    <t>Petrus pati mayada</t>
  </si>
  <si>
    <t>https://drive.google.com/open?id=1wgceoajsTRG7NSPvdMod-4KXoST92lQG</t>
  </si>
  <si>
    <t>081339636360</t>
  </si>
  <si>
    <t>https://drive.google.com/open?id=1SY0bgUB34K7p8cezuXwkX919MXUwlZej</t>
  </si>
  <si>
    <t>https://drive.google.com/open?id=1SzCMRWrLEfAKvZdD7UZuniS7OIzLRZI0</t>
  </si>
  <si>
    <t xml:space="preserve">Mariana </t>
  </si>
  <si>
    <t>https://drive.google.com/open?id=1jYsWbLInf9qnEqYTRTmFAsZHgChd3NwU</t>
  </si>
  <si>
    <t xml:space="preserve">Mikael Taemnanu </t>
  </si>
  <si>
    <t>081383305579</t>
  </si>
  <si>
    <t>https://drive.google.com/open?id=1VuNeaws12dTaRC2n2VLEkwAtgFTF-Dkr</t>
  </si>
  <si>
    <t xml:space="preserve">Bisnis </t>
  </si>
  <si>
    <t>https://drive.google.com/open?id=18xmJ-GnNLn-x1Dzjsy2IKDcoIYmFf3Nu</t>
  </si>
  <si>
    <t>MUSA RANGGA NDAKU DINGU</t>
  </si>
  <si>
    <t>081246440967</t>
  </si>
  <si>
    <t>PETANI DAN PETERNAK</t>
  </si>
  <si>
    <t>https://drive.google.com/open?id=1loh1VOcMLSDuHWjGG0ZcNzPkZxqfK8lU</t>
  </si>
  <si>
    <t>Agustina hoar seran</t>
  </si>
  <si>
    <t>081338301125</t>
  </si>
  <si>
    <t>https://drive.google.com/open?id=1Zk4wu8oLByRyfYRvsOHJ-9T2bnq7zaVZ</t>
  </si>
  <si>
    <t>Rikardo ghunu dama</t>
  </si>
  <si>
    <t>081337756589</t>
  </si>
  <si>
    <t>https://drive.google.com/open?id=107I8ML1h6DDtSb5eSMmP1_hqKqVi9F9u</t>
  </si>
  <si>
    <t>dedi</t>
  </si>
  <si>
    <t>085845657906</t>
  </si>
  <si>
    <t>https://drive.google.com/open?id=15qSXc0h2IKXZsiNB9d6jLpZxT88sJnQD</t>
  </si>
  <si>
    <t xml:space="preserve">Dominggus </t>
  </si>
  <si>
    <t>0825141441141</t>
  </si>
  <si>
    <t>https://drive.google.com/open?id=1YEnL9AuCv093yD66uyLE2ZZ5VZWUmMNf</t>
  </si>
  <si>
    <t>Nando</t>
  </si>
  <si>
    <t>0822357171515</t>
  </si>
  <si>
    <t>https://drive.google.com/open?id=1C58Wv3vfGyFx0imXiYrss0L0_28Eez32</t>
  </si>
  <si>
    <t>Dingu wala</t>
  </si>
  <si>
    <t>https://drive.google.com/open?id=1y0mW5W4ftX-PL7aycCdfzOdGmT3uLgvn</t>
  </si>
  <si>
    <t xml:space="preserve">dison elifelet bessie </t>
  </si>
  <si>
    <t>082188854958</t>
  </si>
  <si>
    <t>supir truk</t>
  </si>
  <si>
    <t>https://drive.google.com/open?id=1IsQKJ1TBmaueb_nPahq1Cbj71zpOF-Fg</t>
  </si>
  <si>
    <t>AGUSTINA HOAR SERAN</t>
  </si>
  <si>
    <t>https://drive.google.com/open?id=1ybsGrkN9tlSzmefh1mr4nDCubeHUcUCq</t>
  </si>
  <si>
    <t>FIKRI MUHAMMAD IDRIS PARERES</t>
  </si>
  <si>
    <t>089629628491</t>
  </si>
  <si>
    <t>https://drive.google.com/open?id=1YV66T1ZmX2Xw-ZTpYargaJLiF03Phc66</t>
  </si>
  <si>
    <t>yandri bahan</t>
  </si>
  <si>
    <t>https://drive.google.com/open?id=1ciNvcWftHsQke43baIwXoET_W9YUSpO5</t>
  </si>
  <si>
    <t>irvan firmansyah</t>
  </si>
  <si>
    <t>085137357595</t>
  </si>
  <si>
    <t>https://drive.google.com/open?id=1hUnC2WvhxniXxxCV-GCtWmJgLR56i1Tm</t>
  </si>
  <si>
    <t>hadad alwi</t>
  </si>
  <si>
    <t>https://drive.google.com/open?id=1EMCsstvsFoUUWRZLeg-VuTZGdQOKPAVR</t>
  </si>
  <si>
    <t>Ananda bulu</t>
  </si>
  <si>
    <t>https://drive.google.com/open?id=1z4SVnUw9sE-2MT-AuSdPfK4S83bDwnsj</t>
  </si>
  <si>
    <t>Petrus bulu lede</t>
  </si>
  <si>
    <t>089512892605</t>
  </si>
  <si>
    <t>https://drive.google.com/open?id=1m2ftSf9hhX_qlu9x1ie-TT6n48j9Okor</t>
  </si>
  <si>
    <t>ariyanto panie</t>
  </si>
  <si>
    <t>081237654009</t>
  </si>
  <si>
    <t>https://drive.google.com/open?id=1PNHu92apRordywHGVGh1PtZVODazoTvR</t>
  </si>
  <si>
    <t xml:space="preserve">yunita sepriana dethan </t>
  </si>
  <si>
    <t>085147223695</t>
  </si>
  <si>
    <t>https://drive.google.com/open?id=1OMrh9qR459ElN8RzJefIyrU3qXcC5JOM</t>
  </si>
  <si>
    <t>DESRIZAL</t>
  </si>
  <si>
    <t>081370833300</t>
  </si>
  <si>
    <t>Petani/Perkebunan</t>
  </si>
  <si>
    <t>https://drive.google.com/open?id=1OiyueDOUVNQzTNh1vRbEWAi7B1gg1yK3</t>
  </si>
  <si>
    <t xml:space="preserve">Vincentius Wangga Ndima </t>
  </si>
  <si>
    <t xml:space="preserve">Satpam </t>
  </si>
  <si>
    <t>https://drive.google.com/open?id=1rpAX2MLcSrOBKIAhL5KpZ9NS_QKh_Cp4</t>
  </si>
  <si>
    <t xml:space="preserve">Melki Robinson Wangga Ndima </t>
  </si>
  <si>
    <t>+6287740930561</t>
  </si>
  <si>
    <t>https://drive.google.com/open?id=1jlF_0U17_JIrJkD7IqsRMWqg7autfMjr</t>
  </si>
  <si>
    <t>Simfroianus wedo aso</t>
  </si>
  <si>
    <t>082146988823</t>
  </si>
  <si>
    <t>https://drive.google.com/open?id=1fCMVcQDwEMdUUWivOHW0xYJNzhRiB50Y</t>
  </si>
  <si>
    <t xml:space="preserve">Evelyn afustina Radja </t>
  </si>
  <si>
    <t>082145677823</t>
  </si>
  <si>
    <t>https://drive.google.com/open?id=153xYLvn_x_-zeotPraUWoftTB8ux-WvU</t>
  </si>
  <si>
    <t xml:space="preserve">prisca fita chandra ayu defretes </t>
  </si>
  <si>
    <t>087715900008</t>
  </si>
  <si>
    <t>https://drive.google.com/open?id=1QLbMF_Rso3GcmXCHFrV9dY3sCOmr8jTg</t>
  </si>
  <si>
    <t>Gesti Melinda nasa</t>
  </si>
  <si>
    <t>085235455295</t>
  </si>
  <si>
    <t>https://drive.google.com/open?id=1TPnLtzJZqxqpkti514ZJEn75b7xKaP35</t>
  </si>
  <si>
    <t>yohana marlina ndun</t>
  </si>
  <si>
    <t>https://drive.google.com/open?id=1hjLpPic4XiLkUREYtBzmeUvmADm8BbuO</t>
  </si>
  <si>
    <t>irdolfianus b tamonob</t>
  </si>
  <si>
    <t>082339495891</t>
  </si>
  <si>
    <t>https://drive.google.com/open?id=1cpG6WDG34R9oc41icUKeDC6iBNRdVN1t</t>
  </si>
  <si>
    <t>Atris A tefa</t>
  </si>
  <si>
    <t>082198233458</t>
  </si>
  <si>
    <t>https://drive.google.com/open?id=18V1Mfxpi_NuX2KEvrxhJ94Km_icAu2Lw</t>
  </si>
  <si>
    <t>SIJEL NAMO</t>
  </si>
  <si>
    <t>081242921880</t>
  </si>
  <si>
    <t>https://drive.google.com/open?id=1ZymOxY16N0v6iWoD06szR5A8EN0OTbTf</t>
  </si>
  <si>
    <t>dora melinda dody</t>
  </si>
  <si>
    <t>082213399617</t>
  </si>
  <si>
    <t>https://drive.google.com/open?id=1CHO8RqMd0xdt8EWzFVqoC0yzX3ja4sqB</t>
  </si>
  <si>
    <t xml:space="preserve">Dessy dema Ningsih </t>
  </si>
  <si>
    <t>082529144678</t>
  </si>
  <si>
    <t>https://drive.google.com/open?id=1dmG4sdLJbBZVaZamuKbfZlCjEEjynTbh</t>
  </si>
  <si>
    <t>Atika julianti punuf</t>
  </si>
  <si>
    <t>085245788990</t>
  </si>
  <si>
    <t>https://drive.google.com/open?id=18lBiYtZQ0S-jCSyWYBqK5Ykr-3XyK0ch</t>
  </si>
  <si>
    <t xml:space="preserve">mizzel Christmas angela </t>
  </si>
  <si>
    <t>085858808055</t>
  </si>
  <si>
    <t>https://drive.google.com/open?id=1cU8iS2iYd57fUIu-YYSwBN-SDdYlcKO5</t>
  </si>
  <si>
    <t>Timotius punuf</t>
  </si>
  <si>
    <t>082146988341</t>
  </si>
  <si>
    <t>https://drive.google.com/open?id=1CoJPfzSZqg_0GydSUR_wa_x3eFPmOLhs</t>
  </si>
  <si>
    <t>inge melati adu</t>
  </si>
  <si>
    <t>082267289678</t>
  </si>
  <si>
    <t>https://drive.google.com/open?id=1Q4Ssop4-sxiRJncptZHvy2zqg9LaADsY</t>
  </si>
  <si>
    <t>rosalinda kolo</t>
  </si>
  <si>
    <t>https://drive.google.com/open?id=13sbp7S0RbxZLr7jQC83f-dMBKtT2VBJh</t>
  </si>
  <si>
    <t xml:space="preserve">Dwitney Prety Wangga Ndima </t>
  </si>
  <si>
    <t>082235606298</t>
  </si>
  <si>
    <t>https://drive.google.com/open?id=1cAKKBwJXFosmWet1xHtxSfsF3AamyPP1</t>
  </si>
  <si>
    <t>Imanuel devanski nubatonis</t>
  </si>
  <si>
    <t>082146988265</t>
  </si>
  <si>
    <t>https://drive.google.com/open?id=1Ivk0-PDEgox4irLSPcRJttd0Q1_Tcl8X</t>
  </si>
  <si>
    <t>Moh Arifin bashori kayun</t>
  </si>
  <si>
    <t>085847319209</t>
  </si>
  <si>
    <t>https://drive.google.com/open?id=1KTifTyIPNeB2xB8Nu8NGpi6rh0jVy98_</t>
  </si>
  <si>
    <t>Agnes anu dosi</t>
  </si>
  <si>
    <t>081246988235</t>
  </si>
  <si>
    <t>https://drive.google.com/open?id=1crI0UHC9rMRummL3uejF_Nc55BO0mRS4</t>
  </si>
  <si>
    <t>Yuiva Nenoharan udju</t>
  </si>
  <si>
    <t>082287824282</t>
  </si>
  <si>
    <t>https://drive.google.com/open?id=1OTu8_k0eya-oZOarItxaQFmEHFzjbd8G</t>
  </si>
  <si>
    <t>Putra Leo ndun</t>
  </si>
  <si>
    <t>081256788990</t>
  </si>
  <si>
    <t>https://drive.google.com/open?id=1Hd8xP-vqMd-F_ZeZHU_-1AuAq8T5zdIN</t>
  </si>
  <si>
    <t xml:space="preserve">Dortia Ndoen </t>
  </si>
  <si>
    <t>081284633899</t>
  </si>
  <si>
    <t>https://drive.google.com/open?id=1WgCEjXk0Bal3_aD2H1eKwlbl3AGi1XMC</t>
  </si>
  <si>
    <t>Weti neny tinenti</t>
  </si>
  <si>
    <t>082145988241</t>
  </si>
  <si>
    <t>https://drive.google.com/open?id=1ZwCntUMPKn5UzJYHcAEZhsAHsIIAAkpc</t>
  </si>
  <si>
    <t>085737829193</t>
  </si>
  <si>
    <t>https://drive.google.com/open?id=1SoB2Is3fX-HY9NCsfXsU1cXt_9NIDZL8</t>
  </si>
  <si>
    <t>Maxensius Efi</t>
  </si>
  <si>
    <t>082147044979</t>
  </si>
  <si>
    <t>https://drive.google.com/open?id=1K-VDGTwlyXmjtKrI1UvKNHXpHjWOkNBc</t>
  </si>
  <si>
    <t>risaldi anin</t>
  </si>
  <si>
    <t>https://drive.google.com/open?id=1J4TAi8iH6T9bxb8lPbGhJ3An-V0zJXCx</t>
  </si>
  <si>
    <t>rini labinu</t>
  </si>
  <si>
    <t>087778097980</t>
  </si>
  <si>
    <t>https://drive.google.com/open?id=1HsIWc078iOkvHwyhjoyffXB7O9OYXRei</t>
  </si>
  <si>
    <t>Aplo Yesti Fina</t>
  </si>
  <si>
    <t>085138826603</t>
  </si>
  <si>
    <t>https://drive.google.com/open?id=1KP0pRvppspqZE48TddcrvdtUBcAxfJue</t>
  </si>
  <si>
    <t>yunitha carmelia lobo huki</t>
  </si>
  <si>
    <t>081246370960</t>
  </si>
  <si>
    <t>https://drive.google.com/open?id=1afN80NsShzR9A8mwNQTaCJvsU7tYcq5S</t>
  </si>
  <si>
    <t>maria ciciliani pamar</t>
  </si>
  <si>
    <t>082197820236</t>
  </si>
  <si>
    <t>https://drive.google.com/open?id=1U6vbdYRTcHcEUDyXrxfFpyZf0iO3hoDg</t>
  </si>
  <si>
    <t xml:space="preserve">santi ariyanti nguru </t>
  </si>
  <si>
    <t>081338074969</t>
  </si>
  <si>
    <t>https://drive.google.com/open?id=1cppe1YDFH1A8Pc4eXkvZ8D8SrNNMPMer</t>
  </si>
  <si>
    <t xml:space="preserve">gilbert lineker </t>
  </si>
  <si>
    <t>https://drive.google.com/open?id=1u48BfNqh5_zfSGrf5e2gmq_yqJ0vHnhS</t>
  </si>
  <si>
    <t>martina kolo</t>
  </si>
  <si>
    <t>08</t>
  </si>
  <si>
    <t>https://drive.google.com/open?id=16Ys6BaT6cCwk1EsudNyEzt9b_Fu4mXky</t>
  </si>
  <si>
    <t xml:space="preserve">arlen hendrik dju bunga </t>
  </si>
  <si>
    <t>https://drive.google.com/open?id=12j_gdHxpqUW5AOcNr5JpwSak4yhcmkvd</t>
  </si>
  <si>
    <t xml:space="preserve">kondesdus koliasa </t>
  </si>
  <si>
    <t>08214680790</t>
  </si>
  <si>
    <t>https://drive.google.com/open?id=1ygm1HPfm31jB9OS0CWIg8E2ZWmaNkMK_</t>
  </si>
  <si>
    <t xml:space="preserve">yosef nono malo </t>
  </si>
  <si>
    <t>081234770546</t>
  </si>
  <si>
    <t>https://drive.google.com/open?id=1u-QoNxw1Z_9yTTyO10CPGWSKT3HoiFDu</t>
  </si>
  <si>
    <t xml:space="preserve">piter urias leo </t>
  </si>
  <si>
    <t>087759407080</t>
  </si>
  <si>
    <t>https://drive.google.com/open?id=1Hh_kh6FfZqgyOhRTtOTxULYoXL6qPO4b</t>
  </si>
  <si>
    <t xml:space="preserve">yublina ina </t>
  </si>
  <si>
    <t>081237889456</t>
  </si>
  <si>
    <t>https://drive.google.com/open?id=1eOeJS1VVhC7XrEnGfDuNFM-99X3UJzaP</t>
  </si>
  <si>
    <t xml:space="preserve">Ferdinan tulle </t>
  </si>
  <si>
    <t xml:space="preserve">wiraswasta </t>
  </si>
  <si>
    <t>https://drive.google.com/open?id=1mJNbVYz61aMjeiHMmGgr907LkqF44C39</t>
  </si>
  <si>
    <t>JERI TENEMO</t>
  </si>
  <si>
    <t>08123664589</t>
  </si>
  <si>
    <t>https://drive.google.com/open?id=1CGXH_Dm_uCiOPWVfoJ8UEBXMBrBEEq8d</t>
  </si>
  <si>
    <t>orias ofyanus baaf</t>
  </si>
  <si>
    <t>0814080768</t>
  </si>
  <si>
    <t>https://drive.google.com/open?id=1RczM5aIcuPmUHj-tNy7925UQc4uOllf9</t>
  </si>
  <si>
    <t xml:space="preserve">YORDAN HETMINA </t>
  </si>
  <si>
    <t>081720974675</t>
  </si>
  <si>
    <t>https://drive.google.com/open?id=1969U-i_QjCicShy9eS9Ifx4KdFIVA_0d</t>
  </si>
  <si>
    <t>PUTRA DLOU</t>
  </si>
  <si>
    <t>087288904367</t>
  </si>
  <si>
    <t>https://drive.google.com/open?id=1RBJ0H0XWW5KLXaIIx56O6qxPR83IW9uD</t>
  </si>
  <si>
    <t>NETI TENINTI</t>
  </si>
  <si>
    <t>082263906217</t>
  </si>
  <si>
    <t>https://drive.google.com/open?id=1xO_02D0EjXKNnldGgBzaiYMJI_B6waCe</t>
  </si>
  <si>
    <t>Alex amekan</t>
  </si>
  <si>
    <t>082146490919</t>
  </si>
  <si>
    <t>https://drive.google.com/open?id=15sm5CkupkyGpIXh5_JLEZjRz29ifAiMz</t>
  </si>
  <si>
    <t>LAURENSIUS BRIA</t>
  </si>
  <si>
    <t>081236626347</t>
  </si>
  <si>
    <t>https://drive.google.com/open?id=1DInPz6-c0qOOGSL-Op_UbqQvW3P8WAJ1</t>
  </si>
  <si>
    <t>HESLIN FANGGI</t>
  </si>
  <si>
    <t>081239111335</t>
  </si>
  <si>
    <t>https://drive.google.com/open?id=1i1qR9op9o2Hln83vf1eq2a4Qjd8omPkJ</t>
  </si>
  <si>
    <t>Maryam horsan</t>
  </si>
  <si>
    <t>081839373388</t>
  </si>
  <si>
    <t>https://drive.google.com/open?id=1GFVDheqx9p-Sn9uXDD0YUqvo0_Pdj7hh</t>
  </si>
  <si>
    <t>yoanita salem</t>
  </si>
  <si>
    <t>082147764299</t>
  </si>
  <si>
    <t>https://drive.google.com/open?id=1RKFBK1t4pezlGaP7q0GOJCMMuh3YaPZc</t>
  </si>
  <si>
    <t>Melkisedek kase</t>
  </si>
  <si>
    <t>081338550608</t>
  </si>
  <si>
    <t>Ada angsuran luar</t>
  </si>
  <si>
    <t>https://drive.google.com/open?id=1tj8t17xUCLRMsVM4YQQghGkV2Ds3eXy2</t>
  </si>
  <si>
    <t>Orna Sabtu tlonaen</t>
  </si>
  <si>
    <t>082147722167</t>
  </si>
  <si>
    <t>https://drive.google.com/open?id=1lQrdRmApi1QS3rtNi_o4TXBLnk3cxP-a</t>
  </si>
  <si>
    <t>MONALISA USMAN</t>
  </si>
  <si>
    <t>081261310589</t>
  </si>
  <si>
    <t>https://drive.google.com/open?id=1vl_tmCVVSdVPR_vAvt_CvlgkOHpBrk3l</t>
  </si>
  <si>
    <t>Romana luruk</t>
  </si>
  <si>
    <t>082236603942</t>
  </si>
  <si>
    <t>https://drive.google.com/open?id=1vCd4jtN4UKGO-7f6UO6PzGL3v9zQPowm</t>
  </si>
  <si>
    <t>Egi</t>
  </si>
  <si>
    <t>085828711113</t>
  </si>
  <si>
    <t>https://drive.google.com/open?id=1LYslNvj9nNnoz1YNOf4v76moeb8-0Iu0</t>
  </si>
  <si>
    <t>Anitha Manekat</t>
  </si>
  <si>
    <t>081510027073</t>
  </si>
  <si>
    <t>https://drive.google.com/open?id=1LGDneK7LRyskaNMbm9eaQ2yJHt-6NbNZ</t>
  </si>
  <si>
    <t>Prima Leonarda Usnaat</t>
  </si>
  <si>
    <t>081236492417</t>
  </si>
  <si>
    <t>https://drive.google.com/open?id=1zmpUgdJt3m_SrS5mC28THvyX8LJUF9fj</t>
  </si>
  <si>
    <t>Lidia Natalia Batu</t>
  </si>
  <si>
    <t>085829336435</t>
  </si>
  <si>
    <t>https://drive.google.com/open?id=1GWyzBv-b6MKcpCwrWYs10aFhl677D_t6</t>
  </si>
  <si>
    <t>Oktovianus nabu</t>
  </si>
  <si>
    <t>082221588216</t>
  </si>
  <si>
    <t>https://drive.google.com/open?id=16GmRw12pfcwVKd8egTcgoSw8nKp-dSp_</t>
  </si>
  <si>
    <t>Menci Naomi seoh</t>
  </si>
  <si>
    <t>+6282144828653</t>
  </si>
  <si>
    <t>https://drive.google.com/open?id=1OH2fHR2i8BZhQGlWa_UDkjceeiwfjWN4</t>
  </si>
  <si>
    <t xml:space="preserve">Melkianus </t>
  </si>
  <si>
    <t>Penjual ayam</t>
  </si>
  <si>
    <t>https://drive.google.com/open?id=1bawSjEeTpFIDeQ2G4_8Qm_m-9stXcQ6f</t>
  </si>
  <si>
    <t>Thomas melanton tasekeb</t>
  </si>
  <si>
    <t>082144856364</t>
  </si>
  <si>
    <t>https://drive.google.com/open?id=1V1-rs9jxjCHBkVO023dmAOxfUCQZL09R</t>
  </si>
  <si>
    <t>ANISA BILI</t>
  </si>
  <si>
    <t>082338755616</t>
  </si>
  <si>
    <t>https://drive.google.com/open?id=1gZhXF5kXviC3ix2qgv6aVl2LiG6Ox9kQ</t>
  </si>
  <si>
    <t>NIKODEMUS SAMUEL TARU</t>
  </si>
  <si>
    <t>082137663522</t>
  </si>
  <si>
    <t>https://drive.google.com/open?id=1i-OsufVnv43AjpwhegrCm5C7LkMt5b0C</t>
  </si>
  <si>
    <t>ADI REXI RIANTO ZET</t>
  </si>
  <si>
    <t>085238785689</t>
  </si>
  <si>
    <t>https://drive.google.com/open?id=1BjoD4jm9es_1kh2dubvYFxrAxYWBdTPM</t>
  </si>
  <si>
    <t>DIANA WAKE LULUH</t>
  </si>
  <si>
    <t>+6282147643127</t>
  </si>
  <si>
    <t>https://drive.google.com/open?id=1jEBy2Sa_IqghO3b61813XskM56Rj0lcR</t>
  </si>
  <si>
    <t>Wilfrida Romanus tilman</t>
  </si>
  <si>
    <t>082340325830</t>
  </si>
  <si>
    <t>https://drive.google.com/open?id=1VpLCvyUFyMYvKiFp5Pe5O80g7XHkeVyC</t>
  </si>
  <si>
    <t>Damania ili bere</t>
  </si>
  <si>
    <t>082136929145</t>
  </si>
  <si>
    <t>https://drive.google.com/open?id=18MnmtjtZnDbpJnPqKYdbESg-3w8f9IL0</t>
  </si>
  <si>
    <t>Novita Dewi</t>
  </si>
  <si>
    <t>085337080668</t>
  </si>
  <si>
    <t>https://drive.google.com/open?id=1rJkkQBSIDm0zJsQ1m1vNEH6UNfMD-Qmr</t>
  </si>
  <si>
    <t>Yufri M. Soinbala</t>
  </si>
  <si>
    <t>081353461718</t>
  </si>
  <si>
    <t>https://drive.google.com/open?id=1xeVjI3-2zTavE11nsf9v9xX_bQwHWyck</t>
  </si>
  <si>
    <t>Brayen Bria</t>
  </si>
  <si>
    <t>081236037269</t>
  </si>
  <si>
    <t>https://drive.google.com/open?id=15lB8REov-rM6VtO_r3iU51WpoV--DQh7</t>
  </si>
  <si>
    <t xml:space="preserve">Abdul Latif S Wutun </t>
  </si>
  <si>
    <t>081232347922</t>
  </si>
  <si>
    <t>https://drive.google.com/open?id=1pI15P_RuXSZX36__cWcuay5kvaPH-Hi9</t>
  </si>
  <si>
    <t xml:space="preserve">Fani Triana Manafe </t>
  </si>
  <si>
    <t>081237882424</t>
  </si>
  <si>
    <t>https://drive.google.com/open?id=1DROj84wavzH8mOlF-sPpyGrN8PptnKPa</t>
  </si>
  <si>
    <t>Maria Ana Enda S. Pdk</t>
  </si>
  <si>
    <t>082247183517</t>
  </si>
  <si>
    <t>https://drive.google.com/open?id=1heP199jsklqSHu1r02p1w1P-x48oh1nf</t>
  </si>
  <si>
    <t>U kopa rihi</t>
  </si>
  <si>
    <t>082341391061</t>
  </si>
  <si>
    <t>https://drive.google.com/open?id=1QTRXjcgmg4DEsprEnu4txtbNxp_k5wDD</t>
  </si>
  <si>
    <t>Darius wilfret lulu</t>
  </si>
  <si>
    <t>081246991046</t>
  </si>
  <si>
    <t>https://drive.google.com/open?id=1GOY5KfoUAxgVzDjXMy-gyt_0dCDdkOzf</t>
  </si>
  <si>
    <t>Indah permata sari mone</t>
  </si>
  <si>
    <t>https://drive.google.com/open?id=1PO-JuMV1-fJArg8iZKsHNa1CKo6GXg9L</t>
  </si>
  <si>
    <t>Yelin Barialak</t>
  </si>
  <si>
    <t>082144602336</t>
  </si>
  <si>
    <t>https://drive.google.com/open?id=1m0jCSoZ3QSBhNULCWMxrbu6H_hR_-B3f</t>
  </si>
  <si>
    <t>Timotius umbu kaleka</t>
  </si>
  <si>
    <t>081329568618</t>
  </si>
  <si>
    <t>https://drive.google.com/open?id=19iLFHshsSN0A6FK1lXEOr8quntuPZWlv</t>
  </si>
  <si>
    <t>ANDERIAS DJOWA DAIRU</t>
  </si>
  <si>
    <t>082141855035</t>
  </si>
  <si>
    <t>https://drive.google.com/open?id=1CgwQVRoNHdFuEVit2AYoyY1EtplaVINj</t>
  </si>
  <si>
    <t>Arnes podu bisa</t>
  </si>
  <si>
    <t>087883154957</t>
  </si>
  <si>
    <t>https://drive.google.com/open?id=1v-YhxQTlXfqB7-QVOTE7x0yUsDorCPvM</t>
  </si>
  <si>
    <t>PUTRINDA ELA RADE KAKA</t>
  </si>
  <si>
    <t>082145593027</t>
  </si>
  <si>
    <t>https://drive.google.com/open?id=1mFC9x5nTva8WUVdTIUDjmtzFb8CNeorT</t>
  </si>
  <si>
    <t>ADENSES STENI YUSIA OTU</t>
  </si>
  <si>
    <t>085606360761</t>
  </si>
  <si>
    <t>https://drive.google.com/open?id=1YOeMDLK30vR20Pgj_MiNzIEiZia_Dkks</t>
  </si>
  <si>
    <t>Debriana fransina setty</t>
  </si>
  <si>
    <t>https://drive.google.com/open?id=16K0aLqkEXcentN9kULOadvyl9hRL2Nvf</t>
  </si>
  <si>
    <t>Oktavianus umbu satu nyanyi</t>
  </si>
  <si>
    <t>081246993708</t>
  </si>
  <si>
    <t>https://drive.google.com/open?id=1dmz-fc88HDvdEQ5WF1koSEyiE57i4l1U</t>
  </si>
  <si>
    <t>Anita mete</t>
  </si>
  <si>
    <t>081238920130</t>
  </si>
  <si>
    <t>https://drive.google.com/open?id=1pJ8Y_baZEVIgjyqa57JZn8aWi5AWLgdP</t>
  </si>
  <si>
    <t>CHATERIN PRESYLIA MODOK</t>
  </si>
  <si>
    <t>081338675043</t>
  </si>
  <si>
    <t>pengusaha peti mayat</t>
  </si>
  <si>
    <t>https://drive.google.com/open?id=1mfAicRTP6cNY7brypU9diYGXrA7GFsrJ</t>
  </si>
  <si>
    <t>Shandroniaga umbu soru</t>
  </si>
  <si>
    <t>081217599294</t>
  </si>
  <si>
    <t>https://drive.google.com/open?id=1BKm11gc3KLmULBlQKk4Sl3uMz0gAJqKy</t>
  </si>
  <si>
    <t>Erlyn</t>
  </si>
  <si>
    <t>081339994446</t>
  </si>
  <si>
    <t>https://drive.google.com/open?id=1skBkHsKJKpaQ8GUDHCQib5YDd2eJ0cSh</t>
  </si>
  <si>
    <t xml:space="preserve">ELIAS VINSENSIUS SARI </t>
  </si>
  <si>
    <t>+6282145815653</t>
  </si>
  <si>
    <t>https://drive.google.com/open?id=1xrbeR8Ii7EfdSeVIG1vsLwxEEWHj1v0I</t>
  </si>
  <si>
    <t>Feni fatin</t>
  </si>
  <si>
    <t>085338271428</t>
  </si>
  <si>
    <t>https://drive.google.com/open?id=1ayRhQFfVL37bzlA5ksZ2WU86p-76FCDl</t>
  </si>
  <si>
    <t>YULINSA BONAT</t>
  </si>
  <si>
    <t>+6281239947571</t>
  </si>
  <si>
    <t>https://drive.google.com/open?id=1lX9dG89JASFB8_9II-EZhkWBPH3x_LT7</t>
  </si>
  <si>
    <t>Dan eliasar bureran</t>
  </si>
  <si>
    <t>081337662426</t>
  </si>
  <si>
    <t>https://drive.google.com/open?id=1ts_JVLZrcFYkIDoFq38jb4XGGIhaLdZJ</t>
  </si>
  <si>
    <t>SEFANI ARINI ROHI, S.Th</t>
  </si>
  <si>
    <t>082322758826</t>
  </si>
  <si>
    <t>https://drive.google.com/open?id=1pZeynYBpPAlsVNdHHP77oq852bzHsFRJ</t>
  </si>
  <si>
    <t>Modesta rambu pati newa</t>
  </si>
  <si>
    <t>081237051529</t>
  </si>
  <si>
    <t>https://drive.google.com/open?id=1SB-OCTj6aSY4t9INjWFBHFC-cIIcxjte</t>
  </si>
  <si>
    <t>NOVITA DEWI</t>
  </si>
  <si>
    <t>https://drive.google.com/open?id=15uLEVoN6ZShqjOzpYebSgTrYif8DKW_s</t>
  </si>
  <si>
    <t>Maksimal Afoan Kono</t>
  </si>
  <si>
    <t>081237349589</t>
  </si>
  <si>
    <t>Relawan MBG</t>
  </si>
  <si>
    <t>https://drive.google.com/open?id=13ynUonK5SnDUDzaUy1SMUBxSMJ-rWWJH</t>
  </si>
  <si>
    <t>Maria Kristina Omenu</t>
  </si>
  <si>
    <t>081236473354</t>
  </si>
  <si>
    <t>Guru Honorer Paud Mauubesi</t>
  </si>
  <si>
    <t>https://drive.google.com/open?id=1NiKJkzkbT_3x-EwUl6xHmCNU0i7hsNFO</t>
  </si>
  <si>
    <t>Noni Makasar</t>
  </si>
  <si>
    <t>085165037931</t>
  </si>
  <si>
    <t>https://drive.google.com/open?id=1DuZcqqE3JARTRbeqzl6_c9SefYrF3o6y</t>
  </si>
  <si>
    <t>Lambertus bulu kandi</t>
  </si>
  <si>
    <t>081337383475</t>
  </si>
  <si>
    <t>https://drive.google.com/open?id=12HwTvpr_iyuvC5G2IBtzGfDhqCQoijZh</t>
  </si>
  <si>
    <t>SUSANTI LIKI AMAH</t>
  </si>
  <si>
    <t>082142057641</t>
  </si>
  <si>
    <t>https://drive.google.com/open?id=1Mig3_nsuMyqU1hRQYFJQnnu7rzpyYy8M</t>
  </si>
  <si>
    <t>RETANG KABORANG</t>
  </si>
  <si>
    <t>081244881833</t>
  </si>
  <si>
    <t>https://drive.google.com/open?id=1jsQ6NM2iGYzunbhkXSUCjuRs7ZjCoDMm</t>
  </si>
  <si>
    <t>Apliana rambu bangi toji</t>
  </si>
  <si>
    <t>082339911645</t>
  </si>
  <si>
    <t>https://drive.google.com/open?id=1nYJR-bBneCvvrDss2X1EUtP5IW4cD4Tu</t>
  </si>
  <si>
    <t>Anggelinna nenobota</t>
  </si>
  <si>
    <t>081246350117</t>
  </si>
  <si>
    <t>https://drive.google.com/open?id=1Fd70yeqnd1CIpBdd64l9aZpiR6PmCrlg</t>
  </si>
  <si>
    <t>Jefri welem tallo tulle</t>
  </si>
  <si>
    <t>081338727181</t>
  </si>
  <si>
    <t>https://drive.google.com/open?id=1tu3wdn_kS3KFGuTT-KkZPLcEAvV3CCem</t>
  </si>
  <si>
    <t>Lodowik  loinenak</t>
  </si>
  <si>
    <t>081282381388</t>
  </si>
  <si>
    <t>https://drive.google.com/open?id=1p1Q9UGDogwbOL44Zh0LPdTQHbImJRkW8</t>
  </si>
  <si>
    <t>Landu Dnoy Kurung</t>
  </si>
  <si>
    <t>085337674704</t>
  </si>
  <si>
    <t>Supir oto</t>
  </si>
  <si>
    <t>https://drive.google.com/open?id=1wylvsqr7jzP4n2bKNEN2AKvAFSAdeLkf</t>
  </si>
  <si>
    <t>Alfonsus Yunus Bora</t>
  </si>
  <si>
    <t>082341767709</t>
  </si>
  <si>
    <t>https://drive.google.com/open?id=1wHrzDoqSGXETEhYENFlxobJ4DDbmpQ2e</t>
  </si>
  <si>
    <t xml:space="preserve">Yanti </t>
  </si>
  <si>
    <t>087230560450</t>
  </si>
  <si>
    <t>https://drive.google.com/open?id=1b8C5EDvur4jxXFp2QLKO4rwTTnIfCclR</t>
  </si>
  <si>
    <t>CARMELINDA ITU</t>
  </si>
  <si>
    <t>081337332759</t>
  </si>
  <si>
    <t>https://drive.google.com/open?id=1MHrM0OqSSNtUgW4be5ZJvcseN29gNDkO</t>
  </si>
  <si>
    <t>Laurensius bala maran</t>
  </si>
  <si>
    <t>https://drive.google.com/open?id=1r1P7AIUiqaey3Bjq5LynqHqW9F1CY0OH</t>
  </si>
  <si>
    <t>Yonas absalom tabelak</t>
  </si>
  <si>
    <t>081254748152</t>
  </si>
  <si>
    <t>https://drive.google.com/open?id=1VaGO6tr6IBPygxNoljgGVFb-LmNtreBL</t>
  </si>
  <si>
    <t>Allycia ngun</t>
  </si>
  <si>
    <t>085847229166</t>
  </si>
  <si>
    <t>https://drive.google.com/open?id=1qNnESReuA8fC6WiNTEJ1ZnwxQoP0ewEj</t>
  </si>
  <si>
    <t>Margaretha apu</t>
  </si>
  <si>
    <t>081529388509</t>
  </si>
  <si>
    <t>https://drive.google.com/open?id=15nEB3-7hixV-2yl8hzuNgPL-_QXCb1cT</t>
  </si>
  <si>
    <t>Gabriel tanggu</t>
  </si>
  <si>
    <t>085708143759</t>
  </si>
  <si>
    <t>https://drive.google.com/open?id=1Dj62zHQNBgAc-Lb2BtgH_IPyVOJ44NLY</t>
  </si>
  <si>
    <t>Fransisca Benedita Da Silva</t>
  </si>
  <si>
    <t>Karyawan Toko Lay</t>
  </si>
  <si>
    <t>https://drive.google.com/open?id=1LwtboqygU4wsFY9LSx5zpyZ3RkdK0OZi</t>
  </si>
  <si>
    <t>MARINTO RATU DJAWA</t>
  </si>
  <si>
    <t>082147308667</t>
  </si>
  <si>
    <t>https://drive.google.com/open?id=1m40G5Zg3jJavaO7ZXArCWg5z6coMpQFB</t>
  </si>
  <si>
    <t>Tristan foeh</t>
  </si>
  <si>
    <t>081246141305</t>
  </si>
  <si>
    <t>https://drive.google.com/open?id=1A1YNavfldbnO_QWhOzVqwRAY2NuPs5vG</t>
  </si>
  <si>
    <t>Henricko Augusto Meha</t>
  </si>
  <si>
    <t>0895403672885</t>
  </si>
  <si>
    <t>https://drive.google.com/open?id=1DJAdOqPkvHhVt5Rcp_lexp0RGHj3UN43</t>
  </si>
  <si>
    <t xml:space="preserve">Mastaruli Simanjuntak </t>
  </si>
  <si>
    <t>085602886219</t>
  </si>
  <si>
    <t>https://drive.google.com/open?id=1ceJC-j3jRIueSFREm3PvOLBJE_Ax5Z3f</t>
  </si>
  <si>
    <t>Weni mariana nesimnasi</t>
  </si>
  <si>
    <t>082136995455</t>
  </si>
  <si>
    <t>https://drive.google.com/open?id=1kC34pj3t6Mn2Vh1Z-ZgrxKpRUaMGyiCm</t>
  </si>
  <si>
    <t>Oni Misan Frandinus Boimau</t>
  </si>
  <si>
    <t>https://drive.google.com/open?id=1vIfeWnc-teI1y2DP27Xu639yVtAVOUb8</t>
  </si>
  <si>
    <t>Yoksen dominggus pitay</t>
  </si>
  <si>
    <t>082144703984</t>
  </si>
  <si>
    <t>https://drive.google.com/open?id=1kktBuTmEvIF2DaKgqaomjXBWjijlUaNr</t>
  </si>
  <si>
    <t>Aser melianus nenoliu</t>
  </si>
  <si>
    <t>085742652946</t>
  </si>
  <si>
    <t>https://drive.google.com/open?id=1bkIVzMYIAYnrlk-x_vMSiKIADRCLBAxq</t>
  </si>
  <si>
    <t xml:space="preserve">Krisnanto </t>
  </si>
  <si>
    <t>https://drive.google.com/open?id=1MVS4Wy2rJp_g5FMkca9e_OxuUcD0Az0y</t>
  </si>
  <si>
    <t>AMINA LANCI</t>
  </si>
  <si>
    <t>https://drive.google.com/open?id=1PSv7cVgca7uE_T5aGA9PaqrHbjKv_s8F</t>
  </si>
  <si>
    <t>GASPAR ROUTA KABEKO</t>
  </si>
  <si>
    <t>https://drive.google.com/open?id=117Lc4XlT8z7yqAg7pXJ-t9YwigpaePBJ</t>
  </si>
  <si>
    <t>Jefriadin</t>
  </si>
  <si>
    <t>Pegawai hotel</t>
  </si>
  <si>
    <t>https://drive.google.com/open?id=1gHnFPRdlj-O4gIfyjrV3kMD8X6_OHidb</t>
  </si>
  <si>
    <t>SERLINCE SANTI DAPPA</t>
  </si>
  <si>
    <t>082144534501</t>
  </si>
  <si>
    <t>https://drive.google.com/open?id=1jk8__Y9DbbXw5a-srTBJ7JBfOH0BRCcF</t>
  </si>
  <si>
    <t>ariyanto kueiain</t>
  </si>
  <si>
    <t>082351558042</t>
  </si>
  <si>
    <t>https://drive.google.com/open?id=1bS3XZlXRikAjXXrYgBwqR2iiYlDFUGFu</t>
  </si>
  <si>
    <t>Rahtifan Algafi</t>
  </si>
  <si>
    <t>082343989878</t>
  </si>
  <si>
    <t>https://drive.google.com/open?id=1Y-1yyHq9Qhnh5PNl5y7TyNW8lKxqsknQ</t>
  </si>
  <si>
    <t>Erni Busoin</t>
  </si>
  <si>
    <t>https://drive.google.com/open?id=1hpZfKeEzz-8incF6GVdX2Nv_x8CleqjJ</t>
  </si>
  <si>
    <t xml:space="preserve">Erlita Nahak </t>
  </si>
  <si>
    <t>087779790670</t>
  </si>
  <si>
    <t>https://drive.google.com/open?id=1Bc_NgxG-Iq4qNxaf6T-aj4K5W3TKx8ka</t>
  </si>
  <si>
    <t>sintia ibnu said</t>
  </si>
  <si>
    <t>+62895325474661</t>
  </si>
  <si>
    <t>https://drive.google.com/open?id=1d8dqZn2_ueRO7pZOQvPc9_E90wak-wvR</t>
  </si>
  <si>
    <t>JOITIN ADELIA BULU</t>
  </si>
  <si>
    <t>081393251722</t>
  </si>
  <si>
    <t>https://drive.google.com/open?id=1A0kK2GdQ2VexT_uqYQM04xT9XT1AZjPC</t>
  </si>
  <si>
    <t>Adiel Wasti Elda Nitsae</t>
  </si>
  <si>
    <t>081357218756</t>
  </si>
  <si>
    <t>https://drive.google.com/open?id=11xGDUA3Eq2EpEL2VVfemVH43T3auulS5</t>
  </si>
  <si>
    <t xml:space="preserve">Irvan Bani </t>
  </si>
  <si>
    <t>087790770680</t>
  </si>
  <si>
    <t>https://drive.google.com/open?id=1HsQMAAmDQ3v_DOUGGDDBKJyI545oNolP</t>
  </si>
  <si>
    <t>RONI ZAT ALFRET ASBANU</t>
  </si>
  <si>
    <t>082247893867</t>
  </si>
  <si>
    <t>https://drive.google.com/open?id=1fJ_o8dopUHVjpHGw2_2E9m6-eiEoi87b</t>
  </si>
  <si>
    <t>NUR AFNI</t>
  </si>
  <si>
    <t>082129570352</t>
  </si>
  <si>
    <t>https://drive.google.com/open?id=1wXyRU7WseOoLZgaf-OtqdnV72WFDftjP</t>
  </si>
  <si>
    <t>Aprilia sonbay</t>
  </si>
  <si>
    <t>081239966005</t>
  </si>
  <si>
    <t>https://drive.google.com/open?id=1cZtotIF4GY-Om0W9IF81lLLDhOnEoYBW</t>
  </si>
  <si>
    <t>NONITA BANI</t>
  </si>
  <si>
    <t>081236441404</t>
  </si>
  <si>
    <t>https://drive.google.com/open?id=1PvXiJRJl5qKZWucb-dY57oao7Qfcc4Ej</t>
  </si>
  <si>
    <t>Paulina dou</t>
  </si>
  <si>
    <t>085134927861</t>
  </si>
  <si>
    <t>https://drive.google.com/open?id=1aV-q0YOOAtPWRZHo5qjxTanAKAom9c_9</t>
  </si>
  <si>
    <t>Ermelinda</t>
  </si>
  <si>
    <t>https://drive.google.com/open?id=1_c6XA7ivcu0KIc81cixN-NvGWAIZUXAp</t>
  </si>
  <si>
    <t>Yustina</t>
  </si>
  <si>
    <t>https://drive.google.com/open?id=1Sp-ZnCURrBDMxukqRVI9f5KIalJfdXd4</t>
  </si>
  <si>
    <t>Merlin M ottemusu</t>
  </si>
  <si>
    <t>081387293938</t>
  </si>
  <si>
    <t>https://drive.google.com/open?id=1ZpFaVAxtXqXMqhz5vr8lV6mPqt7aNEmr</t>
  </si>
  <si>
    <t>Yulianti Tfuakani</t>
  </si>
  <si>
    <t>081246985730</t>
  </si>
  <si>
    <t>https://drive.google.com/open?id=1BXRDTBofS4CZ2ITCqVFtXndcko0sigrV</t>
  </si>
  <si>
    <t>085273838378</t>
  </si>
  <si>
    <t>https://drive.google.com/open?id=17630USqgf0EJCiY7wlAxMCJOeLgobG8c</t>
  </si>
  <si>
    <t xml:space="preserve">Gusti H T djawa </t>
  </si>
  <si>
    <t>081246909695</t>
  </si>
  <si>
    <t>https://drive.google.com/open?id=1DXtZyaL2ixp9yuh0piL41UUounP_OyM6</t>
  </si>
  <si>
    <t>Apliana linda nono</t>
  </si>
  <si>
    <t>081246317200</t>
  </si>
  <si>
    <t>https://drive.google.com/open?id=1m0UbxZgJmkzcijU6hPmhDRhwV6ZyjznL</t>
  </si>
  <si>
    <t>Martinus hina pekambani</t>
  </si>
  <si>
    <t>085337554896</t>
  </si>
  <si>
    <t>https://drive.google.com/open?id=1nq-Wu05_D0_4_iRtDRz0icAeGpMYLlj3</t>
  </si>
  <si>
    <t>Maria Erlince koa</t>
  </si>
  <si>
    <t>082266795847</t>
  </si>
  <si>
    <t>https://drive.google.com/open?id=1VM4dmEwHxP9t0CijOOxgLaqD5Yg977Ee</t>
  </si>
  <si>
    <t>Verilia kusi koa</t>
  </si>
  <si>
    <t>082266859244</t>
  </si>
  <si>
    <t>https://drive.google.com/open?id=1fuHXwGfEIpiZJu2lgog9Zmixpegyecd5</t>
  </si>
  <si>
    <t>MUHAMMAD KASIM ALI. S. PD</t>
  </si>
  <si>
    <t>085238042291</t>
  </si>
  <si>
    <t>https://drive.google.com/open?id=1AAqDnljUAjN4-VML4HpWegRso58qq7LV</t>
  </si>
  <si>
    <t>Muhammad kasim ali. S. Pd</t>
  </si>
  <si>
    <t>https://drive.google.com/open?id=1vprjgeORv0ohkn42TeO5TINxLyycBHY_</t>
  </si>
  <si>
    <t>12/3/0025</t>
  </si>
  <si>
    <t>Frengki Eliasar Son</t>
  </si>
  <si>
    <t>082229093817</t>
  </si>
  <si>
    <t>https://drive.google.com/open?id=12PdAHD6E6vKP4a-sMDtwpDXvhBLBvkjO</t>
  </si>
  <si>
    <t>KORNELIA TAI</t>
  </si>
  <si>
    <t>081239161497</t>
  </si>
  <si>
    <t>https://drive.google.com/open?id=1lZVcuiQamDEK3kwjxtZJUWKkfNxXmyN4</t>
  </si>
  <si>
    <t>SARTIN IBRAHIM TONI</t>
  </si>
  <si>
    <t>087765740570</t>
  </si>
  <si>
    <t>https://drive.google.com/open?id=1yTDj2erVe3GNGCKjgV3RB6X6aCsP5MMn</t>
  </si>
  <si>
    <t>Yanti Wulan</t>
  </si>
  <si>
    <t>082266277789</t>
  </si>
  <si>
    <t>https://drive.google.com/open?id=1j1AuxV8Iid_yBzOAv-5o4sPqUgDJwsMI</t>
  </si>
  <si>
    <t>SUPRI UMBU BEHAR</t>
  </si>
  <si>
    <t>082146004749</t>
  </si>
  <si>
    <t>https://drive.google.com/open?id=1CtajR6YIlLYkDa_vKAKTMf9e-krYeyNj</t>
  </si>
  <si>
    <t>Bruce Gualberto Lauwoie</t>
  </si>
  <si>
    <t>0812348822411</t>
  </si>
  <si>
    <t>https://drive.google.com/open?id=1RBBkSvy3iezIVHTvNyda7eSL1nzBlEQ9</t>
  </si>
  <si>
    <t>Yohanis benu</t>
  </si>
  <si>
    <t>082132151297</t>
  </si>
  <si>
    <t>https://drive.google.com/open?id=1sxH4hxXbfUcoOugJKdJZW0TpJbEeflA9</t>
  </si>
  <si>
    <t>Niken Ratna  Topurtawy</t>
  </si>
  <si>
    <t>081247359780</t>
  </si>
  <si>
    <t>https://drive.google.com/open?id=1YCUMivzoOuIQZH6WykJdci3xYDHHHEDc</t>
  </si>
  <si>
    <t>Marlia hajah chindanita</t>
  </si>
  <si>
    <t>081246918012</t>
  </si>
  <si>
    <t>https://drive.google.com/open?id=1c_BtB9GWnfQ7ftTevzyHyMA2f34wckKi</t>
  </si>
  <si>
    <t xml:space="preserve">Eva Marianto Huna Kore </t>
  </si>
  <si>
    <t>081388040705</t>
  </si>
  <si>
    <t>https://drive.google.com/open?id=11Z4_1011Qr_jQrNkZNilE7XZ-qjOU506</t>
  </si>
  <si>
    <t>Lucia Olin</t>
  </si>
  <si>
    <t>085735294458</t>
  </si>
  <si>
    <t xml:space="preserve">Relawan MBG </t>
  </si>
  <si>
    <t>https://drive.google.com/open?id=1I3gdqIhgr5ltxGpvYPKyxLzQkdTnDnGM</t>
  </si>
  <si>
    <t>NORIS SENGLI FATUNAPI</t>
  </si>
  <si>
    <t>085339152791</t>
  </si>
  <si>
    <t>https://drive.google.com/open?id=1jGJ1j_Urs6YrJdcpgfsAZAlGIVLzUwFG</t>
  </si>
  <si>
    <t>FREDRIK MOBUBUNG</t>
  </si>
  <si>
    <t>081329785054</t>
  </si>
  <si>
    <t>https://drive.google.com/open?id=1uXf6f-D_zTas5iDYQqaO_xWjx3gsNeDU</t>
  </si>
  <si>
    <t>Erni kamlasi</t>
  </si>
  <si>
    <t>https://drive.google.com/open?id=1k3gI0OIOvBFOVJKITzkNKlvZ-uZUlF_K</t>
  </si>
  <si>
    <t>Alyan endang bunda</t>
  </si>
  <si>
    <t>082144164212</t>
  </si>
  <si>
    <t>https://drive.google.com/open?id=1DuVFn9TO165ad-CAEfFidQOEOluk-WPP</t>
  </si>
  <si>
    <t>Naomi jira pigi</t>
  </si>
  <si>
    <t>085337543154</t>
  </si>
  <si>
    <t>https://drive.google.com/open?id=1uolcb_-UobBKnJA8537oNXJBavfl5h0l</t>
  </si>
  <si>
    <t>MARIANUS NANDO MBANGA WULA</t>
  </si>
  <si>
    <t>081338583977</t>
  </si>
  <si>
    <t>https://drive.google.com/open?id=1fR47zMY0WspLXMzpgqFc5WAM2yBCxQZa</t>
  </si>
  <si>
    <t>PENINA JACOB</t>
  </si>
  <si>
    <t>081339984559</t>
  </si>
  <si>
    <t>https://drive.google.com/open?id=1JWM0fTPZNriKwnP5LeGGZmc3kCmoArc5</t>
  </si>
  <si>
    <t>THOMAS EDISON BILI PATI</t>
  </si>
  <si>
    <t>081234678908</t>
  </si>
  <si>
    <t>https://drive.google.com/open?id=1djmc6Daz9y9TQJj5hhddgpY7vussB9rn</t>
  </si>
  <si>
    <t>Melkianus mus</t>
  </si>
  <si>
    <t>https://drive.google.com/open?id=16nb9OLK16CGi-N25gHZpUCsOsS7yU5A8</t>
  </si>
  <si>
    <t>Rambu babang ana kopu</t>
  </si>
  <si>
    <t>082264487752</t>
  </si>
  <si>
    <t>https://drive.google.com/open?id=1yu8SyqGhh6VaKZWQ4DNuPwJzbMtbXoFK</t>
  </si>
  <si>
    <t>EVANTI ERLINDA DANGA HAMU MEHA</t>
  </si>
  <si>
    <t>082231571939</t>
  </si>
  <si>
    <t>https://drive.google.com/open?id=10nKFav8SplLqxWo_eEgBMWVs4zjuRLHo</t>
  </si>
  <si>
    <t>JEMESON RIWU KALE</t>
  </si>
  <si>
    <t>081246919286</t>
  </si>
  <si>
    <t>https://drive.google.com/open?id=14ezuONxI7bi0L_WhCYet3cT397O7qyuc</t>
  </si>
  <si>
    <t>Gidion beko</t>
  </si>
  <si>
    <t>https://drive.google.com/open?id=1B2pDhY1kV0GWcTKAbB8PoWqFH4Ud4EUG</t>
  </si>
  <si>
    <t xml:space="preserve">Kristian welem </t>
  </si>
  <si>
    <t>082253647317</t>
  </si>
  <si>
    <t>https://drive.google.com/open?id=1jnpGSTaYX1njKYpSm-8_DOZCK85Oiblm</t>
  </si>
  <si>
    <t>Muhamad Ruslan?</t>
  </si>
  <si>
    <t>+6281246323428</t>
  </si>
  <si>
    <t>https://drive.google.com/open?id=1rnMwqHRYIE3LXfkIG6VJwcGggP_cALhz</t>
  </si>
  <si>
    <t>EFRAIM WOLA KODI</t>
  </si>
  <si>
    <t>https://drive.google.com/open?id=1GMv5TyTw-q3fenjLtZjtxQEATO4jBN3F</t>
  </si>
  <si>
    <t>SISILIA PENE</t>
  </si>
  <si>
    <t>082311615722</t>
  </si>
  <si>
    <t>https://drive.google.com/open?id=1m7v9HB7pSiPIo2SlmZCcWWEfeYI7FL3r</t>
  </si>
  <si>
    <t>Agustina Mahon Edelsi</t>
  </si>
  <si>
    <t>https://drive.google.com/open?id=1wlNS1mrrD3iN-HREtD_nVc47veV6p4wp</t>
  </si>
  <si>
    <t>Jeni lifiana bulang</t>
  </si>
  <si>
    <t>082359267967</t>
  </si>
  <si>
    <t>https://drive.google.com/open?id=1KrAlwSDVM4_HE89kmSB1jQSS7y8K0Sph</t>
  </si>
  <si>
    <t>ALEK KOTA NJUMA</t>
  </si>
  <si>
    <t>0895393829418</t>
  </si>
  <si>
    <t>https://drive.google.com/open?id=16Nq0eO_9XDzF0Jai3lZfTGrPgOpykvQV</t>
  </si>
  <si>
    <t>MARIA MAGDALENA PAI SUKUN</t>
  </si>
  <si>
    <t>081238970716</t>
  </si>
  <si>
    <t>https://drive.google.com/open?id=1oWCAFEpE_IEwWLfwjSKLnLhDKEDOxZx9</t>
  </si>
  <si>
    <t>Agustina Abainpah</t>
  </si>
  <si>
    <t>https://drive.google.com/open?id=1HqIg1vxh8etx31hAD2NMQBzO6MpiKS3R</t>
  </si>
  <si>
    <t xml:space="preserve">Melkias Mobo </t>
  </si>
  <si>
    <t>08231515882112</t>
  </si>
  <si>
    <t>https://drive.google.com/open?id=1tSrun0wdk1Cy4xLJVC4yLnptSH0Wggay</t>
  </si>
  <si>
    <t>12/4/0025</t>
  </si>
  <si>
    <t>Ronaldo Otto</t>
  </si>
  <si>
    <t>082325013233</t>
  </si>
  <si>
    <t>https://drive.google.com/open?id=1jn90tdJmpxkZw15s95PKngoXgcIdMpIf</t>
  </si>
  <si>
    <t>Imanuel faot</t>
  </si>
  <si>
    <t>https://drive.google.com/open?id=1L6Fen5qkNTUUtpNOdheOKTZf4G0KGtZ7</t>
  </si>
  <si>
    <t xml:space="preserve">HUTRISANI RAMBU JATI </t>
  </si>
  <si>
    <t>081241054165</t>
  </si>
  <si>
    <t>https://drive.google.com/open?id=1dG2Q7UDmqGKPh-U4Hy5Vjdb0EqCjtAIM</t>
  </si>
  <si>
    <t>Luica barros cruz</t>
  </si>
  <si>
    <t>085177690770</t>
  </si>
  <si>
    <t>https://drive.google.com/open?id=1jupbg9NTDN7wyTO68DfTSpooTS9Vi3K3</t>
  </si>
  <si>
    <t>KRISTIAN PEKU TEGU</t>
  </si>
  <si>
    <t>085339494969</t>
  </si>
  <si>
    <t>https://drive.google.com/open?id=1bOyyKTDTxvP_fALPT19imc6mVaadz_-G</t>
  </si>
  <si>
    <t>Diki julhafis</t>
  </si>
  <si>
    <t>081259981420</t>
  </si>
  <si>
    <t>https://drive.google.com/open?id=1nqiNiekLkpUt5xr4jZWeE1nWnek4es5E</t>
  </si>
  <si>
    <t>KATRINA DAI ATAKUNI S. T. P</t>
  </si>
  <si>
    <t>081315221740</t>
  </si>
  <si>
    <t>https://drive.google.com/open?id=14_ZOQwlqEbXo6pxnErcu52AJr5PAaKh7</t>
  </si>
  <si>
    <t>Leonara rambu lika</t>
  </si>
  <si>
    <t>082230557591</t>
  </si>
  <si>
    <t>https://drive.google.com/open?id=1KIlsFxgpXuwVCcKkbmmp6bFTkzlTRa5e</t>
  </si>
  <si>
    <t>Maria dada gole</t>
  </si>
  <si>
    <t>082144493418</t>
  </si>
  <si>
    <t>https://drive.google.com/open?id=1ZfU6V9D7Gwr6BrcLu7-ClNZz6ljTOhtS</t>
  </si>
  <si>
    <t>DIMAS SON WAGE</t>
  </si>
  <si>
    <t>082211991131</t>
  </si>
  <si>
    <t>https://drive.google.com/open?id=1I7Qf-N1XOyGIRmDDNNOYMXBvdYmxX2Dl</t>
  </si>
  <si>
    <t>DESYANTI MAMO HARI</t>
  </si>
  <si>
    <t>081338572083</t>
  </si>
  <si>
    <t>https://drive.google.com/open?id=1KcO1MBpyvK-ExBEm8WUQU1YUJbRkdTG3</t>
  </si>
  <si>
    <t>Kendi demangkai</t>
  </si>
  <si>
    <t>https://drive.google.com/open?id=1Q4VmYMEodsKbIAUUhPRT7YX39HzgOjLj</t>
  </si>
  <si>
    <t>Charles amtong</t>
  </si>
  <si>
    <t>081992710659</t>
  </si>
  <si>
    <t>https://drive.google.com/open?id=1dr9aqAhJTATb66-PuJS09jSBc3WDsdkn</t>
  </si>
  <si>
    <t>Umbu djara limu</t>
  </si>
  <si>
    <t>081338285675</t>
  </si>
  <si>
    <t>https://drive.google.com/open?id=1w03f-X0k0vTF6rJFsmhunsOnoOGBPoEZ</t>
  </si>
  <si>
    <t>Devanty Arisma Koanak</t>
  </si>
  <si>
    <t>085337683980</t>
  </si>
  <si>
    <t>https://drive.google.com/open?id=1ZsabGdeBduRa4MPYANFvRRyvUk-aEnRX</t>
  </si>
  <si>
    <t>ARYANTO NOMLENI</t>
  </si>
  <si>
    <t>+6282237986738</t>
  </si>
  <si>
    <t>https://drive.google.com/open?id=1SH4fhUOAjGn6vpoAyWJjjfuJj-6xO_re</t>
  </si>
  <si>
    <t>Erni abdul rajab</t>
  </si>
  <si>
    <t>081239344790</t>
  </si>
  <si>
    <t>https://drive.google.com/open?id=1gUylxEDcEGwwF-SB5w1JB6rrSm4KF81S</t>
  </si>
  <si>
    <t>Frenli yosdiani liu</t>
  </si>
  <si>
    <t>082147959957</t>
  </si>
  <si>
    <t>Macet</t>
  </si>
  <si>
    <t>https://drive.google.com/open?id=1nmBQ_zyn2xD1oVbp5GGRID1r0b2cDzBN</t>
  </si>
  <si>
    <t>Klarisius misa</t>
  </si>
  <si>
    <t>085829365832</t>
  </si>
  <si>
    <t>https://drive.google.com/open?id=1v19eeviZ-YGnPo6QWBmAr49XSnNvD5M-</t>
  </si>
  <si>
    <t>Alfa brayen sinlae</t>
  </si>
  <si>
    <t>https://drive.google.com/open?id=1l_0_7EkTbloXtx4gGLju0DgKjogxo-73</t>
  </si>
  <si>
    <t>JEKSON  KATU NDETA</t>
  </si>
  <si>
    <t>082146343747</t>
  </si>
  <si>
    <t>https://drive.google.com/open?id=1O-XYsRv9G0kgBPchNZ1OP8DhAwPc7V2q</t>
  </si>
  <si>
    <t>Jermias pah</t>
  </si>
  <si>
    <t>081253551253</t>
  </si>
  <si>
    <t>https://drive.google.com/open?id=1xGGJYl8C_zQmT6OAhB1Yi9mZ4QhRjA4j</t>
  </si>
  <si>
    <t>Fonny Goreti Irene Seo</t>
  </si>
  <si>
    <t>082314904929</t>
  </si>
  <si>
    <t>https://drive.google.com/open?id=1wIL2FwsJd9orcRgCHr8_uMYFK_sKbpqV</t>
  </si>
  <si>
    <t>Masiwan Selasang</t>
  </si>
  <si>
    <t>082260443749</t>
  </si>
  <si>
    <t>P3k Penyuluh Agama di Kemenag TTU</t>
  </si>
  <si>
    <t>https://drive.google.com/open?id=18Yif1wBJVF4_f6ideBVN2e-A8xqxKCYq</t>
  </si>
  <si>
    <t>YUNUS NUSIN</t>
  </si>
  <si>
    <t>085246155939</t>
  </si>
  <si>
    <t xml:space="preserve">Karyawan duta bangunan </t>
  </si>
  <si>
    <t>https://drive.google.com/open?id=1_53T3rOtmeXbvzqgr8cHuIe1X3m4_M3b</t>
  </si>
  <si>
    <t>https://drive.google.com/open?id=1lwBGY8KlkC6WXWfjtUKXDvzyhUH4fdy_</t>
  </si>
  <si>
    <t xml:space="preserve">Demetriana Binsasi </t>
  </si>
  <si>
    <t>081239490084</t>
  </si>
  <si>
    <t>MBG BENPASI</t>
  </si>
  <si>
    <t>https://drive.google.com/open?id=1d39A16YyhWmvwkOKYgpgkI4gU8MCe-JX</t>
  </si>
  <si>
    <t>Serlince santi dappa</t>
  </si>
  <si>
    <t>082125581354</t>
  </si>
  <si>
    <t>https://drive.google.com/open?id=12xOabqojKmXtl68AjO-vId1Do8LASRSm</t>
  </si>
  <si>
    <t>DORCE DRY YANTY</t>
  </si>
  <si>
    <t>082136131107</t>
  </si>
  <si>
    <t>https://drive.google.com/open?id=1LCZXJnRA29V_jIFIv565vi8eCgfvC9oj</t>
  </si>
  <si>
    <t>Natalia Kase</t>
  </si>
  <si>
    <t>081239119015</t>
  </si>
  <si>
    <t>https://drive.google.com/open?id=12fpNp7j405bdZv5T1fdXKonWpzqtTR8d</t>
  </si>
  <si>
    <t>SIMPLISIA OFTKUNI</t>
  </si>
  <si>
    <t>082322183116</t>
  </si>
  <si>
    <t>https://drive.google.com/open?id=1A5y6h5BaMsAp5C2_Ns2YwWtpt9LmgNOx</t>
  </si>
  <si>
    <t>Gole wawo</t>
  </si>
  <si>
    <t>082235704332</t>
  </si>
  <si>
    <t>https://drive.google.com/open?id=1b1dMIQezavelpVLazk410PyvBRgVLXtP</t>
  </si>
  <si>
    <t>https://drive.google.com/open?id=1kb-z2HQ1j1CMand2rAyFhSvOL5kemw1x</t>
  </si>
  <si>
    <t>Jino rominto toto</t>
  </si>
  <si>
    <t>085339148498</t>
  </si>
  <si>
    <t>https://drive.google.com/open?id=18BYhfa8T6C6OzUHOkP0ViMptPwS5e_Si</t>
  </si>
  <si>
    <t>Maria Yovita Nahak</t>
  </si>
  <si>
    <t>087882518742</t>
  </si>
  <si>
    <t>https://drive.google.com/open?id=1HCNe9QuMtrCiXQQSNKUonPJF3nIka2WH</t>
  </si>
  <si>
    <t>Agian lunga nani</t>
  </si>
  <si>
    <t>089654063384</t>
  </si>
  <si>
    <t>https://drive.google.com/open?id=1PCheBeIBnvbaZMedgxFiLC34e6UA6H35</t>
  </si>
  <si>
    <t>Seplin angkelina huan</t>
  </si>
  <si>
    <t>082325593445</t>
  </si>
  <si>
    <t>https://drive.google.com/open?id=19YGG_vQl1BxrXAziNwCm95dfqZlhIWxJ</t>
  </si>
  <si>
    <t>Fandion leba kadu</t>
  </si>
  <si>
    <t>082146602433</t>
  </si>
  <si>
    <t>https://drive.google.com/open?id=1_NHYBmz71WqqVrDHaAFXDj-93E87ERhU</t>
  </si>
  <si>
    <t>Paul thobias dima</t>
  </si>
  <si>
    <t>085829336206</t>
  </si>
  <si>
    <t>https://drive.google.com/open?id=1bgMuAdogNl51LoSLOd-E4kZvg6SCg0KR</t>
  </si>
  <si>
    <t>Sefnat manit</t>
  </si>
  <si>
    <t>081298958804</t>
  </si>
  <si>
    <t>https://drive.google.com/open?id=1QuJ4hjBF9c-hWfUCz4JUArpJRqt-PxrB</t>
  </si>
  <si>
    <t xml:space="preserve">Maria Fatimah Binsasi </t>
  </si>
  <si>
    <t>082124817833</t>
  </si>
  <si>
    <t>PNM</t>
  </si>
  <si>
    <t>https://drive.google.com/open?id=1WSDPM1i_zrPFiWQrqTTFw5JmoB7lViVt</t>
  </si>
  <si>
    <t>Bayu ansar putra</t>
  </si>
  <si>
    <t>https://drive.google.com/open?id=1izg8ZKDfftpOB_eDO4IDuGzN8SUkCCgJ</t>
  </si>
  <si>
    <t>MARIA OKTOVIANA MALI LOY</t>
  </si>
  <si>
    <t>081239138863</t>
  </si>
  <si>
    <t>https://drive.google.com/open?id=1YNJrzfjj7e9S4Kta3wi2QC5vDCgivM29</t>
  </si>
  <si>
    <t>AGUSTINUS ADY PAPA LOBO</t>
  </si>
  <si>
    <t>082266353078</t>
  </si>
  <si>
    <t>https://drive.google.com/open?id=1xxLEZzuj-e0GIAX3NNwYTOPFKzUl1q3X</t>
  </si>
  <si>
    <t>Wiwien Sekoni</t>
  </si>
  <si>
    <t>085398212914</t>
  </si>
  <si>
    <t>https://drive.google.com/open?id=1Of7ETV3qM8caGj3iKrS_VuLSX80V8LXc</t>
  </si>
  <si>
    <t>Petronela riberu</t>
  </si>
  <si>
    <t>082147561007</t>
  </si>
  <si>
    <t>Usaha salon</t>
  </si>
  <si>
    <t>https://drive.google.com/open?id=10UhjbhYeWfgDnWWFAgjFH5djihMmL3Gt</t>
  </si>
  <si>
    <t>Vinsensia kolo</t>
  </si>
  <si>
    <t>085376722392</t>
  </si>
  <si>
    <t>https://drive.google.com/open?id=1ZJQNz06c-I9bmsMXfVNXt4XPxwlOgBDh</t>
  </si>
  <si>
    <t>Siprianus klau</t>
  </si>
  <si>
    <t>085606354310</t>
  </si>
  <si>
    <t>https://drive.google.com/open?id=1PJ0C3DgLyBspQkeDqwCTY139Np6gGqYC</t>
  </si>
  <si>
    <t>Suprianto pura tanya</t>
  </si>
  <si>
    <t>085191432298</t>
  </si>
  <si>
    <t>https://drive.google.com/open?id=1kI-fm2O_I0ynyi23OVnnthZBGdgR0UUE</t>
  </si>
  <si>
    <t>https://drive.google.com/open?id=10UL3xQNTXPRzkgU2AKAEiaWyuG0lg-xq</t>
  </si>
  <si>
    <t>MERSIANI IPA HOY</t>
  </si>
  <si>
    <t>082185108759</t>
  </si>
  <si>
    <t>https://drive.google.com/open?id=1UQ5VvInRMLKerD_YHzAfF-2Y0L9dOGrn</t>
  </si>
  <si>
    <t>andi ardilon asbanu</t>
  </si>
  <si>
    <t>081239455308</t>
  </si>
  <si>
    <t>https://drive.google.com/open?id=1Ye6u9ICHx4CsobxR9-eEo3tD4K8wvJ6w</t>
  </si>
  <si>
    <t>veronika celsiana bura</t>
  </si>
  <si>
    <t>081239458309</t>
  </si>
  <si>
    <t>https://drive.google.com/open?id=1b1XYalywG--FpI-EQf1VxvBGJe6mHEsR</t>
  </si>
  <si>
    <t xml:space="preserve">Demaks Nalle </t>
  </si>
  <si>
    <t>082129556760</t>
  </si>
  <si>
    <t>https://drive.google.com/open?id=10hbLw6e5fsycNNaZJhK3pv-cv6AQ6Y_4</t>
  </si>
  <si>
    <t>Johana Kameng</t>
  </si>
  <si>
    <t>082236952732</t>
  </si>
  <si>
    <t>https://drive.google.com/open?id=1L2qFlMV9vE_T2NFsWIVaybIWiE5IqroQ</t>
  </si>
  <si>
    <t>simon zadrak solo</t>
  </si>
  <si>
    <t>082356880123</t>
  </si>
  <si>
    <t>https://drive.google.com/open?id=1iTVXi5BntsLN-8-gj-gOJ17ij8rro0PL</t>
  </si>
  <si>
    <t>Agriciana musu Laot</t>
  </si>
  <si>
    <t>081237407690</t>
  </si>
  <si>
    <t>https://drive.google.com/open?id=1Fp77FceQ9h4FvGiYglIAJiiK5wunZGq4</t>
  </si>
  <si>
    <t>DEBORA PINJI NJOLA</t>
  </si>
  <si>
    <t>081338506145</t>
  </si>
  <si>
    <t>https://drive.google.com/open?id=1zCqA7t56FUDyZIDGi8dMf-viuM4UN0LE</t>
  </si>
  <si>
    <t>Lodowyk umbu lado</t>
  </si>
  <si>
    <t>081338605233</t>
  </si>
  <si>
    <t>https://drive.google.com/open?id=1M5zP8T2hCQ3yMZyqwUl1CoGQV4pPIb6e</t>
  </si>
  <si>
    <t>Yovanda Katrina Nae</t>
  </si>
  <si>
    <t>081246908978</t>
  </si>
  <si>
    <t>https://drive.google.com/open?id=1q92gjm4pYcuot3qkg5Bx6WKwi7cIQGaV</t>
  </si>
  <si>
    <t>Sifta Banik</t>
  </si>
  <si>
    <t>085737473378</t>
  </si>
  <si>
    <t>https://drive.google.com/open?id=1PkCCI_zhmiKxOzqQeWtfe-klPhE473ZS</t>
  </si>
  <si>
    <t>Rusni nino</t>
  </si>
  <si>
    <t>082146091492</t>
  </si>
  <si>
    <t>https://drive.google.com/open?id=1zJ3gclOic1vVvVSA5JRw5bpL68eaGpgI</t>
  </si>
  <si>
    <t>RAMBU ANA HAMU</t>
  </si>
  <si>
    <t>081337570868</t>
  </si>
  <si>
    <t>https://drive.google.com/open?id=1B6uyY0lj7lHPM-MNBQnR6oXYInUdhyTV</t>
  </si>
  <si>
    <t>Aplonia tnaku</t>
  </si>
  <si>
    <t>085230891167</t>
  </si>
  <si>
    <t>https://drive.google.com/open?id=1-kvccRubf3QNDQiN5xu9rEleigTKXvM_</t>
  </si>
  <si>
    <t>Aranci Marsalina Banfatin</t>
  </si>
  <si>
    <t>085212685823</t>
  </si>
  <si>
    <t>https://drive.google.com/open?id=1H8A5-UUtfRo9m4WklYDrHQBax6pTn5ll</t>
  </si>
  <si>
    <t>Antoneta lero</t>
  </si>
  <si>
    <t>https://drive.google.com/open?id=1TRy85jfooUqOJDCEXqj-2Ui4tW2WYdpT</t>
  </si>
  <si>
    <t>YULIUS MBAHA KAHALI</t>
  </si>
  <si>
    <t>082342096558</t>
  </si>
  <si>
    <t>https://drive.google.com/open?id=1sTYpUEN3o-7yyUBs5F8_zVCJBC1WsoAN</t>
  </si>
  <si>
    <t>Yuliana Malo</t>
  </si>
  <si>
    <t>https://drive.google.com/open?id=1c4OL60tVlaagwqbeQo111mXj7eaUpqOE</t>
  </si>
  <si>
    <t>Maria Yosefina Tenis</t>
  </si>
  <si>
    <t>082247027748</t>
  </si>
  <si>
    <t>Karyawan Toko</t>
  </si>
  <si>
    <t>https://drive.google.com/open?id=1bo9nuIcI8sQcAdPbfj8VHeBhUDfyHXAh</t>
  </si>
  <si>
    <t>ALBERTINA BULU</t>
  </si>
  <si>
    <t>https://drive.google.com/open?id=174SunhB75Hn-GPOi9bdjhA2AJ-Fg6djr</t>
  </si>
  <si>
    <t>Semion lota lapu</t>
  </si>
  <si>
    <t>081237000744</t>
  </si>
  <si>
    <t>https://drive.google.com/open?id=1P2mURceATd27gPd77zydtqerNonFE4uz</t>
  </si>
  <si>
    <t>Kerja hotel</t>
  </si>
  <si>
    <t>https://drive.google.com/open?id=102rxydMN7M2ayO-qaVnb3t3rdd76ZJUJ</t>
  </si>
  <si>
    <t>Ester Masi Dodu</t>
  </si>
  <si>
    <t>https://drive.google.com/open?id=1r2ttharUPluCPDK6VkZO1yIUHSlf4EyQ</t>
  </si>
  <si>
    <t>Ayub bili</t>
  </si>
  <si>
    <t>https://drive.google.com/open?id=1YnSO0ZwL3oDrHfPG0nQYpwN6W63z4bya</t>
  </si>
  <si>
    <t>RISTO NEONANE</t>
  </si>
  <si>
    <t>085258099821</t>
  </si>
  <si>
    <t>https://drive.google.com/open?id=1EmSiKIYasZo6JONSbPM1o6JT35yBRcGP</t>
  </si>
  <si>
    <t>Raymundus dandia prekasia bere</t>
  </si>
  <si>
    <t>082236117515</t>
  </si>
  <si>
    <t>https://drive.google.com/open?id=1ygIpy1ocuLclG5C07pP-bqf7jv6yCnLq</t>
  </si>
  <si>
    <t>Yunita kadi</t>
  </si>
  <si>
    <t>https://drive.google.com/open?id=1YR3gKo2XDM6iOH9g5xSEaKkfHhMH4T0V</t>
  </si>
  <si>
    <t>Natalina duma sari</t>
  </si>
  <si>
    <t>082258009630</t>
  </si>
  <si>
    <t>https://drive.google.com/open?id=1KRxBBJEQXoHtcRerpwz1ecyU5v9DG_yl</t>
  </si>
  <si>
    <t xml:space="preserve">Renaldy E molle </t>
  </si>
  <si>
    <t>082235677122</t>
  </si>
  <si>
    <t>https://drive.google.com/open?id=1urO3oCRFT5lUSv0NJDEhqooAiIDdS2m3</t>
  </si>
  <si>
    <t>YOHENDRIS HAMANAY</t>
  </si>
  <si>
    <t>082247535091</t>
  </si>
  <si>
    <t>https://drive.google.com/open?id=1f6UQJtqs9knIrFRy76k1xhC6XmwHB4Js</t>
  </si>
  <si>
    <t>Nur fadly</t>
  </si>
  <si>
    <t>085143943010</t>
  </si>
  <si>
    <t>https://drive.google.com/open?id=1s8VXMM1BQEWZ9KhT0nfZV0g5lSw6zh5o</t>
  </si>
  <si>
    <t>YASINTHA TUALAKA</t>
  </si>
  <si>
    <t>+6281237280512</t>
  </si>
  <si>
    <t>https://drive.google.com/open?id=16vqiUnnS_HVWRiY3SA12Lo7CCMXHi051</t>
  </si>
  <si>
    <t>ELSI MARIANCE NDOLUK - PAH</t>
  </si>
  <si>
    <t>+6282151154231</t>
  </si>
  <si>
    <t>https://drive.google.com/open?id=1mO-yWkbUEbkkukYsM1kaq4wV5WEXFEds</t>
  </si>
  <si>
    <t>https://drive.google.com/open?id=1v3g2iQv63ZYV2KPeyrvqa2JJH5pR5coc</t>
  </si>
  <si>
    <t>Cheyzar Aditia Kurniawan Duil</t>
  </si>
  <si>
    <t>082141350250</t>
  </si>
  <si>
    <t>https://drive.google.com/open?id=1O_qrReK6-mPb5iTZg0lk5TNMetRJf9zN</t>
  </si>
  <si>
    <t>Dian Clara Fangidae</t>
  </si>
  <si>
    <t>https://drive.google.com/open?id=1n0BCE0JX4OGThIRYGzKI_iImkfI_Lbcl</t>
  </si>
  <si>
    <t>Djumadril Nubatonis</t>
  </si>
  <si>
    <t>081258677306</t>
  </si>
  <si>
    <t>https://drive.google.com/open?id=1ARfHR4O3dwlLGlghrmmo6JO5RW0ezaEg</t>
  </si>
  <si>
    <t xml:space="preserve">Elsyana putry </t>
  </si>
  <si>
    <t>087712614325</t>
  </si>
  <si>
    <t>https://drive.google.com/open?id=1w-muwuzT4veAJzdMbky5FTJ5wJvAgkk1</t>
  </si>
  <si>
    <t>Maria Rosalinda lamakadu</t>
  </si>
  <si>
    <t>085246986241</t>
  </si>
  <si>
    <t>https://drive.google.com/open?id=10QLHTcmh8wcaBg3Tnn8TQVCMt5Wxzf57</t>
  </si>
  <si>
    <t>Yuanita Handayani Rano Baki</t>
  </si>
  <si>
    <t>081239731778</t>
  </si>
  <si>
    <t>https://drive.google.com/open?id=1AyfBimTF5GnkEPzuQARRHZ88FLGuRGeh</t>
  </si>
  <si>
    <t>Sepryanus E. Napa</t>
  </si>
  <si>
    <t>081246134403</t>
  </si>
  <si>
    <t>https://drive.google.com/open?id=1e53rjYUKv7L8av4BylmscaT3nlvNcrxv</t>
  </si>
  <si>
    <t>Katauhi Kabunang</t>
  </si>
  <si>
    <t>081338601039</t>
  </si>
  <si>
    <t>https://drive.google.com/open?id=1DRl3Fdl4I2zOur06ulXEy_IGF_9mQB18</t>
  </si>
  <si>
    <t>GLORIOSA SALVATARA MARIA LAKE</t>
  </si>
  <si>
    <t>081234044057</t>
  </si>
  <si>
    <t>https://drive.google.com/open?id=1kjsPepkhq2W4JoS6kY-fkV8yAxJ3oD1Z</t>
  </si>
  <si>
    <t xml:space="preserve">Bregi stevanto henuck </t>
  </si>
  <si>
    <t>082247282818</t>
  </si>
  <si>
    <t>https://drive.google.com/open?id=1M8qpAX51NeOSpDwinQ2nDVUNzyx8WeB0</t>
  </si>
  <si>
    <t>Gabriel kono banunaek</t>
  </si>
  <si>
    <t>081337890223</t>
  </si>
  <si>
    <t>https://drive.google.com/open?id=1IOlqZ_5s9SnSJjeE92_RkbaBMrjKiKWn</t>
  </si>
  <si>
    <t>12/6/0025</t>
  </si>
  <si>
    <t>Hendrik Absar Sesun</t>
  </si>
  <si>
    <t>082275639710</t>
  </si>
  <si>
    <t>https://drive.google.com/open?id=1g0CNrAXtAiRz6bxh6fxaSBngr_xiZzWW</t>
  </si>
  <si>
    <t>Yulli Yunita Ang Ndaumanu</t>
  </si>
  <si>
    <t>082144012689</t>
  </si>
  <si>
    <t>https://drive.google.com/open?id=1JULNWGQtO8v16h-XjONr3kkAfjMSs6Yw</t>
  </si>
  <si>
    <t xml:space="preserve">Hajariah azis abdul syaid </t>
  </si>
  <si>
    <t>082261076375</t>
  </si>
  <si>
    <t>https://drive.google.com/open?id=1-TR8tSOgkB2FBP36e5CbxM-R2Z7LEdES</t>
  </si>
  <si>
    <t>Novita louru rade kaka</t>
  </si>
  <si>
    <t>https://drive.google.com/open?id=1VjmG002DcQ1keB2AGV6vBtynF2Xb80VH</t>
  </si>
  <si>
    <t>Yosep pati tada</t>
  </si>
  <si>
    <t>https://drive.google.com/open?id=1GWzvmNktmyqLiaokFLJ_r8sgVzQFgc7_</t>
  </si>
  <si>
    <t>Yakub maghu ate</t>
  </si>
  <si>
    <t>081239308905</t>
  </si>
  <si>
    <t>https://drive.google.com/open?id=1XjgS_9AUIzm5B6GvwzorDWcEubRnNaL0</t>
  </si>
  <si>
    <t>Serli tibu</t>
  </si>
  <si>
    <t>Pegawai negeri sipil</t>
  </si>
  <si>
    <t>https://drive.google.com/open?id=1xDgI07A35cCqwUpijs_i-Ve8A_Cd9iRs</t>
  </si>
  <si>
    <t>PETRUS BANI KAKA</t>
  </si>
  <si>
    <t>081246240686</t>
  </si>
  <si>
    <t>https://drive.google.com/open?id=18hHfaWukc6Vk17cwfM6v7BoWQ6KxonKn</t>
  </si>
  <si>
    <t>Alexsander kalinja</t>
  </si>
  <si>
    <t>081246996205</t>
  </si>
  <si>
    <t>https://drive.google.com/open?id=1cGs6YAYxA40PVMNTMnUTny-AJ1G9Mj-p</t>
  </si>
  <si>
    <t>Yumince nomleni</t>
  </si>
  <si>
    <t>085337443895</t>
  </si>
  <si>
    <t>https://drive.google.com/open?id=1O82-0JbCyM7F5h_BYrqsmC4Aktfdg_RA</t>
  </si>
  <si>
    <t>Martha katoda</t>
  </si>
  <si>
    <t>https://drive.google.com/open?id=1xVPWBZHmb7hK5tnC9aKzfNJFXO1BBhlT</t>
  </si>
  <si>
    <t>Petrus bulu dappa</t>
  </si>
  <si>
    <t>https://drive.google.com/open?id=1XiNi4aZLVLPbamNp9j6nxN6W9KER5qT3</t>
  </si>
  <si>
    <t>Mery mbatti mbana haramesa</t>
  </si>
  <si>
    <t>081237623787</t>
  </si>
  <si>
    <t>https://drive.google.com/open?id=17pSfIe-JQ8ZZWhssHDWS1KNN4LpKb--c</t>
  </si>
  <si>
    <t>APLONIA TNAKU</t>
  </si>
  <si>
    <t>081239870233</t>
  </si>
  <si>
    <t>https://drive.google.com/open?id=1fuJnKKp3rttGGl5wZNYDPhv4B6mjerja</t>
  </si>
  <si>
    <t>YUDITHA ABI</t>
  </si>
  <si>
    <t>081238904673</t>
  </si>
  <si>
    <t>https://drive.google.com/open?id=1LvpJUCdmML58fUEbxR4Qs0RYKHRYPT8R</t>
  </si>
  <si>
    <t>MARIA SELFIANA NAIMNULE</t>
  </si>
  <si>
    <t>081239806341</t>
  </si>
  <si>
    <t>https://drive.google.com/open?id=1MZR19kebveKDlsNfgi0BKWRGWkddSTOq</t>
  </si>
  <si>
    <t>Defrianto beri</t>
  </si>
  <si>
    <t>085829394729</t>
  </si>
  <si>
    <t>https://drive.google.com/open?id=1_OxCps1dJl0VfKUKLRjY8j570Fgt5ggH</t>
  </si>
  <si>
    <t>Dixson ade prasetyo</t>
  </si>
  <si>
    <t>https://drive.google.com/open?id=1-fZEsrx4cNZ9a9qRsIhuIjMxAxgUy3YM</t>
  </si>
  <si>
    <t>Antoneta boik</t>
  </si>
  <si>
    <t>https://drive.google.com/open?id=1US4DBPu3t3GmjCX9Uimm2dFrK8HF3TDF</t>
  </si>
  <si>
    <t>Naomi ngongo</t>
  </si>
  <si>
    <t>081291502522</t>
  </si>
  <si>
    <t>https://drive.google.com/open?id=1fzYKG-Z4ZpuQ5LA3zQU6S10GgoLOr8-1</t>
  </si>
  <si>
    <t>Antonia maipan</t>
  </si>
  <si>
    <t>https://drive.google.com/open?id=1pT08adQ_4Sc8Par7YwEq0rMASRHLs5Ew</t>
  </si>
  <si>
    <t>Habel takalapeta</t>
  </si>
  <si>
    <t>087877420833</t>
  </si>
  <si>
    <t>https://drive.google.com/open?id=1sgkg26pnCmCyH8FCRRmWv9KcFMnsa9hq</t>
  </si>
  <si>
    <t>Robed rawa gala</t>
  </si>
  <si>
    <t>https://drive.google.com/open?id=1vxKLTVjma2mgrrp3FYWcRAJjMpVzSYkq</t>
  </si>
  <si>
    <t>JIMY S. NDOLU</t>
  </si>
  <si>
    <t>087879909486</t>
  </si>
  <si>
    <t>https://drive.google.com/open?id=14mxX9dUa_KUZrQjqap5lLEehbyEsfhW3</t>
  </si>
  <si>
    <t>Theresia amanda sani</t>
  </si>
  <si>
    <t>https://drive.google.com/open?id=1lvJDfXxtbyV3a6OxB0tFLFf4YMfihET_</t>
  </si>
  <si>
    <t>nikanor benuf</t>
  </si>
  <si>
    <t>https://drive.google.com/open?id=1CtyjbHGslATUwjmXoGjza32nOp2XYreL</t>
  </si>
  <si>
    <t>HERAWANTI</t>
  </si>
  <si>
    <t>082146389424</t>
  </si>
  <si>
    <t>https://drive.google.com/open?id=1ShFeBbFCZa_97378TjCS7atvoXaYcNVg</t>
  </si>
  <si>
    <t>081353096235</t>
  </si>
  <si>
    <t>https://drive.google.com/open?id=1pqS4TuDAZxApFguYdt9LuWpLRVAlcY5g</t>
  </si>
  <si>
    <t>Jean Melani Hilungara</t>
  </si>
  <si>
    <t>081547184161</t>
  </si>
  <si>
    <t>https://drive.google.com/open?id=1AnQxla8kO6m05vDkDmG_E6LFAcgmNpkA</t>
  </si>
  <si>
    <t>ROSINA MARIA YULITA LAU</t>
  </si>
  <si>
    <t>081366371789</t>
  </si>
  <si>
    <t>https://drive.google.com/open?id=1QhKvki5BteI6iYnDiauVZWOmIdfwxtCW</t>
  </si>
  <si>
    <t>12/8/0025</t>
  </si>
  <si>
    <t>Berlin Mbuik</t>
  </si>
  <si>
    <t>082144710086</t>
  </si>
  <si>
    <t>https://drive.google.com/open?id=1jIpaBQiU5XIUKlGQ9-a1Q5WpsZdGxB_H</t>
  </si>
  <si>
    <t>Endang Neonufa</t>
  </si>
  <si>
    <t>085182696107</t>
  </si>
  <si>
    <t>https://drive.google.com/open?id=1BrEwt4YEu8uSiV4Ap_qxO4wss17RC_y0</t>
  </si>
  <si>
    <t>Andy luis welkis</t>
  </si>
  <si>
    <t>087777341752</t>
  </si>
  <si>
    <t>https://drive.google.com/open?id=1_5bDKrQ5DpKIglTh1xJTuxfaZ4OnwUdj</t>
  </si>
  <si>
    <t xml:space="preserve">Yoneta nino </t>
  </si>
  <si>
    <t>085230230446</t>
  </si>
  <si>
    <t>https://drive.google.com/open?id=1FyOYGmPwbAPMJFYjOzul09gIAv1CtfxK</t>
  </si>
  <si>
    <t>Obed saingo bora</t>
  </si>
  <si>
    <t>https://drive.google.com/open?id=1dQMlAB0SxMKc6rdzWV3RLJ2Mq_JvL_AL</t>
  </si>
  <si>
    <t>DESI ANDINI</t>
  </si>
  <si>
    <t>082213303533</t>
  </si>
  <si>
    <t>https://drive.google.com/open?id=1gHuZxl1hojykc5o2mJWgH4KtqkrWRQry</t>
  </si>
  <si>
    <t>Umbu liwar haramburu</t>
  </si>
  <si>
    <t>081329477317</t>
  </si>
  <si>
    <t>https://drive.google.com/open?id=1kt1yxzU-H0TWm3M3b_jFqoZ-Z6Uq9GxY</t>
  </si>
  <si>
    <t>Roswita bili</t>
  </si>
  <si>
    <t>082196794898</t>
  </si>
  <si>
    <t>https://drive.google.com/open?id=1Mw7rg6scqI_mhmuNFJYB0PUlvfHxYRFG</t>
  </si>
  <si>
    <t>Margaretha Apu</t>
  </si>
  <si>
    <t>https://drive.google.com/open?id=1LpUKMUnDxQjl_-ubaLloHONT6F5SKjKe</t>
  </si>
  <si>
    <t>Desi sona geriad meyok</t>
  </si>
  <si>
    <t>081236096622</t>
  </si>
  <si>
    <t>https://drive.google.com/open?id=1mRo2a8hj-Ju_75CVQt4sDDuU0g0HDr5J</t>
  </si>
  <si>
    <t>HERMAN RIGA SAIRO</t>
  </si>
  <si>
    <t>https://drive.google.com/open?id=1_d4X7x1XH1yfhwdiC7fG7hSVeeWDYl-_</t>
  </si>
  <si>
    <t>ELISABETH DAIRO MALO</t>
  </si>
  <si>
    <t>081235456789</t>
  </si>
  <si>
    <t>https://drive.google.com/open?id=1x4tXh9FFvfwwrf7II-aR6mnFOykYeoD3</t>
  </si>
  <si>
    <t>MARTEN NONO TENA GOPA</t>
  </si>
  <si>
    <t>https://drive.google.com/open?id=1KTMrtH2xU4NqF9mb871lrZEocHpLQeKe</t>
  </si>
  <si>
    <t>ANDERIAS BEDA WALI</t>
  </si>
  <si>
    <t>https://drive.google.com/open?id=1kvW7DoGqv6rDLgrzIDy65dQn1AWDq3eN</t>
  </si>
  <si>
    <t>Edmundus tafin</t>
  </si>
  <si>
    <t>081315020733</t>
  </si>
  <si>
    <t>https://drive.google.com/open?id=1XCBYaUGJ15PTCP3-762nEXzlnAaroC2s, https://drive.google.com/open?id=19_96UGu2Dlyv7uzLQqdqPUTGsU9wXLzP</t>
  </si>
  <si>
    <t>Gloriosa Salvatara Maria Lake</t>
  </si>
  <si>
    <t>081337477501</t>
  </si>
  <si>
    <t>https://drive.google.com/open?id=1_C5S05HVQVGoSQpgWlNQ-pqG5pQ_Z7qZ</t>
  </si>
  <si>
    <t>Maria Noviyanti Fallo</t>
  </si>
  <si>
    <t>081326435140</t>
  </si>
  <si>
    <t>Karyawan Toko Victory Kefa</t>
  </si>
  <si>
    <t>https://drive.google.com/open?id=1Ui_2lU3XwwoAu8D2cRO-6DGeRkgY0Ua8</t>
  </si>
  <si>
    <t>DAUD UMBU AWANG</t>
  </si>
  <si>
    <t>082213303228</t>
  </si>
  <si>
    <t>https://drive.google.com/open?id=1ky9JLtSj4aMAL6oiGZ721Dqr6DwY1hkI</t>
  </si>
  <si>
    <t>Mario Ndun</t>
  </si>
  <si>
    <t>https://drive.google.com/open?id=1_GN94z8DpJYdG8zjBx70Rpsx8b8A-v93</t>
  </si>
  <si>
    <t>Pelipus wada bate</t>
  </si>
  <si>
    <t>https://drive.google.com/open?id=1ecI0eO1YHc8V6QTZdjjQxSDx4bexmADg</t>
  </si>
  <si>
    <t>Maria Getrudis Tanesi</t>
  </si>
  <si>
    <t>081246076826</t>
  </si>
  <si>
    <t>https://drive.google.com/open?id=1JPhgeLDJ7wbwZZ9Q8CuMvVVBxmSiUMrG</t>
  </si>
  <si>
    <t>Yohanes Markiang Laemfaun</t>
  </si>
  <si>
    <t>081339716996</t>
  </si>
  <si>
    <t>https://drive.google.com/open?id=1-rZFjcck1qKpVsTtqlLqwurytN-DewvF</t>
  </si>
  <si>
    <t>Apriyanto yakob tlonaen</t>
  </si>
  <si>
    <t>081246192281</t>
  </si>
  <si>
    <t>https://drive.google.com/open?id=1igMlVi8wyK7WalXuc-LPtd8LtZC_0nPZ</t>
  </si>
  <si>
    <t>APRILIA HENDRIK SPD</t>
  </si>
  <si>
    <t>085253652231</t>
  </si>
  <si>
    <t>https://drive.google.com/open?id=15x2n8fOYI8BwVj9_-AMB6seAjDy8PRxh</t>
  </si>
  <si>
    <t>ORCIANI LIKA MARAMBAHAU</t>
  </si>
  <si>
    <t>082341372271</t>
  </si>
  <si>
    <t>https://drive.google.com/open?id=1k7yvQdpFT2rnAzzmmJ6Fym_1C25Gckqx</t>
  </si>
  <si>
    <t>MERSIANA KARERI HARA</t>
  </si>
  <si>
    <t>081235099160</t>
  </si>
  <si>
    <t>https://drive.google.com/open?id=1shmZNMfaK6G8kKURiIgnOSo-AYqYe8-c</t>
  </si>
  <si>
    <t>Sri Murtiningsih</t>
  </si>
  <si>
    <t>082341744537</t>
  </si>
  <si>
    <t>https://drive.google.com/open?id=1mB-zpX7FeUxb5YuIbkhPUzVAVnpSioYo</t>
  </si>
  <si>
    <t xml:space="preserve">Selfi Ngguli Hinawai </t>
  </si>
  <si>
    <t>082398066016</t>
  </si>
  <si>
    <t>Pemilik toko sembako</t>
  </si>
  <si>
    <t>https://drive.google.com/open?id=1bvg0Pd-i9mA27HXiBrOU5s-v5rgxd4fQ</t>
  </si>
  <si>
    <t>ENJELI TAMU INA</t>
  </si>
  <si>
    <t>082271577404</t>
  </si>
  <si>
    <t>https://drive.google.com/open?id=1qBne1p3inJ15otLk05tRDiAc4GDOyQkS</t>
  </si>
  <si>
    <t>Ignasius Fahik</t>
  </si>
  <si>
    <t>08214146715188</t>
  </si>
  <si>
    <t>https://drive.google.com/open?id=14wVNWqEYJqOzuPY6E9gH5q6BWXtOg6y6</t>
  </si>
  <si>
    <t>ASTRI R MAI TIDA</t>
  </si>
  <si>
    <t>081246050937</t>
  </si>
  <si>
    <t>https://drive.google.com/open?id=1aJc0fS-y_vtSqKZw__58sPeZg9miMomW</t>
  </si>
  <si>
    <t xml:space="preserve">VALENIA YOHANA FRISKA </t>
  </si>
  <si>
    <t>082341391431</t>
  </si>
  <si>
    <t>https://drive.google.com/open?id=1bjgXQf4z7t-YkRZJ6QNpsUizihlegj19</t>
  </si>
  <si>
    <t>Sandro umbu ndamu</t>
  </si>
  <si>
    <t>085847317751</t>
  </si>
  <si>
    <t>https://drive.google.com/open?id=17Ly_bhvbZWbwh2ijsNXPoCgMzf6NrOxB</t>
  </si>
  <si>
    <t>Manuel Freitas</t>
  </si>
  <si>
    <t>085829342090</t>
  </si>
  <si>
    <t>https://drive.google.com/open?id=1DPGQnCuNBUmHzfPAHUZSBQe2CBO80Zic</t>
  </si>
  <si>
    <t>FLORENSIA SALU</t>
  </si>
  <si>
    <t>081238980379</t>
  </si>
  <si>
    <t>https://drive.google.com/open?id=1JyX_LB0fmQzyTFuPLyfGBF2wjXNYHf4m</t>
  </si>
  <si>
    <t>yadmi lian</t>
  </si>
  <si>
    <t>085157743500</t>
  </si>
  <si>
    <t>https://drive.google.com/open?id=1mL30Td82DP3GZ2zoU-hpRmZMsIF7ClT4</t>
  </si>
  <si>
    <t>082152010206</t>
  </si>
  <si>
    <t>https://drive.google.com/open?id=17z0UNYFxupmPPUpibYYUip_BOX6StVJz</t>
  </si>
  <si>
    <t>yolina fanggidae</t>
  </si>
  <si>
    <t>082351558023</t>
  </si>
  <si>
    <t>https://drive.google.com/open?id=1ZdT6bbiQ2RU_sh_CRUUOdyqBBlXn0xUz</t>
  </si>
  <si>
    <t>Januario Da Cruz Freitas</t>
  </si>
  <si>
    <t>081246352979</t>
  </si>
  <si>
    <t>https://drive.google.com/open?id=1Vc_RRawaBtUNYRLz3rQzpzHtyPimsiG0</t>
  </si>
  <si>
    <t>Aprilia Elisabeth Selan</t>
  </si>
  <si>
    <t>082237484670</t>
  </si>
  <si>
    <t>https://drive.google.com/open?id=1ufs73vgKIj6SmEhKsJfiSSppdY4uB0Mx</t>
  </si>
  <si>
    <t>Belandina Yusrianti Benu</t>
  </si>
  <si>
    <t>085281934161</t>
  </si>
  <si>
    <t>https://drive.google.com/open?id=1WryJHhRFW3XgBjzY5r5Cwlt5ipnTSKPu</t>
  </si>
  <si>
    <t>Pius Yulius Umbu robaka</t>
  </si>
  <si>
    <t>082284238471</t>
  </si>
  <si>
    <t>https://drive.google.com/open?id=10uNerRB9HqFb76sFG-xDPIcU3n8utg9N</t>
  </si>
  <si>
    <t>Jefrianus</t>
  </si>
  <si>
    <t xml:space="preserve">Admin desa </t>
  </si>
  <si>
    <t>https://drive.google.com/open?id=1mQ8jYxwjwp83xeeqtaVbt0CAYfwQAGyI</t>
  </si>
  <si>
    <t>Maria elsifiana seuk bere</t>
  </si>
  <si>
    <t>081388294236</t>
  </si>
  <si>
    <t>https://drive.google.com/open?id=10oYRiN2XTCYkgy7-4jUW8A-KJk8t-vil</t>
  </si>
  <si>
    <t>empy suanto anin</t>
  </si>
  <si>
    <t>082123056523</t>
  </si>
  <si>
    <t>https://drive.google.com/open?id=1_1l1z08w4HEjP9F0yUWMUXTn129ut5Tm</t>
  </si>
  <si>
    <t>JEFRI NOPE</t>
  </si>
  <si>
    <t>+6281237469632</t>
  </si>
  <si>
    <t>https://drive.google.com/open?id=1bp4O6GgjZmOLiTOZ8_pnooTF72HbJqCX</t>
  </si>
  <si>
    <t xml:space="preserve">David edison manoh </t>
  </si>
  <si>
    <t>082261625856</t>
  </si>
  <si>
    <t>https://drive.google.com/open?id=1fmOcumTAk-cRjO3zWLDXUYE5zqR9WfDS</t>
  </si>
  <si>
    <t>Test</t>
  </si>
  <si>
    <t>018199</t>
  </si>
  <si>
    <t>https://drive.google.com/open?id=1vHPzsYHFVSP_e30nCx8_MJFBh6uvpgCV</t>
  </si>
  <si>
    <t xml:space="preserve">Kondradus koliasa </t>
  </si>
  <si>
    <t>081244590873</t>
  </si>
  <si>
    <t>https://drive.google.com/open?id=1s4CWvjNVjCAIx-ksr-MvYmZ_r9vN2gGB</t>
  </si>
  <si>
    <t>Lilik Mukaini Ningsih</t>
  </si>
  <si>
    <t>https://drive.google.com/open?id=1cMpEqkkp3QllQ9gWGJQn4USvAWFmzUOl</t>
  </si>
  <si>
    <t>Grace Natalia Wehelmina Suek</t>
  </si>
  <si>
    <t>081200789676</t>
  </si>
  <si>
    <t>https://drive.google.com/open?id=1wRVQnaSQaB_29UmXam1oTZKUWRsE8QO5</t>
  </si>
  <si>
    <t>Martha Boik</t>
  </si>
  <si>
    <t>https://drive.google.com/open?id=1uBRBRxOGY5-xirNJRXMcXojnEO5CyWhr</t>
  </si>
  <si>
    <t xml:space="preserve">obriantus tino </t>
  </si>
  <si>
    <t>08124958077</t>
  </si>
  <si>
    <t>https://drive.google.com/open?id=1DWnGMruawx20Cy0Y1MaWx5tjKoREk1Kw</t>
  </si>
  <si>
    <t>Paulus Kolo</t>
  </si>
  <si>
    <t>081236097126</t>
  </si>
  <si>
    <t xml:space="preserve">Petugas Kebersihan di dinas lingkungan hidup </t>
  </si>
  <si>
    <t>https://drive.google.com/open?id=1WZn_TuFVeYMHzXQf61G495HKvsHOGkwu</t>
  </si>
  <si>
    <t>PAULINA TARRA</t>
  </si>
  <si>
    <t>082339089125</t>
  </si>
  <si>
    <t>https://drive.google.com/open?id=10I3AN6PuBsQXRmVpcOMIzOEcMba-pxtq</t>
  </si>
  <si>
    <t>Ance Yuliana Maria Benu</t>
  </si>
  <si>
    <t>081337631603</t>
  </si>
  <si>
    <t>https://drive.google.com/open?id=1ExTPQwEAXBXvMAWzfZvkfhm0jWUJrr6W</t>
  </si>
  <si>
    <t>Elpinas ottu</t>
  </si>
  <si>
    <t>081353690046</t>
  </si>
  <si>
    <t>https://drive.google.com/open?id=1UvoWhCv53mPe2CdRXT6TjgxTu_bFi27P</t>
  </si>
  <si>
    <t>Suwito aji</t>
  </si>
  <si>
    <t>089507992013</t>
  </si>
  <si>
    <t>https://drive.google.com/open?id=1Zid7eOxOFBIZ6O9kUoUeQSf6c7L3id2o</t>
  </si>
  <si>
    <t>Dafrianus wungo</t>
  </si>
  <si>
    <t>089508853330</t>
  </si>
  <si>
    <t>https://drive.google.com/open?id=1HYMqt29E2y3rnOC0SR0LNAfPp8ZgS8Nz</t>
  </si>
  <si>
    <t>ARCE ADRIANA LIEM</t>
  </si>
  <si>
    <t>085339203694</t>
  </si>
  <si>
    <t>https://drive.google.com/open?id=12RxxKPF1fHqfhVxNP-VHku2wM_6NmlGV</t>
  </si>
  <si>
    <t>YOSEF LEU MUTIS</t>
  </si>
  <si>
    <t>082148138249</t>
  </si>
  <si>
    <t>https://drive.google.com/open?id=1UGJdpe4iOz6j-LKY-NL73VLrPItSs1Hm</t>
  </si>
  <si>
    <t>Asianto umbu puda walangara</t>
  </si>
  <si>
    <t>081339088092</t>
  </si>
  <si>
    <t>https://drive.google.com/open?id=11Cd0HQ1LsdjB95rRmFvbUcxLPXnjeoVH</t>
  </si>
  <si>
    <t>Yohana santi seuk</t>
  </si>
  <si>
    <t>081339764488</t>
  </si>
  <si>
    <t>https://drive.google.com/open?id=1LmKGlUcmQD-6hyPvG_fZYF_Ft19pI_yD</t>
  </si>
  <si>
    <t>Katarina sae</t>
  </si>
  <si>
    <t>081236288506</t>
  </si>
  <si>
    <t>https://drive.google.com/open?id=1qTh5txdcDLyQVF3NahU-a3cWCy11q9Kh</t>
  </si>
  <si>
    <t>Jefrisius rama awang</t>
  </si>
  <si>
    <t>085333400584</t>
  </si>
  <si>
    <t>https://drive.google.com/open?id=1J5-H19TvPp4ar1_HiVW3OFVtcU31hPCO</t>
  </si>
  <si>
    <t>Hendrikus rona</t>
  </si>
  <si>
    <t>081337515842</t>
  </si>
  <si>
    <t>https://drive.google.com/open?id=1wPe17PtCXLfBUL0EO7_n81otavrQzgPb</t>
  </si>
  <si>
    <t>Maria de jesus de araujo</t>
  </si>
  <si>
    <t>085212813607</t>
  </si>
  <si>
    <t>https://drive.google.com/open?id=1FsYerpmZqjj33S_9hoCA1BvSNnVG2srW, https://drive.google.com/open?id=1eP1ciCL1eCN7fOZfxBgCoXZWhMZpvbLe</t>
  </si>
  <si>
    <t>Martinus matti kahedu</t>
  </si>
  <si>
    <t>082144610398</t>
  </si>
  <si>
    <t>https://drive.google.com/open?id=1Hp9M3so7Ovjh0gvFx4_sWTFKzDcq4ZVr</t>
  </si>
  <si>
    <t>Maria fransiska tas'au</t>
  </si>
  <si>
    <t>https://drive.google.com/open?id=1soJPyCav92mHfBJaJDS8eCf0EF_Ab7OC</t>
  </si>
  <si>
    <t>Dominggas kaet</t>
  </si>
  <si>
    <t>081346260999</t>
  </si>
  <si>
    <t>https://drive.google.com/open?id=1-xW341yX7ERBrJcTYeNL80njrcPDm1IO</t>
  </si>
  <si>
    <t>ALEXANDER FERDINIKUS BABU</t>
  </si>
  <si>
    <t>0895320368574</t>
  </si>
  <si>
    <t>https://drive.google.com/open?id=1CS3vOAR8PV9wmO-W-ZDKGub-WiJChaIV</t>
  </si>
  <si>
    <t>Arnoldus hale</t>
  </si>
  <si>
    <t>082138891327</t>
  </si>
  <si>
    <t>https://drive.google.com/open?id=1no_1nE-lG0xrX4rWqMcZWhKQINDRSWBd, https://drive.google.com/open?id=163JbfN7OItMQd767g3XYdcTFUtqZXop7</t>
  </si>
  <si>
    <t>https://drive.google.com/open?id=1L9e7wrAa2jDwd6jORFIysEUFL_obf7_N</t>
  </si>
  <si>
    <t>livandi felipus kiak</t>
  </si>
  <si>
    <t>082151089241</t>
  </si>
  <si>
    <t>https://drive.google.com/open?id=1gZjST35jKeGMVkrhV_a_oSVGM32Lh2K9</t>
  </si>
  <si>
    <t>Moses klau</t>
  </si>
  <si>
    <t>081337889123</t>
  </si>
  <si>
    <t>https://drive.google.com/open?id=1ihoKcYU2kL52vNi5g3hYKrXq7wuoL4kp</t>
  </si>
  <si>
    <t>Rinto desfrengki djami lena</t>
  </si>
  <si>
    <t>085788922345</t>
  </si>
  <si>
    <t>https://drive.google.com/open?id=1R6vID9wzLDalg1SkvoyGgJKvZaEhlO8-</t>
  </si>
  <si>
    <t>IMELDA LALI PORA</t>
  </si>
  <si>
    <t>081337394228</t>
  </si>
  <si>
    <t>https://drive.google.com/open?id=1dmJ-dGnmoqAfeRqyDS3ugBV4BYo2oX76</t>
  </si>
  <si>
    <t>LOURO PEDA</t>
  </si>
  <si>
    <t>https://drive.google.com/open?id=1wqN9xMng9BtkGPgf_IiKa1pmvO-KI6Hk</t>
  </si>
  <si>
    <t>085737132849</t>
  </si>
  <si>
    <t>https://drive.google.com/open?id=1XMmchNSOluXpsxyJAv07thcTQFAYv0E7</t>
  </si>
  <si>
    <t>KATRINA TUWA RINGU</t>
  </si>
  <si>
    <t>https://drive.google.com/open?id=1U3AxWqV29goTp5cLCiXwXNc_i9nc0TM5</t>
  </si>
  <si>
    <t>081237889023</t>
  </si>
  <si>
    <t>https://drive.google.com/open?id=1J_v_jgN8oXzdt_4lBc-3ETCuL860h9JR</t>
  </si>
  <si>
    <t>Nofi imelda abanat</t>
  </si>
  <si>
    <t>081292978541</t>
  </si>
  <si>
    <t>https://drive.google.com/open?id=1Zev8IMzq62-2-3PF7t8MvCmrCXICiIfo</t>
  </si>
  <si>
    <t>piter lado</t>
  </si>
  <si>
    <t>081339350704</t>
  </si>
  <si>
    <t>kuli bangunan</t>
  </si>
  <si>
    <t>https://drive.google.com/open?id=1SqKFKSj7x6-TtaKRtpaoKNLHVIqFEJ_x</t>
  </si>
  <si>
    <t xml:space="preserve">Agustinus </t>
  </si>
  <si>
    <t>https://drive.google.com/open?id=1L8U69XSKhq_y27leeBrWB7tRE2jYHPgC</t>
  </si>
  <si>
    <t xml:space="preserve">Clara Sisilia Tasesab </t>
  </si>
  <si>
    <t>0823154166651</t>
  </si>
  <si>
    <t>https://drive.google.com/open?id=1248gm8qHaTsSr_SdZr_zNhFO3Uj2T28L</t>
  </si>
  <si>
    <t>Moses Klau</t>
  </si>
  <si>
    <t>085126933699</t>
  </si>
  <si>
    <t>https://drive.google.com/open?id=1dlim0FI4ZDc5OPYGWNh_ReEGHhNeSVEu</t>
  </si>
  <si>
    <t>Petronela Lily</t>
  </si>
  <si>
    <t>082146003498</t>
  </si>
  <si>
    <t>https://drive.google.com/open?id=11O_FzjJDLCfjt8Kvkq2bbzUbL8fviesp</t>
  </si>
  <si>
    <t>Johanis kolis</t>
  </si>
  <si>
    <t>085932831651</t>
  </si>
  <si>
    <t>https://drive.google.com/open?id=1L20JRcPkBQHuqE3492hV61eid2gDf2Zg</t>
  </si>
  <si>
    <t>Weni aryana T anauw</t>
  </si>
  <si>
    <t>082216755622</t>
  </si>
  <si>
    <t>https://drive.google.com/open?id=1pSqBbn8MJ5LMiXylellVERveRetovQeA, https://drive.google.com/open?id=1nS8NAcFZzqWuD-1FcerQkNgujd_M90a1</t>
  </si>
  <si>
    <t>Daud Ribu</t>
  </si>
  <si>
    <t>082145541409</t>
  </si>
  <si>
    <t>https://drive.google.com/open?id=1jSne56rbWg0sBPLgFRftrYJDppSQ8-tT</t>
  </si>
  <si>
    <t>SINSIGUS ERENS LIUBANA</t>
  </si>
  <si>
    <t>https://drive.google.com/open?id=1fp_ICpLUho6OJhxExXuJpysVisSSDYGu</t>
  </si>
  <si>
    <t>Joni Yusuf Alexander Nomleni</t>
  </si>
  <si>
    <t>082227410829</t>
  </si>
  <si>
    <t>https://drive.google.com/open?id=1C8RZ5gqFUHlc9aFuoSDYAywAOP8SxXXe</t>
  </si>
  <si>
    <t xml:space="preserve">Saleh Ibrahim </t>
  </si>
  <si>
    <t>085385749121</t>
  </si>
  <si>
    <t>https://drive.google.com/open?id=1ctz1Q4oumuMjRG7YLndYKfhoZTgtdRRu</t>
  </si>
  <si>
    <t>Dedy yandres pahanael</t>
  </si>
  <si>
    <t>082110726126</t>
  </si>
  <si>
    <t>https://drive.google.com/open?id=1rKLqLl4gIeS_qCbrtOJpoURxixxqrVFT</t>
  </si>
  <si>
    <t>Denwarin bureni</t>
  </si>
  <si>
    <t>081339619300</t>
  </si>
  <si>
    <t>https://drive.google.com/open?id=1dKcIUsawt-WPbGGI2Hiss_mbNlYQu-sC</t>
  </si>
  <si>
    <t>Januarti since debora tloim</t>
  </si>
  <si>
    <t>081278236471</t>
  </si>
  <si>
    <t>https://drive.google.com/open?id=146JZcO_1V_JwuVA9KeeFSGOC4qujiG0c, https://drive.google.com/open?id=1IpEBDLvfP04U4-cFyjHXcO47F7AH9_sb</t>
  </si>
  <si>
    <t>Riko salastar manafe</t>
  </si>
  <si>
    <t>https://drive.google.com/open?id=1QNQoP94_9urHSHRyPZakKyoGhaOaPKmd</t>
  </si>
  <si>
    <t>Erikson paoni</t>
  </si>
  <si>
    <t>081237500291</t>
  </si>
  <si>
    <t>https://drive.google.com/open?id=1jb5cemoS_ZQTUWDmTfwabgzghWq9JxQm</t>
  </si>
  <si>
    <t>Maryani muhammad</t>
  </si>
  <si>
    <t>https://drive.google.com/open?id=1YZIwP9Pit04Zjj3gIuAMyNYCcjha9VSu</t>
  </si>
  <si>
    <t>Marselinus lede</t>
  </si>
  <si>
    <t>081239460746</t>
  </si>
  <si>
    <t>https://drive.google.com/open?id=1ustPc0RmRnnaufZ4mI5lamCzBJVdcmQq</t>
  </si>
  <si>
    <t>Marta bela</t>
  </si>
  <si>
    <t>081238776901</t>
  </si>
  <si>
    <t>https://drive.google.com/open?id=1FeybUJbBjGmsLUIi_vQMtvyt18TuZJpt</t>
  </si>
  <si>
    <t>Martha inna kaka</t>
  </si>
  <si>
    <t>081238859123</t>
  </si>
  <si>
    <t>https://drive.google.com/open?id=1ZbtxwRMnuR4b-JXc1hq1RlYfDbnc_8tk</t>
  </si>
  <si>
    <t>Hilarius Kloe Mona</t>
  </si>
  <si>
    <t>085222051927</t>
  </si>
  <si>
    <t>Perangkat Desa Nainaban</t>
  </si>
  <si>
    <t>https://drive.google.com/open?id=1d2Di6LJISO39bUPjk6MlbSG9TFmejmEu</t>
  </si>
  <si>
    <t>Fera susana kain</t>
  </si>
  <si>
    <t>081236890654</t>
  </si>
  <si>
    <t>https://drive.google.com/open?id=1hYDb3svM6N5xZ03AtJcHhtVuXpCisugy</t>
  </si>
  <si>
    <t>Rosalin Ludji Wadu</t>
  </si>
  <si>
    <t>Konter Handpone</t>
  </si>
  <si>
    <t>https://drive.google.com/open?id=1R157sxMIka7oCTygJY5in1m-alUXOn42</t>
  </si>
  <si>
    <t>081235897547</t>
  </si>
  <si>
    <t>https://drive.google.com/open?id=1xkCjUEM7HXT4wUtzx6kgn6zqu3OyV99N</t>
  </si>
  <si>
    <t>Jois umbu tauwa</t>
  </si>
  <si>
    <t>081237980214</t>
  </si>
  <si>
    <t>https://drive.google.com/open?id=1psJ6RD7ftDxuE6hx2JRZGsqlqB-74Acm</t>
  </si>
  <si>
    <t>Dorlin Olbata</t>
  </si>
  <si>
    <t>Konter hp Asbun kuanino</t>
  </si>
  <si>
    <t>https://drive.google.com/open?id=1sRybbxhZNdVcvErNBIKJ9hOkmMlb5wP_</t>
  </si>
  <si>
    <t>081339236098</t>
  </si>
  <si>
    <t>https://drive.google.com/open?id=14vke3qfZ28bKNFSwbXt59cGhM3qhBNOo</t>
  </si>
  <si>
    <t>melanton Tasok</t>
  </si>
  <si>
    <t>https://drive.google.com/open?id=1pVm06Uw1hmyqABer-rtpOg0EWalO1FAQ</t>
  </si>
  <si>
    <t>Juandr Rival Tallo manafe</t>
  </si>
  <si>
    <t>081237976450</t>
  </si>
  <si>
    <t>https://drive.google.com/open?id=1HxK7tL9qLUn49fqEbxMnv1R2GL_6lK0Z</t>
  </si>
  <si>
    <t>Sunarsih</t>
  </si>
  <si>
    <t>08224985899</t>
  </si>
  <si>
    <t>https://drive.google.com/open?id=1tKUdt7tpwGc0fsiOb5fojG09d8uOcI77</t>
  </si>
  <si>
    <t>ELMI MARSALINA LANGGA</t>
  </si>
  <si>
    <t xml:space="preserve">Usaha Catring </t>
  </si>
  <si>
    <t>https://drive.google.com/open?id=1T2psw9H5rJfZS8axps1G3ydqfYUllG6_</t>
  </si>
  <si>
    <t>08123965800</t>
  </si>
  <si>
    <t>https://drive.google.com/open?id=1cjN_ZhjqnbsPHfQLFQ9QVsUD78Vcf1EP</t>
  </si>
  <si>
    <t>DEDY YANRES PAHANAEL</t>
  </si>
  <si>
    <t>082146988231</t>
  </si>
  <si>
    <t>https://drive.google.com/open?id=1MH8ZoRpNY6iuepirPVLP1C1_NaOtTNMB</t>
  </si>
  <si>
    <t>Drawati Berlian Beama</t>
  </si>
  <si>
    <t>081236457890</t>
  </si>
  <si>
    <t>https://drive.google.com/open?id=1LXPwRrdT3Fs8eHNW2efbiCuAXKnJtpCN</t>
  </si>
  <si>
    <t>Marten Silla</t>
  </si>
  <si>
    <t>085333480454</t>
  </si>
  <si>
    <t>https://drive.google.com/open?id=1G0Swt8tVav1SH4r7AJkyI8mVoQQBBzXj</t>
  </si>
  <si>
    <t>Amoy Rambu Kalaiju</t>
  </si>
  <si>
    <t>081234086470</t>
  </si>
  <si>
    <t>https://drive.google.com/open?id=1wmeBfSSk0amvznqFAtoEwcT8-nb9QU5A</t>
  </si>
  <si>
    <t>Syarif setiawan</t>
  </si>
  <si>
    <t>082235325557</t>
  </si>
  <si>
    <t>https://drive.google.com/open?id=1fQV1y4suVjOCyu7asW54OQPF4JrmYS-c</t>
  </si>
  <si>
    <t>Marlince seingo</t>
  </si>
  <si>
    <t>081246990032</t>
  </si>
  <si>
    <t>https://drive.google.com/open?id=1ni2g-SjjJFKpMRRbUjIOwO85NfjaaeAj</t>
  </si>
  <si>
    <t>Ronald natalino fanggidae</t>
  </si>
  <si>
    <t>081339306311</t>
  </si>
  <si>
    <t>https://drive.google.com/open?id=1m58KayO0awwgMU-YLeLzqC29qKhGV_RF</t>
  </si>
  <si>
    <t>Eni jola pedi</t>
  </si>
  <si>
    <t>081337718450</t>
  </si>
  <si>
    <t>https://drive.google.com/open?id=1EdOFaiBYmKght0lR-r9_S-76SHoFIqgk</t>
  </si>
  <si>
    <t>RISTO NEONANNE</t>
  </si>
  <si>
    <t>https://drive.google.com/open?id=12Db4dsVGaXNmAPNLrkFrVcbaK2NMKlF_</t>
  </si>
  <si>
    <t>Yustina kendi</t>
  </si>
  <si>
    <t>081246244800</t>
  </si>
  <si>
    <t>https://drive.google.com/open?id=1ynHs8XSXxSa2VYFRflJMzGY9efknqhGE</t>
  </si>
  <si>
    <t>Reynhar Nino</t>
  </si>
  <si>
    <t>082247224238</t>
  </si>
  <si>
    <t>https://drive.google.com/open?id=1HSRAyTPFagaYc0mClGUAy24JfVB1gViZ</t>
  </si>
  <si>
    <t>FRABSISCO GUSMAO</t>
  </si>
  <si>
    <t>082240873690</t>
  </si>
  <si>
    <t>https://drive.google.com/open?id=1BaFplrtBiyFpzQIrPFIENLF8VYsy3pTe</t>
  </si>
  <si>
    <t>MARSELIANUS NITBANI</t>
  </si>
  <si>
    <t>0821469821334</t>
  </si>
  <si>
    <t>Koperasi bongkar muat pelabuhan tenau</t>
  </si>
  <si>
    <t>https://drive.google.com/open?id=1FTM_PslJOJ0G5DxDKfOf-n8nZpayc3y-</t>
  </si>
  <si>
    <t>12/10/0025</t>
  </si>
  <si>
    <t>Jane Agustina Elisabeth Lae</t>
  </si>
  <si>
    <t>082213468817</t>
  </si>
  <si>
    <t>https://drive.google.com/open?id=1lPBeISrSkOtA17gg4KuzM9xkHFTXhDD8</t>
  </si>
  <si>
    <t>TANGGAL</t>
  </si>
  <si>
    <t>NAMA_PROMOTOR</t>
  </si>
  <si>
    <t>STATUS_PENGAJUAN</t>
  </si>
  <si>
    <t>TIPE_HP</t>
  </si>
  <si>
    <t>ID _TOKO</t>
  </si>
  <si>
    <t>SATOR</t>
  </si>
  <si>
    <t>TOKO</t>
  </si>
  <si>
    <t>AREA</t>
  </si>
  <si>
    <t>MCE001</t>
  </si>
  <si>
    <t>MCELL</t>
  </si>
  <si>
    <t>KUPANG</t>
  </si>
  <si>
    <t>SPC007</t>
  </si>
  <si>
    <t>SPC PLATINUM</t>
  </si>
  <si>
    <t>SPC004</t>
  </si>
  <si>
    <t>SPC MASTER CELL</t>
  </si>
  <si>
    <t/>
  </si>
  <si>
    <t>KIN001</t>
  </si>
  <si>
    <t>KING CELL</t>
  </si>
  <si>
    <t>TER001</t>
  </si>
  <si>
    <t>TERMINAL HP</t>
  </si>
  <si>
    <t>SPC006</t>
  </si>
  <si>
    <t>SPC OESAPA</t>
  </si>
  <si>
    <t>PLA001</t>
  </si>
  <si>
    <t>PLANET GADGET</t>
  </si>
  <si>
    <t>SPC003</t>
  </si>
  <si>
    <t>SPC KUANINO</t>
  </si>
  <si>
    <t>SPC011</t>
  </si>
  <si>
    <t>SPC STARLIGHT</t>
  </si>
  <si>
    <t>KHA002</t>
  </si>
  <si>
    <t>KHAIRIL CELL</t>
  </si>
  <si>
    <t>SUMBA</t>
  </si>
  <si>
    <t>SPC005</t>
  </si>
  <si>
    <t>SPC OESAO</t>
  </si>
  <si>
    <t>QIN001</t>
  </si>
  <si>
    <t>QINARA CELL</t>
  </si>
  <si>
    <t>KABUPATEN</t>
  </si>
  <si>
    <t>QUE001</t>
  </si>
  <si>
    <t>QUEEN CELL</t>
  </si>
  <si>
    <t>GLO002</t>
  </si>
  <si>
    <t>GLOBAL TEKNIK 2</t>
  </si>
  <si>
    <t>KHA001</t>
  </si>
  <si>
    <t>KHAIR CELL</t>
  </si>
  <si>
    <t>INF001</t>
  </si>
  <si>
    <t>INFINITY CELL</t>
  </si>
  <si>
    <t>MUT001</t>
  </si>
  <si>
    <t>MUTIARA CELL</t>
  </si>
  <si>
    <t>AND001</t>
  </si>
  <si>
    <t>ANDYS CELL</t>
  </si>
  <si>
    <t>SPC013</t>
  </si>
  <si>
    <t>SPC TERMINAL</t>
  </si>
  <si>
    <t>PUT001</t>
  </si>
  <si>
    <t>PUTRA SULAWESI</t>
  </si>
  <si>
    <t>SPC010</t>
  </si>
  <si>
    <t>SPC WAINGAPU</t>
  </si>
  <si>
    <t>CEL001</t>
  </si>
  <si>
    <t>CELLULER WORLD</t>
  </si>
  <si>
    <t>SPC012</t>
  </si>
  <si>
    <t>SPC TDM</t>
  </si>
  <si>
    <t>GLO001</t>
  </si>
  <si>
    <t>GLOBAL TEKNIK 1</t>
  </si>
  <si>
    <t>TIM001</t>
  </si>
  <si>
    <t>TUTOR YACOB CHRISTIAN BOLING</t>
  </si>
  <si>
    <t>TIMOR CELL</t>
  </si>
  <si>
    <t>SRT001</t>
  </si>
  <si>
    <t>SRT CELL</t>
  </si>
  <si>
    <t>GLO003</t>
  </si>
  <si>
    <t>GLOBAL TEKNIK 3</t>
  </si>
  <si>
    <t>SPC009</t>
  </si>
  <si>
    <t>SPC SOE</t>
  </si>
  <si>
    <t>SAC001</t>
  </si>
  <si>
    <t>SACCA CELL</t>
  </si>
  <si>
    <t>PKR001</t>
  </si>
  <si>
    <t>PAKARENA</t>
  </si>
  <si>
    <t>PIT001</t>
  </si>
  <si>
    <t>PITSTOP CELL</t>
  </si>
  <si>
    <t>AZI001</t>
  </si>
  <si>
    <t>AZIZAH CELL</t>
  </si>
  <si>
    <t>SOC002</t>
  </si>
  <si>
    <t>SOCCO CELL 3</t>
  </si>
  <si>
    <t>SOC001</t>
  </si>
  <si>
    <t>SOCCO CELL</t>
  </si>
  <si>
    <t>MAR001</t>
  </si>
  <si>
    <t>MARIA</t>
  </si>
  <si>
    <t>SRI001</t>
  </si>
  <si>
    <t>SRISOLO MANDIRI</t>
  </si>
  <si>
    <t>SPC014</t>
  </si>
  <si>
    <t>SPC KEFAMENANU</t>
  </si>
  <si>
    <t>SPC008</t>
  </si>
  <si>
    <t>SPC SAHABAT</t>
  </si>
  <si>
    <t>WIN001</t>
  </si>
  <si>
    <t>WIN CELL</t>
  </si>
  <si>
    <t>ERA002</t>
  </si>
  <si>
    <t>ERAFONE LIPPO</t>
  </si>
  <si>
    <t>ERA001</t>
  </si>
  <si>
    <t>ERAFONE MEGASTORE</t>
  </si>
  <si>
    <t>BGD001</t>
  </si>
  <si>
    <t>BEST GADGET</t>
  </si>
  <si>
    <t>PRI001</t>
  </si>
  <si>
    <t>PRIMA ELEKTRONIK</t>
  </si>
  <si>
    <t>SPC002</t>
  </si>
  <si>
    <t>SPC JAWARA</t>
  </si>
  <si>
    <t>SCO001</t>
  </si>
  <si>
    <t>SUPER CELL OESAPA</t>
  </si>
  <si>
    <t>DCE001</t>
  </si>
  <si>
    <t>DCELL</t>
  </si>
  <si>
    <t>ID Promotor</t>
  </si>
  <si>
    <t>Promotor</t>
  </si>
  <si>
    <t>Sator</t>
  </si>
  <si>
    <t>Target Pengajuan</t>
  </si>
  <si>
    <t>ID Toko Penempatan</t>
  </si>
  <si>
    <t>DEW001</t>
  </si>
  <si>
    <t>ISW001</t>
  </si>
  <si>
    <t>ISWAN ASAMAU</t>
  </si>
  <si>
    <t>NAB001</t>
  </si>
  <si>
    <t>KAM001</t>
  </si>
  <si>
    <t>KAMARIA ANDI BASO</t>
  </si>
  <si>
    <t>FAT001</t>
  </si>
  <si>
    <t>MEL001</t>
  </si>
  <si>
    <t>MELIYANI RATNASARI SYUKRI</t>
  </si>
  <si>
    <t>area kabupaten</t>
  </si>
  <si>
    <t>ABB001</t>
  </si>
  <si>
    <t>ARF001</t>
  </si>
  <si>
    <t>PRE001</t>
  </si>
  <si>
    <t>TUTOR  YACOB CHRISTIAN BOLING</t>
  </si>
  <si>
    <t>YUT001</t>
  </si>
  <si>
    <t>ADR004</t>
  </si>
  <si>
    <t>BER001</t>
  </si>
  <si>
    <t>MAR002</t>
  </si>
  <si>
    <t>MARIA DENTIANA L HAUMETAN</t>
  </si>
  <si>
    <t>KER001</t>
  </si>
  <si>
    <t>ATM001</t>
  </si>
  <si>
    <t>NUR001</t>
  </si>
  <si>
    <t>MIN001</t>
  </si>
  <si>
    <t>ALI001</t>
  </si>
  <si>
    <t>area kota kupang</t>
  </si>
  <si>
    <t>AMB001</t>
  </si>
  <si>
    <t>ANI001</t>
  </si>
  <si>
    <t>NOV001</t>
  </si>
  <si>
    <t>YER001</t>
  </si>
  <si>
    <t>area sumba</t>
  </si>
  <si>
    <t>YOV001</t>
  </si>
  <si>
    <t>ASR001</t>
  </si>
  <si>
    <t>EST001</t>
  </si>
  <si>
    <t>AGW001</t>
  </si>
  <si>
    <t>HER001</t>
  </si>
  <si>
    <t>ALD001</t>
  </si>
  <si>
    <t>ELI001</t>
  </si>
  <si>
    <t>EME001</t>
  </si>
  <si>
    <t>YRM001</t>
  </si>
  <si>
    <t>DWI001</t>
  </si>
  <si>
    <t>EFL001</t>
  </si>
  <si>
    <t>FER001</t>
  </si>
  <si>
    <t>NRN001</t>
  </si>
  <si>
    <t>YAN001</t>
  </si>
  <si>
    <t>YOH002</t>
  </si>
  <si>
    <t>GSH001</t>
  </si>
  <si>
    <t>AUY001</t>
  </si>
  <si>
    <t>JDC001</t>
  </si>
  <si>
    <t>YAS001</t>
  </si>
  <si>
    <t>YEB001</t>
  </si>
  <si>
    <t>ANM001</t>
  </si>
  <si>
    <t>FEN001</t>
  </si>
  <si>
    <t>INK001</t>
  </si>
  <si>
    <t>MJT001</t>
  </si>
  <si>
    <t>MAH004</t>
  </si>
  <si>
    <t>PMU001</t>
  </si>
  <si>
    <t>PAT001</t>
  </si>
  <si>
    <t>SVB001</t>
  </si>
  <si>
    <t>SKL001</t>
  </si>
  <si>
    <t>NMN001</t>
  </si>
  <si>
    <t>WAR002</t>
  </si>
  <si>
    <t>RML001</t>
  </si>
  <si>
    <t>FAL001</t>
  </si>
  <si>
    <t>YOH001</t>
  </si>
  <si>
    <t>DCH001</t>
  </si>
  <si>
    <t>DINDA CHRISTANTI</t>
  </si>
  <si>
    <t>SPC001</t>
  </si>
  <si>
    <t>OME001</t>
  </si>
  <si>
    <t>SAN001</t>
  </si>
  <si>
    <t>SDL001</t>
  </si>
  <si>
    <t>LIL001</t>
  </si>
  <si>
    <t>LILIK ERMA KEHI</t>
  </si>
  <si>
    <t>GAR001</t>
  </si>
  <si>
    <t>AZZ001</t>
  </si>
  <si>
    <t>IDM001</t>
  </si>
  <si>
    <t>IME001</t>
  </si>
  <si>
    <t>IMELDA KULLA</t>
  </si>
  <si>
    <t>RES001</t>
  </si>
  <si>
    <t>KES001</t>
  </si>
  <si>
    <t>LAS001</t>
  </si>
  <si>
    <t>MMB003</t>
  </si>
  <si>
    <t>PAU001</t>
  </si>
  <si>
    <t>PAULINA FRANSISKA GELI</t>
  </si>
  <si>
    <t>PUS001</t>
  </si>
  <si>
    <t>SUL001</t>
  </si>
  <si>
    <t>AST001</t>
  </si>
  <si>
    <t>ID Toko</t>
  </si>
  <si>
    <t>Nama Toko</t>
  </si>
  <si>
    <t>Area Detail</t>
  </si>
  <si>
    <t>ALIONG CELL</t>
  </si>
  <si>
    <t>PULAU SUMBA</t>
  </si>
  <si>
    <t>PULAU TIMOR</t>
  </si>
  <si>
    <t>FATIMA CELL</t>
  </si>
  <si>
    <t>GARUDA CELL</t>
  </si>
  <si>
    <t>GIS001</t>
  </si>
  <si>
    <t>GISMCELL</t>
  </si>
  <si>
    <t>GLO004</t>
  </si>
  <si>
    <t>GLOBAL TEKNIK 4</t>
  </si>
  <si>
    <t>KERSEN CELL</t>
  </si>
  <si>
    <t>NABILA CELL</t>
  </si>
  <si>
    <t>RESKY CELL</t>
  </si>
  <si>
    <t>SPC ATAMBUA</t>
  </si>
  <si>
    <t>Status</t>
  </si>
  <si>
    <t>Tipe 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</si>
</sst>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1.0"/>
      <color rgb="FF000000"/>
      <name val="Calibri"/>
    </font>
    <font>
      <u/>
      <color rgb="FF0000FF"/>
      <name val="Roboto"/>
    </font>
    <font>
      <u/>
      <color rgb="FF0000FF"/>
    </font>
    <font>
      <u/>
      <color rgb="FF0000FF"/>
    </font>
    <font>
      <b/>
      <sz val="11.0"/>
      <color theme="1"/>
      <name val="Arial"/>
      <scheme val="minor"/>
    </font>
    <font>
      <b/>
      <sz val="12.0"/>
      <color rgb="FF000000"/>
      <name val="Calibri"/>
    </font>
    <font>
      <b/>
      <sz val="12.0"/>
      <color theme="1"/>
      <name val="Arial"/>
      <scheme val="minor"/>
    </font>
    <font>
      <sz val="11.0"/>
      <color theme="1"/>
      <name val="Calibri"/>
    </font>
    <font>
      <b/>
      <sz val="11.0"/>
      <color rgb="FF000000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Border="1" applyFont="1"/>
    <xf borderId="1" fillId="0" fontId="1" numFmtId="0" xfId="0" applyAlignment="1" applyBorder="1" applyFont="1">
      <alignment shrinkToFit="0" vertical="center" wrapText="0"/>
    </xf>
    <xf borderId="1" fillId="0" fontId="1" numFmtId="1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right" readingOrder="0" shrinkToFit="0" vertical="center" wrapText="0"/>
    </xf>
    <xf borderId="1" fillId="0" fontId="1" numFmtId="3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readingOrder="0"/>
    </xf>
    <xf borderId="1" fillId="0" fontId="1" numFmtId="1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1" fillId="0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5" xfId="0" applyFont="1" applyNumberFormat="1"/>
    <xf borderId="0" fillId="0" fontId="1" numFmtId="0" xfId="0" applyFont="1"/>
    <xf borderId="1" fillId="2" fontId="7" numFmtId="0" xfId="0" applyAlignment="1" applyBorder="1" applyFill="1" applyFont="1">
      <alignment readingOrder="0"/>
    </xf>
    <xf borderId="1" fillId="3" fontId="8" numFmtId="0" xfId="0" applyAlignment="1" applyBorder="1" applyFill="1" applyFont="1">
      <alignment readingOrder="0" shrinkToFit="0" vertical="bottom" wrapText="0"/>
    </xf>
    <xf borderId="1" fillId="3" fontId="9" numFmtId="0" xfId="0" applyAlignment="1" applyBorder="1" applyFont="1">
      <alignment horizontal="center" readingOrder="0"/>
    </xf>
    <xf borderId="1" fillId="3" fontId="9" numFmtId="0" xfId="0" applyAlignment="1" applyBorder="1" applyFont="1">
      <alignment readingOrder="0"/>
    </xf>
    <xf borderId="0" fillId="3" fontId="9" numFmtId="0" xfId="0" applyAlignment="1" applyFont="1">
      <alignment readingOrder="0"/>
    </xf>
    <xf borderId="0" fillId="3" fontId="9" numFmtId="0" xfId="0" applyFont="1"/>
    <xf borderId="1" fillId="0" fontId="3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4" fontId="10" numFmtId="0" xfId="0" applyAlignment="1" applyBorder="1" applyFill="1" applyFont="1">
      <alignment readingOrder="0" shrinkToFit="0" vertical="bottom" wrapText="0"/>
    </xf>
    <xf borderId="1" fillId="3" fontId="11" numFmtId="0" xfId="0" applyAlignment="1" applyBorder="1" applyFont="1">
      <alignment readingOrder="0"/>
    </xf>
    <xf borderId="1" fillId="5" fontId="12" numFmtId="165" xfId="0" applyAlignment="1" applyBorder="1" applyFill="1" applyFont="1" applyNumberFormat="1">
      <alignment readingOrder="0"/>
    </xf>
    <xf borderId="1" fillId="5" fontId="12" numFmtId="0" xfId="0" applyAlignment="1" applyBorder="1" applyFont="1">
      <alignment readingOrder="0"/>
    </xf>
    <xf borderId="1" fillId="0" fontId="1" numFmtId="165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Master Data Al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A236" displayName="Form_Responses" name="Form_Responses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Master Data Al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1kyGbP1TgYpgowJ7pslkG6BfqERJRVCE" TargetMode="External"/><Relationship Id="rId391" Type="http://schemas.openxmlformats.org/officeDocument/2006/relationships/hyperlink" Target="https://drive.google.com/open?id=1_l4QSGP-X9m_-NkIfojT_B2JpyA1zZqm" TargetMode="External"/><Relationship Id="rId390" Type="http://schemas.openxmlformats.org/officeDocument/2006/relationships/hyperlink" Target="https://drive.google.com/open?id=1eUDqQ5sgsQ70aKKtKqbh8CF7APw1IXga" TargetMode="External"/><Relationship Id="rId2180" Type="http://schemas.openxmlformats.org/officeDocument/2006/relationships/hyperlink" Target="https://drive.google.com/open?id=13A-BdyHhpDyy3He4mOjYX7aElie_FLna" TargetMode="External"/><Relationship Id="rId2181" Type="http://schemas.openxmlformats.org/officeDocument/2006/relationships/hyperlink" Target="https://drive.google.com/open?id=1nnrsW7Xwm4p2KaHfQZzOrrNxlRYUzs3t" TargetMode="External"/><Relationship Id="rId2182" Type="http://schemas.openxmlformats.org/officeDocument/2006/relationships/hyperlink" Target="https://drive.google.com/open?id=1oD-535gt8j7lcgdEmxmd3W86TMXXxgb2" TargetMode="External"/><Relationship Id="rId2183" Type="http://schemas.openxmlformats.org/officeDocument/2006/relationships/hyperlink" Target="https://drive.google.com/open?id=1hSwczX33NDih6BX6OC2vtxtcz8oHjV_2" TargetMode="External"/><Relationship Id="rId385" Type="http://schemas.openxmlformats.org/officeDocument/2006/relationships/hyperlink" Target="https://drive.google.com/open?id=1-nMx4yEBvrsxO1VuxG8psWQqhs54rZmS" TargetMode="External"/><Relationship Id="rId2184" Type="http://schemas.openxmlformats.org/officeDocument/2006/relationships/hyperlink" Target="https://drive.google.com/open?id=17YCmqV_8aEsIdBbD5lM1XsfO_-j1K8_1" TargetMode="External"/><Relationship Id="rId384" Type="http://schemas.openxmlformats.org/officeDocument/2006/relationships/hyperlink" Target="https://drive.google.com/open?id=1iTHsOiqbsUy9IqWS03cSIlEX7yycgsza" TargetMode="External"/><Relationship Id="rId2185" Type="http://schemas.openxmlformats.org/officeDocument/2006/relationships/hyperlink" Target="https://drive.google.com/open?id=1NmcVezhMplvOE_u2SG2dcFm0GL9BNM7f" TargetMode="External"/><Relationship Id="rId383" Type="http://schemas.openxmlformats.org/officeDocument/2006/relationships/hyperlink" Target="https://drive.google.com/open?id=1rJuPJt_2aLHs8c3IF5NUxSoDygVQ9hRi" TargetMode="External"/><Relationship Id="rId2186" Type="http://schemas.openxmlformats.org/officeDocument/2006/relationships/hyperlink" Target="https://drive.google.com/open?id=1uU7ek0aoFXcjvRBY812Y-WU77MUPBgP1" TargetMode="External"/><Relationship Id="rId382" Type="http://schemas.openxmlformats.org/officeDocument/2006/relationships/hyperlink" Target="https://drive.google.com/open?id=1lUJn83-2dre2aT1qGt4TycgXv6RunJPY" TargetMode="External"/><Relationship Id="rId2187" Type="http://schemas.openxmlformats.org/officeDocument/2006/relationships/hyperlink" Target="https://drive.google.com/open?id=1aeCccKyROF4lpXHd476y1mwUiHYUmG1P" TargetMode="External"/><Relationship Id="rId389" Type="http://schemas.openxmlformats.org/officeDocument/2006/relationships/hyperlink" Target="https://drive.google.com/open?id=1AwVFL-2qaWPDQ2eIo9Ghg1jJUruXY0UE" TargetMode="External"/><Relationship Id="rId2188" Type="http://schemas.openxmlformats.org/officeDocument/2006/relationships/hyperlink" Target="https://drive.google.com/open?id=1feZsRBrqFAbBUU2dgmO7LBv5yeD5Ibxp" TargetMode="External"/><Relationship Id="rId388" Type="http://schemas.openxmlformats.org/officeDocument/2006/relationships/hyperlink" Target="https://drive.google.com/open?id=1jr2q8hnckAFMqKFiTRWNOQwuvLVgZcxu" TargetMode="External"/><Relationship Id="rId2189" Type="http://schemas.openxmlformats.org/officeDocument/2006/relationships/hyperlink" Target="https://drive.google.com/open?id=1ljV1D0Moeph2kEHg0Ckznr3hIcUCkSI6" TargetMode="External"/><Relationship Id="rId387" Type="http://schemas.openxmlformats.org/officeDocument/2006/relationships/hyperlink" Target="https://drive.google.com/open?id=1pwp6vYH59sL3hIxom2Xy2So8r6TSLJ-5" TargetMode="External"/><Relationship Id="rId386" Type="http://schemas.openxmlformats.org/officeDocument/2006/relationships/hyperlink" Target="https://drive.google.com/open?id=166rFJu-xGl8MRdXESiB72KCXasw8HSD3" TargetMode="External"/><Relationship Id="rId381" Type="http://schemas.openxmlformats.org/officeDocument/2006/relationships/hyperlink" Target="https://drive.google.com/open?id=1KxGzqDaqcmSz-JirU0mq9Ll48vUrBsmJ" TargetMode="External"/><Relationship Id="rId380" Type="http://schemas.openxmlformats.org/officeDocument/2006/relationships/hyperlink" Target="https://drive.google.com/open?id=14JL2diXkqlGzpgBWncDMMbr_3KCw4rB6" TargetMode="External"/><Relationship Id="rId379" Type="http://schemas.openxmlformats.org/officeDocument/2006/relationships/hyperlink" Target="https://drive.google.com/open?id=11ryifMgU86fXyqHGQemrheFv6chTaFNr" TargetMode="External"/><Relationship Id="rId2170" Type="http://schemas.openxmlformats.org/officeDocument/2006/relationships/hyperlink" Target="https://drive.google.com/open?id=1wpRyQ9uqoNa0KTppCuTcZkQcIrzcB2ca" TargetMode="External"/><Relationship Id="rId2171" Type="http://schemas.openxmlformats.org/officeDocument/2006/relationships/hyperlink" Target="https://drive.google.com/open?id=1fg6OnyMVYJdMGgJfmQr_B5-TDaO_wY9j" TargetMode="External"/><Relationship Id="rId2172" Type="http://schemas.openxmlformats.org/officeDocument/2006/relationships/hyperlink" Target="https://drive.google.com/open?id=1roXrtK0qUgsOBAgG2Oi6v2t3teajNPqA" TargetMode="External"/><Relationship Id="rId374" Type="http://schemas.openxmlformats.org/officeDocument/2006/relationships/hyperlink" Target="https://drive.google.com/open?id=1LcEUdGhxSno8fqllu4_f0F-A5WQAWivD" TargetMode="External"/><Relationship Id="rId2173" Type="http://schemas.openxmlformats.org/officeDocument/2006/relationships/hyperlink" Target="https://drive.google.com/open?id=1zJALNSnvp6v-jBTpfTvn_ftBotuMkLxF" TargetMode="External"/><Relationship Id="rId373" Type="http://schemas.openxmlformats.org/officeDocument/2006/relationships/hyperlink" Target="https://drive.google.com/open?id=14laiiSyaV6ILEI4r8tXGr1GsagID9A5a" TargetMode="External"/><Relationship Id="rId2174" Type="http://schemas.openxmlformats.org/officeDocument/2006/relationships/hyperlink" Target="https://drive.google.com/open?id=1Z6s-wJFy6cnOOh1UoMPOmGZvjZREwSo3" TargetMode="External"/><Relationship Id="rId372" Type="http://schemas.openxmlformats.org/officeDocument/2006/relationships/hyperlink" Target="https://drive.google.com/open?id=1IAQlpidK4d2ls_zlPH42r_FBCRJ7IcDE" TargetMode="External"/><Relationship Id="rId2175" Type="http://schemas.openxmlformats.org/officeDocument/2006/relationships/hyperlink" Target="https://drive.google.com/open?id=1PT8UGU5mcwZTtK1RR20Qt6po_HjFsbxF" TargetMode="External"/><Relationship Id="rId371" Type="http://schemas.openxmlformats.org/officeDocument/2006/relationships/hyperlink" Target="https://drive.google.com/open?id=1HsADxxMi-Z51VpBHBOO4ea6M70c2iSzH" TargetMode="External"/><Relationship Id="rId2176" Type="http://schemas.openxmlformats.org/officeDocument/2006/relationships/hyperlink" Target="https://drive.google.com/open?id=1n7VhncNa8dpLvogTb2Re902r3kyBa15F" TargetMode="External"/><Relationship Id="rId378" Type="http://schemas.openxmlformats.org/officeDocument/2006/relationships/hyperlink" Target="https://drive.google.com/open?id=1qT_74E8iiujwXqQyc45gLDU6YtQJJ-k_" TargetMode="External"/><Relationship Id="rId2177" Type="http://schemas.openxmlformats.org/officeDocument/2006/relationships/hyperlink" Target="https://drive.google.com/open?id=1ZAOwxpn5h3MOXazhBQxFy6GckGXSM2tz" TargetMode="External"/><Relationship Id="rId377" Type="http://schemas.openxmlformats.org/officeDocument/2006/relationships/hyperlink" Target="https://drive.google.com/open?id=1rfwT7T3025DxWZrdk7XCKJ-tIcYUVrtw" TargetMode="External"/><Relationship Id="rId2178" Type="http://schemas.openxmlformats.org/officeDocument/2006/relationships/hyperlink" Target="https://drive.google.com/open?id=1JbjNbCPbctSRW7T62PPO0NSCokywBT86" TargetMode="External"/><Relationship Id="rId376" Type="http://schemas.openxmlformats.org/officeDocument/2006/relationships/hyperlink" Target="https://drive.google.com/open?id=1X_PZFVvTOiCJ3RgBJ0yNlr4jnF9dqwbZ" TargetMode="External"/><Relationship Id="rId2179" Type="http://schemas.openxmlformats.org/officeDocument/2006/relationships/hyperlink" Target="https://drive.google.com/open?id=1B1fCleJCsW1ojn2BuFt2cGU_uvaRwRLC" TargetMode="External"/><Relationship Id="rId375" Type="http://schemas.openxmlformats.org/officeDocument/2006/relationships/hyperlink" Target="https://drive.google.com/open?id=1SIPB6pIFB02jUeyKom4JqbKM3TW8lrfP" TargetMode="External"/><Relationship Id="rId2190" Type="http://schemas.openxmlformats.org/officeDocument/2006/relationships/hyperlink" Target="https://drive.google.com/open?id=1xO-0wo60ki5T9fJh8Uj5EhAot-3Juq1f" TargetMode="External"/><Relationship Id="rId2191" Type="http://schemas.openxmlformats.org/officeDocument/2006/relationships/hyperlink" Target="https://drive.google.com/open?id=1aOeWjrJlD0M6vDz55zQf9L_F7Qifa1-p" TargetMode="External"/><Relationship Id="rId2192" Type="http://schemas.openxmlformats.org/officeDocument/2006/relationships/hyperlink" Target="https://drive.google.com/open?id=12s1GxhBS9ZpQ6Aj0Q8lC0Z52i8UcPY45" TargetMode="External"/><Relationship Id="rId2193" Type="http://schemas.openxmlformats.org/officeDocument/2006/relationships/hyperlink" Target="https://drive.google.com/open?id=1wqq4v_hk32lt1EZdC5VqiOTSZPVKO5qo" TargetMode="External"/><Relationship Id="rId2194" Type="http://schemas.openxmlformats.org/officeDocument/2006/relationships/hyperlink" Target="https://drive.google.com/open?id=1LmWQ6Zdw6vtoTkxaL_Wlm-6RZRAQyn3N" TargetMode="External"/><Relationship Id="rId396" Type="http://schemas.openxmlformats.org/officeDocument/2006/relationships/hyperlink" Target="https://drive.google.com/open?id=1EFb5jUcHKk3fq7X2HyN7ahK0NsVVbUrU" TargetMode="External"/><Relationship Id="rId2195" Type="http://schemas.openxmlformats.org/officeDocument/2006/relationships/hyperlink" Target="https://drive.google.com/open?id=1KpdHUBKB4Y81TelHgVtP0Gl8e0zZ01h_" TargetMode="External"/><Relationship Id="rId395" Type="http://schemas.openxmlformats.org/officeDocument/2006/relationships/hyperlink" Target="https://drive.google.com/open?id=1C9ITuY5zfDvsFBzOcBYj4cxldWQPODmV" TargetMode="External"/><Relationship Id="rId2196" Type="http://schemas.openxmlformats.org/officeDocument/2006/relationships/hyperlink" Target="https://drive.google.com/open?id=1BBoyNfCd6TDGkgMlBPSdnKQM_MOrZKaR" TargetMode="External"/><Relationship Id="rId394" Type="http://schemas.openxmlformats.org/officeDocument/2006/relationships/hyperlink" Target="https://drive.google.com/open?id=1tuYl2yxIzh3HUZ6MYYzy9VOx00hqCrcB" TargetMode="External"/><Relationship Id="rId2197" Type="http://schemas.openxmlformats.org/officeDocument/2006/relationships/hyperlink" Target="https://drive.google.com/open?id=1lpIkU1YNMW7UXKQ593hSMwm4syhcw9Va" TargetMode="External"/><Relationship Id="rId393" Type="http://schemas.openxmlformats.org/officeDocument/2006/relationships/hyperlink" Target="https://drive.google.com/open?id=1AFcMxhqDUrLrGCmsuVRCmx6kLKr9H9uY" TargetMode="External"/><Relationship Id="rId2198" Type="http://schemas.openxmlformats.org/officeDocument/2006/relationships/hyperlink" Target="https://drive.google.com/open?id=1OwYrN1PE9Wy91ms2hQbeUSLz5odWd_Y6" TargetMode="External"/><Relationship Id="rId2199" Type="http://schemas.openxmlformats.org/officeDocument/2006/relationships/hyperlink" Target="https://drive.google.com/open?id=1Mq4iXNNQL4j2loZpXA8E1G2NcNhIoNWq" TargetMode="External"/><Relationship Id="rId399" Type="http://schemas.openxmlformats.org/officeDocument/2006/relationships/hyperlink" Target="https://drive.google.com/open?id=1skHfXjKKnI8lrnR8htiKDaRTstRU6fC6" TargetMode="External"/><Relationship Id="rId398" Type="http://schemas.openxmlformats.org/officeDocument/2006/relationships/hyperlink" Target="https://drive.google.com/open?id=12wVSgb8-ZXycqDUP5eLZ356lYqyp7DTq" TargetMode="External"/><Relationship Id="rId397" Type="http://schemas.openxmlformats.org/officeDocument/2006/relationships/hyperlink" Target="https://drive.google.com/open?id=1qEsH2W_4YECPAYTnk2fUdPFv2IUW44Og" TargetMode="External"/><Relationship Id="rId1730" Type="http://schemas.openxmlformats.org/officeDocument/2006/relationships/hyperlink" Target="https://drive.google.com/open?id=1lvEsojWK1ivlOdZi5WwpGegxpmtScPax" TargetMode="External"/><Relationship Id="rId1731" Type="http://schemas.openxmlformats.org/officeDocument/2006/relationships/hyperlink" Target="https://drive.google.com/open?id=1OD4AZhNpdyKXWuTJVJaF871wR8afWCbI" TargetMode="External"/><Relationship Id="rId1732" Type="http://schemas.openxmlformats.org/officeDocument/2006/relationships/hyperlink" Target="https://drive.google.com/open?id=1aDdON-hmL6D1js2VerTEYVmzDUTbyMpJ" TargetMode="External"/><Relationship Id="rId1733" Type="http://schemas.openxmlformats.org/officeDocument/2006/relationships/hyperlink" Target="https://drive.google.com/open?id=1FN-9dTAHtxpAcvlrKPwkXRd7O8u6Pfin" TargetMode="External"/><Relationship Id="rId1734" Type="http://schemas.openxmlformats.org/officeDocument/2006/relationships/hyperlink" Target="https://drive.google.com/open?id=1L-q_XJOKbkp1K5dfxcCSjIkXlzMsfFRp" TargetMode="External"/><Relationship Id="rId1735" Type="http://schemas.openxmlformats.org/officeDocument/2006/relationships/hyperlink" Target="https://drive.google.com/open?id=1iwsWrkBWNTfYIfcHaFWP-GxKzcUHWowh" TargetMode="External"/><Relationship Id="rId1736" Type="http://schemas.openxmlformats.org/officeDocument/2006/relationships/hyperlink" Target="https://drive.google.com/open?id=1u8rFHdkYobl4sa2bmO6l0dzn59XzEo2i" TargetMode="External"/><Relationship Id="rId1737" Type="http://schemas.openxmlformats.org/officeDocument/2006/relationships/hyperlink" Target="https://drive.google.com/open?id=1gtPD8fEDh32N1Xiov_UzT0ID78vS54hu" TargetMode="External"/><Relationship Id="rId1738" Type="http://schemas.openxmlformats.org/officeDocument/2006/relationships/hyperlink" Target="https://drive.google.com/open?id=1UYzrnCvEW4-FknsZQc2VK_0aLGN7XLdA" TargetMode="External"/><Relationship Id="rId1739" Type="http://schemas.openxmlformats.org/officeDocument/2006/relationships/hyperlink" Target="https://drive.google.com/open?id=1hKKKlA8DYfF1Y2XhxIL81F4ybUcl2DXn" TargetMode="External"/><Relationship Id="rId1720" Type="http://schemas.openxmlformats.org/officeDocument/2006/relationships/hyperlink" Target="https://drive.google.com/open?id=1nbnuCW7wvf2sl2iWczg9nSyxzYmOlQ_y" TargetMode="External"/><Relationship Id="rId1721" Type="http://schemas.openxmlformats.org/officeDocument/2006/relationships/hyperlink" Target="https://drive.google.com/open?id=1ge28s-4lSupTrgGwkYXX7kwL6BIdGMMH" TargetMode="External"/><Relationship Id="rId1722" Type="http://schemas.openxmlformats.org/officeDocument/2006/relationships/hyperlink" Target="https://drive.google.com/open?id=1X5VEs-iLcfrms-00XF2E9IoT1mSXrdzK" TargetMode="External"/><Relationship Id="rId1723" Type="http://schemas.openxmlformats.org/officeDocument/2006/relationships/hyperlink" Target="https://drive.google.com/open?id=19wx4aE--gg7GJlLsKGzksrXtEuo6cTvP" TargetMode="External"/><Relationship Id="rId1724" Type="http://schemas.openxmlformats.org/officeDocument/2006/relationships/hyperlink" Target="https://drive.google.com/open?id=1C-gFFs7LxY3CttQiXNKucbi6kEC3t9IN" TargetMode="External"/><Relationship Id="rId1725" Type="http://schemas.openxmlformats.org/officeDocument/2006/relationships/hyperlink" Target="https://drive.google.com/open?id=1SG-JE1q64chCeqTrCi3l8O7WviloEGqj" TargetMode="External"/><Relationship Id="rId1726" Type="http://schemas.openxmlformats.org/officeDocument/2006/relationships/hyperlink" Target="https://drive.google.com/open?id=1Tg8fGe0fZ4_uK8HMbekrkfNTShGMUo8W" TargetMode="External"/><Relationship Id="rId1727" Type="http://schemas.openxmlformats.org/officeDocument/2006/relationships/hyperlink" Target="https://drive.google.com/open?id=1EZy-vbHIdO2HxaOtMEVV-v4Joi8p-i7D" TargetMode="External"/><Relationship Id="rId1728" Type="http://schemas.openxmlformats.org/officeDocument/2006/relationships/hyperlink" Target="https://drive.google.com/open?id=1_a4d_AZLcuYHW4a7rqNoAkUI5QEzG9zT" TargetMode="External"/><Relationship Id="rId1729" Type="http://schemas.openxmlformats.org/officeDocument/2006/relationships/hyperlink" Target="https://drive.google.com/open?id=1A5pvHfs6fZIIhpFPjt9_jE8HNn_9T-QK" TargetMode="External"/><Relationship Id="rId1752" Type="http://schemas.openxmlformats.org/officeDocument/2006/relationships/hyperlink" Target="https://drive.google.com/open?id=1doo3INNNUWDgFkJORfLwSh_z8srOTRHQ" TargetMode="External"/><Relationship Id="rId1753" Type="http://schemas.openxmlformats.org/officeDocument/2006/relationships/hyperlink" Target="https://drive.google.com/open?id=15Qi9zpeLPuH2lUqrDtAOM9eMLWt77nu1" TargetMode="External"/><Relationship Id="rId1754" Type="http://schemas.openxmlformats.org/officeDocument/2006/relationships/hyperlink" Target="https://drive.google.com/open?id=1eZY5C2ECjGMGVw7G7eKkr_QcSgfSV-hH" TargetMode="External"/><Relationship Id="rId1755" Type="http://schemas.openxmlformats.org/officeDocument/2006/relationships/hyperlink" Target="https://drive.google.com/open?id=1AgG7yEzGvJBX-E1XNvJEatNnci2N7bC_" TargetMode="External"/><Relationship Id="rId1756" Type="http://schemas.openxmlformats.org/officeDocument/2006/relationships/hyperlink" Target="https://drive.google.com/open?id=1rz-eIj4LzT07xv0zxImOUAMiBhvfb3RW" TargetMode="External"/><Relationship Id="rId1757" Type="http://schemas.openxmlformats.org/officeDocument/2006/relationships/hyperlink" Target="https://drive.google.com/open?id=1tk3pokNaMXuERxq0czVA6OUZPntzKe9e" TargetMode="External"/><Relationship Id="rId1758" Type="http://schemas.openxmlformats.org/officeDocument/2006/relationships/hyperlink" Target="https://drive.google.com/open?id=1pV7YiIdj_70nBl5ZE8OLc-wBG_Br-hAS" TargetMode="External"/><Relationship Id="rId1759" Type="http://schemas.openxmlformats.org/officeDocument/2006/relationships/hyperlink" Target="https://drive.google.com/open?id=1VyDj4EQbJGNTesbkvsVD2oW7pzcqCJIR" TargetMode="External"/><Relationship Id="rId1750" Type="http://schemas.openxmlformats.org/officeDocument/2006/relationships/hyperlink" Target="https://drive.google.com/open?id=1IuGnVLURvpUx6O9B62Xi--sMTqO3pl_H" TargetMode="External"/><Relationship Id="rId1751" Type="http://schemas.openxmlformats.org/officeDocument/2006/relationships/hyperlink" Target="https://drive.google.com/open?id=1cY8GG-jxq6n8aCzGQhzdlxGETmL9Go8f" TargetMode="External"/><Relationship Id="rId1741" Type="http://schemas.openxmlformats.org/officeDocument/2006/relationships/hyperlink" Target="https://drive.google.com/open?id=1jJgiUTYrAdYU2bE97tGrT4UL6qC6LW--" TargetMode="External"/><Relationship Id="rId1742" Type="http://schemas.openxmlformats.org/officeDocument/2006/relationships/hyperlink" Target="https://drive.google.com/open?id=1Ysv6o7Wr4FZDJi8Rh9YzKc-uNhmY9AbZ" TargetMode="External"/><Relationship Id="rId1743" Type="http://schemas.openxmlformats.org/officeDocument/2006/relationships/hyperlink" Target="https://drive.google.com/open?id=1naBg_x2G-XuSHRPZWcQe6GszJDE2yGqN" TargetMode="External"/><Relationship Id="rId1744" Type="http://schemas.openxmlformats.org/officeDocument/2006/relationships/hyperlink" Target="https://drive.google.com/open?id=1LE6tS2IfpYxW8_LRTvKhTwH4HQUUjH-g" TargetMode="External"/><Relationship Id="rId1745" Type="http://schemas.openxmlformats.org/officeDocument/2006/relationships/hyperlink" Target="https://drive.google.com/open?id=1kE9_tTx4n-G00cGaBByrs9JTrm73BmsS" TargetMode="External"/><Relationship Id="rId1746" Type="http://schemas.openxmlformats.org/officeDocument/2006/relationships/hyperlink" Target="https://drive.google.com/open?id=1g1n0t3mLIDIfNxyNXX0umqonC58M6LfS" TargetMode="External"/><Relationship Id="rId1747" Type="http://schemas.openxmlformats.org/officeDocument/2006/relationships/hyperlink" Target="https://drive.google.com/open?id=1v2udrcpX2kvu0hW2xT2M0zVDgZSScFN_" TargetMode="External"/><Relationship Id="rId1748" Type="http://schemas.openxmlformats.org/officeDocument/2006/relationships/hyperlink" Target="https://drive.google.com/open?id=1rUWYqbxEvXncH653yEy7Cgl9WF_3YuIN" TargetMode="External"/><Relationship Id="rId1749" Type="http://schemas.openxmlformats.org/officeDocument/2006/relationships/hyperlink" Target="https://drive.google.com/open?id=1eIv0ijt350uo7s0pDBa4zJtXfbBIi0rx" TargetMode="External"/><Relationship Id="rId1740" Type="http://schemas.openxmlformats.org/officeDocument/2006/relationships/hyperlink" Target="https://drive.google.com/open?id=1vcoTmnNBKu2eQ22q9iJZcMlcjMH8NxYI" TargetMode="External"/><Relationship Id="rId1710" Type="http://schemas.openxmlformats.org/officeDocument/2006/relationships/hyperlink" Target="https://drive.google.com/open?id=1bhkKfTm23gB8PriuzKS4IFUrUJxQhfWj" TargetMode="External"/><Relationship Id="rId1711" Type="http://schemas.openxmlformats.org/officeDocument/2006/relationships/hyperlink" Target="https://drive.google.com/open?id=1l2ZxafJb23rJzByEC0vJKg0L7NlfPzcn" TargetMode="External"/><Relationship Id="rId1712" Type="http://schemas.openxmlformats.org/officeDocument/2006/relationships/hyperlink" Target="https://drive.google.com/open?id=1G3kspRDBRfyCHB1o7iOsTOAote47wVQt" TargetMode="External"/><Relationship Id="rId1713" Type="http://schemas.openxmlformats.org/officeDocument/2006/relationships/hyperlink" Target="https://drive.google.com/open?id=1Ptjw--kjw5gm91Vix8SOWhv51zA3cQDw" TargetMode="External"/><Relationship Id="rId1714" Type="http://schemas.openxmlformats.org/officeDocument/2006/relationships/hyperlink" Target="https://drive.google.com/open?id=1p39KJ7ok0me26E8zwSQn1Kw317DvKQF_" TargetMode="External"/><Relationship Id="rId1715" Type="http://schemas.openxmlformats.org/officeDocument/2006/relationships/hyperlink" Target="https://drive.google.com/open?id=1xdmOt5vfEM6LQQSTZuQ7qCgGS2dtAhIc" TargetMode="External"/><Relationship Id="rId1716" Type="http://schemas.openxmlformats.org/officeDocument/2006/relationships/hyperlink" Target="https://drive.google.com/open?id=1Sdcw7EF-sDmQ6qupHKvok5lmUq-5rscR" TargetMode="External"/><Relationship Id="rId1717" Type="http://schemas.openxmlformats.org/officeDocument/2006/relationships/hyperlink" Target="https://drive.google.com/open?id=1Cw4EQSAo430f59DjNy3FCCOoUT8Kexye" TargetMode="External"/><Relationship Id="rId1718" Type="http://schemas.openxmlformats.org/officeDocument/2006/relationships/hyperlink" Target="https://drive.google.com/open?id=1kSTX3lFwwOAaGp4kBvs5ZefotTeadJ3K" TargetMode="External"/><Relationship Id="rId1719" Type="http://schemas.openxmlformats.org/officeDocument/2006/relationships/hyperlink" Target="https://drive.google.com/open?id=1IW7IJtncUBKIlNbPzPXFilpEIPualudu" TargetMode="External"/><Relationship Id="rId1700" Type="http://schemas.openxmlformats.org/officeDocument/2006/relationships/hyperlink" Target="https://drive.google.com/open?id=1MTSlm4vNYnuetzMz-UKhO5nQFKPhFXK0" TargetMode="External"/><Relationship Id="rId1701" Type="http://schemas.openxmlformats.org/officeDocument/2006/relationships/hyperlink" Target="https://drive.google.com/open?id=1LtHVkmaBUV4gY_--zgVaMJYeiiiCuNft" TargetMode="External"/><Relationship Id="rId1702" Type="http://schemas.openxmlformats.org/officeDocument/2006/relationships/hyperlink" Target="https://drive.google.com/open?id=1GgRtwpcuBjA9wJLyYdbeJmqDAIiIGVbY" TargetMode="External"/><Relationship Id="rId1703" Type="http://schemas.openxmlformats.org/officeDocument/2006/relationships/hyperlink" Target="https://drive.google.com/open?id=1XYiWkbYVn5uzWfCGBcfmaLdv0d3cmE7-" TargetMode="External"/><Relationship Id="rId1704" Type="http://schemas.openxmlformats.org/officeDocument/2006/relationships/hyperlink" Target="https://drive.google.com/open?id=19bzq8DFoRGUmC9TWzcVhD7ywaYnukzjC" TargetMode="External"/><Relationship Id="rId1705" Type="http://schemas.openxmlformats.org/officeDocument/2006/relationships/hyperlink" Target="https://drive.google.com/open?id=1xxW5lbX1gBvo9CXZ_fAKdMYx3faGOTWH" TargetMode="External"/><Relationship Id="rId1706" Type="http://schemas.openxmlformats.org/officeDocument/2006/relationships/hyperlink" Target="https://drive.google.com/open?id=1zCUUDk8IeBBzAS09ZjBfkpiYxA6XMq_I" TargetMode="External"/><Relationship Id="rId1707" Type="http://schemas.openxmlformats.org/officeDocument/2006/relationships/hyperlink" Target="https://drive.google.com/open?id=11XFSGg-piOQv71n2r_lWAnEGBDxdQ832" TargetMode="External"/><Relationship Id="rId1708" Type="http://schemas.openxmlformats.org/officeDocument/2006/relationships/hyperlink" Target="https://drive.google.com/open?id=14dn9mJJbLaULmqUf807CFwZxzrnw6ci8" TargetMode="External"/><Relationship Id="rId1709" Type="http://schemas.openxmlformats.org/officeDocument/2006/relationships/hyperlink" Target="https://drive.google.com/open?id=1J98G2wE9vFufCy2r7tswZHvC6ihaxMYX" TargetMode="External"/><Relationship Id="rId40" Type="http://schemas.openxmlformats.org/officeDocument/2006/relationships/hyperlink" Target="https://drive.google.com/open?id=1oBDBgN_yHiMd4lCVqyhHk-V9s1h26AzA" TargetMode="External"/><Relationship Id="rId3513" Type="http://schemas.openxmlformats.org/officeDocument/2006/relationships/hyperlink" Target="https://drive.google.com/open?id=1YCUMivzoOuIQZH6WykJdci3xYDHHHEDc" TargetMode="External"/><Relationship Id="rId3512" Type="http://schemas.openxmlformats.org/officeDocument/2006/relationships/hyperlink" Target="https://drive.google.com/open?id=1sxH4hxXbfUcoOugJKdJZW0TpJbEeflA9" TargetMode="External"/><Relationship Id="rId42" Type="http://schemas.openxmlformats.org/officeDocument/2006/relationships/hyperlink" Target="https://drive.google.com/open?id=13P35i9YaK4xw1sFWWHYzxUWw6z7_aY6D" TargetMode="External"/><Relationship Id="rId3515" Type="http://schemas.openxmlformats.org/officeDocument/2006/relationships/hyperlink" Target="https://drive.google.com/open?id=11Z4_1011Qr_jQrNkZNilE7XZ-qjOU506" TargetMode="External"/><Relationship Id="rId41" Type="http://schemas.openxmlformats.org/officeDocument/2006/relationships/hyperlink" Target="https://drive.google.com/open?id=1zBQ50fno2ZQygNA4ftEeg6dUDOtDMSIe" TargetMode="External"/><Relationship Id="rId3514" Type="http://schemas.openxmlformats.org/officeDocument/2006/relationships/hyperlink" Target="https://drive.google.com/open?id=1c_BtB9GWnfQ7ftTevzyHyMA2f34wckKi" TargetMode="External"/><Relationship Id="rId44" Type="http://schemas.openxmlformats.org/officeDocument/2006/relationships/hyperlink" Target="https://drive.google.com/open?id=1lw45SClcDOcwxB6zsVqGP0rb-WOGi7Ad" TargetMode="External"/><Relationship Id="rId3517" Type="http://schemas.openxmlformats.org/officeDocument/2006/relationships/hyperlink" Target="https://drive.google.com/open?id=1jGJ1j_Urs6YrJdcpgfsAZAlGIVLzUwFG" TargetMode="External"/><Relationship Id="rId43" Type="http://schemas.openxmlformats.org/officeDocument/2006/relationships/hyperlink" Target="https://drive.google.com/open?id=18DzeRaYrxi4WAd-P3JAHrwk_bb_vchry" TargetMode="External"/><Relationship Id="rId3516" Type="http://schemas.openxmlformats.org/officeDocument/2006/relationships/hyperlink" Target="https://drive.google.com/open?id=1I3gdqIhgr5ltxGpvYPKyxLzQkdTnDnGM" TargetMode="External"/><Relationship Id="rId46" Type="http://schemas.openxmlformats.org/officeDocument/2006/relationships/hyperlink" Target="https://drive.google.com/open?id=1wzVGa2PDZabA80TkAqckF0jcBBOxd9U4" TargetMode="External"/><Relationship Id="rId3519" Type="http://schemas.openxmlformats.org/officeDocument/2006/relationships/hyperlink" Target="https://drive.google.com/open?id=1k3gI0OIOvBFOVJKITzkNKlvZ-uZUlF_K" TargetMode="External"/><Relationship Id="rId45" Type="http://schemas.openxmlformats.org/officeDocument/2006/relationships/hyperlink" Target="https://drive.google.com/open?id=1oZAHP2p1SBMdB523aHJ9yfrvk1BpExrH" TargetMode="External"/><Relationship Id="rId3518" Type="http://schemas.openxmlformats.org/officeDocument/2006/relationships/hyperlink" Target="https://drive.google.com/open?id=1uXf6f-D_zTas5iDYQqaO_xWjx3gsNeDU" TargetMode="External"/><Relationship Id="rId48" Type="http://schemas.openxmlformats.org/officeDocument/2006/relationships/hyperlink" Target="https://drive.google.com/open?id=15KtriLd8QGaFPBURrrxgU_tD565Wf2ea" TargetMode="External"/><Relationship Id="rId47" Type="http://schemas.openxmlformats.org/officeDocument/2006/relationships/hyperlink" Target="https://drive.google.com/open?id=1wXJBTKRhKjpsUCM7Bz-TNZDSYDST9q47" TargetMode="External"/><Relationship Id="rId49" Type="http://schemas.openxmlformats.org/officeDocument/2006/relationships/hyperlink" Target="https://drive.google.com/open?id=1-eTvepTXdoi13Mj3kdf5RpjUpSOXcetj" TargetMode="External"/><Relationship Id="rId3511" Type="http://schemas.openxmlformats.org/officeDocument/2006/relationships/hyperlink" Target="https://drive.google.com/open?id=1RBBkSvy3iezIVHTvNyda7eSL1nzBlEQ9" TargetMode="External"/><Relationship Id="rId3510" Type="http://schemas.openxmlformats.org/officeDocument/2006/relationships/hyperlink" Target="https://drive.google.com/open?id=1CtajR6YIlLYkDa_vKAKTMf9e-krYeyNj" TargetMode="External"/><Relationship Id="rId3502" Type="http://schemas.openxmlformats.org/officeDocument/2006/relationships/hyperlink" Target="https://drive.google.com/open?id=1VM4dmEwHxP9t0CijOOxgLaqD5Yg977Ee" TargetMode="External"/><Relationship Id="rId3501" Type="http://schemas.openxmlformats.org/officeDocument/2006/relationships/hyperlink" Target="https://drive.google.com/open?id=1nq-Wu05_D0_4_iRtDRz0icAeGpMYLlj3" TargetMode="External"/><Relationship Id="rId31" Type="http://schemas.openxmlformats.org/officeDocument/2006/relationships/hyperlink" Target="https://drive.google.com/open?id=1BLCTQ1WZqB_lfm5MzW3Webbdxq1DLpiM" TargetMode="External"/><Relationship Id="rId3504" Type="http://schemas.openxmlformats.org/officeDocument/2006/relationships/hyperlink" Target="https://drive.google.com/open?id=1AAqDnljUAjN4-VML4HpWegRso58qq7LV" TargetMode="External"/><Relationship Id="rId30" Type="http://schemas.openxmlformats.org/officeDocument/2006/relationships/hyperlink" Target="https://drive.google.com/open?id=1mGlvXVrtof0kjaMI-wLLPPPmFGUXhjjG" TargetMode="External"/><Relationship Id="rId3503" Type="http://schemas.openxmlformats.org/officeDocument/2006/relationships/hyperlink" Target="https://drive.google.com/open?id=1fuHXwGfEIpiZJu2lgog9Zmixpegyecd5" TargetMode="External"/><Relationship Id="rId33" Type="http://schemas.openxmlformats.org/officeDocument/2006/relationships/hyperlink" Target="https://drive.google.com/open?id=1xUVs50VlYdxW5lHJ-y539dikFZzvQ5Tq" TargetMode="External"/><Relationship Id="rId3506" Type="http://schemas.openxmlformats.org/officeDocument/2006/relationships/hyperlink" Target="https://drive.google.com/open?id=12PdAHD6E6vKP4a-sMDtwpDXvhBLBvkjO" TargetMode="External"/><Relationship Id="rId32" Type="http://schemas.openxmlformats.org/officeDocument/2006/relationships/hyperlink" Target="https://drive.google.com/open?id=1yahZ4lUxomfSdnZWX2rRVxQ5bcrk4Nf3" TargetMode="External"/><Relationship Id="rId3505" Type="http://schemas.openxmlformats.org/officeDocument/2006/relationships/hyperlink" Target="https://drive.google.com/open?id=1vprjgeORv0ohkn42TeO5TINxLyycBHY_" TargetMode="External"/><Relationship Id="rId35" Type="http://schemas.openxmlformats.org/officeDocument/2006/relationships/hyperlink" Target="https://drive.google.com/open?id=1mSKe-BM6uoBOCyt1s-MldJnTbe4uvuso" TargetMode="External"/><Relationship Id="rId3508" Type="http://schemas.openxmlformats.org/officeDocument/2006/relationships/hyperlink" Target="https://drive.google.com/open?id=1yTDj2erVe3GNGCKjgV3RB6X6aCsP5MMn" TargetMode="External"/><Relationship Id="rId34" Type="http://schemas.openxmlformats.org/officeDocument/2006/relationships/hyperlink" Target="https://drive.google.com/open?id=18_Cmkd-ObaypTDAsME5KtYNzxXCn7v8a" TargetMode="External"/><Relationship Id="rId3507" Type="http://schemas.openxmlformats.org/officeDocument/2006/relationships/hyperlink" Target="https://drive.google.com/open?id=1lZVcuiQamDEK3kwjxtZJUWKkfNxXmyN4" TargetMode="External"/><Relationship Id="rId3509" Type="http://schemas.openxmlformats.org/officeDocument/2006/relationships/hyperlink" Target="https://drive.google.com/open?id=1j1AuxV8Iid_yBzOAv-5o4sPqUgDJwsMI" TargetMode="External"/><Relationship Id="rId37" Type="http://schemas.openxmlformats.org/officeDocument/2006/relationships/hyperlink" Target="https://drive.google.com/open?id=1_CG7QP1-jHtth3yizcWkzi3TfUPbcU0u" TargetMode="External"/><Relationship Id="rId36" Type="http://schemas.openxmlformats.org/officeDocument/2006/relationships/hyperlink" Target="https://drive.google.com/open?id=1oxA0-wl-sGAvu8UV-IVLQmkUQzSb2kMi" TargetMode="External"/><Relationship Id="rId39" Type="http://schemas.openxmlformats.org/officeDocument/2006/relationships/hyperlink" Target="https://drive.google.com/open?id=1PsolOTzw7FY5U5wbKcu8w07G7SALiqlY" TargetMode="External"/><Relationship Id="rId38" Type="http://schemas.openxmlformats.org/officeDocument/2006/relationships/hyperlink" Target="https://drive.google.com/open?id=1yC-9TF9rO14ViAzhAzeWe_w69ew5xsza" TargetMode="External"/><Relationship Id="rId3500" Type="http://schemas.openxmlformats.org/officeDocument/2006/relationships/hyperlink" Target="https://drive.google.com/open?id=1m0UbxZgJmkzcijU6hPmhDRhwV6ZyjznL" TargetMode="External"/><Relationship Id="rId2203" Type="http://schemas.openxmlformats.org/officeDocument/2006/relationships/hyperlink" Target="https://drive.google.com/open?id=1tSInEsiGFPRTza9FvM-rlx_evfOSubVj" TargetMode="External"/><Relationship Id="rId3535" Type="http://schemas.openxmlformats.org/officeDocument/2006/relationships/hyperlink" Target="https://drive.google.com/open?id=1KrAlwSDVM4_HE89kmSB1jQSS7y8K0Sph" TargetMode="External"/><Relationship Id="rId2204" Type="http://schemas.openxmlformats.org/officeDocument/2006/relationships/hyperlink" Target="https://drive.google.com/open?id=1vyKEPas_SCuf85UwP7p1qEommCIXTOj3" TargetMode="External"/><Relationship Id="rId3534" Type="http://schemas.openxmlformats.org/officeDocument/2006/relationships/hyperlink" Target="https://drive.google.com/open?id=1wlNS1mrrD3iN-HREtD_nVc47veV6p4wp" TargetMode="External"/><Relationship Id="rId20" Type="http://schemas.openxmlformats.org/officeDocument/2006/relationships/hyperlink" Target="https://drive.google.com/open?id=14ehdJhB5qvnEMFUTjcuAXJiNVSTDhWo-" TargetMode="External"/><Relationship Id="rId2205" Type="http://schemas.openxmlformats.org/officeDocument/2006/relationships/hyperlink" Target="https://drive.google.com/open?id=1TtbHDZgQqbGNdD9a0tNtTCR8dmyrS3OX" TargetMode="External"/><Relationship Id="rId3537" Type="http://schemas.openxmlformats.org/officeDocument/2006/relationships/hyperlink" Target="https://drive.google.com/open?id=1oWCAFEpE_IEwWLfwjSKLnLhDKEDOxZx9" TargetMode="External"/><Relationship Id="rId2206" Type="http://schemas.openxmlformats.org/officeDocument/2006/relationships/hyperlink" Target="https://drive.google.com/open?id=1mANxRWXwUUu-WNUx3fxNIlsvqo3IMhVe" TargetMode="External"/><Relationship Id="rId3536" Type="http://schemas.openxmlformats.org/officeDocument/2006/relationships/hyperlink" Target="https://drive.google.com/open?id=16Nq0eO_9XDzF0Jai3lZfTGrPgOpykvQV" TargetMode="External"/><Relationship Id="rId22" Type="http://schemas.openxmlformats.org/officeDocument/2006/relationships/hyperlink" Target="https://drive.google.com/open?id=16aYa7bofZteV9nGu-VIcZuA-DHA9bSfL" TargetMode="External"/><Relationship Id="rId2207" Type="http://schemas.openxmlformats.org/officeDocument/2006/relationships/hyperlink" Target="https://drive.google.com/open?id=15sX9owENWJ8ZZ40oRW_SOwdMYxYNoCG5" TargetMode="External"/><Relationship Id="rId3539" Type="http://schemas.openxmlformats.org/officeDocument/2006/relationships/hyperlink" Target="https://drive.google.com/open?id=1tSrun0wdk1Cy4xLJVC4yLnptSH0Wggay" TargetMode="External"/><Relationship Id="rId21" Type="http://schemas.openxmlformats.org/officeDocument/2006/relationships/hyperlink" Target="https://drive.google.com/open?id=10JmHEAWciNGbbewtF8pGd0yImG8FBKrW" TargetMode="External"/><Relationship Id="rId2208" Type="http://schemas.openxmlformats.org/officeDocument/2006/relationships/hyperlink" Target="https://drive.google.com/open?id=1NTXBpyUIE9QV487IHVUI9u5e2a5n5-n7" TargetMode="External"/><Relationship Id="rId3538" Type="http://schemas.openxmlformats.org/officeDocument/2006/relationships/hyperlink" Target="https://drive.google.com/open?id=1HqIg1vxh8etx31hAD2NMQBzO6MpiKS3R" TargetMode="External"/><Relationship Id="rId24" Type="http://schemas.openxmlformats.org/officeDocument/2006/relationships/hyperlink" Target="https://drive.google.com/open?id=1Rfjpfn8wH63-dlGpgFrzF9P681ai2uZ2" TargetMode="External"/><Relationship Id="rId2209" Type="http://schemas.openxmlformats.org/officeDocument/2006/relationships/hyperlink" Target="https://drive.google.com/open?id=1n38FtTKrjO5ERefEF0S5IlXdB1ewQwY0" TargetMode="External"/><Relationship Id="rId23" Type="http://schemas.openxmlformats.org/officeDocument/2006/relationships/hyperlink" Target="https://drive.google.com/open?id=1Zlb06HvHIArpia6RmZLkOfeL7kHkk9Pc" TargetMode="External"/><Relationship Id="rId26" Type="http://schemas.openxmlformats.org/officeDocument/2006/relationships/hyperlink" Target="https://drive.google.com/open?id=1wmofbO6IAaXPJ9bz1b1yVIYSyu8W8-hx" TargetMode="External"/><Relationship Id="rId25" Type="http://schemas.openxmlformats.org/officeDocument/2006/relationships/hyperlink" Target="https://drive.google.com/open?id=1O66NvvEF15ofHKvQeyXS1DF8cH1jTH3X" TargetMode="External"/><Relationship Id="rId28" Type="http://schemas.openxmlformats.org/officeDocument/2006/relationships/hyperlink" Target="https://drive.google.com/open?id=1VnURt4QYqFB5k4ks6_7wFARP9SrSrR0g" TargetMode="External"/><Relationship Id="rId27" Type="http://schemas.openxmlformats.org/officeDocument/2006/relationships/hyperlink" Target="https://drive.google.com/open?id=1B7iDB3xt_eSksY-i5-wrRq3YFS99U7OZ" TargetMode="External"/><Relationship Id="rId3531" Type="http://schemas.openxmlformats.org/officeDocument/2006/relationships/hyperlink" Target="https://drive.google.com/open?id=1rnMwqHRYIE3LXfkIG6VJwcGggP_cALhz" TargetMode="External"/><Relationship Id="rId29" Type="http://schemas.openxmlformats.org/officeDocument/2006/relationships/hyperlink" Target="https://drive.google.com/open?id=1_iU8TfcTWtawo4DfXWqrofBtWftHGU1R" TargetMode="External"/><Relationship Id="rId2200" Type="http://schemas.openxmlformats.org/officeDocument/2006/relationships/hyperlink" Target="https://drive.google.com/open?id=1A8a51uMuv6d1fqF9_G7uZXduIxla96tp" TargetMode="External"/><Relationship Id="rId3530" Type="http://schemas.openxmlformats.org/officeDocument/2006/relationships/hyperlink" Target="https://drive.google.com/open?id=1jnpGSTaYX1njKYpSm-8_DOZCK85Oiblm" TargetMode="External"/><Relationship Id="rId2201" Type="http://schemas.openxmlformats.org/officeDocument/2006/relationships/hyperlink" Target="https://drive.google.com/open?id=1xf3VGuSM5axFlmvClnH0vvsp_Hlug0Bq" TargetMode="External"/><Relationship Id="rId3533" Type="http://schemas.openxmlformats.org/officeDocument/2006/relationships/hyperlink" Target="https://drive.google.com/open?id=1m7v9HB7pSiPIo2SlmZCcWWEfeYI7FL3r" TargetMode="External"/><Relationship Id="rId2202" Type="http://schemas.openxmlformats.org/officeDocument/2006/relationships/hyperlink" Target="https://drive.google.com/open?id=17ThYqY5m1EeDQZnryR-R4vVNgUxlsdUf" TargetMode="External"/><Relationship Id="rId3532" Type="http://schemas.openxmlformats.org/officeDocument/2006/relationships/hyperlink" Target="https://drive.google.com/open?id=1GMv5TyTw-q3fenjLtZjtxQEATO4jBN3F" TargetMode="External"/><Relationship Id="rId3524" Type="http://schemas.openxmlformats.org/officeDocument/2006/relationships/hyperlink" Target="https://drive.google.com/open?id=1djmc6Daz9y9TQJj5hhddgpY7vussB9rn" TargetMode="External"/><Relationship Id="rId3523" Type="http://schemas.openxmlformats.org/officeDocument/2006/relationships/hyperlink" Target="https://drive.google.com/open?id=1JWM0fTPZNriKwnP5LeGGZmc3kCmoArc5" TargetMode="External"/><Relationship Id="rId3526" Type="http://schemas.openxmlformats.org/officeDocument/2006/relationships/hyperlink" Target="https://drive.google.com/open?id=1yu8SyqGhh6VaKZWQ4DNuPwJzbMtbXoFK" TargetMode="External"/><Relationship Id="rId3525" Type="http://schemas.openxmlformats.org/officeDocument/2006/relationships/hyperlink" Target="https://drive.google.com/open?id=16nb9OLK16CGi-N25gHZpUCsOsS7yU5A8" TargetMode="External"/><Relationship Id="rId11" Type="http://schemas.openxmlformats.org/officeDocument/2006/relationships/hyperlink" Target="https://drive.google.com/open?id=1eDTdhgf1M0aYwBhJdujtSOP_7GChk5Hy" TargetMode="External"/><Relationship Id="rId3528" Type="http://schemas.openxmlformats.org/officeDocument/2006/relationships/hyperlink" Target="https://drive.google.com/open?id=14ezuONxI7bi0L_WhCYet3cT397O7qyuc" TargetMode="External"/><Relationship Id="rId10" Type="http://schemas.openxmlformats.org/officeDocument/2006/relationships/hyperlink" Target="https://drive.google.com/open?id=1rRiHChF6lS8XOFDgK-X5qiGX5u3XwASD" TargetMode="External"/><Relationship Id="rId3527" Type="http://schemas.openxmlformats.org/officeDocument/2006/relationships/hyperlink" Target="https://drive.google.com/open?id=10nKFav8SplLqxWo_eEgBMWVs4zjuRLHo" TargetMode="External"/><Relationship Id="rId13" Type="http://schemas.openxmlformats.org/officeDocument/2006/relationships/hyperlink" Target="https://drive.google.com/open?id=1B1MwnAjmIQ53ybBXzWRc1E4R86t-OEns" TargetMode="External"/><Relationship Id="rId12" Type="http://schemas.openxmlformats.org/officeDocument/2006/relationships/hyperlink" Target="https://drive.google.com/open?id=1lv3v6LtVw6JeFo3ACOX3n4QmsdHKoKtG" TargetMode="External"/><Relationship Id="rId3529" Type="http://schemas.openxmlformats.org/officeDocument/2006/relationships/hyperlink" Target="https://drive.google.com/open?id=1B2pDhY1kV0GWcTKAbB8PoWqFH4Ud4EUG" TargetMode="External"/><Relationship Id="rId15" Type="http://schemas.openxmlformats.org/officeDocument/2006/relationships/hyperlink" Target="https://drive.google.com/open?id=1w6RCkrMHlBINEIPqpDZDfYISau1-VoZJ" TargetMode="External"/><Relationship Id="rId14" Type="http://schemas.openxmlformats.org/officeDocument/2006/relationships/hyperlink" Target="https://drive.google.com/open?id=1szhhvdFusPgOAt9Fcr_gIiUaQ5wUFGrv" TargetMode="External"/><Relationship Id="rId17" Type="http://schemas.openxmlformats.org/officeDocument/2006/relationships/hyperlink" Target="https://drive.google.com/open?id=1AGXZte4Yb-yCOjMBRQ831OFnxpEHY3m-" TargetMode="External"/><Relationship Id="rId16" Type="http://schemas.openxmlformats.org/officeDocument/2006/relationships/hyperlink" Target="https://drive.google.com/open?id=1x8rpntpmgkMZaHVEfyerFJmBfWOQBPUT" TargetMode="External"/><Relationship Id="rId19" Type="http://schemas.openxmlformats.org/officeDocument/2006/relationships/hyperlink" Target="https://drive.google.com/open?id=1EJxzoNsNgAbP-nOggCWumQcgyShsv5dU" TargetMode="External"/><Relationship Id="rId3520" Type="http://schemas.openxmlformats.org/officeDocument/2006/relationships/hyperlink" Target="https://drive.google.com/open?id=1DuVFn9TO165ad-CAEfFidQOEOluk-WPP" TargetMode="External"/><Relationship Id="rId18" Type="http://schemas.openxmlformats.org/officeDocument/2006/relationships/hyperlink" Target="https://drive.google.com/open?id=1Vd0fsJFiBXGfYIHSycubBlH2BpXH_AgF" TargetMode="External"/><Relationship Id="rId3522" Type="http://schemas.openxmlformats.org/officeDocument/2006/relationships/hyperlink" Target="https://drive.google.com/open?id=1fR47zMY0WspLXMzpgqFc5WAM2yBCxQZa" TargetMode="External"/><Relationship Id="rId3521" Type="http://schemas.openxmlformats.org/officeDocument/2006/relationships/hyperlink" Target="https://drive.google.com/open?id=1uolcb_-UobBKnJA8537oNXJBavfl5h0l" TargetMode="External"/><Relationship Id="rId84" Type="http://schemas.openxmlformats.org/officeDocument/2006/relationships/hyperlink" Target="https://drive.google.com/open?id=1569qcb89-3Q1N4aYRV7ooRbDVZWDSXPs" TargetMode="External"/><Relationship Id="rId1774" Type="http://schemas.openxmlformats.org/officeDocument/2006/relationships/hyperlink" Target="https://drive.google.com/open?id=1DekUvaFHjERUWgV4-VMhiPjZhwd8xhp8" TargetMode="External"/><Relationship Id="rId83" Type="http://schemas.openxmlformats.org/officeDocument/2006/relationships/hyperlink" Target="https://drive.google.com/open?id=1v8V097GK1lvro6knoBSnRQvytjjvMBiZ" TargetMode="External"/><Relationship Id="rId1775" Type="http://schemas.openxmlformats.org/officeDocument/2006/relationships/hyperlink" Target="https://drive.google.com/open?id=1_Op4y3ZgkiteV6rLuZnJH_tagwqeouh2" TargetMode="External"/><Relationship Id="rId86" Type="http://schemas.openxmlformats.org/officeDocument/2006/relationships/hyperlink" Target="https://drive.google.com/open?id=1xmqZvDQaWbKliqlANZRFMVusABVOdKrR" TargetMode="External"/><Relationship Id="rId1776" Type="http://schemas.openxmlformats.org/officeDocument/2006/relationships/hyperlink" Target="https://drive.google.com/open?id=14Ix_n-D_wl4rRIBH6IZAp0eUb-_FZJ0Y" TargetMode="External"/><Relationship Id="rId85" Type="http://schemas.openxmlformats.org/officeDocument/2006/relationships/hyperlink" Target="https://drive.google.com/open?id=14IF78IjhDn-QdQIkvFL1r6K7RvNjvdMa" TargetMode="External"/><Relationship Id="rId1777" Type="http://schemas.openxmlformats.org/officeDocument/2006/relationships/hyperlink" Target="https://drive.google.com/open?id=1FDxRn2p4M6Fc7KlTXlqHWnNhcSVvJtDz" TargetMode="External"/><Relationship Id="rId88" Type="http://schemas.openxmlformats.org/officeDocument/2006/relationships/hyperlink" Target="https://drive.google.com/open?id=17XOymdB1wkqPXtkiOgjuqLgCEWky-RTj" TargetMode="External"/><Relationship Id="rId1778" Type="http://schemas.openxmlformats.org/officeDocument/2006/relationships/hyperlink" Target="https://drive.google.com/open?id=15WoHxCWlqJcAMbF4M-92bKHxJYfJwcJe" TargetMode="External"/><Relationship Id="rId87" Type="http://schemas.openxmlformats.org/officeDocument/2006/relationships/hyperlink" Target="https://drive.google.com/open?id=1EpTVZ_w2ZGpbGf90k5GDuOw5wcYsQ1Ji" TargetMode="External"/><Relationship Id="rId1779" Type="http://schemas.openxmlformats.org/officeDocument/2006/relationships/hyperlink" Target="https://drive.google.com/open?id=1hs9UQBW8VVChE9m205jEbXhZAKdgyKfM" TargetMode="External"/><Relationship Id="rId89" Type="http://schemas.openxmlformats.org/officeDocument/2006/relationships/hyperlink" Target="https://drive.google.com/open?id=1lGumMsUgwXn4uMOzBqIV1CQVxJlZz43C" TargetMode="External"/><Relationship Id="rId80" Type="http://schemas.openxmlformats.org/officeDocument/2006/relationships/hyperlink" Target="https://drive.google.com/open?id=1ku725gkc5d7-_qVo2Ej6AK9sVd4kENB0" TargetMode="External"/><Relationship Id="rId82" Type="http://schemas.openxmlformats.org/officeDocument/2006/relationships/hyperlink" Target="https://drive.google.com/open?id=1w4fcTbzku10ZJFkQ_dFR_yPrye-FT-aq" TargetMode="External"/><Relationship Id="rId81" Type="http://schemas.openxmlformats.org/officeDocument/2006/relationships/hyperlink" Target="https://drive.google.com/open?id=1GCErL40wwD2wBq2xYi1Tl6_ALMnch1Dc" TargetMode="External"/><Relationship Id="rId1770" Type="http://schemas.openxmlformats.org/officeDocument/2006/relationships/hyperlink" Target="https://drive.google.com/open?id=1DRwIsCWHGlHElTUgCoMYE_vFu5Y-eXT5" TargetMode="External"/><Relationship Id="rId1771" Type="http://schemas.openxmlformats.org/officeDocument/2006/relationships/hyperlink" Target="https://drive.google.com/open?id=185YafaQHx86NZwcmVL9SvvUB0cQl9YbF" TargetMode="External"/><Relationship Id="rId1772" Type="http://schemas.openxmlformats.org/officeDocument/2006/relationships/hyperlink" Target="https://drive.google.com/open?id=123ajrBnyxWZDIDrTjLPCKKfiu4H55jCM" TargetMode="External"/><Relationship Id="rId1773" Type="http://schemas.openxmlformats.org/officeDocument/2006/relationships/hyperlink" Target="https://drive.google.com/open?id=1omnxTnmx4LT0gOGWQ3tINLQjUTzHtc8k" TargetMode="External"/><Relationship Id="rId73" Type="http://schemas.openxmlformats.org/officeDocument/2006/relationships/hyperlink" Target="https://drive.google.com/open?id=1UdnCbdbD_JV5lTUGf_XtQnrRRfWKLIxW" TargetMode="External"/><Relationship Id="rId1763" Type="http://schemas.openxmlformats.org/officeDocument/2006/relationships/hyperlink" Target="https://drive.google.com/open?id=1zMrdopHEC8swTG0rV59cMtDet_lzWvGw" TargetMode="External"/><Relationship Id="rId72" Type="http://schemas.openxmlformats.org/officeDocument/2006/relationships/hyperlink" Target="https://drive.google.com/open?id=11fIR2qXzTVlcF_wPJ0lxmKQM51ZLq6nk" TargetMode="External"/><Relationship Id="rId1764" Type="http://schemas.openxmlformats.org/officeDocument/2006/relationships/hyperlink" Target="https://drive.google.com/open?id=1st4p9Af0mjdTtrkeWjLgA92xdgiucP7n" TargetMode="External"/><Relationship Id="rId75" Type="http://schemas.openxmlformats.org/officeDocument/2006/relationships/hyperlink" Target="https://drive.google.com/open?id=1jlJDDNSgw06AhE9X6IYwFBgj2E7JLltj" TargetMode="External"/><Relationship Id="rId1765" Type="http://schemas.openxmlformats.org/officeDocument/2006/relationships/hyperlink" Target="https://drive.google.com/open?id=1tK_9qG1BH7k8AI8PSMWiDzWM-ZvL20cQ" TargetMode="External"/><Relationship Id="rId74" Type="http://schemas.openxmlformats.org/officeDocument/2006/relationships/hyperlink" Target="https://drive.google.com/open?id=1ss8U9JszMK5gF3oPAJFi6U-piR2qR1nY" TargetMode="External"/><Relationship Id="rId1766" Type="http://schemas.openxmlformats.org/officeDocument/2006/relationships/hyperlink" Target="https://drive.google.com/open?id=1SN1jXbLYzgNDP4GSkt2IJwzTPDfHOAWF" TargetMode="External"/><Relationship Id="rId77" Type="http://schemas.openxmlformats.org/officeDocument/2006/relationships/hyperlink" Target="https://drive.google.com/open?id=1-XJgfxdI9YIfxqDn3ntoIfEoytMRMatL" TargetMode="External"/><Relationship Id="rId1767" Type="http://schemas.openxmlformats.org/officeDocument/2006/relationships/hyperlink" Target="https://drive.google.com/open?id=14p4RNEegvrsC8lNcLdTsauXhrj9H2L82" TargetMode="External"/><Relationship Id="rId76" Type="http://schemas.openxmlformats.org/officeDocument/2006/relationships/hyperlink" Target="https://drive.google.com/open?id=1N0Tqd_rZcNfDuVu93a0WzDZJSJLT2Qnn" TargetMode="External"/><Relationship Id="rId1768" Type="http://schemas.openxmlformats.org/officeDocument/2006/relationships/hyperlink" Target="https://drive.google.com/open?id=10X5LzAXfqF4gnkSwHMb-C1_kMAiYaS_7" TargetMode="External"/><Relationship Id="rId79" Type="http://schemas.openxmlformats.org/officeDocument/2006/relationships/hyperlink" Target="https://drive.google.com/open?id=1asF4hqy-KFJslAevauzfbZv4_sLqokC-" TargetMode="External"/><Relationship Id="rId1769" Type="http://schemas.openxmlformats.org/officeDocument/2006/relationships/hyperlink" Target="https://drive.google.com/open?id=1lhmztZh8MKHfj_clLIyhIQPsAdbjiNpW" TargetMode="External"/><Relationship Id="rId78" Type="http://schemas.openxmlformats.org/officeDocument/2006/relationships/hyperlink" Target="https://drive.google.com/open?id=1KBj3fOHOuJEDvZrxPVFq_wQ1UNQ95ez2" TargetMode="External"/><Relationship Id="rId71" Type="http://schemas.openxmlformats.org/officeDocument/2006/relationships/hyperlink" Target="https://drive.google.com/open?id=1ASLhdoEhfUenRwPnk-D2J1a3GN3M-VXI" TargetMode="External"/><Relationship Id="rId70" Type="http://schemas.openxmlformats.org/officeDocument/2006/relationships/hyperlink" Target="https://drive.google.com/open?id=1p91nCh0aGQIEqg2w4CtK7eH8qnBVwaS1" TargetMode="External"/><Relationship Id="rId1760" Type="http://schemas.openxmlformats.org/officeDocument/2006/relationships/hyperlink" Target="https://drive.google.com/open?id=1AL0pdyYcxHcOysys_OWH_jzqj1T6Kr7w" TargetMode="External"/><Relationship Id="rId1761" Type="http://schemas.openxmlformats.org/officeDocument/2006/relationships/hyperlink" Target="https://drive.google.com/open?id=1fq6Xg36jkBzz5KwZ9spIK3HgouITj0US" TargetMode="External"/><Relationship Id="rId1762" Type="http://schemas.openxmlformats.org/officeDocument/2006/relationships/hyperlink" Target="https://drive.google.com/open?id=1uP0gCnwwP0JqvRQDG3QbdrbabXKj5Vud" TargetMode="External"/><Relationship Id="rId62" Type="http://schemas.openxmlformats.org/officeDocument/2006/relationships/hyperlink" Target="https://drive.google.com/open?id=1F4-YsnrXV6xiPz9Z81ZF9XwWgJfB_fgG" TargetMode="External"/><Relationship Id="rId1796" Type="http://schemas.openxmlformats.org/officeDocument/2006/relationships/hyperlink" Target="https://drive.google.com/open?id=1B0uAGv72GFttfbXgSv2hxdrTgKMG2pwz" TargetMode="External"/><Relationship Id="rId61" Type="http://schemas.openxmlformats.org/officeDocument/2006/relationships/hyperlink" Target="https://drive.google.com/open?id=1EVymcxCTGSYHCT0EFxP8nW1Y4vNP7PAh" TargetMode="External"/><Relationship Id="rId1797" Type="http://schemas.openxmlformats.org/officeDocument/2006/relationships/hyperlink" Target="https://drive.google.com/open?id=1qSO-nSJzsiLJX9XdJBtEkpRGQSEXHWuP" TargetMode="External"/><Relationship Id="rId64" Type="http://schemas.openxmlformats.org/officeDocument/2006/relationships/hyperlink" Target="https://drive.google.com/open?id=1Bh13kfDhFcIwKYUa_VeeaP-MLLLEhUyN" TargetMode="External"/><Relationship Id="rId1798" Type="http://schemas.openxmlformats.org/officeDocument/2006/relationships/hyperlink" Target="https://drive.google.com/open?id=1w_VGMlJrdh8NvylVmYhsGX0dOLGBUzIg" TargetMode="External"/><Relationship Id="rId63" Type="http://schemas.openxmlformats.org/officeDocument/2006/relationships/hyperlink" Target="https://drive.google.com/open?id=1qnz-y1vl8uxK2siZCbOi8foauqHSPuwK" TargetMode="External"/><Relationship Id="rId1799" Type="http://schemas.openxmlformats.org/officeDocument/2006/relationships/hyperlink" Target="https://drive.google.com/open?id=1KfEX4BZxZFJxEIeqbGSzIznJD_xOSe9O" TargetMode="External"/><Relationship Id="rId66" Type="http://schemas.openxmlformats.org/officeDocument/2006/relationships/hyperlink" Target="https://drive.google.com/open?id=1l_HaHZIawcigOKcsYfciqbMwvn3Gkker" TargetMode="External"/><Relationship Id="rId65" Type="http://schemas.openxmlformats.org/officeDocument/2006/relationships/hyperlink" Target="https://drive.google.com/open?id=1oLlErTA4NNVAGXTM79YI8_81ZrZ-_K3T" TargetMode="External"/><Relationship Id="rId68" Type="http://schemas.openxmlformats.org/officeDocument/2006/relationships/hyperlink" Target="https://drive.google.com/open?id=1L_zUL_tXEt-_R0miUCWj-I2I-glnOLjZ" TargetMode="External"/><Relationship Id="rId67" Type="http://schemas.openxmlformats.org/officeDocument/2006/relationships/hyperlink" Target="https://drive.google.com/open?id=1KS772r-lD4DaHX-1GA8EuTTReAGftRUr" TargetMode="External"/><Relationship Id="rId60" Type="http://schemas.openxmlformats.org/officeDocument/2006/relationships/hyperlink" Target="https://drive.google.com/open?id=1bUxkYu_Z7vu_pCXEDQxooz4h0dN-tCH7" TargetMode="External"/><Relationship Id="rId69" Type="http://schemas.openxmlformats.org/officeDocument/2006/relationships/hyperlink" Target="https://drive.google.com/open?id=1ZGyTSW9DP9j2kiB0zKCR8jmpNBnwly_u" TargetMode="External"/><Relationship Id="rId1790" Type="http://schemas.openxmlformats.org/officeDocument/2006/relationships/hyperlink" Target="https://drive.google.com/open?id=1tl5_m8K--fBicUxixxLiJ86Rwff6WNfi" TargetMode="External"/><Relationship Id="rId1791" Type="http://schemas.openxmlformats.org/officeDocument/2006/relationships/hyperlink" Target="https://drive.google.com/open?id=1IyU43JCJsPlCzaTTe6omg1H__si8hbTd" TargetMode="External"/><Relationship Id="rId1792" Type="http://schemas.openxmlformats.org/officeDocument/2006/relationships/hyperlink" Target="https://drive.google.com/open?id=13wRJoV8dd16rwhcqTKhgfC3zt-7mlop7" TargetMode="External"/><Relationship Id="rId1793" Type="http://schemas.openxmlformats.org/officeDocument/2006/relationships/hyperlink" Target="https://drive.google.com/open?id=1s33LURfIj6VWlmUDoT3VjDdXYJHhzvKX" TargetMode="External"/><Relationship Id="rId1794" Type="http://schemas.openxmlformats.org/officeDocument/2006/relationships/hyperlink" Target="https://drive.google.com/open?id=15vF-jNmxpXiOBlaz850CxN9y-dGBYexh" TargetMode="External"/><Relationship Id="rId1795" Type="http://schemas.openxmlformats.org/officeDocument/2006/relationships/hyperlink" Target="https://drive.google.com/open?id=1iH49mdgWZjO7B4dVTJ95cnTIf4btf2T0" TargetMode="External"/><Relationship Id="rId51" Type="http://schemas.openxmlformats.org/officeDocument/2006/relationships/hyperlink" Target="https://drive.google.com/open?id=1UWi4ZBYcuMMDno0-1j02NBYc0rsT3HlW" TargetMode="External"/><Relationship Id="rId1785" Type="http://schemas.openxmlformats.org/officeDocument/2006/relationships/hyperlink" Target="https://drive.google.com/open?id=1Bj2BLd664pf7CAyPskHoCHg443mbPWL_" TargetMode="External"/><Relationship Id="rId50" Type="http://schemas.openxmlformats.org/officeDocument/2006/relationships/hyperlink" Target="https://drive.google.com/open?id=1ygGYW7yqPetPrwL08mqLKM7N1DzjTWRp" TargetMode="External"/><Relationship Id="rId1786" Type="http://schemas.openxmlformats.org/officeDocument/2006/relationships/hyperlink" Target="https://drive.google.com/open?id=1ppMgv_CHAmoPmyfuXfnerMfe5KiN1CUr" TargetMode="External"/><Relationship Id="rId53" Type="http://schemas.openxmlformats.org/officeDocument/2006/relationships/hyperlink" Target="https://drive.google.com/open?id=13mLocfZpZY75Lsdn6-ahLd9Zgt-2LUFT" TargetMode="External"/><Relationship Id="rId1787" Type="http://schemas.openxmlformats.org/officeDocument/2006/relationships/hyperlink" Target="https://drive.google.com/open?id=1naGedD8hRNG7ZW6lJRJTpaeDHhw91VRt" TargetMode="External"/><Relationship Id="rId52" Type="http://schemas.openxmlformats.org/officeDocument/2006/relationships/hyperlink" Target="https://drive.google.com/open?id=1eOiudCRpc1QHJu9-qOpfNpNXifMglSZu" TargetMode="External"/><Relationship Id="rId1788" Type="http://schemas.openxmlformats.org/officeDocument/2006/relationships/hyperlink" Target="https://drive.google.com/open?id=1namsu3piVGAlM8HdyO6MqVMZcbfaLuCe" TargetMode="External"/><Relationship Id="rId55" Type="http://schemas.openxmlformats.org/officeDocument/2006/relationships/hyperlink" Target="https://drive.google.com/open?id=162C53O_7a_xaGE5RZKZ2Sje6yeovX09j" TargetMode="External"/><Relationship Id="rId1789" Type="http://schemas.openxmlformats.org/officeDocument/2006/relationships/hyperlink" Target="https://drive.google.com/open?id=1ZZFeHNGW5bKAHOCbUUCuYipJ1xNCp3Q3" TargetMode="External"/><Relationship Id="rId54" Type="http://schemas.openxmlformats.org/officeDocument/2006/relationships/hyperlink" Target="https://drive.google.com/open?id=1ra7OxCXTNfFbD_FL2eaBiRQA0dWusMh8" TargetMode="External"/><Relationship Id="rId57" Type="http://schemas.openxmlformats.org/officeDocument/2006/relationships/hyperlink" Target="https://drive.google.com/open?id=1NfzlYFNWcMYESRE4vT7l9qwcKshD57Ng" TargetMode="External"/><Relationship Id="rId56" Type="http://schemas.openxmlformats.org/officeDocument/2006/relationships/hyperlink" Target="https://drive.google.com/open?id=1-MFctavGl3a_8BNPhhXHrf5t7qjYQUdh" TargetMode="External"/><Relationship Id="rId59" Type="http://schemas.openxmlformats.org/officeDocument/2006/relationships/hyperlink" Target="https://drive.google.com/open?id=1L3UN9LbXCqDVsqz1D9ZfyF-Rjay3H1Bb" TargetMode="External"/><Relationship Id="rId58" Type="http://schemas.openxmlformats.org/officeDocument/2006/relationships/hyperlink" Target="https://drive.google.com/open?id=17FB7uir3OMLSbAOx-1RqBxCEdjKViNdz" TargetMode="External"/><Relationship Id="rId1780" Type="http://schemas.openxmlformats.org/officeDocument/2006/relationships/hyperlink" Target="https://drive.google.com/open?id=1bcR2BoYmaxtoUrjkXDZn67DH8-onb5vh" TargetMode="External"/><Relationship Id="rId1781" Type="http://schemas.openxmlformats.org/officeDocument/2006/relationships/hyperlink" Target="https://drive.google.com/open?id=1lCxjhawCQlZbSXuM7Me-wi1ytl95626S" TargetMode="External"/><Relationship Id="rId1782" Type="http://schemas.openxmlformats.org/officeDocument/2006/relationships/hyperlink" Target="https://drive.google.com/open?id=16BP7e0eFe7RniAKAs-RFWJ_Pqy8lZ571" TargetMode="External"/><Relationship Id="rId1783" Type="http://schemas.openxmlformats.org/officeDocument/2006/relationships/hyperlink" Target="https://drive.google.com/open?id=1uFeNscUaSiXxr4Bc13zkYAtFlXVQFwgo" TargetMode="External"/><Relationship Id="rId1784" Type="http://schemas.openxmlformats.org/officeDocument/2006/relationships/hyperlink" Target="https://drive.google.com/open?id=1gL-vS8Snbhib-KxT64e4ck8T_Ew-dz97" TargetMode="External"/><Relationship Id="rId2269" Type="http://schemas.openxmlformats.org/officeDocument/2006/relationships/hyperlink" Target="https://drive.google.com/open?id=1DaI-GlqLCEjvLbAZZSTTAy6pgtdtPP3q" TargetMode="External"/><Relationship Id="rId349" Type="http://schemas.openxmlformats.org/officeDocument/2006/relationships/hyperlink" Target="https://drive.google.com/open?id=1kE8JwTUjqqEK5S7o-pg1NlUygqNIACMK" TargetMode="External"/><Relationship Id="rId348" Type="http://schemas.openxmlformats.org/officeDocument/2006/relationships/hyperlink" Target="https://drive.google.com/open?id=1mNSMbVJxxkIcAraiEn-JglGo2jbV0JOZ" TargetMode="External"/><Relationship Id="rId347" Type="http://schemas.openxmlformats.org/officeDocument/2006/relationships/hyperlink" Target="https://drive.google.com/open?id=1HktfnGkzcBlhRA4_aBoXnhtKxh2W6_FV" TargetMode="External"/><Relationship Id="rId346" Type="http://schemas.openxmlformats.org/officeDocument/2006/relationships/hyperlink" Target="https://drive.google.com/open?id=1pgMuJQ6B7YkgcTBfOksnAzLlOo5YzHeN" TargetMode="External"/><Relationship Id="rId3591" Type="http://schemas.openxmlformats.org/officeDocument/2006/relationships/hyperlink" Target="https://drive.google.com/open?id=1Ye6u9ICHx4CsobxR9-eEo3tD4K8wvJ6w" TargetMode="External"/><Relationship Id="rId2260" Type="http://schemas.openxmlformats.org/officeDocument/2006/relationships/hyperlink" Target="https://drive.google.com/open?id=1HOLNxHzcES6ZrmEPQCDOPLbVSnyfS47k" TargetMode="External"/><Relationship Id="rId3590" Type="http://schemas.openxmlformats.org/officeDocument/2006/relationships/hyperlink" Target="https://drive.google.com/open?id=1UQ5VvInRMLKerD_YHzAfF-2Y0L9dOGrn" TargetMode="External"/><Relationship Id="rId341" Type="http://schemas.openxmlformats.org/officeDocument/2006/relationships/hyperlink" Target="https://drive.google.com/open?id=14xuX6SaOaH323ZqdMA-d57dOH5W0ZlX4" TargetMode="External"/><Relationship Id="rId2261" Type="http://schemas.openxmlformats.org/officeDocument/2006/relationships/hyperlink" Target="https://drive.google.com/open?id=1mI8KSRsbP3MHNjT6jPZmdtEkAewhOYKw" TargetMode="External"/><Relationship Id="rId3593" Type="http://schemas.openxmlformats.org/officeDocument/2006/relationships/hyperlink" Target="https://drive.google.com/open?id=10hbLw6e5fsycNNaZJhK3pv-cv6AQ6Y_4" TargetMode="External"/><Relationship Id="rId340" Type="http://schemas.openxmlformats.org/officeDocument/2006/relationships/hyperlink" Target="https://drive.google.com/open?id=1LtUGfDP_NloA1bysrpW5ShX78lWU4Him" TargetMode="External"/><Relationship Id="rId2262" Type="http://schemas.openxmlformats.org/officeDocument/2006/relationships/hyperlink" Target="https://drive.google.com/open?id=12q-boV_sstkuZh0DLqlTdthAaE7-Q3GR" TargetMode="External"/><Relationship Id="rId3592" Type="http://schemas.openxmlformats.org/officeDocument/2006/relationships/hyperlink" Target="https://drive.google.com/open?id=1b1XYalywG--FpI-EQf1VxvBGJe6mHEsR" TargetMode="External"/><Relationship Id="rId2263" Type="http://schemas.openxmlformats.org/officeDocument/2006/relationships/hyperlink" Target="https://drive.google.com/open?id=1CiDxdE0r3CPgssVWgWbkHfS8UMv0vW-5" TargetMode="External"/><Relationship Id="rId3595" Type="http://schemas.openxmlformats.org/officeDocument/2006/relationships/hyperlink" Target="https://drive.google.com/open?id=1iTVXi5BntsLN-8-gj-gOJ17ij8rro0PL" TargetMode="External"/><Relationship Id="rId2264" Type="http://schemas.openxmlformats.org/officeDocument/2006/relationships/hyperlink" Target="https://drive.google.com/open?id=1d0QOJaY8F7VZ-hXxa5IxHgj-Krh4BSBK" TargetMode="External"/><Relationship Id="rId3594" Type="http://schemas.openxmlformats.org/officeDocument/2006/relationships/hyperlink" Target="https://drive.google.com/open?id=1L2qFlMV9vE_T2NFsWIVaybIWiE5IqroQ" TargetMode="External"/><Relationship Id="rId345" Type="http://schemas.openxmlformats.org/officeDocument/2006/relationships/hyperlink" Target="https://drive.google.com/open?id=1c4KG57_U8l4FkiyB6-0X3SpogEOeQK1h" TargetMode="External"/><Relationship Id="rId2265" Type="http://schemas.openxmlformats.org/officeDocument/2006/relationships/hyperlink" Target="https://drive.google.com/open?id=1u-XwEtIzg5AMfKjVhCqDTdSs5Wob5w3k" TargetMode="External"/><Relationship Id="rId3597" Type="http://schemas.openxmlformats.org/officeDocument/2006/relationships/hyperlink" Target="https://drive.google.com/open?id=1zCqA7t56FUDyZIDGi8dMf-viuM4UN0LE" TargetMode="External"/><Relationship Id="rId344" Type="http://schemas.openxmlformats.org/officeDocument/2006/relationships/hyperlink" Target="https://drive.google.com/open?id=1YBKaKgWjxfF0uLxCX2aZVATIpjqhnXWV" TargetMode="External"/><Relationship Id="rId2266" Type="http://schemas.openxmlformats.org/officeDocument/2006/relationships/hyperlink" Target="https://drive.google.com/open?id=1rGOxIjw4JX--MONndGOk7dYE-vzbNgi6" TargetMode="External"/><Relationship Id="rId3596" Type="http://schemas.openxmlformats.org/officeDocument/2006/relationships/hyperlink" Target="https://drive.google.com/open?id=1Fp77FceQ9h4FvGiYglIAJiiK5wunZGq4" TargetMode="External"/><Relationship Id="rId343" Type="http://schemas.openxmlformats.org/officeDocument/2006/relationships/hyperlink" Target="https://drive.google.com/open?id=1_4W0AE1tmpwJKixxFMUbpGGeAsQDY8x7" TargetMode="External"/><Relationship Id="rId2267" Type="http://schemas.openxmlformats.org/officeDocument/2006/relationships/hyperlink" Target="https://drive.google.com/open?id=1tE88Mii5u342HLgZQVa3gMGsbf0emock" TargetMode="External"/><Relationship Id="rId3599" Type="http://schemas.openxmlformats.org/officeDocument/2006/relationships/hyperlink" Target="https://drive.google.com/open?id=1q92gjm4pYcuot3qkg5Bx6WKwi7cIQGaV" TargetMode="External"/><Relationship Id="rId342" Type="http://schemas.openxmlformats.org/officeDocument/2006/relationships/hyperlink" Target="https://drive.google.com/open?id=1SRAGOpK0CHUHj4CkJRHqtWH6dr-JZetj" TargetMode="External"/><Relationship Id="rId2268" Type="http://schemas.openxmlformats.org/officeDocument/2006/relationships/hyperlink" Target="https://drive.google.com/open?id=1VwiQQZrP1P02FdIkfzkSPiSv9Xjr8_1K" TargetMode="External"/><Relationship Id="rId3598" Type="http://schemas.openxmlformats.org/officeDocument/2006/relationships/hyperlink" Target="https://drive.google.com/open?id=1M5zP8T2hCQ3yMZyqwUl1CoGQV4pPIb6e" TargetMode="External"/><Relationship Id="rId2258" Type="http://schemas.openxmlformats.org/officeDocument/2006/relationships/hyperlink" Target="https://drive.google.com/open?id=1qW5suAOHWMidhmz-qf-zfx1qpY3eV61x" TargetMode="External"/><Relationship Id="rId2259" Type="http://schemas.openxmlformats.org/officeDocument/2006/relationships/hyperlink" Target="https://drive.google.com/open?id=1AWwEK8Qaw_TCI3CtWlSKcU9gSh5SQuXa" TargetMode="External"/><Relationship Id="rId3589" Type="http://schemas.openxmlformats.org/officeDocument/2006/relationships/hyperlink" Target="https://drive.google.com/open?id=10UL3xQNTXPRzkgU2AKAEiaWyuG0lg-xq" TargetMode="External"/><Relationship Id="rId338" Type="http://schemas.openxmlformats.org/officeDocument/2006/relationships/hyperlink" Target="https://drive.google.com/open?id=1DOLUwfTZ9e3L-oleTTGLLME6s8uWQwga" TargetMode="External"/><Relationship Id="rId337" Type="http://schemas.openxmlformats.org/officeDocument/2006/relationships/hyperlink" Target="https://drive.google.com/open?id=1mr0i65LGZwiU5yWrWxdiVNtZXQJKc0an" TargetMode="External"/><Relationship Id="rId336" Type="http://schemas.openxmlformats.org/officeDocument/2006/relationships/hyperlink" Target="https://drive.google.com/open?id=1uMf4LYGco94QY0l2r8ZrdLXdF8P7ov-x" TargetMode="External"/><Relationship Id="rId335" Type="http://schemas.openxmlformats.org/officeDocument/2006/relationships/hyperlink" Target="https://drive.google.com/open?id=1rroiplR9MxFvS-XpQ8TEoUCXyr9rlSru" TargetMode="External"/><Relationship Id="rId3580" Type="http://schemas.openxmlformats.org/officeDocument/2006/relationships/hyperlink" Target="https://drive.google.com/open?id=1WSDPM1i_zrPFiWQrqTTFw5JmoB7lViVt" TargetMode="External"/><Relationship Id="rId339" Type="http://schemas.openxmlformats.org/officeDocument/2006/relationships/hyperlink" Target="https://drive.google.com/open?id=1Z0B5K4M3MTYyAUIurWfB9yvuO8ihhMug" TargetMode="External"/><Relationship Id="rId330" Type="http://schemas.openxmlformats.org/officeDocument/2006/relationships/hyperlink" Target="https://drive.google.com/open?id=1FCdW3KfXY2BGpFKj3lQEDAsQW06cLmBz" TargetMode="External"/><Relationship Id="rId2250" Type="http://schemas.openxmlformats.org/officeDocument/2006/relationships/hyperlink" Target="https://drive.google.com/open?id=1obCvwlK_ScsSGdiAY5z5LHmDkBxTeahi" TargetMode="External"/><Relationship Id="rId3582" Type="http://schemas.openxmlformats.org/officeDocument/2006/relationships/hyperlink" Target="https://drive.google.com/open?id=1YNJrzfjj7e9S4Kta3wi2QC5vDCgivM29" TargetMode="External"/><Relationship Id="rId2251" Type="http://schemas.openxmlformats.org/officeDocument/2006/relationships/hyperlink" Target="https://drive.google.com/open?id=1JT29zyvLE-jjjYVX8YxaCeKjoXrd9f_2" TargetMode="External"/><Relationship Id="rId3581" Type="http://schemas.openxmlformats.org/officeDocument/2006/relationships/hyperlink" Target="https://drive.google.com/open?id=1izg8ZKDfftpOB_eDO4IDuGzN8SUkCCgJ" TargetMode="External"/><Relationship Id="rId2252" Type="http://schemas.openxmlformats.org/officeDocument/2006/relationships/hyperlink" Target="https://drive.google.com/open?id=1-Wk4jZ61r379wkHQ6W8DUsNMRdAvd5WX" TargetMode="External"/><Relationship Id="rId3584" Type="http://schemas.openxmlformats.org/officeDocument/2006/relationships/hyperlink" Target="https://drive.google.com/open?id=1Of7ETV3qM8caGj3iKrS_VuLSX80V8LXc" TargetMode="External"/><Relationship Id="rId2253" Type="http://schemas.openxmlformats.org/officeDocument/2006/relationships/hyperlink" Target="https://drive.google.com/open?id=1tnNcHVZLHscc5ByORtJ0u97caNqy-kaG" TargetMode="External"/><Relationship Id="rId3583" Type="http://schemas.openxmlformats.org/officeDocument/2006/relationships/hyperlink" Target="https://drive.google.com/open?id=1xxLEZzuj-e0GIAX3NNwYTOPFKzUl1q3X" TargetMode="External"/><Relationship Id="rId334" Type="http://schemas.openxmlformats.org/officeDocument/2006/relationships/hyperlink" Target="https://drive.google.com/open?id=1nTWCwy7ydFz6VGhLVDwRjk0TdmJFvRyv" TargetMode="External"/><Relationship Id="rId2254" Type="http://schemas.openxmlformats.org/officeDocument/2006/relationships/hyperlink" Target="https://drive.google.com/open?id=147Iv2F5rSB9-Ke1Pxn6CGa-T0LQ_X_yM" TargetMode="External"/><Relationship Id="rId3586" Type="http://schemas.openxmlformats.org/officeDocument/2006/relationships/hyperlink" Target="https://drive.google.com/open?id=1ZJQNz06c-I9bmsMXfVNXt4XPxwlOgBDh" TargetMode="External"/><Relationship Id="rId333" Type="http://schemas.openxmlformats.org/officeDocument/2006/relationships/hyperlink" Target="https://drive.google.com/open?id=1uV4_k_Fp2eF7pL1CDYi8D7uKWbCPkAZD" TargetMode="External"/><Relationship Id="rId2255" Type="http://schemas.openxmlformats.org/officeDocument/2006/relationships/hyperlink" Target="https://drive.google.com/open?id=1CyS8vgSuRaF8fjTsGFchmfM3zNtD3EEf" TargetMode="External"/><Relationship Id="rId3585" Type="http://schemas.openxmlformats.org/officeDocument/2006/relationships/hyperlink" Target="https://drive.google.com/open?id=10UhjbhYeWfgDnWWFAgjFH5djihMmL3Gt" TargetMode="External"/><Relationship Id="rId332" Type="http://schemas.openxmlformats.org/officeDocument/2006/relationships/hyperlink" Target="https://drive.google.com/open?id=1gFUz5zpPbo8R5X3CcgH95Z6YVkJ0wdaB" TargetMode="External"/><Relationship Id="rId2256" Type="http://schemas.openxmlformats.org/officeDocument/2006/relationships/hyperlink" Target="https://drive.google.com/open?id=14Q5Ui0LGEyrgKNpNGn6Ji31LpLszMxO2" TargetMode="External"/><Relationship Id="rId3588" Type="http://schemas.openxmlformats.org/officeDocument/2006/relationships/hyperlink" Target="https://drive.google.com/open?id=1kI-fm2O_I0ynyi23OVnnthZBGdgR0UUE" TargetMode="External"/><Relationship Id="rId331" Type="http://schemas.openxmlformats.org/officeDocument/2006/relationships/hyperlink" Target="https://drive.google.com/open?id=1ruLpgLUA5V5vecDPY70ed3Uf9TNFvNYf" TargetMode="External"/><Relationship Id="rId2257" Type="http://schemas.openxmlformats.org/officeDocument/2006/relationships/hyperlink" Target="https://drive.google.com/open?id=1GVo0ClC9HVdaVX8_ceHOx87gmU6uAP8Z" TargetMode="External"/><Relationship Id="rId3587" Type="http://schemas.openxmlformats.org/officeDocument/2006/relationships/hyperlink" Target="https://drive.google.com/open?id=1PJ0C3DgLyBspQkeDqwCTY139Np6gGqYC" TargetMode="External"/><Relationship Id="rId370" Type="http://schemas.openxmlformats.org/officeDocument/2006/relationships/hyperlink" Target="https://drive.google.com/open?id=1nYsIMNUfJIoLlJ2A2Hr3s_xZBntx6wf8" TargetMode="External"/><Relationship Id="rId369" Type="http://schemas.openxmlformats.org/officeDocument/2006/relationships/hyperlink" Target="https://drive.google.com/open?id=1sQwnzuj9Ay8J9vek_UIPXzUAojfVj_dz" TargetMode="External"/><Relationship Id="rId368" Type="http://schemas.openxmlformats.org/officeDocument/2006/relationships/hyperlink" Target="https://drive.google.com/open?id=1mxQon6ClfdyusHNyG83hB85OuXRLi06z" TargetMode="External"/><Relationship Id="rId2280" Type="http://schemas.openxmlformats.org/officeDocument/2006/relationships/hyperlink" Target="https://drive.google.com/open?id=1xDZd4mvsKu-r_145-pxVth65S9i7Uloc" TargetMode="External"/><Relationship Id="rId2281" Type="http://schemas.openxmlformats.org/officeDocument/2006/relationships/hyperlink" Target="https://drive.google.com/open?id=1W9t7iYpxCvicNKeAuyAiXZBiJIF8aUax" TargetMode="External"/><Relationship Id="rId2282" Type="http://schemas.openxmlformats.org/officeDocument/2006/relationships/hyperlink" Target="https://drive.google.com/open?id=1hiIpWQM4pjetrrDZ4FhFM0DF4L6UC1Fk" TargetMode="External"/><Relationship Id="rId363" Type="http://schemas.openxmlformats.org/officeDocument/2006/relationships/hyperlink" Target="https://drive.google.com/open?id=1C2YZ0oEXKkf87o0ypaIKamYH4vCG5zyI" TargetMode="External"/><Relationship Id="rId2283" Type="http://schemas.openxmlformats.org/officeDocument/2006/relationships/hyperlink" Target="https://drive.google.com/open?id=15M0uJZO_8BsaVP43rsTMW0MsjR06tKzw" TargetMode="External"/><Relationship Id="rId362" Type="http://schemas.openxmlformats.org/officeDocument/2006/relationships/hyperlink" Target="https://drive.google.com/open?id=1hQpD9oS-nGeQW87xw-nh6MxezA8rkkAV" TargetMode="External"/><Relationship Id="rId2284" Type="http://schemas.openxmlformats.org/officeDocument/2006/relationships/hyperlink" Target="https://drive.google.com/open?id=1ulTNT8TuFhd4tyEGjD5Dw7vm9vkzxXp7" TargetMode="External"/><Relationship Id="rId361" Type="http://schemas.openxmlformats.org/officeDocument/2006/relationships/hyperlink" Target="https://drive.google.com/open?id=1F7wEy_G0Wsl8QW9D-W8Hw8YjDB5D4NX-" TargetMode="External"/><Relationship Id="rId2285" Type="http://schemas.openxmlformats.org/officeDocument/2006/relationships/hyperlink" Target="https://drive.google.com/open?id=1xFGlYhnSxVeLPRPK9Ewm2Ex-4dK5vmpZ" TargetMode="External"/><Relationship Id="rId360" Type="http://schemas.openxmlformats.org/officeDocument/2006/relationships/hyperlink" Target="https://drive.google.com/open?id=1aujyp8fr6sRFE4U6ODW1NuRk84HOVGZn" TargetMode="External"/><Relationship Id="rId2286" Type="http://schemas.openxmlformats.org/officeDocument/2006/relationships/hyperlink" Target="https://drive.google.com/open?id=1utlynwstPi-byDKtRKTX9bV2MCEKsEjS" TargetMode="External"/><Relationship Id="rId367" Type="http://schemas.openxmlformats.org/officeDocument/2006/relationships/hyperlink" Target="https://drive.google.com/open?id=12r_ahxeD5o76MHQBBMzG1uyurOynKt2f" TargetMode="External"/><Relationship Id="rId2287" Type="http://schemas.openxmlformats.org/officeDocument/2006/relationships/hyperlink" Target="https://drive.google.com/open?id=1zg7tDICKslv8eWLoXbQtFirohl3ygrhT" TargetMode="External"/><Relationship Id="rId366" Type="http://schemas.openxmlformats.org/officeDocument/2006/relationships/hyperlink" Target="https://drive.google.com/open?id=1nnNSomB2x0u56is96Qxv2wv_JqtBLGa-" TargetMode="External"/><Relationship Id="rId2288" Type="http://schemas.openxmlformats.org/officeDocument/2006/relationships/hyperlink" Target="https://drive.google.com/open?id=1wDLOmpsYrgQLNy3uuzPpa1BKukEDSHIg" TargetMode="External"/><Relationship Id="rId365" Type="http://schemas.openxmlformats.org/officeDocument/2006/relationships/hyperlink" Target="https://drive.google.com/open?id=1TAoi7HCuus0aIo7hiVSzhHPRC7UdpMJ9" TargetMode="External"/><Relationship Id="rId2289" Type="http://schemas.openxmlformats.org/officeDocument/2006/relationships/hyperlink" Target="https://drive.google.com/open?id=12NmS8oL4CGZVLE-RJgUB9Pcb-_GHXAEY" TargetMode="External"/><Relationship Id="rId364" Type="http://schemas.openxmlformats.org/officeDocument/2006/relationships/hyperlink" Target="https://drive.google.com/open?id=1A7r0IBop432LHhLsg9bsIzdH3gkWKtp9" TargetMode="External"/><Relationship Id="rId95" Type="http://schemas.openxmlformats.org/officeDocument/2006/relationships/hyperlink" Target="https://drive.google.com/open?id=19hNdZKwVczKSRbF2avLH7f2TQ6E5XRVK" TargetMode="External"/><Relationship Id="rId94" Type="http://schemas.openxmlformats.org/officeDocument/2006/relationships/hyperlink" Target="https://drive.google.com/open?id=17uCVWZ0upssKhl0-RJCyeNzuujXgTY8W" TargetMode="External"/><Relationship Id="rId97" Type="http://schemas.openxmlformats.org/officeDocument/2006/relationships/hyperlink" Target="https://drive.google.com/open?id=1eE53y9P-NrU2X_0_vLbPM0EHqUV2_UyX" TargetMode="External"/><Relationship Id="rId96" Type="http://schemas.openxmlformats.org/officeDocument/2006/relationships/hyperlink" Target="https://drive.google.com/open?id=1dVSbI99-nCI31VYleeNMYh3J8GDxS039" TargetMode="External"/><Relationship Id="rId99" Type="http://schemas.openxmlformats.org/officeDocument/2006/relationships/hyperlink" Target="https://drive.google.com/open?id=1ioRqKYA0vnGCdTSPyzLtxKLrG_L0ZO3B" TargetMode="External"/><Relationship Id="rId98" Type="http://schemas.openxmlformats.org/officeDocument/2006/relationships/hyperlink" Target="https://drive.google.com/open?id=1HVuPt8SYOZJtrFBdbLZBPwX1Y85bqYYt" TargetMode="External"/><Relationship Id="rId91" Type="http://schemas.openxmlformats.org/officeDocument/2006/relationships/hyperlink" Target="https://drive.google.com/open?id=1HohfOEx4yrOJdiOWFph-iNsPJyxuPyRE" TargetMode="External"/><Relationship Id="rId90" Type="http://schemas.openxmlformats.org/officeDocument/2006/relationships/hyperlink" Target="https://drive.google.com/open?id=1TJBvduiUsx50Fz1P77qAoR3nwspaU5bD" TargetMode="External"/><Relationship Id="rId93" Type="http://schemas.openxmlformats.org/officeDocument/2006/relationships/hyperlink" Target="https://drive.google.com/open?id=1lrTgHRKUUaoUOSDMk4FAFgxeE4klel_J" TargetMode="External"/><Relationship Id="rId92" Type="http://schemas.openxmlformats.org/officeDocument/2006/relationships/hyperlink" Target="https://drive.google.com/open?id=1DSdtV4S6d41vc8A5l4JI6Go6vtl3jxGx" TargetMode="External"/><Relationship Id="rId359" Type="http://schemas.openxmlformats.org/officeDocument/2006/relationships/hyperlink" Target="https://drive.google.com/open?id=1rxxRxU4Cn9rmzmEYv4TghMKTQlz_2TDw" TargetMode="External"/><Relationship Id="rId358" Type="http://schemas.openxmlformats.org/officeDocument/2006/relationships/hyperlink" Target="https://drive.google.com/open?id=19WTuGRLeubs7i476QI46HifJY5da4v9U" TargetMode="External"/><Relationship Id="rId357" Type="http://schemas.openxmlformats.org/officeDocument/2006/relationships/hyperlink" Target="https://drive.google.com/open?id=1E0oasQ64un2lj9Ny-ujg5R9-sv6ItxyQ" TargetMode="External"/><Relationship Id="rId2270" Type="http://schemas.openxmlformats.org/officeDocument/2006/relationships/hyperlink" Target="https://drive.google.com/open?id=1ZCW_LPtkfQ4b35UfwBzLfXcy6UAU679X" TargetMode="External"/><Relationship Id="rId2271" Type="http://schemas.openxmlformats.org/officeDocument/2006/relationships/hyperlink" Target="https://drive.google.com/open?id=1k-Dz3VOvRSJwblEbDbWx_pDWfbXS2YcC" TargetMode="External"/><Relationship Id="rId352" Type="http://schemas.openxmlformats.org/officeDocument/2006/relationships/hyperlink" Target="https://drive.google.com/open?id=1UIOrcn_tLjjZyUGW2fN9Z18R2fHz2FxI" TargetMode="External"/><Relationship Id="rId2272" Type="http://schemas.openxmlformats.org/officeDocument/2006/relationships/hyperlink" Target="https://drive.google.com/open?id=1fG4t2oTLfXViRMVaYPWKMyjBT2A-0bdl" TargetMode="External"/><Relationship Id="rId351" Type="http://schemas.openxmlformats.org/officeDocument/2006/relationships/hyperlink" Target="https://drive.google.com/open?id=1CRxGI6Gssr5uPisI6VLfjJw5AIsyjk3P" TargetMode="External"/><Relationship Id="rId2273" Type="http://schemas.openxmlformats.org/officeDocument/2006/relationships/hyperlink" Target="https://drive.google.com/open?id=1Pq1ydEp28XFwvBMecN_LTuiuTw_LX_3d" TargetMode="External"/><Relationship Id="rId350" Type="http://schemas.openxmlformats.org/officeDocument/2006/relationships/hyperlink" Target="https://drive.google.com/open?id=1qvG3XBt0l7gassIS8hyT_w0qD9sGU4E0" TargetMode="External"/><Relationship Id="rId2274" Type="http://schemas.openxmlformats.org/officeDocument/2006/relationships/hyperlink" Target="https://drive.google.com/open?id=1XVsunCxYxNfnNBPHw4mQHuEAvVm3DX9P" TargetMode="External"/><Relationship Id="rId2275" Type="http://schemas.openxmlformats.org/officeDocument/2006/relationships/hyperlink" Target="https://drive.google.com/open?id=11zgJhDSVbkIsZcrXospmkrQWUMbsCMPP" TargetMode="External"/><Relationship Id="rId356" Type="http://schemas.openxmlformats.org/officeDocument/2006/relationships/hyperlink" Target="https://drive.google.com/open?id=1Apg11A9kgckZL8wveqgRk-oNSPg79BGs" TargetMode="External"/><Relationship Id="rId2276" Type="http://schemas.openxmlformats.org/officeDocument/2006/relationships/hyperlink" Target="https://drive.google.com/open?id=1uru1kFHmggesKu7rJKq5psjBha-YYRGf" TargetMode="External"/><Relationship Id="rId355" Type="http://schemas.openxmlformats.org/officeDocument/2006/relationships/hyperlink" Target="https://drive.google.com/open?id=1rNJ43AWqII7IPs_vOkThZlhG_BATr2lS" TargetMode="External"/><Relationship Id="rId2277" Type="http://schemas.openxmlformats.org/officeDocument/2006/relationships/hyperlink" Target="https://drive.google.com/open?id=1IJejkxcV5lCxeTrNfucp-AJ0NE8Qz4Ay" TargetMode="External"/><Relationship Id="rId354" Type="http://schemas.openxmlformats.org/officeDocument/2006/relationships/hyperlink" Target="https://drive.google.com/open?id=1UWWEyEbDHuhH7TVjvWq_eBgDQ6agZAYP" TargetMode="External"/><Relationship Id="rId2278" Type="http://schemas.openxmlformats.org/officeDocument/2006/relationships/hyperlink" Target="https://drive.google.com/open?id=15dyENCy8DKreFRTjIscun3TO633MBteQ" TargetMode="External"/><Relationship Id="rId353" Type="http://schemas.openxmlformats.org/officeDocument/2006/relationships/hyperlink" Target="https://drive.google.com/open?id=1ikvc9d2gZnQbcCZmRcDgYjNyvCLxFuUr" TargetMode="External"/><Relationship Id="rId2279" Type="http://schemas.openxmlformats.org/officeDocument/2006/relationships/hyperlink" Target="https://drive.google.com/open?id=1hETFiw-wlPQ9RZIHFdWqO5aoDZ2EZ5Wh" TargetMode="External"/><Relationship Id="rId2225" Type="http://schemas.openxmlformats.org/officeDocument/2006/relationships/hyperlink" Target="https://drive.google.com/open?id=1Tl7z9dbnkZkHXWavN8QrAHP_2cFTlH7K" TargetMode="External"/><Relationship Id="rId3557" Type="http://schemas.openxmlformats.org/officeDocument/2006/relationships/hyperlink" Target="https://drive.google.com/open?id=1nmBQ_zyn2xD1oVbp5GGRID1r0b2cDzBN" TargetMode="External"/><Relationship Id="rId2226" Type="http://schemas.openxmlformats.org/officeDocument/2006/relationships/hyperlink" Target="https://drive.google.com/open?id=1fz7t--5_HytG0tSCPfVAIcG5ZFeIRYkR" TargetMode="External"/><Relationship Id="rId3556" Type="http://schemas.openxmlformats.org/officeDocument/2006/relationships/hyperlink" Target="https://drive.google.com/open?id=1gUylxEDcEGwwF-SB5w1JB6rrSm4KF81S" TargetMode="External"/><Relationship Id="rId2227" Type="http://schemas.openxmlformats.org/officeDocument/2006/relationships/hyperlink" Target="https://drive.google.com/open?id=1pf1iLOv91e02_xsIX4FOUoEq5OSbWuic" TargetMode="External"/><Relationship Id="rId3559" Type="http://schemas.openxmlformats.org/officeDocument/2006/relationships/hyperlink" Target="https://drive.google.com/open?id=1l_0_7EkTbloXtx4gGLju0DgKjogxo-73" TargetMode="External"/><Relationship Id="rId2228" Type="http://schemas.openxmlformats.org/officeDocument/2006/relationships/hyperlink" Target="https://drive.google.com/open?id=1nxGx9UqxhvdbhKTp9q2ZHdlchX5dpnLB" TargetMode="External"/><Relationship Id="rId3558" Type="http://schemas.openxmlformats.org/officeDocument/2006/relationships/hyperlink" Target="https://drive.google.com/open?id=1v19eeviZ-YGnPo6QWBmAr49XSnNvD5M-" TargetMode="External"/><Relationship Id="rId2229" Type="http://schemas.openxmlformats.org/officeDocument/2006/relationships/hyperlink" Target="https://drive.google.com/open?id=1Nl8QHeMu7izXZG_tdcUtOu6J7Q1M-bEU" TargetMode="External"/><Relationship Id="rId305" Type="http://schemas.openxmlformats.org/officeDocument/2006/relationships/hyperlink" Target="https://drive.google.com/open?id=1S4OVNKN1aldEM4QzvketsJMulgigCClh" TargetMode="External"/><Relationship Id="rId304" Type="http://schemas.openxmlformats.org/officeDocument/2006/relationships/hyperlink" Target="https://drive.google.com/open?id=13iI05paOEYS5hPMwBKA7Ioqd6ETUoWpP" TargetMode="External"/><Relationship Id="rId303" Type="http://schemas.openxmlformats.org/officeDocument/2006/relationships/hyperlink" Target="https://drive.google.com/open?id=1vLWIIpJOcB7jrFSNJzAt8gaGanV7_onD" TargetMode="External"/><Relationship Id="rId302" Type="http://schemas.openxmlformats.org/officeDocument/2006/relationships/hyperlink" Target="https://drive.google.com/open?id=1pNjDFUriSTv5ZL5h5fZrPqcwd5BuMprz" TargetMode="External"/><Relationship Id="rId309" Type="http://schemas.openxmlformats.org/officeDocument/2006/relationships/hyperlink" Target="https://drive.google.com/open?id=1FIWXHBU86nYKIaWuObudDhNsmKXoRc63" TargetMode="External"/><Relationship Id="rId308" Type="http://schemas.openxmlformats.org/officeDocument/2006/relationships/hyperlink" Target="https://drive.google.com/open?id=1_-Aby3z32k6RklqtCUMzdKwGHlREf1LT" TargetMode="External"/><Relationship Id="rId307" Type="http://schemas.openxmlformats.org/officeDocument/2006/relationships/hyperlink" Target="https://drive.google.com/open?id=1kW_RsVyeGZTVczHbojQFf-crTkQVZFet" TargetMode="External"/><Relationship Id="rId306" Type="http://schemas.openxmlformats.org/officeDocument/2006/relationships/hyperlink" Target="https://drive.google.com/open?id=1OyarQegcnoMOjlbT4ztbuGqNfl6Gk5x1" TargetMode="External"/><Relationship Id="rId3551" Type="http://schemas.openxmlformats.org/officeDocument/2006/relationships/hyperlink" Target="https://drive.google.com/open?id=1Q4VmYMEodsKbIAUUhPRT7YX39HzgOjLj" TargetMode="External"/><Relationship Id="rId2220" Type="http://schemas.openxmlformats.org/officeDocument/2006/relationships/hyperlink" Target="https://drive.google.com/open?id=1TQ8CdYVxhWsFBjT8mMDn9TXJWWwIdA8Z" TargetMode="External"/><Relationship Id="rId3550" Type="http://schemas.openxmlformats.org/officeDocument/2006/relationships/hyperlink" Target="https://drive.google.com/open?id=1KcO1MBpyvK-ExBEm8WUQU1YUJbRkdTG3" TargetMode="External"/><Relationship Id="rId301" Type="http://schemas.openxmlformats.org/officeDocument/2006/relationships/hyperlink" Target="https://drive.google.com/open?id=1n85mRHfAIGDGxseKHUo3kYR9ccGVCo32" TargetMode="External"/><Relationship Id="rId2221" Type="http://schemas.openxmlformats.org/officeDocument/2006/relationships/hyperlink" Target="https://drive.google.com/open?id=1hnkyip3wlevHZIsNWIklEPAxmVJttRTw" TargetMode="External"/><Relationship Id="rId3553" Type="http://schemas.openxmlformats.org/officeDocument/2006/relationships/hyperlink" Target="https://drive.google.com/open?id=1w03f-X0k0vTF6rJFsmhunsOnoOGBPoEZ" TargetMode="External"/><Relationship Id="rId300" Type="http://schemas.openxmlformats.org/officeDocument/2006/relationships/hyperlink" Target="https://drive.google.com/open?id=1RM-UjycUmSjGxKXfm9d2M_jRYAdCA60f" TargetMode="External"/><Relationship Id="rId2222" Type="http://schemas.openxmlformats.org/officeDocument/2006/relationships/hyperlink" Target="https://drive.google.com/open?id=1evbYh1cItSKVrPfy6vx9CHP_58jrHZDz" TargetMode="External"/><Relationship Id="rId3552" Type="http://schemas.openxmlformats.org/officeDocument/2006/relationships/hyperlink" Target="https://drive.google.com/open?id=1dr9aqAhJTATb66-PuJS09jSBc3WDsdkn" TargetMode="External"/><Relationship Id="rId2223" Type="http://schemas.openxmlformats.org/officeDocument/2006/relationships/hyperlink" Target="https://drive.google.com/open?id=1Gw8Vmt_nBlEUZe8DE0d9fzfPuR_SgB7t" TargetMode="External"/><Relationship Id="rId3555" Type="http://schemas.openxmlformats.org/officeDocument/2006/relationships/hyperlink" Target="https://drive.google.com/open?id=1SH4fhUOAjGn6vpoAyWJjjfuJj-6xO_re" TargetMode="External"/><Relationship Id="rId2224" Type="http://schemas.openxmlformats.org/officeDocument/2006/relationships/hyperlink" Target="https://drive.google.com/open?id=1aJxYC9Y9fO3zxPkMp-K6kSREMJGQXzS5" TargetMode="External"/><Relationship Id="rId3554" Type="http://schemas.openxmlformats.org/officeDocument/2006/relationships/hyperlink" Target="https://drive.google.com/open?id=1ZsabGdeBduRa4MPYANFvRRyvUk-aEnRX" TargetMode="External"/><Relationship Id="rId2214" Type="http://schemas.openxmlformats.org/officeDocument/2006/relationships/hyperlink" Target="https://drive.google.com/open?id=1ZphAF0rZHD_cQzX4PJXL17IBWCesU1tG" TargetMode="External"/><Relationship Id="rId3546" Type="http://schemas.openxmlformats.org/officeDocument/2006/relationships/hyperlink" Target="https://drive.google.com/open?id=14_ZOQwlqEbXo6pxnErcu52AJr5PAaKh7" TargetMode="External"/><Relationship Id="rId2215" Type="http://schemas.openxmlformats.org/officeDocument/2006/relationships/hyperlink" Target="https://drive.google.com/open?id=1-OW4ZhYm9_TtaNvfoRhEZcFIRxzuw5d-" TargetMode="External"/><Relationship Id="rId3545" Type="http://schemas.openxmlformats.org/officeDocument/2006/relationships/hyperlink" Target="https://drive.google.com/open?id=1nqiNiekLkpUt5xr4jZWeE1nWnek4es5E" TargetMode="External"/><Relationship Id="rId2216" Type="http://schemas.openxmlformats.org/officeDocument/2006/relationships/hyperlink" Target="https://drive.google.com/open?id=1eAe63s90emhmK_RnDS0cdcbBO7HiW1R9" TargetMode="External"/><Relationship Id="rId3548" Type="http://schemas.openxmlformats.org/officeDocument/2006/relationships/hyperlink" Target="https://drive.google.com/open?id=1ZfU6V9D7Gwr6BrcLu7-ClNZz6ljTOhtS" TargetMode="External"/><Relationship Id="rId2217" Type="http://schemas.openxmlformats.org/officeDocument/2006/relationships/hyperlink" Target="https://drive.google.com/open?id=1sAvbKOZxlzJdpN7Zcr4xsHEAqhPydBuU" TargetMode="External"/><Relationship Id="rId3547" Type="http://schemas.openxmlformats.org/officeDocument/2006/relationships/hyperlink" Target="https://drive.google.com/open?id=1KIlsFxgpXuwVCcKkbmmp6bFTkzlTRa5e" TargetMode="External"/><Relationship Id="rId2218" Type="http://schemas.openxmlformats.org/officeDocument/2006/relationships/hyperlink" Target="https://drive.google.com/open?id=1H8xBOM3lmgHmCb1gj3ys_kLerirzt28L" TargetMode="External"/><Relationship Id="rId2219" Type="http://schemas.openxmlformats.org/officeDocument/2006/relationships/hyperlink" Target="https://drive.google.com/open?id=1Wog4DB5W9Y80hEXbh9EHHunZk0yHSaee" TargetMode="External"/><Relationship Id="rId3549" Type="http://schemas.openxmlformats.org/officeDocument/2006/relationships/hyperlink" Target="https://drive.google.com/open?id=1I7Qf-N1XOyGIRmDDNNOYMXBvdYmxX2Dl" TargetMode="External"/><Relationship Id="rId3540" Type="http://schemas.openxmlformats.org/officeDocument/2006/relationships/hyperlink" Target="https://drive.google.com/open?id=1jn90tdJmpxkZw15s95PKngoXgcIdMpIf" TargetMode="External"/><Relationship Id="rId2210" Type="http://schemas.openxmlformats.org/officeDocument/2006/relationships/hyperlink" Target="https://drive.google.com/open?id=1J86f6ajkm6Pdua8eKWF8uncwws2_rpqE" TargetMode="External"/><Relationship Id="rId3542" Type="http://schemas.openxmlformats.org/officeDocument/2006/relationships/hyperlink" Target="https://drive.google.com/open?id=1dG2Q7UDmqGKPh-U4Hy5Vjdb0EqCjtAIM" TargetMode="External"/><Relationship Id="rId2211" Type="http://schemas.openxmlformats.org/officeDocument/2006/relationships/hyperlink" Target="https://drive.google.com/open?id=1knxzh1zgCmnk9XCBs6j2ywDpHWvU4Yjl" TargetMode="External"/><Relationship Id="rId3541" Type="http://schemas.openxmlformats.org/officeDocument/2006/relationships/hyperlink" Target="https://drive.google.com/open?id=1L6Fen5qkNTUUtpNOdheOKTZf4G0KGtZ7" TargetMode="External"/><Relationship Id="rId2212" Type="http://schemas.openxmlformats.org/officeDocument/2006/relationships/hyperlink" Target="https://drive.google.com/open?id=14VvkJxLo51OicT-a0Q7nUqYaj5fha6v6" TargetMode="External"/><Relationship Id="rId3544" Type="http://schemas.openxmlformats.org/officeDocument/2006/relationships/hyperlink" Target="https://drive.google.com/open?id=1bOyyKTDTxvP_fALPT19imc6mVaadz_-G" TargetMode="External"/><Relationship Id="rId2213" Type="http://schemas.openxmlformats.org/officeDocument/2006/relationships/hyperlink" Target="https://drive.google.com/open?id=1ZA7clgOeXuf2LmINcliH3or7OUAtiTtB" TargetMode="External"/><Relationship Id="rId3543" Type="http://schemas.openxmlformats.org/officeDocument/2006/relationships/hyperlink" Target="https://drive.google.com/open?id=1jupbg9NTDN7wyTO68DfTSpooTS9Vi3K3" TargetMode="External"/><Relationship Id="rId2247" Type="http://schemas.openxmlformats.org/officeDocument/2006/relationships/hyperlink" Target="https://drive.google.com/open?id=1kKTiJ0HOEfwK95kS3gps8V0uiPyWvSfg" TargetMode="External"/><Relationship Id="rId3579" Type="http://schemas.openxmlformats.org/officeDocument/2006/relationships/hyperlink" Target="https://drive.google.com/open?id=1QuJ4hjBF9c-hWfUCz4JUArpJRqt-PxrB" TargetMode="External"/><Relationship Id="rId2248" Type="http://schemas.openxmlformats.org/officeDocument/2006/relationships/hyperlink" Target="https://drive.google.com/open?id=19Bi8TFotNpYe0v-3y3VNQFHAcnPv4hys" TargetMode="External"/><Relationship Id="rId3578" Type="http://schemas.openxmlformats.org/officeDocument/2006/relationships/hyperlink" Target="https://drive.google.com/open?id=1bgMuAdogNl51LoSLOd-E4kZvg6SCg0KR" TargetMode="External"/><Relationship Id="rId2249" Type="http://schemas.openxmlformats.org/officeDocument/2006/relationships/hyperlink" Target="https://drive.google.com/open?id=19w7tRN2pfbWEMJp5VH59x0bgkvG8x1ba" TargetMode="External"/><Relationship Id="rId327" Type="http://schemas.openxmlformats.org/officeDocument/2006/relationships/hyperlink" Target="https://drive.google.com/open?id=1iaG8rw7HDmuSM7Mb8Pwc6l9mGRAvxE0o" TargetMode="External"/><Relationship Id="rId326" Type="http://schemas.openxmlformats.org/officeDocument/2006/relationships/hyperlink" Target="https://drive.google.com/open?id=1BQmlP8F-jwK37J2aCEjo_XX3T5IWS9kH" TargetMode="External"/><Relationship Id="rId325" Type="http://schemas.openxmlformats.org/officeDocument/2006/relationships/hyperlink" Target="https://drive.google.com/open?id=1AtCqCDqYCYuygEboc3VDIqs8DxV2_fhm" TargetMode="External"/><Relationship Id="rId324" Type="http://schemas.openxmlformats.org/officeDocument/2006/relationships/hyperlink" Target="https://drive.google.com/open?id=1PPhOOymoZ91c2IqOnPsgLe93nCnE2ZIx" TargetMode="External"/><Relationship Id="rId329" Type="http://schemas.openxmlformats.org/officeDocument/2006/relationships/hyperlink" Target="https://drive.google.com/open?id=1O7Ern60Tire8T03-NoSBxMky3AeOs5Xu" TargetMode="External"/><Relationship Id="rId328" Type="http://schemas.openxmlformats.org/officeDocument/2006/relationships/hyperlink" Target="https://drive.google.com/open?id=1C-qltGKsMCQD2GfQ7ANYoLnD-vPQpRpK" TargetMode="External"/><Relationship Id="rId3571" Type="http://schemas.openxmlformats.org/officeDocument/2006/relationships/hyperlink" Target="https://drive.google.com/open?id=1b1dMIQezavelpVLazk410PyvBRgVLXtP" TargetMode="External"/><Relationship Id="rId2240" Type="http://schemas.openxmlformats.org/officeDocument/2006/relationships/hyperlink" Target="https://drive.google.com/open?id=1kPmu2IitPSagvz9sQS9VL1yQ7JQndME-" TargetMode="External"/><Relationship Id="rId3570" Type="http://schemas.openxmlformats.org/officeDocument/2006/relationships/hyperlink" Target="https://drive.google.com/open?id=1A5y6h5BaMsAp5C2_Ns2YwWtpt9LmgNOx" TargetMode="External"/><Relationship Id="rId2241" Type="http://schemas.openxmlformats.org/officeDocument/2006/relationships/hyperlink" Target="https://drive.google.com/open?id=1iiLXdyHGc-lqimf6Wi5M3-BCb5O3agc-" TargetMode="External"/><Relationship Id="rId3573" Type="http://schemas.openxmlformats.org/officeDocument/2006/relationships/hyperlink" Target="https://drive.google.com/open?id=18BYhfa8T6C6OzUHOkP0ViMptPwS5e_Si" TargetMode="External"/><Relationship Id="rId2242" Type="http://schemas.openxmlformats.org/officeDocument/2006/relationships/hyperlink" Target="https://drive.google.com/open?id=1eOezOUKYI9jFuspi3W6AyXdvRe69iWqD" TargetMode="External"/><Relationship Id="rId3572" Type="http://schemas.openxmlformats.org/officeDocument/2006/relationships/hyperlink" Target="https://drive.google.com/open?id=1kb-z2HQ1j1CMand2rAyFhSvOL5kemw1x" TargetMode="External"/><Relationship Id="rId323" Type="http://schemas.openxmlformats.org/officeDocument/2006/relationships/hyperlink" Target="https://drive.google.com/open?id=1AzQVHImZ60Weo9MVpRInmLs8h_McbAXc" TargetMode="External"/><Relationship Id="rId2243" Type="http://schemas.openxmlformats.org/officeDocument/2006/relationships/hyperlink" Target="https://drive.google.com/open?id=1BXz8nIZkFnGgmdieJYAUZlszvP610UW8" TargetMode="External"/><Relationship Id="rId3575" Type="http://schemas.openxmlformats.org/officeDocument/2006/relationships/hyperlink" Target="https://drive.google.com/open?id=1PCheBeIBnvbaZMedgxFiLC34e6UA6H35" TargetMode="External"/><Relationship Id="rId322" Type="http://schemas.openxmlformats.org/officeDocument/2006/relationships/hyperlink" Target="https://drive.google.com/open?id=1hdfyzxdNNTXUEPburjq37M_hNEVTH2ma" TargetMode="External"/><Relationship Id="rId2244" Type="http://schemas.openxmlformats.org/officeDocument/2006/relationships/hyperlink" Target="https://drive.google.com/open?id=1wMGMl3YvHiWlcq09_kJTsodVNL0Pz_9l" TargetMode="External"/><Relationship Id="rId3574" Type="http://schemas.openxmlformats.org/officeDocument/2006/relationships/hyperlink" Target="https://drive.google.com/open?id=1HCNe9QuMtrCiXQQSNKUonPJF3nIka2WH" TargetMode="External"/><Relationship Id="rId321" Type="http://schemas.openxmlformats.org/officeDocument/2006/relationships/hyperlink" Target="https://drive.google.com/open?id=1N2z4DkQPJC6oHf2HsRwrZVWyXGY9zZOh" TargetMode="External"/><Relationship Id="rId2245" Type="http://schemas.openxmlformats.org/officeDocument/2006/relationships/hyperlink" Target="https://drive.google.com/open?id=1vG6MjXL4NLzARyotmu49FlaubUMyq3P4" TargetMode="External"/><Relationship Id="rId3577" Type="http://schemas.openxmlformats.org/officeDocument/2006/relationships/hyperlink" Target="https://drive.google.com/open?id=1_NHYBmz71WqqVrDHaAFXDj-93E87ERhU" TargetMode="External"/><Relationship Id="rId320" Type="http://schemas.openxmlformats.org/officeDocument/2006/relationships/hyperlink" Target="https://drive.google.com/open?id=1m4I36GzrYBQpIV8L8qxBMf8nb__BapOJ" TargetMode="External"/><Relationship Id="rId2246" Type="http://schemas.openxmlformats.org/officeDocument/2006/relationships/hyperlink" Target="https://drive.google.com/open?id=1VyDrgxky342P_w9EO3ZVNpnxLGJbLj3t" TargetMode="External"/><Relationship Id="rId3576" Type="http://schemas.openxmlformats.org/officeDocument/2006/relationships/hyperlink" Target="https://drive.google.com/open?id=19YGG_vQl1BxrXAziNwCm95dfqZlhIWxJ" TargetMode="External"/><Relationship Id="rId2236" Type="http://schemas.openxmlformats.org/officeDocument/2006/relationships/hyperlink" Target="https://drive.google.com/open?id=1Cbaa1qdAbtLUeBLiCW3VkarbfGvLWXuE" TargetMode="External"/><Relationship Id="rId3568" Type="http://schemas.openxmlformats.org/officeDocument/2006/relationships/hyperlink" Target="https://drive.google.com/open?id=1LCZXJnRA29V_jIFIv565vi8eCgfvC9oj" TargetMode="External"/><Relationship Id="rId2237" Type="http://schemas.openxmlformats.org/officeDocument/2006/relationships/hyperlink" Target="https://drive.google.com/open?id=1BBOWj6gofWTvik8ALr7RY6tF9Psc97I8" TargetMode="External"/><Relationship Id="rId3567" Type="http://schemas.openxmlformats.org/officeDocument/2006/relationships/hyperlink" Target="https://drive.google.com/open?id=12xOabqojKmXtl68AjO-vId1Do8LASRSm" TargetMode="External"/><Relationship Id="rId2238" Type="http://schemas.openxmlformats.org/officeDocument/2006/relationships/hyperlink" Target="https://drive.google.com/open?id=1sQUjgjXd79jPX-_50kPIOOeANVh09MvX" TargetMode="External"/><Relationship Id="rId2239" Type="http://schemas.openxmlformats.org/officeDocument/2006/relationships/hyperlink" Target="https://drive.google.com/open?id=1EGusJN1gL6EoxaShhK6bOi1vceJ5Linc" TargetMode="External"/><Relationship Id="rId3569" Type="http://schemas.openxmlformats.org/officeDocument/2006/relationships/hyperlink" Target="https://drive.google.com/open?id=12fpNp7j405bdZv5T1fdXKonWpzqtTR8d" TargetMode="External"/><Relationship Id="rId316" Type="http://schemas.openxmlformats.org/officeDocument/2006/relationships/hyperlink" Target="https://drive.google.com/open?id=1W2GhpP8X-uSDHkNH4M_RKnzB6cUGpFAD" TargetMode="External"/><Relationship Id="rId315" Type="http://schemas.openxmlformats.org/officeDocument/2006/relationships/hyperlink" Target="https://drive.google.com/open?id=1C2ziMi7GgVNkSei5x8nz4cBs0Wc9_Zve" TargetMode="External"/><Relationship Id="rId314" Type="http://schemas.openxmlformats.org/officeDocument/2006/relationships/hyperlink" Target="https://drive.google.com/open?id=1vsRfrIBTZR-qcZAPBe0EXvVL83JzSc9d" TargetMode="External"/><Relationship Id="rId313" Type="http://schemas.openxmlformats.org/officeDocument/2006/relationships/hyperlink" Target="https://drive.google.com/open?id=1HrTrb-ZXkAhcq0STxPtTF20K7yBWgH2h" TargetMode="External"/><Relationship Id="rId319" Type="http://schemas.openxmlformats.org/officeDocument/2006/relationships/hyperlink" Target="https://drive.google.com/open?id=1q5zWMt4Oi-9tj9Bh7fvGkCFwidUhzr_w" TargetMode="External"/><Relationship Id="rId318" Type="http://schemas.openxmlformats.org/officeDocument/2006/relationships/hyperlink" Target="https://drive.google.com/open?id=1Go3k004rWxfVJ44kKYkx3KDkkIRgk54l" TargetMode="External"/><Relationship Id="rId317" Type="http://schemas.openxmlformats.org/officeDocument/2006/relationships/hyperlink" Target="https://drive.google.com/open?id=1P5IVW6T8-IRXGF3kLdmVFFqPChtD6f_S" TargetMode="External"/><Relationship Id="rId3560" Type="http://schemas.openxmlformats.org/officeDocument/2006/relationships/hyperlink" Target="https://drive.google.com/open?id=1O-XYsRv9G0kgBPchNZ1OP8DhAwPc7V2q" TargetMode="External"/><Relationship Id="rId2230" Type="http://schemas.openxmlformats.org/officeDocument/2006/relationships/hyperlink" Target="https://drive.google.com/open?id=1l72U0Wi8ydO_tSvBqXsu51DLoiYEE1XG" TargetMode="External"/><Relationship Id="rId3562" Type="http://schemas.openxmlformats.org/officeDocument/2006/relationships/hyperlink" Target="https://drive.google.com/open?id=1wIL2FwsJd9orcRgCHr8_uMYFK_sKbpqV" TargetMode="External"/><Relationship Id="rId2231" Type="http://schemas.openxmlformats.org/officeDocument/2006/relationships/hyperlink" Target="https://drive.google.com/open?id=1-QAHz3T7Ke43AvHjY721oQsjcR4jdnR4" TargetMode="External"/><Relationship Id="rId3561" Type="http://schemas.openxmlformats.org/officeDocument/2006/relationships/hyperlink" Target="https://drive.google.com/open?id=1xGGJYl8C_zQmT6OAhB1Yi9mZ4QhRjA4j" TargetMode="External"/><Relationship Id="rId312" Type="http://schemas.openxmlformats.org/officeDocument/2006/relationships/hyperlink" Target="https://drive.google.com/open?id=1aUQABllvHD84Ef-TvRKUGVT-LZYkLq59" TargetMode="External"/><Relationship Id="rId2232" Type="http://schemas.openxmlformats.org/officeDocument/2006/relationships/hyperlink" Target="https://drive.google.com/open?id=1VfKi1c5U-6RZJH10goBUr5HP8Ao63ZoH" TargetMode="External"/><Relationship Id="rId3564" Type="http://schemas.openxmlformats.org/officeDocument/2006/relationships/hyperlink" Target="https://drive.google.com/open?id=1_53T3rOtmeXbvzqgr8cHuIe1X3m4_M3b" TargetMode="External"/><Relationship Id="rId311" Type="http://schemas.openxmlformats.org/officeDocument/2006/relationships/hyperlink" Target="https://drive.google.com/open?id=1t9rKHsPy20axJYvajCIjwqEdJHzVmfgT" TargetMode="External"/><Relationship Id="rId2233" Type="http://schemas.openxmlformats.org/officeDocument/2006/relationships/hyperlink" Target="https://drive.google.com/open?id=17KRzOlre1IWtZqQAZMipQyXlfwN-Em9N" TargetMode="External"/><Relationship Id="rId3563" Type="http://schemas.openxmlformats.org/officeDocument/2006/relationships/hyperlink" Target="https://drive.google.com/open?id=18Yif1wBJVF4_f6ideBVN2e-A8xqxKCYq" TargetMode="External"/><Relationship Id="rId310" Type="http://schemas.openxmlformats.org/officeDocument/2006/relationships/hyperlink" Target="https://drive.google.com/open?id=1bEMV5kIL2h40PIGZggANvfOFWrdf15nK" TargetMode="External"/><Relationship Id="rId2234" Type="http://schemas.openxmlformats.org/officeDocument/2006/relationships/hyperlink" Target="https://drive.google.com/open?id=14RfWwdDcAuyph9yCFaTVSCzmCjTXlWFV" TargetMode="External"/><Relationship Id="rId3566" Type="http://schemas.openxmlformats.org/officeDocument/2006/relationships/hyperlink" Target="https://drive.google.com/open?id=1d39A16YyhWmvwkOKYgpgkI4gU8MCe-JX" TargetMode="External"/><Relationship Id="rId2235" Type="http://schemas.openxmlformats.org/officeDocument/2006/relationships/hyperlink" Target="https://drive.google.com/open?id=1SKcywUoH2u34kROIBGZarLD-yT6Um_kk" TargetMode="External"/><Relationship Id="rId3565" Type="http://schemas.openxmlformats.org/officeDocument/2006/relationships/hyperlink" Target="https://drive.google.com/open?id=1lwBGY8KlkC6WXWfjtUKXDvzyhUH4fdy_" TargetMode="External"/><Relationship Id="rId297" Type="http://schemas.openxmlformats.org/officeDocument/2006/relationships/hyperlink" Target="https://drive.google.com/open?id=1j0f-5wmjBY-vsFP2VVrYrK8OUnTXUhiL" TargetMode="External"/><Relationship Id="rId296" Type="http://schemas.openxmlformats.org/officeDocument/2006/relationships/hyperlink" Target="https://drive.google.com/open?id=1Ko1DkWzIhlaE1s7an0lkwjAV0jzLDmE0" TargetMode="External"/><Relationship Id="rId295" Type="http://schemas.openxmlformats.org/officeDocument/2006/relationships/hyperlink" Target="https://drive.google.com/open?id=1cbUjny8bIrCFNOLUgYauP-1iCxPDUl-R" TargetMode="External"/><Relationship Id="rId294" Type="http://schemas.openxmlformats.org/officeDocument/2006/relationships/hyperlink" Target="https://drive.google.com/open?id=1Uz7fY3_DAQMC76GXgn9BteLk0mRKRjgQ" TargetMode="External"/><Relationship Id="rId299" Type="http://schemas.openxmlformats.org/officeDocument/2006/relationships/hyperlink" Target="https://drive.google.com/open?id=1v3D0nhcSoi8VMQD9F20JHBVFwcy0Ipme" TargetMode="External"/><Relationship Id="rId298" Type="http://schemas.openxmlformats.org/officeDocument/2006/relationships/hyperlink" Target="https://drive.google.com/open?id=1mXsKSCSMzpvq9JefZ8Ox22arAGx6oh-N" TargetMode="External"/><Relationship Id="rId271" Type="http://schemas.openxmlformats.org/officeDocument/2006/relationships/hyperlink" Target="https://drive.google.com/open?id=1T8piXUceNwUFwgCIDnXRZSdCLCLHi0E0" TargetMode="External"/><Relationship Id="rId270" Type="http://schemas.openxmlformats.org/officeDocument/2006/relationships/hyperlink" Target="https://drive.google.com/open?id=1fpG9Je_R7oGakx8xZDy7DS0lz27iZ6Ue" TargetMode="External"/><Relationship Id="rId269" Type="http://schemas.openxmlformats.org/officeDocument/2006/relationships/hyperlink" Target="https://drive.google.com/open?id=18RseOA3IUDTNcNWBFCHqTgpKVxExZ2wJ" TargetMode="External"/><Relationship Id="rId264" Type="http://schemas.openxmlformats.org/officeDocument/2006/relationships/hyperlink" Target="https://drive.google.com/open?id=1ndiBewDOY_KZ307vizCVOh7ba6Dp1zcV" TargetMode="External"/><Relationship Id="rId263" Type="http://schemas.openxmlformats.org/officeDocument/2006/relationships/hyperlink" Target="https://drive.google.com/open?id=1OsazcfuA60h6BI5TXixuQwTI66Sf_yDA" TargetMode="External"/><Relationship Id="rId262" Type="http://schemas.openxmlformats.org/officeDocument/2006/relationships/hyperlink" Target="https://drive.google.com/open?id=11NmuUr4Z7BCVp3tEd7-xPirGP6sYzg1w" TargetMode="External"/><Relationship Id="rId261" Type="http://schemas.openxmlformats.org/officeDocument/2006/relationships/hyperlink" Target="https://drive.google.com/open?id=1q5aSRQft16RkrKPJZaOaxlDhfs0Gxwq4" TargetMode="External"/><Relationship Id="rId268" Type="http://schemas.openxmlformats.org/officeDocument/2006/relationships/hyperlink" Target="https://drive.google.com/open?id=1UrM5mczjbUBV_NrR0jKN2J8kew-WUxPu" TargetMode="External"/><Relationship Id="rId267" Type="http://schemas.openxmlformats.org/officeDocument/2006/relationships/hyperlink" Target="https://drive.google.com/open?id=1wPG9B4r6FJ4HojBB_gHw3IMswv6vioS5" TargetMode="External"/><Relationship Id="rId266" Type="http://schemas.openxmlformats.org/officeDocument/2006/relationships/hyperlink" Target="https://drive.google.com/open?id=1c7mt3imyRMNL-wk4lDXovwExTd8yzggJ" TargetMode="External"/><Relationship Id="rId265" Type="http://schemas.openxmlformats.org/officeDocument/2006/relationships/hyperlink" Target="https://drive.google.com/open?id=1ZNuzAAXnQJe7pPDjIrhsKtE9lSvVxs9p" TargetMode="External"/><Relationship Id="rId260" Type="http://schemas.openxmlformats.org/officeDocument/2006/relationships/hyperlink" Target="https://drive.google.com/open?id=1_lkzLPi7nz79ecNJXwAIyauEaBWmIqiJ" TargetMode="External"/><Relationship Id="rId259" Type="http://schemas.openxmlformats.org/officeDocument/2006/relationships/hyperlink" Target="https://drive.google.com/open?id=1SrpyWvafDT7VeoxE_aFFAPpCHDHiFGv2" TargetMode="External"/><Relationship Id="rId258" Type="http://schemas.openxmlformats.org/officeDocument/2006/relationships/hyperlink" Target="https://drive.google.com/open?id=1zg84aN3AvzmXBmP84EgefA93DG2uzovJ" TargetMode="External"/><Relationship Id="rId2290" Type="http://schemas.openxmlformats.org/officeDocument/2006/relationships/hyperlink" Target="https://drive.google.com/open?id=1_ActNdJrNMAkN0WH3mkNZrmgHFlh31yA" TargetMode="External"/><Relationship Id="rId2291" Type="http://schemas.openxmlformats.org/officeDocument/2006/relationships/hyperlink" Target="https://drive.google.com/open?id=1sqh90C0L669NhQd1lwCoJSAkJIjYInsN" TargetMode="External"/><Relationship Id="rId2292" Type="http://schemas.openxmlformats.org/officeDocument/2006/relationships/hyperlink" Target="https://drive.google.com/open?id=1lnkdYwUImkptKa2i4vwDxPjKUBZPr7VS" TargetMode="External"/><Relationship Id="rId2293" Type="http://schemas.openxmlformats.org/officeDocument/2006/relationships/hyperlink" Target="https://drive.google.com/open?id=1gA4SKhUAYdUqZF23Of60W1xdENfDtPDT" TargetMode="External"/><Relationship Id="rId253" Type="http://schemas.openxmlformats.org/officeDocument/2006/relationships/hyperlink" Target="https://drive.google.com/open?id=1IXqUY4EKtN3f13IUmXNHOOYGJrZ_uwrN" TargetMode="External"/><Relationship Id="rId2294" Type="http://schemas.openxmlformats.org/officeDocument/2006/relationships/hyperlink" Target="https://drive.google.com/open?id=1Xum5ggdx1B8c4Q-jAUiesxFMPbigX_bE" TargetMode="External"/><Relationship Id="rId252" Type="http://schemas.openxmlformats.org/officeDocument/2006/relationships/hyperlink" Target="https://drive.google.com/open?id=1lNr-9vLRcHNBiG5rxq4yFcYhfEB4bF_p" TargetMode="External"/><Relationship Id="rId2295" Type="http://schemas.openxmlformats.org/officeDocument/2006/relationships/hyperlink" Target="https://drive.google.com/open?id=15xtRNcG8rlz6mKcB-jWlHDrTX-0iabgr" TargetMode="External"/><Relationship Id="rId251" Type="http://schemas.openxmlformats.org/officeDocument/2006/relationships/hyperlink" Target="https://drive.google.com/open?id=1O4vIJtnC_7mCbznJQ1OaLwMNv0388enG" TargetMode="External"/><Relationship Id="rId2296" Type="http://schemas.openxmlformats.org/officeDocument/2006/relationships/hyperlink" Target="https://drive.google.com/open?id=1SLAdYgA_xho2gYccsgaGzDT0yfytDFJt" TargetMode="External"/><Relationship Id="rId250" Type="http://schemas.openxmlformats.org/officeDocument/2006/relationships/hyperlink" Target="https://drive.google.com/open?id=1a-a2III_uH9Cgz3Ara0_JaTBjisuOzPt" TargetMode="External"/><Relationship Id="rId2297" Type="http://schemas.openxmlformats.org/officeDocument/2006/relationships/hyperlink" Target="https://drive.google.com/open?id=1b5ooy5U-mEdsr9jOqdemRuuviuYlJKxc" TargetMode="External"/><Relationship Id="rId257" Type="http://schemas.openxmlformats.org/officeDocument/2006/relationships/hyperlink" Target="https://drive.google.com/open?id=1tyKvkjNgbqtiuFi-DXytHLF2HPwxHsJG" TargetMode="External"/><Relationship Id="rId2298" Type="http://schemas.openxmlformats.org/officeDocument/2006/relationships/hyperlink" Target="https://drive.google.com/open?id=1YcT0RPaOy7Kg-FNXg76rMUHXSpo3HcaF" TargetMode="External"/><Relationship Id="rId256" Type="http://schemas.openxmlformats.org/officeDocument/2006/relationships/hyperlink" Target="https://drive.google.com/open?id=1tuxeQa_igobELQNI63yJHEX0i-AvY3Kp" TargetMode="External"/><Relationship Id="rId2299" Type="http://schemas.openxmlformats.org/officeDocument/2006/relationships/hyperlink" Target="https://drive.google.com/open?id=1n4PX1RkF-BkI8mcgs-svVz0MXowSX0Y7" TargetMode="External"/><Relationship Id="rId255" Type="http://schemas.openxmlformats.org/officeDocument/2006/relationships/hyperlink" Target="https://drive.google.com/open?id=1HNjgktWl-HBOudgfIPJjKlv0W7TVTxds" TargetMode="External"/><Relationship Id="rId254" Type="http://schemas.openxmlformats.org/officeDocument/2006/relationships/hyperlink" Target="https://drive.google.com/open?id=1CRTsSqMqmpPaIZR60BTKvZ8gUZgfTurW" TargetMode="External"/><Relationship Id="rId293" Type="http://schemas.openxmlformats.org/officeDocument/2006/relationships/hyperlink" Target="https://drive.google.com/open?id=1xmbI6bPAPCVfl0KUnGgCpcaUTp2YqMwZ" TargetMode="External"/><Relationship Id="rId292" Type="http://schemas.openxmlformats.org/officeDocument/2006/relationships/hyperlink" Target="https://drive.google.com/open?id=1Zzpo7vTpiBEWca_25C1ZEedvOIHOzinU" TargetMode="External"/><Relationship Id="rId291" Type="http://schemas.openxmlformats.org/officeDocument/2006/relationships/hyperlink" Target="https://drive.google.com/open?id=1ycGDHjnMnOUakQULPFUnf2ITckjvyj-z" TargetMode="External"/><Relationship Id="rId290" Type="http://schemas.openxmlformats.org/officeDocument/2006/relationships/hyperlink" Target="https://drive.google.com/open?id=16NL51hoNLdYjvhtvSRnc1j6K1Uv2tR_6" TargetMode="External"/><Relationship Id="rId286" Type="http://schemas.openxmlformats.org/officeDocument/2006/relationships/hyperlink" Target="https://drive.google.com/open?id=1y4g8F50bvm4nVc8KU8o9K9dvtaluPPuN" TargetMode="External"/><Relationship Id="rId285" Type="http://schemas.openxmlformats.org/officeDocument/2006/relationships/hyperlink" Target="https://drive.google.com/open?id=186JP8LI3AGe-IyGwnpV5S-lNRhPDFKFd" TargetMode="External"/><Relationship Id="rId284" Type="http://schemas.openxmlformats.org/officeDocument/2006/relationships/hyperlink" Target="https://drive.google.com/open?id=1y-qMHrN3WKNz92qNVt8-tcMLRsOA1RMV" TargetMode="External"/><Relationship Id="rId283" Type="http://schemas.openxmlformats.org/officeDocument/2006/relationships/hyperlink" Target="https://drive.google.com/open?id=1ptEz2K2K1yqHCNIUqPq_88IDu1jVVk9c" TargetMode="External"/><Relationship Id="rId289" Type="http://schemas.openxmlformats.org/officeDocument/2006/relationships/hyperlink" Target="https://drive.google.com/open?id=1KKni9FaaDjZVq8S4MydteDxu7UaogBXd" TargetMode="External"/><Relationship Id="rId288" Type="http://schemas.openxmlformats.org/officeDocument/2006/relationships/hyperlink" Target="https://drive.google.com/open?id=1IeQDfScrIp4gaeAzlvm1GoRTuQUKaJFf" TargetMode="External"/><Relationship Id="rId287" Type="http://schemas.openxmlformats.org/officeDocument/2006/relationships/hyperlink" Target="https://drive.google.com/open?id=10iNVS_sTDm49dmVl2FlX6jfG-1vrki3n" TargetMode="External"/><Relationship Id="rId282" Type="http://schemas.openxmlformats.org/officeDocument/2006/relationships/hyperlink" Target="https://drive.google.com/open?id=1hJnX0pNkh11gFmt3xiTzTISbuYAAT4Vu" TargetMode="External"/><Relationship Id="rId281" Type="http://schemas.openxmlformats.org/officeDocument/2006/relationships/hyperlink" Target="https://drive.google.com/open?id=1LoWXGTZEGMT-QJ_EaeV6cOCtrJ-n0dr4" TargetMode="External"/><Relationship Id="rId280" Type="http://schemas.openxmlformats.org/officeDocument/2006/relationships/hyperlink" Target="https://drive.google.com/open?id=10xriPf-QPVsbh2WroOaEtxVREY_ah6Lr" TargetMode="External"/><Relationship Id="rId275" Type="http://schemas.openxmlformats.org/officeDocument/2006/relationships/hyperlink" Target="https://drive.google.com/open?id=1SeItUz3uI0w48S31eHXw5hIxTgIA8eKL" TargetMode="External"/><Relationship Id="rId274" Type="http://schemas.openxmlformats.org/officeDocument/2006/relationships/hyperlink" Target="https://drive.google.com/open?id=1XAYwISBWlPfqXj0HpEGpFdjs8NuYYvYt" TargetMode="External"/><Relationship Id="rId273" Type="http://schemas.openxmlformats.org/officeDocument/2006/relationships/hyperlink" Target="https://drive.google.com/open?id=1L0mMNgztFNyeMI8unxawNcsSNRtI6nuI" TargetMode="External"/><Relationship Id="rId272" Type="http://schemas.openxmlformats.org/officeDocument/2006/relationships/hyperlink" Target="https://drive.google.com/open?id=1oO2kde4uqNQZzcnfnToaXdHU8P3f_K0r" TargetMode="External"/><Relationship Id="rId279" Type="http://schemas.openxmlformats.org/officeDocument/2006/relationships/hyperlink" Target="https://drive.google.com/open?id=1HmOKuR2OUFdE_JgsZyxT8nt0btdrRhdc" TargetMode="External"/><Relationship Id="rId278" Type="http://schemas.openxmlformats.org/officeDocument/2006/relationships/hyperlink" Target="https://drive.google.com/open?id=1cjJ-VWDq6xVSOr80dr2ydztqlvJuKxls" TargetMode="External"/><Relationship Id="rId277" Type="http://schemas.openxmlformats.org/officeDocument/2006/relationships/hyperlink" Target="https://drive.google.com/open?id=1HhF062nwOeO2YCEbBXeIrMDGFd6ByCKJ" TargetMode="External"/><Relationship Id="rId276" Type="http://schemas.openxmlformats.org/officeDocument/2006/relationships/hyperlink" Target="https://drive.google.com/open?id=1GiqWO-deZXx-3iBlnHgRvGnvGgqT6hMw" TargetMode="External"/><Relationship Id="rId1851" Type="http://schemas.openxmlformats.org/officeDocument/2006/relationships/hyperlink" Target="https://drive.google.com/open?id=1EG07ul4jBMEtUfUH1oG8e0IlriAvyOEJ" TargetMode="External"/><Relationship Id="rId1852" Type="http://schemas.openxmlformats.org/officeDocument/2006/relationships/hyperlink" Target="https://drive.google.com/open?id=1I3VVK7OgdCM7ZHvf2U_4EJlkBaatypCJ" TargetMode="External"/><Relationship Id="rId1853" Type="http://schemas.openxmlformats.org/officeDocument/2006/relationships/hyperlink" Target="https://drive.google.com/open?id=16DZWGJxHlaV6x_fD8eFUF5fCOvY13Ru-" TargetMode="External"/><Relationship Id="rId1854" Type="http://schemas.openxmlformats.org/officeDocument/2006/relationships/hyperlink" Target="https://drive.google.com/open?id=1WZNYRdrvfRO0c4FJJqkzqWb4k-m4Smgj" TargetMode="External"/><Relationship Id="rId1855" Type="http://schemas.openxmlformats.org/officeDocument/2006/relationships/hyperlink" Target="https://drive.google.com/open?id=1BlwizGsiogklO5T2fs1yVXdAZtFP_wTQ" TargetMode="External"/><Relationship Id="rId1856" Type="http://schemas.openxmlformats.org/officeDocument/2006/relationships/hyperlink" Target="https://drive.google.com/open?id=11lJjkp1fcGi3rNYGSF5ZtfL_kxRdZLbx" TargetMode="External"/><Relationship Id="rId1857" Type="http://schemas.openxmlformats.org/officeDocument/2006/relationships/hyperlink" Target="https://drive.google.com/open?id=1tUyasnAnKvkiLzYE1VQ6_mdbqX0KDO8n" TargetMode="External"/><Relationship Id="rId1858" Type="http://schemas.openxmlformats.org/officeDocument/2006/relationships/hyperlink" Target="https://drive.google.com/open?id=1TtOq7trNYNytAzpoSAFJSV1Hz5xzRrGU" TargetMode="External"/><Relationship Id="rId1859" Type="http://schemas.openxmlformats.org/officeDocument/2006/relationships/hyperlink" Target="https://drive.google.com/open?id=1LiBi7D5vBH_xnpcywY2SnqOgjKs1Lphd" TargetMode="External"/><Relationship Id="rId1850" Type="http://schemas.openxmlformats.org/officeDocument/2006/relationships/hyperlink" Target="https://drive.google.com/open?id=1pzui-qGxBzzqQ7qO_7pCYmOSV16T6Tb-" TargetMode="External"/><Relationship Id="rId1840" Type="http://schemas.openxmlformats.org/officeDocument/2006/relationships/hyperlink" Target="https://drive.google.com/open?id=1dpzFHRGZ1610s1ajHwNR1fhM2tdpeGyE" TargetMode="External"/><Relationship Id="rId1841" Type="http://schemas.openxmlformats.org/officeDocument/2006/relationships/hyperlink" Target="https://drive.google.com/open?id=1BrQSjHaLeHAboCoKK5g_pV_j6scUFQ83" TargetMode="External"/><Relationship Id="rId1842" Type="http://schemas.openxmlformats.org/officeDocument/2006/relationships/hyperlink" Target="https://drive.google.com/open?id=118LxCS3bdpx0oGAWp-TVFhJEljRlhIiW" TargetMode="External"/><Relationship Id="rId1843" Type="http://schemas.openxmlformats.org/officeDocument/2006/relationships/hyperlink" Target="https://drive.google.com/open?id=1MNiHACs1_dF8BzqPnTr_LmxOsJus_TUR" TargetMode="External"/><Relationship Id="rId1844" Type="http://schemas.openxmlformats.org/officeDocument/2006/relationships/hyperlink" Target="https://drive.google.com/open?id=1M3rsQeh3WkrX26Nc6mhmAb9r_wi95704" TargetMode="External"/><Relationship Id="rId1845" Type="http://schemas.openxmlformats.org/officeDocument/2006/relationships/hyperlink" Target="https://drive.google.com/open?id=1pI7zH4dPfpnRsSzjRHpCz6S-HvT9whrW" TargetMode="External"/><Relationship Id="rId1846" Type="http://schemas.openxmlformats.org/officeDocument/2006/relationships/hyperlink" Target="https://drive.google.com/open?id=1fKiFFzdGgV-ydJgon9Vdicc6Mu99nFHx" TargetMode="External"/><Relationship Id="rId1847" Type="http://schemas.openxmlformats.org/officeDocument/2006/relationships/hyperlink" Target="https://drive.google.com/open?id=1g6ZTmROievgUIJHq3n-ZXY5f4IYJqxMf" TargetMode="External"/><Relationship Id="rId1848" Type="http://schemas.openxmlformats.org/officeDocument/2006/relationships/hyperlink" Target="https://drive.google.com/open?id=1mSFfHmtoNdftr5bcjvHpDoWaNFadI_8E" TargetMode="External"/><Relationship Id="rId1849" Type="http://schemas.openxmlformats.org/officeDocument/2006/relationships/hyperlink" Target="https://drive.google.com/open?id=15IfNR0DiV_dNY8n62tLnt2G3rZa0eaeK" TargetMode="External"/><Relationship Id="rId1873" Type="http://schemas.openxmlformats.org/officeDocument/2006/relationships/hyperlink" Target="https://drive.google.com/open?id=11Dl6OVT8gZLyjmxe_CR4WdxGDyyBUo8R" TargetMode="External"/><Relationship Id="rId1874" Type="http://schemas.openxmlformats.org/officeDocument/2006/relationships/hyperlink" Target="https://drive.google.com/open?id=1Tym0as_RC6g4uvuVHhvaG2IVYa6LJdhI" TargetMode="External"/><Relationship Id="rId1875" Type="http://schemas.openxmlformats.org/officeDocument/2006/relationships/hyperlink" Target="https://drive.google.com/open?id=1MXJcfxkUx9qFKDvkB6Viod5sBjCAs-T7" TargetMode="External"/><Relationship Id="rId1876" Type="http://schemas.openxmlformats.org/officeDocument/2006/relationships/hyperlink" Target="https://drive.google.com/open?id=1UJP_FpZ8U3wf9o0bc-nKExDKI8R4qDGc" TargetMode="External"/><Relationship Id="rId1877" Type="http://schemas.openxmlformats.org/officeDocument/2006/relationships/hyperlink" Target="https://drive.google.com/open?id=1anczdUcgKguBM_UmMHQ9ha72m3u0LCl-" TargetMode="External"/><Relationship Id="rId1878" Type="http://schemas.openxmlformats.org/officeDocument/2006/relationships/hyperlink" Target="https://drive.google.com/open?id=1TuhZHxHmtL6a7NjjL8v6Ir8fLUKEAQgn" TargetMode="External"/><Relationship Id="rId1879" Type="http://schemas.openxmlformats.org/officeDocument/2006/relationships/hyperlink" Target="https://drive.google.com/open?id=1w1YYb50C45flwTrDBXIjlwpFgS1TANCC" TargetMode="External"/><Relationship Id="rId1870" Type="http://schemas.openxmlformats.org/officeDocument/2006/relationships/hyperlink" Target="https://drive.google.com/open?id=1JmONY4u0DLJA2wNPiahOl1p1G0QURIfP" TargetMode="External"/><Relationship Id="rId1871" Type="http://schemas.openxmlformats.org/officeDocument/2006/relationships/hyperlink" Target="https://drive.google.com/open?id=1uEe_TRUVD5VqDhbdCEkHxGw7WOVLQM1k" TargetMode="External"/><Relationship Id="rId1872" Type="http://schemas.openxmlformats.org/officeDocument/2006/relationships/hyperlink" Target="https://drive.google.com/open?id=1MGO9V0gP6PQa81si80PYT1ijmA7pTQ87" TargetMode="External"/><Relationship Id="rId1862" Type="http://schemas.openxmlformats.org/officeDocument/2006/relationships/hyperlink" Target="https://drive.google.com/open?id=1WEVoJ5SVZUPksZQRjbMiyJyEJz57FJT9" TargetMode="External"/><Relationship Id="rId1863" Type="http://schemas.openxmlformats.org/officeDocument/2006/relationships/hyperlink" Target="https://drive.google.com/open?id=1vfQb-bhqqTlNj_44rMpvfavZ3oKu4qSJ" TargetMode="External"/><Relationship Id="rId1864" Type="http://schemas.openxmlformats.org/officeDocument/2006/relationships/hyperlink" Target="https://drive.google.com/open?id=1vSeS6uXG8GlZt4DUU2Cg0StBcAyIfTD8" TargetMode="External"/><Relationship Id="rId1865" Type="http://schemas.openxmlformats.org/officeDocument/2006/relationships/hyperlink" Target="https://drive.google.com/open?id=1C8NVWb68-mLBhlcAxg5aipcPtFo1bN3A" TargetMode="External"/><Relationship Id="rId1866" Type="http://schemas.openxmlformats.org/officeDocument/2006/relationships/hyperlink" Target="https://drive.google.com/open?id=1EoU9RkKsntCS5cwl0gJ93snrw2le1Tty" TargetMode="External"/><Relationship Id="rId1867" Type="http://schemas.openxmlformats.org/officeDocument/2006/relationships/hyperlink" Target="https://drive.google.com/open?id=1nurpfMVDPAag1-NzCneM5OzfqnMAMLzb" TargetMode="External"/><Relationship Id="rId1868" Type="http://schemas.openxmlformats.org/officeDocument/2006/relationships/hyperlink" Target="https://drive.google.com/open?id=1K_gVZYQeOAsCrxpv6rKl0MI5LeI8ivOH" TargetMode="External"/><Relationship Id="rId1869" Type="http://schemas.openxmlformats.org/officeDocument/2006/relationships/hyperlink" Target="https://drive.google.com/open?id=1w9Rto-vuohnT_Rei_KCBZfAad_fdN6Nu" TargetMode="External"/><Relationship Id="rId1860" Type="http://schemas.openxmlformats.org/officeDocument/2006/relationships/hyperlink" Target="https://drive.google.com/open?id=1gEFc3wP0WO9bdC9C_P0yqz9VD1prnTK1" TargetMode="External"/><Relationship Id="rId1861" Type="http://schemas.openxmlformats.org/officeDocument/2006/relationships/hyperlink" Target="https://drive.google.com/open?id=1k1guCTQTvcVWsGmXsXBZ1-gpnhitCx5m" TargetMode="External"/><Relationship Id="rId1810" Type="http://schemas.openxmlformats.org/officeDocument/2006/relationships/hyperlink" Target="https://drive.google.com/open?id=18jsVx1W-ovXcGoUeLQSdXv5b-IRLfFtt" TargetMode="External"/><Relationship Id="rId1811" Type="http://schemas.openxmlformats.org/officeDocument/2006/relationships/hyperlink" Target="https://drive.google.com/open?id=1xKNF8tEeGxYN0I3d9bz_OXJrfF5dQCG-" TargetMode="External"/><Relationship Id="rId1812" Type="http://schemas.openxmlformats.org/officeDocument/2006/relationships/hyperlink" Target="https://drive.google.com/open?id=1eyH3n_bszm90Qqkp8lCu6dVo5b8xly9r" TargetMode="External"/><Relationship Id="rId1813" Type="http://schemas.openxmlformats.org/officeDocument/2006/relationships/hyperlink" Target="https://drive.google.com/open?id=1k6un4Rlt2kRdN8wYT0EkkbKhh78RPLIy" TargetMode="External"/><Relationship Id="rId1814" Type="http://schemas.openxmlformats.org/officeDocument/2006/relationships/hyperlink" Target="https://drive.google.com/open?id=1BbNOVB--7Uwm45K0HP1LI4iVPqLyk3dA" TargetMode="External"/><Relationship Id="rId1815" Type="http://schemas.openxmlformats.org/officeDocument/2006/relationships/hyperlink" Target="https://drive.google.com/open?id=1MtbUHNeUxk7lYtYvoKPxfj8Rce4G0ZfF" TargetMode="External"/><Relationship Id="rId1816" Type="http://schemas.openxmlformats.org/officeDocument/2006/relationships/hyperlink" Target="https://drive.google.com/open?id=1Id80oKeeBCMta3ltviLMpvyTmwDCugHn" TargetMode="External"/><Relationship Id="rId1817" Type="http://schemas.openxmlformats.org/officeDocument/2006/relationships/hyperlink" Target="https://drive.google.com/open?id=1f-GBMHygB-PDn21SaLZJDpxbFbAtgb89" TargetMode="External"/><Relationship Id="rId1818" Type="http://schemas.openxmlformats.org/officeDocument/2006/relationships/hyperlink" Target="https://drive.google.com/open?id=18eEw4pj31EuyJsgnApomdHM2ziTd57hL" TargetMode="External"/><Relationship Id="rId1819" Type="http://schemas.openxmlformats.org/officeDocument/2006/relationships/hyperlink" Target="https://drive.google.com/open?id=1XVoAK0DmtC19cEo2Vt8_bpE7uKOsD6jW" TargetMode="External"/><Relationship Id="rId1800" Type="http://schemas.openxmlformats.org/officeDocument/2006/relationships/hyperlink" Target="https://drive.google.com/open?id=1exDoboo7djCHijQwuFIizEIy5KCN0kNJ" TargetMode="External"/><Relationship Id="rId1801" Type="http://schemas.openxmlformats.org/officeDocument/2006/relationships/hyperlink" Target="https://drive.google.com/open?id=17KYsyNJNz_XHeTwacXx7HXP-HJ4iryr-" TargetMode="External"/><Relationship Id="rId1802" Type="http://schemas.openxmlformats.org/officeDocument/2006/relationships/hyperlink" Target="https://drive.google.com/open?id=1E2n8vtyZD_rjtj7OvTspPwCiJiUl4KWv" TargetMode="External"/><Relationship Id="rId1803" Type="http://schemas.openxmlformats.org/officeDocument/2006/relationships/hyperlink" Target="https://drive.google.com/open?id=1ATsV34HiiN_DVWJS6OSemDvWvKaOgTNX" TargetMode="External"/><Relationship Id="rId1804" Type="http://schemas.openxmlformats.org/officeDocument/2006/relationships/hyperlink" Target="https://drive.google.com/open?id=1m27FXweM5z_f__62Zk95E5mLNSLxTbSY" TargetMode="External"/><Relationship Id="rId1805" Type="http://schemas.openxmlformats.org/officeDocument/2006/relationships/hyperlink" Target="https://drive.google.com/open?id=1qYiDu5Mn9tLjFG2lCSfhI_3NZBe-JKVT" TargetMode="External"/><Relationship Id="rId1806" Type="http://schemas.openxmlformats.org/officeDocument/2006/relationships/hyperlink" Target="https://drive.google.com/open?id=15zT-yc4Fkn-oYLQDgSmYdTgV-ywuLqdg" TargetMode="External"/><Relationship Id="rId1807" Type="http://schemas.openxmlformats.org/officeDocument/2006/relationships/hyperlink" Target="https://drive.google.com/open?id=15XLpJBrWC5lgpgrUnrET3fXoM5gQ8kSe" TargetMode="External"/><Relationship Id="rId1808" Type="http://schemas.openxmlformats.org/officeDocument/2006/relationships/hyperlink" Target="https://drive.google.com/open?id=1crZgvrPZ7Mo2Eqo6PBlM9JYQBgFmmG4i" TargetMode="External"/><Relationship Id="rId1809" Type="http://schemas.openxmlformats.org/officeDocument/2006/relationships/hyperlink" Target="https://drive.google.com/open?id=1Plj16UB_g6zeVwKXiIrVXv342r33gCEC" TargetMode="External"/><Relationship Id="rId1830" Type="http://schemas.openxmlformats.org/officeDocument/2006/relationships/hyperlink" Target="https://drive.google.com/open?id=1UZ7k5NfVMMAoadj7Po3EUOjBgtisMSeH" TargetMode="External"/><Relationship Id="rId1831" Type="http://schemas.openxmlformats.org/officeDocument/2006/relationships/hyperlink" Target="https://drive.google.com/open?id=1Ot5Y8ArAENO_0uAsrSI3BPEaKY4MFAbE" TargetMode="External"/><Relationship Id="rId1832" Type="http://schemas.openxmlformats.org/officeDocument/2006/relationships/hyperlink" Target="https://drive.google.com/open?id=1Fjit_uR7s3WYZgCCFYnA2WqVLhleM_xk" TargetMode="External"/><Relationship Id="rId1833" Type="http://schemas.openxmlformats.org/officeDocument/2006/relationships/hyperlink" Target="https://drive.google.com/open?id=1Y-1dfDGkFwg6zFOCszylwl-AxqG05dKZ" TargetMode="External"/><Relationship Id="rId1834" Type="http://schemas.openxmlformats.org/officeDocument/2006/relationships/hyperlink" Target="https://drive.google.com/open?id=13bSA2s2PonLf-DVk8JYdhXaoPQslJxbt" TargetMode="External"/><Relationship Id="rId1835" Type="http://schemas.openxmlformats.org/officeDocument/2006/relationships/hyperlink" Target="https://drive.google.com/open?id=1ZS9pZ7iuEpGOND-vzmvwH0PJRExULn8u" TargetMode="External"/><Relationship Id="rId1836" Type="http://schemas.openxmlformats.org/officeDocument/2006/relationships/hyperlink" Target="https://drive.google.com/open?id=1SMWyjSnsJGycutDYEGRVxvZ8zQQJMera" TargetMode="External"/><Relationship Id="rId1837" Type="http://schemas.openxmlformats.org/officeDocument/2006/relationships/hyperlink" Target="https://drive.google.com/open?id=19f_6L3slH03-Lv4PPC9r-gO8GPGqnw39" TargetMode="External"/><Relationship Id="rId1838" Type="http://schemas.openxmlformats.org/officeDocument/2006/relationships/hyperlink" Target="https://drive.google.com/open?id=120A5RlpqP8G79inh0N7X5ke9yBxb3mMS" TargetMode="External"/><Relationship Id="rId1839" Type="http://schemas.openxmlformats.org/officeDocument/2006/relationships/hyperlink" Target="https://drive.google.com/open?id=1uwKVxRicoCxUgr9v4FQJFaNBHUUNhI6J" TargetMode="External"/><Relationship Id="rId1820" Type="http://schemas.openxmlformats.org/officeDocument/2006/relationships/hyperlink" Target="https://drive.google.com/open?id=1p6MdWDEwT-KGk7e_XPcV-YMxzeazZqlY" TargetMode="External"/><Relationship Id="rId1821" Type="http://schemas.openxmlformats.org/officeDocument/2006/relationships/hyperlink" Target="https://drive.google.com/open?id=1fPrnPy_htyBsWtwfmot8-URhSC0jwTaP" TargetMode="External"/><Relationship Id="rId1822" Type="http://schemas.openxmlformats.org/officeDocument/2006/relationships/hyperlink" Target="https://drive.google.com/open?id=1pB_26SQFSEAGPTf0CQoAezgmmroPMdX8" TargetMode="External"/><Relationship Id="rId1823" Type="http://schemas.openxmlformats.org/officeDocument/2006/relationships/hyperlink" Target="https://drive.google.com/open?id=13NXJFbMHcGdvo-nnpNILag2tQYupDRQ3" TargetMode="External"/><Relationship Id="rId1824" Type="http://schemas.openxmlformats.org/officeDocument/2006/relationships/hyperlink" Target="https://drive.google.com/open?id=1gmnwGdtThl2WDmFc1MB52ltnvq9q5JuS" TargetMode="External"/><Relationship Id="rId1825" Type="http://schemas.openxmlformats.org/officeDocument/2006/relationships/hyperlink" Target="https://drive.google.com/open?id=1-zrPdPcn1A4TRdcRGaib6nSTCllW-lQO" TargetMode="External"/><Relationship Id="rId1826" Type="http://schemas.openxmlformats.org/officeDocument/2006/relationships/hyperlink" Target="https://drive.google.com/open?id=1nU6VCcugyn9Wr_EcDTjZyQ-vdG7TBPbs" TargetMode="External"/><Relationship Id="rId1827" Type="http://schemas.openxmlformats.org/officeDocument/2006/relationships/hyperlink" Target="https://drive.google.com/open?id=1QP-TiYZUqCeSvCr5JoMa6TX0DQgcgynC" TargetMode="External"/><Relationship Id="rId1828" Type="http://schemas.openxmlformats.org/officeDocument/2006/relationships/hyperlink" Target="https://drive.google.com/open?id=1llGd7pYkwIcTbI3ell6FOFUaa2uCKePG" TargetMode="External"/><Relationship Id="rId1829" Type="http://schemas.openxmlformats.org/officeDocument/2006/relationships/hyperlink" Target="https://drive.google.com/open?id=1HmlSGi-uz925vkgzJsIjF9VFvsYXVPN4" TargetMode="External"/><Relationship Id="rId2302" Type="http://schemas.openxmlformats.org/officeDocument/2006/relationships/hyperlink" Target="https://drive.google.com/open?id=1w46ze5tCLaBR64lkWKh_P55z8mccdoQL" TargetMode="External"/><Relationship Id="rId3634" Type="http://schemas.openxmlformats.org/officeDocument/2006/relationships/hyperlink" Target="https://drive.google.com/open?id=1IOlqZ_5s9SnSJjeE92_RkbaBMrjKiKWn" TargetMode="External"/><Relationship Id="rId2303" Type="http://schemas.openxmlformats.org/officeDocument/2006/relationships/hyperlink" Target="https://drive.google.com/open?id=1vPNd9z432GoJPOCmDUgnkxf2uUA9QYfW" TargetMode="External"/><Relationship Id="rId3633" Type="http://schemas.openxmlformats.org/officeDocument/2006/relationships/hyperlink" Target="https://drive.google.com/open?id=1M8qpAX51NeOSpDwinQ2nDVUNzyx8WeB0" TargetMode="External"/><Relationship Id="rId2304" Type="http://schemas.openxmlformats.org/officeDocument/2006/relationships/hyperlink" Target="https://drive.google.com/open?id=1gFSIiVBh_Fr6tOb_HEs64X1-VWR2U8r1" TargetMode="External"/><Relationship Id="rId3636" Type="http://schemas.openxmlformats.org/officeDocument/2006/relationships/hyperlink" Target="https://drive.google.com/open?id=1JULNWGQtO8v16h-XjONr3kkAfjMSs6Yw" TargetMode="External"/><Relationship Id="rId2305" Type="http://schemas.openxmlformats.org/officeDocument/2006/relationships/hyperlink" Target="https://drive.google.com/open?id=1vBs78OkfK6ZhfzxJJs4F9tOr8leL25Kd" TargetMode="External"/><Relationship Id="rId3635" Type="http://schemas.openxmlformats.org/officeDocument/2006/relationships/hyperlink" Target="https://drive.google.com/open?id=1g0CNrAXtAiRz6bxh6fxaSBngr_xiZzWW" TargetMode="External"/><Relationship Id="rId2306" Type="http://schemas.openxmlformats.org/officeDocument/2006/relationships/hyperlink" Target="https://drive.google.com/open?id=1Y02m5pLCX6e4yFVbySkbx2n0BmR6TnR1" TargetMode="External"/><Relationship Id="rId3638" Type="http://schemas.openxmlformats.org/officeDocument/2006/relationships/hyperlink" Target="https://drive.google.com/open?id=1VjmG002DcQ1keB2AGV6vBtynF2Xb80VH" TargetMode="External"/><Relationship Id="rId2307" Type="http://schemas.openxmlformats.org/officeDocument/2006/relationships/hyperlink" Target="https://drive.google.com/open?id=1gNXDuokQgVOynL71t7nGHuQacrGjqWop" TargetMode="External"/><Relationship Id="rId3637" Type="http://schemas.openxmlformats.org/officeDocument/2006/relationships/hyperlink" Target="https://drive.google.com/open?id=1-TR8tSOgkB2FBP36e5CbxM-R2Z7LEdES" TargetMode="External"/><Relationship Id="rId2308" Type="http://schemas.openxmlformats.org/officeDocument/2006/relationships/hyperlink" Target="https://drive.google.com/open?id=1WxFAFbT_4y7A5pdbjtqQBN9wy7Tul_IW" TargetMode="External"/><Relationship Id="rId2309" Type="http://schemas.openxmlformats.org/officeDocument/2006/relationships/hyperlink" Target="https://drive.google.com/open?id=1D41qdYI97KkDP5gOEuMuoHFTcKGTlOzI" TargetMode="External"/><Relationship Id="rId3639" Type="http://schemas.openxmlformats.org/officeDocument/2006/relationships/hyperlink" Target="https://drive.google.com/open?id=1GWzvmNktmyqLiaokFLJ_r8sgVzQFgc7_" TargetMode="External"/><Relationship Id="rId3630" Type="http://schemas.openxmlformats.org/officeDocument/2006/relationships/hyperlink" Target="https://drive.google.com/open?id=1e53rjYUKv7L8av4BylmscaT3nlvNcrxv" TargetMode="External"/><Relationship Id="rId2300" Type="http://schemas.openxmlformats.org/officeDocument/2006/relationships/hyperlink" Target="https://drive.google.com/open?id=15b-XJWp-o1SESmIL_JE7pBI-zeUNgUVq" TargetMode="External"/><Relationship Id="rId3632" Type="http://schemas.openxmlformats.org/officeDocument/2006/relationships/hyperlink" Target="https://drive.google.com/open?id=1kjsPepkhq2W4JoS6kY-fkV8yAxJ3oD1Z" TargetMode="External"/><Relationship Id="rId2301" Type="http://schemas.openxmlformats.org/officeDocument/2006/relationships/hyperlink" Target="https://drive.google.com/open?id=1l-6rxnM0A_0drU8JDfI_bq1T-EWcFKKP" TargetMode="External"/><Relationship Id="rId3631" Type="http://schemas.openxmlformats.org/officeDocument/2006/relationships/hyperlink" Target="https://drive.google.com/open?id=1DRl3Fdl4I2zOur06ulXEy_IGF_9mQB18" TargetMode="External"/><Relationship Id="rId3623" Type="http://schemas.openxmlformats.org/officeDocument/2006/relationships/hyperlink" Target="https://drive.google.com/open?id=1v3g2iQv63ZYV2KPeyrvqa2JJH5pR5coc" TargetMode="External"/><Relationship Id="rId3622" Type="http://schemas.openxmlformats.org/officeDocument/2006/relationships/hyperlink" Target="https://drive.google.com/open?id=1mO-yWkbUEbkkukYsM1kaq4wV5WEXFEds" TargetMode="External"/><Relationship Id="rId3625" Type="http://schemas.openxmlformats.org/officeDocument/2006/relationships/hyperlink" Target="https://drive.google.com/open?id=1n0BCE0JX4OGThIRYGzKI_iImkfI_Lbcl" TargetMode="External"/><Relationship Id="rId3624" Type="http://schemas.openxmlformats.org/officeDocument/2006/relationships/hyperlink" Target="https://drive.google.com/open?id=1O_qrReK6-mPb5iTZg0lk5TNMetRJf9zN" TargetMode="External"/><Relationship Id="rId3627" Type="http://schemas.openxmlformats.org/officeDocument/2006/relationships/hyperlink" Target="https://drive.google.com/open?id=1w-muwuzT4veAJzdMbky5FTJ5wJvAgkk1" TargetMode="External"/><Relationship Id="rId3626" Type="http://schemas.openxmlformats.org/officeDocument/2006/relationships/hyperlink" Target="https://drive.google.com/open?id=1ARfHR4O3dwlLGlghrmmo6JO5RW0ezaEg" TargetMode="External"/><Relationship Id="rId3629" Type="http://schemas.openxmlformats.org/officeDocument/2006/relationships/hyperlink" Target="https://drive.google.com/open?id=1AyfBimTF5GnkEPzuQARRHZ88FLGuRGeh" TargetMode="External"/><Relationship Id="rId3628" Type="http://schemas.openxmlformats.org/officeDocument/2006/relationships/hyperlink" Target="https://drive.google.com/open?id=10QLHTcmh8wcaBg3Tnn8TQVCMt5Wxzf57" TargetMode="External"/><Relationship Id="rId3621" Type="http://schemas.openxmlformats.org/officeDocument/2006/relationships/hyperlink" Target="https://drive.google.com/open?id=16vqiUnnS_HVWRiY3SA12Lo7CCMXHi051" TargetMode="External"/><Relationship Id="rId3620" Type="http://schemas.openxmlformats.org/officeDocument/2006/relationships/hyperlink" Target="https://drive.google.com/open?id=1s8VXMM1BQEWZ9KhT0nfZV0g5lSw6zh5o" TargetMode="External"/><Relationship Id="rId2324" Type="http://schemas.openxmlformats.org/officeDocument/2006/relationships/hyperlink" Target="https://drive.google.com/open?id=1Bfk-KD1HDTtfGK-SNBpAfONl8zI3Oztf" TargetMode="External"/><Relationship Id="rId3656" Type="http://schemas.openxmlformats.org/officeDocument/2006/relationships/hyperlink" Target="https://drive.google.com/open?id=1sgkg26pnCmCyH8FCRRmWv9KcFMnsa9hq" TargetMode="External"/><Relationship Id="rId2325" Type="http://schemas.openxmlformats.org/officeDocument/2006/relationships/hyperlink" Target="https://drive.google.com/open?id=13nNsPGK5F5LWztF_wgiQ8J-a3Rg0nXO6" TargetMode="External"/><Relationship Id="rId3655" Type="http://schemas.openxmlformats.org/officeDocument/2006/relationships/hyperlink" Target="https://drive.google.com/open?id=1pT08adQ_4Sc8Par7YwEq0rMASRHLs5Ew" TargetMode="External"/><Relationship Id="rId2326" Type="http://schemas.openxmlformats.org/officeDocument/2006/relationships/hyperlink" Target="https://drive.google.com/open?id=1vYk6xwiaMnMQ6qepPo1ISTed3nMAdoSH" TargetMode="External"/><Relationship Id="rId3658" Type="http://schemas.openxmlformats.org/officeDocument/2006/relationships/hyperlink" Target="https://drive.google.com/open?id=14mxX9dUa_KUZrQjqap5lLEehbyEsfhW3" TargetMode="External"/><Relationship Id="rId2327" Type="http://schemas.openxmlformats.org/officeDocument/2006/relationships/hyperlink" Target="https://drive.google.com/open?id=1Gna4LorCPxaKPJMeF4jPn6cT45s_AQdr" TargetMode="External"/><Relationship Id="rId3657" Type="http://schemas.openxmlformats.org/officeDocument/2006/relationships/hyperlink" Target="https://drive.google.com/open?id=1vxKLTVjma2mgrrp3FYWcRAJjMpVzSYkq" TargetMode="External"/><Relationship Id="rId2328" Type="http://schemas.openxmlformats.org/officeDocument/2006/relationships/hyperlink" Target="https://drive.google.com/open?id=1MEXXt7ARj7hKoMH5HiEth707P_W1nEby" TargetMode="External"/><Relationship Id="rId2329" Type="http://schemas.openxmlformats.org/officeDocument/2006/relationships/hyperlink" Target="https://drive.google.com/open?id=1l02LSgQislOxgXpq5f9Q0jcPFBJqnqgz" TargetMode="External"/><Relationship Id="rId3659" Type="http://schemas.openxmlformats.org/officeDocument/2006/relationships/hyperlink" Target="https://drive.google.com/open?id=1lvJDfXxtbyV3a6OxB0tFLFf4YMfihET_" TargetMode="External"/><Relationship Id="rId3650" Type="http://schemas.openxmlformats.org/officeDocument/2006/relationships/hyperlink" Target="https://drive.google.com/open?id=1MZR19kebveKDlsNfgi0BKWRGWkddSTOq" TargetMode="External"/><Relationship Id="rId2320" Type="http://schemas.openxmlformats.org/officeDocument/2006/relationships/hyperlink" Target="https://drive.google.com/open?id=1c8rKeDxMrBVeX6s7G8nsOv7oOI4Qcn5-" TargetMode="External"/><Relationship Id="rId3652" Type="http://schemas.openxmlformats.org/officeDocument/2006/relationships/hyperlink" Target="https://drive.google.com/open?id=1-fZEsrx4cNZ9a9qRsIhuIjMxAxgUy3YM" TargetMode="External"/><Relationship Id="rId2321" Type="http://schemas.openxmlformats.org/officeDocument/2006/relationships/hyperlink" Target="https://drive.google.com/open?id=1SS7bGqIof0pr4LMPsYxYqkTTnVIqXjLf" TargetMode="External"/><Relationship Id="rId3651" Type="http://schemas.openxmlformats.org/officeDocument/2006/relationships/hyperlink" Target="https://drive.google.com/open?id=1_OxCps1dJl0VfKUKLRjY8j570Fgt5ggH" TargetMode="External"/><Relationship Id="rId2322" Type="http://schemas.openxmlformats.org/officeDocument/2006/relationships/hyperlink" Target="https://drive.google.com/open?id=1lvDbY1PO0ogXiF0iCDPnTaL9KiTX7Pjf" TargetMode="External"/><Relationship Id="rId3654" Type="http://schemas.openxmlformats.org/officeDocument/2006/relationships/hyperlink" Target="https://drive.google.com/open?id=1fzYKG-Z4ZpuQ5LA3zQU6S10GgoLOr8-1" TargetMode="External"/><Relationship Id="rId2323" Type="http://schemas.openxmlformats.org/officeDocument/2006/relationships/hyperlink" Target="https://drive.google.com/open?id=1xPHbKQ3xYFk6c_37Dn-9n968aA74wS7s" TargetMode="External"/><Relationship Id="rId3653" Type="http://schemas.openxmlformats.org/officeDocument/2006/relationships/hyperlink" Target="https://drive.google.com/open?id=1US4DBPu3t3GmjCX9Uimm2dFrK8HF3TDF" TargetMode="External"/><Relationship Id="rId2313" Type="http://schemas.openxmlformats.org/officeDocument/2006/relationships/hyperlink" Target="https://drive.google.com/open?id=16TVvzPihfyEB1HfLBAZF0Op8zK-LSbGe" TargetMode="External"/><Relationship Id="rId3645" Type="http://schemas.openxmlformats.org/officeDocument/2006/relationships/hyperlink" Target="https://drive.google.com/open?id=1xVPWBZHmb7hK5tnC9aKzfNJFXO1BBhlT" TargetMode="External"/><Relationship Id="rId2314" Type="http://schemas.openxmlformats.org/officeDocument/2006/relationships/hyperlink" Target="https://drive.google.com/open?id=1dBri3DqTT6TGcasdQ4Ts7-do2h4ae96l" TargetMode="External"/><Relationship Id="rId3644" Type="http://schemas.openxmlformats.org/officeDocument/2006/relationships/hyperlink" Target="https://drive.google.com/open?id=1O82-0JbCyM7F5h_BYrqsmC4Aktfdg_RA" TargetMode="External"/><Relationship Id="rId2315" Type="http://schemas.openxmlformats.org/officeDocument/2006/relationships/hyperlink" Target="https://drive.google.com/open?id=1guPcP7KhdJjsQOm0qJskU2wxNU9sd2qa" TargetMode="External"/><Relationship Id="rId3647" Type="http://schemas.openxmlformats.org/officeDocument/2006/relationships/hyperlink" Target="https://drive.google.com/open?id=17pSfIe-JQ8ZZWhssHDWS1KNN4LpKb--c" TargetMode="External"/><Relationship Id="rId2316" Type="http://schemas.openxmlformats.org/officeDocument/2006/relationships/hyperlink" Target="https://drive.google.com/open?id=1kbtFqLbVkvzCSi468c25igR6fu4npR0V" TargetMode="External"/><Relationship Id="rId3646" Type="http://schemas.openxmlformats.org/officeDocument/2006/relationships/hyperlink" Target="https://drive.google.com/open?id=1XiNi4aZLVLPbamNp9j6nxN6W9KER5qT3" TargetMode="External"/><Relationship Id="rId2317" Type="http://schemas.openxmlformats.org/officeDocument/2006/relationships/hyperlink" Target="https://drive.google.com/open?id=144bDkHxxKIEd9n2KCXmxbq9PLtdzLd0O" TargetMode="External"/><Relationship Id="rId3649" Type="http://schemas.openxmlformats.org/officeDocument/2006/relationships/hyperlink" Target="https://drive.google.com/open?id=1LvpJUCdmML58fUEbxR4Qs0RYKHRYPT8R" TargetMode="External"/><Relationship Id="rId2318" Type="http://schemas.openxmlformats.org/officeDocument/2006/relationships/hyperlink" Target="https://drive.google.com/open?id=1wcrdAXuGhOd6VLhOq0LyuWuca-2bFnpg" TargetMode="External"/><Relationship Id="rId3648" Type="http://schemas.openxmlformats.org/officeDocument/2006/relationships/hyperlink" Target="https://drive.google.com/open?id=1fuJnKKp3rttGGl5wZNYDPhv4B6mjerja" TargetMode="External"/><Relationship Id="rId2319" Type="http://schemas.openxmlformats.org/officeDocument/2006/relationships/hyperlink" Target="https://drive.google.com/open?id=1NPmxk3eVb21TTkcHe-p0vLmifYX2_bdd" TargetMode="External"/><Relationship Id="rId3641" Type="http://schemas.openxmlformats.org/officeDocument/2006/relationships/hyperlink" Target="https://drive.google.com/open?id=1xDgI07A35cCqwUpijs_i-Ve8A_Cd9iRs" TargetMode="External"/><Relationship Id="rId2310" Type="http://schemas.openxmlformats.org/officeDocument/2006/relationships/hyperlink" Target="https://drive.google.com/open?id=1ZLfPR-pHu20oWxOkytki0CGa_PLdH-Or" TargetMode="External"/><Relationship Id="rId3640" Type="http://schemas.openxmlformats.org/officeDocument/2006/relationships/hyperlink" Target="https://drive.google.com/open?id=1XjgS_9AUIzm5B6GvwzorDWcEubRnNaL0" TargetMode="External"/><Relationship Id="rId2311" Type="http://schemas.openxmlformats.org/officeDocument/2006/relationships/hyperlink" Target="https://drive.google.com/open?id=18HnW-b_o6NcXoNZUWnE_atj7YHenFp4s" TargetMode="External"/><Relationship Id="rId3643" Type="http://schemas.openxmlformats.org/officeDocument/2006/relationships/hyperlink" Target="https://drive.google.com/open?id=1cGs6YAYxA40PVMNTMnUTny-AJ1G9Mj-p" TargetMode="External"/><Relationship Id="rId2312" Type="http://schemas.openxmlformats.org/officeDocument/2006/relationships/hyperlink" Target="https://drive.google.com/open?id=1hsxrB9z7OgvFLwDdlD_gYw0HJV5ba2ew" TargetMode="External"/><Relationship Id="rId3642" Type="http://schemas.openxmlformats.org/officeDocument/2006/relationships/hyperlink" Target="https://drive.google.com/open?id=18hHfaWukc6Vk17cwfM6v7BoWQ6KxonKn" TargetMode="External"/><Relationship Id="rId1895" Type="http://schemas.openxmlformats.org/officeDocument/2006/relationships/hyperlink" Target="https://drive.google.com/open?id=1FF7Gg7hCqEdYR0SmYJHtLrYng017scLR" TargetMode="External"/><Relationship Id="rId1896" Type="http://schemas.openxmlformats.org/officeDocument/2006/relationships/hyperlink" Target="https://drive.google.com/open?id=1BQJ-g--tzyX7-NabqWA30GMB1ZXp-A7K" TargetMode="External"/><Relationship Id="rId1897" Type="http://schemas.openxmlformats.org/officeDocument/2006/relationships/hyperlink" Target="https://drive.google.com/open?id=1BQAfZ7t99jbvUmUeIB6xMkwBHqb_xsEp" TargetMode="External"/><Relationship Id="rId1898" Type="http://schemas.openxmlformats.org/officeDocument/2006/relationships/hyperlink" Target="https://drive.google.com/open?id=1FibGBZ3N5PaBVa6BTj7Y-uvNNFwgEejg" TargetMode="External"/><Relationship Id="rId1899" Type="http://schemas.openxmlformats.org/officeDocument/2006/relationships/hyperlink" Target="https://drive.google.com/open?id=1KdqYvUfxqhD2LFMLx6UxMnFVN-Qoxiet" TargetMode="External"/><Relationship Id="rId1890" Type="http://schemas.openxmlformats.org/officeDocument/2006/relationships/hyperlink" Target="https://drive.google.com/open?id=1joHXr4hg8pNNcteu3jM_Y2ulobutTurw" TargetMode="External"/><Relationship Id="rId1891" Type="http://schemas.openxmlformats.org/officeDocument/2006/relationships/hyperlink" Target="https://drive.google.com/open?id=1kZ2ihM6oo0kuAlud2cHhVBG7YBA03O4Z" TargetMode="External"/><Relationship Id="rId1892" Type="http://schemas.openxmlformats.org/officeDocument/2006/relationships/hyperlink" Target="https://drive.google.com/open?id=1tC3E3CXN-T3ACQIJuD6rmb_T30WZ9xIj" TargetMode="External"/><Relationship Id="rId1893" Type="http://schemas.openxmlformats.org/officeDocument/2006/relationships/hyperlink" Target="https://drive.google.com/open?id=1XyadftOLEYIjjcEZDkbLxBVkul-ECMXB" TargetMode="External"/><Relationship Id="rId1894" Type="http://schemas.openxmlformats.org/officeDocument/2006/relationships/hyperlink" Target="https://drive.google.com/open?id=1YJvCP91lMgEw_BQeiV36BSg78Hqm3eov" TargetMode="External"/><Relationship Id="rId1884" Type="http://schemas.openxmlformats.org/officeDocument/2006/relationships/hyperlink" Target="https://drive.google.com/open?id=1CpB7R0k1Kt5W2cVC7DbyEwYTsrJfXuDk" TargetMode="External"/><Relationship Id="rId1885" Type="http://schemas.openxmlformats.org/officeDocument/2006/relationships/hyperlink" Target="https://drive.google.com/open?id=1zaqLv4GDTFWRUOtNhhEGuNfsJS-TiT90" TargetMode="External"/><Relationship Id="rId1886" Type="http://schemas.openxmlformats.org/officeDocument/2006/relationships/hyperlink" Target="https://drive.google.com/open?id=1qst7sPfPqJwYCDJ0I8iPMNRoqHS8bMJT" TargetMode="External"/><Relationship Id="rId1887" Type="http://schemas.openxmlformats.org/officeDocument/2006/relationships/hyperlink" Target="https://drive.google.com/open?id=1Z8QjJ_2sNoey15_H2bpzzUSSNwu8T9J0" TargetMode="External"/><Relationship Id="rId1888" Type="http://schemas.openxmlformats.org/officeDocument/2006/relationships/hyperlink" Target="https://drive.google.com/open?id=1T5ViwwklzK41kXMb3k8__xaQj84lFC3C" TargetMode="External"/><Relationship Id="rId1889" Type="http://schemas.openxmlformats.org/officeDocument/2006/relationships/hyperlink" Target="https://drive.google.com/open?id=1aMj6zp4HcIbjXe0ZTuhMAqyFhfeY-cwn" TargetMode="External"/><Relationship Id="rId1880" Type="http://schemas.openxmlformats.org/officeDocument/2006/relationships/hyperlink" Target="https://drive.google.com/open?id=1iNxtwf6m8E8K-0p_5s3FAmji3wgaFTVA" TargetMode="External"/><Relationship Id="rId1881" Type="http://schemas.openxmlformats.org/officeDocument/2006/relationships/hyperlink" Target="https://drive.google.com/open?id=1qZDkT8qGCOt52qp0v92ZPGPuZAt5Uru5" TargetMode="External"/><Relationship Id="rId1882" Type="http://schemas.openxmlformats.org/officeDocument/2006/relationships/hyperlink" Target="https://drive.google.com/open?id=1FTB4dLhd5sxP_4_EiV_bEek8NlokaNHj" TargetMode="External"/><Relationship Id="rId1883" Type="http://schemas.openxmlformats.org/officeDocument/2006/relationships/hyperlink" Target="https://drive.google.com/open?id=1pj2GyGRonz0EPP_6-RAyHPj0nXp20pSF" TargetMode="External"/><Relationship Id="rId3612" Type="http://schemas.openxmlformats.org/officeDocument/2006/relationships/hyperlink" Target="https://drive.google.com/open?id=1r2ttharUPluCPDK6VkZO1yIUHSlf4EyQ" TargetMode="External"/><Relationship Id="rId3611" Type="http://schemas.openxmlformats.org/officeDocument/2006/relationships/hyperlink" Target="https://drive.google.com/open?id=102rxydMN7M2ayO-qaVnb3t3rdd76ZJUJ" TargetMode="External"/><Relationship Id="rId3614" Type="http://schemas.openxmlformats.org/officeDocument/2006/relationships/hyperlink" Target="https://drive.google.com/open?id=1EmSiKIYasZo6JONSbPM1o6JT35yBRcGP" TargetMode="External"/><Relationship Id="rId3613" Type="http://schemas.openxmlformats.org/officeDocument/2006/relationships/hyperlink" Target="https://drive.google.com/open?id=1YnSO0ZwL3oDrHfPG0nQYpwN6W63z4bya" TargetMode="External"/><Relationship Id="rId3616" Type="http://schemas.openxmlformats.org/officeDocument/2006/relationships/hyperlink" Target="https://drive.google.com/open?id=1YR3gKo2XDM6iOH9g5xSEaKkfHhMH4T0V" TargetMode="External"/><Relationship Id="rId3615" Type="http://schemas.openxmlformats.org/officeDocument/2006/relationships/hyperlink" Target="https://drive.google.com/open?id=1ygIpy1ocuLclG5C07pP-bqf7jv6yCnLq" TargetMode="External"/><Relationship Id="rId3618" Type="http://schemas.openxmlformats.org/officeDocument/2006/relationships/hyperlink" Target="https://drive.google.com/open?id=1urO3oCRFT5lUSv0NJDEhqooAiIDdS2m3" TargetMode="External"/><Relationship Id="rId3617" Type="http://schemas.openxmlformats.org/officeDocument/2006/relationships/hyperlink" Target="https://drive.google.com/open?id=1KRxBBJEQXoHtcRerpwz1ecyU5v9DG_yl" TargetMode="External"/><Relationship Id="rId3619" Type="http://schemas.openxmlformats.org/officeDocument/2006/relationships/hyperlink" Target="https://drive.google.com/open?id=1f6UQJtqs9knIrFRy76k1xhC6XmwHB4Js" TargetMode="External"/><Relationship Id="rId3610" Type="http://schemas.openxmlformats.org/officeDocument/2006/relationships/hyperlink" Target="https://drive.google.com/open?id=1P2mURceATd27gPd77zydtqerNonFE4uz" TargetMode="External"/><Relationship Id="rId3601" Type="http://schemas.openxmlformats.org/officeDocument/2006/relationships/hyperlink" Target="https://drive.google.com/open?id=1zJ3gclOic1vVvVSA5JRw5bpL68eaGpgI" TargetMode="External"/><Relationship Id="rId3600" Type="http://schemas.openxmlformats.org/officeDocument/2006/relationships/hyperlink" Target="https://drive.google.com/open?id=1PkCCI_zhmiKxOzqQeWtfe-klPhE473ZS" TargetMode="External"/><Relationship Id="rId3603" Type="http://schemas.openxmlformats.org/officeDocument/2006/relationships/hyperlink" Target="https://drive.google.com/open?id=1-kvccRubf3QNDQiN5xu9rEleigTKXvM_" TargetMode="External"/><Relationship Id="rId3602" Type="http://schemas.openxmlformats.org/officeDocument/2006/relationships/hyperlink" Target="https://drive.google.com/open?id=1B6uyY0lj7lHPM-MNBQnR6oXYInUdhyTV" TargetMode="External"/><Relationship Id="rId3605" Type="http://schemas.openxmlformats.org/officeDocument/2006/relationships/hyperlink" Target="https://drive.google.com/open?id=1TRy85jfooUqOJDCEXqj-2Ui4tW2WYdpT" TargetMode="External"/><Relationship Id="rId3604" Type="http://schemas.openxmlformats.org/officeDocument/2006/relationships/hyperlink" Target="https://drive.google.com/open?id=1H8A5-UUtfRo9m4WklYDrHQBax6pTn5ll" TargetMode="External"/><Relationship Id="rId3607" Type="http://schemas.openxmlformats.org/officeDocument/2006/relationships/hyperlink" Target="https://drive.google.com/open?id=1c4OL60tVlaagwqbeQo111mXj7eaUpqOE" TargetMode="External"/><Relationship Id="rId3606" Type="http://schemas.openxmlformats.org/officeDocument/2006/relationships/hyperlink" Target="https://drive.google.com/open?id=1sTYpUEN3o-7yyUBs5F8_zVCJBC1WsoAN" TargetMode="External"/><Relationship Id="rId3609" Type="http://schemas.openxmlformats.org/officeDocument/2006/relationships/hyperlink" Target="https://drive.google.com/open?id=174SunhB75Hn-GPOi9bdjhA2AJ-Fg6djr" TargetMode="External"/><Relationship Id="rId3608" Type="http://schemas.openxmlformats.org/officeDocument/2006/relationships/hyperlink" Target="https://drive.google.com/open?id=1bo9nuIcI8sQcAdPbfj8VHeBhUDfyHXAh" TargetMode="External"/><Relationship Id="rId1059" Type="http://schemas.openxmlformats.org/officeDocument/2006/relationships/hyperlink" Target="https://drive.google.com/open?id=1r57d4lrYeOowcFg7_r-5e0Asny-Eg39f" TargetMode="External"/><Relationship Id="rId228" Type="http://schemas.openxmlformats.org/officeDocument/2006/relationships/hyperlink" Target="https://drive.google.com/open?id=1VtyHtRwmY_-bFfN-mOFTzKCBZrCacKRP" TargetMode="External"/><Relationship Id="rId227" Type="http://schemas.openxmlformats.org/officeDocument/2006/relationships/hyperlink" Target="https://drive.google.com/open?id=1K1dLqHCuu_-CVMUBrecJWSi7EXQMcl2k" TargetMode="External"/><Relationship Id="rId226" Type="http://schemas.openxmlformats.org/officeDocument/2006/relationships/hyperlink" Target="https://drive.google.com/open?id=1ydipkVR-lUXt8zmgkKwEeL0VjnSxWrY7" TargetMode="External"/><Relationship Id="rId225" Type="http://schemas.openxmlformats.org/officeDocument/2006/relationships/hyperlink" Target="https://drive.google.com/open?id=1ASujXM8aRxkFuIKSkioYhVo8u1Cm5H5U" TargetMode="External"/><Relationship Id="rId2380" Type="http://schemas.openxmlformats.org/officeDocument/2006/relationships/hyperlink" Target="https://drive.google.com/open?id=1KhFjgGRAdPrRETk6Cp5sUShd4FXlaKFO" TargetMode="External"/><Relationship Id="rId229" Type="http://schemas.openxmlformats.org/officeDocument/2006/relationships/hyperlink" Target="https://drive.google.com/open?id=1k-HWl5oBg3fZIUr9MfK9oqEe4iMco9Fx" TargetMode="External"/><Relationship Id="rId1050" Type="http://schemas.openxmlformats.org/officeDocument/2006/relationships/hyperlink" Target="https://drive.google.com/open?id=1DVpArjrGu8aZChgJiTyRIrSVPTBTnwow" TargetMode="External"/><Relationship Id="rId2381" Type="http://schemas.openxmlformats.org/officeDocument/2006/relationships/hyperlink" Target="https://drive.google.com/open?id=1twP8Xh6zCDbj2XV85dCZRqAcb6ATz38n" TargetMode="External"/><Relationship Id="rId220" Type="http://schemas.openxmlformats.org/officeDocument/2006/relationships/hyperlink" Target="https://drive.google.com/open?id=1SI2hv_RyZGS-i4ikK91D4cEzHZug0yV7" TargetMode="External"/><Relationship Id="rId1051" Type="http://schemas.openxmlformats.org/officeDocument/2006/relationships/hyperlink" Target="https://drive.google.com/open?id=1dANeMqfiPmmX11ZDPpFddrcEYA91lSN-" TargetMode="External"/><Relationship Id="rId2382" Type="http://schemas.openxmlformats.org/officeDocument/2006/relationships/hyperlink" Target="https://drive.google.com/open?id=1jHCixvS5N6drQj34KQ5FVR_M4lhRdgWY" TargetMode="External"/><Relationship Id="rId1052" Type="http://schemas.openxmlformats.org/officeDocument/2006/relationships/hyperlink" Target="https://drive.google.com/open?id=1J2yKBjtK7zXR5L-y8cKMXY-h29bYWiSg" TargetMode="External"/><Relationship Id="rId2383" Type="http://schemas.openxmlformats.org/officeDocument/2006/relationships/hyperlink" Target="https://drive.google.com/open?id=1MwhTKbCDlRMVUKyjzbWYAW-mun4AJuME" TargetMode="External"/><Relationship Id="rId1053" Type="http://schemas.openxmlformats.org/officeDocument/2006/relationships/hyperlink" Target="https://drive.google.com/open?id=1QQ2sEmRAz8GGCzVY7yMlQI7jYRTZikWZ" TargetMode="External"/><Relationship Id="rId2384" Type="http://schemas.openxmlformats.org/officeDocument/2006/relationships/hyperlink" Target="https://drive.google.com/open?id=1yvCi4XrISz_K8ZWMjo-6S_Mzv3DgrE_b" TargetMode="External"/><Relationship Id="rId1054" Type="http://schemas.openxmlformats.org/officeDocument/2006/relationships/hyperlink" Target="https://drive.google.com/open?id=12jvsP80xkM2_eFMAvwsXwoQxLDWiSRBv" TargetMode="External"/><Relationship Id="rId2385" Type="http://schemas.openxmlformats.org/officeDocument/2006/relationships/hyperlink" Target="https://drive.google.com/open?id=1zFJsMMvUpK9qYHJJvE6EUGjbZXk-IMmO" TargetMode="External"/><Relationship Id="rId224" Type="http://schemas.openxmlformats.org/officeDocument/2006/relationships/hyperlink" Target="https://drive.google.com/open?id=1_3vA817aJNt3b-myexPg87p56A8I5N36" TargetMode="External"/><Relationship Id="rId1055" Type="http://schemas.openxmlformats.org/officeDocument/2006/relationships/hyperlink" Target="https://drive.google.com/open?id=1hMQRKvFGl9Av7p-LW_4UUcjWws2UGuzm" TargetMode="External"/><Relationship Id="rId2386" Type="http://schemas.openxmlformats.org/officeDocument/2006/relationships/hyperlink" Target="https://drive.google.com/open?id=1vsrkIHVeDvdMdbVTLFXUx4y_v9SjzxyB" TargetMode="External"/><Relationship Id="rId223" Type="http://schemas.openxmlformats.org/officeDocument/2006/relationships/hyperlink" Target="https://drive.google.com/open?id=1xBUhTpSMSBbgRJBOHeFdOTNYrLGxvLi9" TargetMode="External"/><Relationship Id="rId1056" Type="http://schemas.openxmlformats.org/officeDocument/2006/relationships/hyperlink" Target="https://drive.google.com/open?id=1t_F3KH6daqQZL9uKGxWcyrVK7XpSC5xo" TargetMode="External"/><Relationship Id="rId2387" Type="http://schemas.openxmlformats.org/officeDocument/2006/relationships/hyperlink" Target="https://drive.google.com/open?id=1BQkSxFu5a9T5-mLr6hAcF5GWXD66vOGF" TargetMode="External"/><Relationship Id="rId222" Type="http://schemas.openxmlformats.org/officeDocument/2006/relationships/hyperlink" Target="https://drive.google.com/open?id=1dMo76SS-TVgmU2F5UYYCNxaLEUtQ6Quz" TargetMode="External"/><Relationship Id="rId1057" Type="http://schemas.openxmlformats.org/officeDocument/2006/relationships/hyperlink" Target="https://drive.google.com/open?id=1CoSe9PkIUCiC6vEVcUEGLl72em0v_zB6" TargetMode="External"/><Relationship Id="rId2388" Type="http://schemas.openxmlformats.org/officeDocument/2006/relationships/hyperlink" Target="https://drive.google.com/open?id=1dzgJpmPar99N42SA8vx3gv1fDjnQ12P1" TargetMode="External"/><Relationship Id="rId221" Type="http://schemas.openxmlformats.org/officeDocument/2006/relationships/hyperlink" Target="https://drive.google.com/open?id=12M_R9xbgImIisXZyDyBU8o6XSUbBYH-f" TargetMode="External"/><Relationship Id="rId1058" Type="http://schemas.openxmlformats.org/officeDocument/2006/relationships/hyperlink" Target="https://drive.google.com/open?id=1D-OdJ2X-9s09QkgcxtEgLAhS2j1jMsn9" TargetMode="External"/><Relationship Id="rId2389" Type="http://schemas.openxmlformats.org/officeDocument/2006/relationships/hyperlink" Target="https://drive.google.com/open?id=1zxpLZbr90rRWtsgNs5GI3UgtqB8NIdLZ" TargetMode="External"/><Relationship Id="rId1048" Type="http://schemas.openxmlformats.org/officeDocument/2006/relationships/hyperlink" Target="https://drive.google.com/open?id=1IPYB6RnzQzGoEm0J0xlzfLhYZlsdutq6" TargetMode="External"/><Relationship Id="rId2379" Type="http://schemas.openxmlformats.org/officeDocument/2006/relationships/hyperlink" Target="https://drive.google.com/open?id=1hPTctL4v4z6qBRbgZQK-gh_b4kvPx19V" TargetMode="External"/><Relationship Id="rId1049" Type="http://schemas.openxmlformats.org/officeDocument/2006/relationships/hyperlink" Target="https://drive.google.com/open?id=1aB27_XyU0I3lPWF8zwJ1uFX6RnpE-eHV" TargetMode="External"/><Relationship Id="rId217" Type="http://schemas.openxmlformats.org/officeDocument/2006/relationships/hyperlink" Target="https://drive.google.com/open?id=1bGi5rzGS0rNBmnx-_7I3XKxAIXiA9C_S" TargetMode="External"/><Relationship Id="rId216" Type="http://schemas.openxmlformats.org/officeDocument/2006/relationships/hyperlink" Target="https://drive.google.com/open?id=1TZfKBV6EnkLSvpf2c58aqDivKMwO-dOs" TargetMode="External"/><Relationship Id="rId215" Type="http://schemas.openxmlformats.org/officeDocument/2006/relationships/hyperlink" Target="https://drive.google.com/open?id=1Wx3iUXwJIm7bva7DEW92K76DdXAE1XuR" TargetMode="External"/><Relationship Id="rId214" Type="http://schemas.openxmlformats.org/officeDocument/2006/relationships/hyperlink" Target="https://drive.google.com/open?id=15jrVnwAFlGlG5iBFp3Um-QrHrDUkgviq" TargetMode="External"/><Relationship Id="rId219" Type="http://schemas.openxmlformats.org/officeDocument/2006/relationships/hyperlink" Target="https://drive.google.com/open?id=1OT17uuPZKi-KsmuFeuzicMJP9ez-l8dY" TargetMode="External"/><Relationship Id="rId218" Type="http://schemas.openxmlformats.org/officeDocument/2006/relationships/hyperlink" Target="https://drive.google.com/open?id=1KqCOuHxrrR94TJCVWJwlwekoOIT5cDKQ" TargetMode="External"/><Relationship Id="rId2370" Type="http://schemas.openxmlformats.org/officeDocument/2006/relationships/hyperlink" Target="https://drive.google.com/open?id=1SqteSYA99tJZGUU4bwMk5ieFHZKXpJCU" TargetMode="External"/><Relationship Id="rId1040" Type="http://schemas.openxmlformats.org/officeDocument/2006/relationships/hyperlink" Target="https://drive.google.com/open?id=1gSGBo6K0O6DKpDR88cLGD3cEoDQWWWFO" TargetMode="External"/><Relationship Id="rId2371" Type="http://schemas.openxmlformats.org/officeDocument/2006/relationships/hyperlink" Target="https://drive.google.com/open?id=1mJ2tOCG8g_iWIfwUOnaXtMbhPhlf_Mjm" TargetMode="External"/><Relationship Id="rId1041" Type="http://schemas.openxmlformats.org/officeDocument/2006/relationships/hyperlink" Target="https://drive.google.com/open?id=1AUbZtGofGWsdFW4FRGLYIKjmfxkPXfxZ" TargetMode="External"/><Relationship Id="rId2372" Type="http://schemas.openxmlformats.org/officeDocument/2006/relationships/hyperlink" Target="https://drive.google.com/open?id=1-EaT73fWTYstWQPGE_5Qlbd6gA8sYc3E" TargetMode="External"/><Relationship Id="rId1042" Type="http://schemas.openxmlformats.org/officeDocument/2006/relationships/hyperlink" Target="https://drive.google.com/open?id=1PQT5yZHQF0kf7LIGoFvIDI-onBwpVU6a" TargetMode="External"/><Relationship Id="rId2373" Type="http://schemas.openxmlformats.org/officeDocument/2006/relationships/hyperlink" Target="https://drive.google.com/open?id=1RxFfyEuWfjTOETznW4bAh1GyHehH86eU" TargetMode="External"/><Relationship Id="rId1043" Type="http://schemas.openxmlformats.org/officeDocument/2006/relationships/hyperlink" Target="https://drive.google.com/open?id=1e4StHp38hN0Eryc0WJuzBtdjuKzH7SxX" TargetMode="External"/><Relationship Id="rId2374" Type="http://schemas.openxmlformats.org/officeDocument/2006/relationships/hyperlink" Target="https://drive.google.com/open?id=1ahkF_9wHHuP06xbY8zW44WlIzLkqZG71" TargetMode="External"/><Relationship Id="rId213" Type="http://schemas.openxmlformats.org/officeDocument/2006/relationships/hyperlink" Target="https://drive.google.com/open?id=1P7Slkf3l73OKPxs0lqMoPbtWRGCx0_Bl" TargetMode="External"/><Relationship Id="rId1044" Type="http://schemas.openxmlformats.org/officeDocument/2006/relationships/hyperlink" Target="https://drive.google.com/open?id=1cJCA3Cx8BPDaiJvv9m_uOLscXUSCIJA1" TargetMode="External"/><Relationship Id="rId2375" Type="http://schemas.openxmlformats.org/officeDocument/2006/relationships/hyperlink" Target="https://drive.google.com/open?id=1LaWbGJ6aMnEjTbDPNcoVgGfNuVRo-QYZ" TargetMode="External"/><Relationship Id="rId212" Type="http://schemas.openxmlformats.org/officeDocument/2006/relationships/hyperlink" Target="https://drive.google.com/open?id=1sCGJzYrdGc8gEzYitIqpnVpEb-0Xdv1m" TargetMode="External"/><Relationship Id="rId1045" Type="http://schemas.openxmlformats.org/officeDocument/2006/relationships/hyperlink" Target="https://drive.google.com/open?id=1_4QC5Os_BkPTNKDo-YCW9EAbEDnlnJKR" TargetMode="External"/><Relationship Id="rId2376" Type="http://schemas.openxmlformats.org/officeDocument/2006/relationships/hyperlink" Target="https://drive.google.com/open?id=15U59WhjDsWjyF_lQepaGfJN7JavgnIdP" TargetMode="External"/><Relationship Id="rId211" Type="http://schemas.openxmlformats.org/officeDocument/2006/relationships/hyperlink" Target="https://drive.google.com/open?id=1ILElUhOhIvudzXTIDdVKbGJAEkIdDlRx" TargetMode="External"/><Relationship Id="rId1046" Type="http://schemas.openxmlformats.org/officeDocument/2006/relationships/hyperlink" Target="https://drive.google.com/open?id=1p9N8C7R-oOGhgliyBus_ISxZ40fxUPA1" TargetMode="External"/><Relationship Id="rId2377" Type="http://schemas.openxmlformats.org/officeDocument/2006/relationships/hyperlink" Target="https://drive.google.com/open?id=1r887JUZtH5zh8Rh6AiWgPJQKPsUU2dR1" TargetMode="External"/><Relationship Id="rId210" Type="http://schemas.openxmlformats.org/officeDocument/2006/relationships/hyperlink" Target="https://drive.google.com/open?id=1ip3WSi3cBkJqTogMY58f7EyCND9-SMqD" TargetMode="External"/><Relationship Id="rId1047" Type="http://schemas.openxmlformats.org/officeDocument/2006/relationships/hyperlink" Target="https://drive.google.com/open?id=1zkVfMYgbKSUkQmi-LigPmy4b1-fMgjI7" TargetMode="External"/><Relationship Id="rId2378" Type="http://schemas.openxmlformats.org/officeDocument/2006/relationships/hyperlink" Target="https://drive.google.com/open?id=13mfeMqqAdldcBz8v-l_TlgDdMkRZk5Su" TargetMode="External"/><Relationship Id="rId249" Type="http://schemas.openxmlformats.org/officeDocument/2006/relationships/hyperlink" Target="https://drive.google.com/open?id=1J5P1S4TtW2jloZT_5TmrW-ea8tJ028Xf" TargetMode="External"/><Relationship Id="rId248" Type="http://schemas.openxmlformats.org/officeDocument/2006/relationships/hyperlink" Target="https://drive.google.com/open?id=1nRbxeAJrAQoB77Rdvyv8oHnGFPkrwKkq" TargetMode="External"/><Relationship Id="rId247" Type="http://schemas.openxmlformats.org/officeDocument/2006/relationships/hyperlink" Target="https://drive.google.com/open?id=1qK9RekvwK0zz7fByIDS5nwjUVsOMX7Q-" TargetMode="External"/><Relationship Id="rId1070" Type="http://schemas.openxmlformats.org/officeDocument/2006/relationships/hyperlink" Target="https://drive.google.com/open?id=19ck90iAaServOE88BKgaaWWC081GVlJY" TargetMode="External"/><Relationship Id="rId1071" Type="http://schemas.openxmlformats.org/officeDocument/2006/relationships/hyperlink" Target="https://drive.google.com/open?id=1QiUfDS1Me5Z3YOe3PVkh1EWcZ8UvaB5j" TargetMode="External"/><Relationship Id="rId1072" Type="http://schemas.openxmlformats.org/officeDocument/2006/relationships/hyperlink" Target="https://drive.google.com/open?id=1edNwbxqnnOy8v8k8a9BYD6ZzmBYXF1bE" TargetMode="External"/><Relationship Id="rId242" Type="http://schemas.openxmlformats.org/officeDocument/2006/relationships/hyperlink" Target="https://drive.google.com/open?id=1qOS0A514aX7hRIaptjJoWOrxyM2hvoAS" TargetMode="External"/><Relationship Id="rId1073" Type="http://schemas.openxmlformats.org/officeDocument/2006/relationships/hyperlink" Target="https://drive.google.com/open?id=1iFZavkoKQOWEMWwQo0uq6X0XBSl926b3" TargetMode="External"/><Relationship Id="rId241" Type="http://schemas.openxmlformats.org/officeDocument/2006/relationships/hyperlink" Target="https://drive.google.com/open?id=12DFCy0HcVkr5percppudtehh9Fw9WsO7" TargetMode="External"/><Relationship Id="rId1074" Type="http://schemas.openxmlformats.org/officeDocument/2006/relationships/hyperlink" Target="https://drive.google.com/open?id=1DfQby_Xp-vqidneMVu3wjNxKHH8oUQcH" TargetMode="External"/><Relationship Id="rId240" Type="http://schemas.openxmlformats.org/officeDocument/2006/relationships/hyperlink" Target="https://drive.google.com/open?id=1gV5fZzhQy2iY67RmA9GVg3vs7h92_8HW" TargetMode="External"/><Relationship Id="rId1075" Type="http://schemas.openxmlformats.org/officeDocument/2006/relationships/hyperlink" Target="https://drive.google.com/open?id=1rLtdabWYNoQLf_BzSkMCAJjxEDXm0vRf" TargetMode="External"/><Relationship Id="rId1076" Type="http://schemas.openxmlformats.org/officeDocument/2006/relationships/hyperlink" Target="https://drive.google.com/open?id=1FjGGboBKuTq8jIW7yohYT5Jrhh6swWhX" TargetMode="External"/><Relationship Id="rId246" Type="http://schemas.openxmlformats.org/officeDocument/2006/relationships/hyperlink" Target="https://drive.google.com/open?id=1ngNlJOIWZW12FDFmL8utdYN3R0rNrlxl" TargetMode="External"/><Relationship Id="rId1077" Type="http://schemas.openxmlformats.org/officeDocument/2006/relationships/hyperlink" Target="https://drive.google.com/open?id=1TKA20ksyUfnfueOJBbRZqnkChWyoK0s6" TargetMode="External"/><Relationship Id="rId245" Type="http://schemas.openxmlformats.org/officeDocument/2006/relationships/hyperlink" Target="https://drive.google.com/open?id=1zl_RwkmOS0w8ikR813hYT4BhJLMGixE2" TargetMode="External"/><Relationship Id="rId1078" Type="http://schemas.openxmlformats.org/officeDocument/2006/relationships/hyperlink" Target="https://drive.google.com/open?id=1W3ERh-HNaHyvuQb-_SsOZc4xfB3n1qiz" TargetMode="External"/><Relationship Id="rId244" Type="http://schemas.openxmlformats.org/officeDocument/2006/relationships/hyperlink" Target="https://drive.google.com/open?id=11Q0rMrqCIRKFzMtp2XqK-5ugsLpeWx0F" TargetMode="External"/><Relationship Id="rId1079" Type="http://schemas.openxmlformats.org/officeDocument/2006/relationships/hyperlink" Target="https://drive.google.com/open?id=1kMWDITi2Rd0hVWgzlDT6bvFageh2NEIE" TargetMode="External"/><Relationship Id="rId243" Type="http://schemas.openxmlformats.org/officeDocument/2006/relationships/hyperlink" Target="https://drive.google.com/open?id=1id6KTLXXjoDG5zrNyYWKZRXTfR7-YePj" TargetMode="External"/><Relationship Id="rId239" Type="http://schemas.openxmlformats.org/officeDocument/2006/relationships/hyperlink" Target="https://drive.google.com/open?id=1_aRfonTynUMNBlh1zsF9qVXGNDOWhLj_" TargetMode="External"/><Relationship Id="rId238" Type="http://schemas.openxmlformats.org/officeDocument/2006/relationships/hyperlink" Target="https://drive.google.com/open?id=1Y_F_4VtrAjinbHJGIgBE1nnKkNNV8d6W" TargetMode="External"/><Relationship Id="rId237" Type="http://schemas.openxmlformats.org/officeDocument/2006/relationships/hyperlink" Target="https://drive.google.com/open?id=15WumgOQHMY_xMqy4LZyM5K1-M87ww6HK" TargetMode="External"/><Relationship Id="rId236" Type="http://schemas.openxmlformats.org/officeDocument/2006/relationships/hyperlink" Target="https://drive.google.com/open?id=1U8fgHCe1Wq-Mrsvla0vWxHMjHqV6v683" TargetMode="External"/><Relationship Id="rId2390" Type="http://schemas.openxmlformats.org/officeDocument/2006/relationships/hyperlink" Target="https://drive.google.com/open?id=1-q10pjbOUic5R6DYFzzVrzQZE-ehuzs_" TargetMode="External"/><Relationship Id="rId1060" Type="http://schemas.openxmlformats.org/officeDocument/2006/relationships/hyperlink" Target="https://drive.google.com/open?id=1oUEn2Y1J0XN1UaIQ9FMkEGzCZPqwySUj" TargetMode="External"/><Relationship Id="rId2391" Type="http://schemas.openxmlformats.org/officeDocument/2006/relationships/hyperlink" Target="https://drive.google.com/open?id=1T2qeotTxsQKhP2gIWM_RqAfi85R6hWXZ" TargetMode="External"/><Relationship Id="rId1061" Type="http://schemas.openxmlformats.org/officeDocument/2006/relationships/hyperlink" Target="https://drive.google.com/open?id=1NjqIaUctqGd4O4XjwGCd17N2u8oNTLlU" TargetMode="External"/><Relationship Id="rId2392" Type="http://schemas.openxmlformats.org/officeDocument/2006/relationships/hyperlink" Target="https://drive.google.com/open?id=1a9apMAStMUaoTT0BR4bkQzc7ZM92hi_R" TargetMode="External"/><Relationship Id="rId231" Type="http://schemas.openxmlformats.org/officeDocument/2006/relationships/hyperlink" Target="https://drive.google.com/open?id=1mAQPHHvFjYLWUVd1XfGzPAbDljg3HRgA" TargetMode="External"/><Relationship Id="rId1062" Type="http://schemas.openxmlformats.org/officeDocument/2006/relationships/hyperlink" Target="https://drive.google.com/open?id=1H6ayAlHH4MGBL-ukuBOWAitqfJcGGer0" TargetMode="External"/><Relationship Id="rId2393" Type="http://schemas.openxmlformats.org/officeDocument/2006/relationships/hyperlink" Target="https://drive.google.com/open?id=1Bnoik8jgb7gAm3tPUPFc26dgfMhHGPb-" TargetMode="External"/><Relationship Id="rId230" Type="http://schemas.openxmlformats.org/officeDocument/2006/relationships/hyperlink" Target="https://drive.google.com/open?id=17E_tqJZBEAAp6UYMIuhNC-dAy_h5B9BI" TargetMode="External"/><Relationship Id="rId1063" Type="http://schemas.openxmlformats.org/officeDocument/2006/relationships/hyperlink" Target="https://drive.google.com/open?id=1p13fnwiKjTUNbF4ZJ35F26Rxm7lXwl2T" TargetMode="External"/><Relationship Id="rId2394" Type="http://schemas.openxmlformats.org/officeDocument/2006/relationships/hyperlink" Target="https://drive.google.com/open?id=1KmiSCQcW5OQ51ZsvSghjKDodPQ-FbXli" TargetMode="External"/><Relationship Id="rId1064" Type="http://schemas.openxmlformats.org/officeDocument/2006/relationships/hyperlink" Target="https://drive.google.com/open?id=1X9CwoaZBTIgxZyoVVe5LV6L_jwIVoWA4" TargetMode="External"/><Relationship Id="rId2395" Type="http://schemas.openxmlformats.org/officeDocument/2006/relationships/hyperlink" Target="https://drive.google.com/open?id=1NPNwQMU7UTmR-tga5fqyl3y0okf1NrfS" TargetMode="External"/><Relationship Id="rId1065" Type="http://schemas.openxmlformats.org/officeDocument/2006/relationships/hyperlink" Target="https://drive.google.com/open?id=12j2QSX7S6BF6M7J_glHtVh9EZJ9msfdC" TargetMode="External"/><Relationship Id="rId2396" Type="http://schemas.openxmlformats.org/officeDocument/2006/relationships/hyperlink" Target="https://drive.google.com/open?id=15uje_9rSHQ417aIVPiC89tEIoOIGI_zP" TargetMode="External"/><Relationship Id="rId235" Type="http://schemas.openxmlformats.org/officeDocument/2006/relationships/hyperlink" Target="https://drive.google.com/open?id=1Ex05584BgKtLoYSqapwalC4lCaoPCnDt" TargetMode="External"/><Relationship Id="rId1066" Type="http://schemas.openxmlformats.org/officeDocument/2006/relationships/hyperlink" Target="https://drive.google.com/open?id=1HfRtX3FxiwkbVbuOLsmN_ew1r-yLtclz" TargetMode="External"/><Relationship Id="rId2397" Type="http://schemas.openxmlformats.org/officeDocument/2006/relationships/hyperlink" Target="https://drive.google.com/open?id=1B8fDKPHzLgD4rgmbjdjASc2OU__BET0q" TargetMode="External"/><Relationship Id="rId234" Type="http://schemas.openxmlformats.org/officeDocument/2006/relationships/hyperlink" Target="https://drive.google.com/open?id=1l92P4lzynWIGnIIoahUJtJBUj1e6JeQo" TargetMode="External"/><Relationship Id="rId1067" Type="http://schemas.openxmlformats.org/officeDocument/2006/relationships/hyperlink" Target="https://drive.google.com/open?id=1Ka6Nz4oVoucDTRnjtQ6GVHAJb7fdYmb3" TargetMode="External"/><Relationship Id="rId2398" Type="http://schemas.openxmlformats.org/officeDocument/2006/relationships/hyperlink" Target="https://drive.google.com/open?id=1y0oIpoSRQEL89u3jmExH3YlKsWv5Sosq" TargetMode="External"/><Relationship Id="rId233" Type="http://schemas.openxmlformats.org/officeDocument/2006/relationships/hyperlink" Target="https://drive.google.com/open?id=1LaFYQJOhsKB8x5Q1bX7IE60MWmgl9BX7" TargetMode="External"/><Relationship Id="rId1068" Type="http://schemas.openxmlformats.org/officeDocument/2006/relationships/hyperlink" Target="https://drive.google.com/open?id=1ag0N08MlNQJUfXowvPLvwTI8CfYkiN2l" TargetMode="External"/><Relationship Id="rId2399" Type="http://schemas.openxmlformats.org/officeDocument/2006/relationships/hyperlink" Target="https://drive.google.com/open?id=10LfHkug_Em63aTau-J6foLpClbvSzvn1" TargetMode="External"/><Relationship Id="rId232" Type="http://schemas.openxmlformats.org/officeDocument/2006/relationships/hyperlink" Target="https://drive.google.com/open?id=198WA8MRpJY15gxksH7TRe0lS1lZsckda" TargetMode="External"/><Relationship Id="rId1069" Type="http://schemas.openxmlformats.org/officeDocument/2006/relationships/hyperlink" Target="https://drive.google.com/open?id=13R4P5FFawLxDotFlaHa0_mIk2LBO0w4c" TargetMode="External"/><Relationship Id="rId1015" Type="http://schemas.openxmlformats.org/officeDocument/2006/relationships/hyperlink" Target="https://drive.google.com/open?id=1Y0-SCNndu1arLIXPPquJf7jWusqxdoTg" TargetMode="External"/><Relationship Id="rId2346" Type="http://schemas.openxmlformats.org/officeDocument/2006/relationships/hyperlink" Target="https://drive.google.com/open?id=1EYrkDpXv38eAa_h2piP_cpUoUDVIwlIC" TargetMode="External"/><Relationship Id="rId3678" Type="http://schemas.openxmlformats.org/officeDocument/2006/relationships/hyperlink" Target="https://drive.google.com/open?id=1kvW7DoGqv6rDLgrzIDy65dQn1AWDq3eN" TargetMode="External"/><Relationship Id="rId1016" Type="http://schemas.openxmlformats.org/officeDocument/2006/relationships/hyperlink" Target="https://drive.google.com/open?id=1vk730M4KiP4Ng0-0zKullTzsbtDQcLj-" TargetMode="External"/><Relationship Id="rId2347" Type="http://schemas.openxmlformats.org/officeDocument/2006/relationships/hyperlink" Target="https://drive.google.com/open?id=1QOBmYEisHnP8f4Mlw3cPlhtCPIOiXb9R" TargetMode="External"/><Relationship Id="rId3677" Type="http://schemas.openxmlformats.org/officeDocument/2006/relationships/hyperlink" Target="https://drive.google.com/open?id=1KTMrtH2xU4NqF9mb871lrZEocHpLQeKe" TargetMode="External"/><Relationship Id="rId1017" Type="http://schemas.openxmlformats.org/officeDocument/2006/relationships/hyperlink" Target="https://drive.google.com/open?id=1jtSDECqFX-6btcF2eNWLjOwo6qYdxtEe" TargetMode="External"/><Relationship Id="rId2348" Type="http://schemas.openxmlformats.org/officeDocument/2006/relationships/hyperlink" Target="https://drive.google.com/open?id=1LycSg8pOrlDaswl5XeC0SDGxnNJ02FGk" TargetMode="External"/><Relationship Id="rId1018" Type="http://schemas.openxmlformats.org/officeDocument/2006/relationships/hyperlink" Target="https://drive.google.com/open?id=1VR2FLm8JpMi9MOn0hzZoTq--xRblgipc" TargetMode="External"/><Relationship Id="rId2349" Type="http://schemas.openxmlformats.org/officeDocument/2006/relationships/hyperlink" Target="https://drive.google.com/open?id=1B7IRJGOC2Kdf8UjFeutQT2eOVjFOTf4v" TargetMode="External"/><Relationship Id="rId3679" Type="http://schemas.openxmlformats.org/officeDocument/2006/relationships/hyperlink" Target="https://drive.google.com/open?id=1_C5S05HVQVGoSQpgWlNQ-pqG5pQ_Z7qZ" TargetMode="External"/><Relationship Id="rId1019" Type="http://schemas.openxmlformats.org/officeDocument/2006/relationships/hyperlink" Target="https://drive.google.com/open?id=1IiKDJ4s7PAyBk7nxlVMIfTwysV7AH9l2" TargetMode="External"/><Relationship Id="rId3670" Type="http://schemas.openxmlformats.org/officeDocument/2006/relationships/hyperlink" Target="https://drive.google.com/open?id=1gHuZxl1hojykc5o2mJWgH4KtqkrWRQry" TargetMode="External"/><Relationship Id="rId2340" Type="http://schemas.openxmlformats.org/officeDocument/2006/relationships/hyperlink" Target="https://drive.google.com/open?id=1lJxuJrdj5SOm4JWLdai57alcIrSvGGcQ" TargetMode="External"/><Relationship Id="rId3672" Type="http://schemas.openxmlformats.org/officeDocument/2006/relationships/hyperlink" Target="https://drive.google.com/open?id=1Mw7rg6scqI_mhmuNFJYB0PUlvfHxYRFG" TargetMode="External"/><Relationship Id="rId1010" Type="http://schemas.openxmlformats.org/officeDocument/2006/relationships/hyperlink" Target="https://drive.google.com/open?id=1YYehH-tgjjVs0_liIeHJXVt0F5yRA0e2" TargetMode="External"/><Relationship Id="rId2341" Type="http://schemas.openxmlformats.org/officeDocument/2006/relationships/hyperlink" Target="https://drive.google.com/open?id=1Q0NC1Rh63bRGmL35jb3lVmYNPZ_uA6tr" TargetMode="External"/><Relationship Id="rId3671" Type="http://schemas.openxmlformats.org/officeDocument/2006/relationships/hyperlink" Target="https://drive.google.com/open?id=1kt1yxzU-H0TWm3M3b_jFqoZ-Z6Uq9GxY" TargetMode="External"/><Relationship Id="rId1011" Type="http://schemas.openxmlformats.org/officeDocument/2006/relationships/hyperlink" Target="https://drive.google.com/open?id=1NdHNaPrYLBy5CaBIJcItH6ub2MPTL5eH" TargetMode="External"/><Relationship Id="rId2342" Type="http://schemas.openxmlformats.org/officeDocument/2006/relationships/hyperlink" Target="https://drive.google.com/open?id=1c55vhOaGZUSnNDrzQd-4GLT8IuR9yUNt" TargetMode="External"/><Relationship Id="rId3674" Type="http://schemas.openxmlformats.org/officeDocument/2006/relationships/hyperlink" Target="https://drive.google.com/open?id=1mRo2a8hj-Ju_75CVQt4sDDuU0g0HDr5J" TargetMode="External"/><Relationship Id="rId1012" Type="http://schemas.openxmlformats.org/officeDocument/2006/relationships/hyperlink" Target="https://drive.google.com/open?id=1-woueahYNHdGUv7AEGmPuEylBqc3OfAA" TargetMode="External"/><Relationship Id="rId2343" Type="http://schemas.openxmlformats.org/officeDocument/2006/relationships/hyperlink" Target="https://drive.google.com/open?id=1sH3cMsSiphmBirQR-WbbSMpKJFCa8ofw" TargetMode="External"/><Relationship Id="rId3673" Type="http://schemas.openxmlformats.org/officeDocument/2006/relationships/hyperlink" Target="https://drive.google.com/open?id=1LpUKMUnDxQjl_-ubaLloHONT6F5SKjKe" TargetMode="External"/><Relationship Id="rId1013" Type="http://schemas.openxmlformats.org/officeDocument/2006/relationships/hyperlink" Target="https://drive.google.com/open?id=1XkuX0dDcGVf862fqS20skVeueKFvCupa" TargetMode="External"/><Relationship Id="rId2344" Type="http://schemas.openxmlformats.org/officeDocument/2006/relationships/hyperlink" Target="https://drive.google.com/open?id=17QXb3IFxsG5Mpooz39ZLu9q5k-XrPMOM" TargetMode="External"/><Relationship Id="rId3676" Type="http://schemas.openxmlformats.org/officeDocument/2006/relationships/hyperlink" Target="https://drive.google.com/open?id=1x4tXh9FFvfwwrf7II-aR6mnFOykYeoD3" TargetMode="External"/><Relationship Id="rId1014" Type="http://schemas.openxmlformats.org/officeDocument/2006/relationships/hyperlink" Target="https://drive.google.com/open?id=1-mqYyiDoAo9YxfAEIPIZ3E1L683D78qm" TargetMode="External"/><Relationship Id="rId2345" Type="http://schemas.openxmlformats.org/officeDocument/2006/relationships/hyperlink" Target="https://drive.google.com/open?id=1zvkG487w0ayFV6v1dsGWepS9pdxhzQ2m" TargetMode="External"/><Relationship Id="rId3675" Type="http://schemas.openxmlformats.org/officeDocument/2006/relationships/hyperlink" Target="https://drive.google.com/open?id=1_d4X7x1XH1yfhwdiC7fG7hSVeeWDYl-_" TargetMode="External"/><Relationship Id="rId1004" Type="http://schemas.openxmlformats.org/officeDocument/2006/relationships/hyperlink" Target="https://drive.google.com/open?id=13IL7gqDJaBHuERaGonz5cxsamvrOZgVH" TargetMode="External"/><Relationship Id="rId2335" Type="http://schemas.openxmlformats.org/officeDocument/2006/relationships/hyperlink" Target="https://drive.google.com/open?id=1qM2id16OMy2BjMDeDh12IuZRv1GAncv-" TargetMode="External"/><Relationship Id="rId3667" Type="http://schemas.openxmlformats.org/officeDocument/2006/relationships/hyperlink" Target="https://drive.google.com/open?id=1_5bDKrQ5DpKIglTh1xJTuxfaZ4OnwUdj" TargetMode="External"/><Relationship Id="rId1005" Type="http://schemas.openxmlformats.org/officeDocument/2006/relationships/hyperlink" Target="https://drive.google.com/open?id=12LDZcTAXyrW2roSb-o5dzb64l4r203c1" TargetMode="External"/><Relationship Id="rId2336" Type="http://schemas.openxmlformats.org/officeDocument/2006/relationships/hyperlink" Target="https://drive.google.com/open?id=1EolThBtJGmHRkfhP9pHTkiwAw1jq4Jdk" TargetMode="External"/><Relationship Id="rId3666" Type="http://schemas.openxmlformats.org/officeDocument/2006/relationships/hyperlink" Target="https://drive.google.com/open?id=1BrEwt4YEu8uSiV4Ap_qxO4wss17RC_y0" TargetMode="External"/><Relationship Id="rId1006" Type="http://schemas.openxmlformats.org/officeDocument/2006/relationships/hyperlink" Target="https://drive.google.com/open?id=1hA1AaMLv4ifBo15rdn4kbshqQFnHZ9_H" TargetMode="External"/><Relationship Id="rId2337" Type="http://schemas.openxmlformats.org/officeDocument/2006/relationships/hyperlink" Target="https://drive.google.com/open?id=1DFPub3FW5RzPJiMMuci1XH2UVAOGb9Rs" TargetMode="External"/><Relationship Id="rId3669" Type="http://schemas.openxmlformats.org/officeDocument/2006/relationships/hyperlink" Target="https://drive.google.com/open?id=1dQMlAB0SxMKc6rdzWV3RLJ2Mq_JvL_AL" TargetMode="External"/><Relationship Id="rId1007" Type="http://schemas.openxmlformats.org/officeDocument/2006/relationships/hyperlink" Target="https://drive.google.com/open?id=1bRUwyfm0CH_6vvfLJbr1QSXCFdCFBOKu" TargetMode="External"/><Relationship Id="rId2338" Type="http://schemas.openxmlformats.org/officeDocument/2006/relationships/hyperlink" Target="https://drive.google.com/open?id=1xkSmKYVZ534wUKScMTypETJY58hC_GmI" TargetMode="External"/><Relationship Id="rId3668" Type="http://schemas.openxmlformats.org/officeDocument/2006/relationships/hyperlink" Target="https://drive.google.com/open?id=1FyOYGmPwbAPMJFYjOzul09gIAv1CtfxK" TargetMode="External"/><Relationship Id="rId1008" Type="http://schemas.openxmlformats.org/officeDocument/2006/relationships/hyperlink" Target="https://drive.google.com/open?id=1tJc6kxLXUy9mIqGIzImuzLHzz2rTNAw8" TargetMode="External"/><Relationship Id="rId2339" Type="http://schemas.openxmlformats.org/officeDocument/2006/relationships/hyperlink" Target="https://drive.google.com/open?id=1GIbDqWPYRb7x5bbApTLC3CMfjlf0QugU" TargetMode="External"/><Relationship Id="rId1009" Type="http://schemas.openxmlformats.org/officeDocument/2006/relationships/hyperlink" Target="https://drive.google.com/open?id=1IflsUFcE7vzEYI01jY16R4tL9lbTduzN" TargetMode="External"/><Relationship Id="rId3661" Type="http://schemas.openxmlformats.org/officeDocument/2006/relationships/hyperlink" Target="https://drive.google.com/open?id=1ShFeBbFCZa_97378TjCS7atvoXaYcNVg" TargetMode="External"/><Relationship Id="rId2330" Type="http://schemas.openxmlformats.org/officeDocument/2006/relationships/hyperlink" Target="https://drive.google.com/open?id=19DGMRQLpuSFqxgPIvJVxkNxMWHvfw9p6" TargetMode="External"/><Relationship Id="rId3660" Type="http://schemas.openxmlformats.org/officeDocument/2006/relationships/hyperlink" Target="https://drive.google.com/open?id=1CtyjbHGslATUwjmXoGjza32nOp2XYreL" TargetMode="External"/><Relationship Id="rId1000" Type="http://schemas.openxmlformats.org/officeDocument/2006/relationships/hyperlink" Target="https://drive.google.com/open?id=1blM5SwC13lkhBkdijGxygH3Mr3L5F19M" TargetMode="External"/><Relationship Id="rId2331" Type="http://schemas.openxmlformats.org/officeDocument/2006/relationships/hyperlink" Target="https://drive.google.com/open?id=1t9kwLIeItji8dOcW5CbKKBzdODKTi6OR" TargetMode="External"/><Relationship Id="rId3663" Type="http://schemas.openxmlformats.org/officeDocument/2006/relationships/hyperlink" Target="https://drive.google.com/open?id=1AnQxla8kO6m05vDkDmG_E6LFAcgmNpkA" TargetMode="External"/><Relationship Id="rId1001" Type="http://schemas.openxmlformats.org/officeDocument/2006/relationships/hyperlink" Target="https://drive.google.com/open?id=1cOK31Rb9aWlDzd061SKmFH4pBQ7vf17Z" TargetMode="External"/><Relationship Id="rId2332" Type="http://schemas.openxmlformats.org/officeDocument/2006/relationships/hyperlink" Target="https://drive.google.com/open?id=1yjhId87W0CxBAIBYx2g_bhRvdlwgxxCT" TargetMode="External"/><Relationship Id="rId3662" Type="http://schemas.openxmlformats.org/officeDocument/2006/relationships/hyperlink" Target="https://drive.google.com/open?id=1pqS4TuDAZxApFguYdt9LuWpLRVAlcY5g" TargetMode="External"/><Relationship Id="rId1002" Type="http://schemas.openxmlformats.org/officeDocument/2006/relationships/hyperlink" Target="https://drive.google.com/open?id=1ksiO6zDsKL6U2cPLsiuKv_y442xddFdK" TargetMode="External"/><Relationship Id="rId2333" Type="http://schemas.openxmlformats.org/officeDocument/2006/relationships/hyperlink" Target="https://drive.google.com/open?id=1fv54jlrYcjZEBUFs2oUr9PZCv5xf7-Bq" TargetMode="External"/><Relationship Id="rId3665" Type="http://schemas.openxmlformats.org/officeDocument/2006/relationships/hyperlink" Target="https://drive.google.com/open?id=1jIpaBQiU5XIUKlGQ9-a1Q5WpsZdGxB_H" TargetMode="External"/><Relationship Id="rId1003" Type="http://schemas.openxmlformats.org/officeDocument/2006/relationships/hyperlink" Target="https://drive.google.com/open?id=1pKTfc0kEtr9L91nSfP3LpNAy3pSqzdWf" TargetMode="External"/><Relationship Id="rId2334" Type="http://schemas.openxmlformats.org/officeDocument/2006/relationships/hyperlink" Target="https://drive.google.com/open?id=1eOwj5Eu708j96F_MLmOmu4Ovp4myOPLq" TargetMode="External"/><Relationship Id="rId3664" Type="http://schemas.openxmlformats.org/officeDocument/2006/relationships/hyperlink" Target="https://drive.google.com/open?id=1QhKvki5BteI6iYnDiauVZWOmIdfwxtCW" TargetMode="External"/><Relationship Id="rId1037" Type="http://schemas.openxmlformats.org/officeDocument/2006/relationships/hyperlink" Target="https://drive.google.com/open?id=1wg2foLc1rW1S_JhQqJ2iwe2MCe70gulM" TargetMode="External"/><Relationship Id="rId2368" Type="http://schemas.openxmlformats.org/officeDocument/2006/relationships/hyperlink" Target="https://drive.google.com/open?id=16ZKpu5-Har-iGpbDhnpb8DCAipyvDHe8" TargetMode="External"/><Relationship Id="rId1038" Type="http://schemas.openxmlformats.org/officeDocument/2006/relationships/hyperlink" Target="https://drive.google.com/open?id=1hMGwhEUxl7frP1GRJkDE4dn8LpFMWXHP" TargetMode="External"/><Relationship Id="rId2369" Type="http://schemas.openxmlformats.org/officeDocument/2006/relationships/hyperlink" Target="https://drive.google.com/open?id=1MkVx5SmFM2CBfgaQpLqjrX4MjOr-O7UL" TargetMode="External"/><Relationship Id="rId3699" Type="http://schemas.openxmlformats.org/officeDocument/2006/relationships/hyperlink" Target="https://drive.google.com/open?id=1mL30Td82DP3GZ2zoU-hpRmZMsIF7ClT4" TargetMode="External"/><Relationship Id="rId1039" Type="http://schemas.openxmlformats.org/officeDocument/2006/relationships/hyperlink" Target="https://drive.google.com/open?id=1LMpqJIh-0mqMa0Y2MmVz9_86QmwKmn9W" TargetMode="External"/><Relationship Id="rId206" Type="http://schemas.openxmlformats.org/officeDocument/2006/relationships/hyperlink" Target="https://drive.google.com/open?id=140lrf3Ade2gvTmNHfgqn_4Ayqh0z_dB5" TargetMode="External"/><Relationship Id="rId205" Type="http://schemas.openxmlformats.org/officeDocument/2006/relationships/hyperlink" Target="https://drive.google.com/open?id=1c3X4V7QOU9x47abaZFog0kprQYpf_VSh" TargetMode="External"/><Relationship Id="rId204" Type="http://schemas.openxmlformats.org/officeDocument/2006/relationships/hyperlink" Target="https://drive.google.com/open?id=16f9m79wym1fDKlvtWcJxK9Ubnv03L952" TargetMode="External"/><Relationship Id="rId203" Type="http://schemas.openxmlformats.org/officeDocument/2006/relationships/hyperlink" Target="https://drive.google.com/open?id=1uB8WXoBBKgDE2tWmQ3motONlmZw60NG_" TargetMode="External"/><Relationship Id="rId209" Type="http://schemas.openxmlformats.org/officeDocument/2006/relationships/hyperlink" Target="https://drive.google.com/open?id=1hgxrLwqZM0eijVU_AJKBTvF7Oxy3NlOj" TargetMode="External"/><Relationship Id="rId208" Type="http://schemas.openxmlformats.org/officeDocument/2006/relationships/hyperlink" Target="https://drive.google.com/open?id=1kpzMpubL_YFECGPoF5CJsfTe15EZBJKi" TargetMode="External"/><Relationship Id="rId3690" Type="http://schemas.openxmlformats.org/officeDocument/2006/relationships/hyperlink" Target="https://drive.google.com/open?id=1mB-zpX7FeUxb5YuIbkhPUzVAVnpSioYo" TargetMode="External"/><Relationship Id="rId207" Type="http://schemas.openxmlformats.org/officeDocument/2006/relationships/hyperlink" Target="https://drive.google.com/open?id=1AfYD7OChH444PreQqEJTiip1eBLJWnEx" TargetMode="External"/><Relationship Id="rId2360" Type="http://schemas.openxmlformats.org/officeDocument/2006/relationships/hyperlink" Target="https://drive.google.com/open?id=1JEiZ9XUDplWs0QtekMFFwGOD1zrt9wj7" TargetMode="External"/><Relationship Id="rId3692" Type="http://schemas.openxmlformats.org/officeDocument/2006/relationships/hyperlink" Target="https://drive.google.com/open?id=1qBne1p3inJ15otLk05tRDiAc4GDOyQkS" TargetMode="External"/><Relationship Id="rId1030" Type="http://schemas.openxmlformats.org/officeDocument/2006/relationships/hyperlink" Target="https://drive.google.com/open?id=1uXMBpFtcRgZ3BolDqgwdh0isPlsx4Ly8" TargetMode="External"/><Relationship Id="rId2361" Type="http://schemas.openxmlformats.org/officeDocument/2006/relationships/hyperlink" Target="https://drive.google.com/open?id=1o1gIXZBfqpEW0cW-CZW8jZAF6ZjZa40m" TargetMode="External"/><Relationship Id="rId3691" Type="http://schemas.openxmlformats.org/officeDocument/2006/relationships/hyperlink" Target="https://drive.google.com/open?id=1bvg0Pd-i9mA27HXiBrOU5s-v5rgxd4fQ" TargetMode="External"/><Relationship Id="rId1031" Type="http://schemas.openxmlformats.org/officeDocument/2006/relationships/hyperlink" Target="https://drive.google.com/open?id=1RiTvwxx8ABaSVkSz-0LAHBQPQbSCkNkW" TargetMode="External"/><Relationship Id="rId2362" Type="http://schemas.openxmlformats.org/officeDocument/2006/relationships/hyperlink" Target="https://drive.google.com/open?id=1yGSJnnp7Tjas6GmBNil-cFFpa27ll2-M" TargetMode="External"/><Relationship Id="rId3694" Type="http://schemas.openxmlformats.org/officeDocument/2006/relationships/hyperlink" Target="https://drive.google.com/open?id=1aJc0fS-y_vtSqKZw__58sPeZg9miMomW" TargetMode="External"/><Relationship Id="rId1032" Type="http://schemas.openxmlformats.org/officeDocument/2006/relationships/hyperlink" Target="https://drive.google.com/open?id=1IGM2P11_yjxVWffCSK45j0LnYQc-wevK" TargetMode="External"/><Relationship Id="rId2363" Type="http://schemas.openxmlformats.org/officeDocument/2006/relationships/hyperlink" Target="https://drive.google.com/open?id=1XSoXs3sxyst0AncsXMk23EzdKPdDS0iM" TargetMode="External"/><Relationship Id="rId3693" Type="http://schemas.openxmlformats.org/officeDocument/2006/relationships/hyperlink" Target="https://drive.google.com/open?id=14wVNWqEYJqOzuPY6E9gH5q6BWXtOg6y6" TargetMode="External"/><Relationship Id="rId202" Type="http://schemas.openxmlformats.org/officeDocument/2006/relationships/hyperlink" Target="https://drive.google.com/open?id=1kJINEhXAntjGYIaa5pEljUVb5CP4v-vk" TargetMode="External"/><Relationship Id="rId1033" Type="http://schemas.openxmlformats.org/officeDocument/2006/relationships/hyperlink" Target="https://drive.google.com/open?id=16yJpEuPDq1PrU34M11xqX31u2GbOBzYC" TargetMode="External"/><Relationship Id="rId2364" Type="http://schemas.openxmlformats.org/officeDocument/2006/relationships/hyperlink" Target="https://drive.google.com/open?id=11kUPcmK2YWtn9qtoC0OPiVCP3Y3mEhwu" TargetMode="External"/><Relationship Id="rId3696" Type="http://schemas.openxmlformats.org/officeDocument/2006/relationships/hyperlink" Target="https://drive.google.com/open?id=17Ly_bhvbZWbwh2ijsNXPoCgMzf6NrOxB" TargetMode="External"/><Relationship Id="rId201" Type="http://schemas.openxmlformats.org/officeDocument/2006/relationships/hyperlink" Target="https://drive.google.com/open?id=1FQ3scDGcacQYLreNO7u77E-3qECpAaiV" TargetMode="External"/><Relationship Id="rId1034" Type="http://schemas.openxmlformats.org/officeDocument/2006/relationships/hyperlink" Target="https://drive.google.com/open?id=1l9rKrAR99zeglzH-a8FJ6Tbjf38xwKO0" TargetMode="External"/><Relationship Id="rId2365" Type="http://schemas.openxmlformats.org/officeDocument/2006/relationships/hyperlink" Target="https://drive.google.com/open?id=1ZS3FTeTi3qN-ifUGEJSCDlhJwnB1bgar" TargetMode="External"/><Relationship Id="rId3695" Type="http://schemas.openxmlformats.org/officeDocument/2006/relationships/hyperlink" Target="https://drive.google.com/open?id=1bjgXQf4z7t-YkRZJ6QNpsUizihlegj19" TargetMode="External"/><Relationship Id="rId200" Type="http://schemas.openxmlformats.org/officeDocument/2006/relationships/hyperlink" Target="https://drive.google.com/open?id=1h9XNm7W8AwmY0nHMm1xCebDPzERm6HeO" TargetMode="External"/><Relationship Id="rId1035" Type="http://schemas.openxmlformats.org/officeDocument/2006/relationships/hyperlink" Target="https://drive.google.com/open?id=1zdzSCdyXNpfUEUpx1iZ6m6M1QRuE5z8S" TargetMode="External"/><Relationship Id="rId2366" Type="http://schemas.openxmlformats.org/officeDocument/2006/relationships/hyperlink" Target="https://drive.google.com/open?id=1DqWbJKbcYDGs_NA7coBO7ZOMd1LpuUk0" TargetMode="External"/><Relationship Id="rId3698" Type="http://schemas.openxmlformats.org/officeDocument/2006/relationships/hyperlink" Target="https://drive.google.com/open?id=1JyX_LB0fmQzyTFuPLyfGBF2wjXNYHf4m" TargetMode="External"/><Relationship Id="rId1036" Type="http://schemas.openxmlformats.org/officeDocument/2006/relationships/hyperlink" Target="https://drive.google.com/open?id=1X9wfY0U2BOOgDyE5IF2YfykdIU_hiIQz" TargetMode="External"/><Relationship Id="rId2367" Type="http://schemas.openxmlformats.org/officeDocument/2006/relationships/hyperlink" Target="https://drive.google.com/open?id=1R_YoDVo2NOhVMIoUJYaqoR74pPrisi_y" TargetMode="External"/><Relationship Id="rId3697" Type="http://schemas.openxmlformats.org/officeDocument/2006/relationships/hyperlink" Target="https://drive.google.com/open?id=1DPGQnCuNBUmHzfPAHUZSBQe2CBO80Zic" TargetMode="External"/><Relationship Id="rId1026" Type="http://schemas.openxmlformats.org/officeDocument/2006/relationships/hyperlink" Target="https://drive.google.com/open?id=1tydLgS0pYOSX6eNXdQXueuxizDBC70aN" TargetMode="External"/><Relationship Id="rId2357" Type="http://schemas.openxmlformats.org/officeDocument/2006/relationships/hyperlink" Target="https://drive.google.com/open?id=1jP5zxDaPS1lcenB85pELW1wNj3BwwMHY" TargetMode="External"/><Relationship Id="rId3689" Type="http://schemas.openxmlformats.org/officeDocument/2006/relationships/hyperlink" Target="https://drive.google.com/open?id=1shmZNMfaK6G8kKURiIgnOSo-AYqYe8-c" TargetMode="External"/><Relationship Id="rId1027" Type="http://schemas.openxmlformats.org/officeDocument/2006/relationships/hyperlink" Target="https://drive.google.com/open?id=1sGw90McxLf2C0G7ih5zO-wRycpf7EcX6" TargetMode="External"/><Relationship Id="rId2358" Type="http://schemas.openxmlformats.org/officeDocument/2006/relationships/hyperlink" Target="https://drive.google.com/open?id=1VY-wwUO0_C1J7VuJCvfATAB5dVbRU6Ew" TargetMode="External"/><Relationship Id="rId3688" Type="http://schemas.openxmlformats.org/officeDocument/2006/relationships/hyperlink" Target="https://drive.google.com/open?id=1k7yvQdpFT2rnAzzmmJ6Fym_1C25Gckqx" TargetMode="External"/><Relationship Id="rId1028" Type="http://schemas.openxmlformats.org/officeDocument/2006/relationships/hyperlink" Target="https://drive.google.com/open?id=1hCGwODGuv3i_oUhIaB0hhhHZUxB2t_HZ" TargetMode="External"/><Relationship Id="rId2359" Type="http://schemas.openxmlformats.org/officeDocument/2006/relationships/hyperlink" Target="https://drive.google.com/open?id=1mKQZrG-P6Blg1R3zW4dSVEd3-wX2fTel" TargetMode="External"/><Relationship Id="rId1029" Type="http://schemas.openxmlformats.org/officeDocument/2006/relationships/hyperlink" Target="https://drive.google.com/open?id=1t2XBV6ReNI16XbWToBrfnKnDv5E53g4X" TargetMode="External"/><Relationship Id="rId3681" Type="http://schemas.openxmlformats.org/officeDocument/2006/relationships/hyperlink" Target="https://drive.google.com/open?id=1ky9JLtSj4aMAL6oiGZ721Dqr6DwY1hkI" TargetMode="External"/><Relationship Id="rId2350" Type="http://schemas.openxmlformats.org/officeDocument/2006/relationships/hyperlink" Target="https://drive.google.com/open?id=1zJG3zMNkd3XpVsyIUvlPhq74xnTMRuua" TargetMode="External"/><Relationship Id="rId3680" Type="http://schemas.openxmlformats.org/officeDocument/2006/relationships/hyperlink" Target="https://drive.google.com/open?id=1Ui_2lU3XwwoAu8D2cRO-6DGeRkgY0Ua8" TargetMode="External"/><Relationship Id="rId1020" Type="http://schemas.openxmlformats.org/officeDocument/2006/relationships/hyperlink" Target="https://drive.google.com/open?id=1FSXJkG_klkvKlre6C36t5fqACH3IC7wp" TargetMode="External"/><Relationship Id="rId2351" Type="http://schemas.openxmlformats.org/officeDocument/2006/relationships/hyperlink" Target="https://drive.google.com/open?id=1n0BHEe1UCjO27FMoWbcpebs54CioZTbF" TargetMode="External"/><Relationship Id="rId3683" Type="http://schemas.openxmlformats.org/officeDocument/2006/relationships/hyperlink" Target="https://drive.google.com/open?id=1ecI0eO1YHc8V6QTZdjjQxSDx4bexmADg" TargetMode="External"/><Relationship Id="rId1021" Type="http://schemas.openxmlformats.org/officeDocument/2006/relationships/hyperlink" Target="https://drive.google.com/open?id=1TKF5kRLLJSmVq9ZzOl3w8ywFKT1nUvkA" TargetMode="External"/><Relationship Id="rId2352" Type="http://schemas.openxmlformats.org/officeDocument/2006/relationships/hyperlink" Target="https://drive.google.com/open?id=1w4iSSZnaIpx2A-sSiBVuvs-E9k__MQZz" TargetMode="External"/><Relationship Id="rId3682" Type="http://schemas.openxmlformats.org/officeDocument/2006/relationships/hyperlink" Target="https://drive.google.com/open?id=1_GN94z8DpJYdG8zjBx70Rpsx8b8A-v93" TargetMode="External"/><Relationship Id="rId1022" Type="http://schemas.openxmlformats.org/officeDocument/2006/relationships/hyperlink" Target="https://drive.google.com/open?id=1FeOHNv2YkffHUVYG309L0IWFwJu6JeEV" TargetMode="External"/><Relationship Id="rId2353" Type="http://schemas.openxmlformats.org/officeDocument/2006/relationships/hyperlink" Target="https://drive.google.com/open?id=1Q32dXyPt-xUEgOAN2M8F9eOAyTEntjfc" TargetMode="External"/><Relationship Id="rId3685" Type="http://schemas.openxmlformats.org/officeDocument/2006/relationships/hyperlink" Target="https://drive.google.com/open?id=1-rZFjcck1qKpVsTtqlLqwurytN-DewvF" TargetMode="External"/><Relationship Id="rId1023" Type="http://schemas.openxmlformats.org/officeDocument/2006/relationships/hyperlink" Target="https://drive.google.com/open?id=1HvPTjzZXZ38zkKdUO_COH-VqFAQPX8xk" TargetMode="External"/><Relationship Id="rId2354" Type="http://schemas.openxmlformats.org/officeDocument/2006/relationships/hyperlink" Target="https://drive.google.com/open?id=1pFT2lXsVIj4cgxUdhvM9Cv82zEnQdQvo" TargetMode="External"/><Relationship Id="rId3684" Type="http://schemas.openxmlformats.org/officeDocument/2006/relationships/hyperlink" Target="https://drive.google.com/open?id=1JPhgeLDJ7wbwZZ9Q8CuMvVVBxmSiUMrG" TargetMode="External"/><Relationship Id="rId1024" Type="http://schemas.openxmlformats.org/officeDocument/2006/relationships/hyperlink" Target="https://drive.google.com/open?id=1HYF7YdMk57lVW7EEBJEWGoczE_4KyxST" TargetMode="External"/><Relationship Id="rId2355" Type="http://schemas.openxmlformats.org/officeDocument/2006/relationships/hyperlink" Target="https://drive.google.com/open?id=1ucOGQB4Rpq6T0L5NwsfU-UqqqgeT8uvH" TargetMode="External"/><Relationship Id="rId3687" Type="http://schemas.openxmlformats.org/officeDocument/2006/relationships/hyperlink" Target="https://drive.google.com/open?id=15x2n8fOYI8BwVj9_-AMB6seAjDy8PRxh" TargetMode="External"/><Relationship Id="rId1025" Type="http://schemas.openxmlformats.org/officeDocument/2006/relationships/hyperlink" Target="https://drive.google.com/open?id=1IVnKkaiDAaRXXDZRyXGF97H8Q-6CPVrF" TargetMode="External"/><Relationship Id="rId2356" Type="http://schemas.openxmlformats.org/officeDocument/2006/relationships/hyperlink" Target="https://drive.google.com/open?id=1ljxB10vLjtOrf8Z21rrvYhBY-qPe6odl" TargetMode="External"/><Relationship Id="rId3686" Type="http://schemas.openxmlformats.org/officeDocument/2006/relationships/hyperlink" Target="https://drive.google.com/open?id=1igMlVi8wyK7WalXuc-LPtd8LtZC_0nPZ" TargetMode="External"/><Relationship Id="rId1910" Type="http://schemas.openxmlformats.org/officeDocument/2006/relationships/hyperlink" Target="https://drive.google.com/open?id=1D3VVW9e9IzmqncI_RtEK7dbkKDGcaW9B" TargetMode="External"/><Relationship Id="rId1911" Type="http://schemas.openxmlformats.org/officeDocument/2006/relationships/hyperlink" Target="https://drive.google.com/open?id=17fiHYDnZfm1Hy4gvY3PHzZtFNHz68LlH" TargetMode="External"/><Relationship Id="rId1912" Type="http://schemas.openxmlformats.org/officeDocument/2006/relationships/hyperlink" Target="https://drive.google.com/open?id=1RxckvFjd_L-iXu-Wqgx5MVrHhMRMvdPr" TargetMode="External"/><Relationship Id="rId1913" Type="http://schemas.openxmlformats.org/officeDocument/2006/relationships/hyperlink" Target="https://drive.google.com/open?id=1IYZC6gQQJDV--2dUrEbFC2leD8xy806J" TargetMode="External"/><Relationship Id="rId1914" Type="http://schemas.openxmlformats.org/officeDocument/2006/relationships/hyperlink" Target="https://drive.google.com/open?id=1qrgp8dzQO2ZdUoHJifQsvIjsgrMxMUbv" TargetMode="External"/><Relationship Id="rId1915" Type="http://schemas.openxmlformats.org/officeDocument/2006/relationships/hyperlink" Target="https://drive.google.com/open?id=13C1UZLdL7Xj5A3KxQcPTx3cWchDtwmH7" TargetMode="External"/><Relationship Id="rId1916" Type="http://schemas.openxmlformats.org/officeDocument/2006/relationships/hyperlink" Target="https://drive.google.com/open?id=1QmfieUs7LAC9lyMKoh38pCfvYlCKCMCZ" TargetMode="External"/><Relationship Id="rId1917" Type="http://schemas.openxmlformats.org/officeDocument/2006/relationships/hyperlink" Target="https://drive.google.com/open?id=11ERDSeKmxg2fnMesB5h94l-R_qw9nPnh" TargetMode="External"/><Relationship Id="rId1918" Type="http://schemas.openxmlformats.org/officeDocument/2006/relationships/hyperlink" Target="https://drive.google.com/open?id=1mBJo6pyp6XTEpcB9ujw56hQrwY2HiNJW" TargetMode="External"/><Relationship Id="rId1919" Type="http://schemas.openxmlformats.org/officeDocument/2006/relationships/hyperlink" Target="https://drive.google.com/open?id=17_im7O_eyB-zcWiwH4udiOT8DFvO9W8O" TargetMode="External"/><Relationship Id="rId1900" Type="http://schemas.openxmlformats.org/officeDocument/2006/relationships/hyperlink" Target="https://drive.google.com/open?id=14HBQ4_2p2fw6sY6x7cT_t5omWAGMFGxm" TargetMode="External"/><Relationship Id="rId1901" Type="http://schemas.openxmlformats.org/officeDocument/2006/relationships/hyperlink" Target="https://drive.google.com/open?id=1YVZVwOc0exXWzGgTC6XAGrvUotK4rRNF" TargetMode="External"/><Relationship Id="rId1902" Type="http://schemas.openxmlformats.org/officeDocument/2006/relationships/hyperlink" Target="https://drive.google.com/open?id=1qnrAhf0HcT43T82nxVAUTjs-OwZRlavk" TargetMode="External"/><Relationship Id="rId1903" Type="http://schemas.openxmlformats.org/officeDocument/2006/relationships/hyperlink" Target="https://drive.google.com/open?id=1TS1H9R2lC9NIdoaFLWrC2uL_qrH1LEQa" TargetMode="External"/><Relationship Id="rId1904" Type="http://schemas.openxmlformats.org/officeDocument/2006/relationships/hyperlink" Target="https://drive.google.com/open?id=1e7tPVekMw4oVeV0nm-hHJvZEsX90VLEu" TargetMode="External"/><Relationship Id="rId1905" Type="http://schemas.openxmlformats.org/officeDocument/2006/relationships/hyperlink" Target="https://drive.google.com/open?id=13dylGPdxqEHr2lCWMtrI-ZFjU4EY25r5" TargetMode="External"/><Relationship Id="rId1906" Type="http://schemas.openxmlformats.org/officeDocument/2006/relationships/hyperlink" Target="https://drive.google.com/open?id=1K0N7h0z8sNUvYMesZwkqj65dbL1seufx" TargetMode="External"/><Relationship Id="rId1907" Type="http://schemas.openxmlformats.org/officeDocument/2006/relationships/hyperlink" Target="https://drive.google.com/open?id=1Qa6GRypQid0L93MDXbaoHTfY-z30XNFb" TargetMode="External"/><Relationship Id="rId1908" Type="http://schemas.openxmlformats.org/officeDocument/2006/relationships/hyperlink" Target="https://drive.google.com/open?id=17W183olHUYJRhIA1f7tym4W9vjA665iX" TargetMode="External"/><Relationship Id="rId1909" Type="http://schemas.openxmlformats.org/officeDocument/2006/relationships/hyperlink" Target="https://drive.google.com/open?id=1DjcCeKTPj7Uyc296xFKm7j4n1-AZWoEb" TargetMode="External"/><Relationship Id="rId1090" Type="http://schemas.openxmlformats.org/officeDocument/2006/relationships/hyperlink" Target="https://drive.google.com/open?id=1byR9OqVuj-Wrrge2VhOzvOKeQfQvWm9l" TargetMode="External"/><Relationship Id="rId1091" Type="http://schemas.openxmlformats.org/officeDocument/2006/relationships/hyperlink" Target="https://drive.google.com/open?id=1PGhAK8_4wy7PNxXx0WUycUkRyUdYFhFm" TargetMode="External"/><Relationship Id="rId1092" Type="http://schemas.openxmlformats.org/officeDocument/2006/relationships/hyperlink" Target="https://drive.google.com/open?id=1tpQyEolKaD3eQix1LMRTTmcBnsJwJEkP" TargetMode="External"/><Relationship Id="rId1093" Type="http://schemas.openxmlformats.org/officeDocument/2006/relationships/hyperlink" Target="https://drive.google.com/open?id=18rVYbwT7g-zkqLOGdjpw1qclUDT7tY7b" TargetMode="External"/><Relationship Id="rId1094" Type="http://schemas.openxmlformats.org/officeDocument/2006/relationships/hyperlink" Target="https://drive.google.com/open?id=1jL0O4yQame0RVcfeas1FdFKGKFw-6W3A" TargetMode="External"/><Relationship Id="rId1095" Type="http://schemas.openxmlformats.org/officeDocument/2006/relationships/hyperlink" Target="https://drive.google.com/open?id=1Q47ftyr-67-yS6PSbMeWp4VauX3MScGq" TargetMode="External"/><Relationship Id="rId1096" Type="http://schemas.openxmlformats.org/officeDocument/2006/relationships/hyperlink" Target="https://drive.google.com/open?id=1ZRh7LfXXZ3fsE8zQdF1RZbxDTSq9TCE9" TargetMode="External"/><Relationship Id="rId1097" Type="http://schemas.openxmlformats.org/officeDocument/2006/relationships/hyperlink" Target="https://drive.google.com/open?id=1UMrd-WKgBFDEl1mCfcT3JN0hPRbM0qFD" TargetMode="External"/><Relationship Id="rId1098" Type="http://schemas.openxmlformats.org/officeDocument/2006/relationships/hyperlink" Target="https://drive.google.com/open?id=1Xc-UCZx8VDPpbfAT7UEzQwv_GG_Ab6mp" TargetMode="External"/><Relationship Id="rId1099" Type="http://schemas.openxmlformats.org/officeDocument/2006/relationships/hyperlink" Target="https://drive.google.com/open?id=1noASEMReo9mXHzS_7DzjgSozKcejw9c8" TargetMode="External"/><Relationship Id="rId1080" Type="http://schemas.openxmlformats.org/officeDocument/2006/relationships/hyperlink" Target="https://drive.google.com/open?id=1AQ_BPGasCkeUan4LA_UeSkEG0B-BKO90" TargetMode="External"/><Relationship Id="rId1081" Type="http://schemas.openxmlformats.org/officeDocument/2006/relationships/hyperlink" Target="https://drive.google.com/open?id=1VFHkvyNGnqC-bsvVw_jmrb-HYopTlMfi" TargetMode="External"/><Relationship Id="rId1082" Type="http://schemas.openxmlformats.org/officeDocument/2006/relationships/hyperlink" Target="https://drive.google.com/open?id=11JLh9_NymE99uhP40R1ZAFoSTc20_Sgx" TargetMode="External"/><Relationship Id="rId1083" Type="http://schemas.openxmlformats.org/officeDocument/2006/relationships/hyperlink" Target="https://drive.google.com/open?id=1DRsLOm4mqb6dIX2f6xxh9RpBi6pdZ2SB" TargetMode="External"/><Relationship Id="rId1084" Type="http://schemas.openxmlformats.org/officeDocument/2006/relationships/hyperlink" Target="https://drive.google.com/open?id=1Hm1_WEWgBOhvQFhNMitpCL1sQqTHG7Ws" TargetMode="External"/><Relationship Id="rId1085" Type="http://schemas.openxmlformats.org/officeDocument/2006/relationships/hyperlink" Target="https://drive.google.com/open?id=1Ezu8KFnRfaeFjDX_e3u7uQaTu_xt-cQv" TargetMode="External"/><Relationship Id="rId1086" Type="http://schemas.openxmlformats.org/officeDocument/2006/relationships/hyperlink" Target="https://drive.google.com/open?id=180DyQtxwTnS5gTQstBBRy87XXM1wpG08" TargetMode="External"/><Relationship Id="rId1087" Type="http://schemas.openxmlformats.org/officeDocument/2006/relationships/hyperlink" Target="https://drive.google.com/open?id=1PbRT4HXCHaN4Lh1KUXYR5QN4CKYhU26B" TargetMode="External"/><Relationship Id="rId1088" Type="http://schemas.openxmlformats.org/officeDocument/2006/relationships/hyperlink" Target="https://drive.google.com/open?id=1-RCBfkIBLK34WutTZBUL-Fqu4H682paa" TargetMode="External"/><Relationship Id="rId1089" Type="http://schemas.openxmlformats.org/officeDocument/2006/relationships/hyperlink" Target="https://drive.google.com/open?id=10aBdHrW0Umky68UOOt12XLUwrRxhGNKA" TargetMode="External"/><Relationship Id="rId1972" Type="http://schemas.openxmlformats.org/officeDocument/2006/relationships/hyperlink" Target="https://drive.google.com/open?id=1vvWUKkppCn0ibG97qGFQozUJtQ2YTsl0" TargetMode="External"/><Relationship Id="rId1973" Type="http://schemas.openxmlformats.org/officeDocument/2006/relationships/hyperlink" Target="https://drive.google.com/open?id=1ybPKfub_DxfJn7TPi2rGCTaziaZNQd2s" TargetMode="External"/><Relationship Id="rId1974" Type="http://schemas.openxmlformats.org/officeDocument/2006/relationships/hyperlink" Target="https://drive.google.com/open?id=1Vpbb56VH6WuG2Wy9UjAocawWL_b0tXIr" TargetMode="External"/><Relationship Id="rId1975" Type="http://schemas.openxmlformats.org/officeDocument/2006/relationships/hyperlink" Target="https://drive.google.com/open?id=1vjEdnlJyajyxrOkkcUv-_JK3NQQgVVjP" TargetMode="External"/><Relationship Id="rId1976" Type="http://schemas.openxmlformats.org/officeDocument/2006/relationships/hyperlink" Target="https://drive.google.com/open?id=1BEELepjJ8A_8H8hfayW_M-SZMG2Zx-2g" TargetMode="External"/><Relationship Id="rId1977" Type="http://schemas.openxmlformats.org/officeDocument/2006/relationships/hyperlink" Target="https://drive.google.com/open?id=1wNiLnOyoeOIXu7dpVZ9c70-08ZqBxGvT" TargetMode="External"/><Relationship Id="rId1978" Type="http://schemas.openxmlformats.org/officeDocument/2006/relationships/hyperlink" Target="https://drive.google.com/open?id=1OMKyNJrPUhosPjCvY8i_e8D7aXCZy6Ru" TargetMode="External"/><Relationship Id="rId1979" Type="http://schemas.openxmlformats.org/officeDocument/2006/relationships/hyperlink" Target="https://drive.google.com/open?id=1uEz5R7OtyF337vmBhVYi3XutOm1rQVMi" TargetMode="External"/><Relationship Id="rId1970" Type="http://schemas.openxmlformats.org/officeDocument/2006/relationships/hyperlink" Target="https://drive.google.com/open?id=121w_VR_U3V9Uc_MaH5SalYhJCXmurQtT" TargetMode="External"/><Relationship Id="rId1971" Type="http://schemas.openxmlformats.org/officeDocument/2006/relationships/hyperlink" Target="https://drive.google.com/open?id=1hU7cE0NR6gdF48ops3BOTuNuFUFirO7E" TargetMode="External"/><Relationship Id="rId1961" Type="http://schemas.openxmlformats.org/officeDocument/2006/relationships/hyperlink" Target="https://drive.google.com/open?id=15zpJHbZGUu26H3f48qCT5SU4_tOCxM3F" TargetMode="External"/><Relationship Id="rId1962" Type="http://schemas.openxmlformats.org/officeDocument/2006/relationships/hyperlink" Target="https://drive.google.com/open?id=1FNLr4N8GBzo4m5v1a6ta4iIgQq0_eCcB" TargetMode="External"/><Relationship Id="rId1963" Type="http://schemas.openxmlformats.org/officeDocument/2006/relationships/hyperlink" Target="https://drive.google.com/open?id=1OdkiXpLzKtzsYrZQAGnogbnwPPPONQKn" TargetMode="External"/><Relationship Id="rId1964" Type="http://schemas.openxmlformats.org/officeDocument/2006/relationships/hyperlink" Target="https://drive.google.com/open?id=1YON0js21a7zhlrVHy4Jp68DLBIdZ6-YB" TargetMode="External"/><Relationship Id="rId1965" Type="http://schemas.openxmlformats.org/officeDocument/2006/relationships/hyperlink" Target="https://drive.google.com/open?id=12odsUPqK4wbi2HbUwsz-LzIv8vFYwUtm" TargetMode="External"/><Relationship Id="rId1966" Type="http://schemas.openxmlformats.org/officeDocument/2006/relationships/hyperlink" Target="https://drive.google.com/open?id=10_tuEXSDnWV2GPglfRXSoLsxI52frBPO" TargetMode="External"/><Relationship Id="rId1967" Type="http://schemas.openxmlformats.org/officeDocument/2006/relationships/hyperlink" Target="https://drive.google.com/open?id=1bL96wo8o6SDC2D5Kx_dtr7y-Z7gcl1lD" TargetMode="External"/><Relationship Id="rId1968" Type="http://schemas.openxmlformats.org/officeDocument/2006/relationships/hyperlink" Target="https://drive.google.com/open?id=1usQh756c_qvM0qPnQiWXPNqhmzvYsDPL" TargetMode="External"/><Relationship Id="rId1969" Type="http://schemas.openxmlformats.org/officeDocument/2006/relationships/hyperlink" Target="https://drive.google.com/open?id=1tPFqw3Cq15C2K9CRgS598t_1wR0k0VT9" TargetMode="External"/><Relationship Id="rId1960" Type="http://schemas.openxmlformats.org/officeDocument/2006/relationships/hyperlink" Target="https://drive.google.com/open?id=1zR7kgzVVLsZHkpWYzryb5a6fx-oelZub" TargetMode="External"/><Relationship Id="rId1994" Type="http://schemas.openxmlformats.org/officeDocument/2006/relationships/hyperlink" Target="https://drive.google.com/open?id=17Qh_pAFzVc92dgqPbUprSEaYxymHQPQO" TargetMode="External"/><Relationship Id="rId1995" Type="http://schemas.openxmlformats.org/officeDocument/2006/relationships/hyperlink" Target="https://drive.google.com/open?id=16_hz_Z-k_jDcfm7fAnGd_ajNhA33FemU" TargetMode="External"/><Relationship Id="rId1996" Type="http://schemas.openxmlformats.org/officeDocument/2006/relationships/hyperlink" Target="https://drive.google.com/open?id=17MUXMnj3uDnGCmgRqZ4fmQu0JdDDJJx1" TargetMode="External"/><Relationship Id="rId1997" Type="http://schemas.openxmlformats.org/officeDocument/2006/relationships/hyperlink" Target="https://drive.google.com/open?id=14i01G2XQbSsUedZ0YKybuHElKN3aUCFk" TargetMode="External"/><Relationship Id="rId1998" Type="http://schemas.openxmlformats.org/officeDocument/2006/relationships/hyperlink" Target="https://drive.google.com/open?id=1VntamNU6UZQOM2KjZxzU3k4Ci-nY3OSn" TargetMode="External"/><Relationship Id="rId1999" Type="http://schemas.openxmlformats.org/officeDocument/2006/relationships/hyperlink" Target="https://drive.google.com/open?id=1h390AKUuxYCT4ro9JrAED3XzZtsI8XGk" TargetMode="External"/><Relationship Id="rId1990" Type="http://schemas.openxmlformats.org/officeDocument/2006/relationships/hyperlink" Target="https://drive.google.com/open?id=1gmb0AErgHYwdUR3nNfQZePheI5rO15V_" TargetMode="External"/><Relationship Id="rId1991" Type="http://schemas.openxmlformats.org/officeDocument/2006/relationships/hyperlink" Target="https://drive.google.com/open?id=1VPu1YfQH_8BIww2NwbQN5T6mr4z33fmL" TargetMode="External"/><Relationship Id="rId1992" Type="http://schemas.openxmlformats.org/officeDocument/2006/relationships/hyperlink" Target="https://drive.google.com/open?id=1CVX8lxx51BhSIn-l3SjvU6LaI3ExDiJD" TargetMode="External"/><Relationship Id="rId1993" Type="http://schemas.openxmlformats.org/officeDocument/2006/relationships/hyperlink" Target="https://drive.google.com/open?id=1q0_B4zI_CQhaopORpxeZf8IC9i8kl7QN" TargetMode="External"/><Relationship Id="rId1983" Type="http://schemas.openxmlformats.org/officeDocument/2006/relationships/hyperlink" Target="https://drive.google.com/open?id=1eDEVDGIEKvRh3X6PrlKaofDMyzWpQT6N" TargetMode="External"/><Relationship Id="rId1984" Type="http://schemas.openxmlformats.org/officeDocument/2006/relationships/hyperlink" Target="https://drive.google.com/open?id=1JpLlHXiq7yRJJMrWSA6LYrVQiX_k_4PB" TargetMode="External"/><Relationship Id="rId1985" Type="http://schemas.openxmlformats.org/officeDocument/2006/relationships/hyperlink" Target="https://drive.google.com/open?id=1zso1wdxnQZ2gnITTuaW3n1eNy3u2OS_C" TargetMode="External"/><Relationship Id="rId1986" Type="http://schemas.openxmlformats.org/officeDocument/2006/relationships/hyperlink" Target="https://drive.google.com/open?id=1KMWsu6CjXYDYWM7mdBkilGViDzcDuE0z" TargetMode="External"/><Relationship Id="rId1987" Type="http://schemas.openxmlformats.org/officeDocument/2006/relationships/hyperlink" Target="https://drive.google.com/open?id=1AixkOy_yrvKhbZ5LXLrQIO0RVFF--y_9" TargetMode="External"/><Relationship Id="rId1988" Type="http://schemas.openxmlformats.org/officeDocument/2006/relationships/hyperlink" Target="https://drive.google.com/open?id=1r_T5MDRyq15noOM6COh7AfHsPnBin0il" TargetMode="External"/><Relationship Id="rId1989" Type="http://schemas.openxmlformats.org/officeDocument/2006/relationships/hyperlink" Target="https://drive.google.com/open?id=1Yz62CDowdT6WIq0_dAkowqJNThVQx8Q2" TargetMode="External"/><Relationship Id="rId1980" Type="http://schemas.openxmlformats.org/officeDocument/2006/relationships/hyperlink" Target="https://drive.google.com/open?id=1ybW9s0wX6P7Wd2j5yP4OFjCiYO2-T1Wh" TargetMode="External"/><Relationship Id="rId1981" Type="http://schemas.openxmlformats.org/officeDocument/2006/relationships/hyperlink" Target="https://drive.google.com/open?id=1eDS7Dmsx23m1ltJPaG4sSJHhJpBfWRU4" TargetMode="External"/><Relationship Id="rId1982" Type="http://schemas.openxmlformats.org/officeDocument/2006/relationships/hyperlink" Target="https://drive.google.com/open?id=1jPdck_JIhGOs-pZdZrOKEDGLc7J4LHir" TargetMode="External"/><Relationship Id="rId1930" Type="http://schemas.openxmlformats.org/officeDocument/2006/relationships/hyperlink" Target="https://drive.google.com/open?id=1XsR-fLv1WCVP_QxSZnSkvDetGJQBvTjY" TargetMode="External"/><Relationship Id="rId1931" Type="http://schemas.openxmlformats.org/officeDocument/2006/relationships/hyperlink" Target="https://drive.google.com/open?id=1j49i7jsE53xHOcK63m842MnWElxa8gVY" TargetMode="External"/><Relationship Id="rId1932" Type="http://schemas.openxmlformats.org/officeDocument/2006/relationships/hyperlink" Target="https://drive.google.com/open?id=1boHCkak1LGaljgBGQMruefvQxnBESIq7" TargetMode="External"/><Relationship Id="rId1933" Type="http://schemas.openxmlformats.org/officeDocument/2006/relationships/hyperlink" Target="https://drive.google.com/open?id=1b4auk7Lp_nOR8GEnAO9MyO-AVycf3f1z" TargetMode="External"/><Relationship Id="rId1934" Type="http://schemas.openxmlformats.org/officeDocument/2006/relationships/hyperlink" Target="https://drive.google.com/open?id=1G0iaT28Cvb-xe0vX4DkxT0Ze1aps_4EM" TargetMode="External"/><Relationship Id="rId1935" Type="http://schemas.openxmlformats.org/officeDocument/2006/relationships/hyperlink" Target="https://drive.google.com/open?id=1N4k4JdfA9UFXXrps_A_uB0DvrIhW-kvu" TargetMode="External"/><Relationship Id="rId1936" Type="http://schemas.openxmlformats.org/officeDocument/2006/relationships/hyperlink" Target="https://drive.google.com/open?id=10xM5zywR2qM5mZXVtkT6t8iddOaA-z_J" TargetMode="External"/><Relationship Id="rId1937" Type="http://schemas.openxmlformats.org/officeDocument/2006/relationships/hyperlink" Target="https://drive.google.com/open?id=1A-gst9WIoAdzmRzSinPDgonZTVZmvjpM" TargetMode="External"/><Relationship Id="rId1938" Type="http://schemas.openxmlformats.org/officeDocument/2006/relationships/hyperlink" Target="https://drive.google.com/open?id=1sXI79QeJII5SzuWDizXdCOHfdGiNeH-i" TargetMode="External"/><Relationship Id="rId1939" Type="http://schemas.openxmlformats.org/officeDocument/2006/relationships/hyperlink" Target="https://drive.google.com/open?id=1hDwXoB96N1LNzhavMRr-aNfscg24OUo_" TargetMode="External"/><Relationship Id="rId1920" Type="http://schemas.openxmlformats.org/officeDocument/2006/relationships/hyperlink" Target="https://drive.google.com/open?id=1-1xVR7zU7dhzs1fHm1NPTjgmATnJXnCN" TargetMode="External"/><Relationship Id="rId1921" Type="http://schemas.openxmlformats.org/officeDocument/2006/relationships/hyperlink" Target="https://drive.google.com/open?id=1ZHlD0b7trJ3yc_DSCvbVnBzfnJPBIJqT" TargetMode="External"/><Relationship Id="rId1922" Type="http://schemas.openxmlformats.org/officeDocument/2006/relationships/hyperlink" Target="https://drive.google.com/open?id=1iNLBH67Y4G-Ot-6QIQpVXr35nRR4n9iG" TargetMode="External"/><Relationship Id="rId1923" Type="http://schemas.openxmlformats.org/officeDocument/2006/relationships/hyperlink" Target="https://drive.google.com/open?id=1p1ZRzBE415KE4BUiw45SSFJTD0jC02jD" TargetMode="External"/><Relationship Id="rId1924" Type="http://schemas.openxmlformats.org/officeDocument/2006/relationships/hyperlink" Target="https://drive.google.com/open?id=1Er6Yjr54Rj1uqNTdgiN46ugP3qc4nS6m" TargetMode="External"/><Relationship Id="rId1925" Type="http://schemas.openxmlformats.org/officeDocument/2006/relationships/hyperlink" Target="https://drive.google.com/open?id=1_jDm0x43bGpZiQ4rwcnbLmFPRzwjgngL" TargetMode="External"/><Relationship Id="rId1926" Type="http://schemas.openxmlformats.org/officeDocument/2006/relationships/hyperlink" Target="https://drive.google.com/open?id=12kF6D2Fb081zgqgAJLrrODy4ijnV62Ui" TargetMode="External"/><Relationship Id="rId1927" Type="http://schemas.openxmlformats.org/officeDocument/2006/relationships/hyperlink" Target="https://drive.google.com/open?id=1hzn6RFV0i09olZJYsBPywjAGdA8E4fVV" TargetMode="External"/><Relationship Id="rId1928" Type="http://schemas.openxmlformats.org/officeDocument/2006/relationships/hyperlink" Target="https://drive.google.com/open?id=1HIXR_kaBreZ7cXJcHsX-VnccNDPZMANh" TargetMode="External"/><Relationship Id="rId1929" Type="http://schemas.openxmlformats.org/officeDocument/2006/relationships/hyperlink" Target="https://drive.google.com/open?id=1ZC55nMIgt1DvtKkE0Y9lJFlyxaOxTFtq" TargetMode="External"/><Relationship Id="rId1950" Type="http://schemas.openxmlformats.org/officeDocument/2006/relationships/hyperlink" Target="https://drive.google.com/open?id=1OOdNEOk4cRMoebE2jrjxiDCWoLFa6yrO" TargetMode="External"/><Relationship Id="rId1951" Type="http://schemas.openxmlformats.org/officeDocument/2006/relationships/hyperlink" Target="https://drive.google.com/open?id=1_zhpgRx2Kyw8mePsjYRjEOibAruO7NEC" TargetMode="External"/><Relationship Id="rId1952" Type="http://schemas.openxmlformats.org/officeDocument/2006/relationships/hyperlink" Target="https://drive.google.com/open?id=17rzeglStyacIdSR7Tsmc5xrEvsf9TZ83" TargetMode="External"/><Relationship Id="rId1953" Type="http://schemas.openxmlformats.org/officeDocument/2006/relationships/hyperlink" Target="https://drive.google.com/open?id=1O2BfBGfNajkGuwooQLTjDg6a15EzmUw3" TargetMode="External"/><Relationship Id="rId1954" Type="http://schemas.openxmlformats.org/officeDocument/2006/relationships/hyperlink" Target="https://drive.google.com/open?id=1JMTqVrTuwZf8pOfCKO08yxaiOw4iYb8W" TargetMode="External"/><Relationship Id="rId1955" Type="http://schemas.openxmlformats.org/officeDocument/2006/relationships/hyperlink" Target="https://drive.google.com/open?id=1DhJ-7EkbSN--80mx85zWc5JvbrgSE2NK" TargetMode="External"/><Relationship Id="rId1956" Type="http://schemas.openxmlformats.org/officeDocument/2006/relationships/hyperlink" Target="https://drive.google.com/open?id=1y6EeElwckm_mswZFlyvFV50UFfrnwRSO" TargetMode="External"/><Relationship Id="rId1957" Type="http://schemas.openxmlformats.org/officeDocument/2006/relationships/hyperlink" Target="https://drive.google.com/open?id=1TYNGgI_YwesqojmqXhYkgHrUV8ukqH20" TargetMode="External"/><Relationship Id="rId1958" Type="http://schemas.openxmlformats.org/officeDocument/2006/relationships/hyperlink" Target="https://drive.google.com/open?id=1TDm8RiooSUw3pGl6qkUqKaeLDu-QsfSa" TargetMode="External"/><Relationship Id="rId1959" Type="http://schemas.openxmlformats.org/officeDocument/2006/relationships/hyperlink" Target="https://drive.google.com/open?id=1lZTqsg5lu5AkJX_bg0C_zlaI7kwlqfT_" TargetMode="External"/><Relationship Id="rId1940" Type="http://schemas.openxmlformats.org/officeDocument/2006/relationships/hyperlink" Target="https://drive.google.com/open?id=1DmHWthqHoWgAiO0RLaRrJfOJhx_83mSK" TargetMode="External"/><Relationship Id="rId1941" Type="http://schemas.openxmlformats.org/officeDocument/2006/relationships/hyperlink" Target="https://drive.google.com/open?id=1oNtHcd_nMngvQDMy1nYrA0RnTbwiXA-v" TargetMode="External"/><Relationship Id="rId1942" Type="http://schemas.openxmlformats.org/officeDocument/2006/relationships/hyperlink" Target="https://drive.google.com/open?id=1EW7DuTDBJZW9Xd_86TobQZYZbDq-42mO" TargetMode="External"/><Relationship Id="rId1943" Type="http://schemas.openxmlformats.org/officeDocument/2006/relationships/hyperlink" Target="https://drive.google.com/open?id=1taERGgTTAxFfWTGBZCAsNRmkH0FWfx5W" TargetMode="External"/><Relationship Id="rId1944" Type="http://schemas.openxmlformats.org/officeDocument/2006/relationships/hyperlink" Target="https://drive.google.com/open?id=1TArqtcWNmSIWo8dDLJ2J-5WINFzCzNYK" TargetMode="External"/><Relationship Id="rId1945" Type="http://schemas.openxmlformats.org/officeDocument/2006/relationships/hyperlink" Target="https://drive.google.com/open?id=1pVg_t39x0JrK4mNeNW8EV5DKCwYVLtWg" TargetMode="External"/><Relationship Id="rId1946" Type="http://schemas.openxmlformats.org/officeDocument/2006/relationships/hyperlink" Target="https://drive.google.com/open?id=1a87az7BIPhClp4Dge8qlJG03tPwfVKKo" TargetMode="External"/><Relationship Id="rId1947" Type="http://schemas.openxmlformats.org/officeDocument/2006/relationships/hyperlink" Target="https://drive.google.com/open?id=1TsccJ3ZXMUnLDGdTZ_6UjUkS_C3UXl54" TargetMode="External"/><Relationship Id="rId1948" Type="http://schemas.openxmlformats.org/officeDocument/2006/relationships/hyperlink" Target="https://drive.google.com/open?id=1K5oI4owHfZDaiTNTrEOlLCO0YSR_hheQ" TargetMode="External"/><Relationship Id="rId1949" Type="http://schemas.openxmlformats.org/officeDocument/2006/relationships/hyperlink" Target="https://drive.google.com/open?id=10bJXyl6wD6pkyQqVKfXVjwL7drzXLUhQ" TargetMode="External"/><Relationship Id="rId2423" Type="http://schemas.openxmlformats.org/officeDocument/2006/relationships/hyperlink" Target="https://drive.google.com/open?id=1l3OpZ7-su1oUX0vt7eMo5SxMXZJnWttD" TargetMode="External"/><Relationship Id="rId3755" Type="http://schemas.openxmlformats.org/officeDocument/2006/relationships/hyperlink" Target="https://drive.google.com/open?id=1dKcIUsawt-WPbGGI2Hiss_mbNlYQu-sC" TargetMode="External"/><Relationship Id="rId2424" Type="http://schemas.openxmlformats.org/officeDocument/2006/relationships/hyperlink" Target="https://drive.google.com/open?id=1cLTLTpQo2pCOiLRvSFYSGEziT1q2kkhZ" TargetMode="External"/><Relationship Id="rId3754" Type="http://schemas.openxmlformats.org/officeDocument/2006/relationships/hyperlink" Target="https://drive.google.com/open?id=1rKLqLl4gIeS_qCbrtOJpoURxixxqrVFT" TargetMode="External"/><Relationship Id="rId2425" Type="http://schemas.openxmlformats.org/officeDocument/2006/relationships/hyperlink" Target="https://drive.google.com/open?id=1Kqy_7bqc1HHd3V_m7aQBTHTUJWCEmcSW" TargetMode="External"/><Relationship Id="rId3757" Type="http://schemas.openxmlformats.org/officeDocument/2006/relationships/hyperlink" Target="https://drive.google.com/open?id=1jb5cemoS_ZQTUWDmTfwabgzghWq9JxQm" TargetMode="External"/><Relationship Id="rId2426" Type="http://schemas.openxmlformats.org/officeDocument/2006/relationships/hyperlink" Target="https://drive.google.com/open?id=1y80kzNOnTOXxx7rtT4IJBfM-ZJkLx2aY" TargetMode="External"/><Relationship Id="rId3756" Type="http://schemas.openxmlformats.org/officeDocument/2006/relationships/hyperlink" Target="https://drive.google.com/open?id=1QNQoP94_9urHSHRyPZakKyoGhaOaPKmd" TargetMode="External"/><Relationship Id="rId2427" Type="http://schemas.openxmlformats.org/officeDocument/2006/relationships/hyperlink" Target="https://drive.google.com/open?id=1u6A-N32nGwVZzLMsdEfmYJd2mQn8fM0u" TargetMode="External"/><Relationship Id="rId3759" Type="http://schemas.openxmlformats.org/officeDocument/2006/relationships/hyperlink" Target="https://drive.google.com/open?id=1ustPc0RmRnnaufZ4mI5lamCzBJVdcmQq" TargetMode="External"/><Relationship Id="rId2428" Type="http://schemas.openxmlformats.org/officeDocument/2006/relationships/hyperlink" Target="https://drive.google.com/open?id=1_3_4TeouKJEXcNwo5JVo9IO2QJ0WxDfV" TargetMode="External"/><Relationship Id="rId3758" Type="http://schemas.openxmlformats.org/officeDocument/2006/relationships/hyperlink" Target="https://drive.google.com/open?id=1YZIwP9Pit04Zjj3gIuAMyNYCcjha9VSu" TargetMode="External"/><Relationship Id="rId2429" Type="http://schemas.openxmlformats.org/officeDocument/2006/relationships/hyperlink" Target="https://drive.google.com/open?id=1EPPiKTCmCiTAH-XuhcDfg-HFJkif46VF" TargetMode="External"/><Relationship Id="rId509" Type="http://schemas.openxmlformats.org/officeDocument/2006/relationships/hyperlink" Target="https://drive.google.com/open?id=1my4Nmub0VGnMicxG0VcjoJvUGR1LX-8b" TargetMode="External"/><Relationship Id="rId508" Type="http://schemas.openxmlformats.org/officeDocument/2006/relationships/hyperlink" Target="https://drive.google.com/open?id=14NDP9njTD-5qE6fEKtupWXPZgjAIznio" TargetMode="External"/><Relationship Id="rId503" Type="http://schemas.openxmlformats.org/officeDocument/2006/relationships/hyperlink" Target="https://drive.google.com/open?id=1UeoZ0qfKKW7wyVwNaR3qkE4US2GQ8ev2" TargetMode="External"/><Relationship Id="rId502" Type="http://schemas.openxmlformats.org/officeDocument/2006/relationships/hyperlink" Target="https://drive.google.com/open?id=1_DGSrAlubv8CXJg_xE20BNS6fEH6yTL-" TargetMode="External"/><Relationship Id="rId501" Type="http://schemas.openxmlformats.org/officeDocument/2006/relationships/hyperlink" Target="https://drive.google.com/open?id=1OcigFkYAmhGOp2MvF8qMlCHruLTjzsoY" TargetMode="External"/><Relationship Id="rId500" Type="http://schemas.openxmlformats.org/officeDocument/2006/relationships/hyperlink" Target="https://drive.google.com/open?id=1Z6K0mShjRoZ-gk5VMIrGPqYKJkh8DSZ6" TargetMode="External"/><Relationship Id="rId507" Type="http://schemas.openxmlformats.org/officeDocument/2006/relationships/hyperlink" Target="https://drive.google.com/open?id=10eI-6m2NoIG4Xi75WYlGRYnAZYT4eyDq" TargetMode="External"/><Relationship Id="rId506" Type="http://schemas.openxmlformats.org/officeDocument/2006/relationships/hyperlink" Target="https://drive.google.com/open?id=13IYmv2HCtzzFyL6qFPzHSvUDHH4Zyuia" TargetMode="External"/><Relationship Id="rId505" Type="http://schemas.openxmlformats.org/officeDocument/2006/relationships/hyperlink" Target="https://drive.google.com/open?id=1KOFqEAbkIhoR954H3CUJYw8FykTafHqp" TargetMode="External"/><Relationship Id="rId504" Type="http://schemas.openxmlformats.org/officeDocument/2006/relationships/hyperlink" Target="https://drive.google.com/open?id=1Mw4wV3RVSFxM6-w8PuWELZX0LfWUiUQZ" TargetMode="External"/><Relationship Id="rId3751" Type="http://schemas.openxmlformats.org/officeDocument/2006/relationships/hyperlink" Target="https://drive.google.com/open?id=1fp_ICpLUho6OJhxExXuJpysVisSSDYGu" TargetMode="External"/><Relationship Id="rId2420" Type="http://schemas.openxmlformats.org/officeDocument/2006/relationships/hyperlink" Target="https://drive.google.com/open?id=10NXAXei4eI1DJo3qthuTYrnlHTOuQrNC" TargetMode="External"/><Relationship Id="rId3750" Type="http://schemas.openxmlformats.org/officeDocument/2006/relationships/hyperlink" Target="https://drive.google.com/open?id=1jSne56rbWg0sBPLgFRftrYJDppSQ8-tT" TargetMode="External"/><Relationship Id="rId2421" Type="http://schemas.openxmlformats.org/officeDocument/2006/relationships/hyperlink" Target="https://drive.google.com/open?id=1rMiUPWBihbttjUE4hw1daO8A0AYOkVUy" TargetMode="External"/><Relationship Id="rId3753" Type="http://schemas.openxmlformats.org/officeDocument/2006/relationships/hyperlink" Target="https://drive.google.com/open?id=1ctz1Q4oumuMjRG7YLndYKfhoZTgtdRRu" TargetMode="External"/><Relationship Id="rId2422" Type="http://schemas.openxmlformats.org/officeDocument/2006/relationships/hyperlink" Target="https://drive.google.com/open?id=1eXvO80_RAl5AA8__uh2ajcw25BO5PUb2" TargetMode="External"/><Relationship Id="rId3752" Type="http://schemas.openxmlformats.org/officeDocument/2006/relationships/hyperlink" Target="https://drive.google.com/open?id=1C8RZ5gqFUHlc9aFuoSDYAywAOP8SxXXe" TargetMode="External"/><Relationship Id="rId2412" Type="http://schemas.openxmlformats.org/officeDocument/2006/relationships/hyperlink" Target="https://drive.google.com/open?id=1DkmqsljHVJ97SHn1hVmhvX74gRFQdbCc" TargetMode="External"/><Relationship Id="rId3744" Type="http://schemas.openxmlformats.org/officeDocument/2006/relationships/hyperlink" Target="https://drive.google.com/open?id=1SqKFKSj7x6-TtaKRtpaoKNLHVIqFEJ_x" TargetMode="External"/><Relationship Id="rId2413" Type="http://schemas.openxmlformats.org/officeDocument/2006/relationships/hyperlink" Target="https://drive.google.com/open?id=1O2fpv5nzCRd1uwPkykLR4p8ubxl42ZsO" TargetMode="External"/><Relationship Id="rId3743" Type="http://schemas.openxmlformats.org/officeDocument/2006/relationships/hyperlink" Target="https://drive.google.com/open?id=1Zev8IMzq62-2-3PF7t8MvCmrCXICiIfo" TargetMode="External"/><Relationship Id="rId2414" Type="http://schemas.openxmlformats.org/officeDocument/2006/relationships/hyperlink" Target="https://drive.google.com/open?id=19aHAykoZRPoUZfp24ksOznxup5IudzWO" TargetMode="External"/><Relationship Id="rId3746" Type="http://schemas.openxmlformats.org/officeDocument/2006/relationships/hyperlink" Target="https://drive.google.com/open?id=1248gm8qHaTsSr_SdZr_zNhFO3Uj2T28L" TargetMode="External"/><Relationship Id="rId2415" Type="http://schemas.openxmlformats.org/officeDocument/2006/relationships/hyperlink" Target="https://drive.google.com/open?id=12bzmufIrrav9TVXY-0MvY6a0uWzMy1G2" TargetMode="External"/><Relationship Id="rId3745" Type="http://schemas.openxmlformats.org/officeDocument/2006/relationships/hyperlink" Target="https://drive.google.com/open?id=1L8U69XSKhq_y27leeBrWB7tRE2jYHPgC" TargetMode="External"/><Relationship Id="rId2416" Type="http://schemas.openxmlformats.org/officeDocument/2006/relationships/hyperlink" Target="https://drive.google.com/open?id=1sZiHSzBUndpZ2KuRZmnQ0ZPLkw_V_Fih" TargetMode="External"/><Relationship Id="rId3748" Type="http://schemas.openxmlformats.org/officeDocument/2006/relationships/hyperlink" Target="https://drive.google.com/open?id=11O_FzjJDLCfjt8Kvkq2bbzUbL8fviesp" TargetMode="External"/><Relationship Id="rId2417" Type="http://schemas.openxmlformats.org/officeDocument/2006/relationships/hyperlink" Target="https://drive.google.com/open?id=1HD9W-k_tvDgojoowjY3-pPa5Cl_b4xom" TargetMode="External"/><Relationship Id="rId3747" Type="http://schemas.openxmlformats.org/officeDocument/2006/relationships/hyperlink" Target="https://drive.google.com/open?id=1dlim0FI4ZDc5OPYGWNh_ReEGHhNeSVEu" TargetMode="External"/><Relationship Id="rId2418" Type="http://schemas.openxmlformats.org/officeDocument/2006/relationships/hyperlink" Target="https://drive.google.com/open?id=10VJp0gXIgsNhARkViTx-hHhjTQ5YCk5B" TargetMode="External"/><Relationship Id="rId2419" Type="http://schemas.openxmlformats.org/officeDocument/2006/relationships/hyperlink" Target="https://drive.google.com/open?id=1Lc5a_p6rb_qaIvNArwtgg2RUymAk7rda" TargetMode="External"/><Relationship Id="rId3749" Type="http://schemas.openxmlformats.org/officeDocument/2006/relationships/hyperlink" Target="https://drive.google.com/open?id=1L20JRcPkBQHuqE3492hV61eid2gDf2Zg" TargetMode="External"/><Relationship Id="rId3740" Type="http://schemas.openxmlformats.org/officeDocument/2006/relationships/hyperlink" Target="https://drive.google.com/open?id=1XMmchNSOluXpsxyJAv07thcTQFAYv0E7" TargetMode="External"/><Relationship Id="rId2410" Type="http://schemas.openxmlformats.org/officeDocument/2006/relationships/hyperlink" Target="https://drive.google.com/open?id=1uNohYZOsiu9XXRCpY_N_6tPqZZcUpWIL" TargetMode="External"/><Relationship Id="rId3742" Type="http://schemas.openxmlformats.org/officeDocument/2006/relationships/hyperlink" Target="https://drive.google.com/open?id=1J_v_jgN8oXzdt_4lBc-3ETCuL860h9JR" TargetMode="External"/><Relationship Id="rId2411" Type="http://schemas.openxmlformats.org/officeDocument/2006/relationships/hyperlink" Target="https://drive.google.com/open?id=13B51eUuwk6VxxpsJm9fTBknHh2JL1HaX" TargetMode="External"/><Relationship Id="rId3741" Type="http://schemas.openxmlformats.org/officeDocument/2006/relationships/hyperlink" Target="https://drive.google.com/open?id=1U3AxWqV29goTp5cLCiXwXNc_i9nc0TM5" TargetMode="External"/><Relationship Id="rId1114" Type="http://schemas.openxmlformats.org/officeDocument/2006/relationships/hyperlink" Target="https://drive.google.com/open?id=19pEyAZyCYTfNO-7eeRYklAVfsXoDz2ci" TargetMode="External"/><Relationship Id="rId2445" Type="http://schemas.openxmlformats.org/officeDocument/2006/relationships/hyperlink" Target="https://drive.google.com/open?id=1mcwwgE_CIcG3mdkQPbBtOh3ufjbnAQX3" TargetMode="External"/><Relationship Id="rId3777" Type="http://schemas.openxmlformats.org/officeDocument/2006/relationships/hyperlink" Target="https://drive.google.com/open?id=1wmeBfSSk0amvznqFAtoEwcT8-nb9QU5A" TargetMode="External"/><Relationship Id="rId1115" Type="http://schemas.openxmlformats.org/officeDocument/2006/relationships/hyperlink" Target="https://drive.google.com/open?id=1brJWvV-_nQCvrLGVaG-f2BdexxcM_HiS" TargetMode="External"/><Relationship Id="rId2446" Type="http://schemas.openxmlformats.org/officeDocument/2006/relationships/hyperlink" Target="https://drive.google.com/open?id=1ilrSuH2jwoqBWhJwQs2kRa6irmm6w9CF" TargetMode="External"/><Relationship Id="rId3776" Type="http://schemas.openxmlformats.org/officeDocument/2006/relationships/hyperlink" Target="https://drive.google.com/open?id=1G0Swt8tVav1SH4r7AJkyI8mVoQQBBzXj" TargetMode="External"/><Relationship Id="rId1116" Type="http://schemas.openxmlformats.org/officeDocument/2006/relationships/hyperlink" Target="https://drive.google.com/open?id=1q4F2Rn_CaURzHphL4COWbZpgMRS8PgP6" TargetMode="External"/><Relationship Id="rId2447" Type="http://schemas.openxmlformats.org/officeDocument/2006/relationships/hyperlink" Target="https://drive.google.com/open?id=1AznMmtYhy0jN_vMVWyijoXQ_o-FllKk-" TargetMode="External"/><Relationship Id="rId3779" Type="http://schemas.openxmlformats.org/officeDocument/2006/relationships/hyperlink" Target="https://drive.google.com/open?id=1ni2g-SjjJFKpMRRbUjIOwO85NfjaaeAj" TargetMode="External"/><Relationship Id="rId1117" Type="http://schemas.openxmlformats.org/officeDocument/2006/relationships/hyperlink" Target="https://drive.google.com/open?id=14_oY82LB8owX_byVoul-9dlKuSQTVoYN" TargetMode="External"/><Relationship Id="rId2448" Type="http://schemas.openxmlformats.org/officeDocument/2006/relationships/hyperlink" Target="https://drive.google.com/open?id=1EfvgCk7YpoJeHIHE5J8XGsRUcw0NbWhI" TargetMode="External"/><Relationship Id="rId3778" Type="http://schemas.openxmlformats.org/officeDocument/2006/relationships/hyperlink" Target="https://drive.google.com/open?id=1fQV1y4suVjOCyu7asW54OQPF4JrmYS-c" TargetMode="External"/><Relationship Id="rId1118" Type="http://schemas.openxmlformats.org/officeDocument/2006/relationships/hyperlink" Target="https://drive.google.com/open?id=1QpDA8-AjGUAKgaF41zru-Yt-m_OHPnnJ" TargetMode="External"/><Relationship Id="rId2449" Type="http://schemas.openxmlformats.org/officeDocument/2006/relationships/hyperlink" Target="https://drive.google.com/open?id=18FWXrteqBmFDbnhlLML9zpM-DjtJd6Lr" TargetMode="External"/><Relationship Id="rId1119" Type="http://schemas.openxmlformats.org/officeDocument/2006/relationships/hyperlink" Target="https://drive.google.com/open?id=1nMlxH27G8WM0w1bzkSaDY16abgoCS5Za" TargetMode="External"/><Relationship Id="rId525" Type="http://schemas.openxmlformats.org/officeDocument/2006/relationships/hyperlink" Target="https://drive.google.com/open?id=1s-Wo32ZyeXH91B0Xp23OHBMjfqkaNsNT" TargetMode="External"/><Relationship Id="rId524" Type="http://schemas.openxmlformats.org/officeDocument/2006/relationships/hyperlink" Target="https://drive.google.com/open?id=1VznOpMeBJ8SjvubwgVwobDAZIEL3ydKX" TargetMode="External"/><Relationship Id="rId523" Type="http://schemas.openxmlformats.org/officeDocument/2006/relationships/hyperlink" Target="https://drive.google.com/open?id=1QaufPzIGgu3LHnllgyEMVyG0OgAIrp_o" TargetMode="External"/><Relationship Id="rId522" Type="http://schemas.openxmlformats.org/officeDocument/2006/relationships/hyperlink" Target="https://drive.google.com/open?id=1UJgPBvFoiAyQCKJBHjDnFihNXIG3J5Jz" TargetMode="External"/><Relationship Id="rId529" Type="http://schemas.openxmlformats.org/officeDocument/2006/relationships/hyperlink" Target="https://drive.google.com/open?id=1IQeIJK0mfKjIQJUbWv55gUG-ezV1pnnB" TargetMode="External"/><Relationship Id="rId528" Type="http://schemas.openxmlformats.org/officeDocument/2006/relationships/hyperlink" Target="https://drive.google.com/open?id=1Z3dYLLdZ0TWG13eyAnCDUl6ZZCc0buaX" TargetMode="External"/><Relationship Id="rId527" Type="http://schemas.openxmlformats.org/officeDocument/2006/relationships/hyperlink" Target="https://drive.google.com/open?id=1aWhc27SYx76-cwZ8QUb2NRkRMaR54dcf" TargetMode="External"/><Relationship Id="rId526" Type="http://schemas.openxmlformats.org/officeDocument/2006/relationships/hyperlink" Target="https://drive.google.com/open?id=109YZfKyrQhY1_NtGulA3jhXKFHTYr8qP" TargetMode="External"/><Relationship Id="rId3771" Type="http://schemas.openxmlformats.org/officeDocument/2006/relationships/hyperlink" Target="https://drive.google.com/open?id=1tKUdt7tpwGc0fsiOb5fojG09d8uOcI77" TargetMode="External"/><Relationship Id="rId2440" Type="http://schemas.openxmlformats.org/officeDocument/2006/relationships/hyperlink" Target="https://drive.google.com/open?id=1qBQivniQXpHwfPXoreMi2R0mHUk2x8w6" TargetMode="External"/><Relationship Id="rId3770" Type="http://schemas.openxmlformats.org/officeDocument/2006/relationships/hyperlink" Target="https://drive.google.com/open?id=1HxK7tL9qLUn49fqEbxMnv1R2GL_6lK0Z" TargetMode="External"/><Relationship Id="rId521" Type="http://schemas.openxmlformats.org/officeDocument/2006/relationships/hyperlink" Target="https://drive.google.com/open?id=16d-le9th7js_Cf49EB-56VObOpww0Ni4" TargetMode="External"/><Relationship Id="rId1110" Type="http://schemas.openxmlformats.org/officeDocument/2006/relationships/hyperlink" Target="https://drive.google.com/open?id=14C1q9BvVc4eRwv0R07pW8-wzuOYKs5PS" TargetMode="External"/><Relationship Id="rId2441" Type="http://schemas.openxmlformats.org/officeDocument/2006/relationships/hyperlink" Target="https://drive.google.com/open?id=18uxrlpXBKnUTLuZM8sDOjNYtK-4wyLvH" TargetMode="External"/><Relationship Id="rId3773" Type="http://schemas.openxmlformats.org/officeDocument/2006/relationships/hyperlink" Target="https://drive.google.com/open?id=1cjN_ZhjqnbsPHfQLFQ9QVsUD78Vcf1EP" TargetMode="External"/><Relationship Id="rId520" Type="http://schemas.openxmlformats.org/officeDocument/2006/relationships/hyperlink" Target="https://drive.google.com/open?id=1FhvP9H30UEyjNhGWYQy8b4J7ZlRZN78x" TargetMode="External"/><Relationship Id="rId1111" Type="http://schemas.openxmlformats.org/officeDocument/2006/relationships/hyperlink" Target="https://drive.google.com/open?id=1ZdyOPHpn9svqBzrlukxQ4hVCOpAEKshW" TargetMode="External"/><Relationship Id="rId2442" Type="http://schemas.openxmlformats.org/officeDocument/2006/relationships/hyperlink" Target="https://drive.google.com/open?id=1Dkdh_glefTu_QnRByTk9dpAwRJuIsLCj" TargetMode="External"/><Relationship Id="rId3772" Type="http://schemas.openxmlformats.org/officeDocument/2006/relationships/hyperlink" Target="https://drive.google.com/open?id=1T2psw9H5rJfZS8axps1G3ydqfYUllG6_" TargetMode="External"/><Relationship Id="rId1112" Type="http://schemas.openxmlformats.org/officeDocument/2006/relationships/hyperlink" Target="https://drive.google.com/open?id=1a7Ec7PZNyY6KrgjigyH34a51Rlq780Ww" TargetMode="External"/><Relationship Id="rId2443" Type="http://schemas.openxmlformats.org/officeDocument/2006/relationships/hyperlink" Target="https://drive.google.com/open?id=1ju1h7NpWFmyqWR4UjF4I1gvEEdHuFMeM" TargetMode="External"/><Relationship Id="rId3775" Type="http://schemas.openxmlformats.org/officeDocument/2006/relationships/hyperlink" Target="https://drive.google.com/open?id=1LXPwRrdT3Fs8eHNW2efbiCuAXKnJtpCN" TargetMode="External"/><Relationship Id="rId1113" Type="http://schemas.openxmlformats.org/officeDocument/2006/relationships/hyperlink" Target="https://drive.google.com/open?id=1C-Dd3_YflhPGdXc_6bZuom9ZtOI8k8pV" TargetMode="External"/><Relationship Id="rId2444" Type="http://schemas.openxmlformats.org/officeDocument/2006/relationships/hyperlink" Target="https://drive.google.com/open?id=15mD0pTJWZjg-A7MspS8-ipja5xqyaYm-" TargetMode="External"/><Relationship Id="rId3774" Type="http://schemas.openxmlformats.org/officeDocument/2006/relationships/hyperlink" Target="https://drive.google.com/open?id=1MH8ZoRpNY6iuepirPVLP1C1_NaOtTNMB" TargetMode="External"/><Relationship Id="rId1103" Type="http://schemas.openxmlformats.org/officeDocument/2006/relationships/hyperlink" Target="https://drive.google.com/open?id=10iHk2OYOxJFhba1q6sYeV5bvRaM3cti_" TargetMode="External"/><Relationship Id="rId2434" Type="http://schemas.openxmlformats.org/officeDocument/2006/relationships/hyperlink" Target="https://drive.google.com/open?id=1O50MUU-Z7QjzRU9ynVCY_q542g_uZlRC" TargetMode="External"/><Relationship Id="rId3766" Type="http://schemas.openxmlformats.org/officeDocument/2006/relationships/hyperlink" Target="https://drive.google.com/open?id=1psJ6RD7ftDxuE6hx2JRZGsqlqB-74Acm" TargetMode="External"/><Relationship Id="rId1104" Type="http://schemas.openxmlformats.org/officeDocument/2006/relationships/hyperlink" Target="https://drive.google.com/open?id=14nP1CknMDilPdB8Y79kARuibGMr0NdZv" TargetMode="External"/><Relationship Id="rId2435" Type="http://schemas.openxmlformats.org/officeDocument/2006/relationships/hyperlink" Target="https://drive.google.com/open?id=1ZXJ_aoc6RFKWgr3DGX9QxN9AGM5J8XIw" TargetMode="External"/><Relationship Id="rId3765" Type="http://schemas.openxmlformats.org/officeDocument/2006/relationships/hyperlink" Target="https://drive.google.com/open?id=1xkCjUEM7HXT4wUtzx6kgn6zqu3OyV99N" TargetMode="External"/><Relationship Id="rId1105" Type="http://schemas.openxmlformats.org/officeDocument/2006/relationships/hyperlink" Target="https://drive.google.com/open?id=1m366g1rGQnKOr3tMk3tLLtYwKEsCMyCw" TargetMode="External"/><Relationship Id="rId2436" Type="http://schemas.openxmlformats.org/officeDocument/2006/relationships/hyperlink" Target="https://drive.google.com/open?id=1nDYStk-c88fQL29DQOrXN5wmtDr7aR6X" TargetMode="External"/><Relationship Id="rId3768" Type="http://schemas.openxmlformats.org/officeDocument/2006/relationships/hyperlink" Target="https://drive.google.com/open?id=14vke3qfZ28bKNFSwbXt59cGhM3qhBNOo" TargetMode="External"/><Relationship Id="rId1106" Type="http://schemas.openxmlformats.org/officeDocument/2006/relationships/hyperlink" Target="https://drive.google.com/open?id=14zh4OZjATNAIUZxIdxFo3pfz1Uxzxg8d" TargetMode="External"/><Relationship Id="rId2437" Type="http://schemas.openxmlformats.org/officeDocument/2006/relationships/hyperlink" Target="https://drive.google.com/open?id=15HjGlsVK_SK-BQAErw0FgHP0MtmXULZG" TargetMode="External"/><Relationship Id="rId3767" Type="http://schemas.openxmlformats.org/officeDocument/2006/relationships/hyperlink" Target="https://drive.google.com/open?id=1sRybbxhZNdVcvErNBIKJ9hOkmMlb5wP_" TargetMode="External"/><Relationship Id="rId1107" Type="http://schemas.openxmlformats.org/officeDocument/2006/relationships/hyperlink" Target="https://drive.google.com/open?id=13TNppiRVnvzXcUt2yxpHKbQOm1UDoF1D" TargetMode="External"/><Relationship Id="rId2438" Type="http://schemas.openxmlformats.org/officeDocument/2006/relationships/hyperlink" Target="https://drive.google.com/open?id=1Xw4m1aXZXcVDmC5T8JaBhJYq-GcaX2vQ" TargetMode="External"/><Relationship Id="rId1108" Type="http://schemas.openxmlformats.org/officeDocument/2006/relationships/hyperlink" Target="https://drive.google.com/open?id=138k5XRiw5lCP3VLkz_QwaOrndLITpFGv" TargetMode="External"/><Relationship Id="rId2439" Type="http://schemas.openxmlformats.org/officeDocument/2006/relationships/hyperlink" Target="https://drive.google.com/open?id=1LAxcQHPcaxPsgJ3AzoZchXpq9lT0CKQI" TargetMode="External"/><Relationship Id="rId3769" Type="http://schemas.openxmlformats.org/officeDocument/2006/relationships/hyperlink" Target="https://drive.google.com/open?id=1pVm06Uw1hmyqABer-rtpOg0EWalO1FAQ" TargetMode="External"/><Relationship Id="rId1109" Type="http://schemas.openxmlformats.org/officeDocument/2006/relationships/hyperlink" Target="https://drive.google.com/open?id=19YZsjDM2YEeu1MICP9PlpHrwN9YREkBH" TargetMode="External"/><Relationship Id="rId519" Type="http://schemas.openxmlformats.org/officeDocument/2006/relationships/hyperlink" Target="https://drive.google.com/open?id=1HN49UKNKqagVQxAHUPmEv2P2mKwf7pV5" TargetMode="External"/><Relationship Id="rId514" Type="http://schemas.openxmlformats.org/officeDocument/2006/relationships/hyperlink" Target="https://drive.google.com/open?id=1owdua0bQc8KYy1tiM9p_hNBfolPHXu-P" TargetMode="External"/><Relationship Id="rId513" Type="http://schemas.openxmlformats.org/officeDocument/2006/relationships/hyperlink" Target="https://drive.google.com/open?id=1MzaUfzyV4TXpV2Lf53Wf9vsM1HxcFGsd" TargetMode="External"/><Relationship Id="rId512" Type="http://schemas.openxmlformats.org/officeDocument/2006/relationships/hyperlink" Target="https://drive.google.com/open?id=12hR558Z-kRJRLBmtAtS03kH1sk1NYKyD" TargetMode="External"/><Relationship Id="rId511" Type="http://schemas.openxmlformats.org/officeDocument/2006/relationships/hyperlink" Target="https://drive.google.com/open?id=18hVzYHORPBBy1NgKdciv3LvtXAoeug0k" TargetMode="External"/><Relationship Id="rId518" Type="http://schemas.openxmlformats.org/officeDocument/2006/relationships/hyperlink" Target="https://drive.google.com/open?id=1xq0eZ4ffV274HGhc26BvxZa0e1cM5sEv" TargetMode="External"/><Relationship Id="rId517" Type="http://schemas.openxmlformats.org/officeDocument/2006/relationships/hyperlink" Target="https://drive.google.com/open?id=1JwYGCo89CYu8ZD76pNfQhk2N58jSOyUD" TargetMode="External"/><Relationship Id="rId516" Type="http://schemas.openxmlformats.org/officeDocument/2006/relationships/hyperlink" Target="https://drive.google.com/open?id=171hJB0t3UaUfZgW0P7mRE0FwATLzb3iT" TargetMode="External"/><Relationship Id="rId515" Type="http://schemas.openxmlformats.org/officeDocument/2006/relationships/hyperlink" Target="https://drive.google.com/open?id=1XXeWDFHlLhjNkLL5GTa-SxInBX7B-d_L" TargetMode="External"/><Relationship Id="rId3760" Type="http://schemas.openxmlformats.org/officeDocument/2006/relationships/hyperlink" Target="https://drive.google.com/open?id=1FeybUJbBjGmsLUIi_vQMtvyt18TuZJpt" TargetMode="External"/><Relationship Id="rId510" Type="http://schemas.openxmlformats.org/officeDocument/2006/relationships/hyperlink" Target="https://drive.google.com/open?id=1B-RQJwFWZjxsnOISdXexmPmJbVNbVBsx" TargetMode="External"/><Relationship Id="rId2430" Type="http://schemas.openxmlformats.org/officeDocument/2006/relationships/hyperlink" Target="https://drive.google.com/open?id=1VtgVjHXrKid1p_dKV3OYQmX-GxRKB24N" TargetMode="External"/><Relationship Id="rId3762" Type="http://schemas.openxmlformats.org/officeDocument/2006/relationships/hyperlink" Target="https://drive.google.com/open?id=1d2Di6LJISO39bUPjk6MlbSG9TFmejmEu" TargetMode="External"/><Relationship Id="rId1100" Type="http://schemas.openxmlformats.org/officeDocument/2006/relationships/hyperlink" Target="https://drive.google.com/open?id=1GWk__sc4HcbqAQ7euPVsZExCEdOQOoxj" TargetMode="External"/><Relationship Id="rId2431" Type="http://schemas.openxmlformats.org/officeDocument/2006/relationships/hyperlink" Target="https://drive.google.com/open?id=1x0Lnf-huaAsS2d8R6A_YhRIStg4m1jgG" TargetMode="External"/><Relationship Id="rId3761" Type="http://schemas.openxmlformats.org/officeDocument/2006/relationships/hyperlink" Target="https://drive.google.com/open?id=1ZbtxwRMnuR4b-JXc1hq1RlYfDbnc_8tk" TargetMode="External"/><Relationship Id="rId1101" Type="http://schemas.openxmlformats.org/officeDocument/2006/relationships/hyperlink" Target="https://drive.google.com/open?id=1txb1ofC50sbI5f4bBa8MGYKpdYI1bV-3" TargetMode="External"/><Relationship Id="rId2432" Type="http://schemas.openxmlformats.org/officeDocument/2006/relationships/hyperlink" Target="https://drive.google.com/open?id=1bz5ZtJofTmhW5yqXGWkPQY3e8_sP9WlG" TargetMode="External"/><Relationship Id="rId3764" Type="http://schemas.openxmlformats.org/officeDocument/2006/relationships/hyperlink" Target="https://drive.google.com/open?id=1R157sxMIka7oCTygJY5in1m-alUXOn42" TargetMode="External"/><Relationship Id="rId1102" Type="http://schemas.openxmlformats.org/officeDocument/2006/relationships/hyperlink" Target="https://drive.google.com/open?id=1So9zYAatlKOtKXkZ-NduA_UGU1p9iLP4" TargetMode="External"/><Relationship Id="rId2433" Type="http://schemas.openxmlformats.org/officeDocument/2006/relationships/hyperlink" Target="https://drive.google.com/open?id=1aHmm_5AvXiXv7hErsssRN68DzO7oBKue" TargetMode="External"/><Relationship Id="rId3763" Type="http://schemas.openxmlformats.org/officeDocument/2006/relationships/hyperlink" Target="https://drive.google.com/open?id=1hYDb3svM6N5xZ03AtJcHhtVuXpCisugy" TargetMode="External"/><Relationship Id="rId3711" Type="http://schemas.openxmlformats.org/officeDocument/2006/relationships/hyperlink" Target="https://drive.google.com/open?id=1vHPzsYHFVSP_e30nCx8_MJFBh6uvpgCV" TargetMode="External"/><Relationship Id="rId3710" Type="http://schemas.openxmlformats.org/officeDocument/2006/relationships/hyperlink" Target="https://drive.google.com/open?id=1fmOcumTAk-cRjO3zWLDXUYE5zqR9WfDS" TargetMode="External"/><Relationship Id="rId3713" Type="http://schemas.openxmlformats.org/officeDocument/2006/relationships/hyperlink" Target="https://drive.google.com/open?id=1cMpEqkkp3QllQ9gWGJQn4USvAWFmzUOl" TargetMode="External"/><Relationship Id="rId3712" Type="http://schemas.openxmlformats.org/officeDocument/2006/relationships/hyperlink" Target="https://drive.google.com/open?id=1s4CWvjNVjCAIx-ksr-MvYmZ_r9vN2gGB" TargetMode="External"/><Relationship Id="rId3715" Type="http://schemas.openxmlformats.org/officeDocument/2006/relationships/hyperlink" Target="https://drive.google.com/open?id=1uBRBRxOGY5-xirNJRXMcXojnEO5CyWhr" TargetMode="External"/><Relationship Id="rId3714" Type="http://schemas.openxmlformats.org/officeDocument/2006/relationships/hyperlink" Target="https://drive.google.com/open?id=1wRVQnaSQaB_29UmXam1oTZKUWRsE8QO5" TargetMode="External"/><Relationship Id="rId3717" Type="http://schemas.openxmlformats.org/officeDocument/2006/relationships/hyperlink" Target="https://drive.google.com/open?id=1WZn_TuFVeYMHzXQf61G495HKvsHOGkwu" TargetMode="External"/><Relationship Id="rId3716" Type="http://schemas.openxmlformats.org/officeDocument/2006/relationships/hyperlink" Target="https://drive.google.com/open?id=1DWnGMruawx20Cy0Y1MaWx5tjKoREk1Kw" TargetMode="External"/><Relationship Id="rId3719" Type="http://schemas.openxmlformats.org/officeDocument/2006/relationships/hyperlink" Target="https://drive.google.com/open?id=1ExTPQwEAXBXvMAWzfZvkfhm0jWUJrr6W" TargetMode="External"/><Relationship Id="rId3718" Type="http://schemas.openxmlformats.org/officeDocument/2006/relationships/hyperlink" Target="https://drive.google.com/open?id=10I3AN6PuBsQXRmVpcOMIzOEcMba-pxtq" TargetMode="External"/><Relationship Id="rId3700" Type="http://schemas.openxmlformats.org/officeDocument/2006/relationships/hyperlink" Target="https://drive.google.com/open?id=17z0UNYFxupmPPUpibYYUip_BOX6StVJz" TargetMode="External"/><Relationship Id="rId3702" Type="http://schemas.openxmlformats.org/officeDocument/2006/relationships/hyperlink" Target="https://drive.google.com/open?id=1Vc_RRawaBtUNYRLz3rQzpzHtyPimsiG0" TargetMode="External"/><Relationship Id="rId3701" Type="http://schemas.openxmlformats.org/officeDocument/2006/relationships/hyperlink" Target="https://drive.google.com/open?id=1ZdT6bbiQ2RU_sh_CRUUOdyqBBlXn0xUz" TargetMode="External"/><Relationship Id="rId3704" Type="http://schemas.openxmlformats.org/officeDocument/2006/relationships/hyperlink" Target="https://drive.google.com/open?id=1WryJHhRFW3XgBjzY5r5Cwlt5ipnTSKPu" TargetMode="External"/><Relationship Id="rId3703" Type="http://schemas.openxmlformats.org/officeDocument/2006/relationships/hyperlink" Target="https://drive.google.com/open?id=1ufs73vgKIj6SmEhKsJfiSSppdY4uB0Mx" TargetMode="External"/><Relationship Id="rId3706" Type="http://schemas.openxmlformats.org/officeDocument/2006/relationships/hyperlink" Target="https://drive.google.com/open?id=1mQ8jYxwjwp83xeeqtaVbt0CAYfwQAGyI" TargetMode="External"/><Relationship Id="rId3705" Type="http://schemas.openxmlformats.org/officeDocument/2006/relationships/hyperlink" Target="https://drive.google.com/open?id=10uNerRB9HqFb76sFG-xDPIcU3n8utg9N" TargetMode="External"/><Relationship Id="rId3708" Type="http://schemas.openxmlformats.org/officeDocument/2006/relationships/hyperlink" Target="https://drive.google.com/open?id=1_1l1z08w4HEjP9F0yUWMUXTn129ut5Tm" TargetMode="External"/><Relationship Id="rId3707" Type="http://schemas.openxmlformats.org/officeDocument/2006/relationships/hyperlink" Target="https://drive.google.com/open?id=10oYRiN2XTCYkgy7-4jUW8A-KJk8t-vil" TargetMode="External"/><Relationship Id="rId3709" Type="http://schemas.openxmlformats.org/officeDocument/2006/relationships/hyperlink" Target="https://drive.google.com/open?id=1bp4O6GgjZmOLiTOZ8_pnooTF72HbJqCX" TargetMode="External"/><Relationship Id="rId2401" Type="http://schemas.openxmlformats.org/officeDocument/2006/relationships/hyperlink" Target="https://drive.google.com/open?id=1GTZ37MBCV541BKAqJFrn1JY8fSP4_-NO" TargetMode="External"/><Relationship Id="rId3733" Type="http://schemas.openxmlformats.org/officeDocument/2006/relationships/hyperlink" Target="https://drive.google.com/open?id=1CS3vOAR8PV9wmO-W-ZDKGub-WiJChaIV" TargetMode="External"/><Relationship Id="rId2402" Type="http://schemas.openxmlformats.org/officeDocument/2006/relationships/hyperlink" Target="https://drive.google.com/open?id=1cQ1-9je9ssisgcgAGRTZ33U_zZYjEli5" TargetMode="External"/><Relationship Id="rId3732" Type="http://schemas.openxmlformats.org/officeDocument/2006/relationships/hyperlink" Target="https://drive.google.com/open?id=1-xW341yX7ERBrJcTYeNL80njrcPDm1IO" TargetMode="External"/><Relationship Id="rId2403" Type="http://schemas.openxmlformats.org/officeDocument/2006/relationships/hyperlink" Target="https://drive.google.com/open?id=1LdfgtxLQOee0qZ-s03Bq7Habdhh6ORzq" TargetMode="External"/><Relationship Id="rId3735" Type="http://schemas.openxmlformats.org/officeDocument/2006/relationships/hyperlink" Target="https://drive.google.com/open?id=1gZjST35jKeGMVkrhV_a_oSVGM32Lh2K9" TargetMode="External"/><Relationship Id="rId2404" Type="http://schemas.openxmlformats.org/officeDocument/2006/relationships/hyperlink" Target="https://drive.google.com/open?id=12UNXElJTiC1IyrXy5EkZAj1gUZ4_6li4" TargetMode="External"/><Relationship Id="rId3734" Type="http://schemas.openxmlformats.org/officeDocument/2006/relationships/hyperlink" Target="https://drive.google.com/open?id=1L9e7wrAa2jDwd6jORFIysEUFL_obf7_N" TargetMode="External"/><Relationship Id="rId2405" Type="http://schemas.openxmlformats.org/officeDocument/2006/relationships/hyperlink" Target="https://drive.google.com/open?id=1c65HbUeScoQh0SohVsKDiYe8bTUjMBIy" TargetMode="External"/><Relationship Id="rId3737" Type="http://schemas.openxmlformats.org/officeDocument/2006/relationships/hyperlink" Target="https://drive.google.com/open?id=1R6vID9wzLDalg1SkvoyGgJKvZaEhlO8-" TargetMode="External"/><Relationship Id="rId2406" Type="http://schemas.openxmlformats.org/officeDocument/2006/relationships/hyperlink" Target="https://drive.google.com/open?id=1w5B02w_0qReK2ATFmyA5fKJgjp_P2ziP" TargetMode="External"/><Relationship Id="rId3736" Type="http://schemas.openxmlformats.org/officeDocument/2006/relationships/hyperlink" Target="https://drive.google.com/open?id=1ihoKcYU2kL52vNi5g3hYKrXq7wuoL4kp" TargetMode="External"/><Relationship Id="rId2407" Type="http://schemas.openxmlformats.org/officeDocument/2006/relationships/hyperlink" Target="https://drive.google.com/open?id=1SRPNj_4WogC3hU06YnAgtTv5Q1ijQpzH" TargetMode="External"/><Relationship Id="rId3739" Type="http://schemas.openxmlformats.org/officeDocument/2006/relationships/hyperlink" Target="https://drive.google.com/open?id=1wqN9xMng9BtkGPgf_IiKa1pmvO-KI6Hk" TargetMode="External"/><Relationship Id="rId2408" Type="http://schemas.openxmlformats.org/officeDocument/2006/relationships/hyperlink" Target="https://drive.google.com/open?id=11rPIz-KbffVywFbfNxIYZnhNE1TXE1t4" TargetMode="External"/><Relationship Id="rId3738" Type="http://schemas.openxmlformats.org/officeDocument/2006/relationships/hyperlink" Target="https://drive.google.com/open?id=1dmJ-dGnmoqAfeRqyDS3ugBV4BYo2oX76" TargetMode="External"/><Relationship Id="rId2409" Type="http://schemas.openxmlformats.org/officeDocument/2006/relationships/hyperlink" Target="https://drive.google.com/open?id=1q6H74boM3aAFI_2cZc9alVEBpzOjWL0m" TargetMode="External"/><Relationship Id="rId3731" Type="http://schemas.openxmlformats.org/officeDocument/2006/relationships/hyperlink" Target="https://drive.google.com/open?id=1soJPyCav92mHfBJaJDS8eCf0EF_Ab7OC" TargetMode="External"/><Relationship Id="rId2400" Type="http://schemas.openxmlformats.org/officeDocument/2006/relationships/hyperlink" Target="https://drive.google.com/open?id=1DGWzcUTGt1lX6jjSbuy8_K0jI8kkQMEj" TargetMode="External"/><Relationship Id="rId3730" Type="http://schemas.openxmlformats.org/officeDocument/2006/relationships/hyperlink" Target="https://drive.google.com/open?id=1Hp9M3so7Ovjh0gvFx4_sWTFKzDcq4ZVr" TargetMode="External"/><Relationship Id="rId3722" Type="http://schemas.openxmlformats.org/officeDocument/2006/relationships/hyperlink" Target="https://drive.google.com/open?id=1HYMqt29E2y3rnOC0SR0LNAfPp8ZgS8Nz" TargetMode="External"/><Relationship Id="rId3721" Type="http://schemas.openxmlformats.org/officeDocument/2006/relationships/hyperlink" Target="https://drive.google.com/open?id=1Zid7eOxOFBIZ6O9kUoUeQSf6c7L3id2o" TargetMode="External"/><Relationship Id="rId3724" Type="http://schemas.openxmlformats.org/officeDocument/2006/relationships/hyperlink" Target="https://drive.google.com/open?id=1UGJdpe4iOz6j-LKY-NL73VLrPItSs1Hm" TargetMode="External"/><Relationship Id="rId3723" Type="http://schemas.openxmlformats.org/officeDocument/2006/relationships/hyperlink" Target="https://drive.google.com/open?id=12RxxKPF1fHqfhVxNP-VHku2wM_6NmlGV" TargetMode="External"/><Relationship Id="rId3726" Type="http://schemas.openxmlformats.org/officeDocument/2006/relationships/hyperlink" Target="https://drive.google.com/open?id=1LmKGlUcmQD-6hyPvG_fZYF_Ft19pI_yD" TargetMode="External"/><Relationship Id="rId3725" Type="http://schemas.openxmlformats.org/officeDocument/2006/relationships/hyperlink" Target="https://drive.google.com/open?id=11Cd0HQ1LsdjB95rRmFvbUcxLPXnjeoVH" TargetMode="External"/><Relationship Id="rId3728" Type="http://schemas.openxmlformats.org/officeDocument/2006/relationships/hyperlink" Target="https://drive.google.com/open?id=1J5-H19TvPp4ar1_HiVW3OFVtcU31hPCO" TargetMode="External"/><Relationship Id="rId3727" Type="http://schemas.openxmlformats.org/officeDocument/2006/relationships/hyperlink" Target="https://drive.google.com/open?id=1qTh5txdcDLyQVF3NahU-a3cWCy11q9Kh" TargetMode="External"/><Relationship Id="rId3729" Type="http://schemas.openxmlformats.org/officeDocument/2006/relationships/hyperlink" Target="https://drive.google.com/open?id=1wPe17PtCXLfBUL0EO7_n81otavrQzgPb" TargetMode="External"/><Relationship Id="rId3720" Type="http://schemas.openxmlformats.org/officeDocument/2006/relationships/hyperlink" Target="https://drive.google.com/open?id=1UvoWhCv53mPe2CdRXT6TjgxTu_bFi27P" TargetMode="External"/><Relationship Id="rId590" Type="http://schemas.openxmlformats.org/officeDocument/2006/relationships/hyperlink" Target="https://drive.google.com/open?id=1kHhBagWfdhlQGMbpAveYqBfhWEi0O9fe" TargetMode="External"/><Relationship Id="rId589" Type="http://schemas.openxmlformats.org/officeDocument/2006/relationships/hyperlink" Target="https://drive.google.com/open?id=1DVMSGa15o1OWP9B9o4GtWxMc5gCNLTiz" TargetMode="External"/><Relationship Id="rId588" Type="http://schemas.openxmlformats.org/officeDocument/2006/relationships/hyperlink" Target="https://drive.google.com/open?id=1KPs0Bcx9-eq6RqbZx6UBcyBvX8DRPKLw" TargetMode="External"/><Relationship Id="rId1170" Type="http://schemas.openxmlformats.org/officeDocument/2006/relationships/hyperlink" Target="https://drive.google.com/open?id=1WEn_yBy1xwLHDXEoZLswHwmGSw91I5e1" TargetMode="External"/><Relationship Id="rId1171" Type="http://schemas.openxmlformats.org/officeDocument/2006/relationships/hyperlink" Target="https://drive.google.com/open?id=1b-XHVwSfQbLtaoVmItQ9fMrvcu4GtaHo" TargetMode="External"/><Relationship Id="rId583" Type="http://schemas.openxmlformats.org/officeDocument/2006/relationships/hyperlink" Target="https://drive.google.com/open?id=1zSSCSf6OJWNc5xR-JJm9uQqavcrXHovC" TargetMode="External"/><Relationship Id="rId1172" Type="http://schemas.openxmlformats.org/officeDocument/2006/relationships/hyperlink" Target="https://drive.google.com/open?id=1i6jPKFE1J5rq01-DUHL_sitTbx-HgsSd" TargetMode="External"/><Relationship Id="rId582" Type="http://schemas.openxmlformats.org/officeDocument/2006/relationships/hyperlink" Target="https://drive.google.com/open?id=1R31ObIQHXbKmKqbLG0OGa_TLpsHjvzC6" TargetMode="External"/><Relationship Id="rId1173" Type="http://schemas.openxmlformats.org/officeDocument/2006/relationships/hyperlink" Target="https://drive.google.com/open?id=10RbfVWRU2sYNaOvF5DlLJ4wTw-H2ua9A" TargetMode="External"/><Relationship Id="rId581" Type="http://schemas.openxmlformats.org/officeDocument/2006/relationships/hyperlink" Target="https://drive.google.com/open?id=1jdBOWVdd-vlg3hDJvhDPRYj0IpiWvffm" TargetMode="External"/><Relationship Id="rId1174" Type="http://schemas.openxmlformats.org/officeDocument/2006/relationships/hyperlink" Target="https://drive.google.com/open?id=1ehjJwg2vw4RZJiPl2m58EOc_S41cKQ4C" TargetMode="External"/><Relationship Id="rId580" Type="http://schemas.openxmlformats.org/officeDocument/2006/relationships/hyperlink" Target="https://drive.google.com/open?id=1GJJ1TPacMj7ZWSWVVP0qkahd-1V4Ia2r" TargetMode="External"/><Relationship Id="rId1175" Type="http://schemas.openxmlformats.org/officeDocument/2006/relationships/hyperlink" Target="https://drive.google.com/open?id=1XPoU46gSTvNbnbRDbyvSd83XTSZbySmB" TargetMode="External"/><Relationship Id="rId587" Type="http://schemas.openxmlformats.org/officeDocument/2006/relationships/hyperlink" Target="https://drive.google.com/open?id=1MkDN9BoeYTKPwIymbrHF1-IZyIgyujXK" TargetMode="External"/><Relationship Id="rId1176" Type="http://schemas.openxmlformats.org/officeDocument/2006/relationships/hyperlink" Target="https://drive.google.com/open?id=14F0akKBCeAxZen3DQq87yu8tEJF2GiPR" TargetMode="External"/><Relationship Id="rId586" Type="http://schemas.openxmlformats.org/officeDocument/2006/relationships/hyperlink" Target="https://drive.google.com/open?id=1kexZQhpMwXjpWJVR_gT3sJQ_aYmpXGJ_" TargetMode="External"/><Relationship Id="rId1177" Type="http://schemas.openxmlformats.org/officeDocument/2006/relationships/hyperlink" Target="https://drive.google.com/open?id=1_I2wKANHerMJfWtDlz_QWc1dXZcAF3Yz" TargetMode="External"/><Relationship Id="rId585" Type="http://schemas.openxmlformats.org/officeDocument/2006/relationships/hyperlink" Target="https://drive.google.com/open?id=1dYp4_l-Ed_-7bGVh299BP77xyPBpgTIN" TargetMode="External"/><Relationship Id="rId1178" Type="http://schemas.openxmlformats.org/officeDocument/2006/relationships/hyperlink" Target="https://drive.google.com/open?id=1f04FjFFF-3m5r9IyrPkpH40w3o2d2Abb" TargetMode="External"/><Relationship Id="rId584" Type="http://schemas.openxmlformats.org/officeDocument/2006/relationships/hyperlink" Target="https://drive.google.com/open?id=18T2vJx8D0Gq6JeoT4yvl2jbVAdN7Gfud" TargetMode="External"/><Relationship Id="rId1179" Type="http://schemas.openxmlformats.org/officeDocument/2006/relationships/hyperlink" Target="https://drive.google.com/open?id=13dNgJXpCEXFY3xMiLAZVMF8ZagxmgiHf" TargetMode="External"/><Relationship Id="rId1169" Type="http://schemas.openxmlformats.org/officeDocument/2006/relationships/hyperlink" Target="https://drive.google.com/open?id=1aM3wxTv2SX3PpyMNR5VlxJYcGj5xzov_" TargetMode="External"/><Relationship Id="rId579" Type="http://schemas.openxmlformats.org/officeDocument/2006/relationships/hyperlink" Target="https://drive.google.com/open?id=1U6BfEsmUwJ49uDs0nYaTkJtF8dbJjo3b" TargetMode="External"/><Relationship Id="rId578" Type="http://schemas.openxmlformats.org/officeDocument/2006/relationships/hyperlink" Target="https://drive.google.com/open?id=1alWTkWYLU6J3X-Kwxk-VoH43KPu_-5C5" TargetMode="External"/><Relationship Id="rId577" Type="http://schemas.openxmlformats.org/officeDocument/2006/relationships/hyperlink" Target="https://drive.google.com/open?id=1MJ85INSK4LRgLy-LLJuqSx0VPou5KPeQ" TargetMode="External"/><Relationship Id="rId2490" Type="http://schemas.openxmlformats.org/officeDocument/2006/relationships/hyperlink" Target="https://drive.google.com/open?id=1dCji77XekwIEU3gemx5v4F9YiUUkG-rL" TargetMode="External"/><Relationship Id="rId1160" Type="http://schemas.openxmlformats.org/officeDocument/2006/relationships/hyperlink" Target="https://drive.google.com/open?id=1sPx1_a_DdoJkmsbjFFppZDTkMUD1ROcO" TargetMode="External"/><Relationship Id="rId2491" Type="http://schemas.openxmlformats.org/officeDocument/2006/relationships/hyperlink" Target="https://drive.google.com/open?id=1R9aYVsqmVSknBquhAFaDCk8EyVa6eRxa" TargetMode="External"/><Relationship Id="rId572" Type="http://schemas.openxmlformats.org/officeDocument/2006/relationships/hyperlink" Target="https://drive.google.com/open?id=1y4k9hot1uhQ2iaL2fbxIdfKENtsfpknu" TargetMode="External"/><Relationship Id="rId1161" Type="http://schemas.openxmlformats.org/officeDocument/2006/relationships/hyperlink" Target="https://drive.google.com/open?id=1vdzd-vA0_GEizF8uddQl0ES5xyjq4nFS" TargetMode="External"/><Relationship Id="rId2492" Type="http://schemas.openxmlformats.org/officeDocument/2006/relationships/hyperlink" Target="https://drive.google.com/open?id=178hX7Gr2oYI0rVuBE6A9kCbBZ9rW7hvW" TargetMode="External"/><Relationship Id="rId571" Type="http://schemas.openxmlformats.org/officeDocument/2006/relationships/hyperlink" Target="https://drive.google.com/open?id=1jvcw7GWiCPxcvbSsbCuzdR6gmDlzgIyu" TargetMode="External"/><Relationship Id="rId1162" Type="http://schemas.openxmlformats.org/officeDocument/2006/relationships/hyperlink" Target="https://drive.google.com/open?id=1_Sf3N-atLHWbBzBchWRAAhClQYDmt7dn" TargetMode="External"/><Relationship Id="rId2493" Type="http://schemas.openxmlformats.org/officeDocument/2006/relationships/hyperlink" Target="https://drive.google.com/open?id=16NeGN3My_H_9Sv-0YlrhyODZatSqsczK" TargetMode="External"/><Relationship Id="rId570" Type="http://schemas.openxmlformats.org/officeDocument/2006/relationships/hyperlink" Target="https://drive.google.com/open?id=1UCNbBPvk4b98MV7LNJyOTqw-HeKO_sYN" TargetMode="External"/><Relationship Id="rId1163" Type="http://schemas.openxmlformats.org/officeDocument/2006/relationships/hyperlink" Target="https://drive.google.com/open?id=1q7IoswAngDIkrD7R0Q1ybxsVYpOSMenU" TargetMode="External"/><Relationship Id="rId2494" Type="http://schemas.openxmlformats.org/officeDocument/2006/relationships/hyperlink" Target="https://drive.google.com/open?id=1A6AEwxjPRgeSfI10bB2c6Ymci7xTM-eD" TargetMode="External"/><Relationship Id="rId1164" Type="http://schemas.openxmlformats.org/officeDocument/2006/relationships/hyperlink" Target="https://drive.google.com/open?id=1gGgA8WDneXe07hAGxXxGKphpQmWYWN2D" TargetMode="External"/><Relationship Id="rId2495" Type="http://schemas.openxmlformats.org/officeDocument/2006/relationships/hyperlink" Target="https://drive.google.com/open?id=1xjZTYAUNLSrJqXTHmPPsvIlW_HyPvpGp" TargetMode="External"/><Relationship Id="rId576" Type="http://schemas.openxmlformats.org/officeDocument/2006/relationships/hyperlink" Target="https://drive.google.com/open?id=1r-Ey9utJpwOdksHSazkPO94Ju8rlP937" TargetMode="External"/><Relationship Id="rId1165" Type="http://schemas.openxmlformats.org/officeDocument/2006/relationships/hyperlink" Target="https://drive.google.com/open?id=1QTyF6fPUII1UkWmzBj5oR0pQLDddDngX" TargetMode="External"/><Relationship Id="rId2496" Type="http://schemas.openxmlformats.org/officeDocument/2006/relationships/hyperlink" Target="https://drive.google.com/open?id=1Ww6ANE2U46HtD87RM0PpgRTCvTH-EayK" TargetMode="External"/><Relationship Id="rId575" Type="http://schemas.openxmlformats.org/officeDocument/2006/relationships/hyperlink" Target="https://drive.google.com/open?id=1OZa3ZlzZdpi6VD4rSVmbdnOQqxCSR_w-" TargetMode="External"/><Relationship Id="rId1166" Type="http://schemas.openxmlformats.org/officeDocument/2006/relationships/hyperlink" Target="https://drive.google.com/open?id=1lT5zapSsry82MrQIt2EbFU9DDKLI4Z3n" TargetMode="External"/><Relationship Id="rId2497" Type="http://schemas.openxmlformats.org/officeDocument/2006/relationships/hyperlink" Target="https://drive.google.com/open?id=1ZH8NT2jbD5oGN4zR8w_UoxRgrBHIp5_e" TargetMode="External"/><Relationship Id="rId574" Type="http://schemas.openxmlformats.org/officeDocument/2006/relationships/hyperlink" Target="https://drive.google.com/open?id=1i8yaoXvyDD9ln8xldnz1vfJvaVvZa11J" TargetMode="External"/><Relationship Id="rId1167" Type="http://schemas.openxmlformats.org/officeDocument/2006/relationships/hyperlink" Target="https://drive.google.com/open?id=1appmHl_Y8-xVAyARY9VRgUCczaoomQZQ" TargetMode="External"/><Relationship Id="rId2498" Type="http://schemas.openxmlformats.org/officeDocument/2006/relationships/hyperlink" Target="https://drive.google.com/open?id=1JqjYLDPCV9rEOUZ092YXBjUZIoktfsfa" TargetMode="External"/><Relationship Id="rId573" Type="http://schemas.openxmlformats.org/officeDocument/2006/relationships/hyperlink" Target="https://drive.google.com/open?id=1QQ2eN26HSDwQvBa44C5oY6O9FdPXlE7c" TargetMode="External"/><Relationship Id="rId1168" Type="http://schemas.openxmlformats.org/officeDocument/2006/relationships/hyperlink" Target="https://drive.google.com/open?id=1DP4HyUrabNYahThJl8jCHFQru9EsfvwE" TargetMode="External"/><Relationship Id="rId2499" Type="http://schemas.openxmlformats.org/officeDocument/2006/relationships/hyperlink" Target="https://drive.google.com/open?id=1IJiQkZpL3GuprE0MZh19J2ySEXrqKMku" TargetMode="External"/><Relationship Id="rId1190" Type="http://schemas.openxmlformats.org/officeDocument/2006/relationships/hyperlink" Target="https://drive.google.com/open?id=1HAGvahxJd9V_r-Ek7JDvVTumlulT5FcP" TargetMode="External"/><Relationship Id="rId1191" Type="http://schemas.openxmlformats.org/officeDocument/2006/relationships/hyperlink" Target="https://drive.google.com/open?id=10k6mDnHZdi7F2NQ8D16G8lmx2pR6kWGG" TargetMode="External"/><Relationship Id="rId1192" Type="http://schemas.openxmlformats.org/officeDocument/2006/relationships/hyperlink" Target="https://drive.google.com/open?id=1HdKDqREPfm4DIPsipe5gLsvxJz8LxqMb" TargetMode="External"/><Relationship Id="rId1193" Type="http://schemas.openxmlformats.org/officeDocument/2006/relationships/hyperlink" Target="https://drive.google.com/open?id=1zaQmTEbVXzJXemEkpcYkJX3JVYF0fL4e" TargetMode="External"/><Relationship Id="rId1194" Type="http://schemas.openxmlformats.org/officeDocument/2006/relationships/hyperlink" Target="https://drive.google.com/open?id=1C0CasRyrQ74mHv7wkgqE5br7_ILw0Jju" TargetMode="External"/><Relationship Id="rId1195" Type="http://schemas.openxmlformats.org/officeDocument/2006/relationships/hyperlink" Target="https://drive.google.com/open?id=1umT-0p5XYquIWCk9lC1GUmZ9MVSC-NTf" TargetMode="External"/><Relationship Id="rId1196" Type="http://schemas.openxmlformats.org/officeDocument/2006/relationships/hyperlink" Target="https://drive.google.com/open?id=1Aauwn_FyK0YIMmEOxlVE5Lvxd9qcKqRr" TargetMode="External"/><Relationship Id="rId1197" Type="http://schemas.openxmlformats.org/officeDocument/2006/relationships/hyperlink" Target="https://drive.google.com/open?id=1SZTMZknKnHjG4gzZgY3wo5Vgc0lsO_Bx" TargetMode="External"/><Relationship Id="rId1198" Type="http://schemas.openxmlformats.org/officeDocument/2006/relationships/hyperlink" Target="https://drive.google.com/open?id=1_pGAKengs7EEd3OXDbiTL54FYtkz0D4E" TargetMode="External"/><Relationship Id="rId1199" Type="http://schemas.openxmlformats.org/officeDocument/2006/relationships/hyperlink" Target="https://drive.google.com/open?id=1P4epZW7xN-6n6r9TbrPrXj3a2pBcq-np" TargetMode="External"/><Relationship Id="rId599" Type="http://schemas.openxmlformats.org/officeDocument/2006/relationships/hyperlink" Target="https://drive.google.com/open?id=1Pd9OQEf5pbdbJw2zn9l62O7CAuuKCB_g" TargetMode="External"/><Relationship Id="rId1180" Type="http://schemas.openxmlformats.org/officeDocument/2006/relationships/hyperlink" Target="https://drive.google.com/open?id=1nNH9IJOVGodbcLFJoniFe4KaLngsTPtV" TargetMode="External"/><Relationship Id="rId1181" Type="http://schemas.openxmlformats.org/officeDocument/2006/relationships/hyperlink" Target="https://drive.google.com/open?id=1io-65g_i-eUgN_iY749dtKJVQMwvBb7T" TargetMode="External"/><Relationship Id="rId1182" Type="http://schemas.openxmlformats.org/officeDocument/2006/relationships/hyperlink" Target="https://drive.google.com/open?id=1H-yO2_y36nYxtHxLLgyYGUYig1dWCMsx" TargetMode="External"/><Relationship Id="rId594" Type="http://schemas.openxmlformats.org/officeDocument/2006/relationships/hyperlink" Target="https://drive.google.com/open?id=1npq9W-QkyDoaN72V123jRqSMl_jSvdAZ" TargetMode="External"/><Relationship Id="rId1183" Type="http://schemas.openxmlformats.org/officeDocument/2006/relationships/hyperlink" Target="https://drive.google.com/open?id=10qT7xYrNTkqBNG8GUfd1l1jcHp56xIGI" TargetMode="External"/><Relationship Id="rId593" Type="http://schemas.openxmlformats.org/officeDocument/2006/relationships/hyperlink" Target="https://drive.google.com/open?id=1v8fQTXKsplllO9FLjyFsNPr6rHJmWhHu" TargetMode="External"/><Relationship Id="rId1184" Type="http://schemas.openxmlformats.org/officeDocument/2006/relationships/hyperlink" Target="https://drive.google.com/open?id=1Q8WuJS0jDCu7bDewm0YPy-r0U7F5LyA7" TargetMode="External"/><Relationship Id="rId592" Type="http://schemas.openxmlformats.org/officeDocument/2006/relationships/hyperlink" Target="https://drive.google.com/open?id=1NkeiSDoY6_GlbCZod6r0XuDwJy-zjd9m" TargetMode="External"/><Relationship Id="rId1185" Type="http://schemas.openxmlformats.org/officeDocument/2006/relationships/hyperlink" Target="https://drive.google.com/open?id=1r2Ej7y4jf75RL2DVSsOFQt3HL5KNqkMw" TargetMode="External"/><Relationship Id="rId591" Type="http://schemas.openxmlformats.org/officeDocument/2006/relationships/hyperlink" Target="https://drive.google.com/open?id=1De4dJAqQaft_AXKoT5-66FtfUbJVPTTr" TargetMode="External"/><Relationship Id="rId1186" Type="http://schemas.openxmlformats.org/officeDocument/2006/relationships/hyperlink" Target="https://drive.google.com/open?id=1FERGgWhUBJY5QFDLmXgCW65NUaLyoBDH" TargetMode="External"/><Relationship Id="rId598" Type="http://schemas.openxmlformats.org/officeDocument/2006/relationships/hyperlink" Target="https://drive.google.com/open?id=1-D-I85p3gwquV13gB8UScBALJfgmF9kq" TargetMode="External"/><Relationship Id="rId1187" Type="http://schemas.openxmlformats.org/officeDocument/2006/relationships/hyperlink" Target="https://drive.google.com/open?id=1CRlNxzSVvVLcfCnfhaHPt5MsfC68qDoc" TargetMode="External"/><Relationship Id="rId597" Type="http://schemas.openxmlformats.org/officeDocument/2006/relationships/hyperlink" Target="https://drive.google.com/open?id=1cszcmcbBeEIicJ5xxje3QaVVWTLGQowk" TargetMode="External"/><Relationship Id="rId1188" Type="http://schemas.openxmlformats.org/officeDocument/2006/relationships/hyperlink" Target="https://drive.google.com/open?id=1rsQ58mFMnMlemXGeMxo2CQOfsTxv9wjY" TargetMode="External"/><Relationship Id="rId596" Type="http://schemas.openxmlformats.org/officeDocument/2006/relationships/hyperlink" Target="https://drive.google.com/open?id=1LwP2ZNe0-JSJ1hy7Rx3kNcFYo85AKzY-" TargetMode="External"/><Relationship Id="rId1189" Type="http://schemas.openxmlformats.org/officeDocument/2006/relationships/hyperlink" Target="https://drive.google.com/open?id=1fCx6iaNpCiMOcQ5hBA7KTp6TiIJwQct3" TargetMode="External"/><Relationship Id="rId595" Type="http://schemas.openxmlformats.org/officeDocument/2006/relationships/hyperlink" Target="https://drive.google.com/open?id=1RFzy25ut2QMEzROiiwc3SK6lahq_5G-G" TargetMode="External"/><Relationship Id="rId1136" Type="http://schemas.openxmlformats.org/officeDocument/2006/relationships/hyperlink" Target="https://drive.google.com/open?id=174HsBuSAoHQT20iTRSaCsTtIbZvH4-Qf" TargetMode="External"/><Relationship Id="rId2467" Type="http://schemas.openxmlformats.org/officeDocument/2006/relationships/hyperlink" Target="https://drive.google.com/open?id=146nnDtuUhtrNf2Rlhrjo4J3lVpzi4D8Z" TargetMode="External"/><Relationship Id="rId1137" Type="http://schemas.openxmlformats.org/officeDocument/2006/relationships/hyperlink" Target="https://drive.google.com/open?id=1E9XOop1mEMJo4W3XQkL7HofrzPWPnIFY" TargetMode="External"/><Relationship Id="rId2468" Type="http://schemas.openxmlformats.org/officeDocument/2006/relationships/hyperlink" Target="https://drive.google.com/open?id=1i0J0HG2ZCrLJY2NGDl6u1zKqi99mRtje" TargetMode="External"/><Relationship Id="rId1138" Type="http://schemas.openxmlformats.org/officeDocument/2006/relationships/hyperlink" Target="https://drive.google.com/open?id=1XnQDZdt5lAxyGm3Fe8OQkMUnNQai42gt" TargetMode="External"/><Relationship Id="rId2469" Type="http://schemas.openxmlformats.org/officeDocument/2006/relationships/hyperlink" Target="https://drive.google.com/open?id=161BANApAZcYa4mZIETZPOqDngq02Fatk" TargetMode="External"/><Relationship Id="rId1139" Type="http://schemas.openxmlformats.org/officeDocument/2006/relationships/hyperlink" Target="https://drive.google.com/open?id=1kzQMcpduIux5Sz7TKLAVtti5hHqDXOmy" TargetMode="External"/><Relationship Id="rId547" Type="http://schemas.openxmlformats.org/officeDocument/2006/relationships/hyperlink" Target="https://drive.google.com/open?id=1OA9LFky82kdQJQU0CQ7VoTerOwOO0Ozh" TargetMode="External"/><Relationship Id="rId546" Type="http://schemas.openxmlformats.org/officeDocument/2006/relationships/hyperlink" Target="https://drive.google.com/open?id=19ERHjDbIW-z4MQiutajFDsD4B-Rw1Kge" TargetMode="External"/><Relationship Id="rId545" Type="http://schemas.openxmlformats.org/officeDocument/2006/relationships/hyperlink" Target="https://drive.google.com/open?id=1NyhzwXzf4VQdJdMMctpk8eXXEqkgU49j" TargetMode="External"/><Relationship Id="rId544" Type="http://schemas.openxmlformats.org/officeDocument/2006/relationships/hyperlink" Target="https://drive.google.com/open?id=1QSsP_ZK1p_yJnfPtbmYsOrwqGJhtv8V8" TargetMode="External"/><Relationship Id="rId549" Type="http://schemas.openxmlformats.org/officeDocument/2006/relationships/hyperlink" Target="https://drive.google.com/open?id=10cbHDx5NWB9Vz3C-EljTCv_bWn4JpFIj" TargetMode="External"/><Relationship Id="rId548" Type="http://schemas.openxmlformats.org/officeDocument/2006/relationships/hyperlink" Target="https://drive.google.com/open?id=1zY1_j7iBr1HGzLYFq_o1tppWjtlZksLz" TargetMode="External"/><Relationship Id="rId2460" Type="http://schemas.openxmlformats.org/officeDocument/2006/relationships/hyperlink" Target="https://drive.google.com/open?id=1ytFOQSEFuUB_wazWnPgP5Np3dWnggEGl" TargetMode="External"/><Relationship Id="rId3790" Type="http://schemas.openxmlformats.org/officeDocument/2006/relationships/table" Target="../tables/table1.xml"/><Relationship Id="rId1130" Type="http://schemas.openxmlformats.org/officeDocument/2006/relationships/hyperlink" Target="https://drive.google.com/open?id=1i1s6WQUSltX0CF9cFm2Rcqv_vUWUlVjN" TargetMode="External"/><Relationship Id="rId2461" Type="http://schemas.openxmlformats.org/officeDocument/2006/relationships/hyperlink" Target="https://drive.google.com/open?id=1w58-rzio6jecIZZJXXfRpNH-9ZI5fBb6" TargetMode="External"/><Relationship Id="rId1131" Type="http://schemas.openxmlformats.org/officeDocument/2006/relationships/hyperlink" Target="https://drive.google.com/open?id=1mx_ZsJWYBcMlWj8u3rB5wctwuEE9MENv" TargetMode="External"/><Relationship Id="rId2462" Type="http://schemas.openxmlformats.org/officeDocument/2006/relationships/hyperlink" Target="https://drive.google.com/open?id=14luX3dQYK0IiBg0GEGbW8u8Z4tVRXP8l" TargetMode="External"/><Relationship Id="rId543" Type="http://schemas.openxmlformats.org/officeDocument/2006/relationships/hyperlink" Target="https://drive.google.com/open?id=1yutkawZibtmrDGjHqB_5kEYE2UE2kio7" TargetMode="External"/><Relationship Id="rId1132" Type="http://schemas.openxmlformats.org/officeDocument/2006/relationships/hyperlink" Target="https://drive.google.com/open?id=1QhYu4oFuEqYHK3zlZbq-Z9Wii1ij9sFT" TargetMode="External"/><Relationship Id="rId2463" Type="http://schemas.openxmlformats.org/officeDocument/2006/relationships/hyperlink" Target="https://drive.google.com/open?id=1q4VZ93ENBpp7jts98WGXLE-yIh34AgSz" TargetMode="External"/><Relationship Id="rId542" Type="http://schemas.openxmlformats.org/officeDocument/2006/relationships/hyperlink" Target="https://drive.google.com/open?id=1wRYPFtBblAZevGOuzjRFNfFa2kMZiELr" TargetMode="External"/><Relationship Id="rId1133" Type="http://schemas.openxmlformats.org/officeDocument/2006/relationships/hyperlink" Target="https://drive.google.com/open?id=1IKCRUDF8MoUvGPwFa6R85pO6EH65qYCM" TargetMode="External"/><Relationship Id="rId2464" Type="http://schemas.openxmlformats.org/officeDocument/2006/relationships/hyperlink" Target="https://drive.google.com/open?id=1wbDBO7-4gOUrWoUQPVst8YDx8nUiKIIG" TargetMode="External"/><Relationship Id="rId541" Type="http://schemas.openxmlformats.org/officeDocument/2006/relationships/hyperlink" Target="https://drive.google.com/open?id=1ohv8V9sn2GCsWHcI1rec_vcwckqCAcBT" TargetMode="External"/><Relationship Id="rId1134" Type="http://schemas.openxmlformats.org/officeDocument/2006/relationships/hyperlink" Target="https://drive.google.com/open?id=1UVjtm1q6N9Z4bmOYfp2rryT2BIuzACvi" TargetMode="External"/><Relationship Id="rId2465" Type="http://schemas.openxmlformats.org/officeDocument/2006/relationships/hyperlink" Target="https://drive.google.com/open?id=1AzsSB7t9H63a_T3usg560-1d8NzHjkPf" TargetMode="External"/><Relationship Id="rId540" Type="http://schemas.openxmlformats.org/officeDocument/2006/relationships/hyperlink" Target="https://drive.google.com/open?id=1J-y9TspZZBnk2n1owpM_8S2-ZjPTikEw" TargetMode="External"/><Relationship Id="rId1135" Type="http://schemas.openxmlformats.org/officeDocument/2006/relationships/hyperlink" Target="https://drive.google.com/open?id=1kdadl9HOGSVj-z29_aU8x3ZZPRP0TyXC" TargetMode="External"/><Relationship Id="rId2466" Type="http://schemas.openxmlformats.org/officeDocument/2006/relationships/hyperlink" Target="https://drive.google.com/open?id=1nTt7TaMTTFfmWdDMjJPDPMt3quICkZre" TargetMode="External"/><Relationship Id="rId1125" Type="http://schemas.openxmlformats.org/officeDocument/2006/relationships/hyperlink" Target="https://drive.google.com/open?id=1pFKCB-fThjVBt3rG0pGA9MSjFw1veS3G" TargetMode="External"/><Relationship Id="rId2456" Type="http://schemas.openxmlformats.org/officeDocument/2006/relationships/hyperlink" Target="https://drive.google.com/open?id=1OmfaTCywFEcaPqbN2UOINguGx6nyWwmO" TargetMode="External"/><Relationship Id="rId3788" Type="http://schemas.openxmlformats.org/officeDocument/2006/relationships/drawing" Target="../drawings/drawing1.xml"/><Relationship Id="rId1126" Type="http://schemas.openxmlformats.org/officeDocument/2006/relationships/hyperlink" Target="https://drive.google.com/open?id=1UpfvS_2IaAGV1i-ReRD6z86x_vO9JsB2" TargetMode="External"/><Relationship Id="rId2457" Type="http://schemas.openxmlformats.org/officeDocument/2006/relationships/hyperlink" Target="https://drive.google.com/open?id=10hJSYjP6tdtcauCnYJQlu_pVZqhtN58k" TargetMode="External"/><Relationship Id="rId3787" Type="http://schemas.openxmlformats.org/officeDocument/2006/relationships/hyperlink" Target="https://drive.google.com/open?id=1lPBeISrSkOtA17gg4KuzM9xkHFTXhDD8" TargetMode="External"/><Relationship Id="rId1127" Type="http://schemas.openxmlformats.org/officeDocument/2006/relationships/hyperlink" Target="https://drive.google.com/open?id=17udqqAWqfhoE47RDuFd4o8JjJXfS_bsF" TargetMode="External"/><Relationship Id="rId2458" Type="http://schemas.openxmlformats.org/officeDocument/2006/relationships/hyperlink" Target="https://drive.google.com/open?id=1BAuaMpbechmNqy9OypcfcTsXDyCAdkcm" TargetMode="External"/><Relationship Id="rId1128" Type="http://schemas.openxmlformats.org/officeDocument/2006/relationships/hyperlink" Target="https://drive.google.com/open?id=1QL4lJtbQWuYvK46Mt2_0VlHR1X8PTRCM" TargetMode="External"/><Relationship Id="rId2459" Type="http://schemas.openxmlformats.org/officeDocument/2006/relationships/hyperlink" Target="https://drive.google.com/open?id=1SksnWVjMKv2GAvA6Qjf77hSVpD5YSWwk" TargetMode="External"/><Relationship Id="rId1129" Type="http://schemas.openxmlformats.org/officeDocument/2006/relationships/hyperlink" Target="https://drive.google.com/open?id=1LWLqhHgp5P1BW2i0nl7VDMY0uWrxruaN" TargetMode="External"/><Relationship Id="rId536" Type="http://schemas.openxmlformats.org/officeDocument/2006/relationships/hyperlink" Target="https://drive.google.com/open?id=1jcEDdB5YGalV1RvECFbv2HHIj7AuKeLX" TargetMode="External"/><Relationship Id="rId535" Type="http://schemas.openxmlformats.org/officeDocument/2006/relationships/hyperlink" Target="https://drive.google.com/open?id=1Pjl3B13TplbpVSk_i1WQSNZeUa5iLFwv" TargetMode="External"/><Relationship Id="rId534" Type="http://schemas.openxmlformats.org/officeDocument/2006/relationships/hyperlink" Target="https://drive.google.com/open?id=16XYkAIQFKVwXNwvZXHex0isgLXAQPWpl" TargetMode="External"/><Relationship Id="rId533" Type="http://schemas.openxmlformats.org/officeDocument/2006/relationships/hyperlink" Target="https://drive.google.com/open?id=1qSaUHAb2miggrbT2eae2_vyOq5BV8WfK" TargetMode="External"/><Relationship Id="rId539" Type="http://schemas.openxmlformats.org/officeDocument/2006/relationships/hyperlink" Target="https://drive.google.com/open?id=19QjDrfdMCqAp1Tt56J2XpnBW6XX8n_16" TargetMode="External"/><Relationship Id="rId538" Type="http://schemas.openxmlformats.org/officeDocument/2006/relationships/hyperlink" Target="https://drive.google.com/open?id=1orBMKKqyO8Nt1cAtX676RNsTqPyoqS68" TargetMode="External"/><Relationship Id="rId537" Type="http://schemas.openxmlformats.org/officeDocument/2006/relationships/hyperlink" Target="https://drive.google.com/open?id=1KF2jWSXRtXu5v5GJvVeOIRJC4omyVi5K" TargetMode="External"/><Relationship Id="rId3780" Type="http://schemas.openxmlformats.org/officeDocument/2006/relationships/hyperlink" Target="https://drive.google.com/open?id=1m58KayO0awwgMU-YLeLzqC29qKhGV_RF" TargetMode="External"/><Relationship Id="rId2450" Type="http://schemas.openxmlformats.org/officeDocument/2006/relationships/hyperlink" Target="https://drive.google.com/open?id=1SH60mMS4gRCwHNp4aCOAwSFGyPnDEIzR" TargetMode="External"/><Relationship Id="rId3782" Type="http://schemas.openxmlformats.org/officeDocument/2006/relationships/hyperlink" Target="https://drive.google.com/open?id=12Db4dsVGaXNmAPNLrkFrVcbaK2NMKlF_" TargetMode="External"/><Relationship Id="rId1120" Type="http://schemas.openxmlformats.org/officeDocument/2006/relationships/hyperlink" Target="https://drive.google.com/open?id=1P5RSag1mS558RZ-mSKVoA-5TQBKgFsyk" TargetMode="External"/><Relationship Id="rId2451" Type="http://schemas.openxmlformats.org/officeDocument/2006/relationships/hyperlink" Target="https://drive.google.com/open?id=1i6tk6deYcpsnrynD7CxfE1f0suRd2_eN" TargetMode="External"/><Relationship Id="rId3781" Type="http://schemas.openxmlformats.org/officeDocument/2006/relationships/hyperlink" Target="https://drive.google.com/open?id=1EdOFaiBYmKght0lR-r9_S-76SHoFIqgk" TargetMode="External"/><Relationship Id="rId532" Type="http://schemas.openxmlformats.org/officeDocument/2006/relationships/hyperlink" Target="https://drive.google.com/open?id=1KNFV1OLspJT6jyG_WPxUzNBYzPGNG55I" TargetMode="External"/><Relationship Id="rId1121" Type="http://schemas.openxmlformats.org/officeDocument/2006/relationships/hyperlink" Target="https://drive.google.com/open?id=1PxbGi7fCKp0cgK3e5irIxGmvYTXjOYLr" TargetMode="External"/><Relationship Id="rId2452" Type="http://schemas.openxmlformats.org/officeDocument/2006/relationships/hyperlink" Target="https://drive.google.com/open?id=1s9xrb9Do1KBxoMJIVsKfp_ZwQ4wXVMv4" TargetMode="External"/><Relationship Id="rId3784" Type="http://schemas.openxmlformats.org/officeDocument/2006/relationships/hyperlink" Target="https://drive.google.com/open?id=1HSRAyTPFagaYc0mClGUAy24JfVB1gViZ" TargetMode="External"/><Relationship Id="rId531" Type="http://schemas.openxmlformats.org/officeDocument/2006/relationships/hyperlink" Target="https://drive.google.com/open?id=18wFBPY_suGPSYwfqf5OldarkS41vomZl" TargetMode="External"/><Relationship Id="rId1122" Type="http://schemas.openxmlformats.org/officeDocument/2006/relationships/hyperlink" Target="https://drive.google.com/open?id=15Q8SzfDmD33hmywGhthmZ9Nd-OpGYH16" TargetMode="External"/><Relationship Id="rId2453" Type="http://schemas.openxmlformats.org/officeDocument/2006/relationships/hyperlink" Target="https://drive.google.com/open?id=1JFw4zbaNqqZ3BGMkODKjO1JoJa5oaDRg" TargetMode="External"/><Relationship Id="rId3783" Type="http://schemas.openxmlformats.org/officeDocument/2006/relationships/hyperlink" Target="https://drive.google.com/open?id=1ynHs8XSXxSa2VYFRflJMzGY9efknqhGE" TargetMode="External"/><Relationship Id="rId530" Type="http://schemas.openxmlformats.org/officeDocument/2006/relationships/hyperlink" Target="https://drive.google.com/open?id=1fHjKrTp9Up5jAIA6GmhBNI9cizusAKSQ" TargetMode="External"/><Relationship Id="rId1123" Type="http://schemas.openxmlformats.org/officeDocument/2006/relationships/hyperlink" Target="https://drive.google.com/open?id=1wZnszyRDGC9AkigXUc0139ymfOwTcQYq" TargetMode="External"/><Relationship Id="rId2454" Type="http://schemas.openxmlformats.org/officeDocument/2006/relationships/hyperlink" Target="https://drive.google.com/open?id=1y9gepan-X91VCzVZxa1rVXhGTdpNeHZD" TargetMode="External"/><Relationship Id="rId3786" Type="http://schemas.openxmlformats.org/officeDocument/2006/relationships/hyperlink" Target="https://drive.google.com/open?id=1FTM_PslJOJ0G5DxDKfOf-n8nZpayc3y-" TargetMode="External"/><Relationship Id="rId1124" Type="http://schemas.openxmlformats.org/officeDocument/2006/relationships/hyperlink" Target="https://drive.google.com/open?id=1Euj6M14BBFAq4OCr2AOeoAdjMWiU9xMp" TargetMode="External"/><Relationship Id="rId2455" Type="http://schemas.openxmlformats.org/officeDocument/2006/relationships/hyperlink" Target="https://drive.google.com/open?id=1NHdnHRBKm9PsrZQjdKHlLO5ULt_CDScI" TargetMode="External"/><Relationship Id="rId3785" Type="http://schemas.openxmlformats.org/officeDocument/2006/relationships/hyperlink" Target="https://drive.google.com/open?id=1BaFplrtBiyFpzQIrPFIENLF8VYsy3pTe" TargetMode="External"/><Relationship Id="rId1158" Type="http://schemas.openxmlformats.org/officeDocument/2006/relationships/hyperlink" Target="https://drive.google.com/open?id=1MeufOPqghpg_Q-8aO5L7a8uL9TFGeGAW" TargetMode="External"/><Relationship Id="rId2489" Type="http://schemas.openxmlformats.org/officeDocument/2006/relationships/hyperlink" Target="https://drive.google.com/open?id=1O8AZVEZPN58ykiri9oPT-2ZwRd8UcBBw" TargetMode="External"/><Relationship Id="rId1159" Type="http://schemas.openxmlformats.org/officeDocument/2006/relationships/hyperlink" Target="https://drive.google.com/open?id=1_38CU56Bcfjd8z9BxNFkfXFw8_xGyMAO" TargetMode="External"/><Relationship Id="rId569" Type="http://schemas.openxmlformats.org/officeDocument/2006/relationships/hyperlink" Target="https://drive.google.com/open?id=1qCw3tYgDSSk_dsd7wO7qVd0bdQE6Rb7t" TargetMode="External"/><Relationship Id="rId568" Type="http://schemas.openxmlformats.org/officeDocument/2006/relationships/hyperlink" Target="https://drive.google.com/open?id=1SvCnxVylNQLPyIoh-rUvKcYMwgKkI22n" TargetMode="External"/><Relationship Id="rId567" Type="http://schemas.openxmlformats.org/officeDocument/2006/relationships/hyperlink" Target="https://drive.google.com/open?id=13-NulOCp6yPEaOPF9nbta8UrO6OOupWB" TargetMode="External"/><Relationship Id="rId566" Type="http://schemas.openxmlformats.org/officeDocument/2006/relationships/hyperlink" Target="https://drive.google.com/open?id=1NBjgCMKSTTSjCtstuXHMLjYZ9kbYQJ13" TargetMode="External"/><Relationship Id="rId2480" Type="http://schemas.openxmlformats.org/officeDocument/2006/relationships/hyperlink" Target="https://drive.google.com/open?id=11k8eZXXb1csJkzhUPN4jyIdN84i8nJC7" TargetMode="External"/><Relationship Id="rId561" Type="http://schemas.openxmlformats.org/officeDocument/2006/relationships/hyperlink" Target="https://drive.google.com/open?id=1zFlAA_-mez3n3drAChmiuD8eV8YoneVh" TargetMode="External"/><Relationship Id="rId1150" Type="http://schemas.openxmlformats.org/officeDocument/2006/relationships/hyperlink" Target="https://drive.google.com/open?id=1OHjyRDgQ_4Ip6ScaoYVRojc1Tf9SM3mL" TargetMode="External"/><Relationship Id="rId2481" Type="http://schemas.openxmlformats.org/officeDocument/2006/relationships/hyperlink" Target="https://drive.google.com/open?id=1Y2ymPw0E0EMLTP7yP2s9RoQLiLGfJAnT" TargetMode="External"/><Relationship Id="rId560" Type="http://schemas.openxmlformats.org/officeDocument/2006/relationships/hyperlink" Target="https://drive.google.com/open?id=1n7Ma8iiGNOvI_h9uguEukGp7jrL5ipy9" TargetMode="External"/><Relationship Id="rId1151" Type="http://schemas.openxmlformats.org/officeDocument/2006/relationships/hyperlink" Target="https://drive.google.com/open?id=1-MKQ3mxFJNTL9-XASFei2ZniBVx4oXkP" TargetMode="External"/><Relationship Id="rId2482" Type="http://schemas.openxmlformats.org/officeDocument/2006/relationships/hyperlink" Target="https://drive.google.com/open?id=1ri1J0kWLs1W3DtSxP5qU0sCnDfnGJFfN" TargetMode="External"/><Relationship Id="rId1152" Type="http://schemas.openxmlformats.org/officeDocument/2006/relationships/hyperlink" Target="https://drive.google.com/open?id=1NzXypAWRN0Z-M4e6DOciEMHBvy0hcBul" TargetMode="External"/><Relationship Id="rId2483" Type="http://schemas.openxmlformats.org/officeDocument/2006/relationships/hyperlink" Target="https://drive.google.com/open?id=1I-BC94g4NmdhxFZejHKEsJi7yD6wqbm8" TargetMode="External"/><Relationship Id="rId1153" Type="http://schemas.openxmlformats.org/officeDocument/2006/relationships/hyperlink" Target="https://drive.google.com/open?id=1q5HvufeXVQ4cbYBXvrGbZW70TaXdpuMq" TargetMode="External"/><Relationship Id="rId2484" Type="http://schemas.openxmlformats.org/officeDocument/2006/relationships/hyperlink" Target="https://drive.google.com/open?id=1yiQY3KgowSCV0WH04VTu9-nK1HhAThsk" TargetMode="External"/><Relationship Id="rId565" Type="http://schemas.openxmlformats.org/officeDocument/2006/relationships/hyperlink" Target="https://drive.google.com/open?id=1GrctUvLhE5ch_oNTjWlsJPkaeZzDy2hw" TargetMode="External"/><Relationship Id="rId1154" Type="http://schemas.openxmlformats.org/officeDocument/2006/relationships/hyperlink" Target="https://drive.google.com/open?id=15Y8LFr05QmiX0mVGW8tGex6QG1QR6amj" TargetMode="External"/><Relationship Id="rId2485" Type="http://schemas.openxmlformats.org/officeDocument/2006/relationships/hyperlink" Target="https://drive.google.com/open?id=1ovG48ZRGhERdHNs5cN8B1-JQLMHO3irb" TargetMode="External"/><Relationship Id="rId564" Type="http://schemas.openxmlformats.org/officeDocument/2006/relationships/hyperlink" Target="https://drive.google.com/open?id=1Z3g0_j11hnrJecmpmwMyEfBldNZESb-v" TargetMode="External"/><Relationship Id="rId1155" Type="http://schemas.openxmlformats.org/officeDocument/2006/relationships/hyperlink" Target="https://drive.google.com/open?id=1AfPgx6Rt1d5W0aTdIfMmisC-tL-KxV4H" TargetMode="External"/><Relationship Id="rId2486" Type="http://schemas.openxmlformats.org/officeDocument/2006/relationships/hyperlink" Target="https://drive.google.com/open?id=1rigZzLJIVatKkO75tviA0jtN1zirNmWT" TargetMode="External"/><Relationship Id="rId563" Type="http://schemas.openxmlformats.org/officeDocument/2006/relationships/hyperlink" Target="https://drive.google.com/open?id=1ownIlPialmVHMpp4pf_s-TzcAHPI1arv" TargetMode="External"/><Relationship Id="rId1156" Type="http://schemas.openxmlformats.org/officeDocument/2006/relationships/hyperlink" Target="https://drive.google.com/open?id=1H4KtB757MhIVOvn2NEhWrNELu5ae-sw_" TargetMode="External"/><Relationship Id="rId2487" Type="http://schemas.openxmlformats.org/officeDocument/2006/relationships/hyperlink" Target="https://drive.google.com/open?id=1ZzUSEw58CBqSzl5zrsieKWBnvlOGa6T8" TargetMode="External"/><Relationship Id="rId562" Type="http://schemas.openxmlformats.org/officeDocument/2006/relationships/hyperlink" Target="https://drive.google.com/open?id=11cyqcTIhyfCEN8N4tDsXbCmvWmuMJmCG" TargetMode="External"/><Relationship Id="rId1157" Type="http://schemas.openxmlformats.org/officeDocument/2006/relationships/hyperlink" Target="https://drive.google.com/open?id=1yfYErkmHXS1UY5bviBeC1g2qaheW0L6h" TargetMode="External"/><Relationship Id="rId2488" Type="http://schemas.openxmlformats.org/officeDocument/2006/relationships/hyperlink" Target="https://drive.google.com/open?id=1BIDqmdabv20k4Qp4qzrAfEHvAonxCkkQ" TargetMode="External"/><Relationship Id="rId1147" Type="http://schemas.openxmlformats.org/officeDocument/2006/relationships/hyperlink" Target="https://drive.google.com/open?id=1cwhXMrzsTtqDTpexgfsGWWutSmcra02n" TargetMode="External"/><Relationship Id="rId2478" Type="http://schemas.openxmlformats.org/officeDocument/2006/relationships/hyperlink" Target="https://drive.google.com/open?id=16Uzlfds-3-mwDatow7DTEt-k5SP7EJac" TargetMode="External"/><Relationship Id="rId1148" Type="http://schemas.openxmlformats.org/officeDocument/2006/relationships/hyperlink" Target="https://drive.google.com/open?id=1bmQStiGOIZBBR7a0Vhu5-wlUEkO3jKBu" TargetMode="External"/><Relationship Id="rId2479" Type="http://schemas.openxmlformats.org/officeDocument/2006/relationships/hyperlink" Target="https://drive.google.com/open?id=1du7Ep3H2UIyyLWX8v-i8UQWtkuTZo7i6" TargetMode="External"/><Relationship Id="rId1149" Type="http://schemas.openxmlformats.org/officeDocument/2006/relationships/hyperlink" Target="https://drive.google.com/open?id=1TN5vgntGBQcznQIb9MtJ360Cdjfivmdd" TargetMode="External"/><Relationship Id="rId558" Type="http://schemas.openxmlformats.org/officeDocument/2006/relationships/hyperlink" Target="https://drive.google.com/open?id=1PhORiAgrtnJqMs7UBhngWgbBY3poazgV" TargetMode="External"/><Relationship Id="rId557" Type="http://schemas.openxmlformats.org/officeDocument/2006/relationships/hyperlink" Target="https://drive.google.com/open?id=1Z_KF96_ylLpwTFnx0lCK97K4J5CZEPt0" TargetMode="External"/><Relationship Id="rId556" Type="http://schemas.openxmlformats.org/officeDocument/2006/relationships/hyperlink" Target="https://drive.google.com/open?id=12vjneiSdoSgCpuZrNoRXqHAG6x56GS71" TargetMode="External"/><Relationship Id="rId555" Type="http://schemas.openxmlformats.org/officeDocument/2006/relationships/hyperlink" Target="https://drive.google.com/open?id=1q_MVGWVGf3Ks_2su2MEnTmucVFx_g_7w" TargetMode="External"/><Relationship Id="rId559" Type="http://schemas.openxmlformats.org/officeDocument/2006/relationships/hyperlink" Target="https://drive.google.com/open?id=1894-T4-lhwDvCXHp2-R6vvBflUOs3XyK" TargetMode="External"/><Relationship Id="rId550" Type="http://schemas.openxmlformats.org/officeDocument/2006/relationships/hyperlink" Target="https://drive.google.com/open?id=11iP3BiXC_u1UHJPonD0-1VbXljVKbkTh" TargetMode="External"/><Relationship Id="rId2470" Type="http://schemas.openxmlformats.org/officeDocument/2006/relationships/hyperlink" Target="https://drive.google.com/open?id=1jlU3_S2xPAHGn4eZ6YxOOpY4GPQrgjBY" TargetMode="External"/><Relationship Id="rId1140" Type="http://schemas.openxmlformats.org/officeDocument/2006/relationships/hyperlink" Target="https://drive.google.com/open?id=1e9kYjBIcX9e8fHgacSc1yECEuqhuQ5JD" TargetMode="External"/><Relationship Id="rId2471" Type="http://schemas.openxmlformats.org/officeDocument/2006/relationships/hyperlink" Target="https://drive.google.com/open?id=17_pJj9zDQJR0ZXMKw39YbpgFZIFhUIOG" TargetMode="External"/><Relationship Id="rId1141" Type="http://schemas.openxmlformats.org/officeDocument/2006/relationships/hyperlink" Target="https://drive.google.com/open?id=1Gmb7bpKyU-1xkETwQFVypCq6OCWccqB8" TargetMode="External"/><Relationship Id="rId2472" Type="http://schemas.openxmlformats.org/officeDocument/2006/relationships/hyperlink" Target="https://drive.google.com/open?id=1VLykoBPmy8jGsnK-BvVw5etDg0pu6atg" TargetMode="External"/><Relationship Id="rId1142" Type="http://schemas.openxmlformats.org/officeDocument/2006/relationships/hyperlink" Target="https://drive.google.com/open?id=1_TplS9KN7LNVIzUXaGTF-fjRe8m1dGm2" TargetMode="External"/><Relationship Id="rId2473" Type="http://schemas.openxmlformats.org/officeDocument/2006/relationships/hyperlink" Target="https://drive.google.com/open?id=1O2q-rVJAZUKFzSCElLzTuP5K5cu86d7a" TargetMode="External"/><Relationship Id="rId554" Type="http://schemas.openxmlformats.org/officeDocument/2006/relationships/hyperlink" Target="https://drive.google.com/open?id=1w34GnhsPnUhBB5XxkL_U58Uat7ks2pZh" TargetMode="External"/><Relationship Id="rId1143" Type="http://schemas.openxmlformats.org/officeDocument/2006/relationships/hyperlink" Target="https://drive.google.com/open?id=16rNASS5c4gDMl21vfIFvpSb3X6QAXYS9" TargetMode="External"/><Relationship Id="rId2474" Type="http://schemas.openxmlformats.org/officeDocument/2006/relationships/hyperlink" Target="https://drive.google.com/open?id=1GU2BlCDwwT4JlndYR-7Bp8VWyDn57Qfw" TargetMode="External"/><Relationship Id="rId553" Type="http://schemas.openxmlformats.org/officeDocument/2006/relationships/hyperlink" Target="https://drive.google.com/open?id=12rNY7FnVtgP8fDB4GP8RIk11r1NDoK9M" TargetMode="External"/><Relationship Id="rId1144" Type="http://schemas.openxmlformats.org/officeDocument/2006/relationships/hyperlink" Target="https://drive.google.com/open?id=17O9xiPrCAPeOCpuHvlOmh2D2a6NDI9hU" TargetMode="External"/><Relationship Id="rId2475" Type="http://schemas.openxmlformats.org/officeDocument/2006/relationships/hyperlink" Target="https://drive.google.com/open?id=1hy0Fqi8-h71HZqcrT1Yol4kS9R5nI6u5" TargetMode="External"/><Relationship Id="rId552" Type="http://schemas.openxmlformats.org/officeDocument/2006/relationships/hyperlink" Target="https://drive.google.com/open?id=1hlCNqmXZYpWEk9gMj7M_v2VfCb4Sr0eF" TargetMode="External"/><Relationship Id="rId1145" Type="http://schemas.openxmlformats.org/officeDocument/2006/relationships/hyperlink" Target="https://drive.google.com/open?id=1ww9OiTBh2kSg29jqiwtTUpw5JE8jnJ5i" TargetMode="External"/><Relationship Id="rId2476" Type="http://schemas.openxmlformats.org/officeDocument/2006/relationships/hyperlink" Target="https://drive.google.com/open?id=18eQvyDgAVH61tWNYzWhISaizhG2NUOQW" TargetMode="External"/><Relationship Id="rId551" Type="http://schemas.openxmlformats.org/officeDocument/2006/relationships/hyperlink" Target="https://drive.google.com/open?id=17MxVLQk-8iqCxsKWh536L26Kdh_bfLVk" TargetMode="External"/><Relationship Id="rId1146" Type="http://schemas.openxmlformats.org/officeDocument/2006/relationships/hyperlink" Target="https://drive.google.com/open?id=1p8hxBcQ3P9o5EBwpPHCXwBeyOdMyGSSv" TargetMode="External"/><Relationship Id="rId2477" Type="http://schemas.openxmlformats.org/officeDocument/2006/relationships/hyperlink" Target="https://drive.google.com/open?id=1UOqdh2uJXWJ4jCDfU8nmDMjxkWsIPSUq" TargetMode="External"/><Relationship Id="rId495" Type="http://schemas.openxmlformats.org/officeDocument/2006/relationships/hyperlink" Target="https://drive.google.com/open?id=1jAgE8lu0wODGassn1twINVWovw6bukUY" TargetMode="External"/><Relationship Id="rId494" Type="http://schemas.openxmlformats.org/officeDocument/2006/relationships/hyperlink" Target="https://drive.google.com/open?id=1nEsLiL4h_7hssYeqcWham_ShjKe3GWUH" TargetMode="External"/><Relationship Id="rId493" Type="http://schemas.openxmlformats.org/officeDocument/2006/relationships/hyperlink" Target="https://drive.google.com/open?id=1_tF9tpa2TnMuT8O7xt27qWu4Hi0tbcwF" TargetMode="External"/><Relationship Id="rId492" Type="http://schemas.openxmlformats.org/officeDocument/2006/relationships/hyperlink" Target="https://drive.google.com/open?id=1zzBXptK3yvUhY0z7EkiZxt5zCT4yfPHY" TargetMode="External"/><Relationship Id="rId499" Type="http://schemas.openxmlformats.org/officeDocument/2006/relationships/hyperlink" Target="https://drive.google.com/open?id=1nCPf3t8fL--L_9XdEEAZg5TyV2TeCZDH" TargetMode="External"/><Relationship Id="rId498" Type="http://schemas.openxmlformats.org/officeDocument/2006/relationships/hyperlink" Target="https://drive.google.com/open?id=1mCbCZBc-CqK5eYR9_9XKjLJgJtEPX5Tu" TargetMode="External"/><Relationship Id="rId497" Type="http://schemas.openxmlformats.org/officeDocument/2006/relationships/hyperlink" Target="https://drive.google.com/open?id=1JwkA0yCuWdmo-p-44eI4G_ON0PhMkRyo" TargetMode="External"/><Relationship Id="rId496" Type="http://schemas.openxmlformats.org/officeDocument/2006/relationships/hyperlink" Target="https://drive.google.com/open?id=1stk6oG3Rov4tCo4etRvrHNQgRKhMTxfj" TargetMode="External"/><Relationship Id="rId1213" Type="http://schemas.openxmlformats.org/officeDocument/2006/relationships/hyperlink" Target="https://drive.google.com/open?id=1EURCIRAo4R3Jm7nKuRunDKD7AB4Ey6qz" TargetMode="External"/><Relationship Id="rId2544" Type="http://schemas.openxmlformats.org/officeDocument/2006/relationships/hyperlink" Target="https://drive.google.com/open?id=1QT_BE-67hRiaCjgdBcYM7yxDhZkM_U4D" TargetMode="External"/><Relationship Id="rId1214" Type="http://schemas.openxmlformats.org/officeDocument/2006/relationships/hyperlink" Target="https://drive.google.com/open?id=1v4ttOo75cqCeziEqskUSSxcOSXgP2cn9" TargetMode="External"/><Relationship Id="rId2545" Type="http://schemas.openxmlformats.org/officeDocument/2006/relationships/hyperlink" Target="https://drive.google.com/open?id=1_hkB_fww24F2jdrdUcCbzkD1DCf5h49l" TargetMode="External"/><Relationship Id="rId1215" Type="http://schemas.openxmlformats.org/officeDocument/2006/relationships/hyperlink" Target="https://drive.google.com/open?id=1qlUu54Itx1K7EwItN7EwhI9sVhkZoHoC" TargetMode="External"/><Relationship Id="rId2546" Type="http://schemas.openxmlformats.org/officeDocument/2006/relationships/hyperlink" Target="https://drive.google.com/open?id=13qvsPiXuJDuZ4O6U693lsEE427ZINcUK" TargetMode="External"/><Relationship Id="rId1216" Type="http://schemas.openxmlformats.org/officeDocument/2006/relationships/hyperlink" Target="https://drive.google.com/open?id=1yWLw0JhaSPGMVJw_MghfHEAqebPVIswl" TargetMode="External"/><Relationship Id="rId2547" Type="http://schemas.openxmlformats.org/officeDocument/2006/relationships/hyperlink" Target="https://drive.google.com/open?id=1Wvvem3J87PkfHHdw--o90szzuz3A_jKH" TargetMode="External"/><Relationship Id="rId1217" Type="http://schemas.openxmlformats.org/officeDocument/2006/relationships/hyperlink" Target="https://drive.google.com/open?id=1uvjhZbXHIlJhynufCYEk8K3ZHbOh_DjL" TargetMode="External"/><Relationship Id="rId2548" Type="http://schemas.openxmlformats.org/officeDocument/2006/relationships/hyperlink" Target="https://drive.google.com/open?id=1TLmJrNUnK9wvoC8wBqgOADXOdyJtXxJS" TargetMode="External"/><Relationship Id="rId1218" Type="http://schemas.openxmlformats.org/officeDocument/2006/relationships/hyperlink" Target="https://drive.google.com/open?id=178eshXf4td8fNmVSuAE-whda11UCOqpg" TargetMode="External"/><Relationship Id="rId2549" Type="http://schemas.openxmlformats.org/officeDocument/2006/relationships/hyperlink" Target="https://drive.google.com/open?id=1eh69GuXLjF18ir6TF1ZaSpHsiA9fRk73" TargetMode="External"/><Relationship Id="rId1219" Type="http://schemas.openxmlformats.org/officeDocument/2006/relationships/hyperlink" Target="https://drive.google.com/open?id=1SCa7R0H5TEBP84Q5cBGiwQZczf2hWWyF" TargetMode="External"/><Relationship Id="rId2540" Type="http://schemas.openxmlformats.org/officeDocument/2006/relationships/hyperlink" Target="https://drive.google.com/open?id=1tGBEUATfsY2mc-yVztS1hAcKBfToA33R" TargetMode="External"/><Relationship Id="rId1210" Type="http://schemas.openxmlformats.org/officeDocument/2006/relationships/hyperlink" Target="https://drive.google.com/open?id=1O7OJWbhjDiBYfEDoaSddl35DUO_WIOtS" TargetMode="External"/><Relationship Id="rId2541" Type="http://schemas.openxmlformats.org/officeDocument/2006/relationships/hyperlink" Target="https://drive.google.com/open?id=1iqBwe27v7yED1hZ6XGqjfGGSN0iDxPVQ" TargetMode="External"/><Relationship Id="rId1211" Type="http://schemas.openxmlformats.org/officeDocument/2006/relationships/hyperlink" Target="https://drive.google.com/open?id=1iu31M0QBwIsObSZHT5-kNQvHJEJd-tOZ" TargetMode="External"/><Relationship Id="rId2542" Type="http://schemas.openxmlformats.org/officeDocument/2006/relationships/hyperlink" Target="https://drive.google.com/open?id=1lG_myVaWMTIqHUgbQkQsB2EXQBWlN03F" TargetMode="External"/><Relationship Id="rId1212" Type="http://schemas.openxmlformats.org/officeDocument/2006/relationships/hyperlink" Target="https://drive.google.com/open?id=1_IR3Pi14XFbAvOasHCPfZmQIUv-Lx0_j" TargetMode="External"/><Relationship Id="rId2543" Type="http://schemas.openxmlformats.org/officeDocument/2006/relationships/hyperlink" Target="https://drive.google.com/open?id=1EKIDnd4p0q1iHNMjDQ8jMxjheVwU8QHC" TargetMode="External"/><Relationship Id="rId1202" Type="http://schemas.openxmlformats.org/officeDocument/2006/relationships/hyperlink" Target="https://drive.google.com/open?id=1Gh_p_lL2Q4Xu9fzmwv49oXaXpiKdU139" TargetMode="External"/><Relationship Id="rId2533" Type="http://schemas.openxmlformats.org/officeDocument/2006/relationships/hyperlink" Target="https://drive.google.com/open?id=1Ourmbccz3UOm8PoT4P92Ft18QQiLSr4x" TargetMode="External"/><Relationship Id="rId1203" Type="http://schemas.openxmlformats.org/officeDocument/2006/relationships/hyperlink" Target="https://drive.google.com/open?id=1EuJKwEa9O2homBJshx9JTOPy5w8nG3Ww" TargetMode="External"/><Relationship Id="rId2534" Type="http://schemas.openxmlformats.org/officeDocument/2006/relationships/hyperlink" Target="https://drive.google.com/open?id=1v4_7Vk03-Z_ET2mc6g0bKlVPFH4tvU-E" TargetMode="External"/><Relationship Id="rId1204" Type="http://schemas.openxmlformats.org/officeDocument/2006/relationships/hyperlink" Target="https://drive.google.com/open?id=1X2pES_OSyfF1FjLgZvHlbwSDzAgbEKLx" TargetMode="External"/><Relationship Id="rId2535" Type="http://schemas.openxmlformats.org/officeDocument/2006/relationships/hyperlink" Target="https://drive.google.com/open?id=1Vj0h-1XIRfBe3aF7-B8tGkzcbRpuRBqE" TargetMode="External"/><Relationship Id="rId1205" Type="http://schemas.openxmlformats.org/officeDocument/2006/relationships/hyperlink" Target="https://drive.google.com/open?id=1l1NwGJOYWLwcXZ_XEl1dP-rMCz57ExJZ" TargetMode="External"/><Relationship Id="rId2536" Type="http://schemas.openxmlformats.org/officeDocument/2006/relationships/hyperlink" Target="https://drive.google.com/open?id=1wcyMe89P-oAndiR8gS5hH4mRYE1eSgpN" TargetMode="External"/><Relationship Id="rId1206" Type="http://schemas.openxmlformats.org/officeDocument/2006/relationships/hyperlink" Target="https://drive.google.com/open?id=1bI-Y8dApt2mK8LdqkqH--QqwgZkCKVIZ" TargetMode="External"/><Relationship Id="rId2537" Type="http://schemas.openxmlformats.org/officeDocument/2006/relationships/hyperlink" Target="https://drive.google.com/open?id=1Q4NAj6C35QIAljLjF9gu_skmoY6q6uRc" TargetMode="External"/><Relationship Id="rId1207" Type="http://schemas.openxmlformats.org/officeDocument/2006/relationships/hyperlink" Target="https://drive.google.com/open?id=1zzEup42ZELjVluER3lXdB04jVicrn1Y5" TargetMode="External"/><Relationship Id="rId2538" Type="http://schemas.openxmlformats.org/officeDocument/2006/relationships/hyperlink" Target="https://drive.google.com/open?id=19KhJQdMmLUMkGNKcZdCeo96pqkUG_iVU" TargetMode="External"/><Relationship Id="rId1208" Type="http://schemas.openxmlformats.org/officeDocument/2006/relationships/hyperlink" Target="https://drive.google.com/open?id=1UQHldOZfE3_YUcsvpVl5SGCl_S5YpS4U" TargetMode="External"/><Relationship Id="rId2539" Type="http://schemas.openxmlformats.org/officeDocument/2006/relationships/hyperlink" Target="https://drive.google.com/open?id=1rKNsYu1Qv7hH2CXsO_stew-13DUYUyzx" TargetMode="External"/><Relationship Id="rId1209" Type="http://schemas.openxmlformats.org/officeDocument/2006/relationships/hyperlink" Target="https://drive.google.com/open?id=1fG8AI-8wlZMyKZjyGR_yyo16oUqyvnBA" TargetMode="External"/><Relationship Id="rId2530" Type="http://schemas.openxmlformats.org/officeDocument/2006/relationships/hyperlink" Target="https://drive.google.com/open?id=1tvSFNnkSWDHi0AWiMFC6PORNzjEWc2vm" TargetMode="External"/><Relationship Id="rId1200" Type="http://schemas.openxmlformats.org/officeDocument/2006/relationships/hyperlink" Target="https://drive.google.com/open?id=1XWtId1gmlGxwU6GK7Lwb_BSpjUFO06OS" TargetMode="External"/><Relationship Id="rId2531" Type="http://schemas.openxmlformats.org/officeDocument/2006/relationships/hyperlink" Target="https://drive.google.com/open?id=1H1iU1A3b7WRcqqk7er8LxQQx1n3pzbjU" TargetMode="External"/><Relationship Id="rId1201" Type="http://schemas.openxmlformats.org/officeDocument/2006/relationships/hyperlink" Target="https://drive.google.com/open?id=1e248a8mAw_lixNzWLaXSB9I7Q07-0fJ3" TargetMode="External"/><Relationship Id="rId2532" Type="http://schemas.openxmlformats.org/officeDocument/2006/relationships/hyperlink" Target="https://drive.google.com/open?id=1dA7QjD_AeFhcsWeAsM-vOKNZssbfW9tc" TargetMode="External"/><Relationship Id="rId1235" Type="http://schemas.openxmlformats.org/officeDocument/2006/relationships/hyperlink" Target="https://drive.google.com/open?id=1whAaZ2GrsycVbh_sKwm2dYKb9xmerH8Q" TargetMode="External"/><Relationship Id="rId2566" Type="http://schemas.openxmlformats.org/officeDocument/2006/relationships/hyperlink" Target="https://drive.google.com/open?id=1nH3b6te-jZo9FEhnE9aWWKEF8v9NOvMq" TargetMode="External"/><Relationship Id="rId1236" Type="http://schemas.openxmlformats.org/officeDocument/2006/relationships/hyperlink" Target="https://drive.google.com/open?id=1hmuwiSkinQnTujYdr5IsL-9DJvX4NVOG" TargetMode="External"/><Relationship Id="rId2567" Type="http://schemas.openxmlformats.org/officeDocument/2006/relationships/hyperlink" Target="https://drive.google.com/open?id=1cupgcYTgeD7_CJxZiUyhSX6Ge1NZ3130" TargetMode="External"/><Relationship Id="rId1237" Type="http://schemas.openxmlformats.org/officeDocument/2006/relationships/hyperlink" Target="https://drive.google.com/open?id=18D8HZ1iz8fAnUV74N6M0gio6ZyiCXw3E" TargetMode="External"/><Relationship Id="rId2568" Type="http://schemas.openxmlformats.org/officeDocument/2006/relationships/hyperlink" Target="https://drive.google.com/open?id=1vqnfibEI-Un8Ozr4s883Il2b0EjjQyDV" TargetMode="External"/><Relationship Id="rId1238" Type="http://schemas.openxmlformats.org/officeDocument/2006/relationships/hyperlink" Target="https://drive.google.com/open?id=1xIWPYw2RqZtgcykVes4rR8NlJCxrwZmp" TargetMode="External"/><Relationship Id="rId2569" Type="http://schemas.openxmlformats.org/officeDocument/2006/relationships/hyperlink" Target="https://drive.google.com/open?id=1OzsfoSjo8uYtdGOFPRz4Fe2CpnaGyjkK" TargetMode="External"/><Relationship Id="rId1239" Type="http://schemas.openxmlformats.org/officeDocument/2006/relationships/hyperlink" Target="https://drive.google.com/open?id=1cJvX-MsVEWFtd6hru0iP9E7pgVGycyMW" TargetMode="External"/><Relationship Id="rId409" Type="http://schemas.openxmlformats.org/officeDocument/2006/relationships/hyperlink" Target="https://drive.google.com/open?id=1sXPR28CwmVX7fiFC8tYtU8GsPpd4vqES" TargetMode="External"/><Relationship Id="rId404" Type="http://schemas.openxmlformats.org/officeDocument/2006/relationships/hyperlink" Target="https://drive.google.com/open?id=1WunWzc8tWAzm0VL_TwMoHFOMqnu_JprZ" TargetMode="External"/><Relationship Id="rId403" Type="http://schemas.openxmlformats.org/officeDocument/2006/relationships/hyperlink" Target="https://drive.google.com/open?id=1HXtGjyolWnPBP_UKOSLE7QzAX4v_Ys7g" TargetMode="External"/><Relationship Id="rId402" Type="http://schemas.openxmlformats.org/officeDocument/2006/relationships/hyperlink" Target="https://drive.google.com/open?id=1lJMYxnNAfafJqP1bO3-ZzWLn8jXfE6tq" TargetMode="External"/><Relationship Id="rId401" Type="http://schemas.openxmlformats.org/officeDocument/2006/relationships/hyperlink" Target="https://drive.google.com/open?id=1kiJR9uotPPevl6tZGmH8CgraEEU0Lrpu" TargetMode="External"/><Relationship Id="rId408" Type="http://schemas.openxmlformats.org/officeDocument/2006/relationships/hyperlink" Target="https://drive.google.com/open?id=1mrgg0WHELv4ZjfEw5E1P7Z7GmhNLPznf" TargetMode="External"/><Relationship Id="rId407" Type="http://schemas.openxmlformats.org/officeDocument/2006/relationships/hyperlink" Target="https://drive.google.com/open?id=1yUcLnpiVaYxdwhz6HBD461pBupDO1t7H" TargetMode="External"/><Relationship Id="rId406" Type="http://schemas.openxmlformats.org/officeDocument/2006/relationships/hyperlink" Target="https://drive.google.com/open?id=1zDIf9P_0V3rBXKKz55n0KwnvEN8oMgiH" TargetMode="External"/><Relationship Id="rId405" Type="http://schemas.openxmlformats.org/officeDocument/2006/relationships/hyperlink" Target="https://drive.google.com/open?id=1m11x--5gj7YCwvp-T0J7P22hQvYF1b8x" TargetMode="External"/><Relationship Id="rId2560" Type="http://schemas.openxmlformats.org/officeDocument/2006/relationships/hyperlink" Target="https://drive.google.com/open?id=1QDhac-15gn-YjnBJsTQv3TxNDfRucQAo" TargetMode="External"/><Relationship Id="rId1230" Type="http://schemas.openxmlformats.org/officeDocument/2006/relationships/hyperlink" Target="https://drive.google.com/open?id=1baBNIA24NIBLdzAyrXYnBwSXuyVnGn46" TargetMode="External"/><Relationship Id="rId2561" Type="http://schemas.openxmlformats.org/officeDocument/2006/relationships/hyperlink" Target="https://drive.google.com/open?id=1zu_F_WOmAyPhAkDnAiOxWgQmWtOBtpkU" TargetMode="External"/><Relationship Id="rId400" Type="http://schemas.openxmlformats.org/officeDocument/2006/relationships/hyperlink" Target="https://drive.google.com/open?id=1ViYitBiKGWMXyQ6yfCa3Au9Li_PGGDZg" TargetMode="External"/><Relationship Id="rId1231" Type="http://schemas.openxmlformats.org/officeDocument/2006/relationships/hyperlink" Target="https://drive.google.com/open?id=1xTnf65T4YAO7UKIIaTS7k4Zb9TQE5Z1t" TargetMode="External"/><Relationship Id="rId2562" Type="http://schemas.openxmlformats.org/officeDocument/2006/relationships/hyperlink" Target="https://drive.google.com/open?id=1qIoy1mpEEfs1ejASfCOQ0Ih4-hB0ZrOR" TargetMode="External"/><Relationship Id="rId1232" Type="http://schemas.openxmlformats.org/officeDocument/2006/relationships/hyperlink" Target="https://drive.google.com/open?id=1a8O74gSa1Ww6cXU1lbM9UWyb6uO_ECku" TargetMode="External"/><Relationship Id="rId2563" Type="http://schemas.openxmlformats.org/officeDocument/2006/relationships/hyperlink" Target="https://drive.google.com/open?id=1i9OxkHsKzBfuIGekaBjyO0QhloDFPPzU" TargetMode="External"/><Relationship Id="rId1233" Type="http://schemas.openxmlformats.org/officeDocument/2006/relationships/hyperlink" Target="https://drive.google.com/open?id=1STJhkiAds26RvlN0j8vUngNjvuhFRAQl" TargetMode="External"/><Relationship Id="rId2564" Type="http://schemas.openxmlformats.org/officeDocument/2006/relationships/hyperlink" Target="https://drive.google.com/open?id=1OW7bshu2wsLi02Od8FvXxExY9Ea9HT8X" TargetMode="External"/><Relationship Id="rId1234" Type="http://schemas.openxmlformats.org/officeDocument/2006/relationships/hyperlink" Target="https://drive.google.com/open?id=1FcHUWV_5N67_Sly_jyExJoLdiOIOZ-Hv" TargetMode="External"/><Relationship Id="rId2565" Type="http://schemas.openxmlformats.org/officeDocument/2006/relationships/hyperlink" Target="https://drive.google.com/open?id=1bIqf9rnFzUs9brlbe-w2H1motn9tq0DM" TargetMode="External"/><Relationship Id="rId1224" Type="http://schemas.openxmlformats.org/officeDocument/2006/relationships/hyperlink" Target="https://drive.google.com/open?id=1tYIEyvRa43ambZKyf8hXtdCi2QOWMAqI" TargetMode="External"/><Relationship Id="rId2555" Type="http://schemas.openxmlformats.org/officeDocument/2006/relationships/hyperlink" Target="https://drive.google.com/open?id=1NzAdKHx_CV3fRHyTBUYDRmTq2P6VvYqz" TargetMode="External"/><Relationship Id="rId1225" Type="http://schemas.openxmlformats.org/officeDocument/2006/relationships/hyperlink" Target="https://drive.google.com/open?id=1pY2xSEr9c8RJdasuGXGh5YKZXUrkZ-Y3" TargetMode="External"/><Relationship Id="rId2556" Type="http://schemas.openxmlformats.org/officeDocument/2006/relationships/hyperlink" Target="https://drive.google.com/open?id=1UbsB-hOR0KpSfQGx0qA64bn26P1yIT13" TargetMode="External"/><Relationship Id="rId1226" Type="http://schemas.openxmlformats.org/officeDocument/2006/relationships/hyperlink" Target="https://drive.google.com/open?id=19DF73b9GuE_IQT4lM6eM35bhcnVxzdjJ" TargetMode="External"/><Relationship Id="rId2557" Type="http://schemas.openxmlformats.org/officeDocument/2006/relationships/hyperlink" Target="https://drive.google.com/open?id=1N9rc7Ao_FAt6T_Rh_kM06mnT0dEOmU6f" TargetMode="External"/><Relationship Id="rId1227" Type="http://schemas.openxmlformats.org/officeDocument/2006/relationships/hyperlink" Target="https://drive.google.com/open?id=1_gp3GhN1UsOWynZV5ORxXs4o21AS4GCR" TargetMode="External"/><Relationship Id="rId2558" Type="http://schemas.openxmlformats.org/officeDocument/2006/relationships/hyperlink" Target="https://drive.google.com/open?id=12BJZ20I6NLeyFnQ3oTovOWb0hC9fiPUG" TargetMode="External"/><Relationship Id="rId1228" Type="http://schemas.openxmlformats.org/officeDocument/2006/relationships/hyperlink" Target="https://drive.google.com/open?id=1hFSLkp5fLi4EVHoPsl0hoPOyDSjj4Udz" TargetMode="External"/><Relationship Id="rId2559" Type="http://schemas.openxmlformats.org/officeDocument/2006/relationships/hyperlink" Target="https://drive.google.com/open?id=1Q-IkL9hmVrW-5a6t2plNJNrJPXAO8VEr" TargetMode="External"/><Relationship Id="rId1229" Type="http://schemas.openxmlformats.org/officeDocument/2006/relationships/hyperlink" Target="https://drive.google.com/open?id=1LwfYqV0aY2dqHbRb6CkY0fadeZ3w5cjZ" TargetMode="External"/><Relationship Id="rId2550" Type="http://schemas.openxmlformats.org/officeDocument/2006/relationships/hyperlink" Target="https://drive.google.com/open?id=1LG9fMsBJR_WSx7znsaijEUyCCmveK8Be" TargetMode="External"/><Relationship Id="rId1220" Type="http://schemas.openxmlformats.org/officeDocument/2006/relationships/hyperlink" Target="https://drive.google.com/open?id=10p2S52zJ7uhykkW5Bxx3UVTxa-T8B_kt" TargetMode="External"/><Relationship Id="rId2551" Type="http://schemas.openxmlformats.org/officeDocument/2006/relationships/hyperlink" Target="https://drive.google.com/open?id=1EfUO3zYrxdH5RkJ_7UozmoMJzv0TFk_4" TargetMode="External"/><Relationship Id="rId1221" Type="http://schemas.openxmlformats.org/officeDocument/2006/relationships/hyperlink" Target="https://drive.google.com/open?id=1kOzeVbntsNcpCC9udounv-w6qnCM3y2x" TargetMode="External"/><Relationship Id="rId2552" Type="http://schemas.openxmlformats.org/officeDocument/2006/relationships/hyperlink" Target="https://drive.google.com/open?id=1CIkZ4BnupIKGF_-C70LtzQn7dNYi06Rf" TargetMode="External"/><Relationship Id="rId1222" Type="http://schemas.openxmlformats.org/officeDocument/2006/relationships/hyperlink" Target="https://drive.google.com/open?id=1NIiaZk7OWtqFk9DEMZraZsEzIsA3IvTZ" TargetMode="External"/><Relationship Id="rId2553" Type="http://schemas.openxmlformats.org/officeDocument/2006/relationships/hyperlink" Target="https://drive.google.com/open?id=1zviPmDXAy9C69JIusQBiSfGOwXy0aR4c" TargetMode="External"/><Relationship Id="rId1223" Type="http://schemas.openxmlformats.org/officeDocument/2006/relationships/hyperlink" Target="https://drive.google.com/open?id=1UPx-2C2_Ss8NEC8UOlwcylQA0hHD6cQX" TargetMode="External"/><Relationship Id="rId2554" Type="http://schemas.openxmlformats.org/officeDocument/2006/relationships/hyperlink" Target="https://drive.google.com/open?id=1zbjGR0yOxwdKH-JKXvx5y54iW2m7CyNf" TargetMode="External"/><Relationship Id="rId2500" Type="http://schemas.openxmlformats.org/officeDocument/2006/relationships/hyperlink" Target="https://drive.google.com/open?id=15J5I_cRim-0UtbR9aDzCI6jTGrpCfPFc" TargetMode="External"/><Relationship Id="rId2501" Type="http://schemas.openxmlformats.org/officeDocument/2006/relationships/hyperlink" Target="https://drive.google.com/open?id=1wbdMoMtF8zrbDIJ2nE7yU4SbkxaNtNlv" TargetMode="External"/><Relationship Id="rId2502" Type="http://schemas.openxmlformats.org/officeDocument/2006/relationships/hyperlink" Target="https://drive.google.com/open?id=1zNSLoU-KDvI_hmKEpsJP9L_zW-AffOGv" TargetMode="External"/><Relationship Id="rId2503" Type="http://schemas.openxmlformats.org/officeDocument/2006/relationships/hyperlink" Target="https://drive.google.com/open?id=1hR7YBMyL7L7oFLq4kKQb6zBx1uW2Tmf7" TargetMode="External"/><Relationship Id="rId2504" Type="http://schemas.openxmlformats.org/officeDocument/2006/relationships/hyperlink" Target="https://drive.google.com/open?id=1PRMiE2O8IR-kOuUbfJsoi3N_YX0EQlWx" TargetMode="External"/><Relationship Id="rId2505" Type="http://schemas.openxmlformats.org/officeDocument/2006/relationships/hyperlink" Target="https://drive.google.com/open?id=1_lImkBl59d-Pf4WPoV2WgaEBmQsv-a1T" TargetMode="External"/><Relationship Id="rId2506" Type="http://schemas.openxmlformats.org/officeDocument/2006/relationships/hyperlink" Target="https://drive.google.com/open?id=1W_V-pSZkz5gLHx0rHEFkZHdJMGvBTFxi" TargetMode="External"/><Relationship Id="rId2507" Type="http://schemas.openxmlformats.org/officeDocument/2006/relationships/hyperlink" Target="https://drive.google.com/open?id=1qWteKpH5ScEoZG5CDvG7KMzQXnHtClGR" TargetMode="External"/><Relationship Id="rId2508" Type="http://schemas.openxmlformats.org/officeDocument/2006/relationships/hyperlink" Target="https://drive.google.com/open?id=1nZAuw_JOwUaermvWBOioHiw1Uac4W6my" TargetMode="External"/><Relationship Id="rId2509" Type="http://schemas.openxmlformats.org/officeDocument/2006/relationships/hyperlink" Target="https://drive.google.com/open?id=1fpAnNntALFi96WxcuCkrCS2VkexlaRDV" TargetMode="External"/><Relationship Id="rId2522" Type="http://schemas.openxmlformats.org/officeDocument/2006/relationships/hyperlink" Target="https://drive.google.com/open?id=1gik3toRoKntLZykwIFjJOXTYrpxVGiUq" TargetMode="External"/><Relationship Id="rId2523" Type="http://schemas.openxmlformats.org/officeDocument/2006/relationships/hyperlink" Target="https://drive.google.com/open?id=10JotN_IquuLdrFhwOoC1OGeFruZNVNNx" TargetMode="External"/><Relationship Id="rId2524" Type="http://schemas.openxmlformats.org/officeDocument/2006/relationships/hyperlink" Target="https://drive.google.com/open?id=1bQsBUaILCOsG_m22eWYYqEGfY_UlOTMR" TargetMode="External"/><Relationship Id="rId2525" Type="http://schemas.openxmlformats.org/officeDocument/2006/relationships/hyperlink" Target="https://drive.google.com/open?id=1ZMYBTZ3yc_M-n8Rz9CGglj4LqiBCVcjI" TargetMode="External"/><Relationship Id="rId2526" Type="http://schemas.openxmlformats.org/officeDocument/2006/relationships/hyperlink" Target="https://drive.google.com/open?id=1PSEMb4SLv3Vr9bC6T4RNy01Q80Ql9Cf6" TargetMode="External"/><Relationship Id="rId2527" Type="http://schemas.openxmlformats.org/officeDocument/2006/relationships/hyperlink" Target="https://drive.google.com/open?id=1C83ikmylBBqVxEzzC-f6j-RmfDcS5Wxm" TargetMode="External"/><Relationship Id="rId2528" Type="http://schemas.openxmlformats.org/officeDocument/2006/relationships/hyperlink" Target="https://drive.google.com/open?id=1OFJr49P0GqywjJ1aQztEQP8CJUolGNF1" TargetMode="External"/><Relationship Id="rId2529" Type="http://schemas.openxmlformats.org/officeDocument/2006/relationships/hyperlink" Target="https://drive.google.com/open?id=1Q76gDCcKSjoPZ1h-0Ttt4g0LLnybV3aP" TargetMode="External"/><Relationship Id="rId2520" Type="http://schemas.openxmlformats.org/officeDocument/2006/relationships/hyperlink" Target="https://drive.google.com/open?id=1sJayYKZS1H5wVH3Dafy2vJsQYNZO87rU" TargetMode="External"/><Relationship Id="rId2521" Type="http://schemas.openxmlformats.org/officeDocument/2006/relationships/hyperlink" Target="https://drive.google.com/open?id=18gFn0JUvrtuz60_0yXI78hIk70xsu32M" TargetMode="External"/><Relationship Id="rId2511" Type="http://schemas.openxmlformats.org/officeDocument/2006/relationships/hyperlink" Target="https://drive.google.com/open?id=1qzBqDNpyldeymy_Lq2Q7NXqDzc7TydMy" TargetMode="External"/><Relationship Id="rId2512" Type="http://schemas.openxmlformats.org/officeDocument/2006/relationships/hyperlink" Target="https://drive.google.com/open?id=1YQs-aOERDtCc7HnkpgGAEpOIObt8nzXw" TargetMode="External"/><Relationship Id="rId2513" Type="http://schemas.openxmlformats.org/officeDocument/2006/relationships/hyperlink" Target="https://drive.google.com/open?id=1ox6jVGd0-xAgW-e64WWYqEkis-wjZs0b" TargetMode="External"/><Relationship Id="rId2514" Type="http://schemas.openxmlformats.org/officeDocument/2006/relationships/hyperlink" Target="https://drive.google.com/open?id=1RTYYqJT4rDHZuLFyJ83-84SWIOmlKKxp" TargetMode="External"/><Relationship Id="rId2515" Type="http://schemas.openxmlformats.org/officeDocument/2006/relationships/hyperlink" Target="https://drive.google.com/open?id=1Emqrpo26egfUTcBsvlQ3lO3nuhs0TST5" TargetMode="External"/><Relationship Id="rId2516" Type="http://schemas.openxmlformats.org/officeDocument/2006/relationships/hyperlink" Target="https://drive.google.com/open?id=1sClb20VZ1FGrv53C6CDrQdmrjID3pNAN" TargetMode="External"/><Relationship Id="rId2517" Type="http://schemas.openxmlformats.org/officeDocument/2006/relationships/hyperlink" Target="https://drive.google.com/open?id=1FMkfseqYULJyzfpQf-JHjc7Bsr0qvkrh" TargetMode="External"/><Relationship Id="rId2518" Type="http://schemas.openxmlformats.org/officeDocument/2006/relationships/hyperlink" Target="https://drive.google.com/open?id=1k2EeOQ28gY-FIGToMIM7kaJ-5jXjZFBw" TargetMode="External"/><Relationship Id="rId2519" Type="http://schemas.openxmlformats.org/officeDocument/2006/relationships/hyperlink" Target="https://drive.google.com/open?id=1xbB-nA6oX9Q5eSpCDAGEyI572U13HGFX" TargetMode="External"/><Relationship Id="rId2510" Type="http://schemas.openxmlformats.org/officeDocument/2006/relationships/hyperlink" Target="https://drive.google.com/open?id=19qP_mBzhU-JQe-cvv1OvVGUaqudUJ-kA" TargetMode="External"/><Relationship Id="rId469" Type="http://schemas.openxmlformats.org/officeDocument/2006/relationships/hyperlink" Target="https://drive.google.com/open?id=1zEjyex359jCX3-t3wxpOWeq06_y2U7V8" TargetMode="External"/><Relationship Id="rId468" Type="http://schemas.openxmlformats.org/officeDocument/2006/relationships/hyperlink" Target="https://drive.google.com/open?id=1u8wHOyn8joh0zWowrDCv703C_PTZbEFy" TargetMode="External"/><Relationship Id="rId467" Type="http://schemas.openxmlformats.org/officeDocument/2006/relationships/hyperlink" Target="https://drive.google.com/open?id=1nABjbxsoT7ql2yGTuvZ1C13gk_nsHR9X" TargetMode="External"/><Relationship Id="rId1290" Type="http://schemas.openxmlformats.org/officeDocument/2006/relationships/hyperlink" Target="https://drive.google.com/open?id=12AJYUrnFPgXFzyZW2leXmULN4_pHtA8h" TargetMode="External"/><Relationship Id="rId1291" Type="http://schemas.openxmlformats.org/officeDocument/2006/relationships/hyperlink" Target="https://drive.google.com/open?id=1Xx73bxi3py8SyxBqdSGm3eS2sluCw730" TargetMode="External"/><Relationship Id="rId1292" Type="http://schemas.openxmlformats.org/officeDocument/2006/relationships/hyperlink" Target="https://drive.google.com/open?id=1vQKrClo388-d0softhoGBZzbP-sA_9jB" TargetMode="External"/><Relationship Id="rId462" Type="http://schemas.openxmlformats.org/officeDocument/2006/relationships/hyperlink" Target="https://drive.google.com/open?id=1EdUrY_AEPGAKuv7cPsHcOpwqfUV2Ulha" TargetMode="External"/><Relationship Id="rId1293" Type="http://schemas.openxmlformats.org/officeDocument/2006/relationships/hyperlink" Target="https://drive.google.com/open?id=1_Qimt_D6Sf5K2R-w5du1U4lT49GIZgfQ" TargetMode="External"/><Relationship Id="rId461" Type="http://schemas.openxmlformats.org/officeDocument/2006/relationships/hyperlink" Target="https://drive.google.com/open?id=1Yrhz4lruvD-23YEBycuQGocH7CjPzA54" TargetMode="External"/><Relationship Id="rId1294" Type="http://schemas.openxmlformats.org/officeDocument/2006/relationships/hyperlink" Target="https://drive.google.com/open?id=1MC_4t6iRJOwVuE69zJNzHsVXff1VIjYT" TargetMode="External"/><Relationship Id="rId460" Type="http://schemas.openxmlformats.org/officeDocument/2006/relationships/hyperlink" Target="https://drive.google.com/open?id=1oS2aL00B3qDTA9uJHdJsGUjjWV6keY8t" TargetMode="External"/><Relationship Id="rId1295" Type="http://schemas.openxmlformats.org/officeDocument/2006/relationships/hyperlink" Target="https://drive.google.com/open?id=12CWCR-NNtqXIApXDB5fxPbmwMOC7kqwn" TargetMode="External"/><Relationship Id="rId1296" Type="http://schemas.openxmlformats.org/officeDocument/2006/relationships/hyperlink" Target="https://drive.google.com/open?id=1NnZB1pCPesUU99M7blES4wtOBi4WPJ_S" TargetMode="External"/><Relationship Id="rId466" Type="http://schemas.openxmlformats.org/officeDocument/2006/relationships/hyperlink" Target="https://drive.google.com/open?id=1luaLMqDDQ6Svrjp_NwdpcG3NEFIVfcxK" TargetMode="External"/><Relationship Id="rId1297" Type="http://schemas.openxmlformats.org/officeDocument/2006/relationships/hyperlink" Target="https://drive.google.com/open?id=154MNNMdjUD6kStwJMWDt8yqSeYkQ2PX3" TargetMode="External"/><Relationship Id="rId465" Type="http://schemas.openxmlformats.org/officeDocument/2006/relationships/hyperlink" Target="https://drive.google.com/open?id=1TlKKOKtWnNOmcnj70bwfUXweErzVV1uy" TargetMode="External"/><Relationship Id="rId1298" Type="http://schemas.openxmlformats.org/officeDocument/2006/relationships/hyperlink" Target="https://drive.google.com/open?id=1b7XdpPysQIOXbAO4zVUEfNr1m5q65Q2s" TargetMode="External"/><Relationship Id="rId464" Type="http://schemas.openxmlformats.org/officeDocument/2006/relationships/hyperlink" Target="https://drive.google.com/open?id=16_ZKMe5J-vaKZIJGGJWz_QGM98vYU7GN" TargetMode="External"/><Relationship Id="rId1299" Type="http://schemas.openxmlformats.org/officeDocument/2006/relationships/hyperlink" Target="https://drive.google.com/open?id=1uiO6MvOVkTzKtEYGvfdCACOu2gJ1sXAl" TargetMode="External"/><Relationship Id="rId463" Type="http://schemas.openxmlformats.org/officeDocument/2006/relationships/hyperlink" Target="https://drive.google.com/open?id=1Xdobbk6rTXWP1IEZzJNYjZkvMorzWOzr" TargetMode="External"/><Relationship Id="rId459" Type="http://schemas.openxmlformats.org/officeDocument/2006/relationships/hyperlink" Target="https://drive.google.com/open?id=18viXfBO8GLpOobL12rwcH43kn_wFARIO" TargetMode="External"/><Relationship Id="rId458" Type="http://schemas.openxmlformats.org/officeDocument/2006/relationships/hyperlink" Target="https://drive.google.com/open?id=19PU3USu-z810km-LAnhflOf-WA3ubvNB" TargetMode="External"/><Relationship Id="rId457" Type="http://schemas.openxmlformats.org/officeDocument/2006/relationships/hyperlink" Target="https://drive.google.com/open?id=1JHF4XZSBlNIcXBpXJdTOQTdOhPSUJuP4" TargetMode="External"/><Relationship Id="rId456" Type="http://schemas.openxmlformats.org/officeDocument/2006/relationships/hyperlink" Target="https://drive.google.com/open?id=1nDqQJ7MfK4YGvcYAp9u5_thwK0ELLdzU" TargetMode="External"/><Relationship Id="rId1280" Type="http://schemas.openxmlformats.org/officeDocument/2006/relationships/hyperlink" Target="https://drive.google.com/open?id=18KLCoVMvAz1edT3SJog6L50Y-B2e8w53" TargetMode="External"/><Relationship Id="rId1281" Type="http://schemas.openxmlformats.org/officeDocument/2006/relationships/hyperlink" Target="https://drive.google.com/open?id=1-YYay6kyZpWKNWI11pZyAtMQHhII0fd0" TargetMode="External"/><Relationship Id="rId451" Type="http://schemas.openxmlformats.org/officeDocument/2006/relationships/hyperlink" Target="https://drive.google.com/open?id=1UO83d-lHg044bq-7MADA8r5CdZaRZulL" TargetMode="External"/><Relationship Id="rId1282" Type="http://schemas.openxmlformats.org/officeDocument/2006/relationships/hyperlink" Target="https://drive.google.com/open?id=1MKMR172cvFmAUcuI1kTjf_kRmiFENeGi" TargetMode="External"/><Relationship Id="rId450" Type="http://schemas.openxmlformats.org/officeDocument/2006/relationships/hyperlink" Target="https://drive.google.com/open?id=15sCFvLFkE7XZJgmxdX7Cab2EUYKbgwJo" TargetMode="External"/><Relationship Id="rId1283" Type="http://schemas.openxmlformats.org/officeDocument/2006/relationships/hyperlink" Target="https://drive.google.com/open?id=1RCFX7yAB4iK31tJv5gZ0lWEYU1xUyiAN" TargetMode="External"/><Relationship Id="rId1284" Type="http://schemas.openxmlformats.org/officeDocument/2006/relationships/hyperlink" Target="https://drive.google.com/open?id=1maOA_AFymD8Nf8xAe5jO3QQXxvmSxMrB" TargetMode="External"/><Relationship Id="rId1285" Type="http://schemas.openxmlformats.org/officeDocument/2006/relationships/hyperlink" Target="https://drive.google.com/open?id=1rgxjTFdpsRYbSckity_QM3nJPcNn2JrG" TargetMode="External"/><Relationship Id="rId455" Type="http://schemas.openxmlformats.org/officeDocument/2006/relationships/hyperlink" Target="https://drive.google.com/open?id=1xs5voDNSFHjb4aoXlYy8wV3s__SqobuV" TargetMode="External"/><Relationship Id="rId1286" Type="http://schemas.openxmlformats.org/officeDocument/2006/relationships/hyperlink" Target="https://drive.google.com/open?id=16IyGZyuMutVxLCpsGOpAYZKmu5hv5feS" TargetMode="External"/><Relationship Id="rId454" Type="http://schemas.openxmlformats.org/officeDocument/2006/relationships/hyperlink" Target="https://drive.google.com/open?id=1qWtT494Z1WAPMgX79JgNvA01Bf02ACKM" TargetMode="External"/><Relationship Id="rId1287" Type="http://schemas.openxmlformats.org/officeDocument/2006/relationships/hyperlink" Target="https://drive.google.com/open?id=1--CW6hchyYgCLp3OfwHSU-vA2OkCMVvL" TargetMode="External"/><Relationship Id="rId453" Type="http://schemas.openxmlformats.org/officeDocument/2006/relationships/hyperlink" Target="https://drive.google.com/open?id=11qavDNvVbkkx_Ewli0DO8KnfTL6gtbLJ" TargetMode="External"/><Relationship Id="rId1288" Type="http://schemas.openxmlformats.org/officeDocument/2006/relationships/hyperlink" Target="https://drive.google.com/open?id=1IJXU-EXp8irzuX8xIj_4Jn1DHZXCl-Dh" TargetMode="External"/><Relationship Id="rId452" Type="http://schemas.openxmlformats.org/officeDocument/2006/relationships/hyperlink" Target="https://drive.google.com/open?id=1N7hE1lbm6JfhzE8HESVpSik12MzD7HGi" TargetMode="External"/><Relationship Id="rId1289" Type="http://schemas.openxmlformats.org/officeDocument/2006/relationships/hyperlink" Target="https://drive.google.com/open?id=1l1RKtU3RBHPE3Pf4dirsYdPcs28gPZGj" TargetMode="External"/><Relationship Id="rId3018" Type="http://schemas.openxmlformats.org/officeDocument/2006/relationships/hyperlink" Target="https://drive.google.com/open?id=1Bk9u7p6uzjkGeyrvVH0Dk-gvBLXhD_xM" TargetMode="External"/><Relationship Id="rId3017" Type="http://schemas.openxmlformats.org/officeDocument/2006/relationships/hyperlink" Target="https://drive.google.com/open?id=1qO1H_-imkgR3ukwUDnVzF7_OHAjfcYGQ" TargetMode="External"/><Relationship Id="rId3019" Type="http://schemas.openxmlformats.org/officeDocument/2006/relationships/hyperlink" Target="https://drive.google.com/open?id=1-shAAAZ2EAai3aFfmdVZ3c6KZfzF4i9v" TargetMode="External"/><Relationship Id="rId491" Type="http://schemas.openxmlformats.org/officeDocument/2006/relationships/hyperlink" Target="https://drive.google.com/open?id=1KAMEwmSK5cCYjKhu_3ljfYzAIB98RE1r" TargetMode="External"/><Relationship Id="rId490" Type="http://schemas.openxmlformats.org/officeDocument/2006/relationships/hyperlink" Target="https://drive.google.com/open?id=1UyErVHofcIz02gghtri3_tl_mqMAc6i7" TargetMode="External"/><Relationship Id="rId489" Type="http://schemas.openxmlformats.org/officeDocument/2006/relationships/hyperlink" Target="https://drive.google.com/open?id=1K-bW3KnMMb_P09Qfi_W8phPNLS4u2I-z" TargetMode="External"/><Relationship Id="rId484" Type="http://schemas.openxmlformats.org/officeDocument/2006/relationships/hyperlink" Target="https://drive.google.com/open?id=1if-EQnXccCqzNr5VvJOFiPg_kkeOdfvn" TargetMode="External"/><Relationship Id="rId3010" Type="http://schemas.openxmlformats.org/officeDocument/2006/relationships/hyperlink" Target="https://drive.google.com/open?id=1t-7kuN-5MKGQarAX0RXq9z5lbxjoDx4C" TargetMode="External"/><Relationship Id="rId483" Type="http://schemas.openxmlformats.org/officeDocument/2006/relationships/hyperlink" Target="https://drive.google.com/open?id=1zhvn1Ly8JDeqMK67asGc_Zg-lieH_UVu" TargetMode="External"/><Relationship Id="rId482" Type="http://schemas.openxmlformats.org/officeDocument/2006/relationships/hyperlink" Target="https://drive.google.com/open?id=1ebqcjZhpImbixPjnrY-NroJqsURU949j" TargetMode="External"/><Relationship Id="rId3012" Type="http://schemas.openxmlformats.org/officeDocument/2006/relationships/hyperlink" Target="https://drive.google.com/open?id=1y9ncBvvXvxoNaEUwrwgudVDW9O8_CzII" TargetMode="External"/><Relationship Id="rId481" Type="http://schemas.openxmlformats.org/officeDocument/2006/relationships/hyperlink" Target="https://drive.google.com/open?id=1UGcJruH2hzOvkZJwiM9Wgace8uJ1V_Sk" TargetMode="External"/><Relationship Id="rId3011" Type="http://schemas.openxmlformats.org/officeDocument/2006/relationships/hyperlink" Target="https://drive.google.com/open?id=1NITUZp20eulYMcBHwUK1YdCdkMWO-Bhy" TargetMode="External"/><Relationship Id="rId488" Type="http://schemas.openxmlformats.org/officeDocument/2006/relationships/hyperlink" Target="https://drive.google.com/open?id=1y6Lauy2rlCNYEegzyPSGG0u0V4y0oaDo" TargetMode="External"/><Relationship Id="rId3014" Type="http://schemas.openxmlformats.org/officeDocument/2006/relationships/hyperlink" Target="https://drive.google.com/open?id=14KdJ4OZkjYdx60e2ic4vAulLko3zyfVx" TargetMode="External"/><Relationship Id="rId487" Type="http://schemas.openxmlformats.org/officeDocument/2006/relationships/hyperlink" Target="https://drive.google.com/open?id=15fXCaNNlRU6pGtBHhw2qYbM4CyldxtO0" TargetMode="External"/><Relationship Id="rId3013" Type="http://schemas.openxmlformats.org/officeDocument/2006/relationships/hyperlink" Target="https://drive.google.com/open?id=1kJZ4wLpRY7ZEIZbDcX6NTHryP9UoGIs4" TargetMode="External"/><Relationship Id="rId486" Type="http://schemas.openxmlformats.org/officeDocument/2006/relationships/hyperlink" Target="https://drive.google.com/open?id=1YSWErfALuwOEK34cNPNumtZ-e47IjJFN" TargetMode="External"/><Relationship Id="rId3016" Type="http://schemas.openxmlformats.org/officeDocument/2006/relationships/hyperlink" Target="https://drive.google.com/open?id=18yw06SdbiegPPYP1e9lyDCZz0jaoECvE" TargetMode="External"/><Relationship Id="rId485" Type="http://schemas.openxmlformats.org/officeDocument/2006/relationships/hyperlink" Target="https://drive.google.com/open?id=1L9fUiIIgLHphB0hUZFmjF4Rh9MlGCHTl" TargetMode="External"/><Relationship Id="rId3015" Type="http://schemas.openxmlformats.org/officeDocument/2006/relationships/hyperlink" Target="https://drive.google.com/open?id=1bhjNA9M-m3sddVRFZD_-PP37jk1QSgXu" TargetMode="External"/><Relationship Id="rId3007" Type="http://schemas.openxmlformats.org/officeDocument/2006/relationships/hyperlink" Target="https://drive.google.com/open?id=1HwKDJh5af80YUgntIqRpGTIMTGDEB_zJ" TargetMode="External"/><Relationship Id="rId3006" Type="http://schemas.openxmlformats.org/officeDocument/2006/relationships/hyperlink" Target="https://drive.google.com/open?id=1j_fFpQE57W9rXIEB_sz2zqFPLVxIws75" TargetMode="External"/><Relationship Id="rId3009" Type="http://schemas.openxmlformats.org/officeDocument/2006/relationships/hyperlink" Target="https://drive.google.com/open?id=1g09c1sQQSXFgFXuvvWSM63KnlopIMPWP" TargetMode="External"/><Relationship Id="rId3008" Type="http://schemas.openxmlformats.org/officeDocument/2006/relationships/hyperlink" Target="https://drive.google.com/open?id=178vDOY8V5JP0wQ3_-I7dKmGf-Cc8-O5U" TargetMode="External"/><Relationship Id="rId480" Type="http://schemas.openxmlformats.org/officeDocument/2006/relationships/hyperlink" Target="https://drive.google.com/open?id=1gScHB0d2duerBHd6OCBxIYZSpdy2oEGj" TargetMode="External"/><Relationship Id="rId479" Type="http://schemas.openxmlformats.org/officeDocument/2006/relationships/hyperlink" Target="https://drive.google.com/open?id=1fcdj_Qqc_46UElveniOBmPvrKinweXJg" TargetMode="External"/><Relationship Id="rId478" Type="http://schemas.openxmlformats.org/officeDocument/2006/relationships/hyperlink" Target="https://drive.google.com/open?id=1KwjOt2zT1rBmaBTEiqcnwqwxxNWLMtai" TargetMode="External"/><Relationship Id="rId473" Type="http://schemas.openxmlformats.org/officeDocument/2006/relationships/hyperlink" Target="https://drive.google.com/open?id=19hrV6JWKiEb5e6C5IJvpc96VwFE7tk-Y" TargetMode="External"/><Relationship Id="rId472" Type="http://schemas.openxmlformats.org/officeDocument/2006/relationships/hyperlink" Target="https://drive.google.com/open?id=1r6W_lkqF8I0N_KlfDYnu4fGYJMG3afR_" TargetMode="External"/><Relationship Id="rId471" Type="http://schemas.openxmlformats.org/officeDocument/2006/relationships/hyperlink" Target="https://drive.google.com/open?id=10e0kGilrVNIaIN_pF30F2oURQmk6Fc94" TargetMode="External"/><Relationship Id="rId3001" Type="http://schemas.openxmlformats.org/officeDocument/2006/relationships/hyperlink" Target="https://drive.google.com/open?id=1pbZ1QiDjFasMX2z3YXM4olCL07Jso-aw" TargetMode="External"/><Relationship Id="rId470" Type="http://schemas.openxmlformats.org/officeDocument/2006/relationships/hyperlink" Target="https://drive.google.com/open?id=1VAmi-grXvnhUvftZjdAeRFt_aJJ1qsOS" TargetMode="External"/><Relationship Id="rId3000" Type="http://schemas.openxmlformats.org/officeDocument/2006/relationships/hyperlink" Target="https://drive.google.com/open?id=13YBGuVypJuIAxZhCIXbkO3UvYTlhSKKH" TargetMode="External"/><Relationship Id="rId477" Type="http://schemas.openxmlformats.org/officeDocument/2006/relationships/hyperlink" Target="https://drive.google.com/open?id=1C7Ay-XddmmkcJd18sodhWSVCuDOUIcnY" TargetMode="External"/><Relationship Id="rId3003" Type="http://schemas.openxmlformats.org/officeDocument/2006/relationships/hyperlink" Target="https://drive.google.com/open?id=1GXh_YO_pL8gKVc4YzZi-vsFurYcAzB4N" TargetMode="External"/><Relationship Id="rId476" Type="http://schemas.openxmlformats.org/officeDocument/2006/relationships/hyperlink" Target="https://drive.google.com/open?id=149vozkWEBVaY9s9baTgNg1xHU57RQ9rH" TargetMode="External"/><Relationship Id="rId3002" Type="http://schemas.openxmlformats.org/officeDocument/2006/relationships/hyperlink" Target="https://drive.google.com/open?id=1ByC6CQvI7fS23rAJU7R9NWHwtDU5xyqr" TargetMode="External"/><Relationship Id="rId475" Type="http://schemas.openxmlformats.org/officeDocument/2006/relationships/hyperlink" Target="https://drive.google.com/open?id=1E1e_6CK0f2iXrLE3uY23h3mNqmWhOntE" TargetMode="External"/><Relationship Id="rId3005" Type="http://schemas.openxmlformats.org/officeDocument/2006/relationships/hyperlink" Target="https://drive.google.com/open?id=1IsiQIofEBf-bapWoYMSRUV1LidKNYeGG" TargetMode="External"/><Relationship Id="rId474" Type="http://schemas.openxmlformats.org/officeDocument/2006/relationships/hyperlink" Target="https://drive.google.com/open?id=1Dd_HM3K2W_J9tEOkSApSEVS4aycKVcSy" TargetMode="External"/><Relationship Id="rId3004" Type="http://schemas.openxmlformats.org/officeDocument/2006/relationships/hyperlink" Target="https://drive.google.com/open?id=1tS04Ds_6PYvi4kwinfAGcVvViIr4JD-z" TargetMode="External"/><Relationship Id="rId1257" Type="http://schemas.openxmlformats.org/officeDocument/2006/relationships/hyperlink" Target="https://drive.google.com/open?id=114BB6k-H4hKh0bLYhTgKLyUSY1ZngnEX" TargetMode="External"/><Relationship Id="rId2588" Type="http://schemas.openxmlformats.org/officeDocument/2006/relationships/hyperlink" Target="https://drive.google.com/open?id=1V_yb2jfETOahWe2auYXLTP0XDpmwlJ6N" TargetMode="External"/><Relationship Id="rId1258" Type="http://schemas.openxmlformats.org/officeDocument/2006/relationships/hyperlink" Target="https://drive.google.com/open?id=1tpJ-PclEdxuFkkaol5wr4tJh_N5757H2" TargetMode="External"/><Relationship Id="rId2589" Type="http://schemas.openxmlformats.org/officeDocument/2006/relationships/hyperlink" Target="https://drive.google.com/open?id=1K0bVGN1722KJqOOESB-0CbjSF76H2Eo7" TargetMode="External"/><Relationship Id="rId1259" Type="http://schemas.openxmlformats.org/officeDocument/2006/relationships/hyperlink" Target="https://drive.google.com/open?id=1PpwTm2zldPx0q4EXMTsRsJ6s6LRGDNho" TargetMode="External"/><Relationship Id="rId426" Type="http://schemas.openxmlformats.org/officeDocument/2006/relationships/hyperlink" Target="https://drive.google.com/open?id=1F2rwXwUzOLD5XJpUTlG0HuLDAoHH2KzR" TargetMode="External"/><Relationship Id="rId425" Type="http://schemas.openxmlformats.org/officeDocument/2006/relationships/hyperlink" Target="https://drive.google.com/open?id=1OJOeXgJ4aeMhiQxistE-8qN1bLJPphHQ" TargetMode="External"/><Relationship Id="rId424" Type="http://schemas.openxmlformats.org/officeDocument/2006/relationships/hyperlink" Target="https://drive.google.com/open?id=1SWwUA5AkKZfwounebcPIkaKjjmJUs2wd" TargetMode="External"/><Relationship Id="rId423" Type="http://schemas.openxmlformats.org/officeDocument/2006/relationships/hyperlink" Target="https://drive.google.com/open?id=1cSRFn4GmkkhyXdvBnPzda88XrrwRxPV1" TargetMode="External"/><Relationship Id="rId429" Type="http://schemas.openxmlformats.org/officeDocument/2006/relationships/hyperlink" Target="https://drive.google.com/open?id=1h-hPLC27Of8n1SZpsXmF_90X7nqT3KaQ" TargetMode="External"/><Relationship Id="rId428" Type="http://schemas.openxmlformats.org/officeDocument/2006/relationships/hyperlink" Target="https://drive.google.com/open?id=1LssWcsKD1tAvT3HXxC1O6W573R6OuhBj" TargetMode="External"/><Relationship Id="rId427" Type="http://schemas.openxmlformats.org/officeDocument/2006/relationships/hyperlink" Target="https://drive.google.com/open?id=1nNinemt6M_X75WFkWhmR2DnX59GV5gVm" TargetMode="External"/><Relationship Id="rId2580" Type="http://schemas.openxmlformats.org/officeDocument/2006/relationships/hyperlink" Target="https://drive.google.com/open?id=1NQYRUBeHLtLzjaSkTId1b13CQj628sBF" TargetMode="External"/><Relationship Id="rId1250" Type="http://schemas.openxmlformats.org/officeDocument/2006/relationships/hyperlink" Target="https://drive.google.com/open?id=1dlJttHNBvWB10JBniOGHb-NeX0SMRAnX" TargetMode="External"/><Relationship Id="rId2581" Type="http://schemas.openxmlformats.org/officeDocument/2006/relationships/hyperlink" Target="https://drive.google.com/open?id=1gPCQajnWtd58n86_c0n9cjkA6QA-byt_" TargetMode="External"/><Relationship Id="rId1251" Type="http://schemas.openxmlformats.org/officeDocument/2006/relationships/hyperlink" Target="https://drive.google.com/open?id=1wpocMCgXtBhSoYVpzdehQrH9LaZMSTC_" TargetMode="External"/><Relationship Id="rId2582" Type="http://schemas.openxmlformats.org/officeDocument/2006/relationships/hyperlink" Target="https://drive.google.com/open?id=1SyolOUuw029Uma2FRENqf5VLmor4ro3L" TargetMode="External"/><Relationship Id="rId1252" Type="http://schemas.openxmlformats.org/officeDocument/2006/relationships/hyperlink" Target="https://drive.google.com/open?id=1Z62L1x4sMQbRG-Vu2S0rBPNKE1mH31XU" TargetMode="External"/><Relationship Id="rId2583" Type="http://schemas.openxmlformats.org/officeDocument/2006/relationships/hyperlink" Target="https://drive.google.com/open?id=1nb6CyAWhqm1gRe1wpJPDRHZYL-DG6XO1" TargetMode="External"/><Relationship Id="rId422" Type="http://schemas.openxmlformats.org/officeDocument/2006/relationships/hyperlink" Target="https://drive.google.com/open?id=1tnCOpLiwgSiCYVE9IoCyxddKaD0xfHZK" TargetMode="External"/><Relationship Id="rId1253" Type="http://schemas.openxmlformats.org/officeDocument/2006/relationships/hyperlink" Target="https://drive.google.com/open?id=1e98CsFBm5Y5rXEcCa1puOFaR2nLsjkaw" TargetMode="External"/><Relationship Id="rId2584" Type="http://schemas.openxmlformats.org/officeDocument/2006/relationships/hyperlink" Target="https://drive.google.com/open?id=1wVLKlzBGTq5B_DNhXxjdxgeRaq46qwtK" TargetMode="External"/><Relationship Id="rId421" Type="http://schemas.openxmlformats.org/officeDocument/2006/relationships/hyperlink" Target="https://drive.google.com/open?id=1G-Os1WT08FycKidbH9pu43V8JXnlVyBp" TargetMode="External"/><Relationship Id="rId1254" Type="http://schemas.openxmlformats.org/officeDocument/2006/relationships/hyperlink" Target="https://drive.google.com/open?id=1HCnmF24GhYuLIToJozMDBqTZ0z_QHUvU" TargetMode="External"/><Relationship Id="rId2585" Type="http://schemas.openxmlformats.org/officeDocument/2006/relationships/hyperlink" Target="https://drive.google.com/open?id=1vCTabX-H4aknQH4Boxx9f68he7HlbC_8" TargetMode="External"/><Relationship Id="rId420" Type="http://schemas.openxmlformats.org/officeDocument/2006/relationships/hyperlink" Target="https://drive.google.com/open?id=1wM5SPbRPvQBNeZxpl3S1YONn6g3iB8qy" TargetMode="External"/><Relationship Id="rId1255" Type="http://schemas.openxmlformats.org/officeDocument/2006/relationships/hyperlink" Target="https://drive.google.com/open?id=1jQRGwa0jsbLSVK9tLZwftgvLPVM1p1sE" TargetMode="External"/><Relationship Id="rId2586" Type="http://schemas.openxmlformats.org/officeDocument/2006/relationships/hyperlink" Target="https://drive.google.com/open?id=1gpd8Ha4MO41qYVdNA0Sv6PSU0i3i9GTV" TargetMode="External"/><Relationship Id="rId1256" Type="http://schemas.openxmlformats.org/officeDocument/2006/relationships/hyperlink" Target="https://drive.google.com/open?id=1Ea_zsdRTw5nncf6n0_Zo2kRRm17AX3G6" TargetMode="External"/><Relationship Id="rId2587" Type="http://schemas.openxmlformats.org/officeDocument/2006/relationships/hyperlink" Target="https://drive.google.com/open?id=1cFyfs-58OCSynxC5m6eNw5fIhDGugVVN" TargetMode="External"/><Relationship Id="rId1246" Type="http://schemas.openxmlformats.org/officeDocument/2006/relationships/hyperlink" Target="https://drive.google.com/open?id=1z996aiLieWfp4ijvG5rtqoOI6n0hiF_4" TargetMode="External"/><Relationship Id="rId2577" Type="http://schemas.openxmlformats.org/officeDocument/2006/relationships/hyperlink" Target="https://drive.google.com/open?id=1VxV2tmUdC2c8DN_uO5DxM6vznIKJrvtk" TargetMode="External"/><Relationship Id="rId1247" Type="http://schemas.openxmlformats.org/officeDocument/2006/relationships/hyperlink" Target="https://drive.google.com/open?id=1aidEde3sEsrH2AqiEC5hjgNOEIBg1ABa" TargetMode="External"/><Relationship Id="rId2578" Type="http://schemas.openxmlformats.org/officeDocument/2006/relationships/hyperlink" Target="https://drive.google.com/open?id=1NKB97687LdUBs737GFG7hEHOPhxJihY8" TargetMode="External"/><Relationship Id="rId1248" Type="http://schemas.openxmlformats.org/officeDocument/2006/relationships/hyperlink" Target="https://drive.google.com/open?id=1K5G3gsNglQavBEloZQldrNODZXM7th3_" TargetMode="External"/><Relationship Id="rId2579" Type="http://schemas.openxmlformats.org/officeDocument/2006/relationships/hyperlink" Target="https://drive.google.com/open?id=1snpFdSBpzNewxamQMCe3ca1HA_KZNXgK" TargetMode="External"/><Relationship Id="rId1249" Type="http://schemas.openxmlformats.org/officeDocument/2006/relationships/hyperlink" Target="https://drive.google.com/open?id=1Bd9v-lr1QM08GlL2-deML2JewojTQHRP" TargetMode="External"/><Relationship Id="rId415" Type="http://schemas.openxmlformats.org/officeDocument/2006/relationships/hyperlink" Target="https://drive.google.com/open?id=1MWU1SiSuf0VDt9HQJkpk6Wq-hl_-__Dl" TargetMode="External"/><Relationship Id="rId414" Type="http://schemas.openxmlformats.org/officeDocument/2006/relationships/hyperlink" Target="https://drive.google.com/open?id=11cA0bIyPErtF37KxguWrOeuZxThUmkuk" TargetMode="External"/><Relationship Id="rId413" Type="http://schemas.openxmlformats.org/officeDocument/2006/relationships/hyperlink" Target="https://drive.google.com/open?id=1NiQM4sMAaxXUYEXTT0DwTttDWl76i3tQ" TargetMode="External"/><Relationship Id="rId412" Type="http://schemas.openxmlformats.org/officeDocument/2006/relationships/hyperlink" Target="https://drive.google.com/open?id=1klCakmlQURfIa7iMNV0xjEeFRA_G0xUu" TargetMode="External"/><Relationship Id="rId419" Type="http://schemas.openxmlformats.org/officeDocument/2006/relationships/hyperlink" Target="https://drive.google.com/open?id=1xMJP3ZGbq837yw7q_19V_UNr8INMDX0v" TargetMode="External"/><Relationship Id="rId418" Type="http://schemas.openxmlformats.org/officeDocument/2006/relationships/hyperlink" Target="https://drive.google.com/open?id=1-uV_eVoSJB6CDYyngK-CHrCTdL-11iCw" TargetMode="External"/><Relationship Id="rId417" Type="http://schemas.openxmlformats.org/officeDocument/2006/relationships/hyperlink" Target="https://drive.google.com/open?id=1RezUad3pEvz6qBoEWv6K9Dgp-vK5hndD" TargetMode="External"/><Relationship Id="rId416" Type="http://schemas.openxmlformats.org/officeDocument/2006/relationships/hyperlink" Target="https://drive.google.com/open?id=1wFI1wPV-cdtEx7eLRnrX8F7KynnUR3r0" TargetMode="External"/><Relationship Id="rId2570" Type="http://schemas.openxmlformats.org/officeDocument/2006/relationships/hyperlink" Target="https://drive.google.com/open?id=1lpvAWmPVhL9l4pMXEWehfHj0JAieXAIE" TargetMode="External"/><Relationship Id="rId1240" Type="http://schemas.openxmlformats.org/officeDocument/2006/relationships/hyperlink" Target="https://drive.google.com/open?id=12FvmSSQQx8em2lyD1JTJPx6w95-TFMNl" TargetMode="External"/><Relationship Id="rId2571" Type="http://schemas.openxmlformats.org/officeDocument/2006/relationships/hyperlink" Target="https://drive.google.com/open?id=1mY6-gjswg9ZQlLcwt0No_T2mosAi6G-4" TargetMode="External"/><Relationship Id="rId1241" Type="http://schemas.openxmlformats.org/officeDocument/2006/relationships/hyperlink" Target="https://drive.google.com/open?id=1KhgvbTALERABZW0GrVV5g33MEnwC3oHq" TargetMode="External"/><Relationship Id="rId2572" Type="http://schemas.openxmlformats.org/officeDocument/2006/relationships/hyperlink" Target="https://drive.google.com/open?id=1LaSGTf68Uf8D6kH4BYOTG6L-qKulKOHQ" TargetMode="External"/><Relationship Id="rId411" Type="http://schemas.openxmlformats.org/officeDocument/2006/relationships/hyperlink" Target="https://drive.google.com/open?id=1azmuZGp_MUjjHYuVOEfoxGOmPBlGliKV" TargetMode="External"/><Relationship Id="rId1242" Type="http://schemas.openxmlformats.org/officeDocument/2006/relationships/hyperlink" Target="https://drive.google.com/open?id=1JQjZNNWzpZ0jd396TSi0Y5spUncosGRB" TargetMode="External"/><Relationship Id="rId2573" Type="http://schemas.openxmlformats.org/officeDocument/2006/relationships/hyperlink" Target="https://drive.google.com/open?id=1k3HHiBSi6_cSVk4VgAW4ze8IzacB9T9A" TargetMode="External"/><Relationship Id="rId410" Type="http://schemas.openxmlformats.org/officeDocument/2006/relationships/hyperlink" Target="https://drive.google.com/open?id=1UyicOx3ChfLKwzoosIrU-wmU6kfovlwX" TargetMode="External"/><Relationship Id="rId1243" Type="http://schemas.openxmlformats.org/officeDocument/2006/relationships/hyperlink" Target="https://drive.google.com/open?id=1szSvAgBpZkqARaBNtYKOXH7dQtsPde75" TargetMode="External"/><Relationship Id="rId2574" Type="http://schemas.openxmlformats.org/officeDocument/2006/relationships/hyperlink" Target="https://drive.google.com/open?id=1RkwNA9oUxKHCxkunfDFfpR7XO-63lyAF" TargetMode="External"/><Relationship Id="rId1244" Type="http://schemas.openxmlformats.org/officeDocument/2006/relationships/hyperlink" Target="https://drive.google.com/open?id=15zw4tiyEyEsw3FMN5--yJ56r7JMZrp5t" TargetMode="External"/><Relationship Id="rId2575" Type="http://schemas.openxmlformats.org/officeDocument/2006/relationships/hyperlink" Target="https://drive.google.com/open?id=17LekKRPwcKaP-cg0_p5w3vfQvUSDWQPI" TargetMode="External"/><Relationship Id="rId1245" Type="http://schemas.openxmlformats.org/officeDocument/2006/relationships/hyperlink" Target="https://drive.google.com/open?id=1Kp9t5m6az2VMI6HckFNukvysaBuqtFL3" TargetMode="External"/><Relationship Id="rId2576" Type="http://schemas.openxmlformats.org/officeDocument/2006/relationships/hyperlink" Target="https://drive.google.com/open?id=13MjIx-EhpLsVh1s_87UlwZOjge_-FIP1" TargetMode="External"/><Relationship Id="rId1279" Type="http://schemas.openxmlformats.org/officeDocument/2006/relationships/hyperlink" Target="https://drive.google.com/open?id=1Y97yOpgblU4qJAjgtWWEf9-lgUgu3v47" TargetMode="External"/><Relationship Id="rId448" Type="http://schemas.openxmlformats.org/officeDocument/2006/relationships/hyperlink" Target="https://drive.google.com/open?id=1NAk1Bd0NCjbJhcbH0VFSTEc851cSsTn6" TargetMode="External"/><Relationship Id="rId447" Type="http://schemas.openxmlformats.org/officeDocument/2006/relationships/hyperlink" Target="https://drive.google.com/open?id=15BJhiePUf81claD4SGCqd_BlVyHlEwB7" TargetMode="External"/><Relationship Id="rId446" Type="http://schemas.openxmlformats.org/officeDocument/2006/relationships/hyperlink" Target="https://drive.google.com/open?id=1c3dkLNI9X9sQVCX0_ukVHAX7YWSSVDem" TargetMode="External"/><Relationship Id="rId445" Type="http://schemas.openxmlformats.org/officeDocument/2006/relationships/hyperlink" Target="https://drive.google.com/open?id=1i7J3jg4TaQO_8w_Z7OS3JYPF2J6vDOeR" TargetMode="External"/><Relationship Id="rId449" Type="http://schemas.openxmlformats.org/officeDocument/2006/relationships/hyperlink" Target="https://drive.google.com/open?id=10A4rwdWXPWCy9tqsacCPLtYUP-3vobUN" TargetMode="External"/><Relationship Id="rId1270" Type="http://schemas.openxmlformats.org/officeDocument/2006/relationships/hyperlink" Target="https://drive.google.com/open?id=19BBnTv5_vSEBlOu2Ds3URPDRlCxBv-5-" TargetMode="External"/><Relationship Id="rId440" Type="http://schemas.openxmlformats.org/officeDocument/2006/relationships/hyperlink" Target="https://drive.google.com/open?id=1M7x74OZOYa1qXEYNV7AGMWftnsDeQ_Wi" TargetMode="External"/><Relationship Id="rId1271" Type="http://schemas.openxmlformats.org/officeDocument/2006/relationships/hyperlink" Target="https://drive.google.com/open?id=1tOVw3jNCvYKB8eDFUsK4Y2XM6lSkJr82" TargetMode="External"/><Relationship Id="rId1272" Type="http://schemas.openxmlformats.org/officeDocument/2006/relationships/hyperlink" Target="https://drive.google.com/open?id=1Zed7o8pVE0l9XVVtvyqWZx6q6TGFX75o" TargetMode="External"/><Relationship Id="rId1273" Type="http://schemas.openxmlformats.org/officeDocument/2006/relationships/hyperlink" Target="https://drive.google.com/open?id=1DHcfQXr1xSnjGvoq_WxcJM0zrcfkl8Uh" TargetMode="External"/><Relationship Id="rId1274" Type="http://schemas.openxmlformats.org/officeDocument/2006/relationships/hyperlink" Target="https://drive.google.com/open?id=1YH-XUkSq13THRFMF-B0LlPuqZRx8DnHF" TargetMode="External"/><Relationship Id="rId444" Type="http://schemas.openxmlformats.org/officeDocument/2006/relationships/hyperlink" Target="https://drive.google.com/open?id=148oU0JM-5ns8xZTOD9E7ve47KIVaRuxj" TargetMode="External"/><Relationship Id="rId1275" Type="http://schemas.openxmlformats.org/officeDocument/2006/relationships/hyperlink" Target="https://drive.google.com/open?id=1PrVHbNwP8FlCkETGDi4MqTtVcFpLNzeC" TargetMode="External"/><Relationship Id="rId443" Type="http://schemas.openxmlformats.org/officeDocument/2006/relationships/hyperlink" Target="https://drive.google.com/open?id=1XtzkOi02Sj2bGwdC-pMUxcIwQa_l0pu0" TargetMode="External"/><Relationship Id="rId1276" Type="http://schemas.openxmlformats.org/officeDocument/2006/relationships/hyperlink" Target="https://drive.google.com/open?id=1NDlzRlGTjyl8vjiiimsUuNOnG_0PRS4q" TargetMode="External"/><Relationship Id="rId442" Type="http://schemas.openxmlformats.org/officeDocument/2006/relationships/hyperlink" Target="https://drive.google.com/open?id=1tG4M60yVcNLtA_yxdKK_gPFAd6jQkq0D" TargetMode="External"/><Relationship Id="rId1277" Type="http://schemas.openxmlformats.org/officeDocument/2006/relationships/hyperlink" Target="https://drive.google.com/open?id=1RhA7y_6v6LzXlnzxD8yikL8PHwZnU8Pa" TargetMode="External"/><Relationship Id="rId441" Type="http://schemas.openxmlformats.org/officeDocument/2006/relationships/hyperlink" Target="https://drive.google.com/open?id=1LrJoVqEkoQHw0C0CMYQjXn8jKznawplr" TargetMode="External"/><Relationship Id="rId1278" Type="http://schemas.openxmlformats.org/officeDocument/2006/relationships/hyperlink" Target="https://drive.google.com/open?id=1N_JvpejmGYQeWEMl_gztIB-YYvv1al2W" TargetMode="External"/><Relationship Id="rId1268" Type="http://schemas.openxmlformats.org/officeDocument/2006/relationships/hyperlink" Target="https://drive.google.com/open?id=1ltNPGApgaHpIMra8h-aIUjGp9Xr9ImIa" TargetMode="External"/><Relationship Id="rId2599" Type="http://schemas.openxmlformats.org/officeDocument/2006/relationships/hyperlink" Target="https://drive.google.com/open?id=1TjTRulsAt_P_LzBaWqlEwS98HoVZbI0C" TargetMode="External"/><Relationship Id="rId1269" Type="http://schemas.openxmlformats.org/officeDocument/2006/relationships/hyperlink" Target="https://drive.google.com/open?id=1thsaeIAvymHn7hzVy-CwAApSncD33F97" TargetMode="External"/><Relationship Id="rId437" Type="http://schemas.openxmlformats.org/officeDocument/2006/relationships/hyperlink" Target="https://drive.google.com/open?id=1bIpCYndoNrcUhVT-DbzInMP_GEFhhfBL" TargetMode="External"/><Relationship Id="rId436" Type="http://schemas.openxmlformats.org/officeDocument/2006/relationships/hyperlink" Target="https://drive.google.com/open?id=1Ss21s0jr1tXll9KIPFvyjnUHJT7G2gD1" TargetMode="External"/><Relationship Id="rId435" Type="http://schemas.openxmlformats.org/officeDocument/2006/relationships/hyperlink" Target="https://drive.google.com/open?id=1J8lidESrWqPi5PITPiTM2b11MfwNZ6Qv" TargetMode="External"/><Relationship Id="rId434" Type="http://schemas.openxmlformats.org/officeDocument/2006/relationships/hyperlink" Target="https://drive.google.com/open?id=1CGQT8JA38MPyhxYTqJnlQx2kCA5jEknC" TargetMode="External"/><Relationship Id="rId439" Type="http://schemas.openxmlformats.org/officeDocument/2006/relationships/hyperlink" Target="https://drive.google.com/open?id=1tjFX_kAjHLxzaNNjvFrX0DC8wynhNHo2" TargetMode="External"/><Relationship Id="rId438" Type="http://schemas.openxmlformats.org/officeDocument/2006/relationships/hyperlink" Target="https://drive.google.com/open?id=1SCdRzbB0MLFMberecTHYJ6OaXp02o0AL" TargetMode="External"/><Relationship Id="rId2590" Type="http://schemas.openxmlformats.org/officeDocument/2006/relationships/hyperlink" Target="https://drive.google.com/open?id=14JcfkqV_kf2mnYJkRSOHlp5DWdjbvJuW" TargetMode="External"/><Relationship Id="rId1260" Type="http://schemas.openxmlformats.org/officeDocument/2006/relationships/hyperlink" Target="https://drive.google.com/open?id=1bAeX5toWKCba7XYT5pCBikqP1_in--64" TargetMode="External"/><Relationship Id="rId2591" Type="http://schemas.openxmlformats.org/officeDocument/2006/relationships/hyperlink" Target="https://drive.google.com/open?id=1KPwzl11hmFk3-sAwlGS7UZjI7DboHtfu" TargetMode="External"/><Relationship Id="rId1261" Type="http://schemas.openxmlformats.org/officeDocument/2006/relationships/hyperlink" Target="https://drive.google.com/open?id=1od_sCxfit-VQfaG04lSXZSCtENznv_lH" TargetMode="External"/><Relationship Id="rId2592" Type="http://schemas.openxmlformats.org/officeDocument/2006/relationships/hyperlink" Target="https://drive.google.com/open?id=1YqxU1liIe52KP0b2_C8F1pEJjX8oIrRX" TargetMode="External"/><Relationship Id="rId1262" Type="http://schemas.openxmlformats.org/officeDocument/2006/relationships/hyperlink" Target="https://drive.google.com/open?id=1Q8tjpR-DIsiQLiAIa9hhyMgxi07tZ5vz" TargetMode="External"/><Relationship Id="rId2593" Type="http://schemas.openxmlformats.org/officeDocument/2006/relationships/hyperlink" Target="https://drive.google.com/open?id=1uzMLKeJnPATJS-3PFikvsS_r95PZ15WB" TargetMode="External"/><Relationship Id="rId1263" Type="http://schemas.openxmlformats.org/officeDocument/2006/relationships/hyperlink" Target="https://drive.google.com/open?id=1h8N9wCB9TYBonAorJ0bGsHjIN0fOkGRZ" TargetMode="External"/><Relationship Id="rId2594" Type="http://schemas.openxmlformats.org/officeDocument/2006/relationships/hyperlink" Target="https://drive.google.com/open?id=1JZQNnPY15dV2XxlOMMuD-GEDgZdSLakH" TargetMode="External"/><Relationship Id="rId433" Type="http://schemas.openxmlformats.org/officeDocument/2006/relationships/hyperlink" Target="https://drive.google.com/open?id=156e1hxuV0kTj9zdZE6XKDqtGv8CFpSKz" TargetMode="External"/><Relationship Id="rId1264" Type="http://schemas.openxmlformats.org/officeDocument/2006/relationships/hyperlink" Target="https://drive.google.com/open?id=11ChRBFQ-9UpoUeoqMg0_qRhLyN1ZzEbZ" TargetMode="External"/><Relationship Id="rId2595" Type="http://schemas.openxmlformats.org/officeDocument/2006/relationships/hyperlink" Target="https://drive.google.com/open?id=166g0NwOtVmAiXsGPqYVKOJrzvrEQE_01" TargetMode="External"/><Relationship Id="rId432" Type="http://schemas.openxmlformats.org/officeDocument/2006/relationships/hyperlink" Target="https://drive.google.com/open?id=10hd3kcXk8GTXilRTme-zzPU6BYaLmoWb" TargetMode="External"/><Relationship Id="rId1265" Type="http://schemas.openxmlformats.org/officeDocument/2006/relationships/hyperlink" Target="https://drive.google.com/open?id=1pJV0xU71e_OY_1rB1VFG7b-siEbu2-y-" TargetMode="External"/><Relationship Id="rId2596" Type="http://schemas.openxmlformats.org/officeDocument/2006/relationships/hyperlink" Target="https://drive.google.com/open?id=15M-U3F_YuvJJXQQh4QeMnBnbjM2kpakk" TargetMode="External"/><Relationship Id="rId431" Type="http://schemas.openxmlformats.org/officeDocument/2006/relationships/hyperlink" Target="https://drive.google.com/open?id=1X7arJ2t8xxcFVaDQJcTCQrJQXuqvwY2N" TargetMode="External"/><Relationship Id="rId1266" Type="http://schemas.openxmlformats.org/officeDocument/2006/relationships/hyperlink" Target="https://drive.google.com/open?id=173N0z1gGHfKNZ2iloHBqXvy0wGtLbNCc" TargetMode="External"/><Relationship Id="rId2597" Type="http://schemas.openxmlformats.org/officeDocument/2006/relationships/hyperlink" Target="https://drive.google.com/open?id=1iO7Ztn958Dh2kymvgwnfKEibQTrmueFu" TargetMode="External"/><Relationship Id="rId430" Type="http://schemas.openxmlformats.org/officeDocument/2006/relationships/hyperlink" Target="https://drive.google.com/open?id=1CmNRMuNTnLw-Lv_t2R4jz7WzvnTLvqkG" TargetMode="External"/><Relationship Id="rId1267" Type="http://schemas.openxmlformats.org/officeDocument/2006/relationships/hyperlink" Target="https://drive.google.com/open?id=15RvG4aPVdno4acC80DUeEojiAB8EZbRY" TargetMode="External"/><Relationship Id="rId2598" Type="http://schemas.openxmlformats.org/officeDocument/2006/relationships/hyperlink" Target="https://drive.google.com/open?id=1CCTSDAz3tto6G3STzX31yQk36UaQ-WSS" TargetMode="External"/><Relationship Id="rId3070" Type="http://schemas.openxmlformats.org/officeDocument/2006/relationships/hyperlink" Target="https://drive.google.com/open?id=1QJWwJJuIWiv21C-dPFuCdN5BD3L3sRFx" TargetMode="External"/><Relationship Id="rId3072" Type="http://schemas.openxmlformats.org/officeDocument/2006/relationships/hyperlink" Target="https://drive.google.com/open?id=1zJhcZfjB_uxb4OHxg-DQPfJ7SznFVHv7" TargetMode="External"/><Relationship Id="rId3071" Type="http://schemas.openxmlformats.org/officeDocument/2006/relationships/hyperlink" Target="https://drive.google.com/open?id=1fOfxjDy-OA31wWaKZp_98nA797vfJ5m3" TargetMode="External"/><Relationship Id="rId3074" Type="http://schemas.openxmlformats.org/officeDocument/2006/relationships/hyperlink" Target="https://drive.google.com/open?id=1dZGVwSDU6cIqfm3RfgpzDU0NEOXn4fJu" TargetMode="External"/><Relationship Id="rId3073" Type="http://schemas.openxmlformats.org/officeDocument/2006/relationships/hyperlink" Target="https://drive.google.com/open?id=1ZuT1PACruNsXMG5Bg3ld4LEzE8_FQSHC" TargetMode="External"/><Relationship Id="rId3076" Type="http://schemas.openxmlformats.org/officeDocument/2006/relationships/hyperlink" Target="https://drive.google.com/open?id=1kVlLnk_eWsvOY-X88O8rBSzeqOk6XYn6" TargetMode="External"/><Relationship Id="rId3075" Type="http://schemas.openxmlformats.org/officeDocument/2006/relationships/hyperlink" Target="https://drive.google.com/open?id=1AlrlfLi7v6W_qVBAHvWGMlLvU1cMLuTa" TargetMode="External"/><Relationship Id="rId3078" Type="http://schemas.openxmlformats.org/officeDocument/2006/relationships/hyperlink" Target="https://drive.google.com/open?id=1BZb6ADD4EPlkJB4WqqjOByADWRY-TiDk" TargetMode="External"/><Relationship Id="rId3077" Type="http://schemas.openxmlformats.org/officeDocument/2006/relationships/hyperlink" Target="https://drive.google.com/open?id=1Hj9GkPP3h6yl4JeLXXlUp-L3IAwTKQDQ" TargetMode="External"/><Relationship Id="rId3079" Type="http://schemas.openxmlformats.org/officeDocument/2006/relationships/hyperlink" Target="https://drive.google.com/open?id=16mEv19K79mmtAxJs-dXO57rioZYqqz33" TargetMode="External"/><Relationship Id="rId3061" Type="http://schemas.openxmlformats.org/officeDocument/2006/relationships/hyperlink" Target="https://drive.google.com/open?id=1smGr8b2Q4RGug3su0dHFM8WasIiG24wZ" TargetMode="External"/><Relationship Id="rId3060" Type="http://schemas.openxmlformats.org/officeDocument/2006/relationships/hyperlink" Target="https://drive.google.com/open?id=1mb2zxZ-IzoEz_p66IIqR0364J6SmOYK7" TargetMode="External"/><Relationship Id="rId3063" Type="http://schemas.openxmlformats.org/officeDocument/2006/relationships/hyperlink" Target="https://drive.google.com/open?id=1KpBFo3Z7pChDU8FLnn2-MglBBNy5UVg6" TargetMode="External"/><Relationship Id="rId3062" Type="http://schemas.openxmlformats.org/officeDocument/2006/relationships/hyperlink" Target="https://drive.google.com/open?id=1xSx3gO1re8QVji86DeCO7mO2ytNVLfUT" TargetMode="External"/><Relationship Id="rId3065" Type="http://schemas.openxmlformats.org/officeDocument/2006/relationships/hyperlink" Target="https://drive.google.com/open?id=1zG5h6qalLFNhTR4-ri8tPpIu9jrlvbY_" TargetMode="External"/><Relationship Id="rId3064" Type="http://schemas.openxmlformats.org/officeDocument/2006/relationships/hyperlink" Target="https://drive.google.com/open?id=1rMc9NcJG76-urcFFgrFY08H-VDYOQ2C2" TargetMode="External"/><Relationship Id="rId3067" Type="http://schemas.openxmlformats.org/officeDocument/2006/relationships/hyperlink" Target="https://drive.google.com/open?id=1s_yeL5C8O3s38xRLkN4h1StD_EHd-XiI" TargetMode="External"/><Relationship Id="rId3066" Type="http://schemas.openxmlformats.org/officeDocument/2006/relationships/hyperlink" Target="https://drive.google.com/open?id=1q5n5jnQei5U4KAfc960yqvDXPbP8_Hhr" TargetMode="External"/><Relationship Id="rId3069" Type="http://schemas.openxmlformats.org/officeDocument/2006/relationships/hyperlink" Target="https://drive.google.com/open?id=1anao6EGhyr6SVSIGcRWC4z2iOB9VozW4" TargetMode="External"/><Relationship Id="rId3068" Type="http://schemas.openxmlformats.org/officeDocument/2006/relationships/hyperlink" Target="https://drive.google.com/open?id=1AK_4wXeV3vcYufMj0AGBZoJf6ZjHhWd-" TargetMode="External"/><Relationship Id="rId3090" Type="http://schemas.openxmlformats.org/officeDocument/2006/relationships/hyperlink" Target="https://drive.google.com/open?id=1XHxp6kuc6ErOSMBEu6dTvKnndJG_jqpc" TargetMode="External"/><Relationship Id="rId3092" Type="http://schemas.openxmlformats.org/officeDocument/2006/relationships/hyperlink" Target="https://drive.google.com/open?id=1bxa_lpL8LqSuE7YTwDe_YMDL6xdx9kay" TargetMode="External"/><Relationship Id="rId3091" Type="http://schemas.openxmlformats.org/officeDocument/2006/relationships/hyperlink" Target="https://drive.google.com/open?id=1rawPbyl9lDEPQ4YkimmflzmPwfXHRBii" TargetMode="External"/><Relationship Id="rId3094" Type="http://schemas.openxmlformats.org/officeDocument/2006/relationships/hyperlink" Target="https://drive.google.com/open?id=1E4w0iJDwlubPXQMlGfY14YtwGujSlFNA" TargetMode="External"/><Relationship Id="rId3093" Type="http://schemas.openxmlformats.org/officeDocument/2006/relationships/hyperlink" Target="https://drive.google.com/open?id=146GJwMv8grb0jg3efSm_XMSKQXgBFKZf" TargetMode="External"/><Relationship Id="rId3096" Type="http://schemas.openxmlformats.org/officeDocument/2006/relationships/hyperlink" Target="https://drive.google.com/open?id=13N2zj4qmqqlB2WN7PBoceLvpnaWNwn5q" TargetMode="External"/><Relationship Id="rId3095" Type="http://schemas.openxmlformats.org/officeDocument/2006/relationships/hyperlink" Target="https://drive.google.com/open?id=1MafMo2fyJpxBYS9sPCFpvlW1UA2oR7n9" TargetMode="External"/><Relationship Id="rId3098" Type="http://schemas.openxmlformats.org/officeDocument/2006/relationships/hyperlink" Target="https://drive.google.com/open?id=1xCnH9dY3HLwVJevPPNPZCtJ6bDVxLnrY" TargetMode="External"/><Relationship Id="rId3097" Type="http://schemas.openxmlformats.org/officeDocument/2006/relationships/hyperlink" Target="https://drive.google.com/open?id=1xambi4kaHZJZs6SqYT0jvq2EyRl24vu7" TargetMode="External"/><Relationship Id="rId3099" Type="http://schemas.openxmlformats.org/officeDocument/2006/relationships/hyperlink" Target="https://drive.google.com/open?id=1DHApNBrobEn_o9jDL9PfYb9yE-o5QI6-" TargetMode="External"/><Relationship Id="rId3081" Type="http://schemas.openxmlformats.org/officeDocument/2006/relationships/hyperlink" Target="https://drive.google.com/open?id=1JPZF82XXYiq8ihITUssClN8b3v2KhGmW" TargetMode="External"/><Relationship Id="rId3080" Type="http://schemas.openxmlformats.org/officeDocument/2006/relationships/hyperlink" Target="https://drive.google.com/open?id=1hTvlerwPoObdnTudDQxwnStjEGaVfZ-D" TargetMode="External"/><Relationship Id="rId3083" Type="http://schemas.openxmlformats.org/officeDocument/2006/relationships/hyperlink" Target="https://drive.google.com/open?id=18q98wq_Q44UxQRjJa43WwjE4fxTKxSGu" TargetMode="External"/><Relationship Id="rId3082" Type="http://schemas.openxmlformats.org/officeDocument/2006/relationships/hyperlink" Target="https://drive.google.com/open?id=1-4GgX043QwR4ewKivdMDRhIvH51Andy1" TargetMode="External"/><Relationship Id="rId3085" Type="http://schemas.openxmlformats.org/officeDocument/2006/relationships/hyperlink" Target="https://drive.google.com/open?id=16Naf9YRF42Nlv9ozLwKEVrpYYMy2Klbl" TargetMode="External"/><Relationship Id="rId3084" Type="http://schemas.openxmlformats.org/officeDocument/2006/relationships/hyperlink" Target="https://drive.google.com/open?id=10ikWmDaJ-NhEAEutzYzaHKN3YznYnSvb" TargetMode="External"/><Relationship Id="rId3087" Type="http://schemas.openxmlformats.org/officeDocument/2006/relationships/hyperlink" Target="https://drive.google.com/open?id=1lipGUvfgoHehtZJh9o2WgZNHaFZ2xEWz" TargetMode="External"/><Relationship Id="rId3086" Type="http://schemas.openxmlformats.org/officeDocument/2006/relationships/hyperlink" Target="https://drive.google.com/open?id=1v9aCImi9LlgWGGuKLXkFp5dLKtYhEt17" TargetMode="External"/><Relationship Id="rId3089" Type="http://schemas.openxmlformats.org/officeDocument/2006/relationships/hyperlink" Target="https://drive.google.com/open?id=11WzzbCYMoRzpWW2wE-XvCD_LZ_K190ET" TargetMode="External"/><Relationship Id="rId3088" Type="http://schemas.openxmlformats.org/officeDocument/2006/relationships/hyperlink" Target="https://drive.google.com/open?id=1ymHWdUXl-LLVdAltc6aSmqU1Q8RH2HkH" TargetMode="External"/><Relationship Id="rId3039" Type="http://schemas.openxmlformats.org/officeDocument/2006/relationships/hyperlink" Target="https://drive.google.com/open?id=1tehKy1VoDbIOzdNuYpTbm52o-p3v8sBA" TargetMode="External"/><Relationship Id="rId1" Type="http://schemas.openxmlformats.org/officeDocument/2006/relationships/hyperlink" Target="https://drive.google.com/open?id=1v-cfYDTQqA-R55g32y0mMpJ2Xden8dLJ" TargetMode="External"/><Relationship Id="rId2" Type="http://schemas.openxmlformats.org/officeDocument/2006/relationships/hyperlink" Target="https://drive.google.com/open?id=1EEnKnPzj4BU5jvvOVf4vlRw3IDTngY6j" TargetMode="External"/><Relationship Id="rId3" Type="http://schemas.openxmlformats.org/officeDocument/2006/relationships/hyperlink" Target="https://drive.google.com/open?id=1bd8ocKNWbiY1qE9xEiaaeCRMM5-RAEM1" TargetMode="External"/><Relationship Id="rId4" Type="http://schemas.openxmlformats.org/officeDocument/2006/relationships/hyperlink" Target="https://drive.google.com/open?id=1KMM1glijqISnf_J2s7Chw-PKVClwBDzo" TargetMode="External"/><Relationship Id="rId3030" Type="http://schemas.openxmlformats.org/officeDocument/2006/relationships/hyperlink" Target="https://drive.google.com/open?id=1HZjhFNFLWmW6usJbvbqEY-ajXajTSeak" TargetMode="External"/><Relationship Id="rId9" Type="http://schemas.openxmlformats.org/officeDocument/2006/relationships/hyperlink" Target="https://drive.google.com/open?id=1rEp7-vGA12-eDqwR9-3guAOPU3x17IRj" TargetMode="External"/><Relationship Id="rId3032" Type="http://schemas.openxmlformats.org/officeDocument/2006/relationships/hyperlink" Target="https://drive.google.com/open?id=1V6iaEPCZbIX-XnMuJPbiDGiNjKoShuZD" TargetMode="External"/><Relationship Id="rId3031" Type="http://schemas.openxmlformats.org/officeDocument/2006/relationships/hyperlink" Target="https://drive.google.com/open?id=1ltCL4bf0_du2xd1mTl2KKVlosz0Y48ZS" TargetMode="External"/><Relationship Id="rId3034" Type="http://schemas.openxmlformats.org/officeDocument/2006/relationships/hyperlink" Target="https://drive.google.com/open?id=10hUedbafeidoKOVGy23qFvbkQONXLP1p" TargetMode="External"/><Relationship Id="rId3033" Type="http://schemas.openxmlformats.org/officeDocument/2006/relationships/hyperlink" Target="https://drive.google.com/open?id=1ArNNC0IN9ExYZsMul2I61eKoIfJQbEoF" TargetMode="External"/><Relationship Id="rId5" Type="http://schemas.openxmlformats.org/officeDocument/2006/relationships/hyperlink" Target="https://drive.google.com/open?id=1Umo2LS8svJPAB-3fFIgZVewcMcwe4OY8" TargetMode="External"/><Relationship Id="rId3036" Type="http://schemas.openxmlformats.org/officeDocument/2006/relationships/hyperlink" Target="https://drive.google.com/open?id=1d3P8lxEx-KZN_u5I0ui5v8mUGELl0PWq" TargetMode="External"/><Relationship Id="rId6" Type="http://schemas.openxmlformats.org/officeDocument/2006/relationships/hyperlink" Target="https://drive.google.com/open?id=1If_zKQvOp5junZ0JAq22Ln94GqwOTGvG" TargetMode="External"/><Relationship Id="rId3035" Type="http://schemas.openxmlformats.org/officeDocument/2006/relationships/hyperlink" Target="https://drive.google.com/open?id=1mnTOX0Hkt4CdHzkuy1cavRNrGOAkTiTe" TargetMode="External"/><Relationship Id="rId7" Type="http://schemas.openxmlformats.org/officeDocument/2006/relationships/hyperlink" Target="https://drive.google.com/open?id=1wDAR-QAoBMP1AFr8tN4HQP_snrdSDpFY" TargetMode="External"/><Relationship Id="rId3038" Type="http://schemas.openxmlformats.org/officeDocument/2006/relationships/hyperlink" Target="https://drive.google.com/open?id=1yd2uGcgHoWhs9BFC6uFiec692Ynf0nTo" TargetMode="External"/><Relationship Id="rId8" Type="http://schemas.openxmlformats.org/officeDocument/2006/relationships/hyperlink" Target="https://drive.google.com/open?id=1zMbcG1lRzhverF7lB1BtbGfPrsd_cgeH" TargetMode="External"/><Relationship Id="rId3037" Type="http://schemas.openxmlformats.org/officeDocument/2006/relationships/hyperlink" Target="https://drive.google.com/open?id=1kT3BaTS6cs_fMK3NGP_U_MNNbdMOGekk" TargetMode="External"/><Relationship Id="rId3029" Type="http://schemas.openxmlformats.org/officeDocument/2006/relationships/hyperlink" Target="https://drive.google.com/open?id=1d7VKzCDu0tg1HLp9BeiPF8zIVCN1kh-p" TargetMode="External"/><Relationship Id="rId3028" Type="http://schemas.openxmlformats.org/officeDocument/2006/relationships/hyperlink" Target="https://drive.google.com/open?id=1SPTwgm7EPPMOdEFni7qr0C-PP5BVdCrr" TargetMode="External"/><Relationship Id="rId3021" Type="http://schemas.openxmlformats.org/officeDocument/2006/relationships/hyperlink" Target="https://drive.google.com/open?id=1J-noms0IoevSXT1ptMLMG5ObpM3gkyCW" TargetMode="External"/><Relationship Id="rId3020" Type="http://schemas.openxmlformats.org/officeDocument/2006/relationships/hyperlink" Target="https://drive.google.com/open?id=11TwrMekVtFtj5CJlmbTpMvHKirZwnQK8" TargetMode="External"/><Relationship Id="rId3023" Type="http://schemas.openxmlformats.org/officeDocument/2006/relationships/hyperlink" Target="https://drive.google.com/open?id=1PbetIkY-v7heAFonlnsUqUD0v16OJJs6" TargetMode="External"/><Relationship Id="rId3022" Type="http://schemas.openxmlformats.org/officeDocument/2006/relationships/hyperlink" Target="https://drive.google.com/open?id=1QJH-VSXadeALBMWgydyYkSruM61NevEx" TargetMode="External"/><Relationship Id="rId3025" Type="http://schemas.openxmlformats.org/officeDocument/2006/relationships/hyperlink" Target="https://drive.google.com/open?id=1VyYq8L4Clu5TWjedCAVYKr_QzsjHyHNr" TargetMode="External"/><Relationship Id="rId3024" Type="http://schemas.openxmlformats.org/officeDocument/2006/relationships/hyperlink" Target="https://drive.google.com/open?id=1ONKS_QH29fpcXcOGsFBI4Xcwfrq9aFgi" TargetMode="External"/><Relationship Id="rId3027" Type="http://schemas.openxmlformats.org/officeDocument/2006/relationships/hyperlink" Target="https://drive.google.com/open?id=161e1J7flkxdxpmPNCzTmYJNuuW7PYlPs" TargetMode="External"/><Relationship Id="rId3026" Type="http://schemas.openxmlformats.org/officeDocument/2006/relationships/hyperlink" Target="https://drive.google.com/open?id=1VKRzjaFg3fpV18sUOF34CcyErwP6dQu-" TargetMode="External"/><Relationship Id="rId3050" Type="http://schemas.openxmlformats.org/officeDocument/2006/relationships/hyperlink" Target="https://drive.google.com/open?id=1Gg4L8PaaU_QNoo89Va3OCJ4gWBaCTrrQ" TargetMode="External"/><Relationship Id="rId3052" Type="http://schemas.openxmlformats.org/officeDocument/2006/relationships/hyperlink" Target="https://drive.google.com/open?id=18M44ym-rELM1vhCNtCzvrkszowt01pvw" TargetMode="External"/><Relationship Id="rId3051" Type="http://schemas.openxmlformats.org/officeDocument/2006/relationships/hyperlink" Target="https://drive.google.com/open?id=160Vm6KAB8xKgynkRdFZGwFYs_8osbjrR" TargetMode="External"/><Relationship Id="rId3054" Type="http://schemas.openxmlformats.org/officeDocument/2006/relationships/hyperlink" Target="https://drive.google.com/open?id=1EWUExfAF2oZO19nxV7STrBFLDlwdsUft" TargetMode="External"/><Relationship Id="rId3053" Type="http://schemas.openxmlformats.org/officeDocument/2006/relationships/hyperlink" Target="https://drive.google.com/open?id=1oExEliMLujqeFqqMBDO9lwBj8T71R6CC" TargetMode="External"/><Relationship Id="rId3056" Type="http://schemas.openxmlformats.org/officeDocument/2006/relationships/hyperlink" Target="https://drive.google.com/open?id=1IHqm9MWNYF8xMkKR2Wa7iTHCa6HNIgE-" TargetMode="External"/><Relationship Id="rId3055" Type="http://schemas.openxmlformats.org/officeDocument/2006/relationships/hyperlink" Target="https://drive.google.com/open?id=13dxS_kViprJlANBPrzf964M8IrKO233f" TargetMode="External"/><Relationship Id="rId3058" Type="http://schemas.openxmlformats.org/officeDocument/2006/relationships/hyperlink" Target="https://drive.google.com/open?id=1Uo7Ep5Cfm4If42DO1KnBPLQPVvMmoirz" TargetMode="External"/><Relationship Id="rId3057" Type="http://schemas.openxmlformats.org/officeDocument/2006/relationships/hyperlink" Target="https://drive.google.com/open?id=1pqviC2H29sze5szaMrPhSCVJ2bHKO6H9" TargetMode="External"/><Relationship Id="rId3059" Type="http://schemas.openxmlformats.org/officeDocument/2006/relationships/hyperlink" Target="https://drive.google.com/open?id=1wjSde9n4Mk31GsUhFJbg7bxT4U1L-_mt" TargetMode="External"/><Relationship Id="rId3041" Type="http://schemas.openxmlformats.org/officeDocument/2006/relationships/hyperlink" Target="https://drive.google.com/open?id=1-gcujPIkO7Rgqgp2YpPxKosOH9PA24k_" TargetMode="External"/><Relationship Id="rId3040" Type="http://schemas.openxmlformats.org/officeDocument/2006/relationships/hyperlink" Target="https://drive.google.com/open?id=1Menfqp7humfor0vJA-CvsQrQN5SeLwOu" TargetMode="External"/><Relationship Id="rId3043" Type="http://schemas.openxmlformats.org/officeDocument/2006/relationships/hyperlink" Target="https://drive.google.com/open?id=1dphC1Al8SBeisyK3T9SnQoV5mbRTvX05" TargetMode="External"/><Relationship Id="rId3042" Type="http://schemas.openxmlformats.org/officeDocument/2006/relationships/hyperlink" Target="https://drive.google.com/open?id=1ObUeJwckdOSu6yVBWgsU3uW4czSVjofN" TargetMode="External"/><Relationship Id="rId3045" Type="http://schemas.openxmlformats.org/officeDocument/2006/relationships/hyperlink" Target="https://drive.google.com/open?id=1ynY9ANi1gA4JKS66N153csJWpDqaqY87" TargetMode="External"/><Relationship Id="rId3044" Type="http://schemas.openxmlformats.org/officeDocument/2006/relationships/hyperlink" Target="https://drive.google.com/open?id=1o8Y3yNqm3PibzkAMEPyBp4qDbVTqpqMd" TargetMode="External"/><Relationship Id="rId3047" Type="http://schemas.openxmlformats.org/officeDocument/2006/relationships/hyperlink" Target="https://drive.google.com/open?id=1CUUuMCneKAxGtVMkctWrlHeBL7VhjKn6" TargetMode="External"/><Relationship Id="rId3046" Type="http://schemas.openxmlformats.org/officeDocument/2006/relationships/hyperlink" Target="https://drive.google.com/open?id=1hXubOfEqU9pebDtEhB7VaDItN0klwTPi" TargetMode="External"/><Relationship Id="rId3049" Type="http://schemas.openxmlformats.org/officeDocument/2006/relationships/hyperlink" Target="https://drive.google.com/open?id=1W0bIPWAEhI9jSDnBZCsUtdhvuzZGA6oH" TargetMode="External"/><Relationship Id="rId3048" Type="http://schemas.openxmlformats.org/officeDocument/2006/relationships/hyperlink" Target="https://drive.google.com/open?id=1yDD8cCsv2JYwfbkaql-sWtcmpIkq3Y6f" TargetMode="External"/><Relationship Id="rId2600" Type="http://schemas.openxmlformats.org/officeDocument/2006/relationships/hyperlink" Target="https://drive.google.com/open?id=1HlAxPtIejnHjSiRTedy7Y4g7IvsLveGI" TargetMode="External"/><Relationship Id="rId2601" Type="http://schemas.openxmlformats.org/officeDocument/2006/relationships/hyperlink" Target="https://drive.google.com/open?id=1dXooKcApLzapfTSMyeTxOFyTIYuAUPnG" TargetMode="External"/><Relationship Id="rId2602" Type="http://schemas.openxmlformats.org/officeDocument/2006/relationships/hyperlink" Target="https://drive.google.com/open?id=1p3QIakO7SsphYE24dj18bv3WQ30rv8WW" TargetMode="External"/><Relationship Id="rId2603" Type="http://schemas.openxmlformats.org/officeDocument/2006/relationships/hyperlink" Target="https://drive.google.com/open?id=1TBKhodcuefmZAjpJOkHKfpl8E43jVy2J" TargetMode="External"/><Relationship Id="rId2604" Type="http://schemas.openxmlformats.org/officeDocument/2006/relationships/hyperlink" Target="https://drive.google.com/open?id=1w6CzgHrVQORMsbMGkGPA5S6zr6iq14rv" TargetMode="External"/><Relationship Id="rId2605" Type="http://schemas.openxmlformats.org/officeDocument/2006/relationships/hyperlink" Target="https://drive.google.com/open?id=1_Y91k0v0f8G6o3-kjweP9tiZUmw3R8Jv" TargetMode="External"/><Relationship Id="rId2606" Type="http://schemas.openxmlformats.org/officeDocument/2006/relationships/hyperlink" Target="https://drive.google.com/open?id=1Ts0b2y9yL5kcJopKBiku-9I52_GFTnY6" TargetMode="External"/><Relationship Id="rId808" Type="http://schemas.openxmlformats.org/officeDocument/2006/relationships/hyperlink" Target="https://drive.google.com/open?id=1nwLk8v_B6KSI2Zy3_Pu6yLboBLclV4B7" TargetMode="External"/><Relationship Id="rId2607" Type="http://schemas.openxmlformats.org/officeDocument/2006/relationships/hyperlink" Target="https://drive.google.com/open?id=1n98qCdxLGa9s1mkI1cn5RYh91qGdy6Zk" TargetMode="External"/><Relationship Id="rId807" Type="http://schemas.openxmlformats.org/officeDocument/2006/relationships/hyperlink" Target="https://drive.google.com/open?id=10doB0PnY4BULiSFOSs-ttKpkaRBl5_0y" TargetMode="External"/><Relationship Id="rId2608" Type="http://schemas.openxmlformats.org/officeDocument/2006/relationships/hyperlink" Target="https://drive.google.com/open?id=1qAbVTvhe5uaTA1-jDlLUHjitgSY_35WB" TargetMode="External"/><Relationship Id="rId806" Type="http://schemas.openxmlformats.org/officeDocument/2006/relationships/hyperlink" Target="https://drive.google.com/open?id=12JqRB2g_llCEOatTJc4F2dW-c5SUPAVV" TargetMode="External"/><Relationship Id="rId2609" Type="http://schemas.openxmlformats.org/officeDocument/2006/relationships/hyperlink" Target="https://drive.google.com/open?id=1s6eZxzpbCWdyh6oWUE1DTDNVvtGISgtO" TargetMode="External"/><Relationship Id="rId805" Type="http://schemas.openxmlformats.org/officeDocument/2006/relationships/hyperlink" Target="https://drive.google.com/open?id=13wjK0Onquth7FvwLSq5FvwGwbfcvcd-a" TargetMode="External"/><Relationship Id="rId809" Type="http://schemas.openxmlformats.org/officeDocument/2006/relationships/hyperlink" Target="https://drive.google.com/open?id=1bOnR7fKayXYfaYsol1cYurSs3cdGGAfT" TargetMode="External"/><Relationship Id="rId800" Type="http://schemas.openxmlformats.org/officeDocument/2006/relationships/hyperlink" Target="https://drive.google.com/open?id=15AHFmymLPmboa1tKu7USv-PDztE-bS6n" TargetMode="External"/><Relationship Id="rId804" Type="http://schemas.openxmlformats.org/officeDocument/2006/relationships/hyperlink" Target="https://drive.google.com/open?id=1ofMJCK527EubO5RiEfODuuIGR8D6BDsy" TargetMode="External"/><Relationship Id="rId803" Type="http://schemas.openxmlformats.org/officeDocument/2006/relationships/hyperlink" Target="https://drive.google.com/open?id=1JIAUwQmv4pyVGQykTVUkK8bGfcRVL0es" TargetMode="External"/><Relationship Id="rId802" Type="http://schemas.openxmlformats.org/officeDocument/2006/relationships/hyperlink" Target="https://drive.google.com/open?id=1zCalL1pD83NJ-SmePIjjNo8TMkAEGE3U" TargetMode="External"/><Relationship Id="rId801" Type="http://schemas.openxmlformats.org/officeDocument/2006/relationships/hyperlink" Target="https://drive.google.com/open?id=1Y57XKDdy0UrYkfwTQ3ajuDDG2p1CmSM6" TargetMode="External"/><Relationship Id="rId1334" Type="http://schemas.openxmlformats.org/officeDocument/2006/relationships/hyperlink" Target="https://drive.google.com/open?id=1Yxto8ir8LHdYA3UCL9RPoyBYGoMU9-LQ" TargetMode="External"/><Relationship Id="rId2665" Type="http://schemas.openxmlformats.org/officeDocument/2006/relationships/hyperlink" Target="https://drive.google.com/open?id=1foSH_LE76hi9OZlNrbD_ZnlxfHloPqEt" TargetMode="External"/><Relationship Id="rId1335" Type="http://schemas.openxmlformats.org/officeDocument/2006/relationships/hyperlink" Target="https://drive.google.com/open?id=1OZV6plChzNEIGDbqY17PvmkdHp2IiiqC" TargetMode="External"/><Relationship Id="rId2666" Type="http://schemas.openxmlformats.org/officeDocument/2006/relationships/hyperlink" Target="https://drive.google.com/open?id=1D8e6TX1jEogFFXmcJB1UEGcyypx-02ee" TargetMode="External"/><Relationship Id="rId1336" Type="http://schemas.openxmlformats.org/officeDocument/2006/relationships/hyperlink" Target="https://drive.google.com/open?id=1qg5dFNSwiNa_yg99Sbdm8UDBkiNw4ISl" TargetMode="External"/><Relationship Id="rId2667" Type="http://schemas.openxmlformats.org/officeDocument/2006/relationships/hyperlink" Target="https://drive.google.com/open?id=1kG7AMsxzMNHeVtr-pTC4p1zqPuivyPkV" TargetMode="External"/><Relationship Id="rId1337" Type="http://schemas.openxmlformats.org/officeDocument/2006/relationships/hyperlink" Target="https://drive.google.com/open?id=1LPjbZH6cse4k1pwowAbQvbJNTvIK_qwR" TargetMode="External"/><Relationship Id="rId2668" Type="http://schemas.openxmlformats.org/officeDocument/2006/relationships/hyperlink" Target="https://drive.google.com/open?id=1Yg9h7sPZtidP3PU5d820VI5gJlCFkUQu" TargetMode="External"/><Relationship Id="rId1338" Type="http://schemas.openxmlformats.org/officeDocument/2006/relationships/hyperlink" Target="https://drive.google.com/open?id=1Jq5KB7AnQrdHt60KNc052Yow5MZikfUm" TargetMode="External"/><Relationship Id="rId2669" Type="http://schemas.openxmlformats.org/officeDocument/2006/relationships/hyperlink" Target="https://drive.google.com/open?id=10wevJijWCdT3XhkBB6o-4Z5kKS8fipM_" TargetMode="External"/><Relationship Id="rId1339" Type="http://schemas.openxmlformats.org/officeDocument/2006/relationships/hyperlink" Target="https://drive.google.com/open?id=1U5v51gUJZhRFEuCcfL2cIE3ruH7C5XVl" TargetMode="External"/><Relationship Id="rId745" Type="http://schemas.openxmlformats.org/officeDocument/2006/relationships/hyperlink" Target="https://drive.google.com/open?id=1WhQwjBolxv1P3-iZwxwNSKXLp6Zxb3aI" TargetMode="External"/><Relationship Id="rId744" Type="http://schemas.openxmlformats.org/officeDocument/2006/relationships/hyperlink" Target="https://drive.google.com/open?id=10RJZo2Fb_zvXeQ0FjO0vuS52XlPDuwVA" TargetMode="External"/><Relationship Id="rId743" Type="http://schemas.openxmlformats.org/officeDocument/2006/relationships/hyperlink" Target="https://drive.google.com/open?id=1vR4anxPsTTHSNpEbt0mW37NuxM29dRXd" TargetMode="External"/><Relationship Id="rId742" Type="http://schemas.openxmlformats.org/officeDocument/2006/relationships/hyperlink" Target="https://drive.google.com/open?id=1s7TDpf4t0PXhmvBec0Hnfv7xjqaMTuCV" TargetMode="External"/><Relationship Id="rId749" Type="http://schemas.openxmlformats.org/officeDocument/2006/relationships/hyperlink" Target="https://drive.google.com/open?id=1CzWN7W6XpMj3MzVRtYu4Iib6jdGNXksB" TargetMode="External"/><Relationship Id="rId748" Type="http://schemas.openxmlformats.org/officeDocument/2006/relationships/hyperlink" Target="https://drive.google.com/open?id=1W7JVCNN3y7ORrCkJQJvZHQ7knfSDU_kK" TargetMode="External"/><Relationship Id="rId747" Type="http://schemas.openxmlformats.org/officeDocument/2006/relationships/hyperlink" Target="https://drive.google.com/open?id=147A3i8l0b5xGL6iG338i9WAJH7_dmuzL" TargetMode="External"/><Relationship Id="rId746" Type="http://schemas.openxmlformats.org/officeDocument/2006/relationships/hyperlink" Target="https://drive.google.com/open?id=1KPemmwjV-hbO_Sjua6xgIdqn1qz521yf" TargetMode="External"/><Relationship Id="rId2660" Type="http://schemas.openxmlformats.org/officeDocument/2006/relationships/hyperlink" Target="https://drive.google.com/open?id=1E3dXeKws04uqm16jNzE6A4cDwt9tJMb_" TargetMode="External"/><Relationship Id="rId741" Type="http://schemas.openxmlformats.org/officeDocument/2006/relationships/hyperlink" Target="https://drive.google.com/open?id=1F5EBHnvfHlklIGMLBvQFoqwW05to6JNo" TargetMode="External"/><Relationship Id="rId1330" Type="http://schemas.openxmlformats.org/officeDocument/2006/relationships/hyperlink" Target="https://drive.google.com/open?id=1y3Bij2YB2ISswNHobY4wAEeaNOgghLA4" TargetMode="External"/><Relationship Id="rId2661" Type="http://schemas.openxmlformats.org/officeDocument/2006/relationships/hyperlink" Target="https://drive.google.com/open?id=1H81ZmnYHREmKP49q4k109YQ4ZCE4RV6H" TargetMode="External"/><Relationship Id="rId740" Type="http://schemas.openxmlformats.org/officeDocument/2006/relationships/hyperlink" Target="https://drive.google.com/open?id=1qfaD4rvVMBsGRcrIWr2RHrPiuODsQAyX" TargetMode="External"/><Relationship Id="rId1331" Type="http://schemas.openxmlformats.org/officeDocument/2006/relationships/hyperlink" Target="https://drive.google.com/open?id=1Zfyu3oeDJ1g1lcR4aypiWJTwYIHJ5wGA" TargetMode="External"/><Relationship Id="rId2662" Type="http://schemas.openxmlformats.org/officeDocument/2006/relationships/hyperlink" Target="https://drive.google.com/open?id=1_VkJWs0affLPcRLfFGMLxm0EZwXYFuxQ" TargetMode="External"/><Relationship Id="rId1332" Type="http://schemas.openxmlformats.org/officeDocument/2006/relationships/hyperlink" Target="https://drive.google.com/open?id=1m6iQ1hWyYsnNn0Byn0hvKT32wDbvvCRe" TargetMode="External"/><Relationship Id="rId2663" Type="http://schemas.openxmlformats.org/officeDocument/2006/relationships/hyperlink" Target="https://drive.google.com/open?id=1U3kfqJ7KQKK5kp04KCG6ogDp08V0R13v" TargetMode="External"/><Relationship Id="rId1333" Type="http://schemas.openxmlformats.org/officeDocument/2006/relationships/hyperlink" Target="https://drive.google.com/open?id=19xD-Mw3j80EOo5LOBWM-eya3CHM0hI8-" TargetMode="External"/><Relationship Id="rId2664" Type="http://schemas.openxmlformats.org/officeDocument/2006/relationships/hyperlink" Target="https://drive.google.com/open?id=1KyBK21AlRM_L9Zxc0U5fSCpi2vhGQxja" TargetMode="External"/><Relationship Id="rId1323" Type="http://schemas.openxmlformats.org/officeDocument/2006/relationships/hyperlink" Target="https://drive.google.com/open?id=1hCyGFfI0Atmq2ay-c8goRdoPjNgD-g3p" TargetMode="External"/><Relationship Id="rId2654" Type="http://schemas.openxmlformats.org/officeDocument/2006/relationships/hyperlink" Target="https://drive.google.com/open?id=1YknJBlsrLs-OCG2biEy3830uTvJzZgAa" TargetMode="External"/><Relationship Id="rId1324" Type="http://schemas.openxmlformats.org/officeDocument/2006/relationships/hyperlink" Target="https://drive.google.com/open?id=1PBkXfDMAjIOyC1gDKGRGUmF6KDSYFJQu" TargetMode="External"/><Relationship Id="rId2655" Type="http://schemas.openxmlformats.org/officeDocument/2006/relationships/hyperlink" Target="https://drive.google.com/open?id=1BYgPrV8PKcALvuXKc_O_W7ZXBkakMnWO" TargetMode="External"/><Relationship Id="rId1325" Type="http://schemas.openxmlformats.org/officeDocument/2006/relationships/hyperlink" Target="https://drive.google.com/open?id=1JmlGICfr3mizAaPm7wIYm1P1SqaYPaHw" TargetMode="External"/><Relationship Id="rId2656" Type="http://schemas.openxmlformats.org/officeDocument/2006/relationships/hyperlink" Target="https://drive.google.com/open?id=1GErJ_aj0mOh0st1kkQIvgxLLRjHeGvBT" TargetMode="External"/><Relationship Id="rId1326" Type="http://schemas.openxmlformats.org/officeDocument/2006/relationships/hyperlink" Target="https://drive.google.com/open?id=1FprQisaB_NnsWpFTlAGohm8vT6xbBwDJ" TargetMode="External"/><Relationship Id="rId2657" Type="http://schemas.openxmlformats.org/officeDocument/2006/relationships/hyperlink" Target="https://drive.google.com/open?id=1V8N3eMQiypSbg6WeoonsKklo2wOIg20Q" TargetMode="External"/><Relationship Id="rId1327" Type="http://schemas.openxmlformats.org/officeDocument/2006/relationships/hyperlink" Target="https://drive.google.com/open?id=1zmb1VWAu2ZVreofWy1pp2Kwwt24ove7z" TargetMode="External"/><Relationship Id="rId2658" Type="http://schemas.openxmlformats.org/officeDocument/2006/relationships/hyperlink" Target="https://drive.google.com/open?id=1JD6V2irtifvEJnSho-9wAU-A-kNHGz6T" TargetMode="External"/><Relationship Id="rId1328" Type="http://schemas.openxmlformats.org/officeDocument/2006/relationships/hyperlink" Target="https://drive.google.com/open?id=1TPQHcwxa1z0195dFJHZuFsInskKIx0_t" TargetMode="External"/><Relationship Id="rId2659" Type="http://schemas.openxmlformats.org/officeDocument/2006/relationships/hyperlink" Target="https://drive.google.com/open?id=1ZOZIchVKejW1cQHSOTm_3En6374KMU85" TargetMode="External"/><Relationship Id="rId1329" Type="http://schemas.openxmlformats.org/officeDocument/2006/relationships/hyperlink" Target="https://drive.google.com/open?id=1wRpI9BAJs_EqpeeMR3TsLgQpcOCns6fK" TargetMode="External"/><Relationship Id="rId739" Type="http://schemas.openxmlformats.org/officeDocument/2006/relationships/hyperlink" Target="https://drive.google.com/open?id=1wGrct-d_ElIuejjaVWrIPpD1tpNb4T_d" TargetMode="External"/><Relationship Id="rId734" Type="http://schemas.openxmlformats.org/officeDocument/2006/relationships/hyperlink" Target="https://drive.google.com/open?id=1RQJJDOSrAnG2Bt9X_fgjItbyVu3H36hy" TargetMode="External"/><Relationship Id="rId733" Type="http://schemas.openxmlformats.org/officeDocument/2006/relationships/hyperlink" Target="https://drive.google.com/open?id=1fAnt2bB0hpsRbmVm9c3HsPQ3EghHESoH" TargetMode="External"/><Relationship Id="rId732" Type="http://schemas.openxmlformats.org/officeDocument/2006/relationships/hyperlink" Target="https://drive.google.com/open?id=1qWNMX0Q-VgbwMFAJtOAUOimC4Lsycaal" TargetMode="External"/><Relationship Id="rId731" Type="http://schemas.openxmlformats.org/officeDocument/2006/relationships/hyperlink" Target="https://drive.google.com/open?id=1AhMY1zapdXQhW5qJPBlZs5GiEkpQWltX" TargetMode="External"/><Relationship Id="rId738" Type="http://schemas.openxmlformats.org/officeDocument/2006/relationships/hyperlink" Target="https://drive.google.com/open?id=14wsW7xmiOwQgvAvQ1mErVW-P_Zhz9BRl" TargetMode="External"/><Relationship Id="rId737" Type="http://schemas.openxmlformats.org/officeDocument/2006/relationships/hyperlink" Target="https://drive.google.com/open?id=1_FQmbvBNiJHfm-cWIL8c-xKXPTj2M-QU" TargetMode="External"/><Relationship Id="rId736" Type="http://schemas.openxmlformats.org/officeDocument/2006/relationships/hyperlink" Target="https://drive.google.com/open?id=1PLRbu8hW07mberQ7X-8Yx0NrlU2CMALR" TargetMode="External"/><Relationship Id="rId735" Type="http://schemas.openxmlformats.org/officeDocument/2006/relationships/hyperlink" Target="https://drive.google.com/open?id=1c34fGhIsxE6Dq0viZqhRa9Ektb65nhg1" TargetMode="External"/><Relationship Id="rId730" Type="http://schemas.openxmlformats.org/officeDocument/2006/relationships/hyperlink" Target="https://drive.google.com/open?id=1TKc8_WJ5GI9s30kb-B7ct30K9i7JkLBV" TargetMode="External"/><Relationship Id="rId2650" Type="http://schemas.openxmlformats.org/officeDocument/2006/relationships/hyperlink" Target="https://drive.google.com/open?id=1uJMvo73gnbtoyT0GxjtFwRGWWwWRLQTo" TargetMode="External"/><Relationship Id="rId1320" Type="http://schemas.openxmlformats.org/officeDocument/2006/relationships/hyperlink" Target="https://drive.google.com/open?id=16ZNvwqDVVAdDDn2Cb60cyCAgyr-Or6wU" TargetMode="External"/><Relationship Id="rId2651" Type="http://schemas.openxmlformats.org/officeDocument/2006/relationships/hyperlink" Target="https://drive.google.com/open?id=1WH11yXdR-q5b6jsiPN7Uf9NMW1r8ixQo" TargetMode="External"/><Relationship Id="rId1321" Type="http://schemas.openxmlformats.org/officeDocument/2006/relationships/hyperlink" Target="https://drive.google.com/open?id=1Hhobu6-3Cvv6tBRnt0_NsvIevblwhOhx" TargetMode="External"/><Relationship Id="rId2652" Type="http://schemas.openxmlformats.org/officeDocument/2006/relationships/hyperlink" Target="https://drive.google.com/open?id=1-UI8gtJZqzNDMH4C2CF9DAueZDlpMh31" TargetMode="External"/><Relationship Id="rId1322" Type="http://schemas.openxmlformats.org/officeDocument/2006/relationships/hyperlink" Target="https://drive.google.com/open?id=1ZHGy6rLDwc2yCrVd-ArH6kCA5PSWSZZq" TargetMode="External"/><Relationship Id="rId2653" Type="http://schemas.openxmlformats.org/officeDocument/2006/relationships/hyperlink" Target="https://drive.google.com/open?id=1TP3_wf6CdgSJt0UPDiH1izDONb0p23Fb" TargetMode="External"/><Relationship Id="rId1356" Type="http://schemas.openxmlformats.org/officeDocument/2006/relationships/hyperlink" Target="https://drive.google.com/open?id=1AX1XmjZ0K2-JX3ZN0yn1wnvabQzXkXke" TargetMode="External"/><Relationship Id="rId2687" Type="http://schemas.openxmlformats.org/officeDocument/2006/relationships/hyperlink" Target="https://drive.google.com/open?id=15h_y-v5HCGh3Y_-aX3ZodGSlv2fZSPqf" TargetMode="External"/><Relationship Id="rId1357" Type="http://schemas.openxmlformats.org/officeDocument/2006/relationships/hyperlink" Target="https://drive.google.com/open?id=1fBgIDDOJMjHTWVcqac5uMSU-OPHK0FAI" TargetMode="External"/><Relationship Id="rId2688" Type="http://schemas.openxmlformats.org/officeDocument/2006/relationships/hyperlink" Target="https://drive.google.com/open?id=1ygL0BR8lnX9CLIxHDROMitaagt3AFk5m" TargetMode="External"/><Relationship Id="rId1358" Type="http://schemas.openxmlformats.org/officeDocument/2006/relationships/hyperlink" Target="https://drive.google.com/open?id=1IXlxdwhw8G4XqoQ8WYFb2KVKaw92OCW0" TargetMode="External"/><Relationship Id="rId2689" Type="http://schemas.openxmlformats.org/officeDocument/2006/relationships/hyperlink" Target="https://drive.google.com/open?id=1jsG3HNGbCUtCHyXgBftsDOqQJvFK6iYP" TargetMode="External"/><Relationship Id="rId1359" Type="http://schemas.openxmlformats.org/officeDocument/2006/relationships/hyperlink" Target="https://drive.google.com/open?id=1H0d-4RrvwOWO7qmYgY_9SCXqUF0eHTSC" TargetMode="External"/><Relationship Id="rId767" Type="http://schemas.openxmlformats.org/officeDocument/2006/relationships/hyperlink" Target="https://drive.google.com/open?id=1ydTwy5d5yON96LFgG_xWtr8BgpPr9UqY" TargetMode="External"/><Relationship Id="rId766" Type="http://schemas.openxmlformats.org/officeDocument/2006/relationships/hyperlink" Target="https://drive.google.com/open?id=16RfOmmtMZaDVIz3_cI9fWv4IAVE3Gd_D" TargetMode="External"/><Relationship Id="rId765" Type="http://schemas.openxmlformats.org/officeDocument/2006/relationships/hyperlink" Target="https://drive.google.com/open?id=1PepMtPJaQ4HdwWClrYIyyXj-8W6e9v8J" TargetMode="External"/><Relationship Id="rId764" Type="http://schemas.openxmlformats.org/officeDocument/2006/relationships/hyperlink" Target="https://drive.google.com/open?id=1RWRp6IyMAO-YHVIG-05zqGiEev27_zS_" TargetMode="External"/><Relationship Id="rId769" Type="http://schemas.openxmlformats.org/officeDocument/2006/relationships/hyperlink" Target="https://drive.google.com/open?id=1SBwg2EDI0AZIxqIZK4oSHGIeFYFvrgc-" TargetMode="External"/><Relationship Id="rId768" Type="http://schemas.openxmlformats.org/officeDocument/2006/relationships/hyperlink" Target="https://drive.google.com/open?id=1tNe2C-cBhT5mB8tazXEa0Gre9i4CAwqc" TargetMode="External"/><Relationship Id="rId2680" Type="http://schemas.openxmlformats.org/officeDocument/2006/relationships/hyperlink" Target="https://drive.google.com/open?id=1CGhqGDFNK0JadWcAgjrsiZLmloaRNpVu" TargetMode="External"/><Relationship Id="rId1350" Type="http://schemas.openxmlformats.org/officeDocument/2006/relationships/hyperlink" Target="https://drive.google.com/open?id=1ET7QWbFIsF1RVEe1QTRaxu_uoMtuB78R" TargetMode="External"/><Relationship Id="rId2681" Type="http://schemas.openxmlformats.org/officeDocument/2006/relationships/hyperlink" Target="https://drive.google.com/open?id=1DqRerPLYc6ZDOCfs_xFs-GkFIeUrepTU" TargetMode="External"/><Relationship Id="rId1351" Type="http://schemas.openxmlformats.org/officeDocument/2006/relationships/hyperlink" Target="https://drive.google.com/open?id=18leqT4wfSGFWY6ILYm3SrDwnSCep6QM9" TargetMode="External"/><Relationship Id="rId2682" Type="http://schemas.openxmlformats.org/officeDocument/2006/relationships/hyperlink" Target="https://drive.google.com/open?id=1L7uiS8JyPjgMgugyZ3BOleQJjqgilI_2" TargetMode="External"/><Relationship Id="rId763" Type="http://schemas.openxmlformats.org/officeDocument/2006/relationships/hyperlink" Target="https://drive.google.com/open?id=1JB8VN81ajHInNp8W5fpIizn4xzesln2K" TargetMode="External"/><Relationship Id="rId1352" Type="http://schemas.openxmlformats.org/officeDocument/2006/relationships/hyperlink" Target="https://drive.google.com/open?id=1h4SJ6twsSOSzKXcFs0sKsmquftcxpmlV" TargetMode="External"/><Relationship Id="rId2683" Type="http://schemas.openxmlformats.org/officeDocument/2006/relationships/hyperlink" Target="https://drive.google.com/open?id=14Q2IDQS9ookbQgGDJbYb53tuWijHv9W-" TargetMode="External"/><Relationship Id="rId762" Type="http://schemas.openxmlformats.org/officeDocument/2006/relationships/hyperlink" Target="https://drive.google.com/open?id=11nnWT_gC9Zk2o0q60_leigXgHIzesxaT" TargetMode="External"/><Relationship Id="rId1353" Type="http://schemas.openxmlformats.org/officeDocument/2006/relationships/hyperlink" Target="https://drive.google.com/open?id=1UpLEkNjvYf4lBFCsL90gqcFwNmak8NLr" TargetMode="External"/><Relationship Id="rId2684" Type="http://schemas.openxmlformats.org/officeDocument/2006/relationships/hyperlink" Target="https://drive.google.com/open?id=1DTSa21851iON5sxkwp01kxT_ATypgi3L" TargetMode="External"/><Relationship Id="rId761" Type="http://schemas.openxmlformats.org/officeDocument/2006/relationships/hyperlink" Target="https://drive.google.com/open?id=1VJM46XMa9ka152CiBY8-I1UCvq_lhMDV" TargetMode="External"/><Relationship Id="rId1354" Type="http://schemas.openxmlformats.org/officeDocument/2006/relationships/hyperlink" Target="https://drive.google.com/open?id=1HJ5Ngx8QAaPmxfx_z0R72DRBACstfd3m" TargetMode="External"/><Relationship Id="rId2685" Type="http://schemas.openxmlformats.org/officeDocument/2006/relationships/hyperlink" Target="https://drive.google.com/open?id=1u6rF6iRgVRP4DKn6Tz9sjY_fulyvGzaL" TargetMode="External"/><Relationship Id="rId760" Type="http://schemas.openxmlformats.org/officeDocument/2006/relationships/hyperlink" Target="https://drive.google.com/open?id=1mpY0E5HvSznvfzn2Ytb1nfCgX_Klp3jB" TargetMode="External"/><Relationship Id="rId1355" Type="http://schemas.openxmlformats.org/officeDocument/2006/relationships/hyperlink" Target="https://drive.google.com/open?id=1Tj3TFPeWpERTAXmNcKWlOAAQpCBf-2v0" TargetMode="External"/><Relationship Id="rId2686" Type="http://schemas.openxmlformats.org/officeDocument/2006/relationships/hyperlink" Target="https://drive.google.com/open?id=1SNCHkjvFEfo4PMI6P_JsrEnhYvVMlIqC" TargetMode="External"/><Relationship Id="rId1345" Type="http://schemas.openxmlformats.org/officeDocument/2006/relationships/hyperlink" Target="https://drive.google.com/open?id=1lNsPnzm-GyItAEMqHpueaoQObl7q5GEc" TargetMode="External"/><Relationship Id="rId2676" Type="http://schemas.openxmlformats.org/officeDocument/2006/relationships/hyperlink" Target="https://drive.google.com/open?id=1ffMeZ8ZUWbFYNx8NGKGyIyJZ0wg1zdbi" TargetMode="External"/><Relationship Id="rId1346" Type="http://schemas.openxmlformats.org/officeDocument/2006/relationships/hyperlink" Target="https://drive.google.com/open?id=1dYifVrqnJXtlXQTSsqpy7lweHvUWpqYq" TargetMode="External"/><Relationship Id="rId2677" Type="http://schemas.openxmlformats.org/officeDocument/2006/relationships/hyperlink" Target="https://drive.google.com/open?id=1HoMtP_TD8Q9jehZ84pYMfFgows32qYlT" TargetMode="External"/><Relationship Id="rId1347" Type="http://schemas.openxmlformats.org/officeDocument/2006/relationships/hyperlink" Target="https://drive.google.com/open?id=1DoLZMG-c173vVgww8-ihaHpm9ZfJcnUj" TargetMode="External"/><Relationship Id="rId2678" Type="http://schemas.openxmlformats.org/officeDocument/2006/relationships/hyperlink" Target="https://drive.google.com/open?id=1XBbNXN7O2u3FDHPSVt94pYGl_mWUOpEw" TargetMode="External"/><Relationship Id="rId1348" Type="http://schemas.openxmlformats.org/officeDocument/2006/relationships/hyperlink" Target="https://drive.google.com/open?id=1xuHb9NcKWcmXLIiRpKAB4w9iGV1QLodp" TargetMode="External"/><Relationship Id="rId2679" Type="http://schemas.openxmlformats.org/officeDocument/2006/relationships/hyperlink" Target="https://drive.google.com/open?id=1Jw7D4a3843J44fnOj7rQ4ZtTGiJAyG1M" TargetMode="External"/><Relationship Id="rId1349" Type="http://schemas.openxmlformats.org/officeDocument/2006/relationships/hyperlink" Target="https://drive.google.com/open?id=17xTdqc4MZaAYB-M4xFLVMVM8eyTJSVcw" TargetMode="External"/><Relationship Id="rId756" Type="http://schemas.openxmlformats.org/officeDocument/2006/relationships/hyperlink" Target="https://drive.google.com/open?id=12X1ks2Ks0VWTmmaHNlw4sJFksy-tMsoY" TargetMode="External"/><Relationship Id="rId755" Type="http://schemas.openxmlformats.org/officeDocument/2006/relationships/hyperlink" Target="https://drive.google.com/open?id=13Ac4TSojQi3Bh8LdU2nexMSM29lyAHTK" TargetMode="External"/><Relationship Id="rId754" Type="http://schemas.openxmlformats.org/officeDocument/2006/relationships/hyperlink" Target="https://drive.google.com/open?id=1xvtyoVBJpbi9P-Kz8lWwYC8oaoK1GZUC" TargetMode="External"/><Relationship Id="rId753" Type="http://schemas.openxmlformats.org/officeDocument/2006/relationships/hyperlink" Target="https://drive.google.com/open?id=1KIU3W_VGWAzezqtBH2vOkfn1RxectMWO" TargetMode="External"/><Relationship Id="rId759" Type="http://schemas.openxmlformats.org/officeDocument/2006/relationships/hyperlink" Target="https://drive.google.com/open?id=1GJEGGydGqzvxxRX2-QfPtRtQV9ISe4EB" TargetMode="External"/><Relationship Id="rId758" Type="http://schemas.openxmlformats.org/officeDocument/2006/relationships/hyperlink" Target="https://drive.google.com/open?id=1r4W3Mh5GoBlRouQ4XbCSFQbkz7JpqTRY" TargetMode="External"/><Relationship Id="rId757" Type="http://schemas.openxmlformats.org/officeDocument/2006/relationships/hyperlink" Target="https://drive.google.com/open?id=1mCrm6VxtFa3rsTt03MIUDmGv_WD-R7rs" TargetMode="External"/><Relationship Id="rId2670" Type="http://schemas.openxmlformats.org/officeDocument/2006/relationships/hyperlink" Target="https://drive.google.com/open?id=1muNdl4juVvqDIq1JiywNQK_U-9vZyyef" TargetMode="External"/><Relationship Id="rId1340" Type="http://schemas.openxmlformats.org/officeDocument/2006/relationships/hyperlink" Target="https://drive.google.com/open?id=1cnYgm-D7KWAqL-9zsSj0LLu2qa9MC5b9" TargetMode="External"/><Relationship Id="rId2671" Type="http://schemas.openxmlformats.org/officeDocument/2006/relationships/hyperlink" Target="https://drive.google.com/open?id=12WzUUpNuxGn4bqKZ8NRlHPr4YD4WOJGX" TargetMode="External"/><Relationship Id="rId752" Type="http://schemas.openxmlformats.org/officeDocument/2006/relationships/hyperlink" Target="https://drive.google.com/open?id=15gDZo2ZxuAwgtdXbnL4WCKyqO9ah4lnz" TargetMode="External"/><Relationship Id="rId1341" Type="http://schemas.openxmlformats.org/officeDocument/2006/relationships/hyperlink" Target="https://drive.google.com/open?id=1UE2yPcQ9QssjTZhpQ_eA0RT1Ki1VGZ1j" TargetMode="External"/><Relationship Id="rId2672" Type="http://schemas.openxmlformats.org/officeDocument/2006/relationships/hyperlink" Target="https://drive.google.com/open?id=1m9pUH26KeUD6Q8apxo0NC4F07D1EAknI" TargetMode="External"/><Relationship Id="rId751" Type="http://schemas.openxmlformats.org/officeDocument/2006/relationships/hyperlink" Target="https://drive.google.com/open?id=1OQOo4CxFbyRNvnrIKIvPiwdjaNHP_r8e" TargetMode="External"/><Relationship Id="rId1342" Type="http://schemas.openxmlformats.org/officeDocument/2006/relationships/hyperlink" Target="https://drive.google.com/open?id=1pze5HUgVeQXadNvhw6DjSIdXp2QK4e75" TargetMode="External"/><Relationship Id="rId2673" Type="http://schemas.openxmlformats.org/officeDocument/2006/relationships/hyperlink" Target="https://drive.google.com/open?id=10Vfr_jL3E8RBZcmxCL2X8wzcdhPThnzU" TargetMode="External"/><Relationship Id="rId750" Type="http://schemas.openxmlformats.org/officeDocument/2006/relationships/hyperlink" Target="https://drive.google.com/open?id=1ZfkeU3z-4nDGbjd566Ttlo9i-CfS3Fp0" TargetMode="External"/><Relationship Id="rId1343" Type="http://schemas.openxmlformats.org/officeDocument/2006/relationships/hyperlink" Target="https://drive.google.com/open?id=11G9mvr_2HKhS3i6g7oycaSjIrRtjFJiq" TargetMode="External"/><Relationship Id="rId2674" Type="http://schemas.openxmlformats.org/officeDocument/2006/relationships/hyperlink" Target="https://drive.google.com/open?id=1170p85EzO86CDb6hYYnEnOWTMwqxi9O9" TargetMode="External"/><Relationship Id="rId1344" Type="http://schemas.openxmlformats.org/officeDocument/2006/relationships/hyperlink" Target="https://drive.google.com/open?id=1iqeG_YhGEe9FgvE4pKi6pvvoIZLA1NIK" TargetMode="External"/><Relationship Id="rId2675" Type="http://schemas.openxmlformats.org/officeDocument/2006/relationships/hyperlink" Target="https://drive.google.com/open?id=1KgD1PcgrJgyFM4lzP6a2XE0AFCkCIEDx" TargetMode="External"/><Relationship Id="rId2621" Type="http://schemas.openxmlformats.org/officeDocument/2006/relationships/hyperlink" Target="https://drive.google.com/open?id=1jfYx8BoZ_PorgVm9wwhYsh_h3fNSOfgw" TargetMode="External"/><Relationship Id="rId2622" Type="http://schemas.openxmlformats.org/officeDocument/2006/relationships/hyperlink" Target="https://drive.google.com/open?id=1gjjSeb6Ge98Oki7r2rMk-GeigO2YA81H" TargetMode="External"/><Relationship Id="rId2623" Type="http://schemas.openxmlformats.org/officeDocument/2006/relationships/hyperlink" Target="https://drive.google.com/open?id=1w94EopY01eVJWC0p5RLVQlep0RJydjmM" TargetMode="External"/><Relationship Id="rId2624" Type="http://schemas.openxmlformats.org/officeDocument/2006/relationships/hyperlink" Target="https://drive.google.com/open?id=1umgNRyU7s9uPYIj3TbdaeegYofaA00Zq" TargetMode="External"/><Relationship Id="rId2625" Type="http://schemas.openxmlformats.org/officeDocument/2006/relationships/hyperlink" Target="https://drive.google.com/open?id=1GhJkeXvkHInqPsdybevWK1Sj-9NuZvvl" TargetMode="External"/><Relationship Id="rId2626" Type="http://schemas.openxmlformats.org/officeDocument/2006/relationships/hyperlink" Target="https://drive.google.com/open?id=1P_amiZWkGD8EZqwhimILizCKNAUaiZPG" TargetMode="External"/><Relationship Id="rId2627" Type="http://schemas.openxmlformats.org/officeDocument/2006/relationships/hyperlink" Target="https://drive.google.com/open?id=1VDHkw0d8NdJwokYn5sa-mVq380k2cwfg" TargetMode="External"/><Relationship Id="rId2628" Type="http://schemas.openxmlformats.org/officeDocument/2006/relationships/hyperlink" Target="https://drive.google.com/open?id=1s4P1oQ0AGAc2cIbZbLNlPqdBccbEuImS" TargetMode="External"/><Relationship Id="rId709" Type="http://schemas.openxmlformats.org/officeDocument/2006/relationships/hyperlink" Target="https://drive.google.com/open?id=1uie_1rfCh7RX5s_Qc1H8aEvZP4WiBoHi" TargetMode="External"/><Relationship Id="rId2629" Type="http://schemas.openxmlformats.org/officeDocument/2006/relationships/hyperlink" Target="https://drive.google.com/open?id=1SLblX0c7XbOMHRbK8VF0Ip6wLXtlued3" TargetMode="External"/><Relationship Id="rId708" Type="http://schemas.openxmlformats.org/officeDocument/2006/relationships/hyperlink" Target="https://drive.google.com/open?id=19YilEWuizgGsEtTonrFaqvcTv84-AB8w" TargetMode="External"/><Relationship Id="rId707" Type="http://schemas.openxmlformats.org/officeDocument/2006/relationships/hyperlink" Target="https://drive.google.com/open?id=1mzi_Snt7vJqwtUjjZWPAa74hVzKynk_A" TargetMode="External"/><Relationship Id="rId706" Type="http://schemas.openxmlformats.org/officeDocument/2006/relationships/hyperlink" Target="https://drive.google.com/open?id=1sAe_7pU8zFMMBQAWabWo89ChOvBe4X4J" TargetMode="External"/><Relationship Id="rId701" Type="http://schemas.openxmlformats.org/officeDocument/2006/relationships/hyperlink" Target="https://drive.google.com/open?id=1Y51ZALk_NI-ilirtG92RVhfSFHoXBUIl" TargetMode="External"/><Relationship Id="rId700" Type="http://schemas.openxmlformats.org/officeDocument/2006/relationships/hyperlink" Target="https://drive.google.com/open?id=1MfaRZoQsh4m7ZLrUcofuD4-KfYPSHFAh" TargetMode="External"/><Relationship Id="rId705" Type="http://schemas.openxmlformats.org/officeDocument/2006/relationships/hyperlink" Target="https://drive.google.com/open?id=1nE97LoYPpRt57Y1eWdKMEGSEaIKNbIhf" TargetMode="External"/><Relationship Id="rId704" Type="http://schemas.openxmlformats.org/officeDocument/2006/relationships/hyperlink" Target="https://drive.google.com/open?id=1Napeoa-Z2Z7ZFFkjIyZEuBwE3IV1gZrk" TargetMode="External"/><Relationship Id="rId703" Type="http://schemas.openxmlformats.org/officeDocument/2006/relationships/hyperlink" Target="https://drive.google.com/open?id=1O5jAz59JFMv5pF5PZTC4BqPwUoGVaYuW" TargetMode="External"/><Relationship Id="rId702" Type="http://schemas.openxmlformats.org/officeDocument/2006/relationships/hyperlink" Target="https://drive.google.com/open?id=1gW0qTOdp-fCpBw3j-dfFs-ECLkadz6Gc" TargetMode="External"/><Relationship Id="rId2620" Type="http://schemas.openxmlformats.org/officeDocument/2006/relationships/hyperlink" Target="https://drive.google.com/open?id=1OI2rLsxJMql0J6afezUtRG6xD5aiK4nP" TargetMode="External"/><Relationship Id="rId2610" Type="http://schemas.openxmlformats.org/officeDocument/2006/relationships/hyperlink" Target="https://drive.google.com/open?id=125NMLBWlWfjcxxgpAeGLq8huuyg2MXyR" TargetMode="External"/><Relationship Id="rId2611" Type="http://schemas.openxmlformats.org/officeDocument/2006/relationships/hyperlink" Target="https://drive.google.com/open?id=1Fo11yzn1-SdaeUr8w8M_IFbtBtjONcPI" TargetMode="External"/><Relationship Id="rId2612" Type="http://schemas.openxmlformats.org/officeDocument/2006/relationships/hyperlink" Target="https://drive.google.com/open?id=1dj9FHup5nwJZ4UigVvWudmEeoCzT5ngL" TargetMode="External"/><Relationship Id="rId2613" Type="http://schemas.openxmlformats.org/officeDocument/2006/relationships/hyperlink" Target="https://drive.google.com/open?id=1odJsIVp_DhF5_D5XukJEL7YcqHa2213I" TargetMode="External"/><Relationship Id="rId2614" Type="http://schemas.openxmlformats.org/officeDocument/2006/relationships/hyperlink" Target="https://drive.google.com/open?id=1LxY7ktjkdKj0EntnmAV_Dv9kvBFjxXkw" TargetMode="External"/><Relationship Id="rId2615" Type="http://schemas.openxmlformats.org/officeDocument/2006/relationships/hyperlink" Target="https://drive.google.com/open?id=1rcWzDXCeIfk1VXV3Y-VuoF_WbAe8_FMo" TargetMode="External"/><Relationship Id="rId2616" Type="http://schemas.openxmlformats.org/officeDocument/2006/relationships/hyperlink" Target="https://drive.google.com/open?id=1EGpuV08-P7ZbdI4lk0ptbA7oq6Ktutc8" TargetMode="External"/><Relationship Id="rId2617" Type="http://schemas.openxmlformats.org/officeDocument/2006/relationships/hyperlink" Target="https://drive.google.com/open?id=1rHfpL32z77zXeZyS6Op7rJQyfsudOAF7" TargetMode="External"/><Relationship Id="rId2618" Type="http://schemas.openxmlformats.org/officeDocument/2006/relationships/hyperlink" Target="https://drive.google.com/open?id=18kZ736eZ-MgD3sI7IYCH_-Rsl6wWN69m" TargetMode="External"/><Relationship Id="rId2619" Type="http://schemas.openxmlformats.org/officeDocument/2006/relationships/hyperlink" Target="https://drive.google.com/open?id=1U7_mBI8UVqCo1kZUFUOw1CtnmJKNfAS0" TargetMode="External"/><Relationship Id="rId1312" Type="http://schemas.openxmlformats.org/officeDocument/2006/relationships/hyperlink" Target="https://drive.google.com/open?id=1IQfnI2oN68C3GC2M3wAu7KXCAjdXZiW1" TargetMode="External"/><Relationship Id="rId2643" Type="http://schemas.openxmlformats.org/officeDocument/2006/relationships/hyperlink" Target="https://drive.google.com/open?id=1NNMMYbbm-yv5_gnJmU-WN3LLJP36146X" TargetMode="External"/><Relationship Id="rId1313" Type="http://schemas.openxmlformats.org/officeDocument/2006/relationships/hyperlink" Target="https://drive.google.com/open?id=1PbjrEhPGBblRWdfjx2pN3UOVpAWDyCf4" TargetMode="External"/><Relationship Id="rId2644" Type="http://schemas.openxmlformats.org/officeDocument/2006/relationships/hyperlink" Target="https://drive.google.com/open?id=1yLwpVEeAqW_MDjVlZIFDJBm0-1ryc5xI" TargetMode="External"/><Relationship Id="rId1314" Type="http://schemas.openxmlformats.org/officeDocument/2006/relationships/hyperlink" Target="https://drive.google.com/open?id=1huW54-Y-Sef5gdSyKkYagHu8dF4JYHTG" TargetMode="External"/><Relationship Id="rId2645" Type="http://schemas.openxmlformats.org/officeDocument/2006/relationships/hyperlink" Target="https://drive.google.com/open?id=1lMMUIR6a1tuG5uwePCy-6EbgTHmNFElj" TargetMode="External"/><Relationship Id="rId1315" Type="http://schemas.openxmlformats.org/officeDocument/2006/relationships/hyperlink" Target="https://drive.google.com/open?id=1qdwxH9ibJAeNTevccGgjrYJ2LiFPIp7d" TargetMode="External"/><Relationship Id="rId2646" Type="http://schemas.openxmlformats.org/officeDocument/2006/relationships/hyperlink" Target="https://drive.google.com/open?id=1BRzep7PGoDsvvUb1HM9QTZgHBF5IS1vA" TargetMode="External"/><Relationship Id="rId1316" Type="http://schemas.openxmlformats.org/officeDocument/2006/relationships/hyperlink" Target="https://drive.google.com/open?id=1O9KSmu_ZO9d9kSkR0RrRccbpRo3VswG6" TargetMode="External"/><Relationship Id="rId2647" Type="http://schemas.openxmlformats.org/officeDocument/2006/relationships/hyperlink" Target="https://drive.google.com/open?id=1f3EHu12DECIvhn46JDFUvrPvcafwIO27" TargetMode="External"/><Relationship Id="rId1317" Type="http://schemas.openxmlformats.org/officeDocument/2006/relationships/hyperlink" Target="https://drive.google.com/open?id=1p18ykE74FmpN6SGK0L50rE7xi53jIiRs" TargetMode="External"/><Relationship Id="rId2648" Type="http://schemas.openxmlformats.org/officeDocument/2006/relationships/hyperlink" Target="https://drive.google.com/open?id=1tm_NJEpkw7sXXrUUc4_1YKkmYJlFqL_I" TargetMode="External"/><Relationship Id="rId1318" Type="http://schemas.openxmlformats.org/officeDocument/2006/relationships/hyperlink" Target="https://drive.google.com/open?id=12FMbW4hyFbcYmJXJpPJMbc_2v7fYJ5zJ" TargetMode="External"/><Relationship Id="rId2649" Type="http://schemas.openxmlformats.org/officeDocument/2006/relationships/hyperlink" Target="https://drive.google.com/open?id=1kGZOfp8HYU7q6OtldjLDWAJAu6blA1_c" TargetMode="External"/><Relationship Id="rId1319" Type="http://schemas.openxmlformats.org/officeDocument/2006/relationships/hyperlink" Target="https://drive.google.com/open?id=1R0xgDoMSA476pfkwh_kVDizj228ZcvzO" TargetMode="External"/><Relationship Id="rId729" Type="http://schemas.openxmlformats.org/officeDocument/2006/relationships/hyperlink" Target="https://drive.google.com/open?id=1ru9LegSLsyPFR921NnwinWQG-oBaYG9j" TargetMode="External"/><Relationship Id="rId728" Type="http://schemas.openxmlformats.org/officeDocument/2006/relationships/hyperlink" Target="https://drive.google.com/open?id=1pXkVxU0tkJYtnv_8SA260KoBRUrO3ipw" TargetMode="External"/><Relationship Id="rId723" Type="http://schemas.openxmlformats.org/officeDocument/2006/relationships/hyperlink" Target="https://drive.google.com/open?id=1cEuMze7Q9roDrV-zdSJISr3a6bL2IRju" TargetMode="External"/><Relationship Id="rId722" Type="http://schemas.openxmlformats.org/officeDocument/2006/relationships/hyperlink" Target="https://drive.google.com/open?id=1tOjDn8xHharX5LQqhW-3D9isqqHG7StC" TargetMode="External"/><Relationship Id="rId721" Type="http://schemas.openxmlformats.org/officeDocument/2006/relationships/hyperlink" Target="https://drive.google.com/open?id=1g7KvecicoCkIuIFQqewuNY1hE9vkWmqY" TargetMode="External"/><Relationship Id="rId720" Type="http://schemas.openxmlformats.org/officeDocument/2006/relationships/hyperlink" Target="https://drive.google.com/open?id=1ah-6gnEss78pAlFYG9VVVfGr7sR61HJk" TargetMode="External"/><Relationship Id="rId727" Type="http://schemas.openxmlformats.org/officeDocument/2006/relationships/hyperlink" Target="https://drive.google.com/open?id=1QbHE_AsMMaBlIljPeCT-Ft6B-drqydQe" TargetMode="External"/><Relationship Id="rId726" Type="http://schemas.openxmlformats.org/officeDocument/2006/relationships/hyperlink" Target="https://drive.google.com/open?id=1bn2v-N84Var6qPiE1uUz5Q8XN3XuAiSE" TargetMode="External"/><Relationship Id="rId725" Type="http://schemas.openxmlformats.org/officeDocument/2006/relationships/hyperlink" Target="https://drive.google.com/open?id=137u64k-xOHL5xenD8KDp6pO2BFDYgr4Z" TargetMode="External"/><Relationship Id="rId724" Type="http://schemas.openxmlformats.org/officeDocument/2006/relationships/hyperlink" Target="https://drive.google.com/open?id=1FtNvB0Ncmi0LrnN6us2EAK6q9PZvKWZa" TargetMode="External"/><Relationship Id="rId2640" Type="http://schemas.openxmlformats.org/officeDocument/2006/relationships/hyperlink" Target="https://drive.google.com/open?id=1tVMXMbjSHovhkosklrEV6y74GymAsQ1S" TargetMode="External"/><Relationship Id="rId1310" Type="http://schemas.openxmlformats.org/officeDocument/2006/relationships/hyperlink" Target="https://drive.google.com/open?id=1jXTm9dPgW1QB210LbppE_8wgD0tvIpFa" TargetMode="External"/><Relationship Id="rId2641" Type="http://schemas.openxmlformats.org/officeDocument/2006/relationships/hyperlink" Target="https://drive.google.com/open?id=1B9xyotx9JHpPh_uEllmxGZCfDWclU8np" TargetMode="External"/><Relationship Id="rId1311" Type="http://schemas.openxmlformats.org/officeDocument/2006/relationships/hyperlink" Target="https://drive.google.com/open?id=13z8FG3Qf4ESayHfrSgdV6zPDXDRtvqPU" TargetMode="External"/><Relationship Id="rId2642" Type="http://schemas.openxmlformats.org/officeDocument/2006/relationships/hyperlink" Target="https://drive.google.com/open?id=13i_mUOf9dW6AaN5P-hhs1ZsjJwhmvRxC" TargetMode="External"/><Relationship Id="rId1301" Type="http://schemas.openxmlformats.org/officeDocument/2006/relationships/hyperlink" Target="https://drive.google.com/open?id=1JEpS48qyjqrFvUBxGzABw_tnyDAPucUY" TargetMode="External"/><Relationship Id="rId2632" Type="http://schemas.openxmlformats.org/officeDocument/2006/relationships/hyperlink" Target="https://drive.google.com/open?id=1r8Vf4gI0VOxBJ9wDdRd89ivNVj8ZQ60c" TargetMode="External"/><Relationship Id="rId1302" Type="http://schemas.openxmlformats.org/officeDocument/2006/relationships/hyperlink" Target="https://drive.google.com/open?id=18AhTGfbJXMpQrfRBD812Z-QSATfXr0M-" TargetMode="External"/><Relationship Id="rId2633" Type="http://schemas.openxmlformats.org/officeDocument/2006/relationships/hyperlink" Target="https://drive.google.com/open?id=1yAw26eY6BXXRGG-zsTz0JXps-vc_wxrr" TargetMode="External"/><Relationship Id="rId1303" Type="http://schemas.openxmlformats.org/officeDocument/2006/relationships/hyperlink" Target="https://drive.google.com/open?id=1f30lEpjQoOXiYWt1ezPy-RkshoPwiAIz" TargetMode="External"/><Relationship Id="rId2634" Type="http://schemas.openxmlformats.org/officeDocument/2006/relationships/hyperlink" Target="https://drive.google.com/open?id=1FeECRIvTpIbJB8S7y0plKBYq_Or1lSnU" TargetMode="External"/><Relationship Id="rId1304" Type="http://schemas.openxmlformats.org/officeDocument/2006/relationships/hyperlink" Target="https://drive.google.com/open?id=1qFvLS9Kt38VPC08bETkDBXmuO0qx2R1t" TargetMode="External"/><Relationship Id="rId2635" Type="http://schemas.openxmlformats.org/officeDocument/2006/relationships/hyperlink" Target="https://drive.google.com/open?id=1FWHOjTFvWYJodaulMiZZA6kM4K5YshnW" TargetMode="External"/><Relationship Id="rId1305" Type="http://schemas.openxmlformats.org/officeDocument/2006/relationships/hyperlink" Target="https://drive.google.com/open?id=1vYvnvWvayHPw2a5DYQREbjbqAJeNRlVV" TargetMode="External"/><Relationship Id="rId2636" Type="http://schemas.openxmlformats.org/officeDocument/2006/relationships/hyperlink" Target="https://drive.google.com/open?id=1f6CiJ1a65ahgJGDR82t_FQNsqXPkPR7A" TargetMode="External"/><Relationship Id="rId1306" Type="http://schemas.openxmlformats.org/officeDocument/2006/relationships/hyperlink" Target="https://drive.google.com/open?id=1r-mqxpKPdp4qOcgF2loWOIZ8bR1o2ks3" TargetMode="External"/><Relationship Id="rId2637" Type="http://schemas.openxmlformats.org/officeDocument/2006/relationships/hyperlink" Target="https://drive.google.com/open?id=1rotxOFxm1yavNvHFAbj8lFALOZPwKgo7" TargetMode="External"/><Relationship Id="rId1307" Type="http://schemas.openxmlformats.org/officeDocument/2006/relationships/hyperlink" Target="https://drive.google.com/open?id=1bVWGWsGm4wPLO9jnSnDoyUzjwFaNkyaU" TargetMode="External"/><Relationship Id="rId2638" Type="http://schemas.openxmlformats.org/officeDocument/2006/relationships/hyperlink" Target="https://drive.google.com/open?id=1dMt_A4JPRMcWPbGw0CKw1lZ1oT7xWdCm" TargetMode="External"/><Relationship Id="rId1308" Type="http://schemas.openxmlformats.org/officeDocument/2006/relationships/hyperlink" Target="https://drive.google.com/open?id=1CWSNC1w6YALr72yVbcP6AMQMfzNsolbg" TargetMode="External"/><Relationship Id="rId2639" Type="http://schemas.openxmlformats.org/officeDocument/2006/relationships/hyperlink" Target="https://drive.google.com/open?id=1mvO2uPwtnGcjRz-4KG45-URkkjVFJTSr" TargetMode="External"/><Relationship Id="rId1309" Type="http://schemas.openxmlformats.org/officeDocument/2006/relationships/hyperlink" Target="https://drive.google.com/open?id=1CU2G4lxYE_L83pdUZMXr7rj8F-TWSQLr" TargetMode="External"/><Relationship Id="rId719" Type="http://schemas.openxmlformats.org/officeDocument/2006/relationships/hyperlink" Target="https://drive.google.com/open?id=1RFV35Xs_L4IMDga3y9xRRq6FvT0GHONY" TargetMode="External"/><Relationship Id="rId718" Type="http://schemas.openxmlformats.org/officeDocument/2006/relationships/hyperlink" Target="https://drive.google.com/open?id=1abLD0AO6pc-1OqHxKv3koZPpPZ4bYdXC" TargetMode="External"/><Relationship Id="rId717" Type="http://schemas.openxmlformats.org/officeDocument/2006/relationships/hyperlink" Target="https://drive.google.com/open?id=1ymWsFyDs__v81kFVNnLDktXMuA3c6DvN" TargetMode="External"/><Relationship Id="rId712" Type="http://schemas.openxmlformats.org/officeDocument/2006/relationships/hyperlink" Target="https://drive.google.com/open?id=10ynjxhzerzCsfzJF72-RYUJ9o6p3TzQG" TargetMode="External"/><Relationship Id="rId711" Type="http://schemas.openxmlformats.org/officeDocument/2006/relationships/hyperlink" Target="https://drive.google.com/open?id=1nTWLw61tipPMZaLGt6cGEIQoIbSC6V2I" TargetMode="External"/><Relationship Id="rId710" Type="http://schemas.openxmlformats.org/officeDocument/2006/relationships/hyperlink" Target="https://drive.google.com/open?id=1WALqIS0lYjYHp8iOLFimOQTMlxQ00MxO" TargetMode="External"/><Relationship Id="rId716" Type="http://schemas.openxmlformats.org/officeDocument/2006/relationships/hyperlink" Target="https://drive.google.com/open?id=1qdklkq5w1LAp8Nqz8Rl8RrtAxRe4iIpb" TargetMode="External"/><Relationship Id="rId715" Type="http://schemas.openxmlformats.org/officeDocument/2006/relationships/hyperlink" Target="https://drive.google.com/open?id=1-IsDI-e8Zhv44ESSniWqOcFntOh8eEFX" TargetMode="External"/><Relationship Id="rId714" Type="http://schemas.openxmlformats.org/officeDocument/2006/relationships/hyperlink" Target="https://drive.google.com/open?id=15R-JQ_Cz3sCn1O2ENhmzELm1A0j4VcsB" TargetMode="External"/><Relationship Id="rId713" Type="http://schemas.openxmlformats.org/officeDocument/2006/relationships/hyperlink" Target="https://drive.google.com/open?id=1KTPB02r9AQq9M5hq8-BGGbKev6LSqLew" TargetMode="External"/><Relationship Id="rId2630" Type="http://schemas.openxmlformats.org/officeDocument/2006/relationships/hyperlink" Target="https://drive.google.com/open?id=1KqLT7uXmk7rYy015tBKqYE-hgp-b3OU0" TargetMode="External"/><Relationship Id="rId1300" Type="http://schemas.openxmlformats.org/officeDocument/2006/relationships/hyperlink" Target="https://drive.google.com/open?id=1pXiOlzccOfHOoi4pOAUUjYmmVPnvqDaX" TargetMode="External"/><Relationship Id="rId2631" Type="http://schemas.openxmlformats.org/officeDocument/2006/relationships/hyperlink" Target="https://drive.google.com/open?id=1lQw-AQ5JPRufPSUw5dSsHByo9cUo-FTo" TargetMode="External"/><Relationship Id="rId3117" Type="http://schemas.openxmlformats.org/officeDocument/2006/relationships/hyperlink" Target="https://drive.google.com/open?id=1fQv5VrxbOYZav5hU8jANwtjM7otlknyT" TargetMode="External"/><Relationship Id="rId3116" Type="http://schemas.openxmlformats.org/officeDocument/2006/relationships/hyperlink" Target="https://drive.google.com/open?id=1vqPfGB44gPupmSDmcBinrER6eK8LcMOL" TargetMode="External"/><Relationship Id="rId3119" Type="http://schemas.openxmlformats.org/officeDocument/2006/relationships/hyperlink" Target="https://drive.google.com/open?id=1UQ_SpA_Rjois-Y5Pv822RLvj73U6uHAy" TargetMode="External"/><Relationship Id="rId3118" Type="http://schemas.openxmlformats.org/officeDocument/2006/relationships/hyperlink" Target="https://drive.google.com/open?id=1x4ncaWJ8o8LyvvS0JrscwNmfFdaX2t6g" TargetMode="External"/><Relationship Id="rId3111" Type="http://schemas.openxmlformats.org/officeDocument/2006/relationships/hyperlink" Target="https://drive.google.com/open?id=177uXq15TghurPiPV_rr5wsmYd5LnNUl3" TargetMode="External"/><Relationship Id="rId3110" Type="http://schemas.openxmlformats.org/officeDocument/2006/relationships/hyperlink" Target="https://drive.google.com/open?id=1FUPHu2S5cha6JGO5C0k7pKxOLC_QYTzO" TargetMode="External"/><Relationship Id="rId3113" Type="http://schemas.openxmlformats.org/officeDocument/2006/relationships/hyperlink" Target="https://drive.google.com/open?id=1ao3Zj8QVXvNQen-S4ZZ1BZlqrxDLUNHb" TargetMode="External"/><Relationship Id="rId3112" Type="http://schemas.openxmlformats.org/officeDocument/2006/relationships/hyperlink" Target="https://drive.google.com/open?id=1MMzgea_eKiglChkTkv81217g-gS1li8e" TargetMode="External"/><Relationship Id="rId3115" Type="http://schemas.openxmlformats.org/officeDocument/2006/relationships/hyperlink" Target="https://drive.google.com/open?id=15S6ItCTv_vpWBw5yXKgFfQIonK4j8O5E" TargetMode="External"/><Relationship Id="rId3114" Type="http://schemas.openxmlformats.org/officeDocument/2006/relationships/hyperlink" Target="https://drive.google.com/open?id=1p2XC3LrZUZe-J3LKInFPjFs5nS-460_c" TargetMode="External"/><Relationship Id="rId3106" Type="http://schemas.openxmlformats.org/officeDocument/2006/relationships/hyperlink" Target="https://drive.google.com/open?id=1iRMdkpZVk2zKWYv4IYiqRdBwIrYSo4WZ" TargetMode="External"/><Relationship Id="rId3105" Type="http://schemas.openxmlformats.org/officeDocument/2006/relationships/hyperlink" Target="https://drive.google.com/open?id=1RcEMnaBBxwSp_tk9ngdI6ZYfIihweeVQ" TargetMode="External"/><Relationship Id="rId3108" Type="http://schemas.openxmlformats.org/officeDocument/2006/relationships/hyperlink" Target="https://drive.google.com/open?id=1ja6ermeKsmHYd-L53BULKY2hmHqteiqg" TargetMode="External"/><Relationship Id="rId3107" Type="http://schemas.openxmlformats.org/officeDocument/2006/relationships/hyperlink" Target="https://drive.google.com/open?id=1AZBWFobw5g-WnCxxZ0aUYBamEBTZirq5" TargetMode="External"/><Relationship Id="rId3109" Type="http://schemas.openxmlformats.org/officeDocument/2006/relationships/hyperlink" Target="https://drive.google.com/open?id=1LEKNSobVGaFVNGZ_MC-4I_91lwf6MoJY" TargetMode="External"/><Relationship Id="rId3100" Type="http://schemas.openxmlformats.org/officeDocument/2006/relationships/hyperlink" Target="https://drive.google.com/open?id=128MUKxOEVmh3htVupbpzcWinOeVGdAkY" TargetMode="External"/><Relationship Id="rId3102" Type="http://schemas.openxmlformats.org/officeDocument/2006/relationships/hyperlink" Target="https://drive.google.com/open?id=1BsBnL0-LL2SjIEZZLvW4QbmCIlj43sbp" TargetMode="External"/><Relationship Id="rId3101" Type="http://schemas.openxmlformats.org/officeDocument/2006/relationships/hyperlink" Target="https://drive.google.com/open?id=1NEOopiYWL0YPYxTjFPP_3341zbFt53d3" TargetMode="External"/><Relationship Id="rId3104" Type="http://schemas.openxmlformats.org/officeDocument/2006/relationships/hyperlink" Target="https://drive.google.com/open?id=1f95B5aLRTJY6kf_LnmcLold2rGPkFGM7" TargetMode="External"/><Relationship Id="rId3103" Type="http://schemas.openxmlformats.org/officeDocument/2006/relationships/hyperlink" Target="https://drive.google.com/open?id=1hibmLp4a632fV-GjkhLbQhfNJ5vINBi0" TargetMode="External"/><Relationship Id="rId3139" Type="http://schemas.openxmlformats.org/officeDocument/2006/relationships/hyperlink" Target="https://drive.google.com/open?id=1j8yX-x9ZZFtBiCWMDO9cr87kV3Ls05Zk" TargetMode="External"/><Relationship Id="rId3138" Type="http://schemas.openxmlformats.org/officeDocument/2006/relationships/hyperlink" Target="https://drive.google.com/open?id=1DRaprg_0kYG9_FgEMOpjbd1e5HO6nvpZ" TargetMode="External"/><Relationship Id="rId3131" Type="http://schemas.openxmlformats.org/officeDocument/2006/relationships/hyperlink" Target="https://drive.google.com/open?id=1AAlIShsIXWjpMFrhkSSIkFIwyE7XkVEV" TargetMode="External"/><Relationship Id="rId3130" Type="http://schemas.openxmlformats.org/officeDocument/2006/relationships/hyperlink" Target="https://drive.google.com/open?id=1QQiFo6NWSIaGfXpENoJs6_MWIGX7PdBp" TargetMode="External"/><Relationship Id="rId3133" Type="http://schemas.openxmlformats.org/officeDocument/2006/relationships/hyperlink" Target="https://drive.google.com/open?id=1HF8v8h_HJP5r1HD5veJ-QGR07MgPwVkQ" TargetMode="External"/><Relationship Id="rId3132" Type="http://schemas.openxmlformats.org/officeDocument/2006/relationships/hyperlink" Target="https://drive.google.com/open?id=1LjrtF3qDmneu2eXCC8w_vyi54SokVYue" TargetMode="External"/><Relationship Id="rId3135" Type="http://schemas.openxmlformats.org/officeDocument/2006/relationships/hyperlink" Target="https://drive.google.com/open?id=1QdoKvyhMd0lFuQ3nhbnp7TbyAsMdA_lY" TargetMode="External"/><Relationship Id="rId3134" Type="http://schemas.openxmlformats.org/officeDocument/2006/relationships/hyperlink" Target="https://drive.google.com/open?id=1ou0r4KU7tGKzxx5kq1Klc8GDPZT5KdQ6" TargetMode="External"/><Relationship Id="rId3137" Type="http://schemas.openxmlformats.org/officeDocument/2006/relationships/hyperlink" Target="https://drive.google.com/open?id=1FRDb_Drl8EAavF4p_Xp9b75WaYBo5qyx" TargetMode="External"/><Relationship Id="rId3136" Type="http://schemas.openxmlformats.org/officeDocument/2006/relationships/hyperlink" Target="https://drive.google.com/open?id=1LqidBT-ZIu-0pkwyyFQxyn25J9Gi3Dg8" TargetMode="External"/><Relationship Id="rId3128" Type="http://schemas.openxmlformats.org/officeDocument/2006/relationships/hyperlink" Target="https://drive.google.com/open?id=19uyIyf4J6ayovo0gyBW8zViwzSvB9eUp" TargetMode="External"/><Relationship Id="rId3127" Type="http://schemas.openxmlformats.org/officeDocument/2006/relationships/hyperlink" Target="https://drive.google.com/open?id=1ZR81Ie5m7kimisphp-Am0GGoorHdqHXl" TargetMode="External"/><Relationship Id="rId3129" Type="http://schemas.openxmlformats.org/officeDocument/2006/relationships/hyperlink" Target="https://drive.google.com/open?id=1k9E2zC65hsNkrRSC-x4KieJt9kCZ_6Hk" TargetMode="External"/><Relationship Id="rId3120" Type="http://schemas.openxmlformats.org/officeDocument/2006/relationships/hyperlink" Target="https://drive.google.com/open?id=1Q5_BjGT7-Pk5SinhDZXSGdiujMqqFZUK" TargetMode="External"/><Relationship Id="rId3122" Type="http://schemas.openxmlformats.org/officeDocument/2006/relationships/hyperlink" Target="https://drive.google.com/open?id=1rfoBUCotD75Sq_SlPNlPDE81VRmwIQbf" TargetMode="External"/><Relationship Id="rId3121" Type="http://schemas.openxmlformats.org/officeDocument/2006/relationships/hyperlink" Target="https://drive.google.com/open?id=1eePNxL2CZNUoMVbjOqS87cLRDih2XKhz" TargetMode="External"/><Relationship Id="rId3124" Type="http://schemas.openxmlformats.org/officeDocument/2006/relationships/hyperlink" Target="https://drive.google.com/open?id=1zRdo9u1FL7L05_eX6b_N6vfZLQS9IsIm" TargetMode="External"/><Relationship Id="rId3123" Type="http://schemas.openxmlformats.org/officeDocument/2006/relationships/hyperlink" Target="https://drive.google.com/open?id=1DtXCQefWKKcpkCw4XVMBs-7dx4W9L0fF" TargetMode="External"/><Relationship Id="rId3126" Type="http://schemas.openxmlformats.org/officeDocument/2006/relationships/hyperlink" Target="https://drive.google.com/open?id=1k03-uGD18zUkTwFfkKP2pEbGoeOmnmUx" TargetMode="External"/><Relationship Id="rId3125" Type="http://schemas.openxmlformats.org/officeDocument/2006/relationships/hyperlink" Target="https://drive.google.com/open?id=1LjGmATXY3-YO1E0XB395NHkQs9ms3qw5" TargetMode="External"/><Relationship Id="rId1378" Type="http://schemas.openxmlformats.org/officeDocument/2006/relationships/hyperlink" Target="https://drive.google.com/open?id=19vgUTwEwSJwH_rfMbJ3qYdqgZ1xwRnzx" TargetMode="External"/><Relationship Id="rId1379" Type="http://schemas.openxmlformats.org/officeDocument/2006/relationships/hyperlink" Target="https://drive.google.com/open?id=1zQ5Jrhx5Nu2aSqMa2jJmtVpcpFs_bdDb" TargetMode="External"/><Relationship Id="rId789" Type="http://schemas.openxmlformats.org/officeDocument/2006/relationships/hyperlink" Target="https://drive.google.com/open?id=1T0z1_XjCRIot4U6wNfEpD78D5WC4BBRk" TargetMode="External"/><Relationship Id="rId788" Type="http://schemas.openxmlformats.org/officeDocument/2006/relationships/hyperlink" Target="https://drive.google.com/open?id=1ApTIxs7F8Ru5cDDIqA6JrOWo_AI0hfoU" TargetMode="External"/><Relationship Id="rId787" Type="http://schemas.openxmlformats.org/officeDocument/2006/relationships/hyperlink" Target="https://drive.google.com/open?id=1Riz_z2jIuxwrcCoX6H6wOlBrZwkhy8NS" TargetMode="External"/><Relationship Id="rId786" Type="http://schemas.openxmlformats.org/officeDocument/2006/relationships/hyperlink" Target="https://drive.google.com/open?id=1ExF7xY-MCbEJIfZjNjDLvkDnsV9mSTKy" TargetMode="External"/><Relationship Id="rId781" Type="http://schemas.openxmlformats.org/officeDocument/2006/relationships/hyperlink" Target="https://drive.google.com/open?id=1DPAaYlT6-5V71NtMsn2Mu-kzDpsTsChl" TargetMode="External"/><Relationship Id="rId1370" Type="http://schemas.openxmlformats.org/officeDocument/2006/relationships/hyperlink" Target="https://drive.google.com/open?id=1kDibTWGtjatBbVzX42fR8Z-735dPt-5d" TargetMode="External"/><Relationship Id="rId780" Type="http://schemas.openxmlformats.org/officeDocument/2006/relationships/hyperlink" Target="https://drive.google.com/open?id=1hbfxGnYkE19wuh9naY48AviJIE0ainoA" TargetMode="External"/><Relationship Id="rId1371" Type="http://schemas.openxmlformats.org/officeDocument/2006/relationships/hyperlink" Target="https://drive.google.com/open?id=1Z0GwOslqpQ8_4kSxSVSh4si9q1SxkSoY" TargetMode="External"/><Relationship Id="rId1372" Type="http://schemas.openxmlformats.org/officeDocument/2006/relationships/hyperlink" Target="https://drive.google.com/open?id=1biouvMsTSPWtpr0h9gdIHFMiDfBRAXkV" TargetMode="External"/><Relationship Id="rId1373" Type="http://schemas.openxmlformats.org/officeDocument/2006/relationships/hyperlink" Target="https://drive.google.com/open?id=19nJs3dtgrD27wzpM8gQrH894qJjWV9hj" TargetMode="External"/><Relationship Id="rId785" Type="http://schemas.openxmlformats.org/officeDocument/2006/relationships/hyperlink" Target="https://drive.google.com/open?id=1j6itcemKYCb3VOgjL11ZxF105TbIBun8" TargetMode="External"/><Relationship Id="rId1374" Type="http://schemas.openxmlformats.org/officeDocument/2006/relationships/hyperlink" Target="https://drive.google.com/open?id=1LARSvy5lM4PeAVCWIZWlOz6PDwS8UOT0" TargetMode="External"/><Relationship Id="rId784" Type="http://schemas.openxmlformats.org/officeDocument/2006/relationships/hyperlink" Target="https://drive.google.com/open?id=1kT8zR_bLzdoua4mmMmuE8sh-PH6Qq8E2" TargetMode="External"/><Relationship Id="rId1375" Type="http://schemas.openxmlformats.org/officeDocument/2006/relationships/hyperlink" Target="https://drive.google.com/open?id=1J_qZthTngLxtZHeDF2MDImKcw0ohmoFh" TargetMode="External"/><Relationship Id="rId783" Type="http://schemas.openxmlformats.org/officeDocument/2006/relationships/hyperlink" Target="https://drive.google.com/open?id=1H9tTWSmIFnI4Np7EhGqdnDp2fCwVtP-J" TargetMode="External"/><Relationship Id="rId1376" Type="http://schemas.openxmlformats.org/officeDocument/2006/relationships/hyperlink" Target="https://drive.google.com/open?id=1j6Sk3XhKfdv51El6kF_W7Ic-VIUfeUpu" TargetMode="External"/><Relationship Id="rId782" Type="http://schemas.openxmlformats.org/officeDocument/2006/relationships/hyperlink" Target="https://drive.google.com/open?id=1qvu9-x4pwKWl1Ise901NEE45LxKOCzVW" TargetMode="External"/><Relationship Id="rId1377" Type="http://schemas.openxmlformats.org/officeDocument/2006/relationships/hyperlink" Target="https://drive.google.com/open?id=1hevMq3MKJH8vociZCYKxk7lHOxt-o1D9" TargetMode="External"/><Relationship Id="rId1367" Type="http://schemas.openxmlformats.org/officeDocument/2006/relationships/hyperlink" Target="https://drive.google.com/open?id=1DCp9AlF0ikSGf777p1ibVm7XBYuKZGUI" TargetMode="External"/><Relationship Id="rId2698" Type="http://schemas.openxmlformats.org/officeDocument/2006/relationships/hyperlink" Target="https://drive.google.com/open?id=1FPwsvjF_66UMWJ-W0ZD6Y6ocThpH_SVl" TargetMode="External"/><Relationship Id="rId1368" Type="http://schemas.openxmlformats.org/officeDocument/2006/relationships/hyperlink" Target="https://drive.google.com/open?id=1prqMZO9-IDluEzeuUQVYl6oCo3F42OXX" TargetMode="External"/><Relationship Id="rId2699" Type="http://schemas.openxmlformats.org/officeDocument/2006/relationships/hyperlink" Target="https://drive.google.com/open?id=1LwaOFBCFmqkKPka49MO5L2VMDOgu-Fbq" TargetMode="External"/><Relationship Id="rId1369" Type="http://schemas.openxmlformats.org/officeDocument/2006/relationships/hyperlink" Target="https://drive.google.com/open?id=1xcSqxXJD1Hl28ADDEj3v8lOabXlNNVVT" TargetMode="External"/><Relationship Id="rId778" Type="http://schemas.openxmlformats.org/officeDocument/2006/relationships/hyperlink" Target="https://drive.google.com/open?id=1u_TUPo1Y7SUe1GzvKVBjjwO-_7EvDZnj" TargetMode="External"/><Relationship Id="rId777" Type="http://schemas.openxmlformats.org/officeDocument/2006/relationships/hyperlink" Target="https://drive.google.com/open?id=1e8TA66tUY7YprOLnGjSRo7hg1IQIuCGI" TargetMode="External"/><Relationship Id="rId776" Type="http://schemas.openxmlformats.org/officeDocument/2006/relationships/hyperlink" Target="https://drive.google.com/open?id=1LHXuKRt0RmEjUVlKYKyR0-2k7VXb1pdb" TargetMode="External"/><Relationship Id="rId775" Type="http://schemas.openxmlformats.org/officeDocument/2006/relationships/hyperlink" Target="https://drive.google.com/open?id=1fuSfZjoq3NZ-NAHp6bCHrEc6wYyqvj8O" TargetMode="External"/><Relationship Id="rId779" Type="http://schemas.openxmlformats.org/officeDocument/2006/relationships/hyperlink" Target="https://drive.google.com/open?id=1bngagE9Cr6e96V06O-FafbVL8gTQKwjb" TargetMode="External"/><Relationship Id="rId770" Type="http://schemas.openxmlformats.org/officeDocument/2006/relationships/hyperlink" Target="https://drive.google.com/open?id=1aolqrXI31_nzEjdobRaBZEj1Tc3auRtd" TargetMode="External"/><Relationship Id="rId2690" Type="http://schemas.openxmlformats.org/officeDocument/2006/relationships/hyperlink" Target="https://drive.google.com/open?id=1rHi6Q2Rj5iog9r8twVZbDIC9j5zNypIB" TargetMode="External"/><Relationship Id="rId1360" Type="http://schemas.openxmlformats.org/officeDocument/2006/relationships/hyperlink" Target="https://drive.google.com/open?id=1KWzEDHptCpkh_BdpEPb2Wn8hLHXZtsmY" TargetMode="External"/><Relationship Id="rId2691" Type="http://schemas.openxmlformats.org/officeDocument/2006/relationships/hyperlink" Target="https://drive.google.com/open?id=1Ax8ieDCuDh5JArv1Q6DveOKS1J7HDWge" TargetMode="External"/><Relationship Id="rId1361" Type="http://schemas.openxmlformats.org/officeDocument/2006/relationships/hyperlink" Target="https://drive.google.com/open?id=1c5z3S7_L-Te9BKTXSzhTM3LNtMrk71js" TargetMode="External"/><Relationship Id="rId2692" Type="http://schemas.openxmlformats.org/officeDocument/2006/relationships/hyperlink" Target="https://drive.google.com/open?id=13ffiFg44y9vhxnaEYd0I8aL8DGAsIyqz" TargetMode="External"/><Relationship Id="rId1362" Type="http://schemas.openxmlformats.org/officeDocument/2006/relationships/hyperlink" Target="https://drive.google.com/open?id=1qm6VrFRuZfEz7JdfwwZybijjUYGZFVSy" TargetMode="External"/><Relationship Id="rId2693" Type="http://schemas.openxmlformats.org/officeDocument/2006/relationships/hyperlink" Target="https://drive.google.com/open?id=1C2EGepXhRNDr2d4aGLqS-aK4rgXst82K" TargetMode="External"/><Relationship Id="rId774" Type="http://schemas.openxmlformats.org/officeDocument/2006/relationships/hyperlink" Target="https://drive.google.com/open?id=1QRQqs9xqjpogG6SEAIRMZOgqNymP2cFd" TargetMode="External"/><Relationship Id="rId1363" Type="http://schemas.openxmlformats.org/officeDocument/2006/relationships/hyperlink" Target="https://drive.google.com/open?id=1OKl5m1VzohdZJv3pmVz_Ada3lczbls_r" TargetMode="External"/><Relationship Id="rId2694" Type="http://schemas.openxmlformats.org/officeDocument/2006/relationships/hyperlink" Target="https://drive.google.com/open?id=1F_jKp7UmdQoI9Z0QLLUojiRtRp3-_dl0" TargetMode="External"/><Relationship Id="rId773" Type="http://schemas.openxmlformats.org/officeDocument/2006/relationships/hyperlink" Target="https://drive.google.com/open?id=1DQRNyd7sbt8uDwk-thEDHtWaTLu16QEf" TargetMode="External"/><Relationship Id="rId1364" Type="http://schemas.openxmlformats.org/officeDocument/2006/relationships/hyperlink" Target="https://drive.google.com/open?id=1eWPZ681BHV3Qu1lJNGOgf2EAL0kXrMDB" TargetMode="External"/><Relationship Id="rId2695" Type="http://schemas.openxmlformats.org/officeDocument/2006/relationships/hyperlink" Target="https://drive.google.com/open?id=1SYg1_n2pYgnJ7cnCuOiDJWiRaoOoAN4o" TargetMode="External"/><Relationship Id="rId772" Type="http://schemas.openxmlformats.org/officeDocument/2006/relationships/hyperlink" Target="https://drive.google.com/open?id=1ZWbi3cM_OoYNOBqJQPDQ6v1W3Ow_hB7u" TargetMode="External"/><Relationship Id="rId1365" Type="http://schemas.openxmlformats.org/officeDocument/2006/relationships/hyperlink" Target="https://drive.google.com/open?id=10WPTc2_R5g0XH_OwrM6QCddIqsR1ulpo" TargetMode="External"/><Relationship Id="rId2696" Type="http://schemas.openxmlformats.org/officeDocument/2006/relationships/hyperlink" Target="https://drive.google.com/open?id=1ifP02RMDIu3A0gTkkvRTNoHnweSAbpuZ" TargetMode="External"/><Relationship Id="rId771" Type="http://schemas.openxmlformats.org/officeDocument/2006/relationships/hyperlink" Target="https://drive.google.com/open?id=1G2QCP0bbPfxZT_rmQ4zS93IIOGO9jzjc" TargetMode="External"/><Relationship Id="rId1366" Type="http://schemas.openxmlformats.org/officeDocument/2006/relationships/hyperlink" Target="https://drive.google.com/open?id=1uInAMxnmd51-CXAqUFXZSA5Km1AzBu2I" TargetMode="External"/><Relationship Id="rId2697" Type="http://schemas.openxmlformats.org/officeDocument/2006/relationships/hyperlink" Target="https://drive.google.com/open?id=1jIUWEv4kKJFUDSs5gQv6dt6Sdr03PLiy" TargetMode="External"/><Relationship Id="rId1390" Type="http://schemas.openxmlformats.org/officeDocument/2006/relationships/hyperlink" Target="https://drive.google.com/open?id=1VDC6QqjoP15wFX9qWYlbWM7OBPyspldl" TargetMode="External"/><Relationship Id="rId1391" Type="http://schemas.openxmlformats.org/officeDocument/2006/relationships/hyperlink" Target="https://drive.google.com/open?id=1LmYOrwjeXVkgY8y_qAJBQGwjNNMErNYm" TargetMode="External"/><Relationship Id="rId1392" Type="http://schemas.openxmlformats.org/officeDocument/2006/relationships/hyperlink" Target="https://drive.google.com/open?id=1re1DFrrWlhCavW8m1dgUuL9cazJh3Xns" TargetMode="External"/><Relationship Id="rId1393" Type="http://schemas.openxmlformats.org/officeDocument/2006/relationships/hyperlink" Target="https://drive.google.com/open?id=1rWNo04DgTUt_ZimDeKq5k8ulXmqSIWEZ" TargetMode="External"/><Relationship Id="rId1394" Type="http://schemas.openxmlformats.org/officeDocument/2006/relationships/hyperlink" Target="https://drive.google.com/open?id=1ICA9iIIEAB3u3QqeOKOe5S7UHzlO7Ubm" TargetMode="External"/><Relationship Id="rId1395" Type="http://schemas.openxmlformats.org/officeDocument/2006/relationships/hyperlink" Target="https://drive.google.com/open?id=1MNCkFL7Vw3WgIPvvMSO8wNeWMNvRyb3f" TargetMode="External"/><Relationship Id="rId1396" Type="http://schemas.openxmlformats.org/officeDocument/2006/relationships/hyperlink" Target="https://drive.google.com/open?id=1J3CGDlycdCfzREN1RQfhzL1__tlLLpq5" TargetMode="External"/><Relationship Id="rId1397" Type="http://schemas.openxmlformats.org/officeDocument/2006/relationships/hyperlink" Target="https://drive.google.com/open?id=1M6jsoxgmnR6chK0mownnnwPND6ATFXfo" TargetMode="External"/><Relationship Id="rId1398" Type="http://schemas.openxmlformats.org/officeDocument/2006/relationships/hyperlink" Target="https://drive.google.com/open?id=1jcZnjwFtjFh83BxilisNpCFs9HTH77Fi" TargetMode="External"/><Relationship Id="rId1399" Type="http://schemas.openxmlformats.org/officeDocument/2006/relationships/hyperlink" Target="https://drive.google.com/open?id=1bwW9IcUKXG_TWQRps_hePXAPMWwOAmfR" TargetMode="External"/><Relationship Id="rId1389" Type="http://schemas.openxmlformats.org/officeDocument/2006/relationships/hyperlink" Target="https://drive.google.com/open?id=1w3M89nx0gMi9X7uaHB9hhXIOVnXOk8Am" TargetMode="External"/><Relationship Id="rId799" Type="http://schemas.openxmlformats.org/officeDocument/2006/relationships/hyperlink" Target="https://drive.google.com/open?id=1Ihkp2qtNiKH9lzV53Syay14cphQRT7oV" TargetMode="External"/><Relationship Id="rId798" Type="http://schemas.openxmlformats.org/officeDocument/2006/relationships/hyperlink" Target="https://drive.google.com/open?id=1QsMoNRbLXMDbvckeIFFEqVhX0IKJg2R7" TargetMode="External"/><Relationship Id="rId797" Type="http://schemas.openxmlformats.org/officeDocument/2006/relationships/hyperlink" Target="https://drive.google.com/open?id=1u93pawfuYiNJYSrCyMxHQgNeKTnaG2pw" TargetMode="External"/><Relationship Id="rId1380" Type="http://schemas.openxmlformats.org/officeDocument/2006/relationships/hyperlink" Target="https://drive.google.com/open?id=1LqrFZaBYVGlWuQ4S5nHw6bP0SaM6AwYl" TargetMode="External"/><Relationship Id="rId792" Type="http://schemas.openxmlformats.org/officeDocument/2006/relationships/hyperlink" Target="https://drive.google.com/open?id=13YrmKbg6CqZgN_ZQMARZCS4XqOgiKqNp" TargetMode="External"/><Relationship Id="rId1381" Type="http://schemas.openxmlformats.org/officeDocument/2006/relationships/hyperlink" Target="https://drive.google.com/open?id=1DvyG10jsQLAedHHEDDHeQ3aIPiqOR1Jk" TargetMode="External"/><Relationship Id="rId791" Type="http://schemas.openxmlformats.org/officeDocument/2006/relationships/hyperlink" Target="https://drive.google.com/open?id=1XWvuKZ7RkxiAwvpkbhr68814qtIP2Ygb" TargetMode="External"/><Relationship Id="rId1382" Type="http://schemas.openxmlformats.org/officeDocument/2006/relationships/hyperlink" Target="https://drive.google.com/open?id=1oYhraCQq6q68DI15pMXUYjD7kdenMAH-" TargetMode="External"/><Relationship Id="rId790" Type="http://schemas.openxmlformats.org/officeDocument/2006/relationships/hyperlink" Target="https://drive.google.com/open?id=18_TkZT_6yU0r6dSUkCt-VWNkjefVJg9m" TargetMode="External"/><Relationship Id="rId1383" Type="http://schemas.openxmlformats.org/officeDocument/2006/relationships/hyperlink" Target="https://drive.google.com/open?id=1eKqhGUybfgp-LVxZ03kjLGNZe0x60HiM" TargetMode="External"/><Relationship Id="rId1384" Type="http://schemas.openxmlformats.org/officeDocument/2006/relationships/hyperlink" Target="https://drive.google.com/open?id=1jEbGLXCQ4oSL_Zn9S9hzS5sCu_3YAr_K" TargetMode="External"/><Relationship Id="rId796" Type="http://schemas.openxmlformats.org/officeDocument/2006/relationships/hyperlink" Target="https://drive.google.com/open?id=1CpvrnthTwEdhIvYAO0zy-GCubjkRlXnl" TargetMode="External"/><Relationship Id="rId1385" Type="http://schemas.openxmlformats.org/officeDocument/2006/relationships/hyperlink" Target="https://drive.google.com/open?id=1eYYBRT_MMK1Ab7rBgVjcPhTHnYqCalq0" TargetMode="External"/><Relationship Id="rId795" Type="http://schemas.openxmlformats.org/officeDocument/2006/relationships/hyperlink" Target="https://drive.google.com/open?id=1okmGdQhimmQJvL3Q4TI1INNOqRTEJww-" TargetMode="External"/><Relationship Id="rId1386" Type="http://schemas.openxmlformats.org/officeDocument/2006/relationships/hyperlink" Target="https://drive.google.com/open?id=1wQG51shT_RVSI2-ZaG5z42ObC96GNLPb" TargetMode="External"/><Relationship Id="rId794" Type="http://schemas.openxmlformats.org/officeDocument/2006/relationships/hyperlink" Target="https://drive.google.com/open?id=1QbF2NRuslNrjAculaG9cmy9neJckJrwc" TargetMode="External"/><Relationship Id="rId1387" Type="http://schemas.openxmlformats.org/officeDocument/2006/relationships/hyperlink" Target="https://drive.google.com/open?id=1Cr1LcSm-DpUgGkAlUqYGlin2xYsbKnnu" TargetMode="External"/><Relationship Id="rId793" Type="http://schemas.openxmlformats.org/officeDocument/2006/relationships/hyperlink" Target="https://drive.google.com/open?id=1nfksfOwnwGMkTfv31gHVmOwe83-3Bd3e" TargetMode="External"/><Relationship Id="rId1388" Type="http://schemas.openxmlformats.org/officeDocument/2006/relationships/hyperlink" Target="https://drive.google.com/open?id=1BwYdiArM7v2ZG9T2YXS5_o2ajqs16y10" TargetMode="External"/><Relationship Id="rId3191" Type="http://schemas.openxmlformats.org/officeDocument/2006/relationships/hyperlink" Target="https://drive.google.com/open?id=1cAVrx2HlPoHQmAjsLWZBuHDaMwkvFJHm" TargetMode="External"/><Relationship Id="rId3190" Type="http://schemas.openxmlformats.org/officeDocument/2006/relationships/hyperlink" Target="https://drive.google.com/open?id=1FMBJMwGOrW3NGIe2gPlWdmpUxRPmPrhh" TargetMode="External"/><Relationship Id="rId3193" Type="http://schemas.openxmlformats.org/officeDocument/2006/relationships/hyperlink" Target="https://drive.google.com/open?id=1-tGUsaFsJdpuLQSLIZg02HWuTphTbtQR" TargetMode="External"/><Relationship Id="rId3192" Type="http://schemas.openxmlformats.org/officeDocument/2006/relationships/hyperlink" Target="https://drive.google.com/open?id=1zhwEiPFk7YLjHM8uyHu5Bk5aBoYb3Mwn" TargetMode="External"/><Relationship Id="rId3195" Type="http://schemas.openxmlformats.org/officeDocument/2006/relationships/hyperlink" Target="https://drive.google.com/open?id=1Kygq249ZD1cV4xup4fkinhwwbnt_PGn6" TargetMode="External"/><Relationship Id="rId3194" Type="http://schemas.openxmlformats.org/officeDocument/2006/relationships/hyperlink" Target="https://drive.google.com/open?id=1uAvo9vj_wx7kIP94IRp89-nDl39U3kvr" TargetMode="External"/><Relationship Id="rId3197" Type="http://schemas.openxmlformats.org/officeDocument/2006/relationships/hyperlink" Target="https://drive.google.com/open?id=1A2gUNyBsAi-uqdCt2IfGHP41D3Zt5cUA" TargetMode="External"/><Relationship Id="rId3196" Type="http://schemas.openxmlformats.org/officeDocument/2006/relationships/hyperlink" Target="https://drive.google.com/open?id=1-yjAZNAeJZRImIOKDA73oPjSYJ2bcWRs" TargetMode="External"/><Relationship Id="rId3199" Type="http://schemas.openxmlformats.org/officeDocument/2006/relationships/hyperlink" Target="https://drive.google.com/open?id=1BZtZ4qF9v-cFelmLuxFCkc6jqeQgImz2" TargetMode="External"/><Relationship Id="rId3198" Type="http://schemas.openxmlformats.org/officeDocument/2006/relationships/hyperlink" Target="https://drive.google.com/open?id=1-usxq-FY3YflI2zClW3JHzSA29yAQqi5" TargetMode="External"/><Relationship Id="rId3180" Type="http://schemas.openxmlformats.org/officeDocument/2006/relationships/hyperlink" Target="https://drive.google.com/open?id=1wETXefYpRjY9vk_cYIs_mtYGM8Q7ix_u" TargetMode="External"/><Relationship Id="rId3182" Type="http://schemas.openxmlformats.org/officeDocument/2006/relationships/hyperlink" Target="https://drive.google.com/open?id=1lwFPkKl1oKlPOHvmHl8foS0Q6Ngv_7GZ" TargetMode="External"/><Relationship Id="rId3181" Type="http://schemas.openxmlformats.org/officeDocument/2006/relationships/hyperlink" Target="https://drive.google.com/open?id=1O0c0eDtnhLLkKvFMF6qf6eHpm1ihxtoa" TargetMode="External"/><Relationship Id="rId3184" Type="http://schemas.openxmlformats.org/officeDocument/2006/relationships/hyperlink" Target="https://drive.google.com/open?id=1q-EndCSAYLUAvlzUKkaab57equbAHl54" TargetMode="External"/><Relationship Id="rId3183" Type="http://schemas.openxmlformats.org/officeDocument/2006/relationships/hyperlink" Target="https://drive.google.com/open?id=1ExOCfu8QqfYciSYyeAksi68HT2hSNOLC" TargetMode="External"/><Relationship Id="rId3186" Type="http://schemas.openxmlformats.org/officeDocument/2006/relationships/hyperlink" Target="https://drive.google.com/open?id=1X7J2WmWhDl_HSRwbw5dDuPwkV6QGxzT7" TargetMode="External"/><Relationship Id="rId3185" Type="http://schemas.openxmlformats.org/officeDocument/2006/relationships/hyperlink" Target="https://drive.google.com/open?id=1gaCNMxfZCxtH8rMGMSzidP1yBIUKrw_7" TargetMode="External"/><Relationship Id="rId3188" Type="http://schemas.openxmlformats.org/officeDocument/2006/relationships/hyperlink" Target="https://drive.google.com/open?id=1bZKzWPhIqmGddyu7ZzZk8kgeWXFSn7wo" TargetMode="External"/><Relationship Id="rId3187" Type="http://schemas.openxmlformats.org/officeDocument/2006/relationships/hyperlink" Target="https://drive.google.com/open?id=1HUX0fvV9N6GaLMl7JCHZMsiWMbP5iKLN" TargetMode="External"/><Relationship Id="rId3189" Type="http://schemas.openxmlformats.org/officeDocument/2006/relationships/hyperlink" Target="https://drive.google.com/open?id=1yNLWDGYooOn7-vafXpldZ04HaxgfbgOO" TargetMode="External"/><Relationship Id="rId3151" Type="http://schemas.openxmlformats.org/officeDocument/2006/relationships/hyperlink" Target="https://drive.google.com/open?id=1Ms2UZP93jfr1AQxjFpKRrhP_U87YENdT" TargetMode="External"/><Relationship Id="rId3150" Type="http://schemas.openxmlformats.org/officeDocument/2006/relationships/hyperlink" Target="https://drive.google.com/open?id=1a2iGZusfwbm6GTY7tmAUWb-EvKMU2pUk" TargetMode="External"/><Relationship Id="rId3153" Type="http://schemas.openxmlformats.org/officeDocument/2006/relationships/hyperlink" Target="https://drive.google.com/open?id=1u4j_9fNS5nUuXHCtTFOuqJ5xhAnlFRiN" TargetMode="External"/><Relationship Id="rId3152" Type="http://schemas.openxmlformats.org/officeDocument/2006/relationships/hyperlink" Target="https://drive.google.com/open?id=1AQd54Kw41BKQ_TOevuhCY-NsjJ5t_3mY" TargetMode="External"/><Relationship Id="rId3155" Type="http://schemas.openxmlformats.org/officeDocument/2006/relationships/hyperlink" Target="https://drive.google.com/open?id=1dVCn7pRZRAtkbcZH4MF_5U901Nv2pzZk" TargetMode="External"/><Relationship Id="rId3154" Type="http://schemas.openxmlformats.org/officeDocument/2006/relationships/hyperlink" Target="https://drive.google.com/open?id=1cPJ7LLYH8A5voJZKgIHkS6U2NGG0Ujtg" TargetMode="External"/><Relationship Id="rId3157" Type="http://schemas.openxmlformats.org/officeDocument/2006/relationships/hyperlink" Target="https://drive.google.com/open?id=11M7z6HcNduofnSF0G9E_Ux-auVNEzpzI" TargetMode="External"/><Relationship Id="rId3156" Type="http://schemas.openxmlformats.org/officeDocument/2006/relationships/hyperlink" Target="https://drive.google.com/open?id=1zeFuw6mvuopkMi1v5PgVPubsT7DejCGg" TargetMode="External"/><Relationship Id="rId3159" Type="http://schemas.openxmlformats.org/officeDocument/2006/relationships/hyperlink" Target="https://drive.google.com/open?id=19-RF1dEhku4rvNmNJexbLVhz3B2VJpLD" TargetMode="External"/><Relationship Id="rId3158" Type="http://schemas.openxmlformats.org/officeDocument/2006/relationships/hyperlink" Target="https://drive.google.com/open?id=1-sfCv0f6zt9NX165knjsrquRgTLTiKZl" TargetMode="External"/><Relationship Id="rId3149" Type="http://schemas.openxmlformats.org/officeDocument/2006/relationships/hyperlink" Target="https://drive.google.com/open?id=1X5ZDuP3aJZZbj0ujJ5G01rbs97QgfV8Q" TargetMode="External"/><Relationship Id="rId3140" Type="http://schemas.openxmlformats.org/officeDocument/2006/relationships/hyperlink" Target="https://drive.google.com/open?id=1rUkzvv6527qnFcV6okX-ARkVf9D9YUY2" TargetMode="External"/><Relationship Id="rId3142" Type="http://schemas.openxmlformats.org/officeDocument/2006/relationships/hyperlink" Target="https://drive.google.com/open?id=1_-B0mwRUWeHwzyWsipICMJeW0bIkEiEC" TargetMode="External"/><Relationship Id="rId3141" Type="http://schemas.openxmlformats.org/officeDocument/2006/relationships/hyperlink" Target="https://drive.google.com/open?id=1LZh4QQcoqQbxnfCm9MrtOHV-B4Lg5Dts" TargetMode="External"/><Relationship Id="rId3144" Type="http://schemas.openxmlformats.org/officeDocument/2006/relationships/hyperlink" Target="https://drive.google.com/open?id=1sY7XluTu0mTSm57ng_mcN-iQaj1NxE1G" TargetMode="External"/><Relationship Id="rId3143" Type="http://schemas.openxmlformats.org/officeDocument/2006/relationships/hyperlink" Target="https://drive.google.com/open?id=1yIVP7waQl8PimZnZB10QKSgFza1pZwpC" TargetMode="External"/><Relationship Id="rId3146" Type="http://schemas.openxmlformats.org/officeDocument/2006/relationships/hyperlink" Target="https://drive.google.com/open?id=1nPtmkyjQ11G5xb7-qIxqNtFlr62kbAo2" TargetMode="External"/><Relationship Id="rId3145" Type="http://schemas.openxmlformats.org/officeDocument/2006/relationships/hyperlink" Target="https://drive.google.com/open?id=1mQ7ZZ3jtLcmCk020xq2IFoC1Ju85Nlvu" TargetMode="External"/><Relationship Id="rId3148" Type="http://schemas.openxmlformats.org/officeDocument/2006/relationships/hyperlink" Target="https://drive.google.com/open?id=1Km-7q1RmF9eq-_JssxSU6jsPUiBslmb_" TargetMode="External"/><Relationship Id="rId3147" Type="http://schemas.openxmlformats.org/officeDocument/2006/relationships/hyperlink" Target="https://drive.google.com/open?id=1yoBslLkYH12Ql6Nzw8ucmG1-4FCEB-Pa" TargetMode="External"/><Relationship Id="rId3171" Type="http://schemas.openxmlformats.org/officeDocument/2006/relationships/hyperlink" Target="https://drive.google.com/open?id=1n10FP_oTXMHarl5n4CqLAPk8AGV2-KIX" TargetMode="External"/><Relationship Id="rId3170" Type="http://schemas.openxmlformats.org/officeDocument/2006/relationships/hyperlink" Target="https://drive.google.com/open?id=1-uQTWCfFjrNaOck62iqoArwDu28T6Zod" TargetMode="External"/><Relationship Id="rId3173" Type="http://schemas.openxmlformats.org/officeDocument/2006/relationships/hyperlink" Target="https://drive.google.com/open?id=1jcL_ggg4aox7m1LB9jZOAR77ZUICSdI0" TargetMode="External"/><Relationship Id="rId3172" Type="http://schemas.openxmlformats.org/officeDocument/2006/relationships/hyperlink" Target="https://drive.google.com/open?id=1LihFvw-8uh0EFL_m5x8V32qh2m9FQDGK" TargetMode="External"/><Relationship Id="rId3175" Type="http://schemas.openxmlformats.org/officeDocument/2006/relationships/hyperlink" Target="https://drive.google.com/open?id=1bFrL--n4HJ0darRlsaiwHX-5M4ZWrqvk" TargetMode="External"/><Relationship Id="rId3174" Type="http://schemas.openxmlformats.org/officeDocument/2006/relationships/hyperlink" Target="https://drive.google.com/open?id=1l-JwEk5noxOoknpMRy33NxOlaRh6ye6D" TargetMode="External"/><Relationship Id="rId3177" Type="http://schemas.openxmlformats.org/officeDocument/2006/relationships/hyperlink" Target="https://drive.google.com/open?id=1oJByIcqwAy_r0QmmUc-Q2ziFmpEYtio1" TargetMode="External"/><Relationship Id="rId3176" Type="http://schemas.openxmlformats.org/officeDocument/2006/relationships/hyperlink" Target="https://drive.google.com/open?id=1NFjtGJdvrBOoHWFTFZEx9ZCR-9VzFMle" TargetMode="External"/><Relationship Id="rId3179" Type="http://schemas.openxmlformats.org/officeDocument/2006/relationships/hyperlink" Target="https://drive.google.com/open?id=1RkHzm5pvjaHou95YnNXcaE4ljtvEIBHG" TargetMode="External"/><Relationship Id="rId3178" Type="http://schemas.openxmlformats.org/officeDocument/2006/relationships/hyperlink" Target="https://drive.google.com/open?id=1nZIe31HkF1KOSwuw7zFCzVNb4HotlTkM" TargetMode="External"/><Relationship Id="rId3160" Type="http://schemas.openxmlformats.org/officeDocument/2006/relationships/hyperlink" Target="https://drive.google.com/open?id=1dwNJWiwY8liZf5mme9n0lM1dxoJXgu-z" TargetMode="External"/><Relationship Id="rId3162" Type="http://schemas.openxmlformats.org/officeDocument/2006/relationships/hyperlink" Target="https://drive.google.com/open?id=18anrc2LQa2vMm_s5jBJtXX4Sgx5VL8uz" TargetMode="External"/><Relationship Id="rId3161" Type="http://schemas.openxmlformats.org/officeDocument/2006/relationships/hyperlink" Target="https://drive.google.com/open?id=1Sf5BIziFPe6DcRfztz_8Ib2A1kr1zrKZ" TargetMode="External"/><Relationship Id="rId3164" Type="http://schemas.openxmlformats.org/officeDocument/2006/relationships/hyperlink" Target="https://drive.google.com/open?id=1b3eb9tOwdstWKPvNafRct_u2d-MD0a_k" TargetMode="External"/><Relationship Id="rId3163" Type="http://schemas.openxmlformats.org/officeDocument/2006/relationships/hyperlink" Target="https://drive.google.com/open?id=1C8KYslPE7DLMV8sXwlIH99hplSVHYgRr" TargetMode="External"/><Relationship Id="rId3166" Type="http://schemas.openxmlformats.org/officeDocument/2006/relationships/hyperlink" Target="https://drive.google.com/open?id=1dlVNxjLpGiJFbZcbKsQNmkL2CEqYtP7Z" TargetMode="External"/><Relationship Id="rId3165" Type="http://schemas.openxmlformats.org/officeDocument/2006/relationships/hyperlink" Target="https://drive.google.com/open?id=1ryfD0n6CC39vqwlSP4wwruIQL6CyNtw4" TargetMode="External"/><Relationship Id="rId3168" Type="http://schemas.openxmlformats.org/officeDocument/2006/relationships/hyperlink" Target="https://drive.google.com/open?id=1WQzVuC-qku6__Ww6m9hXPafCGLXRbbwD" TargetMode="External"/><Relationship Id="rId3167" Type="http://schemas.openxmlformats.org/officeDocument/2006/relationships/hyperlink" Target="https://drive.google.com/open?id=1qjxf8OC-zegM0Y3zVP-q5ZeKxijRoT7d" TargetMode="External"/><Relationship Id="rId3169" Type="http://schemas.openxmlformats.org/officeDocument/2006/relationships/hyperlink" Target="https://drive.google.com/open?id=1ax-Li0hQHyo5TLrDHoOF_cHcv0Bre__T" TargetMode="External"/><Relationship Id="rId2700" Type="http://schemas.openxmlformats.org/officeDocument/2006/relationships/hyperlink" Target="https://drive.google.com/open?id=1TbUTWmkNBmP782RhI1V0BfyeVomIOrUk" TargetMode="External"/><Relationship Id="rId2701" Type="http://schemas.openxmlformats.org/officeDocument/2006/relationships/hyperlink" Target="https://drive.google.com/open?id=1CULVGvC-XjzLfavPPdopwxzIT1LbDelb" TargetMode="External"/><Relationship Id="rId2702" Type="http://schemas.openxmlformats.org/officeDocument/2006/relationships/hyperlink" Target="https://drive.google.com/open?id=1_XUhlultFgriyyod9WT0-tHwn4IpttaA" TargetMode="External"/><Relationship Id="rId2703" Type="http://schemas.openxmlformats.org/officeDocument/2006/relationships/hyperlink" Target="https://drive.google.com/open?id=1za8LnnyvX7ZJ3gkPDfZoaX6CbDd0mLnl" TargetMode="External"/><Relationship Id="rId2704" Type="http://schemas.openxmlformats.org/officeDocument/2006/relationships/hyperlink" Target="https://drive.google.com/open?id=1tiNO237tGwsk-KdAIFdZqTQvR9yN9AMM" TargetMode="External"/><Relationship Id="rId2705" Type="http://schemas.openxmlformats.org/officeDocument/2006/relationships/hyperlink" Target="https://drive.google.com/open?id=1YqWSJjFExqoCkPyJ1tReklmS8v21MJob" TargetMode="External"/><Relationship Id="rId2706" Type="http://schemas.openxmlformats.org/officeDocument/2006/relationships/hyperlink" Target="https://drive.google.com/open?id=1k-gdkZ0zMt2t5I2uTNMsFO4sRppqrrkP" TargetMode="External"/><Relationship Id="rId2707" Type="http://schemas.openxmlformats.org/officeDocument/2006/relationships/hyperlink" Target="https://drive.google.com/open?id=1r_fGOaBK-91qMpplUy9xQXY-emBP-q76" TargetMode="External"/><Relationship Id="rId2708" Type="http://schemas.openxmlformats.org/officeDocument/2006/relationships/hyperlink" Target="https://drive.google.com/open?id=1l0lK3p5SSfCaGOiKmJhawLv9LynBU2wB" TargetMode="External"/><Relationship Id="rId2709" Type="http://schemas.openxmlformats.org/officeDocument/2006/relationships/hyperlink" Target="https://drive.google.com/open?id=13OcgKesP4kysjubafN_oVuBzdoC4H8bG" TargetMode="External"/><Relationship Id="rId2720" Type="http://schemas.openxmlformats.org/officeDocument/2006/relationships/hyperlink" Target="https://drive.google.com/open?id=1h2pzuEgrjPZrID0YasSCpBDS1-SrXPaP" TargetMode="External"/><Relationship Id="rId2721" Type="http://schemas.openxmlformats.org/officeDocument/2006/relationships/hyperlink" Target="https://drive.google.com/open?id=1qRdIUwlpx1NLvoeEDksLNh_JRrt2UbRR" TargetMode="External"/><Relationship Id="rId2722" Type="http://schemas.openxmlformats.org/officeDocument/2006/relationships/hyperlink" Target="https://drive.google.com/open?id=1gXMdDCxnHr68670BaH5fRuXIDSZiC5Ad" TargetMode="External"/><Relationship Id="rId2723" Type="http://schemas.openxmlformats.org/officeDocument/2006/relationships/hyperlink" Target="https://drive.google.com/open?id=1ilLx_ShaYf0B9Mp--Igt8QSEVz1CPUFT" TargetMode="External"/><Relationship Id="rId2724" Type="http://schemas.openxmlformats.org/officeDocument/2006/relationships/hyperlink" Target="https://drive.google.com/open?id=1Li6FMJvGi6De5Nro1ye-BOKGx6kh7waF" TargetMode="External"/><Relationship Id="rId2725" Type="http://schemas.openxmlformats.org/officeDocument/2006/relationships/hyperlink" Target="https://drive.google.com/open?id=1CbhP48t3oVe7QDOBZ_r8hRUmR21X7a2m" TargetMode="External"/><Relationship Id="rId2726" Type="http://schemas.openxmlformats.org/officeDocument/2006/relationships/hyperlink" Target="https://drive.google.com/open?id=1jT-nNFgbsBT8A3xR4GtCAvaCjv_LQBJG" TargetMode="External"/><Relationship Id="rId2727" Type="http://schemas.openxmlformats.org/officeDocument/2006/relationships/hyperlink" Target="https://drive.google.com/open?id=1vPx3dfvLyyRDqEwe-CNzxp3YS0KML0kU" TargetMode="External"/><Relationship Id="rId2728" Type="http://schemas.openxmlformats.org/officeDocument/2006/relationships/hyperlink" Target="https://drive.google.com/open?id=1q7M3o_6ZsO90BxuuuPU5DZLgAMlmZZ9V" TargetMode="External"/><Relationship Id="rId2729" Type="http://schemas.openxmlformats.org/officeDocument/2006/relationships/hyperlink" Target="https://drive.google.com/open?id=1L-2Q6-68DddknL-fCcI5jb5cOap3snE4" TargetMode="External"/><Relationship Id="rId2710" Type="http://schemas.openxmlformats.org/officeDocument/2006/relationships/hyperlink" Target="https://drive.google.com/open?id=1tfg33Kc4nwF3OSz7DQRWbQCe5Id7nJkY" TargetMode="External"/><Relationship Id="rId2711" Type="http://schemas.openxmlformats.org/officeDocument/2006/relationships/hyperlink" Target="https://drive.google.com/open?id=1hzBr_TpnFkMX68O31OYN0Yqnckf4cRSn" TargetMode="External"/><Relationship Id="rId2712" Type="http://schemas.openxmlformats.org/officeDocument/2006/relationships/hyperlink" Target="https://drive.google.com/open?id=1eVXSRhqGvJYw2DwUwJYDkiQF6lBNwiyc" TargetMode="External"/><Relationship Id="rId2713" Type="http://schemas.openxmlformats.org/officeDocument/2006/relationships/hyperlink" Target="https://drive.google.com/open?id=1DBo_VesJByZpKcK2mrRXUrRlyESkFxuq" TargetMode="External"/><Relationship Id="rId2714" Type="http://schemas.openxmlformats.org/officeDocument/2006/relationships/hyperlink" Target="https://drive.google.com/open?id=1PTf5iJ7SHLrVv2Nq-etwZIkE9btkH2QH" TargetMode="External"/><Relationship Id="rId2715" Type="http://schemas.openxmlformats.org/officeDocument/2006/relationships/hyperlink" Target="https://drive.google.com/open?id=1BMfwopZj6kxg9b2P6eeiLt5FUqZXggL_" TargetMode="External"/><Relationship Id="rId2716" Type="http://schemas.openxmlformats.org/officeDocument/2006/relationships/hyperlink" Target="https://drive.google.com/open?id=14AAQGnYcIcjpq3pHcH0K5dK83b6pL1jF" TargetMode="External"/><Relationship Id="rId2717" Type="http://schemas.openxmlformats.org/officeDocument/2006/relationships/hyperlink" Target="https://drive.google.com/open?id=1fHWRyJltpLs4yTcT-0yMA4PBDFoZsOfV" TargetMode="External"/><Relationship Id="rId2718" Type="http://schemas.openxmlformats.org/officeDocument/2006/relationships/hyperlink" Target="https://drive.google.com/open?id=1lBpwmo23g4nbkyqaYWqD0uSKepWt3GIl" TargetMode="External"/><Relationship Id="rId2719" Type="http://schemas.openxmlformats.org/officeDocument/2006/relationships/hyperlink" Target="https://drive.google.com/open?id=1qKLeC6SWYUKBJviKrBwI6we2tO8Wdme2" TargetMode="External"/><Relationship Id="rId1455" Type="http://schemas.openxmlformats.org/officeDocument/2006/relationships/hyperlink" Target="https://drive.google.com/open?id=16PEM29yAv9rscHx8KGOlW-oQxq_oeVuz" TargetMode="External"/><Relationship Id="rId2786" Type="http://schemas.openxmlformats.org/officeDocument/2006/relationships/hyperlink" Target="https://drive.google.com/open?id=1ybWM7IU-GXQZzERqMCjQ2aSc0LNwQWzr" TargetMode="External"/><Relationship Id="rId1456" Type="http://schemas.openxmlformats.org/officeDocument/2006/relationships/hyperlink" Target="https://drive.google.com/open?id=1EZ9h3lXtm-bATaf7AU3v8OJOLsDVxw3N" TargetMode="External"/><Relationship Id="rId2787" Type="http://schemas.openxmlformats.org/officeDocument/2006/relationships/hyperlink" Target="https://drive.google.com/open?id=1_y1OsWfPATvltBvE9NhzDpXYR1IgzA8O" TargetMode="External"/><Relationship Id="rId1457" Type="http://schemas.openxmlformats.org/officeDocument/2006/relationships/hyperlink" Target="https://drive.google.com/open?id=1JMSTOOh56awOZKvQDi92jTChvKvdPhFi" TargetMode="External"/><Relationship Id="rId2788" Type="http://schemas.openxmlformats.org/officeDocument/2006/relationships/hyperlink" Target="https://drive.google.com/open?id=1-J1YScSGTuEP4s2h8UmhJiiJNgkMHnSd" TargetMode="External"/><Relationship Id="rId1458" Type="http://schemas.openxmlformats.org/officeDocument/2006/relationships/hyperlink" Target="https://drive.google.com/open?id=1SEKgJOBAry7MT6F1LrI3nF0r2E7JL2vP" TargetMode="External"/><Relationship Id="rId2789" Type="http://schemas.openxmlformats.org/officeDocument/2006/relationships/hyperlink" Target="https://drive.google.com/open?id=1tsSN5Y0rqRWYJRqnVKY0AOo5z91VU-5A" TargetMode="External"/><Relationship Id="rId1459" Type="http://schemas.openxmlformats.org/officeDocument/2006/relationships/hyperlink" Target="https://drive.google.com/open?id=1MWO2MOkPtUYZ2eDtqWZN_sqesJ1v6R7F" TargetMode="External"/><Relationship Id="rId629" Type="http://schemas.openxmlformats.org/officeDocument/2006/relationships/hyperlink" Target="https://drive.google.com/open?id=1BFJcHIKI_J6DN-VWQvSz9xyo8CzCCSxX" TargetMode="External"/><Relationship Id="rId624" Type="http://schemas.openxmlformats.org/officeDocument/2006/relationships/hyperlink" Target="https://drive.google.com/open?id=176x2BETRZyOfIN_SzFPWAMojfjmHBVRN" TargetMode="External"/><Relationship Id="rId623" Type="http://schemas.openxmlformats.org/officeDocument/2006/relationships/hyperlink" Target="https://drive.google.com/open?id=1cc2bU0tRJ4sCa5OyawLDoPUSarVIZR35" TargetMode="External"/><Relationship Id="rId622" Type="http://schemas.openxmlformats.org/officeDocument/2006/relationships/hyperlink" Target="https://drive.google.com/open?id=1g4F6xq7bGgyTOL8c9M_gphhBgRLt2B0Q" TargetMode="External"/><Relationship Id="rId621" Type="http://schemas.openxmlformats.org/officeDocument/2006/relationships/hyperlink" Target="https://drive.google.com/open?id=1XRse73WWGHmfKlEkoCTy77rr3IY571vK" TargetMode="External"/><Relationship Id="rId628" Type="http://schemas.openxmlformats.org/officeDocument/2006/relationships/hyperlink" Target="https://drive.google.com/open?id=1wOyZQfkElT3mwnBjGZQsx9dyLWrKky77" TargetMode="External"/><Relationship Id="rId627" Type="http://schemas.openxmlformats.org/officeDocument/2006/relationships/hyperlink" Target="https://drive.google.com/open?id=15TOymwwzeJFIMSVmKSiamPMD_73JxnLX" TargetMode="External"/><Relationship Id="rId626" Type="http://schemas.openxmlformats.org/officeDocument/2006/relationships/hyperlink" Target="https://drive.google.com/open?id=1aUtBXl2GlncFRLAnEVCW28t1jrrHYmvN" TargetMode="External"/><Relationship Id="rId625" Type="http://schemas.openxmlformats.org/officeDocument/2006/relationships/hyperlink" Target="https://drive.google.com/open?id=1U2fGz1IVLjlAetMy87kNzfAASRHH4IQT" TargetMode="External"/><Relationship Id="rId2780" Type="http://schemas.openxmlformats.org/officeDocument/2006/relationships/hyperlink" Target="https://drive.google.com/open?id=1o_h6o-CL0PblA6yptyR42GVMN6sBt9Vd" TargetMode="External"/><Relationship Id="rId1450" Type="http://schemas.openxmlformats.org/officeDocument/2006/relationships/hyperlink" Target="https://drive.google.com/open?id=1RXCk_hzdhpf3LViMxwSAh_c5l5XgOrMp" TargetMode="External"/><Relationship Id="rId2781" Type="http://schemas.openxmlformats.org/officeDocument/2006/relationships/hyperlink" Target="https://drive.google.com/open?id=186PTfiXqIDVmcYt7Msisn1801lJ-Ejjj" TargetMode="External"/><Relationship Id="rId620" Type="http://schemas.openxmlformats.org/officeDocument/2006/relationships/hyperlink" Target="https://drive.google.com/open?id=1KQKBtgJMaZjusPoegFgc9cGKiAsAqPT9" TargetMode="External"/><Relationship Id="rId1451" Type="http://schemas.openxmlformats.org/officeDocument/2006/relationships/hyperlink" Target="https://drive.google.com/open?id=1YBAMDO4Vnq5k7pNIewc5-ilhpCy5qQRI" TargetMode="External"/><Relationship Id="rId2782" Type="http://schemas.openxmlformats.org/officeDocument/2006/relationships/hyperlink" Target="https://drive.google.com/open?id=1X5ewON0hu1Np115N4ph8K_hQykCoJS7T" TargetMode="External"/><Relationship Id="rId1452" Type="http://schemas.openxmlformats.org/officeDocument/2006/relationships/hyperlink" Target="https://drive.google.com/open?id=1TI_RxRvCYMjq4OBtJvPcUydC8Se4OTqJ" TargetMode="External"/><Relationship Id="rId2783" Type="http://schemas.openxmlformats.org/officeDocument/2006/relationships/hyperlink" Target="https://drive.google.com/open?id=1WEf71-ZF5J8ymTeKSq63bqnh8sf4V_jQ" TargetMode="External"/><Relationship Id="rId1453" Type="http://schemas.openxmlformats.org/officeDocument/2006/relationships/hyperlink" Target="https://drive.google.com/open?id=1YMxSBIHfnxWBf-9uTl78R8nD2ASLtslk" TargetMode="External"/><Relationship Id="rId2784" Type="http://schemas.openxmlformats.org/officeDocument/2006/relationships/hyperlink" Target="https://drive.google.com/open?id=1QTGxwHXoXQMaQUtPdrp5JNe7MFDYVCri" TargetMode="External"/><Relationship Id="rId1454" Type="http://schemas.openxmlformats.org/officeDocument/2006/relationships/hyperlink" Target="https://drive.google.com/open?id=1ZVLN3K5BjS9lkdIeYnC2NmIhzkjXJZYI" TargetMode="External"/><Relationship Id="rId2785" Type="http://schemas.openxmlformats.org/officeDocument/2006/relationships/hyperlink" Target="https://drive.google.com/open?id=155QAt8TNHSHCJTpvcXwzRAbPtHvzu6Se" TargetMode="External"/><Relationship Id="rId1444" Type="http://schemas.openxmlformats.org/officeDocument/2006/relationships/hyperlink" Target="https://drive.google.com/open?id=1hrXyxrEUaG0PX5btKlGy19d5WlVc3yPB" TargetMode="External"/><Relationship Id="rId2775" Type="http://schemas.openxmlformats.org/officeDocument/2006/relationships/hyperlink" Target="https://drive.google.com/open?id=1N7xv_4iYBvnZb0tVL0rB5xsvW4pkICqx" TargetMode="External"/><Relationship Id="rId1445" Type="http://schemas.openxmlformats.org/officeDocument/2006/relationships/hyperlink" Target="https://drive.google.com/open?id=1pKVwaUbgG4Yw9pknLO_P5dYf5hXCCi9k" TargetMode="External"/><Relationship Id="rId2776" Type="http://schemas.openxmlformats.org/officeDocument/2006/relationships/hyperlink" Target="https://drive.google.com/open?id=1lZHPdSceQ70kRfWzChSC5N4CgRVAoJKP" TargetMode="External"/><Relationship Id="rId1446" Type="http://schemas.openxmlformats.org/officeDocument/2006/relationships/hyperlink" Target="https://drive.google.com/open?id=1Oo5nygSTal06VrJCUybzJOcmRbYJGn1I" TargetMode="External"/><Relationship Id="rId2777" Type="http://schemas.openxmlformats.org/officeDocument/2006/relationships/hyperlink" Target="https://drive.google.com/open?id=1pNu9a5qfAvEpDjKNFHxN2EY4aCQiD8_h" TargetMode="External"/><Relationship Id="rId1447" Type="http://schemas.openxmlformats.org/officeDocument/2006/relationships/hyperlink" Target="https://drive.google.com/open?id=1KgGZLPPtGQs8QxkgzZb3wTx_T6pq34eI" TargetMode="External"/><Relationship Id="rId2778" Type="http://schemas.openxmlformats.org/officeDocument/2006/relationships/hyperlink" Target="https://drive.google.com/open?id=1YIsPrtf6atj43USICM2LKcE0yN901bPo" TargetMode="External"/><Relationship Id="rId1448" Type="http://schemas.openxmlformats.org/officeDocument/2006/relationships/hyperlink" Target="https://drive.google.com/open?id=1XB6JxejyLgO8tw00GPcNQW-K1NU-f3MP" TargetMode="External"/><Relationship Id="rId2779" Type="http://schemas.openxmlformats.org/officeDocument/2006/relationships/hyperlink" Target="https://drive.google.com/open?id=1UB8c22CCTQTv-e3IChOSBiuxcs1qZJ1j" TargetMode="External"/><Relationship Id="rId1449" Type="http://schemas.openxmlformats.org/officeDocument/2006/relationships/hyperlink" Target="https://drive.google.com/open?id=1CPkAHGFXUbwOBQAnnM3NciOf6AZFz7DL" TargetMode="External"/><Relationship Id="rId619" Type="http://schemas.openxmlformats.org/officeDocument/2006/relationships/hyperlink" Target="https://drive.google.com/open?id=1-eXYeJMHeF4BO-xOzxya09qgwylNNj_p" TargetMode="External"/><Relationship Id="rId618" Type="http://schemas.openxmlformats.org/officeDocument/2006/relationships/hyperlink" Target="https://drive.google.com/open?id=1Yhp6I4nVFkfUizYTt6Z2tL3XRvCSACw9" TargetMode="External"/><Relationship Id="rId613" Type="http://schemas.openxmlformats.org/officeDocument/2006/relationships/hyperlink" Target="https://drive.google.com/open?id=10_6cEKQ_vgfLZnIBBrb_O5_KOLW7ybdd" TargetMode="External"/><Relationship Id="rId612" Type="http://schemas.openxmlformats.org/officeDocument/2006/relationships/hyperlink" Target="https://drive.google.com/open?id=1jM8RJnxrgOlg3H8aQYKGq9wBzCt94Qnh" TargetMode="External"/><Relationship Id="rId611" Type="http://schemas.openxmlformats.org/officeDocument/2006/relationships/hyperlink" Target="https://drive.google.com/open?id=1LpeeCLXuUk_LsHmLvCTr6lXvQhgKzLx4" TargetMode="External"/><Relationship Id="rId610" Type="http://schemas.openxmlformats.org/officeDocument/2006/relationships/hyperlink" Target="https://drive.google.com/open?id=1z7nZAE14S73_ZvcZIwJ_z3kvFW_JJd1g" TargetMode="External"/><Relationship Id="rId617" Type="http://schemas.openxmlformats.org/officeDocument/2006/relationships/hyperlink" Target="https://drive.google.com/open?id=1Vpxp66ESUGv5cUEolBp00KBUgXE8ufLt" TargetMode="External"/><Relationship Id="rId616" Type="http://schemas.openxmlformats.org/officeDocument/2006/relationships/hyperlink" Target="https://drive.google.com/open?id=1MkfEHzgBACYAEf6oWyA_ddwr42yF6CmE" TargetMode="External"/><Relationship Id="rId615" Type="http://schemas.openxmlformats.org/officeDocument/2006/relationships/hyperlink" Target="https://drive.google.com/open?id=1ssSxMUNgUTTSuJ67QwBji2EophSbCZdr" TargetMode="External"/><Relationship Id="rId614" Type="http://schemas.openxmlformats.org/officeDocument/2006/relationships/hyperlink" Target="https://drive.google.com/open?id=1LETzSYCtleQZVD3s5yzDrrejMJwTL3Kt" TargetMode="External"/><Relationship Id="rId2770" Type="http://schemas.openxmlformats.org/officeDocument/2006/relationships/hyperlink" Target="https://drive.google.com/open?id=1E9aMT8vqizyjVs68HzXBHOL1CHMe_-hL" TargetMode="External"/><Relationship Id="rId1440" Type="http://schemas.openxmlformats.org/officeDocument/2006/relationships/hyperlink" Target="https://drive.google.com/open?id=1Le-RJKgykvDRvgH8vNEQU_mkIFRfEPl8" TargetMode="External"/><Relationship Id="rId2771" Type="http://schemas.openxmlformats.org/officeDocument/2006/relationships/hyperlink" Target="https://drive.google.com/open?id=141uGs0LcrorgYJ_V29Wn0NIRMLyhL0yq" TargetMode="External"/><Relationship Id="rId1441" Type="http://schemas.openxmlformats.org/officeDocument/2006/relationships/hyperlink" Target="https://drive.google.com/open?id=1hr_i45BIIJ7UUl-Lv_hjxXCwWxUsertu" TargetMode="External"/><Relationship Id="rId2772" Type="http://schemas.openxmlformats.org/officeDocument/2006/relationships/hyperlink" Target="https://drive.google.com/open?id=13tvxJZXP9AXYv8ZmZ6rKDkCm3YedaCdG" TargetMode="External"/><Relationship Id="rId1442" Type="http://schemas.openxmlformats.org/officeDocument/2006/relationships/hyperlink" Target="https://drive.google.com/open?id=14-DKhRSMzO7t6BAeWyQI_c3-QE2XwbyP" TargetMode="External"/><Relationship Id="rId2773" Type="http://schemas.openxmlformats.org/officeDocument/2006/relationships/hyperlink" Target="https://drive.google.com/open?id=13kIdWn-I4q2ZPQaR3NQ5XQTyQ36acwac" TargetMode="External"/><Relationship Id="rId1443" Type="http://schemas.openxmlformats.org/officeDocument/2006/relationships/hyperlink" Target="https://drive.google.com/open?id=1Jq9GENn9EKsAGWXKcfFjWuxplmqs6tkZ" TargetMode="External"/><Relationship Id="rId2774" Type="http://schemas.openxmlformats.org/officeDocument/2006/relationships/hyperlink" Target="https://drive.google.com/open?id=1j6Tjfc8xm6wQ1zXNLYr-9CLRDPpSEkzZ" TargetMode="External"/><Relationship Id="rId1477" Type="http://schemas.openxmlformats.org/officeDocument/2006/relationships/hyperlink" Target="https://drive.google.com/open?id=1mlPHJbyTjPOb-9ZEilHf5BpsFxuooCtZ" TargetMode="External"/><Relationship Id="rId1478" Type="http://schemas.openxmlformats.org/officeDocument/2006/relationships/hyperlink" Target="https://drive.google.com/open?id=1AvEYJsKqN_uBCMKmkytTbA5azbrmQbNU" TargetMode="External"/><Relationship Id="rId1479" Type="http://schemas.openxmlformats.org/officeDocument/2006/relationships/hyperlink" Target="https://drive.google.com/open?id=1Ew4qPYLM1f1VqT1-TOS1GRg3V0H6dtml" TargetMode="External"/><Relationship Id="rId646" Type="http://schemas.openxmlformats.org/officeDocument/2006/relationships/hyperlink" Target="https://drive.google.com/open?id=1WrBXkHecVioElk39etGinGx8isZ5jWeZ" TargetMode="External"/><Relationship Id="rId645" Type="http://schemas.openxmlformats.org/officeDocument/2006/relationships/hyperlink" Target="https://drive.google.com/open?id=1SKhub3yuXxdkIZW08yepQuif50kRgaKa" TargetMode="External"/><Relationship Id="rId644" Type="http://schemas.openxmlformats.org/officeDocument/2006/relationships/hyperlink" Target="https://drive.google.com/open?id=17q9aAGuugTyavsEvfcey-USgVdFGE1RQ" TargetMode="External"/><Relationship Id="rId643" Type="http://schemas.openxmlformats.org/officeDocument/2006/relationships/hyperlink" Target="https://drive.google.com/open?id=1wyEZvjSJlqGRAdxO9xlwPa-66qzaRY92" TargetMode="External"/><Relationship Id="rId649" Type="http://schemas.openxmlformats.org/officeDocument/2006/relationships/hyperlink" Target="https://drive.google.com/open?id=18vUAblK-f0QilxGypYW7UV4Wn5ae3j01" TargetMode="External"/><Relationship Id="rId648" Type="http://schemas.openxmlformats.org/officeDocument/2006/relationships/hyperlink" Target="https://drive.google.com/open?id=1Msz8t3VuyXPIo7kS_qqoJeXWU6pCYAo9" TargetMode="External"/><Relationship Id="rId647" Type="http://schemas.openxmlformats.org/officeDocument/2006/relationships/hyperlink" Target="https://drive.google.com/open?id=1yc2y2GMMqzsyKYkSt-aYJKpSD3OE-DDu" TargetMode="External"/><Relationship Id="rId1470" Type="http://schemas.openxmlformats.org/officeDocument/2006/relationships/hyperlink" Target="https://drive.google.com/open?id=1DWHe6p9mkwhGafBRQ86MyvU4QtWWjDSG" TargetMode="External"/><Relationship Id="rId1471" Type="http://schemas.openxmlformats.org/officeDocument/2006/relationships/hyperlink" Target="https://drive.google.com/open?id=1_F5DoTAJ3sc8hGCZVshX3uIaDWzbb6yR" TargetMode="External"/><Relationship Id="rId1472" Type="http://schemas.openxmlformats.org/officeDocument/2006/relationships/hyperlink" Target="https://drive.google.com/open?id=1lGaWtpgh_j0Exn_uDfSZFKdDhJoupSWS" TargetMode="External"/><Relationship Id="rId642" Type="http://schemas.openxmlformats.org/officeDocument/2006/relationships/hyperlink" Target="https://drive.google.com/open?id=1UqdkRAGTv0-B-n2Ilf4LLttGqe46fo9O" TargetMode="External"/><Relationship Id="rId1473" Type="http://schemas.openxmlformats.org/officeDocument/2006/relationships/hyperlink" Target="https://drive.google.com/open?id=1_5_sp1KcEOUsUxgcLRICCf2UJ_ARUxNY" TargetMode="External"/><Relationship Id="rId641" Type="http://schemas.openxmlformats.org/officeDocument/2006/relationships/hyperlink" Target="https://drive.google.com/open?id=17u6_LtLcXLh9iC12FPntKpFxdsPYAWhJ" TargetMode="External"/><Relationship Id="rId1474" Type="http://schemas.openxmlformats.org/officeDocument/2006/relationships/hyperlink" Target="https://drive.google.com/open?id=1rmyuXY4x0iCzdwFBONPReVPmUXeX_Kve" TargetMode="External"/><Relationship Id="rId640" Type="http://schemas.openxmlformats.org/officeDocument/2006/relationships/hyperlink" Target="https://drive.google.com/open?id=18S9NcAcb5BciPRT5k8KcXjCVyqiAgtAq" TargetMode="External"/><Relationship Id="rId1475" Type="http://schemas.openxmlformats.org/officeDocument/2006/relationships/hyperlink" Target="https://drive.google.com/open?id=1xiTd3_FEn4os4OwClNFHW2MS8OuiwCPe" TargetMode="External"/><Relationship Id="rId1476" Type="http://schemas.openxmlformats.org/officeDocument/2006/relationships/hyperlink" Target="https://drive.google.com/open?id=1Zz0gIvndg3l0aDP5c4cLkTu9HSlE8EGv" TargetMode="External"/><Relationship Id="rId1466" Type="http://schemas.openxmlformats.org/officeDocument/2006/relationships/hyperlink" Target="https://drive.google.com/open?id=1izspZ1CgSSQReQAdTeXeyhMZe8pj7odW" TargetMode="External"/><Relationship Id="rId2797" Type="http://schemas.openxmlformats.org/officeDocument/2006/relationships/hyperlink" Target="https://drive.google.com/open?id=1c4VYnMtE3Bh9tKg1yMGeTnVaV8tkYFh7" TargetMode="External"/><Relationship Id="rId1467" Type="http://schemas.openxmlformats.org/officeDocument/2006/relationships/hyperlink" Target="https://drive.google.com/open?id=1a-0dopiIjpkME88VLELYV6XE3zkQd-qu" TargetMode="External"/><Relationship Id="rId2798" Type="http://schemas.openxmlformats.org/officeDocument/2006/relationships/hyperlink" Target="https://drive.google.com/open?id=1s1vEiCpnQvINerrUnr_EqzuccOCnB4xp" TargetMode="External"/><Relationship Id="rId1468" Type="http://schemas.openxmlformats.org/officeDocument/2006/relationships/hyperlink" Target="https://drive.google.com/open?id=1NfBpc-nJStFQRSwexxYRA8M1vnN8cHZc" TargetMode="External"/><Relationship Id="rId2799" Type="http://schemas.openxmlformats.org/officeDocument/2006/relationships/hyperlink" Target="https://drive.google.com/open?id=1znvsdj9uCs7bsYsJBUgO9bDj-Yp09QC3" TargetMode="External"/><Relationship Id="rId1469" Type="http://schemas.openxmlformats.org/officeDocument/2006/relationships/hyperlink" Target="https://drive.google.com/open?id=1ylC50ew6A-062zcIa7LfKRFgtcGxdEst" TargetMode="External"/><Relationship Id="rId635" Type="http://schemas.openxmlformats.org/officeDocument/2006/relationships/hyperlink" Target="https://drive.google.com/open?id=1NbGsiqEoct76q37U7_RKYFBBh_8hgYks" TargetMode="External"/><Relationship Id="rId634" Type="http://schemas.openxmlformats.org/officeDocument/2006/relationships/hyperlink" Target="https://drive.google.com/open?id=1c3Ev3HjVjkNl-weH6yp0zhY16JFhO6-N" TargetMode="External"/><Relationship Id="rId633" Type="http://schemas.openxmlformats.org/officeDocument/2006/relationships/hyperlink" Target="https://drive.google.com/open?id=1iHF2GwH1R-ONcPAWXJW66PS2-ISZEJso" TargetMode="External"/><Relationship Id="rId632" Type="http://schemas.openxmlformats.org/officeDocument/2006/relationships/hyperlink" Target="https://drive.google.com/open?id=1hjWjMVxRBiBB93zPsKVif2hReRbH5Eac" TargetMode="External"/><Relationship Id="rId639" Type="http://schemas.openxmlformats.org/officeDocument/2006/relationships/hyperlink" Target="https://drive.google.com/open?id=17bE_nWGOlyWJObEeA-dFlrGdWPPAynuy" TargetMode="External"/><Relationship Id="rId638" Type="http://schemas.openxmlformats.org/officeDocument/2006/relationships/hyperlink" Target="https://drive.google.com/open?id=1eqyZuQVPImn_S_faNOPyWr8nfaM8T_23" TargetMode="External"/><Relationship Id="rId637" Type="http://schemas.openxmlformats.org/officeDocument/2006/relationships/hyperlink" Target="https://drive.google.com/open?id=1OI9NtQdcPxr235rZfsdvNV2a55KqNLkG" TargetMode="External"/><Relationship Id="rId636" Type="http://schemas.openxmlformats.org/officeDocument/2006/relationships/hyperlink" Target="https://drive.google.com/open?id=1fUvm5M-moI_Jk9GMMAeLMoS2PGqhucxA" TargetMode="External"/><Relationship Id="rId2790" Type="http://schemas.openxmlformats.org/officeDocument/2006/relationships/hyperlink" Target="https://drive.google.com/open?id=1uu1kn6IheMdW2zLiI3vo6ZTBcSMqKIRq" TargetMode="External"/><Relationship Id="rId1460" Type="http://schemas.openxmlformats.org/officeDocument/2006/relationships/hyperlink" Target="https://drive.google.com/open?id=13d896x0Eh8FuOUU59wpRiQhW_Kf1MzZP" TargetMode="External"/><Relationship Id="rId2791" Type="http://schemas.openxmlformats.org/officeDocument/2006/relationships/hyperlink" Target="https://drive.google.com/open?id=1PUjeOljOPMAuPswEivMK63l-Uc6JEudX" TargetMode="External"/><Relationship Id="rId1461" Type="http://schemas.openxmlformats.org/officeDocument/2006/relationships/hyperlink" Target="https://drive.google.com/open?id=1H0bJvfIzTsbJ7hywL0bWg9d03mFkA5DO" TargetMode="External"/><Relationship Id="rId2792" Type="http://schemas.openxmlformats.org/officeDocument/2006/relationships/hyperlink" Target="https://drive.google.com/open?id=1huSu8OtD-TYFDATnGL38G5rwr_BbNfaX" TargetMode="External"/><Relationship Id="rId631" Type="http://schemas.openxmlformats.org/officeDocument/2006/relationships/hyperlink" Target="https://drive.google.com/open?id=1BMKUKwdzpTZLZNTzbdeArq5pGafmU289" TargetMode="External"/><Relationship Id="rId1462" Type="http://schemas.openxmlformats.org/officeDocument/2006/relationships/hyperlink" Target="https://drive.google.com/open?id=1EWOpZBlISPOaJbOlbYI8eoIWSUoZNFOY" TargetMode="External"/><Relationship Id="rId2793" Type="http://schemas.openxmlformats.org/officeDocument/2006/relationships/hyperlink" Target="https://drive.google.com/open?id=1U-VUBzFNzh5F2yNF0LN1GdBW_23bkPu-" TargetMode="External"/><Relationship Id="rId630" Type="http://schemas.openxmlformats.org/officeDocument/2006/relationships/hyperlink" Target="https://drive.google.com/open?id=1ooyX9BCFAvrQ3ISHxBZ3s27YGXosEjiz" TargetMode="External"/><Relationship Id="rId1463" Type="http://schemas.openxmlformats.org/officeDocument/2006/relationships/hyperlink" Target="https://drive.google.com/open?id=10U_y3tf9AGKLIyxiujQWXuFT4tdxH0bJ" TargetMode="External"/><Relationship Id="rId2794" Type="http://schemas.openxmlformats.org/officeDocument/2006/relationships/hyperlink" Target="https://drive.google.com/open?id=1rUqwz7tdtdzmgpTuiTfZE463LBXRhe_f" TargetMode="External"/><Relationship Id="rId1464" Type="http://schemas.openxmlformats.org/officeDocument/2006/relationships/hyperlink" Target="https://drive.google.com/open?id=1AmP8oawdisvQkr0TFJnxzGNzbctY1gc6" TargetMode="External"/><Relationship Id="rId2795" Type="http://schemas.openxmlformats.org/officeDocument/2006/relationships/hyperlink" Target="https://drive.google.com/open?id=1v5PZUWvDj0cCsoyfr2EF9VQiLyFz2xwd" TargetMode="External"/><Relationship Id="rId1465" Type="http://schemas.openxmlformats.org/officeDocument/2006/relationships/hyperlink" Target="https://drive.google.com/open?id=1PntbAs_vq99gQ3bbdA5Dn0m7cNf16dVn" TargetMode="External"/><Relationship Id="rId2796" Type="http://schemas.openxmlformats.org/officeDocument/2006/relationships/hyperlink" Target="https://drive.google.com/open?id=1f0yyk0Ed3975noOe43r7j7mNlRE84u9T" TargetMode="External"/><Relationship Id="rId1411" Type="http://schemas.openxmlformats.org/officeDocument/2006/relationships/hyperlink" Target="https://drive.google.com/open?id=1-ctJJ27BpBzcr1fCzPzBYMVsMWkS2g0p" TargetMode="External"/><Relationship Id="rId2742" Type="http://schemas.openxmlformats.org/officeDocument/2006/relationships/hyperlink" Target="https://drive.google.com/open?id=1v00s8JcfDlNY542OIXxYwiNiNdHSn2em" TargetMode="External"/><Relationship Id="rId1412" Type="http://schemas.openxmlformats.org/officeDocument/2006/relationships/hyperlink" Target="https://drive.google.com/open?id=1DslDS0yS0sxfbCji5uYHiIfwAK3j5HTW" TargetMode="External"/><Relationship Id="rId2743" Type="http://schemas.openxmlformats.org/officeDocument/2006/relationships/hyperlink" Target="https://drive.google.com/open?id=1RF82iy1Zx-cnZ7MmZKtUALh6R9R4CU7_" TargetMode="External"/><Relationship Id="rId1413" Type="http://schemas.openxmlformats.org/officeDocument/2006/relationships/hyperlink" Target="https://drive.google.com/open?id=15nK-hHOlP8hF-NQMsk8b2LIZxKGMlkbX" TargetMode="External"/><Relationship Id="rId2744" Type="http://schemas.openxmlformats.org/officeDocument/2006/relationships/hyperlink" Target="https://drive.google.com/open?id=1i7PNkcITM_OBN5syLqPG-kenzwQqiMbD" TargetMode="External"/><Relationship Id="rId1414" Type="http://schemas.openxmlformats.org/officeDocument/2006/relationships/hyperlink" Target="https://drive.google.com/open?id=1HCvELtVTh4YTmw0S990WBQMHQacuuUJi" TargetMode="External"/><Relationship Id="rId2745" Type="http://schemas.openxmlformats.org/officeDocument/2006/relationships/hyperlink" Target="https://drive.google.com/open?id=1iMqZbQ8rv-OkOsnvJE1gbdIRQBB-GbMq" TargetMode="External"/><Relationship Id="rId1415" Type="http://schemas.openxmlformats.org/officeDocument/2006/relationships/hyperlink" Target="https://drive.google.com/open?id=1bemS5Cpm21iaeAfJAoOgMMm3Mz1aMyxl" TargetMode="External"/><Relationship Id="rId2746" Type="http://schemas.openxmlformats.org/officeDocument/2006/relationships/hyperlink" Target="https://drive.google.com/open?id=1eGK2Iw9WUFS9wC_1lebwP467TcyFJBXY" TargetMode="External"/><Relationship Id="rId1416" Type="http://schemas.openxmlformats.org/officeDocument/2006/relationships/hyperlink" Target="https://drive.google.com/open?id=1t5V6UnEgHD5_0vPOCCMCHdwroRxb3Xzr" TargetMode="External"/><Relationship Id="rId2747" Type="http://schemas.openxmlformats.org/officeDocument/2006/relationships/hyperlink" Target="https://drive.google.com/open?id=1DdzVyXKUoPB0A07uz7d580BdRQp5j8t3" TargetMode="External"/><Relationship Id="rId1417" Type="http://schemas.openxmlformats.org/officeDocument/2006/relationships/hyperlink" Target="https://drive.google.com/open?id=1Vn161wTYNnGOcsJzhZGqQ1MG-ERwYYKT" TargetMode="External"/><Relationship Id="rId2748" Type="http://schemas.openxmlformats.org/officeDocument/2006/relationships/hyperlink" Target="https://drive.google.com/open?id=1VFfgHt2c7Mvf84PPSQK07ur8AyBEtnT3" TargetMode="External"/><Relationship Id="rId1418" Type="http://schemas.openxmlformats.org/officeDocument/2006/relationships/hyperlink" Target="https://drive.google.com/open?id=1Ep63izxbZrpA72sglwN05MfTssqFx6OY" TargetMode="External"/><Relationship Id="rId2749" Type="http://schemas.openxmlformats.org/officeDocument/2006/relationships/hyperlink" Target="https://drive.google.com/open?id=1caKqdSLrP-1FIZl3d6-wN_t3_AbhEmlm" TargetMode="External"/><Relationship Id="rId1419" Type="http://schemas.openxmlformats.org/officeDocument/2006/relationships/hyperlink" Target="https://drive.google.com/open?id=1PIWxziqe1Z9mH7f1vmAgQBFpryYSPRVJ" TargetMode="External"/><Relationship Id="rId2740" Type="http://schemas.openxmlformats.org/officeDocument/2006/relationships/hyperlink" Target="https://drive.google.com/open?id=1qQjDhzxUl_VwsjBwL2Q7FqWyGThuR8pe" TargetMode="External"/><Relationship Id="rId1410" Type="http://schemas.openxmlformats.org/officeDocument/2006/relationships/hyperlink" Target="https://drive.google.com/open?id=1KjrRZPrdtmR8vb6wwpBqT1dQlf9SsNYs" TargetMode="External"/><Relationship Id="rId2741" Type="http://schemas.openxmlformats.org/officeDocument/2006/relationships/hyperlink" Target="https://drive.google.com/open?id=1yZvinkvNEkoznIJDUW-BHZUOWD5I_jcR" TargetMode="External"/><Relationship Id="rId1400" Type="http://schemas.openxmlformats.org/officeDocument/2006/relationships/hyperlink" Target="https://drive.google.com/open?id=1PiQNmURBpmOSM1hjTU8t2zl3WKApLfO-" TargetMode="External"/><Relationship Id="rId2731" Type="http://schemas.openxmlformats.org/officeDocument/2006/relationships/hyperlink" Target="https://drive.google.com/open?id=1sZJ0JlYCJxWPcq43EwzKJs4qSn8_Jiyh" TargetMode="External"/><Relationship Id="rId1401" Type="http://schemas.openxmlformats.org/officeDocument/2006/relationships/hyperlink" Target="https://drive.google.com/open?id=1_kZk6Q3t5wP7FIyR4cY3qm1rqclLc-I6" TargetMode="External"/><Relationship Id="rId2732" Type="http://schemas.openxmlformats.org/officeDocument/2006/relationships/hyperlink" Target="https://drive.google.com/open?id=1E6E-32sFMOp0_7SXvXlB7BNpkomIS5uP" TargetMode="External"/><Relationship Id="rId1402" Type="http://schemas.openxmlformats.org/officeDocument/2006/relationships/hyperlink" Target="https://drive.google.com/open?id=1QRVBE24NsgrCNRvb4WoH4MN3IL7l8sHC" TargetMode="External"/><Relationship Id="rId2733" Type="http://schemas.openxmlformats.org/officeDocument/2006/relationships/hyperlink" Target="https://drive.google.com/open?id=1mq9tsg8a9-LrLcQZdsqpWV06MIUZTLKX" TargetMode="External"/><Relationship Id="rId1403" Type="http://schemas.openxmlformats.org/officeDocument/2006/relationships/hyperlink" Target="https://drive.google.com/open?id=1KtjOhDkJy1OXwSMXpS8Vj6R--P5j7S9_" TargetMode="External"/><Relationship Id="rId2734" Type="http://schemas.openxmlformats.org/officeDocument/2006/relationships/hyperlink" Target="https://drive.google.com/open?id=13y8Wa58XtH0-4GjlFo2_rLhshYdSHhLb" TargetMode="External"/><Relationship Id="rId1404" Type="http://schemas.openxmlformats.org/officeDocument/2006/relationships/hyperlink" Target="https://drive.google.com/open?id=1yPjSkFDq6n7zW7qiM1cE0ltVVaXv3Ahy" TargetMode="External"/><Relationship Id="rId2735" Type="http://schemas.openxmlformats.org/officeDocument/2006/relationships/hyperlink" Target="https://drive.google.com/open?id=1o822SiOmtWeJXiRxazklfwgQ4y10z_pC" TargetMode="External"/><Relationship Id="rId1405" Type="http://schemas.openxmlformats.org/officeDocument/2006/relationships/hyperlink" Target="https://drive.google.com/open?id=1ymE5XqXeTsxuBxpPeZckxZkTe30QyfWY" TargetMode="External"/><Relationship Id="rId2736" Type="http://schemas.openxmlformats.org/officeDocument/2006/relationships/hyperlink" Target="https://drive.google.com/open?id=16VDjmttg8bhD40CMdT6iXl5FYdTdZ0SZ" TargetMode="External"/><Relationship Id="rId1406" Type="http://schemas.openxmlformats.org/officeDocument/2006/relationships/hyperlink" Target="https://drive.google.com/open?id=1kiGCQEmcEUAm7r8-XDog4yAHfL2Coxx_" TargetMode="External"/><Relationship Id="rId2737" Type="http://schemas.openxmlformats.org/officeDocument/2006/relationships/hyperlink" Target="https://drive.google.com/open?id=1-G3LGMo_VdF9AdJLWOMlQ-cLPp202JFc" TargetMode="External"/><Relationship Id="rId1407" Type="http://schemas.openxmlformats.org/officeDocument/2006/relationships/hyperlink" Target="https://drive.google.com/open?id=158KsyI4HNTFUTUu8hvJ9EkH0uq__yi0q" TargetMode="External"/><Relationship Id="rId2738" Type="http://schemas.openxmlformats.org/officeDocument/2006/relationships/hyperlink" Target="https://drive.google.com/open?id=1OwSOhxRjtBAsZ4d2U7dddyLjZz4xePWD" TargetMode="External"/><Relationship Id="rId1408" Type="http://schemas.openxmlformats.org/officeDocument/2006/relationships/hyperlink" Target="https://drive.google.com/open?id=1rHCgUYmDdomBGzzTQZIXfKTYkO1RZ8HH" TargetMode="External"/><Relationship Id="rId2739" Type="http://schemas.openxmlformats.org/officeDocument/2006/relationships/hyperlink" Target="https://drive.google.com/open?id=1VsSTxSxcjIMfDO08--ys5eqouMxKiedJ" TargetMode="External"/><Relationship Id="rId1409" Type="http://schemas.openxmlformats.org/officeDocument/2006/relationships/hyperlink" Target="https://drive.google.com/open?id=1omeEZuylzjINlXx1FkUm3G_7y3ZxpT7r" TargetMode="External"/><Relationship Id="rId2730" Type="http://schemas.openxmlformats.org/officeDocument/2006/relationships/hyperlink" Target="https://drive.google.com/open?id=1oIdC5inU9nCM1dgTA_RnZJOCnUBGQEt7" TargetMode="External"/><Relationship Id="rId1433" Type="http://schemas.openxmlformats.org/officeDocument/2006/relationships/hyperlink" Target="https://drive.google.com/open?id=1JrcUEv-FWPA0zl2wAM8lyFsa_1q27mPw" TargetMode="External"/><Relationship Id="rId2764" Type="http://schemas.openxmlformats.org/officeDocument/2006/relationships/hyperlink" Target="https://drive.google.com/open?id=1Dj_i20XoA2qp_UJb8Mz2nNCEzqeFkZrZ" TargetMode="External"/><Relationship Id="rId1434" Type="http://schemas.openxmlformats.org/officeDocument/2006/relationships/hyperlink" Target="https://drive.google.com/open?id=1yx3cwujSuZ4uYWS8VJSmWOOGPhdQUVsz" TargetMode="External"/><Relationship Id="rId2765" Type="http://schemas.openxmlformats.org/officeDocument/2006/relationships/hyperlink" Target="https://drive.google.com/open?id=1JdCIAkJ9ZEVLsmBECQq8Aoa1YY9PI8X8" TargetMode="External"/><Relationship Id="rId1435" Type="http://schemas.openxmlformats.org/officeDocument/2006/relationships/hyperlink" Target="https://drive.google.com/open?id=1vHfJPZrL4qqE4Ksz7A0bAUJ1iMpyADyk" TargetMode="External"/><Relationship Id="rId2766" Type="http://schemas.openxmlformats.org/officeDocument/2006/relationships/hyperlink" Target="https://drive.google.com/open?id=1eT8QHBL-lL78q_J2505Y85J-olwMeNGD" TargetMode="External"/><Relationship Id="rId1436" Type="http://schemas.openxmlformats.org/officeDocument/2006/relationships/hyperlink" Target="https://drive.google.com/open?id=1iu3bISdRaWeIwc7vlEdNm3HzTQkzLwyq" TargetMode="External"/><Relationship Id="rId2767" Type="http://schemas.openxmlformats.org/officeDocument/2006/relationships/hyperlink" Target="https://drive.google.com/open?id=1TY7UxakWRsTToexaJS-Rp5wkG8Q-5ukd" TargetMode="External"/><Relationship Id="rId1437" Type="http://schemas.openxmlformats.org/officeDocument/2006/relationships/hyperlink" Target="https://drive.google.com/open?id=1o2k1DfQnfJABMtpICoreOMazX4Qptt82" TargetMode="External"/><Relationship Id="rId2768" Type="http://schemas.openxmlformats.org/officeDocument/2006/relationships/hyperlink" Target="https://drive.google.com/open?id=1NH0Ixak5pg3r5Yi0Rh526ZIO3XKB1dHJ" TargetMode="External"/><Relationship Id="rId1438" Type="http://schemas.openxmlformats.org/officeDocument/2006/relationships/hyperlink" Target="https://drive.google.com/open?id=1rCqXwSmo30zBsDrUG_LcHxCZqm7X9OMz" TargetMode="External"/><Relationship Id="rId2769" Type="http://schemas.openxmlformats.org/officeDocument/2006/relationships/hyperlink" Target="https://drive.google.com/open?id=1E97671fQSkXjqiUYAXbqv85aMgJFYnIP" TargetMode="External"/><Relationship Id="rId1439" Type="http://schemas.openxmlformats.org/officeDocument/2006/relationships/hyperlink" Target="https://drive.google.com/open?id=1lXYB-RDRwHCqDUQ8vmY2a5iXxr1d6szg" TargetMode="External"/><Relationship Id="rId609" Type="http://schemas.openxmlformats.org/officeDocument/2006/relationships/hyperlink" Target="https://drive.google.com/open?id=1ayaJ5dQ-_q5d8gV8NpMyZgufteS31cH4" TargetMode="External"/><Relationship Id="rId608" Type="http://schemas.openxmlformats.org/officeDocument/2006/relationships/hyperlink" Target="https://drive.google.com/open?id=1uaj2W-nuQraSxZ_SpAlOlwvbK3HKPL9z" TargetMode="External"/><Relationship Id="rId607" Type="http://schemas.openxmlformats.org/officeDocument/2006/relationships/hyperlink" Target="https://drive.google.com/open?id=1yuQ0oSbkKi52W_bbyYOloDerROpDyaM4" TargetMode="External"/><Relationship Id="rId602" Type="http://schemas.openxmlformats.org/officeDocument/2006/relationships/hyperlink" Target="https://drive.google.com/open?id=1F3V-8uZoPFwt-3U5E1rlo-bSWJ8ka-sY" TargetMode="External"/><Relationship Id="rId601" Type="http://schemas.openxmlformats.org/officeDocument/2006/relationships/hyperlink" Target="https://drive.google.com/open?id=1IS-jRStpUV4VKw4Dtzi8js7LPAmj9onv" TargetMode="External"/><Relationship Id="rId600" Type="http://schemas.openxmlformats.org/officeDocument/2006/relationships/hyperlink" Target="https://drive.google.com/open?id=1RQ1C_sHHbYGyaRlKayY5HN2kDhYyEYkc" TargetMode="External"/><Relationship Id="rId606" Type="http://schemas.openxmlformats.org/officeDocument/2006/relationships/hyperlink" Target="https://drive.google.com/open?id=1x-nE75Ei0w2iD_P6FR2dEUiiKKNRpypY" TargetMode="External"/><Relationship Id="rId605" Type="http://schemas.openxmlformats.org/officeDocument/2006/relationships/hyperlink" Target="https://drive.google.com/open?id=1rKkXMHyI8txzPjeKu24feC7Sc09tRMLs" TargetMode="External"/><Relationship Id="rId604" Type="http://schemas.openxmlformats.org/officeDocument/2006/relationships/hyperlink" Target="https://drive.google.com/open?id=1ZAV3OzK8aQGC8aKpqxQyyBxog6Z4JbcC" TargetMode="External"/><Relationship Id="rId603" Type="http://schemas.openxmlformats.org/officeDocument/2006/relationships/hyperlink" Target="https://drive.google.com/open?id=1dQ6FYzIOe2fqH5afkPShOj45kZGApfG0" TargetMode="External"/><Relationship Id="rId2760" Type="http://schemas.openxmlformats.org/officeDocument/2006/relationships/hyperlink" Target="https://drive.google.com/open?id=1czZ1Rl3rl85VC09HNTD4UpKEU_FqjziJ" TargetMode="External"/><Relationship Id="rId1430" Type="http://schemas.openxmlformats.org/officeDocument/2006/relationships/hyperlink" Target="https://drive.google.com/open?id=1vZcULmcYuhlhmzZN8vACSA_vqxSDjSYP" TargetMode="External"/><Relationship Id="rId2761" Type="http://schemas.openxmlformats.org/officeDocument/2006/relationships/hyperlink" Target="https://drive.google.com/open?id=1bw7GhB9HNBpCp-Jg5PuYP4EUPeE88ILd" TargetMode="External"/><Relationship Id="rId1431" Type="http://schemas.openxmlformats.org/officeDocument/2006/relationships/hyperlink" Target="https://drive.google.com/open?id=1TwM1uz5smCSzcxotnZ-qp0VFcVeJ7G_p" TargetMode="External"/><Relationship Id="rId2762" Type="http://schemas.openxmlformats.org/officeDocument/2006/relationships/hyperlink" Target="https://drive.google.com/open?id=1-HH7W7Zppq5ts_STcnRq5U_TzMy5fBj2" TargetMode="External"/><Relationship Id="rId1432" Type="http://schemas.openxmlformats.org/officeDocument/2006/relationships/hyperlink" Target="https://drive.google.com/open?id=1KN1V2N4uE3kh9GFXBE_x2tD06cHyjY7Y" TargetMode="External"/><Relationship Id="rId2763" Type="http://schemas.openxmlformats.org/officeDocument/2006/relationships/hyperlink" Target="https://drive.google.com/open?id=13UbZhn0XItqBFrrMZzRUO4Ysm8-hHwE6" TargetMode="External"/><Relationship Id="rId1422" Type="http://schemas.openxmlformats.org/officeDocument/2006/relationships/hyperlink" Target="https://drive.google.com/open?id=1KR2LCirQ_QDACBUKU8isNg1BAEScY7xH" TargetMode="External"/><Relationship Id="rId2753" Type="http://schemas.openxmlformats.org/officeDocument/2006/relationships/hyperlink" Target="https://drive.google.com/open?id=1azKAJqWY_70PvgqHT1PWhZEImJAmXZXm" TargetMode="External"/><Relationship Id="rId1423" Type="http://schemas.openxmlformats.org/officeDocument/2006/relationships/hyperlink" Target="https://drive.google.com/open?id=1SCp7rbWNgfRrzpudkHPVPn7wMBGhY_qC" TargetMode="External"/><Relationship Id="rId2754" Type="http://schemas.openxmlformats.org/officeDocument/2006/relationships/hyperlink" Target="https://drive.google.com/open?id=1iYPZDkv-MygzbrMhsYm2rR2n9yiSOKeF" TargetMode="External"/><Relationship Id="rId1424" Type="http://schemas.openxmlformats.org/officeDocument/2006/relationships/hyperlink" Target="https://drive.google.com/open?id=1q-JFuhd-Vz7UDHTwl8VQL-5nLmDOq_NJ" TargetMode="External"/><Relationship Id="rId2755" Type="http://schemas.openxmlformats.org/officeDocument/2006/relationships/hyperlink" Target="https://drive.google.com/open?id=1rGFF2CvV_YadJ6RFE6y06SksyUlVf-_D" TargetMode="External"/><Relationship Id="rId1425" Type="http://schemas.openxmlformats.org/officeDocument/2006/relationships/hyperlink" Target="https://drive.google.com/open?id=1FhKdvxsZ65MVDv5yDU3STqLgUXJ3uTZi" TargetMode="External"/><Relationship Id="rId2756" Type="http://schemas.openxmlformats.org/officeDocument/2006/relationships/hyperlink" Target="https://drive.google.com/open?id=1rvVoBcsFLs4rb8ISTqHNDO4XOuh89Dy9" TargetMode="External"/><Relationship Id="rId1426" Type="http://schemas.openxmlformats.org/officeDocument/2006/relationships/hyperlink" Target="https://drive.google.com/open?id=1U_bI47IlEjhHq51FoM5m-ljQk1X00KDV" TargetMode="External"/><Relationship Id="rId2757" Type="http://schemas.openxmlformats.org/officeDocument/2006/relationships/hyperlink" Target="https://drive.google.com/open?id=1VqxpuXrpmrSzxNe-RHViKH6s5y7Dyw01" TargetMode="External"/><Relationship Id="rId1427" Type="http://schemas.openxmlformats.org/officeDocument/2006/relationships/hyperlink" Target="https://drive.google.com/open?id=18f0PydUtDpY8AZs5DCtSlE8ZKbJo1Rms" TargetMode="External"/><Relationship Id="rId2758" Type="http://schemas.openxmlformats.org/officeDocument/2006/relationships/hyperlink" Target="https://drive.google.com/open?id=10pM-IxJZYAoYDlmsYHqyVBlQaDg62tmL" TargetMode="External"/><Relationship Id="rId1428" Type="http://schemas.openxmlformats.org/officeDocument/2006/relationships/hyperlink" Target="https://drive.google.com/open?id=1KrvkF0545Dbf4ZDwGLI9ySs7IMMsvcOi" TargetMode="External"/><Relationship Id="rId2759" Type="http://schemas.openxmlformats.org/officeDocument/2006/relationships/hyperlink" Target="https://drive.google.com/open?id=1iqZVowhOTAFK3ZFGA9qy6mwfdWeMViVq" TargetMode="External"/><Relationship Id="rId1429" Type="http://schemas.openxmlformats.org/officeDocument/2006/relationships/hyperlink" Target="https://drive.google.com/open?id=1deBjLqapu_vSd3dTSMe1IcOrPyCPQpRy" TargetMode="External"/><Relationship Id="rId2750" Type="http://schemas.openxmlformats.org/officeDocument/2006/relationships/hyperlink" Target="https://drive.google.com/open?id=1-fb_OreYI1WE6s9c6STy28jSD6ilnll0" TargetMode="External"/><Relationship Id="rId1420" Type="http://schemas.openxmlformats.org/officeDocument/2006/relationships/hyperlink" Target="https://drive.google.com/open?id=1aSw8cIPyQ4NXqzJ1ehHPNhdY0HohzVmT" TargetMode="External"/><Relationship Id="rId2751" Type="http://schemas.openxmlformats.org/officeDocument/2006/relationships/hyperlink" Target="https://drive.google.com/open?id=1cfTLTxjy9R-qT9DQE9S-dNIKb3vJx1mW" TargetMode="External"/><Relationship Id="rId1421" Type="http://schemas.openxmlformats.org/officeDocument/2006/relationships/hyperlink" Target="https://drive.google.com/open?id=1O2UJbzeIl19e2KnZtA6GR_mdRr3g8yTQ" TargetMode="External"/><Relationship Id="rId2752" Type="http://schemas.openxmlformats.org/officeDocument/2006/relationships/hyperlink" Target="https://drive.google.com/open?id=1YHHhtnQLHBnVUDZ4QvWRjVOzUJJ6Z6Iu" TargetMode="External"/><Relationship Id="rId3238" Type="http://schemas.openxmlformats.org/officeDocument/2006/relationships/hyperlink" Target="https://drive.google.com/open?id=1jJuoy6JL6gPiiEJToBXmnjqx2m_VWa1m" TargetMode="External"/><Relationship Id="rId3237" Type="http://schemas.openxmlformats.org/officeDocument/2006/relationships/hyperlink" Target="https://drive.google.com/open?id=1lztrCUngrRkqHk2PM7MGQtSfD0rtCtLN" TargetMode="External"/><Relationship Id="rId3239" Type="http://schemas.openxmlformats.org/officeDocument/2006/relationships/hyperlink" Target="https://drive.google.com/open?id=1BVntVvd1X7kKqk11NuYGhe-dz-Ubcp1w" TargetMode="External"/><Relationship Id="rId3230" Type="http://schemas.openxmlformats.org/officeDocument/2006/relationships/hyperlink" Target="https://drive.google.com/open?id=1mKQEy93AgvCkK4mKhPKvSSU-KLtZZjTg" TargetMode="External"/><Relationship Id="rId3232" Type="http://schemas.openxmlformats.org/officeDocument/2006/relationships/hyperlink" Target="https://drive.google.com/open?id=1JRk4T-R82ZGiy-HLN4udNwDJB9sjosJT" TargetMode="External"/><Relationship Id="rId3231" Type="http://schemas.openxmlformats.org/officeDocument/2006/relationships/hyperlink" Target="https://drive.google.com/open?id=14CUvPhbiu4Bia4Lmeal_NhrRqZ0VeMmq" TargetMode="External"/><Relationship Id="rId3234" Type="http://schemas.openxmlformats.org/officeDocument/2006/relationships/hyperlink" Target="https://drive.google.com/open?id=1yxAH9u97a7LnQqwTFoweiFSTTTlthUSY" TargetMode="External"/><Relationship Id="rId3233" Type="http://schemas.openxmlformats.org/officeDocument/2006/relationships/hyperlink" Target="https://drive.google.com/open?id=1ieW7qZGK98grLNX5ML64FkUFDwn2-GB_" TargetMode="External"/><Relationship Id="rId3236" Type="http://schemas.openxmlformats.org/officeDocument/2006/relationships/hyperlink" Target="https://drive.google.com/open?id=1Ad0uh903nMx9_RTSnLhpgOox0dC6-CVP" TargetMode="External"/><Relationship Id="rId3235" Type="http://schemas.openxmlformats.org/officeDocument/2006/relationships/hyperlink" Target="https://drive.google.com/open?id=1TF7ajv3NN51ekbvkBIn8ELoNCAyD1KDf" TargetMode="External"/><Relationship Id="rId3227" Type="http://schemas.openxmlformats.org/officeDocument/2006/relationships/hyperlink" Target="https://drive.google.com/open?id=13uLW0Wfc0D3JucfsvEV7M8YHQyl_l36S" TargetMode="External"/><Relationship Id="rId3226" Type="http://schemas.openxmlformats.org/officeDocument/2006/relationships/hyperlink" Target="https://drive.google.com/open?id=1eLZcYOeoTUbXpBQNcDbQ-3OsIzEnIpNo" TargetMode="External"/><Relationship Id="rId3229" Type="http://schemas.openxmlformats.org/officeDocument/2006/relationships/hyperlink" Target="https://drive.google.com/open?id=1w2Nq92rYeJHjQYciwSBIES7FE96sSLw_" TargetMode="External"/><Relationship Id="rId3228" Type="http://schemas.openxmlformats.org/officeDocument/2006/relationships/hyperlink" Target="https://drive.google.com/open?id=1Tm98T8BbEiYD7itQ0wgLviZAX5xmkpO6" TargetMode="External"/><Relationship Id="rId699" Type="http://schemas.openxmlformats.org/officeDocument/2006/relationships/hyperlink" Target="https://drive.google.com/open?id=1GFEJ2axVEFI2kSQLLpebp-V6bI08riB4" TargetMode="External"/><Relationship Id="rId698" Type="http://schemas.openxmlformats.org/officeDocument/2006/relationships/hyperlink" Target="https://drive.google.com/open?id=1OPXQZgvcF_r3oMm0oS91ncaXMufCsvdf" TargetMode="External"/><Relationship Id="rId693" Type="http://schemas.openxmlformats.org/officeDocument/2006/relationships/hyperlink" Target="https://drive.google.com/open?id=19FJTzA9TfohJD3mRzB6KNe1tzWJ5H-ug" TargetMode="External"/><Relationship Id="rId692" Type="http://schemas.openxmlformats.org/officeDocument/2006/relationships/hyperlink" Target="https://drive.google.com/open?id=11t9HzN06T88loNHgzqqIIFx18aHrvl27" TargetMode="External"/><Relationship Id="rId691" Type="http://schemas.openxmlformats.org/officeDocument/2006/relationships/hyperlink" Target="https://drive.google.com/open?id=1-kYGbb-2X36SVa5hGdBnPa_b7mYX2I3M" TargetMode="External"/><Relationship Id="rId3221" Type="http://schemas.openxmlformats.org/officeDocument/2006/relationships/hyperlink" Target="https://drive.google.com/open?id=1qNF_sU-C19PxeN8D3EW-gxwabJ_ilOP2" TargetMode="External"/><Relationship Id="rId690" Type="http://schemas.openxmlformats.org/officeDocument/2006/relationships/hyperlink" Target="https://drive.google.com/open?id=1P2AynpX1Ke1rM99HDBLCKRJpjz-jQ0wz" TargetMode="External"/><Relationship Id="rId3220" Type="http://schemas.openxmlformats.org/officeDocument/2006/relationships/hyperlink" Target="https://drive.google.com/open?id=102HkbQulP1lAOAC5Sj8KIAP9SEb5AZ4u" TargetMode="External"/><Relationship Id="rId697" Type="http://schemas.openxmlformats.org/officeDocument/2006/relationships/hyperlink" Target="https://drive.google.com/open?id=1laWkeaCCVTBcLOoEWNoEGc0BqdYHR-Fq" TargetMode="External"/><Relationship Id="rId3223" Type="http://schemas.openxmlformats.org/officeDocument/2006/relationships/hyperlink" Target="https://drive.google.com/open?id=1mQd1-m4Iv0_Ad-g5192R4Rgml8UP0glD" TargetMode="External"/><Relationship Id="rId696" Type="http://schemas.openxmlformats.org/officeDocument/2006/relationships/hyperlink" Target="https://drive.google.com/open?id=14pUpx9Er-7RLYEssZ4dlTDGPPkjpA5AZ" TargetMode="External"/><Relationship Id="rId3222" Type="http://schemas.openxmlformats.org/officeDocument/2006/relationships/hyperlink" Target="https://drive.google.com/open?id=1qG-CdMf04ghKo3mWsvTKCDPMZNDvXVPZ" TargetMode="External"/><Relationship Id="rId695" Type="http://schemas.openxmlformats.org/officeDocument/2006/relationships/hyperlink" Target="https://drive.google.com/open?id=1WSS4xX6SxZ_EFMVnK9d9RKeF-AZMDnOy" TargetMode="External"/><Relationship Id="rId3225" Type="http://schemas.openxmlformats.org/officeDocument/2006/relationships/hyperlink" Target="https://drive.google.com/open?id=1CNUZzSlyEpdUnZ85Q4LP9CYdERpJOfZU" TargetMode="External"/><Relationship Id="rId694" Type="http://schemas.openxmlformats.org/officeDocument/2006/relationships/hyperlink" Target="https://drive.google.com/open?id=1sNxCV03XJHprVddTtM37v_YVyElisDnQ" TargetMode="External"/><Relationship Id="rId3224" Type="http://schemas.openxmlformats.org/officeDocument/2006/relationships/hyperlink" Target="https://drive.google.com/open?id=17w9Av3I5zUNJKbIsOvRPjO5TW5-7ht88" TargetMode="External"/><Relationship Id="rId3259" Type="http://schemas.openxmlformats.org/officeDocument/2006/relationships/hyperlink" Target="https://drive.google.com/open?id=1dYHJtIRfIhBawj1KK0QIDb3wt40hedoR" TargetMode="External"/><Relationship Id="rId3250" Type="http://schemas.openxmlformats.org/officeDocument/2006/relationships/hyperlink" Target="https://drive.google.com/open?id=12KuwqynM7G88Cmz_yrEj563zIjsEaE0m" TargetMode="External"/><Relationship Id="rId3252" Type="http://schemas.openxmlformats.org/officeDocument/2006/relationships/hyperlink" Target="https://drive.google.com/open?id=1-YfoKJHXNx05F47KbNlFirtw48UBLJkM" TargetMode="External"/><Relationship Id="rId3251" Type="http://schemas.openxmlformats.org/officeDocument/2006/relationships/hyperlink" Target="https://drive.google.com/open?id=1We4Y5qN-1jsFJx8CjKgld4_a_OYlx5jG" TargetMode="External"/><Relationship Id="rId3254" Type="http://schemas.openxmlformats.org/officeDocument/2006/relationships/hyperlink" Target="https://drive.google.com/open?id=1DLN92oEwIaQOsqR3AsHVJGPSGk_Uxb-I" TargetMode="External"/><Relationship Id="rId3253" Type="http://schemas.openxmlformats.org/officeDocument/2006/relationships/hyperlink" Target="https://drive.google.com/open?id=1Zk9jPbqJhhn-KVZmCJFE0CqsJMCl8H2_" TargetMode="External"/><Relationship Id="rId3256" Type="http://schemas.openxmlformats.org/officeDocument/2006/relationships/hyperlink" Target="https://drive.google.com/open?id=1A29BbNhPDeAc9JGSI2mNE830w1LioCqo" TargetMode="External"/><Relationship Id="rId3255" Type="http://schemas.openxmlformats.org/officeDocument/2006/relationships/hyperlink" Target="https://drive.google.com/open?id=10b2sSGmjtbV8gnug68sqceHv2AUibDkF" TargetMode="External"/><Relationship Id="rId3258" Type="http://schemas.openxmlformats.org/officeDocument/2006/relationships/hyperlink" Target="https://drive.google.com/open?id=13WTc6Yw-QChso-_GbqNic4KOEaDUatve" TargetMode="External"/><Relationship Id="rId3257" Type="http://schemas.openxmlformats.org/officeDocument/2006/relationships/hyperlink" Target="https://drive.google.com/open?id=1-IT5rGYJJKMQI-7E2hD0T021h7j8WAj5" TargetMode="External"/><Relationship Id="rId3249" Type="http://schemas.openxmlformats.org/officeDocument/2006/relationships/hyperlink" Target="https://drive.google.com/open?id=1LMEbXYrF0xsEAIfKJAai5lTva6i09G7x" TargetMode="External"/><Relationship Id="rId3248" Type="http://schemas.openxmlformats.org/officeDocument/2006/relationships/hyperlink" Target="https://drive.google.com/open?id=1y4LiV4UKUefnSZhRmV4cfjAjJGL-nbsu" TargetMode="External"/><Relationship Id="rId3241" Type="http://schemas.openxmlformats.org/officeDocument/2006/relationships/hyperlink" Target="https://drive.google.com/open?id=15fjRzLmd29j_lCJDstSiX-idTwldqHx5" TargetMode="External"/><Relationship Id="rId3240" Type="http://schemas.openxmlformats.org/officeDocument/2006/relationships/hyperlink" Target="https://drive.google.com/open?id=1L6G16WiLOKH2Wl0V2nTR_pobmxxEDXbB" TargetMode="External"/><Relationship Id="rId3243" Type="http://schemas.openxmlformats.org/officeDocument/2006/relationships/hyperlink" Target="https://drive.google.com/open?id=1eI7ztmFDWYHGGRFFNfSqDjcYvNGqc610" TargetMode="External"/><Relationship Id="rId3242" Type="http://schemas.openxmlformats.org/officeDocument/2006/relationships/hyperlink" Target="https://drive.google.com/open?id=13rFhLOac7JWBvJnrKVccIJfUtbS_hqlV" TargetMode="External"/><Relationship Id="rId3245" Type="http://schemas.openxmlformats.org/officeDocument/2006/relationships/hyperlink" Target="https://drive.google.com/open?id=1Mq_imdvlT6U4XLXpDHlQhigzjMcjjVHL" TargetMode="External"/><Relationship Id="rId3244" Type="http://schemas.openxmlformats.org/officeDocument/2006/relationships/hyperlink" Target="https://drive.google.com/open?id=1WIjdNFwzY-S6RKwAJ0zGUwCikd8SHNMA" TargetMode="External"/><Relationship Id="rId3247" Type="http://schemas.openxmlformats.org/officeDocument/2006/relationships/hyperlink" Target="https://drive.google.com/open?id=1w6k2k_1KlH5rYbtvOyVkbSdwi1LzkKYP" TargetMode="External"/><Relationship Id="rId3246" Type="http://schemas.openxmlformats.org/officeDocument/2006/relationships/hyperlink" Target="https://drive.google.com/open?id=15dmyIUzNf2YUg3eV_BI0cKSQJf6-usfN" TargetMode="External"/><Relationship Id="rId1499" Type="http://schemas.openxmlformats.org/officeDocument/2006/relationships/hyperlink" Target="https://drive.google.com/open?id=1o9YY11UdvgI4BssUj4ySdea7535cPxni" TargetMode="External"/><Relationship Id="rId668" Type="http://schemas.openxmlformats.org/officeDocument/2006/relationships/hyperlink" Target="https://drive.google.com/open?id=10zHiHTbAUR9_UMPWUFIcnRjeUV9mAx4p" TargetMode="External"/><Relationship Id="rId667" Type="http://schemas.openxmlformats.org/officeDocument/2006/relationships/hyperlink" Target="https://drive.google.com/open?id=1jGCjHxvwwLqndrNq42gZHvSaPZnYCjer" TargetMode="External"/><Relationship Id="rId666" Type="http://schemas.openxmlformats.org/officeDocument/2006/relationships/hyperlink" Target="https://drive.google.com/open?id=1FKb3KrrRts4nKsPHY2j0PIeeTCSmxDZ2" TargetMode="External"/><Relationship Id="rId665" Type="http://schemas.openxmlformats.org/officeDocument/2006/relationships/hyperlink" Target="https://drive.google.com/open?id=19XxkUOj4mb7TBT3Tw0UoaCptE7gVOkun" TargetMode="External"/><Relationship Id="rId669" Type="http://schemas.openxmlformats.org/officeDocument/2006/relationships/hyperlink" Target="https://drive.google.com/open?id=1L6Cd2UnyZlK4f8tb66frZYCdZh_-MgT8" TargetMode="External"/><Relationship Id="rId1490" Type="http://schemas.openxmlformats.org/officeDocument/2006/relationships/hyperlink" Target="https://drive.google.com/open?id=164aVvqbe6Rh7bpLRvUjMYrwk2XBHV9Wh" TargetMode="External"/><Relationship Id="rId660" Type="http://schemas.openxmlformats.org/officeDocument/2006/relationships/hyperlink" Target="https://drive.google.com/open?id=1OWaPH2kDZyy3iwVWu2ZW2O4Vh8I9ZXUQ" TargetMode="External"/><Relationship Id="rId1491" Type="http://schemas.openxmlformats.org/officeDocument/2006/relationships/hyperlink" Target="https://drive.google.com/open?id=1RiXK-tEJmnDOEDWzPksXgZLWuciNoNPB" TargetMode="External"/><Relationship Id="rId1492" Type="http://schemas.openxmlformats.org/officeDocument/2006/relationships/hyperlink" Target="https://drive.google.com/open?id=18v9gkPZC7bK8nKB3GXwXDMa16E4IAH8-" TargetMode="External"/><Relationship Id="rId1493" Type="http://schemas.openxmlformats.org/officeDocument/2006/relationships/hyperlink" Target="https://drive.google.com/open?id=18N74AHAQn_byjPloKRjcOYEOiwLqmS0R" TargetMode="External"/><Relationship Id="rId1494" Type="http://schemas.openxmlformats.org/officeDocument/2006/relationships/hyperlink" Target="https://drive.google.com/open?id=19QYVxfeDmzOqH3xHCHwkt_z9VtnBLJYN" TargetMode="External"/><Relationship Id="rId664" Type="http://schemas.openxmlformats.org/officeDocument/2006/relationships/hyperlink" Target="https://drive.google.com/open?id=1dANyqXsFg93Qeqkb9Z2GeztEdW4KnW8G" TargetMode="External"/><Relationship Id="rId1495" Type="http://schemas.openxmlformats.org/officeDocument/2006/relationships/hyperlink" Target="https://drive.google.com/open?id=1wPKqBgMjcRMfrpMCJ5ZEvKEU8SktwqW-" TargetMode="External"/><Relationship Id="rId663" Type="http://schemas.openxmlformats.org/officeDocument/2006/relationships/hyperlink" Target="https://drive.google.com/open?id=1uE7xBBpuZ7KAuW2HpptJIYTSMPPROmny" TargetMode="External"/><Relationship Id="rId1496" Type="http://schemas.openxmlformats.org/officeDocument/2006/relationships/hyperlink" Target="https://drive.google.com/open?id=1LpmR8gHygcmke6F05FyaYR16QpKWRIFp" TargetMode="External"/><Relationship Id="rId662" Type="http://schemas.openxmlformats.org/officeDocument/2006/relationships/hyperlink" Target="https://drive.google.com/open?id=16p6l8lqs7E_20pFKurfwix0YhGHq9--j" TargetMode="External"/><Relationship Id="rId1497" Type="http://schemas.openxmlformats.org/officeDocument/2006/relationships/hyperlink" Target="https://drive.google.com/open?id=10pQPxy-SVTqoUbYHRWFa4cWIOafOyq86" TargetMode="External"/><Relationship Id="rId661" Type="http://schemas.openxmlformats.org/officeDocument/2006/relationships/hyperlink" Target="https://drive.google.com/open?id=1pbyMLuXRnFB4oMwge2BsDERCIJW5fUR0" TargetMode="External"/><Relationship Id="rId1498" Type="http://schemas.openxmlformats.org/officeDocument/2006/relationships/hyperlink" Target="https://drive.google.com/open?id=1KvsRVcgdWqwyCf6Oum1mn68SKrbidpQe" TargetMode="External"/><Relationship Id="rId1488" Type="http://schemas.openxmlformats.org/officeDocument/2006/relationships/hyperlink" Target="https://drive.google.com/open?id=1xnVY07dbHfUOE6G1WLNz5YspnLn31X3a" TargetMode="External"/><Relationship Id="rId1489" Type="http://schemas.openxmlformats.org/officeDocument/2006/relationships/hyperlink" Target="https://drive.google.com/open?id=1RxubVcYCvLTqNh5QS9R3ct7bwY8M7zCA" TargetMode="External"/><Relationship Id="rId657" Type="http://schemas.openxmlformats.org/officeDocument/2006/relationships/hyperlink" Target="https://drive.google.com/open?id=19qc5rUsHs46zVRk97JGhwL0m2vJ0whc-" TargetMode="External"/><Relationship Id="rId656" Type="http://schemas.openxmlformats.org/officeDocument/2006/relationships/hyperlink" Target="https://drive.google.com/open?id=1gXVCLceH4TSuYn9LOCv-MIHy0WcBQs3o" TargetMode="External"/><Relationship Id="rId655" Type="http://schemas.openxmlformats.org/officeDocument/2006/relationships/hyperlink" Target="https://drive.google.com/open?id=1Ys1Y4EWbRGJ0qzP-7URRCPucvRKXk-JN" TargetMode="External"/><Relationship Id="rId654" Type="http://schemas.openxmlformats.org/officeDocument/2006/relationships/hyperlink" Target="https://drive.google.com/open?id=1Qqloxm4_htQq9HDA2V1b4MNtF0SCQAux" TargetMode="External"/><Relationship Id="rId659" Type="http://schemas.openxmlformats.org/officeDocument/2006/relationships/hyperlink" Target="https://drive.google.com/open?id=1phWjMUD56XapATNZ0_ccZkZiXyscdkeq" TargetMode="External"/><Relationship Id="rId658" Type="http://schemas.openxmlformats.org/officeDocument/2006/relationships/hyperlink" Target="https://drive.google.com/open?id=1EK7E_2z47g9DHPwZnDtrnLthr-xs-k9L" TargetMode="External"/><Relationship Id="rId1480" Type="http://schemas.openxmlformats.org/officeDocument/2006/relationships/hyperlink" Target="https://drive.google.com/open?id=1ET1ZYAiwl85nGaz-G-KNT4IgcEwRz17k" TargetMode="External"/><Relationship Id="rId1481" Type="http://schemas.openxmlformats.org/officeDocument/2006/relationships/hyperlink" Target="https://drive.google.com/open?id=1izkdS7jNf_ZOX2MSOXnZDl3vLUJw1WEZ" TargetMode="External"/><Relationship Id="rId1482" Type="http://schemas.openxmlformats.org/officeDocument/2006/relationships/hyperlink" Target="https://drive.google.com/open?id=1Ve0PTAY-t2KT1ufGl9ljOViONEu34ZKX" TargetMode="External"/><Relationship Id="rId1483" Type="http://schemas.openxmlformats.org/officeDocument/2006/relationships/hyperlink" Target="https://drive.google.com/open?id=1S3sE-6M6Dq4riBkuImbDBbdNrkF-goT4" TargetMode="External"/><Relationship Id="rId653" Type="http://schemas.openxmlformats.org/officeDocument/2006/relationships/hyperlink" Target="https://drive.google.com/open?id=1fazndGXrc0eCW04UUJI3MecJoIUuXzuB" TargetMode="External"/><Relationship Id="rId1484" Type="http://schemas.openxmlformats.org/officeDocument/2006/relationships/hyperlink" Target="https://drive.google.com/open?id=13AXOWXRKdZdIoAVEyPkdWFVD7m4Iqgmt" TargetMode="External"/><Relationship Id="rId652" Type="http://schemas.openxmlformats.org/officeDocument/2006/relationships/hyperlink" Target="https://drive.google.com/open?id=1wqKEnOqRFIFQ8a1AP945vM4yuhlr4Vv9" TargetMode="External"/><Relationship Id="rId1485" Type="http://schemas.openxmlformats.org/officeDocument/2006/relationships/hyperlink" Target="https://drive.google.com/open?id=1WDOsrPUIC79g1gDGQQz7VhozHb3n8uMg" TargetMode="External"/><Relationship Id="rId651" Type="http://schemas.openxmlformats.org/officeDocument/2006/relationships/hyperlink" Target="https://drive.google.com/open?id=1E9vWBDfNb--7h1i-IBu2a9a2XQ8iTg7u" TargetMode="External"/><Relationship Id="rId1486" Type="http://schemas.openxmlformats.org/officeDocument/2006/relationships/hyperlink" Target="https://drive.google.com/open?id=1UgsTEX_tRf-rriM8tbET-N3B0F-C99av" TargetMode="External"/><Relationship Id="rId650" Type="http://schemas.openxmlformats.org/officeDocument/2006/relationships/hyperlink" Target="https://drive.google.com/open?id=1SJ9CBUJp_IMVpPbn29T3V8aDBYlVgxux" TargetMode="External"/><Relationship Id="rId1487" Type="http://schemas.openxmlformats.org/officeDocument/2006/relationships/hyperlink" Target="https://drive.google.com/open?id=16lU8mT0BwW7NV2dFd_olNOtOqYwndQX7" TargetMode="External"/><Relationship Id="rId3216" Type="http://schemas.openxmlformats.org/officeDocument/2006/relationships/hyperlink" Target="https://drive.google.com/open?id=1OUGeFRvBkC9iRA1cpSku59B3fE9CaI_0" TargetMode="External"/><Relationship Id="rId3215" Type="http://schemas.openxmlformats.org/officeDocument/2006/relationships/hyperlink" Target="https://drive.google.com/open?id=1-OeJ8mMkFJvIobA3HBMPituau1ApbF9b" TargetMode="External"/><Relationship Id="rId3218" Type="http://schemas.openxmlformats.org/officeDocument/2006/relationships/hyperlink" Target="https://drive.google.com/open?id=1Ni5t8julKrsyevsfbTAU_k3jZh9jYHNO" TargetMode="External"/><Relationship Id="rId3217" Type="http://schemas.openxmlformats.org/officeDocument/2006/relationships/hyperlink" Target="https://drive.google.com/open?id=1eUyBh8uRfI8TiyXcDhaSFqul9TvYfPvR" TargetMode="External"/><Relationship Id="rId3219" Type="http://schemas.openxmlformats.org/officeDocument/2006/relationships/hyperlink" Target="https://drive.google.com/open?id=1SEQ-N9PRRKNjPtXh2TGaSOkXiQ7Q22Cl" TargetMode="External"/><Relationship Id="rId689" Type="http://schemas.openxmlformats.org/officeDocument/2006/relationships/hyperlink" Target="https://drive.google.com/open?id=1BvaXR9qr4rfENJ4RoMgTqhu2Zv2cywxZ" TargetMode="External"/><Relationship Id="rId688" Type="http://schemas.openxmlformats.org/officeDocument/2006/relationships/hyperlink" Target="https://drive.google.com/open?id=1u8F-oXxk8j_wR3DEjmRw68wBcD0yWUmG" TargetMode="External"/><Relationship Id="rId687" Type="http://schemas.openxmlformats.org/officeDocument/2006/relationships/hyperlink" Target="https://drive.google.com/open?id=1k16fdGL7MktB4F_BhzSMRgt1Tx8X8xSx" TargetMode="External"/><Relationship Id="rId682" Type="http://schemas.openxmlformats.org/officeDocument/2006/relationships/hyperlink" Target="https://drive.google.com/open?id=1BFG7pYXyaGy8nwXFBIEmn7cSCdjplumd" TargetMode="External"/><Relationship Id="rId681" Type="http://schemas.openxmlformats.org/officeDocument/2006/relationships/hyperlink" Target="https://drive.google.com/open?id=1u0fbzkkAa57tU8Oo6tYvkHZRt76KrUHI" TargetMode="External"/><Relationship Id="rId680" Type="http://schemas.openxmlformats.org/officeDocument/2006/relationships/hyperlink" Target="https://drive.google.com/open?id=18EGsHo0cY8EWeys4q5gan265fYEnvOO0" TargetMode="External"/><Relationship Id="rId3210" Type="http://schemas.openxmlformats.org/officeDocument/2006/relationships/hyperlink" Target="https://drive.google.com/open?id=1abEC-ep726OhAhDmU3krmPJ_v8OZDQu-" TargetMode="External"/><Relationship Id="rId686" Type="http://schemas.openxmlformats.org/officeDocument/2006/relationships/hyperlink" Target="https://drive.google.com/open?id=1wojLP0zOo-6vRP0lytg5hLaISMS4QwG5" TargetMode="External"/><Relationship Id="rId3212" Type="http://schemas.openxmlformats.org/officeDocument/2006/relationships/hyperlink" Target="https://drive.google.com/open?id=1aRb6TMpdrECagFbNGm4MTT6HlVaethKH" TargetMode="External"/><Relationship Id="rId685" Type="http://schemas.openxmlformats.org/officeDocument/2006/relationships/hyperlink" Target="https://drive.google.com/open?id=1XPec-PJYNdR9n-IZHUPTH7zQLLBrBd24" TargetMode="External"/><Relationship Id="rId3211" Type="http://schemas.openxmlformats.org/officeDocument/2006/relationships/hyperlink" Target="https://drive.google.com/open?id=1CgMLG6T09jvcI82ICLcty0is1H-2TJCo" TargetMode="External"/><Relationship Id="rId684" Type="http://schemas.openxmlformats.org/officeDocument/2006/relationships/hyperlink" Target="https://drive.google.com/open?id=1wOjL04PIViDrE3WAuhKDyfWyvxKfY09c" TargetMode="External"/><Relationship Id="rId3214" Type="http://schemas.openxmlformats.org/officeDocument/2006/relationships/hyperlink" Target="https://drive.google.com/open?id=1SWse6F79i6hygCn1GVpemSgEXD3hLK6p" TargetMode="External"/><Relationship Id="rId683" Type="http://schemas.openxmlformats.org/officeDocument/2006/relationships/hyperlink" Target="https://drive.google.com/open?id=1HcjDBr1-7jSqAJLrDr20SLkLG1C0lbvB" TargetMode="External"/><Relationship Id="rId3213" Type="http://schemas.openxmlformats.org/officeDocument/2006/relationships/hyperlink" Target="https://drive.google.com/open?id=1iRk_WsNER4KlWRn4g--VZeI6Kvw6LtAr" TargetMode="External"/><Relationship Id="rId3205" Type="http://schemas.openxmlformats.org/officeDocument/2006/relationships/hyperlink" Target="https://drive.google.com/open?id=1puvO9a8i618rOmYv0Dmv7Ww5IWcWmSlA" TargetMode="External"/><Relationship Id="rId3204" Type="http://schemas.openxmlformats.org/officeDocument/2006/relationships/hyperlink" Target="https://drive.google.com/open?id=1HcQyORYnLg9CtvQMTPckG3yK8WR-mmF3" TargetMode="External"/><Relationship Id="rId3207" Type="http://schemas.openxmlformats.org/officeDocument/2006/relationships/hyperlink" Target="https://drive.google.com/open?id=19EhWC-oo7j8FQonOm8ybpnMbek-IYKOK" TargetMode="External"/><Relationship Id="rId3206" Type="http://schemas.openxmlformats.org/officeDocument/2006/relationships/hyperlink" Target="https://drive.google.com/open?id=1xQtHgzbUNBwlyqYmWnEdSAqxyeAXJPy8" TargetMode="External"/><Relationship Id="rId3209" Type="http://schemas.openxmlformats.org/officeDocument/2006/relationships/hyperlink" Target="https://drive.google.com/open?id=1Cz24f6morQDPgQMpodlwoQli5KNEZ37r" TargetMode="External"/><Relationship Id="rId3208" Type="http://schemas.openxmlformats.org/officeDocument/2006/relationships/hyperlink" Target="https://drive.google.com/open?id=19klrsh5WtqJwVdNeofjPH6SxqmuHWzif" TargetMode="External"/><Relationship Id="rId679" Type="http://schemas.openxmlformats.org/officeDocument/2006/relationships/hyperlink" Target="https://drive.google.com/open?id=1_uRcY-rRBwnFfoYQwM__obo9SwaQ_k_5" TargetMode="External"/><Relationship Id="rId678" Type="http://schemas.openxmlformats.org/officeDocument/2006/relationships/hyperlink" Target="https://drive.google.com/open?id=1bYTVqRPM8IJV5Z8-XjYKEqLRO-rKgOys" TargetMode="External"/><Relationship Id="rId677" Type="http://schemas.openxmlformats.org/officeDocument/2006/relationships/hyperlink" Target="https://drive.google.com/open?id=1ZXHRQnyHTHFn4urhGwKLg965cW9_W5sR" TargetMode="External"/><Relationship Id="rId676" Type="http://schemas.openxmlformats.org/officeDocument/2006/relationships/hyperlink" Target="https://drive.google.com/open?id=1MvV8URfB948-zyvB8xJ-GsAue5lAgpmJ" TargetMode="External"/><Relationship Id="rId671" Type="http://schemas.openxmlformats.org/officeDocument/2006/relationships/hyperlink" Target="https://drive.google.com/open?id=1xhHL3FElCa0Mnbn4kMR1KeT10u7D4RQE" TargetMode="External"/><Relationship Id="rId670" Type="http://schemas.openxmlformats.org/officeDocument/2006/relationships/hyperlink" Target="https://drive.google.com/open?id=1FCoOAzJeL4hLHC8fnhmY0z0hFl88wgTl" TargetMode="External"/><Relationship Id="rId675" Type="http://schemas.openxmlformats.org/officeDocument/2006/relationships/hyperlink" Target="https://drive.google.com/open?id=1lvM3Up01eEtyczf1ZaUFm2aevL7YLZ1n" TargetMode="External"/><Relationship Id="rId3201" Type="http://schemas.openxmlformats.org/officeDocument/2006/relationships/hyperlink" Target="https://drive.google.com/open?id=1xSBM_hKGRNbBP--RCk6JXZnv30LetiNE" TargetMode="External"/><Relationship Id="rId674" Type="http://schemas.openxmlformats.org/officeDocument/2006/relationships/hyperlink" Target="https://drive.google.com/open?id=1YBjggl5bfsCZD7cj_BO6kKBNgQxtu5gJ" TargetMode="External"/><Relationship Id="rId3200" Type="http://schemas.openxmlformats.org/officeDocument/2006/relationships/hyperlink" Target="https://drive.google.com/open?id=1lUdoDl5Mtn8gFHJ_6lwzNO7bfD7qsJfz" TargetMode="External"/><Relationship Id="rId673" Type="http://schemas.openxmlformats.org/officeDocument/2006/relationships/hyperlink" Target="https://drive.google.com/open?id=1a_W8ELlcGu-qRro_EnuINCS4L3x1MFRa" TargetMode="External"/><Relationship Id="rId3203" Type="http://schemas.openxmlformats.org/officeDocument/2006/relationships/hyperlink" Target="https://drive.google.com/open?id=1UX-l6l-WhzghCJI36HmDEEiyLIqwP9LT" TargetMode="External"/><Relationship Id="rId672" Type="http://schemas.openxmlformats.org/officeDocument/2006/relationships/hyperlink" Target="https://drive.google.com/open?id=1ROsIF3DwVJj0Dc15QlkcwSB7PIrrdurn" TargetMode="External"/><Relationship Id="rId3202" Type="http://schemas.openxmlformats.org/officeDocument/2006/relationships/hyperlink" Target="https://drive.google.com/open?id=1r5o5jmTBVl0XGW0XRcyvhyexw9RnOI3K" TargetMode="External"/><Relationship Id="rId190" Type="http://schemas.openxmlformats.org/officeDocument/2006/relationships/hyperlink" Target="https://drive.google.com/open?id=1e0QP6abYQWAmWkIFJ187D9ird62vZhlP" TargetMode="External"/><Relationship Id="rId194" Type="http://schemas.openxmlformats.org/officeDocument/2006/relationships/hyperlink" Target="https://drive.google.com/open?id=11hI9OFZ5fDdwhhMeZnQYvP85QixkeUVf" TargetMode="External"/><Relationship Id="rId193" Type="http://schemas.openxmlformats.org/officeDocument/2006/relationships/hyperlink" Target="https://drive.google.com/open?id=18WjWGoTfX0xZ5_NPrWfyT0koUz5n59oj" TargetMode="External"/><Relationship Id="rId192" Type="http://schemas.openxmlformats.org/officeDocument/2006/relationships/hyperlink" Target="https://drive.google.com/open?id=1pZorekrL9rAGOReXgD6Eg_UmQXLMCLgI" TargetMode="External"/><Relationship Id="rId191" Type="http://schemas.openxmlformats.org/officeDocument/2006/relationships/hyperlink" Target="https://drive.google.com/open?id=1yHyIzW_kfAkiz33HmeKk9QMtjYNQ5tYN" TargetMode="External"/><Relationship Id="rId187" Type="http://schemas.openxmlformats.org/officeDocument/2006/relationships/hyperlink" Target="https://drive.google.com/open?id=14qFBPRKH07t4bpuO3hCAYZhBaGyYJf_U" TargetMode="External"/><Relationship Id="rId186" Type="http://schemas.openxmlformats.org/officeDocument/2006/relationships/hyperlink" Target="https://drive.google.com/open?id=1qncclECKXVf8d2SgS8b-MVq58JfZTBrO" TargetMode="External"/><Relationship Id="rId185" Type="http://schemas.openxmlformats.org/officeDocument/2006/relationships/hyperlink" Target="https://drive.google.com/open?id=12gkuZmd1okwx85ndo1GwxTFlXlZoE_nK" TargetMode="External"/><Relationship Id="rId184" Type="http://schemas.openxmlformats.org/officeDocument/2006/relationships/hyperlink" Target="https://drive.google.com/open?id=1KMuFqOyS0iPcAifIqRr7MdZ9xecKIiv6" TargetMode="External"/><Relationship Id="rId189" Type="http://schemas.openxmlformats.org/officeDocument/2006/relationships/hyperlink" Target="https://drive.google.com/open?id=1b9pn_4t2xLNNzv1lMi7nek6cQDq1rLGw" TargetMode="External"/><Relationship Id="rId188" Type="http://schemas.openxmlformats.org/officeDocument/2006/relationships/hyperlink" Target="https://drive.google.com/open?id=1BDxj2S6uH2PI1XeihhSBCQsDgBOMsKvw" TargetMode="External"/><Relationship Id="rId183" Type="http://schemas.openxmlformats.org/officeDocument/2006/relationships/hyperlink" Target="https://drive.google.com/open?id=1syrR9oOb7B0CCFbcE8kyenC193FTfX77" TargetMode="External"/><Relationship Id="rId182" Type="http://schemas.openxmlformats.org/officeDocument/2006/relationships/hyperlink" Target="https://drive.google.com/open?id=1Nu3g4SeEwX6Bs1mWe26v1-tplvcwdd1_" TargetMode="External"/><Relationship Id="rId181" Type="http://schemas.openxmlformats.org/officeDocument/2006/relationships/hyperlink" Target="https://drive.google.com/open?id=16eNXx3tONWHLDXQOcUL81oZmtCF9dIWd" TargetMode="External"/><Relationship Id="rId180" Type="http://schemas.openxmlformats.org/officeDocument/2006/relationships/hyperlink" Target="https://drive.google.com/open?id=1CAVZa2nARwYzvohB7yj6Hc7tNMZ7SLUs" TargetMode="External"/><Relationship Id="rId176" Type="http://schemas.openxmlformats.org/officeDocument/2006/relationships/hyperlink" Target="https://drive.google.com/open?id=1Kqr7RLgKce7RLn2z9Iq0mUZggcnAkZUM" TargetMode="External"/><Relationship Id="rId175" Type="http://schemas.openxmlformats.org/officeDocument/2006/relationships/hyperlink" Target="https://drive.google.com/open?id=1NsY0_AvbU0tRac-sShwCuhgGQTdAGEm3" TargetMode="External"/><Relationship Id="rId174" Type="http://schemas.openxmlformats.org/officeDocument/2006/relationships/hyperlink" Target="https://drive.google.com/open?id=1DkbV00KDKFkr3kgTeUAC_hiGxJZpf6Xl" TargetMode="External"/><Relationship Id="rId173" Type="http://schemas.openxmlformats.org/officeDocument/2006/relationships/hyperlink" Target="https://drive.google.com/open?id=1q3TTFa9qt3dQlsED12yEt08NJNmiXig6" TargetMode="External"/><Relationship Id="rId179" Type="http://schemas.openxmlformats.org/officeDocument/2006/relationships/hyperlink" Target="https://drive.google.com/open?id=1vsYL0maA2uhWPUOYxdW1gQiqZDJuvrPT" TargetMode="External"/><Relationship Id="rId178" Type="http://schemas.openxmlformats.org/officeDocument/2006/relationships/hyperlink" Target="https://drive.google.com/open?id=1iHG90dlIdC6xBklO__5AGrR_wbzdh86l" TargetMode="External"/><Relationship Id="rId177" Type="http://schemas.openxmlformats.org/officeDocument/2006/relationships/hyperlink" Target="https://drive.google.com/open?id=1KfIFjUgLMkzrJ14eqLnI400_XHiAjpVk" TargetMode="External"/><Relationship Id="rId198" Type="http://schemas.openxmlformats.org/officeDocument/2006/relationships/hyperlink" Target="https://drive.google.com/open?id=1FxehK-bZ97FflUTkGqXQksVjiYNcXxq1" TargetMode="External"/><Relationship Id="rId197" Type="http://schemas.openxmlformats.org/officeDocument/2006/relationships/hyperlink" Target="https://drive.google.com/open?id=1AA8HtYcwav8UiBTW6E_MKevRQlCMAlSx" TargetMode="External"/><Relationship Id="rId196" Type="http://schemas.openxmlformats.org/officeDocument/2006/relationships/hyperlink" Target="https://drive.google.com/open?id=16qpjtNGQaRXqqA4C7kJgX84MaUPK6dnO" TargetMode="External"/><Relationship Id="rId195" Type="http://schemas.openxmlformats.org/officeDocument/2006/relationships/hyperlink" Target="https://drive.google.com/open?id=1rpGzM0OxVaNEchlxp_HDu4M5mqJqpxLN" TargetMode="External"/><Relationship Id="rId199" Type="http://schemas.openxmlformats.org/officeDocument/2006/relationships/hyperlink" Target="https://drive.google.com/open?id=1FXGW3v2gRr1SVZsSxYhWrSR_agz21PPd" TargetMode="External"/><Relationship Id="rId150" Type="http://schemas.openxmlformats.org/officeDocument/2006/relationships/hyperlink" Target="https://drive.google.com/open?id=1nateAmoS4iEeW0ZgnNreP3xPkgur8K1_" TargetMode="External"/><Relationship Id="rId149" Type="http://schemas.openxmlformats.org/officeDocument/2006/relationships/hyperlink" Target="https://drive.google.com/open?id=1kSdmBe-idIJYwbMljBDLoXm9n0RY2Y8Y" TargetMode="External"/><Relationship Id="rId148" Type="http://schemas.openxmlformats.org/officeDocument/2006/relationships/hyperlink" Target="https://drive.google.com/open?id=1sYG1lqz22sUeEwTTdjaJChz9AlMUtMw-" TargetMode="External"/><Relationship Id="rId3270" Type="http://schemas.openxmlformats.org/officeDocument/2006/relationships/hyperlink" Target="https://drive.google.com/open?id=1c54JXZYDb5ftmsVkjm5uOFcFdEvptmd5" TargetMode="External"/><Relationship Id="rId3272" Type="http://schemas.openxmlformats.org/officeDocument/2006/relationships/hyperlink" Target="https://drive.google.com/open?id=1a1n9nG7IB_loa2wEgXciXyfy4h0_1SrK" TargetMode="External"/><Relationship Id="rId3271" Type="http://schemas.openxmlformats.org/officeDocument/2006/relationships/hyperlink" Target="https://drive.google.com/open?id=1hSglrw64YkFHG1cEx6y9OoNJ9z3O_G4U" TargetMode="External"/><Relationship Id="rId143" Type="http://schemas.openxmlformats.org/officeDocument/2006/relationships/hyperlink" Target="https://drive.google.com/open?id=1srclDO-uupTSNkA4PFVbeDWa1ujhhyhR" TargetMode="External"/><Relationship Id="rId3274" Type="http://schemas.openxmlformats.org/officeDocument/2006/relationships/hyperlink" Target="https://drive.google.com/open?id=1JpEX_2BkJJhKKkY6qaBfT9YNCMA0SmxJ" TargetMode="External"/><Relationship Id="rId142" Type="http://schemas.openxmlformats.org/officeDocument/2006/relationships/hyperlink" Target="https://drive.google.com/open?id=1qTV9MRoNW3voz6-w-xAK8oxXbGMjDwrh" TargetMode="External"/><Relationship Id="rId3273" Type="http://schemas.openxmlformats.org/officeDocument/2006/relationships/hyperlink" Target="https://drive.google.com/open?id=1wYql1ljhODrGJS2tcw6ViiCqqDAoy2mh" TargetMode="External"/><Relationship Id="rId141" Type="http://schemas.openxmlformats.org/officeDocument/2006/relationships/hyperlink" Target="https://drive.google.com/open?id=1gNZ5trNxL4kQL_juauer25gI_DArbSYh" TargetMode="External"/><Relationship Id="rId3276" Type="http://schemas.openxmlformats.org/officeDocument/2006/relationships/hyperlink" Target="https://drive.google.com/open?id=1uuEQR2zirsYl2TboNzBPWdl1__7f84Hw" TargetMode="External"/><Relationship Id="rId140" Type="http://schemas.openxmlformats.org/officeDocument/2006/relationships/hyperlink" Target="https://drive.google.com/open?id=119GA3lOBoGJ8Bp2yx0E9JZJdc-68Affl" TargetMode="External"/><Relationship Id="rId3275" Type="http://schemas.openxmlformats.org/officeDocument/2006/relationships/hyperlink" Target="https://drive.google.com/open?id=1mO12WoVwgkoI_58QmDGgPcIFscIxZoTg" TargetMode="External"/><Relationship Id="rId147" Type="http://schemas.openxmlformats.org/officeDocument/2006/relationships/hyperlink" Target="https://drive.google.com/open?id=1Z59AVXMDkhvXc_jITaE8B7IRaiV459Pm" TargetMode="External"/><Relationship Id="rId3278" Type="http://schemas.openxmlformats.org/officeDocument/2006/relationships/hyperlink" Target="https://drive.google.com/open?id=1emdUpv1MOhlYeKCbGZVlBERH52dG0xQw" TargetMode="External"/><Relationship Id="rId146" Type="http://schemas.openxmlformats.org/officeDocument/2006/relationships/hyperlink" Target="https://drive.google.com/open?id=1uAGQ9YAYWXqSOMQhjgUFLu3SBNUaxV6_" TargetMode="External"/><Relationship Id="rId3277" Type="http://schemas.openxmlformats.org/officeDocument/2006/relationships/hyperlink" Target="https://drive.google.com/open?id=1qcVPGpbNFk6drc1-OkVoqpnrTC0vrY1A" TargetMode="External"/><Relationship Id="rId145" Type="http://schemas.openxmlformats.org/officeDocument/2006/relationships/hyperlink" Target="https://drive.google.com/open?id=1JGWAvSCkRY88tU7zs_DW1-plEL6oCwoh" TargetMode="External"/><Relationship Id="rId144" Type="http://schemas.openxmlformats.org/officeDocument/2006/relationships/hyperlink" Target="https://drive.google.com/open?id=1Hvv2ajpqhC94fUALO0nXudltHmBCCViW" TargetMode="External"/><Relationship Id="rId3279" Type="http://schemas.openxmlformats.org/officeDocument/2006/relationships/hyperlink" Target="https://drive.google.com/open?id=19rnLPrx5gklG_Ygrm9zrJL9drxYwl_NU" TargetMode="External"/><Relationship Id="rId139" Type="http://schemas.openxmlformats.org/officeDocument/2006/relationships/hyperlink" Target="https://drive.google.com/open?id=1FKX0FfITclIfSBcwKPcupmjM1tXsD5e0" TargetMode="External"/><Relationship Id="rId138" Type="http://schemas.openxmlformats.org/officeDocument/2006/relationships/hyperlink" Target="https://drive.google.com/open?id=1O80uLvzKy37dv5O1WvhWrbSxxHBxl8iG" TargetMode="External"/><Relationship Id="rId137" Type="http://schemas.openxmlformats.org/officeDocument/2006/relationships/hyperlink" Target="https://drive.google.com/open?id=1OYWB0n2DO6kHGic5FoJ3l1kcTs6SeBwq" TargetMode="External"/><Relationship Id="rId3261" Type="http://schemas.openxmlformats.org/officeDocument/2006/relationships/hyperlink" Target="https://drive.google.com/open?id=1uClb_tDsIPypDreXQRWqcKPi3r4zzwnI" TargetMode="External"/><Relationship Id="rId3260" Type="http://schemas.openxmlformats.org/officeDocument/2006/relationships/hyperlink" Target="https://drive.google.com/open?id=1M0M8O_swzEhgFn4ET21eHzHFOPaW5yhp" TargetMode="External"/><Relationship Id="rId132" Type="http://schemas.openxmlformats.org/officeDocument/2006/relationships/hyperlink" Target="https://drive.google.com/open?id=1tewo1eldMEZrM0Myeq0H7AN1cD-D8Nbi" TargetMode="External"/><Relationship Id="rId3263" Type="http://schemas.openxmlformats.org/officeDocument/2006/relationships/hyperlink" Target="https://drive.google.com/open?id=1hDVXjcQeo76SS5PaNgAJ1oUmT1HN-ryq" TargetMode="External"/><Relationship Id="rId131" Type="http://schemas.openxmlformats.org/officeDocument/2006/relationships/hyperlink" Target="https://drive.google.com/open?id=1DDZLekUZ8xOSTwWVwfSeRQhHs4cPqqvy" TargetMode="External"/><Relationship Id="rId3262" Type="http://schemas.openxmlformats.org/officeDocument/2006/relationships/hyperlink" Target="https://drive.google.com/open?id=1TtwYpQ47yobHq15Y_dwPRJ5aP3ILxgA1" TargetMode="External"/><Relationship Id="rId130" Type="http://schemas.openxmlformats.org/officeDocument/2006/relationships/hyperlink" Target="https://drive.google.com/open?id=1v1AXl8JToUa-qsNLhQb6CvD26MfqOtmf" TargetMode="External"/><Relationship Id="rId3265" Type="http://schemas.openxmlformats.org/officeDocument/2006/relationships/hyperlink" Target="https://drive.google.com/open?id=15UU8JASca-XVhQyp_kGGjqsgdH8l1bLb" TargetMode="External"/><Relationship Id="rId3264" Type="http://schemas.openxmlformats.org/officeDocument/2006/relationships/hyperlink" Target="https://drive.google.com/open?id=16sKOEL5tVLKOfJoiBz8NNvTkD2zXRv2S" TargetMode="External"/><Relationship Id="rId136" Type="http://schemas.openxmlformats.org/officeDocument/2006/relationships/hyperlink" Target="https://drive.google.com/open?id=1jsYfk8kqefKD-LT7U1XF9Pk10mYxltL2" TargetMode="External"/><Relationship Id="rId3267" Type="http://schemas.openxmlformats.org/officeDocument/2006/relationships/hyperlink" Target="https://drive.google.com/open?id=10IcWAnPC5CFjVJkr8VDgFb46DwHud_Oi" TargetMode="External"/><Relationship Id="rId135" Type="http://schemas.openxmlformats.org/officeDocument/2006/relationships/hyperlink" Target="https://drive.google.com/open?id=1Nu2B7a2kJI2IJUak7qbg7KQ0SrDJsu0X" TargetMode="External"/><Relationship Id="rId3266" Type="http://schemas.openxmlformats.org/officeDocument/2006/relationships/hyperlink" Target="https://drive.google.com/open?id=19WGovRmJYBmpIltMnf8wleOrJrgURQnV" TargetMode="External"/><Relationship Id="rId134" Type="http://schemas.openxmlformats.org/officeDocument/2006/relationships/hyperlink" Target="https://drive.google.com/open?id=14DxMlEz6OvtoLcCayb1hl2HBZDmnbZGs" TargetMode="External"/><Relationship Id="rId3269" Type="http://schemas.openxmlformats.org/officeDocument/2006/relationships/hyperlink" Target="https://drive.google.com/open?id=1SO8BZV2pCj3TST3ZlHma8eQpHyrkh9CZ" TargetMode="External"/><Relationship Id="rId133" Type="http://schemas.openxmlformats.org/officeDocument/2006/relationships/hyperlink" Target="https://drive.google.com/open?id=1J-qKfVL4w2ZLWgN2f0GK_xualStvW5wV" TargetMode="External"/><Relationship Id="rId3268" Type="http://schemas.openxmlformats.org/officeDocument/2006/relationships/hyperlink" Target="https://drive.google.com/open?id=1imEN9hXzFS91EoJPyeKLxvheLPEdmkhg" TargetMode="External"/><Relationship Id="rId172" Type="http://schemas.openxmlformats.org/officeDocument/2006/relationships/hyperlink" Target="https://drive.google.com/open?id=1JgBbrU8BB9zTRMcaW4adNMlC0fjMCOPM" TargetMode="External"/><Relationship Id="rId171" Type="http://schemas.openxmlformats.org/officeDocument/2006/relationships/hyperlink" Target="https://drive.google.com/open?id=1CyKGsTziE9gs82h0g29-z_chZYBjj1V3" TargetMode="External"/><Relationship Id="rId170" Type="http://schemas.openxmlformats.org/officeDocument/2006/relationships/hyperlink" Target="https://drive.google.com/open?id=1bBr-ce3eY84z-JPtOrjQPTNKUEAwRn4F" TargetMode="External"/><Relationship Id="rId3290" Type="http://schemas.openxmlformats.org/officeDocument/2006/relationships/hyperlink" Target="https://drive.google.com/open?id=1NIOGwoqGpYoBEgoKoeGkB_WFjhz0-Fom" TargetMode="External"/><Relationship Id="rId3292" Type="http://schemas.openxmlformats.org/officeDocument/2006/relationships/hyperlink" Target="https://drive.google.com/open?id=1SHtJfBfl8TJ09MQeRrv9ybAcc_UJugro" TargetMode="External"/><Relationship Id="rId3291" Type="http://schemas.openxmlformats.org/officeDocument/2006/relationships/hyperlink" Target="https://drive.google.com/open?id=1IZIY46HASp4kri3whZtpJDjO_yQRNZ7D" TargetMode="External"/><Relationship Id="rId3294" Type="http://schemas.openxmlformats.org/officeDocument/2006/relationships/hyperlink" Target="https://drive.google.com/open?id=1IiPsDOVFCCiwVHvnS0RzuR-pExoKJYOp" TargetMode="External"/><Relationship Id="rId3293" Type="http://schemas.openxmlformats.org/officeDocument/2006/relationships/hyperlink" Target="https://drive.google.com/open?id=1gHH7p2W9cgQrvcbM3h81XnfhZZpS4zsE" TargetMode="External"/><Relationship Id="rId165" Type="http://schemas.openxmlformats.org/officeDocument/2006/relationships/hyperlink" Target="https://drive.google.com/open?id=1FZoz49QpnwzyM7E6h49TpnL0XggQ1lom" TargetMode="External"/><Relationship Id="rId3296" Type="http://schemas.openxmlformats.org/officeDocument/2006/relationships/hyperlink" Target="https://drive.google.com/open?id=15Hh5Xc6bC1xJrhV1rkJEtAICQly2YHaT" TargetMode="External"/><Relationship Id="rId164" Type="http://schemas.openxmlformats.org/officeDocument/2006/relationships/hyperlink" Target="https://drive.google.com/open?id=11VTHTPmjb2mPq0PdY8NCFWwTg4VfwwDM" TargetMode="External"/><Relationship Id="rId3295" Type="http://schemas.openxmlformats.org/officeDocument/2006/relationships/hyperlink" Target="https://drive.google.com/open?id=1VMQe-pUVSqTQQ55jOzXbWElwBot_rrAL" TargetMode="External"/><Relationship Id="rId163" Type="http://schemas.openxmlformats.org/officeDocument/2006/relationships/hyperlink" Target="https://drive.google.com/open?id=1qPSpIn1al73-yN0Jdk0cmipDnt7kZjvk" TargetMode="External"/><Relationship Id="rId3298" Type="http://schemas.openxmlformats.org/officeDocument/2006/relationships/hyperlink" Target="https://drive.google.com/open?id=1zChbTvDTCRsQravWHIj3k01_Mjm3YF6B" TargetMode="External"/><Relationship Id="rId162" Type="http://schemas.openxmlformats.org/officeDocument/2006/relationships/hyperlink" Target="https://drive.google.com/open?id=1QfTXPogsSXrebCSRac2FexF4Tf5VTg-Q" TargetMode="External"/><Relationship Id="rId3297" Type="http://schemas.openxmlformats.org/officeDocument/2006/relationships/hyperlink" Target="https://drive.google.com/open?id=1O96jNOPw4y_WodBK9JlhzZ_V2qNwjLUI" TargetMode="External"/><Relationship Id="rId169" Type="http://schemas.openxmlformats.org/officeDocument/2006/relationships/hyperlink" Target="https://drive.google.com/open?id=19eJYVC0htDGiTXEOeMUqFiQ96VbL7wrY" TargetMode="External"/><Relationship Id="rId168" Type="http://schemas.openxmlformats.org/officeDocument/2006/relationships/hyperlink" Target="https://drive.google.com/open?id=1FmYVNPUPzYeAwuYQa0XwQS79ShTu156M" TargetMode="External"/><Relationship Id="rId3299" Type="http://schemas.openxmlformats.org/officeDocument/2006/relationships/hyperlink" Target="https://drive.google.com/open?id=1T9Ch1a-h-7kS4BP0OoHfpahNNdSMWF9-" TargetMode="External"/><Relationship Id="rId167" Type="http://schemas.openxmlformats.org/officeDocument/2006/relationships/hyperlink" Target="https://drive.google.com/open?id=1LiOKWZbfbU-kTKMEu4DcrJwrd6EzZQOU" TargetMode="External"/><Relationship Id="rId166" Type="http://schemas.openxmlformats.org/officeDocument/2006/relationships/hyperlink" Target="https://drive.google.com/open?id=1kIUAMQ-0cq8yrWOAFmI4Z8yM_oh4IHPF" TargetMode="External"/><Relationship Id="rId161" Type="http://schemas.openxmlformats.org/officeDocument/2006/relationships/hyperlink" Target="https://drive.google.com/open?id=1rnYHsqe2euMBfrDojl_gMFzVHgrdy0ZH" TargetMode="External"/><Relationship Id="rId160" Type="http://schemas.openxmlformats.org/officeDocument/2006/relationships/hyperlink" Target="https://drive.google.com/open?id=134Wy2cHju3GxWElf4xEJ7BZd2L4Z0Dcz" TargetMode="External"/><Relationship Id="rId159" Type="http://schemas.openxmlformats.org/officeDocument/2006/relationships/hyperlink" Target="https://drive.google.com/open?id=1M4PiPE3guIrfLqWFTLNXkhqrywx8k22d" TargetMode="External"/><Relationship Id="rId3281" Type="http://schemas.openxmlformats.org/officeDocument/2006/relationships/hyperlink" Target="https://drive.google.com/open?id=1A-k0GnBTU9G5LlEt5G0kDipKHv_W2cJf" TargetMode="External"/><Relationship Id="rId3280" Type="http://schemas.openxmlformats.org/officeDocument/2006/relationships/hyperlink" Target="https://drive.google.com/open?id=1wfDifRLADuhJLmu28cQJKS-b-IzcEQ8r" TargetMode="External"/><Relationship Id="rId3283" Type="http://schemas.openxmlformats.org/officeDocument/2006/relationships/hyperlink" Target="https://drive.google.com/open?id=1reImzNIEGZDPB08aO2W_Wesp-wo3Nj8M" TargetMode="External"/><Relationship Id="rId3282" Type="http://schemas.openxmlformats.org/officeDocument/2006/relationships/hyperlink" Target="https://drive.google.com/open?id=1oQ0h8nYczsEXlwpOIU_vbBxuAAPpZ-Tt" TargetMode="External"/><Relationship Id="rId154" Type="http://schemas.openxmlformats.org/officeDocument/2006/relationships/hyperlink" Target="https://drive.google.com/open?id=1eMnogignEDSDDD7QHLuBAT6MXScQQv5B" TargetMode="External"/><Relationship Id="rId3285" Type="http://schemas.openxmlformats.org/officeDocument/2006/relationships/hyperlink" Target="https://drive.google.com/open?id=16g2tFXto8SkJ6mx0L2EFxEQiKs1QE6C4" TargetMode="External"/><Relationship Id="rId153" Type="http://schemas.openxmlformats.org/officeDocument/2006/relationships/hyperlink" Target="https://drive.google.com/open?id=11iX5PF0ep1Ounj6CEbexgIAfHcC7M2WM" TargetMode="External"/><Relationship Id="rId3284" Type="http://schemas.openxmlformats.org/officeDocument/2006/relationships/hyperlink" Target="https://drive.google.com/open?id=14FE2FSb3MoU4YZBS_G7JZ1tYgMVYuCsZ" TargetMode="External"/><Relationship Id="rId152" Type="http://schemas.openxmlformats.org/officeDocument/2006/relationships/hyperlink" Target="https://drive.google.com/open?id=1OO0qrBz495pCexZKCFH2jd6ky4gm0Yw3" TargetMode="External"/><Relationship Id="rId3287" Type="http://schemas.openxmlformats.org/officeDocument/2006/relationships/hyperlink" Target="https://drive.google.com/open?id=1CUG-YWdt2r7CF-Gfo89EAHGHJSuAmC4U" TargetMode="External"/><Relationship Id="rId151" Type="http://schemas.openxmlformats.org/officeDocument/2006/relationships/hyperlink" Target="https://drive.google.com/open?id=1tAGUD4f57laFDT5ywQaKIWjT5oLKeFce" TargetMode="External"/><Relationship Id="rId3286" Type="http://schemas.openxmlformats.org/officeDocument/2006/relationships/hyperlink" Target="https://drive.google.com/open?id=1Tr4IhJfyMwGN_44yNsHKfcDTpIpphXnB" TargetMode="External"/><Relationship Id="rId158" Type="http://schemas.openxmlformats.org/officeDocument/2006/relationships/hyperlink" Target="https://drive.google.com/open?id=1ciexthUf6sFzq0WfmpZlTiMRHmsfxIoA" TargetMode="External"/><Relationship Id="rId3289" Type="http://schemas.openxmlformats.org/officeDocument/2006/relationships/hyperlink" Target="https://drive.google.com/open?id=1uW7rHpXn_v-UTwKax2UBrwzlUCgfJeJH" TargetMode="External"/><Relationship Id="rId157" Type="http://schemas.openxmlformats.org/officeDocument/2006/relationships/hyperlink" Target="https://drive.google.com/open?id=1oKyBHcDpoxVMxc_IR8_OC6wnmX-lGuPm" TargetMode="External"/><Relationship Id="rId3288" Type="http://schemas.openxmlformats.org/officeDocument/2006/relationships/hyperlink" Target="https://drive.google.com/open?id=1UBH7kWGFUbAzwu-v3eB7T_RtiekHMYAo" TargetMode="External"/><Relationship Id="rId156" Type="http://schemas.openxmlformats.org/officeDocument/2006/relationships/hyperlink" Target="https://drive.google.com/open?id=1Ss1FYE7BrWPKuMOMYvMB7Lxb0UFes7og" TargetMode="External"/><Relationship Id="rId155" Type="http://schemas.openxmlformats.org/officeDocument/2006/relationships/hyperlink" Target="https://drive.google.com/open?id=1DyelpcdxGhiT21xuVh8_D84HtiK6bcAy" TargetMode="External"/><Relationship Id="rId2820" Type="http://schemas.openxmlformats.org/officeDocument/2006/relationships/hyperlink" Target="https://drive.google.com/open?id=10yI-m07x5HYLopzfr89xp7e4onJzhN0g" TargetMode="External"/><Relationship Id="rId2821" Type="http://schemas.openxmlformats.org/officeDocument/2006/relationships/hyperlink" Target="https://drive.google.com/open?id=1f6D_JvN7OaaFy67JAytuI-The6KEl_9f" TargetMode="External"/><Relationship Id="rId2822" Type="http://schemas.openxmlformats.org/officeDocument/2006/relationships/hyperlink" Target="https://drive.google.com/open?id=19Yp7f2WvLzCYiNtqTtK8yjdx9_0f5Vzo" TargetMode="External"/><Relationship Id="rId2823" Type="http://schemas.openxmlformats.org/officeDocument/2006/relationships/hyperlink" Target="https://drive.google.com/open?id=1SBioU4_MZgL2ecy9a7CFbpAL19W9nHuG" TargetMode="External"/><Relationship Id="rId2824" Type="http://schemas.openxmlformats.org/officeDocument/2006/relationships/hyperlink" Target="https://drive.google.com/open?id=158ecCUlPxoTObEYXpQe4E9xeqz7a8MDw" TargetMode="External"/><Relationship Id="rId2825" Type="http://schemas.openxmlformats.org/officeDocument/2006/relationships/hyperlink" Target="https://drive.google.com/open?id=1N1jv2C_J6HrrmBRs8iuoFFX3-wRfKxkV" TargetMode="External"/><Relationship Id="rId2826" Type="http://schemas.openxmlformats.org/officeDocument/2006/relationships/hyperlink" Target="https://drive.google.com/open?id=1voBqKuWqTdLHwozatoP83PRivzaX5XLQ" TargetMode="External"/><Relationship Id="rId2827" Type="http://schemas.openxmlformats.org/officeDocument/2006/relationships/hyperlink" Target="https://drive.google.com/open?id=1X2fbkm2llfkK_xOU_aTVBXVNtvLdASi2" TargetMode="External"/><Relationship Id="rId2828" Type="http://schemas.openxmlformats.org/officeDocument/2006/relationships/hyperlink" Target="https://drive.google.com/open?id=1tQNCC0-LxrxIRmy8vbg_J8Tf20DRilsb" TargetMode="External"/><Relationship Id="rId2829" Type="http://schemas.openxmlformats.org/officeDocument/2006/relationships/hyperlink" Target="https://drive.google.com/open?id=1AQxzMrFkw0MHP4HPpxSqZx8p4BRMXR1V" TargetMode="External"/><Relationship Id="rId2810" Type="http://schemas.openxmlformats.org/officeDocument/2006/relationships/hyperlink" Target="https://drive.google.com/open?id=12Z7Vw6_T68A2kbQm9gNfl-3bPouinw48" TargetMode="External"/><Relationship Id="rId2811" Type="http://schemas.openxmlformats.org/officeDocument/2006/relationships/hyperlink" Target="https://drive.google.com/open?id=188pVDopeUg_V7HpD3z15mdq1DgKmJ1hc" TargetMode="External"/><Relationship Id="rId2812" Type="http://schemas.openxmlformats.org/officeDocument/2006/relationships/hyperlink" Target="https://drive.google.com/open?id=1qruKXHu3xVJprwU_vMpyWeLc7_kWzqFY" TargetMode="External"/><Relationship Id="rId2813" Type="http://schemas.openxmlformats.org/officeDocument/2006/relationships/hyperlink" Target="https://drive.google.com/open?id=1HJweD1egmtfNJq3kuWq8wBDZGL9jO1CH" TargetMode="External"/><Relationship Id="rId2814" Type="http://schemas.openxmlformats.org/officeDocument/2006/relationships/hyperlink" Target="https://drive.google.com/open?id=1ps_xrGkFC7c7WxPnqgEQuaDBVuBIex7n" TargetMode="External"/><Relationship Id="rId2815" Type="http://schemas.openxmlformats.org/officeDocument/2006/relationships/hyperlink" Target="https://drive.google.com/open?id=1wn6ueBllENo3r3TIZDdFkTs6j9Wl4Aye" TargetMode="External"/><Relationship Id="rId2816" Type="http://schemas.openxmlformats.org/officeDocument/2006/relationships/hyperlink" Target="https://drive.google.com/open?id=1qcuYWgdsyim_W0Ljdncb9DUE_8CaLidA" TargetMode="External"/><Relationship Id="rId2817" Type="http://schemas.openxmlformats.org/officeDocument/2006/relationships/hyperlink" Target="https://drive.google.com/open?id=1PBXc8I8z0kU1fnf4Bn4Xq-yWnLcltLaL" TargetMode="External"/><Relationship Id="rId2818" Type="http://schemas.openxmlformats.org/officeDocument/2006/relationships/hyperlink" Target="https://drive.google.com/open?id=1Z2Q12n9YHeMMBFvPiHrDfItvTpmzp8U0" TargetMode="External"/><Relationship Id="rId2819" Type="http://schemas.openxmlformats.org/officeDocument/2006/relationships/hyperlink" Target="https://drive.google.com/open?id=19t1MzFK3RSToAR5zTY9RPrF0itqA7yu0" TargetMode="External"/><Relationship Id="rId1510" Type="http://schemas.openxmlformats.org/officeDocument/2006/relationships/hyperlink" Target="https://drive.google.com/open?id=1HKPJxIFK6gvT17ZUgMQUDZtJzEGJGtkd" TargetMode="External"/><Relationship Id="rId2841" Type="http://schemas.openxmlformats.org/officeDocument/2006/relationships/hyperlink" Target="https://drive.google.com/open?id=1bH8eCB-NtqI-tyWU85DkYMBDWMHo0g0R" TargetMode="External"/><Relationship Id="rId1511" Type="http://schemas.openxmlformats.org/officeDocument/2006/relationships/hyperlink" Target="https://drive.google.com/open?id=1mSOoi41jcYmqruRs3GVDp3uIw9XdJ5T1" TargetMode="External"/><Relationship Id="rId2842" Type="http://schemas.openxmlformats.org/officeDocument/2006/relationships/hyperlink" Target="https://drive.google.com/open?id=1MJ0by_YNAsntBYqvG7ID_me_gQk7lxXw" TargetMode="External"/><Relationship Id="rId1512" Type="http://schemas.openxmlformats.org/officeDocument/2006/relationships/hyperlink" Target="https://drive.google.com/open?id=18e4G8t-f1ETqHilOIbDnj1nCCVaZsagg" TargetMode="External"/><Relationship Id="rId2843" Type="http://schemas.openxmlformats.org/officeDocument/2006/relationships/hyperlink" Target="https://drive.google.com/open?id=1IujzKLewlyHTMrt-sjYkNJFPjSFkcqdh" TargetMode="External"/><Relationship Id="rId1513" Type="http://schemas.openxmlformats.org/officeDocument/2006/relationships/hyperlink" Target="https://drive.google.com/open?id=18bYNbAw7cgwmz9wn1Ee-BEHKYWozhRbw" TargetMode="External"/><Relationship Id="rId2844" Type="http://schemas.openxmlformats.org/officeDocument/2006/relationships/hyperlink" Target="https://drive.google.com/open?id=13iqSo44UFQQ0HkJpp7ZT1YnCVA1cJVGs" TargetMode="External"/><Relationship Id="rId1514" Type="http://schemas.openxmlformats.org/officeDocument/2006/relationships/hyperlink" Target="https://drive.google.com/open?id=1bjPJ1i-gPuOnJZmLzRxdPoMJFGFC9GpK" TargetMode="External"/><Relationship Id="rId2845" Type="http://schemas.openxmlformats.org/officeDocument/2006/relationships/hyperlink" Target="https://drive.google.com/open?id=1VZdbrEmYLzhloM0SF8tqL3WOx69ALoIY" TargetMode="External"/><Relationship Id="rId1515" Type="http://schemas.openxmlformats.org/officeDocument/2006/relationships/hyperlink" Target="https://drive.google.com/open?id=15ChofvJ6dnUC4d_l0wjgVcp_LTWvNrL0" TargetMode="External"/><Relationship Id="rId2846" Type="http://schemas.openxmlformats.org/officeDocument/2006/relationships/hyperlink" Target="https://drive.google.com/open?id=18Y6ZQvWGc03Pms2kF9zIFePDpBxHtXq4" TargetMode="External"/><Relationship Id="rId1516" Type="http://schemas.openxmlformats.org/officeDocument/2006/relationships/hyperlink" Target="https://drive.google.com/open?id=1TCW5llsZW0ZG13VxklW_GWESUCI7ot2x" TargetMode="External"/><Relationship Id="rId2847" Type="http://schemas.openxmlformats.org/officeDocument/2006/relationships/hyperlink" Target="https://drive.google.com/open?id=1TNn-1wytQ_3uhtKAvSfYr8k3rxdOigkU" TargetMode="External"/><Relationship Id="rId1517" Type="http://schemas.openxmlformats.org/officeDocument/2006/relationships/hyperlink" Target="https://drive.google.com/open?id=19Ej07Q6jk4ebflMCTvZoepqSYlnZf-xQ" TargetMode="External"/><Relationship Id="rId2848" Type="http://schemas.openxmlformats.org/officeDocument/2006/relationships/hyperlink" Target="https://drive.google.com/open?id=1UbO-9FDdaYx5VudPFxaSooHdbuUyKBEm" TargetMode="External"/><Relationship Id="rId1518" Type="http://schemas.openxmlformats.org/officeDocument/2006/relationships/hyperlink" Target="https://drive.google.com/open?id=1FKKyRaVrQhHIMjDF2scd8-yMqsV-sabx" TargetMode="External"/><Relationship Id="rId2849" Type="http://schemas.openxmlformats.org/officeDocument/2006/relationships/hyperlink" Target="https://drive.google.com/open?id=1FOcQbG0j962NFlT7wN1FbtIS0dof9p1u" TargetMode="External"/><Relationship Id="rId1519" Type="http://schemas.openxmlformats.org/officeDocument/2006/relationships/hyperlink" Target="https://drive.google.com/open?id=1iaTOB1_Z6K5mMxQipQaw6vUkPlRJjFIl" TargetMode="External"/><Relationship Id="rId2840" Type="http://schemas.openxmlformats.org/officeDocument/2006/relationships/hyperlink" Target="https://drive.google.com/open?id=1mxJQ2OGASbF1NlkXcI5UUdJVWTFuLAC1" TargetMode="External"/><Relationship Id="rId2830" Type="http://schemas.openxmlformats.org/officeDocument/2006/relationships/hyperlink" Target="https://drive.google.com/open?id=15QPt5C57Oc652ZbuccF0qEmM5tds8RZ8" TargetMode="External"/><Relationship Id="rId1500" Type="http://schemas.openxmlformats.org/officeDocument/2006/relationships/hyperlink" Target="https://drive.google.com/open?id=1gnAGX0KQif29AOmWa9NM3fTE3QXzDWkD" TargetMode="External"/><Relationship Id="rId2831" Type="http://schemas.openxmlformats.org/officeDocument/2006/relationships/hyperlink" Target="https://drive.google.com/open?id=1NAGY0eBpXGMEjjcQpSFd5wJTTf1UgjB8" TargetMode="External"/><Relationship Id="rId1501" Type="http://schemas.openxmlformats.org/officeDocument/2006/relationships/hyperlink" Target="https://drive.google.com/open?id=10xqVVcu-1D67jgzx1QDGdBe0R08GoQ0C" TargetMode="External"/><Relationship Id="rId2832" Type="http://schemas.openxmlformats.org/officeDocument/2006/relationships/hyperlink" Target="https://drive.google.com/open?id=13i0Gs3hEeqneMtjo1Ayzr_hw18Qh1pH1" TargetMode="External"/><Relationship Id="rId1502" Type="http://schemas.openxmlformats.org/officeDocument/2006/relationships/hyperlink" Target="https://drive.google.com/open?id=1qyG5ayeqk67bU7aHq2Ik8OSh4UZVpB7M" TargetMode="External"/><Relationship Id="rId2833" Type="http://schemas.openxmlformats.org/officeDocument/2006/relationships/hyperlink" Target="https://drive.google.com/open?id=1tCGAEsnemOIVcUHkrXMyKgu5Qma2pWPA" TargetMode="External"/><Relationship Id="rId1503" Type="http://schemas.openxmlformats.org/officeDocument/2006/relationships/hyperlink" Target="https://drive.google.com/open?id=1ZqAPFxO3WLW0qhSJzIIIl6akaZy6tvSD" TargetMode="External"/><Relationship Id="rId2834" Type="http://schemas.openxmlformats.org/officeDocument/2006/relationships/hyperlink" Target="https://drive.google.com/open?id=10-36XXtBj78a0UbZLECbvnS7HoKyfqbx" TargetMode="External"/><Relationship Id="rId1504" Type="http://schemas.openxmlformats.org/officeDocument/2006/relationships/hyperlink" Target="https://drive.google.com/open?id=1HdE6WDKR6zKTfValFKUYI8i94TvckK-6" TargetMode="External"/><Relationship Id="rId2835" Type="http://schemas.openxmlformats.org/officeDocument/2006/relationships/hyperlink" Target="https://drive.google.com/open?id=15XzTBPjCY21pVEPAbETxxksfXPdHO7WB" TargetMode="External"/><Relationship Id="rId1505" Type="http://schemas.openxmlformats.org/officeDocument/2006/relationships/hyperlink" Target="https://drive.google.com/open?id=1L2sjEIWv5uTIlWzzdj8WsQckXBd0WJ1S" TargetMode="External"/><Relationship Id="rId2836" Type="http://schemas.openxmlformats.org/officeDocument/2006/relationships/hyperlink" Target="https://drive.google.com/open?id=16Uah2djcN-FK4D3S-zpEb0Ug_J9VX7tC" TargetMode="External"/><Relationship Id="rId1506" Type="http://schemas.openxmlformats.org/officeDocument/2006/relationships/hyperlink" Target="https://drive.google.com/open?id=1TWO92HjVVCMjWDrCDejq3aLGy90cDmNH" TargetMode="External"/><Relationship Id="rId2837" Type="http://schemas.openxmlformats.org/officeDocument/2006/relationships/hyperlink" Target="https://drive.google.com/open?id=1VbdhNEg1YGAupGfbsu0p_bs0Cb7fxYcf" TargetMode="External"/><Relationship Id="rId1507" Type="http://schemas.openxmlformats.org/officeDocument/2006/relationships/hyperlink" Target="https://drive.google.com/open?id=19P8azZIIXGF3d1CbVPtGGZqYHpGBM8gh" TargetMode="External"/><Relationship Id="rId2838" Type="http://schemas.openxmlformats.org/officeDocument/2006/relationships/hyperlink" Target="https://drive.google.com/open?id=1K2bh6zPHjqt5PVg4ibRmrfrcXqvoxn62" TargetMode="External"/><Relationship Id="rId1508" Type="http://schemas.openxmlformats.org/officeDocument/2006/relationships/hyperlink" Target="https://drive.google.com/open?id=1fnC1PDR16f5iR3xLdpNcuqVb0jCLT434" TargetMode="External"/><Relationship Id="rId2839" Type="http://schemas.openxmlformats.org/officeDocument/2006/relationships/hyperlink" Target="https://drive.google.com/open?id=1gb9xe4dEtlTk2EQilxc4KfCVUNTDZ0t5" TargetMode="External"/><Relationship Id="rId1509" Type="http://schemas.openxmlformats.org/officeDocument/2006/relationships/hyperlink" Target="https://drive.google.com/open?id=1OPjNj83r_gqzO4gsFmj0hLBKMmMfHNtZ" TargetMode="External"/><Relationship Id="rId2800" Type="http://schemas.openxmlformats.org/officeDocument/2006/relationships/hyperlink" Target="https://drive.google.com/open?id=1h1eeSjtpVenbokDKUoDNKXHRSbOTBGOs" TargetMode="External"/><Relationship Id="rId2801" Type="http://schemas.openxmlformats.org/officeDocument/2006/relationships/hyperlink" Target="https://drive.google.com/open?id=1QGyfd3M3g6AB3Hi22MnmXcFH-dDox0vn" TargetMode="External"/><Relationship Id="rId2802" Type="http://schemas.openxmlformats.org/officeDocument/2006/relationships/hyperlink" Target="https://drive.google.com/open?id=1Vqpw12MwIXyXDDzWWteU3Maq-75As0ww" TargetMode="External"/><Relationship Id="rId2803" Type="http://schemas.openxmlformats.org/officeDocument/2006/relationships/hyperlink" Target="https://drive.google.com/open?id=1IEpstMn9gs-GjFCRyD2VqjjFoH7dNTJ7" TargetMode="External"/><Relationship Id="rId2804" Type="http://schemas.openxmlformats.org/officeDocument/2006/relationships/hyperlink" Target="https://drive.google.com/open?id=1WfVFOGeDTODSegJav6OtmhtE0z0wzeY9" TargetMode="External"/><Relationship Id="rId2805" Type="http://schemas.openxmlformats.org/officeDocument/2006/relationships/hyperlink" Target="https://drive.google.com/open?id=1-cyGsoGIsnGIKesKMul3WKeedSHgpYkv" TargetMode="External"/><Relationship Id="rId2806" Type="http://schemas.openxmlformats.org/officeDocument/2006/relationships/hyperlink" Target="https://drive.google.com/open?id=1XHd2Iuop0hlHwZFLpJytwrqE-0vtx1D1" TargetMode="External"/><Relationship Id="rId2807" Type="http://schemas.openxmlformats.org/officeDocument/2006/relationships/hyperlink" Target="https://drive.google.com/open?id=1nuZ0VpYpeTO5bBhwcaTMnegF2I89z3EC" TargetMode="External"/><Relationship Id="rId2808" Type="http://schemas.openxmlformats.org/officeDocument/2006/relationships/hyperlink" Target="https://drive.google.com/open?id=1wBa2GQmM--tJX5lhvNFqAPI04Cm_5PeF" TargetMode="External"/><Relationship Id="rId2809" Type="http://schemas.openxmlformats.org/officeDocument/2006/relationships/hyperlink" Target="https://drive.google.com/open?id=1OuPGXZDd3H3uaoKKWi86iREXYoGrsYCj" TargetMode="External"/><Relationship Id="rId1576" Type="http://schemas.openxmlformats.org/officeDocument/2006/relationships/hyperlink" Target="https://drive.google.com/open?id=1YZIgCigE-Fx75YlHVZrnJr9Tq0YcnsIU" TargetMode="External"/><Relationship Id="rId1577" Type="http://schemas.openxmlformats.org/officeDocument/2006/relationships/hyperlink" Target="https://drive.google.com/open?id=1kXJXlLN9sjCNo9VSes7MEXPaGT8VOwzT" TargetMode="External"/><Relationship Id="rId1578" Type="http://schemas.openxmlformats.org/officeDocument/2006/relationships/hyperlink" Target="https://drive.google.com/open?id=1hguD_Vklz43Bl1ZlIeyg7JMbstK6ZWFA" TargetMode="External"/><Relationship Id="rId1579" Type="http://schemas.openxmlformats.org/officeDocument/2006/relationships/hyperlink" Target="https://drive.google.com/open?id=1fIBkKxSXR_uW8U_XCAIysPghF-vRlcak" TargetMode="External"/><Relationship Id="rId987" Type="http://schemas.openxmlformats.org/officeDocument/2006/relationships/hyperlink" Target="https://drive.google.com/open?id=15Yday8K2AnZugVUR-LS1S8L6MOelZZXI" TargetMode="External"/><Relationship Id="rId986" Type="http://schemas.openxmlformats.org/officeDocument/2006/relationships/hyperlink" Target="https://drive.google.com/open?id=15gmN7AoOzVWHVbBF2Z-BkuLzcpaIpRFV" TargetMode="External"/><Relationship Id="rId985" Type="http://schemas.openxmlformats.org/officeDocument/2006/relationships/hyperlink" Target="https://drive.google.com/open?id=1mVlrqo9-s-S5ZfeTzjJRKA9GJOBtEvAK" TargetMode="External"/><Relationship Id="rId984" Type="http://schemas.openxmlformats.org/officeDocument/2006/relationships/hyperlink" Target="https://drive.google.com/open?id=1xpZR2KpQfGBElbFI0NX4e7TEpoZENY-c" TargetMode="External"/><Relationship Id="rId989" Type="http://schemas.openxmlformats.org/officeDocument/2006/relationships/hyperlink" Target="https://drive.google.com/open?id=1RaayJkgX3_F7K0Fma7FcjNXLCVkbfNEf" TargetMode="External"/><Relationship Id="rId988" Type="http://schemas.openxmlformats.org/officeDocument/2006/relationships/hyperlink" Target="https://drive.google.com/open?id=1JtFIkV2Hu-yRt1SDbLFSZ-cTFN3bPR8n" TargetMode="External"/><Relationship Id="rId1570" Type="http://schemas.openxmlformats.org/officeDocument/2006/relationships/hyperlink" Target="https://drive.google.com/open?id=1BzmOjtDTR0m2az_We9UhzwNV93m4a8Lp" TargetMode="External"/><Relationship Id="rId1571" Type="http://schemas.openxmlformats.org/officeDocument/2006/relationships/hyperlink" Target="https://drive.google.com/open?id=132nABEbgoNgXf4H8rsWyVMobQPgk5ClY" TargetMode="External"/><Relationship Id="rId983" Type="http://schemas.openxmlformats.org/officeDocument/2006/relationships/hyperlink" Target="https://drive.google.com/open?id=1jPI48lAiJdFOKVeQ0Yd7cY24NACexnkT" TargetMode="External"/><Relationship Id="rId1572" Type="http://schemas.openxmlformats.org/officeDocument/2006/relationships/hyperlink" Target="https://drive.google.com/open?id=1ewMjoifMSkn3pRZP5clMfhUzINkQBrRE" TargetMode="External"/><Relationship Id="rId982" Type="http://schemas.openxmlformats.org/officeDocument/2006/relationships/hyperlink" Target="https://drive.google.com/open?id=1JMicLc301F3ixwftu3rTIk1r0gpmfpvT" TargetMode="External"/><Relationship Id="rId1573" Type="http://schemas.openxmlformats.org/officeDocument/2006/relationships/hyperlink" Target="https://drive.google.com/open?id=13KiUgrtltZ4tz3wJooXMxfSIPiKFKulE" TargetMode="External"/><Relationship Id="rId981" Type="http://schemas.openxmlformats.org/officeDocument/2006/relationships/hyperlink" Target="https://drive.google.com/open?id=1VIaurxp8ianAdno0BCh7IYmRiuAkmpeo" TargetMode="External"/><Relationship Id="rId1574" Type="http://schemas.openxmlformats.org/officeDocument/2006/relationships/hyperlink" Target="https://drive.google.com/open?id=11q-mGzzbOVj9VG-xiM9y8fyU0D9SHz5W" TargetMode="External"/><Relationship Id="rId980" Type="http://schemas.openxmlformats.org/officeDocument/2006/relationships/hyperlink" Target="https://drive.google.com/open?id=1zT58paXLf_GVJLli6hTBeLcogPTf5PAr" TargetMode="External"/><Relationship Id="rId1575" Type="http://schemas.openxmlformats.org/officeDocument/2006/relationships/hyperlink" Target="https://drive.google.com/open?id=1X-PvgTgfTRE1T4neNkSumc0mVVW4AuA0" TargetMode="External"/><Relationship Id="rId1565" Type="http://schemas.openxmlformats.org/officeDocument/2006/relationships/hyperlink" Target="https://drive.google.com/open?id=1M_hYgi2bdxaKeSd16Dk8QuznZri-jW6g" TargetMode="External"/><Relationship Id="rId2896" Type="http://schemas.openxmlformats.org/officeDocument/2006/relationships/hyperlink" Target="https://drive.google.com/open?id=1WrE4phkQYcizi6oIbhMPdEWMgrgBWLPR" TargetMode="External"/><Relationship Id="rId1566" Type="http://schemas.openxmlformats.org/officeDocument/2006/relationships/hyperlink" Target="https://drive.google.com/open?id=12-aGueTecSxul904BYRmEMJkIZ3n8x-s" TargetMode="External"/><Relationship Id="rId2897" Type="http://schemas.openxmlformats.org/officeDocument/2006/relationships/hyperlink" Target="https://drive.google.com/open?id=1KM-RJD8dh46k8-ZSmih2wXMLGFv_kAtv" TargetMode="External"/><Relationship Id="rId1567" Type="http://schemas.openxmlformats.org/officeDocument/2006/relationships/hyperlink" Target="https://drive.google.com/open?id=1ieEr-SIg5RAS9_zXDX09ls4PDemgcC4D" TargetMode="External"/><Relationship Id="rId2898" Type="http://schemas.openxmlformats.org/officeDocument/2006/relationships/hyperlink" Target="https://drive.google.com/open?id=1D_g3-dT2WKW06b00z0XlMnRuqlSXqGPt" TargetMode="External"/><Relationship Id="rId1568" Type="http://schemas.openxmlformats.org/officeDocument/2006/relationships/hyperlink" Target="https://drive.google.com/open?id=1y4izvjSpCVVxU1fWVVkmINc_-I4hTd8l" TargetMode="External"/><Relationship Id="rId2899" Type="http://schemas.openxmlformats.org/officeDocument/2006/relationships/hyperlink" Target="https://drive.google.com/open?id=19SOZdayusaxqMLkoJ0DTJ0b7kqE-YDkW" TargetMode="External"/><Relationship Id="rId1569" Type="http://schemas.openxmlformats.org/officeDocument/2006/relationships/hyperlink" Target="https://drive.google.com/open?id=1jLES5bAp58WMU3-iXgTuq5Ky186oFagd" TargetMode="External"/><Relationship Id="rId976" Type="http://schemas.openxmlformats.org/officeDocument/2006/relationships/hyperlink" Target="https://drive.google.com/open?id=1-cOleU8eNxgYvsnvA2AZmsq7uFIesR3c" TargetMode="External"/><Relationship Id="rId975" Type="http://schemas.openxmlformats.org/officeDocument/2006/relationships/hyperlink" Target="https://drive.google.com/open?id=1pqa3mnzX7-_stHi3L11n7uLIpo6DxfXf" TargetMode="External"/><Relationship Id="rId974" Type="http://schemas.openxmlformats.org/officeDocument/2006/relationships/hyperlink" Target="https://drive.google.com/open?id=1i9DdsdsjacNMVeO5Rlu3Co9T5orkU0fe" TargetMode="External"/><Relationship Id="rId973" Type="http://schemas.openxmlformats.org/officeDocument/2006/relationships/hyperlink" Target="https://drive.google.com/open?id=1n0TURNoEfMzWj_m6KhAObmALF5uF2FJp" TargetMode="External"/><Relationship Id="rId979" Type="http://schemas.openxmlformats.org/officeDocument/2006/relationships/hyperlink" Target="https://drive.google.com/open?id=1qfC6cpJcocWxV-sDoe2xDYU7HqEAG7uF" TargetMode="External"/><Relationship Id="rId978" Type="http://schemas.openxmlformats.org/officeDocument/2006/relationships/hyperlink" Target="https://drive.google.com/open?id=1nBzaDI23WoGa_iFQE0INVDBOL-9kDuwj" TargetMode="External"/><Relationship Id="rId977" Type="http://schemas.openxmlformats.org/officeDocument/2006/relationships/hyperlink" Target="https://drive.google.com/open?id=1vRYKaQZAlpDiRS-8_SHSW-yQft3nVCty" TargetMode="External"/><Relationship Id="rId2890" Type="http://schemas.openxmlformats.org/officeDocument/2006/relationships/hyperlink" Target="https://drive.google.com/open?id=10TAHejG0iJUlNpBqRrNjQTh1wpX1t5hs" TargetMode="External"/><Relationship Id="rId1560" Type="http://schemas.openxmlformats.org/officeDocument/2006/relationships/hyperlink" Target="https://drive.google.com/open?id=1XFPGVwyZg1NLbIouhcEjod3v9uMryuq7" TargetMode="External"/><Relationship Id="rId2891" Type="http://schemas.openxmlformats.org/officeDocument/2006/relationships/hyperlink" Target="https://drive.google.com/open?id=1lYzn0pb2gB0AOXHIBHuTrqTgObckEtDn" TargetMode="External"/><Relationship Id="rId972" Type="http://schemas.openxmlformats.org/officeDocument/2006/relationships/hyperlink" Target="https://drive.google.com/open?id=16efbJ-PwdG5q95t1gHVRrE2dys8BP9_p" TargetMode="External"/><Relationship Id="rId1561" Type="http://schemas.openxmlformats.org/officeDocument/2006/relationships/hyperlink" Target="https://drive.google.com/open?id=1zVSDiWAe_KtbIt8vI9JMOBUgt8KLUNlB" TargetMode="External"/><Relationship Id="rId2892" Type="http://schemas.openxmlformats.org/officeDocument/2006/relationships/hyperlink" Target="https://drive.google.com/open?id=1K6AKcmHV9U4WIXBgmmxTvg3UwSRGSvrl" TargetMode="External"/><Relationship Id="rId971" Type="http://schemas.openxmlformats.org/officeDocument/2006/relationships/hyperlink" Target="https://drive.google.com/open?id=1Xh3fPeV-zrZvWZ57oy9Ax2qNSTW7MUSs" TargetMode="External"/><Relationship Id="rId1562" Type="http://schemas.openxmlformats.org/officeDocument/2006/relationships/hyperlink" Target="https://drive.google.com/open?id=1iSVP4yQwzO1QuJxCgg3e29OOZZOkGou9" TargetMode="External"/><Relationship Id="rId2893" Type="http://schemas.openxmlformats.org/officeDocument/2006/relationships/hyperlink" Target="https://drive.google.com/open?id=1Y95rBngvAnWyxlY4110FNRNana3CeYmM" TargetMode="External"/><Relationship Id="rId970" Type="http://schemas.openxmlformats.org/officeDocument/2006/relationships/hyperlink" Target="https://drive.google.com/open?id=1ib5b2Jf_LvYEflFd66QgrOIflCTg7qgR" TargetMode="External"/><Relationship Id="rId1563" Type="http://schemas.openxmlformats.org/officeDocument/2006/relationships/hyperlink" Target="https://drive.google.com/open?id=1tGYeWwHEpOE8J_D08Io7_N751wLKJ2JH" TargetMode="External"/><Relationship Id="rId2894" Type="http://schemas.openxmlformats.org/officeDocument/2006/relationships/hyperlink" Target="https://drive.google.com/open?id=195bp2CfIyVlNiztQpJqzgFVeLKXEhX_Y" TargetMode="External"/><Relationship Id="rId1564" Type="http://schemas.openxmlformats.org/officeDocument/2006/relationships/hyperlink" Target="https://drive.google.com/open?id=1hbGCs_7MLYHcDOc5pLdQjddFRFqAct-u" TargetMode="External"/><Relationship Id="rId2895" Type="http://schemas.openxmlformats.org/officeDocument/2006/relationships/hyperlink" Target="https://drive.google.com/open?id=1pcCZDQWN_MBvdmYqnAGG-7JBKAC9uaQZ" TargetMode="External"/><Relationship Id="rId1598" Type="http://schemas.openxmlformats.org/officeDocument/2006/relationships/hyperlink" Target="https://drive.google.com/open?id=1lgCfL6i4WNc1PaPAtfr6_4vvHMSAEOJx" TargetMode="External"/><Relationship Id="rId1599" Type="http://schemas.openxmlformats.org/officeDocument/2006/relationships/hyperlink" Target="https://drive.google.com/open?id=10JSuAQXvvfM8sK9MHnozFTaR7FUNIEon" TargetMode="External"/><Relationship Id="rId1590" Type="http://schemas.openxmlformats.org/officeDocument/2006/relationships/hyperlink" Target="https://drive.google.com/open?id=1o02GILP4vvGMPt7O3UABQpo2OxmNI3Mg" TargetMode="External"/><Relationship Id="rId1591" Type="http://schemas.openxmlformats.org/officeDocument/2006/relationships/hyperlink" Target="https://drive.google.com/open?id=1m20eGsq72jR1eCzAeGaLTz9m1mvXEOG6" TargetMode="External"/><Relationship Id="rId1592" Type="http://schemas.openxmlformats.org/officeDocument/2006/relationships/hyperlink" Target="https://drive.google.com/open?id=1hIQcCk6Ik3SjvzUkx0gg1Kys89lVpLv8" TargetMode="External"/><Relationship Id="rId1593" Type="http://schemas.openxmlformats.org/officeDocument/2006/relationships/hyperlink" Target="https://drive.google.com/open?id=1R-atQbQR7jOf_l9bUDIxBrD6L5KHBK3V" TargetMode="External"/><Relationship Id="rId1594" Type="http://schemas.openxmlformats.org/officeDocument/2006/relationships/hyperlink" Target="https://drive.google.com/open?id=1JeVd_976p8_MRY-_8mQV4vMORjcUbpMM" TargetMode="External"/><Relationship Id="rId1595" Type="http://schemas.openxmlformats.org/officeDocument/2006/relationships/hyperlink" Target="https://drive.google.com/open?id=1kQVDLOpYcZaa3IE92Gzxxba4uiGsbjGF" TargetMode="External"/><Relationship Id="rId1596" Type="http://schemas.openxmlformats.org/officeDocument/2006/relationships/hyperlink" Target="https://drive.google.com/open?id=1L_sg3mbOtcDePmFbrHoF0NvEsJ6pFuqO" TargetMode="External"/><Relationship Id="rId1597" Type="http://schemas.openxmlformats.org/officeDocument/2006/relationships/hyperlink" Target="https://drive.google.com/open?id=1dx5H4IGpRma91yojdvgxKJgA5w3CwM8p" TargetMode="External"/><Relationship Id="rId1587" Type="http://schemas.openxmlformats.org/officeDocument/2006/relationships/hyperlink" Target="https://drive.google.com/open?id=1g8_RsiahjEVwn33I9Q1fJI3357t-TU-z" TargetMode="External"/><Relationship Id="rId1588" Type="http://schemas.openxmlformats.org/officeDocument/2006/relationships/hyperlink" Target="https://drive.google.com/open?id=1DGPH18EOLs93kQc7n7J2GXbExkz5Zqbh" TargetMode="External"/><Relationship Id="rId1589" Type="http://schemas.openxmlformats.org/officeDocument/2006/relationships/hyperlink" Target="https://drive.google.com/open?id=1NFhuwnTfv_s-3F33ToJKVOPH8Nr1Ph8h" TargetMode="External"/><Relationship Id="rId998" Type="http://schemas.openxmlformats.org/officeDocument/2006/relationships/hyperlink" Target="https://drive.google.com/open?id=1iTEHBV7ibUyz3XzjBdeoMg46KssYbhcx" TargetMode="External"/><Relationship Id="rId997" Type="http://schemas.openxmlformats.org/officeDocument/2006/relationships/hyperlink" Target="https://drive.google.com/open?id=1riWksXDho7rluDiDpCQ1yucpOYw0cgER" TargetMode="External"/><Relationship Id="rId996" Type="http://schemas.openxmlformats.org/officeDocument/2006/relationships/hyperlink" Target="https://drive.google.com/open?id=1C1CuY3kRcQUSi5rhHh03reZQWzyCEo9v" TargetMode="External"/><Relationship Id="rId995" Type="http://schemas.openxmlformats.org/officeDocument/2006/relationships/hyperlink" Target="https://drive.google.com/open?id=13puLMFtpkaukeYLJpLw1X3EZRHi_gTVz" TargetMode="External"/><Relationship Id="rId999" Type="http://schemas.openxmlformats.org/officeDocument/2006/relationships/hyperlink" Target="https://drive.google.com/open?id=1vQPynbsuKWE4CttqqESeKziKmrZ2DEY7" TargetMode="External"/><Relationship Id="rId990" Type="http://schemas.openxmlformats.org/officeDocument/2006/relationships/hyperlink" Target="https://drive.google.com/open?id=16oUHl8DcKbrGlOb2GpLMoJ1zCHZe8PYn" TargetMode="External"/><Relationship Id="rId1580" Type="http://schemas.openxmlformats.org/officeDocument/2006/relationships/hyperlink" Target="https://drive.google.com/open?id=18e8cwBH7LYogc2fOH22c8CqFqb5YJ4Ym" TargetMode="External"/><Relationship Id="rId1581" Type="http://schemas.openxmlformats.org/officeDocument/2006/relationships/hyperlink" Target="https://drive.google.com/open?id=1KASNSouHNg73c-oLv4Rq6A8XpoXrdFgr" TargetMode="External"/><Relationship Id="rId1582" Type="http://schemas.openxmlformats.org/officeDocument/2006/relationships/hyperlink" Target="https://drive.google.com/open?id=1uSkI3NJnbeE3t9ROce28OnEFJdIYc9Hn" TargetMode="External"/><Relationship Id="rId994" Type="http://schemas.openxmlformats.org/officeDocument/2006/relationships/hyperlink" Target="https://drive.google.com/open?id=1XxcgW2r4rR6ytvxCfxzflprQO_T66s7f" TargetMode="External"/><Relationship Id="rId1583" Type="http://schemas.openxmlformats.org/officeDocument/2006/relationships/hyperlink" Target="https://drive.google.com/open?id=1hDZJc2NnAK2F5yXegGNv7iXrh4ENLjv-" TargetMode="External"/><Relationship Id="rId993" Type="http://schemas.openxmlformats.org/officeDocument/2006/relationships/hyperlink" Target="https://drive.google.com/open?id=1oerbMaevpr0v_xexpPQQm2QNizy3Q4Zc" TargetMode="External"/><Relationship Id="rId1584" Type="http://schemas.openxmlformats.org/officeDocument/2006/relationships/hyperlink" Target="https://drive.google.com/open?id=14lwkgCnUtr_pRqXiSP6qiWVhvd47bm9x" TargetMode="External"/><Relationship Id="rId992" Type="http://schemas.openxmlformats.org/officeDocument/2006/relationships/hyperlink" Target="https://drive.google.com/open?id=1Kxr9Q_cKa-K-BxesvugcKYJ8_XRe81Ot" TargetMode="External"/><Relationship Id="rId1585" Type="http://schemas.openxmlformats.org/officeDocument/2006/relationships/hyperlink" Target="https://drive.google.com/open?id=1rD7t6O_PryZ8pjQZ9HQlseEW0N08USiw" TargetMode="External"/><Relationship Id="rId991" Type="http://schemas.openxmlformats.org/officeDocument/2006/relationships/hyperlink" Target="https://drive.google.com/open?id=1ie9U0KtOGg03iFuETY9LEkp0cY8JBXBI" TargetMode="External"/><Relationship Id="rId1586" Type="http://schemas.openxmlformats.org/officeDocument/2006/relationships/hyperlink" Target="https://drive.google.com/open?id=12ZT22U8qNR8kdCTSGEGLrzStlDpmuwMt" TargetMode="External"/><Relationship Id="rId1532" Type="http://schemas.openxmlformats.org/officeDocument/2006/relationships/hyperlink" Target="https://drive.google.com/open?id=1kchEyw1E0pJalhOZUZvc6Y2aAVKQsxGc" TargetMode="External"/><Relationship Id="rId2863" Type="http://schemas.openxmlformats.org/officeDocument/2006/relationships/hyperlink" Target="https://drive.google.com/open?id=140FmS2ST51qqXqOZ7uBvmEu_kKrkRr9q" TargetMode="External"/><Relationship Id="rId1533" Type="http://schemas.openxmlformats.org/officeDocument/2006/relationships/hyperlink" Target="https://drive.google.com/open?id=13SZDiKbfNHBusEqg446mn22YyfRshlPe" TargetMode="External"/><Relationship Id="rId2864" Type="http://schemas.openxmlformats.org/officeDocument/2006/relationships/hyperlink" Target="https://drive.google.com/open?id=1OMPEREQ03Inktbx7yCEJ1NRP-CAbWc-e" TargetMode="External"/><Relationship Id="rId1534" Type="http://schemas.openxmlformats.org/officeDocument/2006/relationships/hyperlink" Target="https://drive.google.com/open?id=1h_-MoaiqeyrcyMu-ITrrqU8lZhQbRpNz" TargetMode="External"/><Relationship Id="rId2865" Type="http://schemas.openxmlformats.org/officeDocument/2006/relationships/hyperlink" Target="https://drive.google.com/open?id=1UQ31mikMLH4a53BOpT8-_zljdnkEPRFz" TargetMode="External"/><Relationship Id="rId1535" Type="http://schemas.openxmlformats.org/officeDocument/2006/relationships/hyperlink" Target="https://drive.google.com/open?id=1NrYTo8DxFESUhYhyYD01WvWsJBapebB8" TargetMode="External"/><Relationship Id="rId2866" Type="http://schemas.openxmlformats.org/officeDocument/2006/relationships/hyperlink" Target="https://drive.google.com/open?id=1-qe4FlHxo4GX7rVxbP61hJf0sLjMG-6k" TargetMode="External"/><Relationship Id="rId1536" Type="http://schemas.openxmlformats.org/officeDocument/2006/relationships/hyperlink" Target="https://drive.google.com/open?id=1TtdO6jbfEMpjP6P3sRDphOmYClFd9o50" TargetMode="External"/><Relationship Id="rId2867" Type="http://schemas.openxmlformats.org/officeDocument/2006/relationships/hyperlink" Target="https://drive.google.com/open?id=1EzhxEyx1g78FLtajnnJFjMG7TObp6XPV" TargetMode="External"/><Relationship Id="rId1537" Type="http://schemas.openxmlformats.org/officeDocument/2006/relationships/hyperlink" Target="https://drive.google.com/open?id=1xo8iBj0Q59ix7_N9NvcsPv6RIAq5qaK2" TargetMode="External"/><Relationship Id="rId2868" Type="http://schemas.openxmlformats.org/officeDocument/2006/relationships/hyperlink" Target="https://drive.google.com/open?id=1LhQkcOFm3szMXavdn06zIArrS9h2DfFr" TargetMode="External"/><Relationship Id="rId1538" Type="http://schemas.openxmlformats.org/officeDocument/2006/relationships/hyperlink" Target="https://drive.google.com/open?id=1nMv9i7PccTZuI8CxwGX7cIAwMQicm7R8" TargetMode="External"/><Relationship Id="rId2869" Type="http://schemas.openxmlformats.org/officeDocument/2006/relationships/hyperlink" Target="https://drive.google.com/open?id=147PTsabfES2jYGvh-Km5x-QQJi1cQmA1" TargetMode="External"/><Relationship Id="rId1539" Type="http://schemas.openxmlformats.org/officeDocument/2006/relationships/hyperlink" Target="https://drive.google.com/open?id=1k4SMCyzasjWu9Ue2CbnnEDuS5bX6aLza" TargetMode="External"/><Relationship Id="rId949" Type="http://schemas.openxmlformats.org/officeDocument/2006/relationships/hyperlink" Target="https://drive.google.com/open?id=1qIaT1hvt5AAr-wOPxQqFd2niNvJA-kCf" TargetMode="External"/><Relationship Id="rId948" Type="http://schemas.openxmlformats.org/officeDocument/2006/relationships/hyperlink" Target="https://drive.google.com/open?id=1mboKenA_bLe2btRTYpdD-LOygoBEKg2U" TargetMode="External"/><Relationship Id="rId943" Type="http://schemas.openxmlformats.org/officeDocument/2006/relationships/hyperlink" Target="https://drive.google.com/open?id=1bKBFRTAYc9eNa_6IXkGKcvFnEarjNBDC" TargetMode="External"/><Relationship Id="rId942" Type="http://schemas.openxmlformats.org/officeDocument/2006/relationships/hyperlink" Target="https://drive.google.com/open?id=1vNjFSUNbf9nIOkgmsyYTMqPIjLACCip-" TargetMode="External"/><Relationship Id="rId941" Type="http://schemas.openxmlformats.org/officeDocument/2006/relationships/hyperlink" Target="https://drive.google.com/open?id=1cxZ66kAr-89GCujRedCru3KS1014Dctr" TargetMode="External"/><Relationship Id="rId940" Type="http://schemas.openxmlformats.org/officeDocument/2006/relationships/hyperlink" Target="https://drive.google.com/open?id=1moIp8MoAOkh7gyW8J6A1_Zd9kozFPUDv" TargetMode="External"/><Relationship Id="rId947" Type="http://schemas.openxmlformats.org/officeDocument/2006/relationships/hyperlink" Target="https://drive.google.com/open?id=17TGF08etfgZZS0p3lWm-aoOGxLDAt22k" TargetMode="External"/><Relationship Id="rId946" Type="http://schemas.openxmlformats.org/officeDocument/2006/relationships/hyperlink" Target="https://drive.google.com/open?id=1qRLfN3XCxyEoAFjbpyZHneqeLa-BzsNI" TargetMode="External"/><Relationship Id="rId945" Type="http://schemas.openxmlformats.org/officeDocument/2006/relationships/hyperlink" Target="https://drive.google.com/open?id=1EqnqKVYZArla8ihBsCNBOPBwvykaxngR" TargetMode="External"/><Relationship Id="rId944" Type="http://schemas.openxmlformats.org/officeDocument/2006/relationships/hyperlink" Target="https://drive.google.com/open?id=1FQim8MTCHN3hb_Bi3xA9ANHtxO__SApQ" TargetMode="External"/><Relationship Id="rId2860" Type="http://schemas.openxmlformats.org/officeDocument/2006/relationships/hyperlink" Target="https://drive.google.com/open?id=1nzmM1OvyOf01q-y3_Ny-qI8O8L_pVMMs" TargetMode="External"/><Relationship Id="rId1530" Type="http://schemas.openxmlformats.org/officeDocument/2006/relationships/hyperlink" Target="https://drive.google.com/open?id=1tKpGy_9Au4uj6q684thV1AMRv9719Fic" TargetMode="External"/><Relationship Id="rId2861" Type="http://schemas.openxmlformats.org/officeDocument/2006/relationships/hyperlink" Target="https://drive.google.com/open?id=1VS0hQkvKJTJHsUx6TWy8DnDROyOutNzX" TargetMode="External"/><Relationship Id="rId1531" Type="http://schemas.openxmlformats.org/officeDocument/2006/relationships/hyperlink" Target="https://drive.google.com/open?id=1uew-CFs_sKsjDlSV_TjNaC5w_sk8AhUw" TargetMode="External"/><Relationship Id="rId2862" Type="http://schemas.openxmlformats.org/officeDocument/2006/relationships/hyperlink" Target="https://drive.google.com/open?id=1D-Lba-GnNVOUvQD3f6k5blgQdJ6zvifY" TargetMode="External"/><Relationship Id="rId1521" Type="http://schemas.openxmlformats.org/officeDocument/2006/relationships/hyperlink" Target="https://drive.google.com/open?id=1iXPZwuv1UoGT0XP9ryKQe4S2x61xIKkl" TargetMode="External"/><Relationship Id="rId2852" Type="http://schemas.openxmlformats.org/officeDocument/2006/relationships/hyperlink" Target="https://drive.google.com/open?id=1s-MJr--lkG8k0kVmoO8YJw8zJ5epplbp" TargetMode="External"/><Relationship Id="rId1522" Type="http://schemas.openxmlformats.org/officeDocument/2006/relationships/hyperlink" Target="https://drive.google.com/open?id=1eansBrMPGlIGjPaFTctK_HkuOI7oowqT" TargetMode="External"/><Relationship Id="rId2853" Type="http://schemas.openxmlformats.org/officeDocument/2006/relationships/hyperlink" Target="https://drive.google.com/open?id=113AMkhyPKP9W6nmt99AQwPR4ZjEms8R0" TargetMode="External"/><Relationship Id="rId1523" Type="http://schemas.openxmlformats.org/officeDocument/2006/relationships/hyperlink" Target="https://drive.google.com/open?id=1-o3yXc8HXR2Z-bXa3ctOaS2fT4RM1fZv" TargetMode="External"/><Relationship Id="rId2854" Type="http://schemas.openxmlformats.org/officeDocument/2006/relationships/hyperlink" Target="https://drive.google.com/open?id=15JSbHZhOwco-9v7wvmSwxy936kTCIUVo" TargetMode="External"/><Relationship Id="rId1524" Type="http://schemas.openxmlformats.org/officeDocument/2006/relationships/hyperlink" Target="https://drive.google.com/open?id=1WDLFar7BWpygA3IU89rFF2cQnuQ7e6Su" TargetMode="External"/><Relationship Id="rId2855" Type="http://schemas.openxmlformats.org/officeDocument/2006/relationships/hyperlink" Target="https://drive.google.com/open?id=1byFjJ_hGEfAiC1wh_ndJXSI7qBq75rNY" TargetMode="External"/><Relationship Id="rId1525" Type="http://schemas.openxmlformats.org/officeDocument/2006/relationships/hyperlink" Target="https://drive.google.com/open?id=1P22Y-nAgq7dnJH5dNjs79lhcTIJYuPhb" TargetMode="External"/><Relationship Id="rId2856" Type="http://schemas.openxmlformats.org/officeDocument/2006/relationships/hyperlink" Target="https://drive.google.com/open?id=1isD7afd-7fISrO3oeLT27u_hC23MBiga" TargetMode="External"/><Relationship Id="rId1526" Type="http://schemas.openxmlformats.org/officeDocument/2006/relationships/hyperlink" Target="https://drive.google.com/open?id=1TRRZ6dhqqIKgBjB9KYyG5AdWD0AJmemV" TargetMode="External"/><Relationship Id="rId2857" Type="http://schemas.openxmlformats.org/officeDocument/2006/relationships/hyperlink" Target="https://drive.google.com/open?id=1ONWSR2-EnrWRXsdqkRWxNwDcCKXrl12r" TargetMode="External"/><Relationship Id="rId1527" Type="http://schemas.openxmlformats.org/officeDocument/2006/relationships/hyperlink" Target="https://drive.google.com/open?id=1HOB4NYgyA7wtmbkdx5fhxk1cWPiCjReg" TargetMode="External"/><Relationship Id="rId2858" Type="http://schemas.openxmlformats.org/officeDocument/2006/relationships/hyperlink" Target="https://drive.google.com/open?id=1HqMeA2u68pNZv9GpXYk2cYhwPZm7zLGj" TargetMode="External"/><Relationship Id="rId1528" Type="http://schemas.openxmlformats.org/officeDocument/2006/relationships/hyperlink" Target="https://drive.google.com/open?id=1lEWIxOI7674LZYF8mGubyUZkbqG9diTe" TargetMode="External"/><Relationship Id="rId2859" Type="http://schemas.openxmlformats.org/officeDocument/2006/relationships/hyperlink" Target="https://drive.google.com/open?id=15NujDdej5B3N5YyZa6YEbxSdh7V06sbL" TargetMode="External"/><Relationship Id="rId1529" Type="http://schemas.openxmlformats.org/officeDocument/2006/relationships/hyperlink" Target="https://drive.google.com/open?id=1S7GCdfRcu0A-hFhhCuJ0ABBXaOhS0sv8" TargetMode="External"/><Relationship Id="rId939" Type="http://schemas.openxmlformats.org/officeDocument/2006/relationships/hyperlink" Target="https://drive.google.com/open?id=1Y2uGJQs2ttBzbT76UEbljodFuy9sSyAY" TargetMode="External"/><Relationship Id="rId938" Type="http://schemas.openxmlformats.org/officeDocument/2006/relationships/hyperlink" Target="https://drive.google.com/open?id=1LINYk7GAsgQ2_RNVoEUOpVojeSh0SxKR" TargetMode="External"/><Relationship Id="rId937" Type="http://schemas.openxmlformats.org/officeDocument/2006/relationships/hyperlink" Target="https://drive.google.com/open?id=1M-cCDuaQjicFdXH2teNJn_HAjZonPgtw" TargetMode="External"/><Relationship Id="rId932" Type="http://schemas.openxmlformats.org/officeDocument/2006/relationships/hyperlink" Target="https://drive.google.com/open?id=1Pz8dQTzuTNrIAHCMEWalnsHPkTZL4EMC" TargetMode="External"/><Relationship Id="rId931" Type="http://schemas.openxmlformats.org/officeDocument/2006/relationships/hyperlink" Target="https://drive.google.com/open?id=1QoGi8F5KVKWto-Hp-htbZJQUuVIqLkg1" TargetMode="External"/><Relationship Id="rId930" Type="http://schemas.openxmlformats.org/officeDocument/2006/relationships/hyperlink" Target="https://drive.google.com/open?id=1-uSdsG3NZdF-SWlcc6DkhREgwrX7VMbN" TargetMode="External"/><Relationship Id="rId936" Type="http://schemas.openxmlformats.org/officeDocument/2006/relationships/hyperlink" Target="https://drive.google.com/open?id=1IQ5qvYMrcbAKtApghhBakh7rNezxtK05" TargetMode="External"/><Relationship Id="rId935" Type="http://schemas.openxmlformats.org/officeDocument/2006/relationships/hyperlink" Target="https://drive.google.com/open?id=1tnM5CgD4xaJoP7iklncANQUTF6cUDVgR" TargetMode="External"/><Relationship Id="rId934" Type="http://schemas.openxmlformats.org/officeDocument/2006/relationships/hyperlink" Target="https://drive.google.com/open?id=1VVCVv_5dDkK9rFYZoR2MpDVb6WvzHHwK" TargetMode="External"/><Relationship Id="rId933" Type="http://schemas.openxmlformats.org/officeDocument/2006/relationships/hyperlink" Target="https://drive.google.com/open?id=1EnxwuzBM0f6ml1HO9tSpeZ20uiW2Z6Rk" TargetMode="External"/><Relationship Id="rId2850" Type="http://schemas.openxmlformats.org/officeDocument/2006/relationships/hyperlink" Target="https://drive.google.com/open?id=12TWCCLYKdmk758dq5Al9MK1B0xUMf3Fr" TargetMode="External"/><Relationship Id="rId1520" Type="http://schemas.openxmlformats.org/officeDocument/2006/relationships/hyperlink" Target="https://drive.google.com/open?id=18y4KZOrkxKblU9pstP03ckc0VG-xdp6X" TargetMode="External"/><Relationship Id="rId2851" Type="http://schemas.openxmlformats.org/officeDocument/2006/relationships/hyperlink" Target="https://drive.google.com/open?id=1eguj8eFYLLlZ4axAL8zM0c8yZX4rwAJM" TargetMode="External"/><Relationship Id="rId1554" Type="http://schemas.openxmlformats.org/officeDocument/2006/relationships/hyperlink" Target="https://drive.google.com/open?id=1M6wiDIHKZ4RhZXE4yPXGtMNz_ryLM9B7" TargetMode="External"/><Relationship Id="rId2885" Type="http://schemas.openxmlformats.org/officeDocument/2006/relationships/hyperlink" Target="https://drive.google.com/open?id=1ljZiSC-WVK3N6sGv7QNW8qxiNNUcDtEe" TargetMode="External"/><Relationship Id="rId1555" Type="http://schemas.openxmlformats.org/officeDocument/2006/relationships/hyperlink" Target="https://drive.google.com/open?id=1_YYkWj564mWhdCbk2rzw0dtTKkgs-8es" TargetMode="External"/><Relationship Id="rId2886" Type="http://schemas.openxmlformats.org/officeDocument/2006/relationships/hyperlink" Target="https://drive.google.com/open?id=1gujuuEIxi_fQkQSbb57lHCIKJkYIHvjf" TargetMode="External"/><Relationship Id="rId1556" Type="http://schemas.openxmlformats.org/officeDocument/2006/relationships/hyperlink" Target="https://drive.google.com/open?id=15LXRqvkAxZJbOU4UJtU8IzsTnNuWjSbJ" TargetMode="External"/><Relationship Id="rId2887" Type="http://schemas.openxmlformats.org/officeDocument/2006/relationships/hyperlink" Target="https://drive.google.com/open?id=1VX13-gRYX4iOxvGcNfYJ-m8M5k6ME1S_" TargetMode="External"/><Relationship Id="rId1557" Type="http://schemas.openxmlformats.org/officeDocument/2006/relationships/hyperlink" Target="https://drive.google.com/open?id=1EtyBQThEtM4bqFHcEFB4G-xluRZujfQ0" TargetMode="External"/><Relationship Id="rId2888" Type="http://schemas.openxmlformats.org/officeDocument/2006/relationships/hyperlink" Target="https://drive.google.com/open?id=1D7RrINzeEqEnQTBn7Hk4q08Zf1J3xn9a" TargetMode="External"/><Relationship Id="rId1558" Type="http://schemas.openxmlformats.org/officeDocument/2006/relationships/hyperlink" Target="https://drive.google.com/open?id=13iq4r7fcsRHxqd8kYxvyiyCX1tBOY-ud" TargetMode="External"/><Relationship Id="rId2889" Type="http://schemas.openxmlformats.org/officeDocument/2006/relationships/hyperlink" Target="https://drive.google.com/open?id=1OSJvLMMMaWBeJmo6eJdgCOtcWTEsHfo3" TargetMode="External"/><Relationship Id="rId1559" Type="http://schemas.openxmlformats.org/officeDocument/2006/relationships/hyperlink" Target="https://drive.google.com/open?id=1sivoTIQDXTQmoy3CP8f5_J-Uw9eYXF1F" TargetMode="External"/><Relationship Id="rId965" Type="http://schemas.openxmlformats.org/officeDocument/2006/relationships/hyperlink" Target="https://drive.google.com/open?id=1LoFK340Cu7l3jdo-F4jkm1hDIGptOluD" TargetMode="External"/><Relationship Id="rId964" Type="http://schemas.openxmlformats.org/officeDocument/2006/relationships/hyperlink" Target="https://drive.google.com/open?id=1_0NR1I5cBFQz98x8J80U0BykFhH3gefN" TargetMode="External"/><Relationship Id="rId963" Type="http://schemas.openxmlformats.org/officeDocument/2006/relationships/hyperlink" Target="https://drive.google.com/open?id=13-trfI4HOT40EqFoUtOuxKoCWOMwH6jL" TargetMode="External"/><Relationship Id="rId962" Type="http://schemas.openxmlformats.org/officeDocument/2006/relationships/hyperlink" Target="https://drive.google.com/open?id=1Uaxf0L47kXKeHmKQdn4j222HMzFrk_XL" TargetMode="External"/><Relationship Id="rId969" Type="http://schemas.openxmlformats.org/officeDocument/2006/relationships/hyperlink" Target="https://drive.google.com/open?id=1Gx-2FdDxVZhA6N0Ar0bYkaJuPb-2zM7X" TargetMode="External"/><Relationship Id="rId968" Type="http://schemas.openxmlformats.org/officeDocument/2006/relationships/hyperlink" Target="https://drive.google.com/open?id=1-nJjybxKAutGgNyFI5QJGm74i9PCmmdF" TargetMode="External"/><Relationship Id="rId967" Type="http://schemas.openxmlformats.org/officeDocument/2006/relationships/hyperlink" Target="https://drive.google.com/open?id=18mDQek24tUPbHtosvqigv9WUCZmE6F5U" TargetMode="External"/><Relationship Id="rId966" Type="http://schemas.openxmlformats.org/officeDocument/2006/relationships/hyperlink" Target="https://drive.google.com/open?id=1gqomM5ElYcbjoSjM-sK-ke9L5A_rKdSb" TargetMode="External"/><Relationship Id="rId2880" Type="http://schemas.openxmlformats.org/officeDocument/2006/relationships/hyperlink" Target="https://drive.google.com/open?id=1k5OOGpwd_oHh4pVSZTmJIMdogsXxozJn" TargetMode="External"/><Relationship Id="rId961" Type="http://schemas.openxmlformats.org/officeDocument/2006/relationships/hyperlink" Target="https://drive.google.com/open?id=1uccRmsfROEytgjIAjEWOjJ3QZv1aWAOP" TargetMode="External"/><Relationship Id="rId1550" Type="http://schemas.openxmlformats.org/officeDocument/2006/relationships/hyperlink" Target="https://drive.google.com/open?id=1uq-3Q109L2iewvryRBHDkcqxRZoYhdjd" TargetMode="External"/><Relationship Id="rId2881" Type="http://schemas.openxmlformats.org/officeDocument/2006/relationships/hyperlink" Target="https://drive.google.com/open?id=1YiahR0lWMLZvS4csRnnqynKYylx9NHib" TargetMode="External"/><Relationship Id="rId960" Type="http://schemas.openxmlformats.org/officeDocument/2006/relationships/hyperlink" Target="https://drive.google.com/open?id=1xJAOb__zxmTMWNBcCfkYkDA1HZs5cpci" TargetMode="External"/><Relationship Id="rId1551" Type="http://schemas.openxmlformats.org/officeDocument/2006/relationships/hyperlink" Target="https://drive.google.com/open?id=1IwwFSX81KWkQ15F_Eyp5aguoX-nfoC0D" TargetMode="External"/><Relationship Id="rId2882" Type="http://schemas.openxmlformats.org/officeDocument/2006/relationships/hyperlink" Target="https://drive.google.com/open?id=1MHrKPItPriLALK-azwF7-inRUlgWaMBN" TargetMode="External"/><Relationship Id="rId1552" Type="http://schemas.openxmlformats.org/officeDocument/2006/relationships/hyperlink" Target="https://drive.google.com/open?id=1548tuWHSaArlDG9QfDtSwun6EgshgnQI" TargetMode="External"/><Relationship Id="rId2883" Type="http://schemas.openxmlformats.org/officeDocument/2006/relationships/hyperlink" Target="https://drive.google.com/open?id=1ZhoxPdGqerEP9bO6xVjq3N2uXmjPKJHe" TargetMode="External"/><Relationship Id="rId1553" Type="http://schemas.openxmlformats.org/officeDocument/2006/relationships/hyperlink" Target="https://drive.google.com/open?id=1Uuw46a6xYcKifE69dC9R15_cSsoHF4nE" TargetMode="External"/><Relationship Id="rId2884" Type="http://schemas.openxmlformats.org/officeDocument/2006/relationships/hyperlink" Target="https://drive.google.com/open?id=11j-NiaeuxW-QGlTQ1a4_yAF2ymowPRrn" TargetMode="External"/><Relationship Id="rId1543" Type="http://schemas.openxmlformats.org/officeDocument/2006/relationships/hyperlink" Target="https://drive.google.com/open?id=1ef_4RJX-QOwdhgVEeSMa1IV8gBc6c7qE" TargetMode="External"/><Relationship Id="rId2874" Type="http://schemas.openxmlformats.org/officeDocument/2006/relationships/hyperlink" Target="https://drive.google.com/open?id=11pMC9VUj-TJ4h1fK-IXdLQ95ubD8QwkM" TargetMode="External"/><Relationship Id="rId1544" Type="http://schemas.openxmlformats.org/officeDocument/2006/relationships/hyperlink" Target="https://drive.google.com/open?id=1PPy_ZdlkjeDRCrkRZrnZO9wQK7CGu98-" TargetMode="External"/><Relationship Id="rId2875" Type="http://schemas.openxmlformats.org/officeDocument/2006/relationships/hyperlink" Target="https://drive.google.com/open?id=1A38gwNrDCaleN9jKzGyvAqJqqsE3wATw" TargetMode="External"/><Relationship Id="rId1545" Type="http://schemas.openxmlformats.org/officeDocument/2006/relationships/hyperlink" Target="https://drive.google.com/open?id=1vOcdqxINWKki1HQ9cXa72KkYFjoD6iKX" TargetMode="External"/><Relationship Id="rId2876" Type="http://schemas.openxmlformats.org/officeDocument/2006/relationships/hyperlink" Target="https://drive.google.com/open?id=1_0jpRPX7JIBNfZuotwQFxUP05d2cj58S" TargetMode="External"/><Relationship Id="rId1546" Type="http://schemas.openxmlformats.org/officeDocument/2006/relationships/hyperlink" Target="https://drive.google.com/open?id=1zqL-G5ADkBGH4EqSruRc7pAn6D21RWnG" TargetMode="External"/><Relationship Id="rId2877" Type="http://schemas.openxmlformats.org/officeDocument/2006/relationships/hyperlink" Target="https://drive.google.com/open?id=1H_UFc6PuVT469RbXTGBc2LNyhHMSUk9g" TargetMode="External"/><Relationship Id="rId1547" Type="http://schemas.openxmlformats.org/officeDocument/2006/relationships/hyperlink" Target="https://drive.google.com/open?id=1poTnhZTPvUE4ysjdSKQ-nHAAv_Ob0gbl" TargetMode="External"/><Relationship Id="rId2878" Type="http://schemas.openxmlformats.org/officeDocument/2006/relationships/hyperlink" Target="https://drive.google.com/open?id=1AFpun5rs0FBlmIMBo3QcwrlerdCa4DYq" TargetMode="External"/><Relationship Id="rId1548" Type="http://schemas.openxmlformats.org/officeDocument/2006/relationships/hyperlink" Target="https://drive.google.com/open?id=1KYaal-8ul121xtTBMVoEmVsutTuv8XXo" TargetMode="External"/><Relationship Id="rId2879" Type="http://schemas.openxmlformats.org/officeDocument/2006/relationships/hyperlink" Target="https://drive.google.com/open?id=11OOFmesjdojWLZ2NURnMIbI8ldCIKpoJ" TargetMode="External"/><Relationship Id="rId1549" Type="http://schemas.openxmlformats.org/officeDocument/2006/relationships/hyperlink" Target="https://drive.google.com/open?id=10ZAL0l5vt0ZdXXJ1VK742bqg11PbWsnE" TargetMode="External"/><Relationship Id="rId959" Type="http://schemas.openxmlformats.org/officeDocument/2006/relationships/hyperlink" Target="https://drive.google.com/open?id=1n3vPDXNTsjiAkZOyeXiseIZw36Jvcvg_" TargetMode="External"/><Relationship Id="rId954" Type="http://schemas.openxmlformats.org/officeDocument/2006/relationships/hyperlink" Target="https://drive.google.com/open?id=1-_eEZKGhL-q53uBpggsqvTD9dvWGWXau" TargetMode="External"/><Relationship Id="rId953" Type="http://schemas.openxmlformats.org/officeDocument/2006/relationships/hyperlink" Target="https://drive.google.com/open?id=1kEyG4XBX6p1FcZyHJSSsUeXu3bmBVhYo" TargetMode="External"/><Relationship Id="rId952" Type="http://schemas.openxmlformats.org/officeDocument/2006/relationships/hyperlink" Target="https://drive.google.com/open?id=1wEpEZ8bn1-fNKeVtzN9Ko12EGlksr-gq" TargetMode="External"/><Relationship Id="rId951" Type="http://schemas.openxmlformats.org/officeDocument/2006/relationships/hyperlink" Target="https://drive.google.com/open?id=1HPgczAVtTMylmj6MjRaMR1PrwgPT4iI5" TargetMode="External"/><Relationship Id="rId958" Type="http://schemas.openxmlformats.org/officeDocument/2006/relationships/hyperlink" Target="https://drive.google.com/open?id=15DSDr2x7ZZZLpJDZ5wbYhfKbnT4-fmTZ" TargetMode="External"/><Relationship Id="rId957" Type="http://schemas.openxmlformats.org/officeDocument/2006/relationships/hyperlink" Target="https://drive.google.com/open?id=145Pb2v61bUY71s5RgiTJVdhwAaBO0_FX" TargetMode="External"/><Relationship Id="rId956" Type="http://schemas.openxmlformats.org/officeDocument/2006/relationships/hyperlink" Target="https://drive.google.com/open?id=19XFNSAUbglulHShIGDFdRXAr2ban9HkP" TargetMode="External"/><Relationship Id="rId955" Type="http://schemas.openxmlformats.org/officeDocument/2006/relationships/hyperlink" Target="https://drive.google.com/open?id=1eiMrWpcI2mDCQWHtHvxsgdLQ0Fmw2HCU" TargetMode="External"/><Relationship Id="rId950" Type="http://schemas.openxmlformats.org/officeDocument/2006/relationships/hyperlink" Target="https://drive.google.com/open?id=1QhPqDV1PnORwtIi-DgE0OodrGiU1gjLF" TargetMode="External"/><Relationship Id="rId2870" Type="http://schemas.openxmlformats.org/officeDocument/2006/relationships/hyperlink" Target="https://drive.google.com/open?id=18QYgtZGUGJlkxjnSZcxD6nMIQA5MKpjf" TargetMode="External"/><Relationship Id="rId1540" Type="http://schemas.openxmlformats.org/officeDocument/2006/relationships/hyperlink" Target="https://drive.google.com/open?id=1-jxG4BsZbtHEgLZK_Qdo2xhrcIKsox4Z" TargetMode="External"/><Relationship Id="rId2871" Type="http://schemas.openxmlformats.org/officeDocument/2006/relationships/hyperlink" Target="https://drive.google.com/open?id=17l8Pp4xFyXf4beCOyE_WTOB0ERFR0jXc" TargetMode="External"/><Relationship Id="rId1541" Type="http://schemas.openxmlformats.org/officeDocument/2006/relationships/hyperlink" Target="https://drive.google.com/open?id=15F-eHkYi6B0LN9SNoY8TSSk9kRjwJa11" TargetMode="External"/><Relationship Id="rId2872" Type="http://schemas.openxmlformats.org/officeDocument/2006/relationships/hyperlink" Target="https://drive.google.com/open?id=1Wm-sk0xsjLyyy66z-BJwQdMz5V3E9OG4" TargetMode="External"/><Relationship Id="rId1542" Type="http://schemas.openxmlformats.org/officeDocument/2006/relationships/hyperlink" Target="https://drive.google.com/open?id=1WAG9juc4BZ8-v0OH-VxZkde_mtlVAWXa" TargetMode="External"/><Relationship Id="rId2873" Type="http://schemas.openxmlformats.org/officeDocument/2006/relationships/hyperlink" Target="https://drive.google.com/open?id=102GYfcbf2CBSz_UO1ZEwoq4P65xknqBB" TargetMode="External"/><Relationship Id="rId2027" Type="http://schemas.openxmlformats.org/officeDocument/2006/relationships/hyperlink" Target="https://drive.google.com/open?id=1ypOycVW0osy9-iTYCUPXERi9HAFfdt2N" TargetMode="External"/><Relationship Id="rId3359" Type="http://schemas.openxmlformats.org/officeDocument/2006/relationships/hyperlink" Target="https://drive.google.com/open?id=18V1Mfxpi_NuX2KEvrxhJ94Km_icAu2Lw" TargetMode="External"/><Relationship Id="rId2028" Type="http://schemas.openxmlformats.org/officeDocument/2006/relationships/hyperlink" Target="https://drive.google.com/open?id=1DkvX4LaYiTP3gYdnDRU2WfEDUx3kEsJ9" TargetMode="External"/><Relationship Id="rId3358" Type="http://schemas.openxmlformats.org/officeDocument/2006/relationships/hyperlink" Target="https://drive.google.com/open?id=1cpG6WDG34R9oc41icUKeDC6iBNRdVN1t" TargetMode="External"/><Relationship Id="rId2029" Type="http://schemas.openxmlformats.org/officeDocument/2006/relationships/hyperlink" Target="https://drive.google.com/open?id=1-oiuPxwr1S-BCV8cnYgNHKa3p-lzafuA" TargetMode="External"/><Relationship Id="rId107" Type="http://schemas.openxmlformats.org/officeDocument/2006/relationships/hyperlink" Target="https://drive.google.com/open?id=16AOoYgmn5674qlWtQKb4ssrW7G6WBMck" TargetMode="External"/><Relationship Id="rId106" Type="http://schemas.openxmlformats.org/officeDocument/2006/relationships/hyperlink" Target="https://drive.google.com/open?id=1JfqgAE5pe3zdxVsxOLJYcRilVXHaAbRx" TargetMode="External"/><Relationship Id="rId105" Type="http://schemas.openxmlformats.org/officeDocument/2006/relationships/hyperlink" Target="https://drive.google.com/open?id=1GJDobqMa6BX9l5KJdZxFry5nNYWNnb4k" TargetMode="External"/><Relationship Id="rId104" Type="http://schemas.openxmlformats.org/officeDocument/2006/relationships/hyperlink" Target="https://drive.google.com/open?id=1jHfd3w1ki1LJRv8cmrjNfJoC47oHnb5D" TargetMode="External"/><Relationship Id="rId109" Type="http://schemas.openxmlformats.org/officeDocument/2006/relationships/hyperlink" Target="https://drive.google.com/open?id=1y5ylEI3k5DL7I7OUKJd_ZgvFO8_0MmZm" TargetMode="External"/><Relationship Id="rId108" Type="http://schemas.openxmlformats.org/officeDocument/2006/relationships/hyperlink" Target="https://drive.google.com/open?id=1FdVylikDc-qtqNwHXdL9fZMhsImZIv8_" TargetMode="External"/><Relationship Id="rId3351" Type="http://schemas.openxmlformats.org/officeDocument/2006/relationships/hyperlink" Target="https://drive.google.com/open?id=1rpAX2MLcSrOBKIAhL5KpZ9NS_QKh_Cp4" TargetMode="External"/><Relationship Id="rId2020" Type="http://schemas.openxmlformats.org/officeDocument/2006/relationships/hyperlink" Target="https://drive.google.com/open?id=1arHKnYJR1tXJ8O4TC5bnw95oKsCo4Qt0" TargetMode="External"/><Relationship Id="rId3350" Type="http://schemas.openxmlformats.org/officeDocument/2006/relationships/hyperlink" Target="https://drive.google.com/open?id=1OiyueDOUVNQzTNh1vRbEWAi7B1gg1yK3" TargetMode="External"/><Relationship Id="rId2021" Type="http://schemas.openxmlformats.org/officeDocument/2006/relationships/hyperlink" Target="https://drive.google.com/open?id=19POdde1saDSL-xrvGV_JqQyh_4Wp65Z2" TargetMode="External"/><Relationship Id="rId3353" Type="http://schemas.openxmlformats.org/officeDocument/2006/relationships/hyperlink" Target="https://drive.google.com/open?id=1fCMVcQDwEMdUUWivOHW0xYJNzhRiB50Y" TargetMode="External"/><Relationship Id="rId2022" Type="http://schemas.openxmlformats.org/officeDocument/2006/relationships/hyperlink" Target="https://drive.google.com/open?id=1cUik4PvRjOZMJpQ5-NN18CjXVcgPepHs" TargetMode="External"/><Relationship Id="rId3352" Type="http://schemas.openxmlformats.org/officeDocument/2006/relationships/hyperlink" Target="https://drive.google.com/open?id=1jlF_0U17_JIrJkD7IqsRMWqg7autfMjr" TargetMode="External"/><Relationship Id="rId103" Type="http://schemas.openxmlformats.org/officeDocument/2006/relationships/hyperlink" Target="https://drive.google.com/open?id=1rRRLEUM2Jb8ReHJBrBC6dz_13E0N7rmj" TargetMode="External"/><Relationship Id="rId2023" Type="http://schemas.openxmlformats.org/officeDocument/2006/relationships/hyperlink" Target="https://drive.google.com/open?id=1gVBlaCLOCdFlWB2ADxPFgWCB8pxRlGna" TargetMode="External"/><Relationship Id="rId3355" Type="http://schemas.openxmlformats.org/officeDocument/2006/relationships/hyperlink" Target="https://drive.google.com/open?id=1QLbMF_Rso3GcmXCHFrV9dY3sCOmr8jTg" TargetMode="External"/><Relationship Id="rId102" Type="http://schemas.openxmlformats.org/officeDocument/2006/relationships/hyperlink" Target="https://drive.google.com/open?id=1jvcbEHxyj-_6c-nOJPb0TVUWwquex-Fl" TargetMode="External"/><Relationship Id="rId2024" Type="http://schemas.openxmlformats.org/officeDocument/2006/relationships/hyperlink" Target="https://drive.google.com/open?id=1wZNNaIgub0NCtlZr6jWdWuyB6r1U-lx7" TargetMode="External"/><Relationship Id="rId3354" Type="http://schemas.openxmlformats.org/officeDocument/2006/relationships/hyperlink" Target="https://drive.google.com/open?id=153xYLvn_x_-zeotPraUWoftTB8ux-WvU" TargetMode="External"/><Relationship Id="rId101" Type="http://schemas.openxmlformats.org/officeDocument/2006/relationships/hyperlink" Target="https://drive.google.com/open?id=1FVsg9L1pEwMMwXVlRddBrvVQqgKco3_R" TargetMode="External"/><Relationship Id="rId2025" Type="http://schemas.openxmlformats.org/officeDocument/2006/relationships/hyperlink" Target="https://drive.google.com/open?id=1jvcZJ9kPm7F_D3mzpHxrWQpFukpqgEGI" TargetMode="External"/><Relationship Id="rId3357" Type="http://schemas.openxmlformats.org/officeDocument/2006/relationships/hyperlink" Target="https://drive.google.com/open?id=1hjLpPic4XiLkUREYtBzmeUvmADm8BbuO" TargetMode="External"/><Relationship Id="rId100" Type="http://schemas.openxmlformats.org/officeDocument/2006/relationships/hyperlink" Target="https://drive.google.com/open?id=1XI_O3rUgKcB9tGbUI-AgwpcipfkSga2Y" TargetMode="External"/><Relationship Id="rId2026" Type="http://schemas.openxmlformats.org/officeDocument/2006/relationships/hyperlink" Target="https://drive.google.com/open?id=1mGzR8ew4OO3Lu-HMwDb_ixYAYKo0c62e" TargetMode="External"/><Relationship Id="rId3356" Type="http://schemas.openxmlformats.org/officeDocument/2006/relationships/hyperlink" Target="https://drive.google.com/open?id=1TPnLtzJZqxqpkti514ZJEn75b7xKaP35" TargetMode="External"/><Relationship Id="rId2016" Type="http://schemas.openxmlformats.org/officeDocument/2006/relationships/hyperlink" Target="https://drive.google.com/open?id=1e8N13ZPtFuQVL4uF4mTLnWgLjjp9oocf" TargetMode="External"/><Relationship Id="rId3348" Type="http://schemas.openxmlformats.org/officeDocument/2006/relationships/hyperlink" Target="https://drive.google.com/open?id=1PNHu92apRordywHGVGh1PtZVODazoTvR" TargetMode="External"/><Relationship Id="rId2017" Type="http://schemas.openxmlformats.org/officeDocument/2006/relationships/hyperlink" Target="https://drive.google.com/open?id=10yLmq1zx2rNDP0F37LMn85jUjmuDzxwa" TargetMode="External"/><Relationship Id="rId3347" Type="http://schemas.openxmlformats.org/officeDocument/2006/relationships/hyperlink" Target="https://drive.google.com/open?id=1m2ftSf9hhX_qlu9x1ie-TT6n48j9Okor" TargetMode="External"/><Relationship Id="rId2018" Type="http://schemas.openxmlformats.org/officeDocument/2006/relationships/hyperlink" Target="https://drive.google.com/open?id=1fxqMLVPbOjhEvJeMymYUlKxcEwj39Ier" TargetMode="External"/><Relationship Id="rId2019" Type="http://schemas.openxmlformats.org/officeDocument/2006/relationships/hyperlink" Target="https://drive.google.com/open?id=1qHERmN0z8DMR_U_4YGmzlozctHd93Ahu" TargetMode="External"/><Relationship Id="rId3349" Type="http://schemas.openxmlformats.org/officeDocument/2006/relationships/hyperlink" Target="https://drive.google.com/open?id=1OMrh9qR459ElN8RzJefIyrU3qXcC5JOM" TargetMode="External"/><Relationship Id="rId3340" Type="http://schemas.openxmlformats.org/officeDocument/2006/relationships/hyperlink" Target="https://drive.google.com/open?id=1IsQKJ1TBmaueb_nPahq1Cbj71zpOF-Fg" TargetMode="External"/><Relationship Id="rId2010" Type="http://schemas.openxmlformats.org/officeDocument/2006/relationships/hyperlink" Target="https://drive.google.com/open?id=15k_kWZ-nT_xc8nLI8ByqvhTtliKC-V_2" TargetMode="External"/><Relationship Id="rId3342" Type="http://schemas.openxmlformats.org/officeDocument/2006/relationships/hyperlink" Target="https://drive.google.com/open?id=1YV66T1ZmX2Xw-ZTpYargaJLiF03Phc66" TargetMode="External"/><Relationship Id="rId2011" Type="http://schemas.openxmlformats.org/officeDocument/2006/relationships/hyperlink" Target="https://drive.google.com/open?id=1mk_0fO354iZ4AeZe_dolyeBy9YaICtQZ" TargetMode="External"/><Relationship Id="rId3341" Type="http://schemas.openxmlformats.org/officeDocument/2006/relationships/hyperlink" Target="https://drive.google.com/open?id=1ybsGrkN9tlSzmefh1mr4nDCubeHUcUCq" TargetMode="External"/><Relationship Id="rId2012" Type="http://schemas.openxmlformats.org/officeDocument/2006/relationships/hyperlink" Target="https://drive.google.com/open?id=1aBlL6arKH4A2gFQ8Q1JSkn0H9KICvxEh" TargetMode="External"/><Relationship Id="rId3344" Type="http://schemas.openxmlformats.org/officeDocument/2006/relationships/hyperlink" Target="https://drive.google.com/open?id=1hUnC2WvhxniXxxCV-GCtWmJgLR56i1Tm" TargetMode="External"/><Relationship Id="rId2013" Type="http://schemas.openxmlformats.org/officeDocument/2006/relationships/hyperlink" Target="https://drive.google.com/open?id=1En8D24e2w20EbkhiDkdAQlz3PTScU50y" TargetMode="External"/><Relationship Id="rId3343" Type="http://schemas.openxmlformats.org/officeDocument/2006/relationships/hyperlink" Target="https://drive.google.com/open?id=1ciNvcWftHsQke43baIwXoET_W9YUSpO5" TargetMode="External"/><Relationship Id="rId2014" Type="http://schemas.openxmlformats.org/officeDocument/2006/relationships/hyperlink" Target="https://drive.google.com/open?id=1POJY6kauccOQ_Qz2BuR9MXgtL7RCveGw" TargetMode="External"/><Relationship Id="rId3346" Type="http://schemas.openxmlformats.org/officeDocument/2006/relationships/hyperlink" Target="https://drive.google.com/open?id=1z4SVnUw9sE-2MT-AuSdPfK4S83bDwnsj" TargetMode="External"/><Relationship Id="rId2015" Type="http://schemas.openxmlformats.org/officeDocument/2006/relationships/hyperlink" Target="https://drive.google.com/open?id=1slY7l_mZy_2n5akFJwv_XLi8379ysyqm" TargetMode="External"/><Relationship Id="rId3345" Type="http://schemas.openxmlformats.org/officeDocument/2006/relationships/hyperlink" Target="https://drive.google.com/open?id=1EMCsstvsFoUUWRZLeg-VuTZGdQOKPAVR" TargetMode="External"/><Relationship Id="rId2049" Type="http://schemas.openxmlformats.org/officeDocument/2006/relationships/hyperlink" Target="https://drive.google.com/open?id=1xdbX7d-jlRrwhWSegbN3_eZ4C1N_nB6b" TargetMode="External"/><Relationship Id="rId129" Type="http://schemas.openxmlformats.org/officeDocument/2006/relationships/hyperlink" Target="https://drive.google.com/open?id=1cFfJknwaWt-PNWj3osbKSJBM25U_5_ua" TargetMode="External"/><Relationship Id="rId128" Type="http://schemas.openxmlformats.org/officeDocument/2006/relationships/hyperlink" Target="https://drive.google.com/open?id=1yYuMjlNn7cnbg6GZBfmJPFE-6TvcIphC" TargetMode="External"/><Relationship Id="rId127" Type="http://schemas.openxmlformats.org/officeDocument/2006/relationships/hyperlink" Target="https://drive.google.com/open?id=19zjxml46NP5RhkdcM2DKDtEuF-bF3dc-" TargetMode="External"/><Relationship Id="rId126" Type="http://schemas.openxmlformats.org/officeDocument/2006/relationships/hyperlink" Target="https://drive.google.com/open?id=1CrOyvj-a_CXCzspRaP-s-tVefzDUmutT" TargetMode="External"/><Relationship Id="rId3371" Type="http://schemas.openxmlformats.org/officeDocument/2006/relationships/hyperlink" Target="https://drive.google.com/open?id=1crI0UHC9rMRummL3uejF_Nc55BO0mRS4" TargetMode="External"/><Relationship Id="rId2040" Type="http://schemas.openxmlformats.org/officeDocument/2006/relationships/hyperlink" Target="https://drive.google.com/open?id=1hv_Aqe8jFbSlp6jZWeawWD0p5-39MeUL" TargetMode="External"/><Relationship Id="rId3370" Type="http://schemas.openxmlformats.org/officeDocument/2006/relationships/hyperlink" Target="https://drive.google.com/open?id=1KTifTyIPNeB2xB8Nu8NGpi6rh0jVy98_" TargetMode="External"/><Relationship Id="rId121" Type="http://schemas.openxmlformats.org/officeDocument/2006/relationships/hyperlink" Target="https://drive.google.com/open?id=1U16vtJ5m7SkBRIblK8sLK_OVclAwoELM" TargetMode="External"/><Relationship Id="rId2041" Type="http://schemas.openxmlformats.org/officeDocument/2006/relationships/hyperlink" Target="https://drive.google.com/open?id=1MhfQH9zrQ68DyEhEJEjh7lVcSHYhXXCu" TargetMode="External"/><Relationship Id="rId3373" Type="http://schemas.openxmlformats.org/officeDocument/2006/relationships/hyperlink" Target="https://drive.google.com/open?id=1Hd8xP-vqMd-F_ZeZHU_-1AuAq8T5zdIN" TargetMode="External"/><Relationship Id="rId120" Type="http://schemas.openxmlformats.org/officeDocument/2006/relationships/hyperlink" Target="https://drive.google.com/open?id=1dbblfSz_G87bwr6qPOE7iQalim84jr4I" TargetMode="External"/><Relationship Id="rId2042" Type="http://schemas.openxmlformats.org/officeDocument/2006/relationships/hyperlink" Target="https://drive.google.com/open?id=16ckXia0Au0a7MwpCTZuLn9pWjxrbwk8P" TargetMode="External"/><Relationship Id="rId3372" Type="http://schemas.openxmlformats.org/officeDocument/2006/relationships/hyperlink" Target="https://drive.google.com/open?id=1OTu8_k0eya-oZOarItxaQFmEHFzjbd8G" TargetMode="External"/><Relationship Id="rId2043" Type="http://schemas.openxmlformats.org/officeDocument/2006/relationships/hyperlink" Target="https://drive.google.com/open?id=1HtOEEu70xHbLrmM3_BLqsglIj9gQwv7q" TargetMode="External"/><Relationship Id="rId3375" Type="http://schemas.openxmlformats.org/officeDocument/2006/relationships/hyperlink" Target="https://drive.google.com/open?id=1ZwCntUMPKn5UzJYHcAEZhsAHsIIAAkpc" TargetMode="External"/><Relationship Id="rId2044" Type="http://schemas.openxmlformats.org/officeDocument/2006/relationships/hyperlink" Target="https://drive.google.com/open?id=1g94i8EB0ctkP8DJMCBd-pddxXaETaPzo" TargetMode="External"/><Relationship Id="rId3374" Type="http://schemas.openxmlformats.org/officeDocument/2006/relationships/hyperlink" Target="https://drive.google.com/open?id=1WgCEjXk0Bal3_aD2H1eKwlbl3AGi1XMC" TargetMode="External"/><Relationship Id="rId125" Type="http://schemas.openxmlformats.org/officeDocument/2006/relationships/hyperlink" Target="https://drive.google.com/open?id=1kWHS1ojrv5fsMQMYtUw-QILKVeUchZEm" TargetMode="External"/><Relationship Id="rId2045" Type="http://schemas.openxmlformats.org/officeDocument/2006/relationships/hyperlink" Target="https://drive.google.com/open?id=1GUgJ8UWjQ1lDvqudhet0OJad6hJDhGnX" TargetMode="External"/><Relationship Id="rId3377" Type="http://schemas.openxmlformats.org/officeDocument/2006/relationships/hyperlink" Target="https://drive.google.com/open?id=1K-VDGTwlyXmjtKrI1UvKNHXpHjWOkNBc" TargetMode="External"/><Relationship Id="rId124" Type="http://schemas.openxmlformats.org/officeDocument/2006/relationships/hyperlink" Target="https://drive.google.com/open?id=1EMB7BtHTEJK3Fan8pvxt-0E3HSo4p5vZ" TargetMode="External"/><Relationship Id="rId2046" Type="http://schemas.openxmlformats.org/officeDocument/2006/relationships/hyperlink" Target="https://drive.google.com/open?id=1HOKcPMor5o3wIoWQmRXvimOZLi3rLiH5" TargetMode="External"/><Relationship Id="rId3376" Type="http://schemas.openxmlformats.org/officeDocument/2006/relationships/hyperlink" Target="https://drive.google.com/open?id=1SoB2Is3fX-HY9NCsfXsU1cXt_9NIDZL8" TargetMode="External"/><Relationship Id="rId123" Type="http://schemas.openxmlformats.org/officeDocument/2006/relationships/hyperlink" Target="https://drive.google.com/open?id=1-I-U54fR9rsK1rfyotyZKXLFrVY8zYEM" TargetMode="External"/><Relationship Id="rId2047" Type="http://schemas.openxmlformats.org/officeDocument/2006/relationships/hyperlink" Target="https://drive.google.com/open?id=1GVDi9Mb0qXZ7STIRUHFkoRrTUMF52TGR" TargetMode="External"/><Relationship Id="rId3379" Type="http://schemas.openxmlformats.org/officeDocument/2006/relationships/hyperlink" Target="https://drive.google.com/open?id=1HsIWc078iOkvHwyhjoyffXB7O9OYXRei" TargetMode="External"/><Relationship Id="rId122" Type="http://schemas.openxmlformats.org/officeDocument/2006/relationships/hyperlink" Target="https://drive.google.com/open?id=1WXl1yHJPPxL1AgtcNCeQ38BBiEm1f1DO" TargetMode="External"/><Relationship Id="rId2048" Type="http://schemas.openxmlformats.org/officeDocument/2006/relationships/hyperlink" Target="https://drive.google.com/open?id=1EhCSiU7iJuzjvajh8JKRmpWNhXeZMb5s" TargetMode="External"/><Relationship Id="rId3378" Type="http://schemas.openxmlformats.org/officeDocument/2006/relationships/hyperlink" Target="https://drive.google.com/open?id=1J4TAi8iH6T9bxb8lPbGhJ3An-V0zJXCx" TargetMode="External"/><Relationship Id="rId2038" Type="http://schemas.openxmlformats.org/officeDocument/2006/relationships/hyperlink" Target="https://drive.google.com/open?id=1FC8CU54PhJP7mdRm7DsXvcalOWxowm-Y" TargetMode="External"/><Relationship Id="rId2039" Type="http://schemas.openxmlformats.org/officeDocument/2006/relationships/hyperlink" Target="https://drive.google.com/open?id=1375IYtN0EPm2SM5hI6TTpAB7rP0bETYB" TargetMode="External"/><Relationship Id="rId3369" Type="http://schemas.openxmlformats.org/officeDocument/2006/relationships/hyperlink" Target="https://drive.google.com/open?id=1Ivk0-PDEgox4irLSPcRJttd0Q1_Tcl8X" TargetMode="External"/><Relationship Id="rId118" Type="http://schemas.openxmlformats.org/officeDocument/2006/relationships/hyperlink" Target="https://drive.google.com/open?id=1nOZ01rJagVKofAGQjicweHYlZ_bMRuKb" TargetMode="External"/><Relationship Id="rId117" Type="http://schemas.openxmlformats.org/officeDocument/2006/relationships/hyperlink" Target="https://drive.google.com/open?id=1jMeKDG9aCqaK5LABGOhIgW3CSNNlPFjj" TargetMode="External"/><Relationship Id="rId116" Type="http://schemas.openxmlformats.org/officeDocument/2006/relationships/hyperlink" Target="https://drive.google.com/open?id=1iFeyGKv_3XUqqJwbrdx2hNq5v77uWvKg" TargetMode="External"/><Relationship Id="rId115" Type="http://schemas.openxmlformats.org/officeDocument/2006/relationships/hyperlink" Target="https://drive.google.com/open?id=1kEu7DnhPBeQ7jCYjIRMYHSktehAXZgTw" TargetMode="External"/><Relationship Id="rId3360" Type="http://schemas.openxmlformats.org/officeDocument/2006/relationships/hyperlink" Target="https://drive.google.com/open?id=1ZymOxY16N0v6iWoD06szR5A8EN0OTbTf" TargetMode="External"/><Relationship Id="rId119" Type="http://schemas.openxmlformats.org/officeDocument/2006/relationships/hyperlink" Target="https://drive.google.com/open?id=1BN_rueHViTfT5nIhoAF3rqQWDvgsRmWK" TargetMode="External"/><Relationship Id="rId110" Type="http://schemas.openxmlformats.org/officeDocument/2006/relationships/hyperlink" Target="https://drive.google.com/open?id=1CbeX8xKrT_JCW8bu7oA2_siJiGHskHBH" TargetMode="External"/><Relationship Id="rId2030" Type="http://schemas.openxmlformats.org/officeDocument/2006/relationships/hyperlink" Target="https://drive.google.com/open?id=16ZKCVcwgJOUF-tPODhZ-Rqb5BiqPrB5z" TargetMode="External"/><Relationship Id="rId3362" Type="http://schemas.openxmlformats.org/officeDocument/2006/relationships/hyperlink" Target="https://drive.google.com/open?id=1dmG4sdLJbBZVaZamuKbfZlCjEEjynTbh" TargetMode="External"/><Relationship Id="rId2031" Type="http://schemas.openxmlformats.org/officeDocument/2006/relationships/hyperlink" Target="https://drive.google.com/open?id=1yXa6Unz8kXgb_XcphPJN2GvL1c00740c" TargetMode="External"/><Relationship Id="rId3361" Type="http://schemas.openxmlformats.org/officeDocument/2006/relationships/hyperlink" Target="https://drive.google.com/open?id=1CHO8RqMd0xdt8EWzFVqoC0yzX3ja4sqB" TargetMode="External"/><Relationship Id="rId2032" Type="http://schemas.openxmlformats.org/officeDocument/2006/relationships/hyperlink" Target="https://drive.google.com/open?id=18vOtBOFZBsoCItJbtkwWCjjBsSvfvxN9" TargetMode="External"/><Relationship Id="rId3364" Type="http://schemas.openxmlformats.org/officeDocument/2006/relationships/hyperlink" Target="https://drive.google.com/open?id=1cU8iS2iYd57fUIu-YYSwBN-SDdYlcKO5" TargetMode="External"/><Relationship Id="rId2033" Type="http://schemas.openxmlformats.org/officeDocument/2006/relationships/hyperlink" Target="https://drive.google.com/open?id=16TkXRyDx44nz_d8BUZlyvUO0PTcvj07g" TargetMode="External"/><Relationship Id="rId3363" Type="http://schemas.openxmlformats.org/officeDocument/2006/relationships/hyperlink" Target="https://drive.google.com/open?id=18lBiYtZQ0S-jCSyWYBqK5Ykr-3XyK0ch" TargetMode="External"/><Relationship Id="rId114" Type="http://schemas.openxmlformats.org/officeDocument/2006/relationships/hyperlink" Target="https://drive.google.com/open?id=1NR7e_B3I5bWMUVimZdCpKYadhHQAOs24" TargetMode="External"/><Relationship Id="rId2034" Type="http://schemas.openxmlformats.org/officeDocument/2006/relationships/hyperlink" Target="https://drive.google.com/open?id=16dwagaqO8kVID4fT50KFo-M2SL5Eomwh" TargetMode="External"/><Relationship Id="rId3366" Type="http://schemas.openxmlformats.org/officeDocument/2006/relationships/hyperlink" Target="https://drive.google.com/open?id=1Q4Ssop4-sxiRJncptZHvy2zqg9LaADsY" TargetMode="External"/><Relationship Id="rId113" Type="http://schemas.openxmlformats.org/officeDocument/2006/relationships/hyperlink" Target="https://drive.google.com/open?id=1Kcw4a3cLMFt8QwTVqyYVL1INaqR-6poS" TargetMode="External"/><Relationship Id="rId2035" Type="http://schemas.openxmlformats.org/officeDocument/2006/relationships/hyperlink" Target="https://drive.google.com/open?id=1tUHDsvbz05oqj-owRAdf1Bt0vch-s6C5" TargetMode="External"/><Relationship Id="rId3365" Type="http://schemas.openxmlformats.org/officeDocument/2006/relationships/hyperlink" Target="https://drive.google.com/open?id=1CoJPfzSZqg_0GydSUR_wa_x3eFPmOLhs" TargetMode="External"/><Relationship Id="rId112" Type="http://schemas.openxmlformats.org/officeDocument/2006/relationships/hyperlink" Target="https://drive.google.com/open?id=1_lcHLRMzec2wyKKR1rGLicKIJsr8yg-x" TargetMode="External"/><Relationship Id="rId2036" Type="http://schemas.openxmlformats.org/officeDocument/2006/relationships/hyperlink" Target="https://drive.google.com/open?id=1Ax-w5bcDOjn4oKjxXBKB_fG9fO1pUsbM" TargetMode="External"/><Relationship Id="rId3368" Type="http://schemas.openxmlformats.org/officeDocument/2006/relationships/hyperlink" Target="https://drive.google.com/open?id=1cAKKBwJXFosmWet1xHtxSfsF3AamyPP1" TargetMode="External"/><Relationship Id="rId111" Type="http://schemas.openxmlformats.org/officeDocument/2006/relationships/hyperlink" Target="https://drive.google.com/open?id=1mUui9VEOXPzjUJORKmXHlfBsY-Pu4EUW" TargetMode="External"/><Relationship Id="rId2037" Type="http://schemas.openxmlformats.org/officeDocument/2006/relationships/hyperlink" Target="https://drive.google.com/open?id=14FTYFCDkUdrtdERJAi1XUnRMbecq-QL-" TargetMode="External"/><Relationship Id="rId3367" Type="http://schemas.openxmlformats.org/officeDocument/2006/relationships/hyperlink" Target="https://drive.google.com/open?id=13sbp7S0RbxZLr7jQC83f-dMBKtT2VBJh" TargetMode="External"/><Relationship Id="rId3315" Type="http://schemas.openxmlformats.org/officeDocument/2006/relationships/hyperlink" Target="https://drive.google.com/open?id=1fhtq2h174GHOSUXaOPEWTQDZ7mu6VJW9" TargetMode="External"/><Relationship Id="rId3314" Type="http://schemas.openxmlformats.org/officeDocument/2006/relationships/hyperlink" Target="https://drive.google.com/open?id=1D-pUY3WQuIWtWkHwtFCgP4uH9Vz7viRW" TargetMode="External"/><Relationship Id="rId3317" Type="http://schemas.openxmlformats.org/officeDocument/2006/relationships/hyperlink" Target="https://drive.google.com/open?id=1dcQz9wu8Glbpp7J8tLWiYmxgaJKnmUD0" TargetMode="External"/><Relationship Id="rId3316" Type="http://schemas.openxmlformats.org/officeDocument/2006/relationships/hyperlink" Target="https://drive.google.com/open?id=1EZfTFvrYYkYxaBp-wX-WyjsJ9mBG1jwW" TargetMode="External"/><Relationship Id="rId3319" Type="http://schemas.openxmlformats.org/officeDocument/2006/relationships/hyperlink" Target="https://drive.google.com/open?id=1oOaKwrpHcuiya6gRkt85wBYHHtY61bEr" TargetMode="External"/><Relationship Id="rId3318" Type="http://schemas.openxmlformats.org/officeDocument/2006/relationships/hyperlink" Target="https://drive.google.com/open?id=1c6lpzZnc71gtODRWtr7J_d8S9ySO26qG" TargetMode="External"/><Relationship Id="rId3311" Type="http://schemas.openxmlformats.org/officeDocument/2006/relationships/hyperlink" Target="https://drive.google.com/open?id=1rJkpjupvme7qF0dKl2-rdj-nGx326H0q" TargetMode="External"/><Relationship Id="rId3310" Type="http://schemas.openxmlformats.org/officeDocument/2006/relationships/hyperlink" Target="https://drive.google.com/open?id=149X9hFsn6guIoFpynQA9ag19U6IWZ5eI" TargetMode="External"/><Relationship Id="rId3313" Type="http://schemas.openxmlformats.org/officeDocument/2006/relationships/hyperlink" Target="https://drive.google.com/open?id=1pA573MHCzE4tTGt1tZRwxrLeR81NeSN6" TargetMode="External"/><Relationship Id="rId3312" Type="http://schemas.openxmlformats.org/officeDocument/2006/relationships/hyperlink" Target="https://drive.google.com/open?id=1EWqiEtMLKxkKXm6U425Y08ezlcjJpIyg" TargetMode="External"/><Relationship Id="rId3304" Type="http://schemas.openxmlformats.org/officeDocument/2006/relationships/hyperlink" Target="https://drive.google.com/open?id=1_ScczOgS8YvftZ1pg6_UuGns7jPxe8Cq" TargetMode="External"/><Relationship Id="rId3303" Type="http://schemas.openxmlformats.org/officeDocument/2006/relationships/hyperlink" Target="https://drive.google.com/open?id=1joTjFf5nBpMux00ZUq3SYiQfilba514A" TargetMode="External"/><Relationship Id="rId3306" Type="http://schemas.openxmlformats.org/officeDocument/2006/relationships/hyperlink" Target="https://drive.google.com/open?id=1iOOjdB6p3y_GH8KGwbO6P734S2ZHD-vN" TargetMode="External"/><Relationship Id="rId3305" Type="http://schemas.openxmlformats.org/officeDocument/2006/relationships/hyperlink" Target="https://drive.google.com/open?id=1DtcnSY7G8b2vDIDYC-nga4MRe3GYkluI" TargetMode="External"/><Relationship Id="rId3308" Type="http://schemas.openxmlformats.org/officeDocument/2006/relationships/hyperlink" Target="https://drive.google.com/open?id=1e-Rp9QIFPCw2bFBNVyC9HyedyURnWSmT" TargetMode="External"/><Relationship Id="rId3307" Type="http://schemas.openxmlformats.org/officeDocument/2006/relationships/hyperlink" Target="https://drive.google.com/open?id=1hKRIxu0keEoUql2OQE61_l4-UElpEXOA" TargetMode="External"/><Relationship Id="rId3309" Type="http://schemas.openxmlformats.org/officeDocument/2006/relationships/hyperlink" Target="https://drive.google.com/open?id=1vRIgiJ0e2QMzri29YkZLlUe4L95HK614" TargetMode="External"/><Relationship Id="rId3300" Type="http://schemas.openxmlformats.org/officeDocument/2006/relationships/hyperlink" Target="https://drive.google.com/open?id=1jiCdSzp8jHHHYBwiOfZZjUUzpR3rtSIm" TargetMode="External"/><Relationship Id="rId3302" Type="http://schemas.openxmlformats.org/officeDocument/2006/relationships/hyperlink" Target="https://drive.google.com/open?id=1Ie0HjKu26eS2F_cFglAxln4cM-Bk4C5x" TargetMode="External"/><Relationship Id="rId3301" Type="http://schemas.openxmlformats.org/officeDocument/2006/relationships/hyperlink" Target="https://drive.google.com/open?id=1sOaFI9uzBrmVg268Z_0NL2TXnlvKYvBq" TargetMode="External"/><Relationship Id="rId2005" Type="http://schemas.openxmlformats.org/officeDocument/2006/relationships/hyperlink" Target="https://drive.google.com/open?id=1s_rV56YdfxmORAHwkiM5nLqrh5PSD6Xu" TargetMode="External"/><Relationship Id="rId3337" Type="http://schemas.openxmlformats.org/officeDocument/2006/relationships/hyperlink" Target="https://drive.google.com/open?id=1YEnL9AuCv093yD66uyLE2ZZ5VZWUmMNf" TargetMode="External"/><Relationship Id="rId2006" Type="http://schemas.openxmlformats.org/officeDocument/2006/relationships/hyperlink" Target="https://drive.google.com/open?id=1F93sAgGWCRLnqhzc2RmJkF6lzvqZk4fV" TargetMode="External"/><Relationship Id="rId3336" Type="http://schemas.openxmlformats.org/officeDocument/2006/relationships/hyperlink" Target="https://drive.google.com/open?id=15qSXc0h2IKXZsiNB9d6jLpZxT88sJnQD" TargetMode="External"/><Relationship Id="rId2007" Type="http://schemas.openxmlformats.org/officeDocument/2006/relationships/hyperlink" Target="https://drive.google.com/open?id=1ypKjYgd-OBRwyVp7cBVQqj-Rw1n_aVxv" TargetMode="External"/><Relationship Id="rId3339" Type="http://schemas.openxmlformats.org/officeDocument/2006/relationships/hyperlink" Target="https://drive.google.com/open?id=1y0mW5W4ftX-PL7aycCdfzOdGmT3uLgvn" TargetMode="External"/><Relationship Id="rId2008" Type="http://schemas.openxmlformats.org/officeDocument/2006/relationships/hyperlink" Target="https://drive.google.com/open?id=1V3gLEvDEMuCg0ZftMDGZAlJ9uM9wORUg" TargetMode="External"/><Relationship Id="rId3338" Type="http://schemas.openxmlformats.org/officeDocument/2006/relationships/hyperlink" Target="https://drive.google.com/open?id=1C58Wv3vfGyFx0imXiYrss0L0_28Eez32" TargetMode="External"/><Relationship Id="rId2009" Type="http://schemas.openxmlformats.org/officeDocument/2006/relationships/hyperlink" Target="https://drive.google.com/open?id=1ObgRzeo81kDbJd-bGFS290zdST1rpTCU" TargetMode="External"/><Relationship Id="rId3331" Type="http://schemas.openxmlformats.org/officeDocument/2006/relationships/hyperlink" Target="https://drive.google.com/open?id=1VuNeaws12dTaRC2n2VLEkwAtgFTF-Dkr" TargetMode="External"/><Relationship Id="rId2000" Type="http://schemas.openxmlformats.org/officeDocument/2006/relationships/hyperlink" Target="https://drive.google.com/open?id=1i4Wn8Hi0PpBuoTW3Hs9v07gox80MSSLv" TargetMode="External"/><Relationship Id="rId3330" Type="http://schemas.openxmlformats.org/officeDocument/2006/relationships/hyperlink" Target="https://drive.google.com/open?id=1jYsWbLInf9qnEqYTRTmFAsZHgChd3NwU" TargetMode="External"/><Relationship Id="rId2001" Type="http://schemas.openxmlformats.org/officeDocument/2006/relationships/hyperlink" Target="https://drive.google.com/open?id=1B1tcDU46M_VoLpehCQ-jnCcAIB6Pcyw2" TargetMode="External"/><Relationship Id="rId3333" Type="http://schemas.openxmlformats.org/officeDocument/2006/relationships/hyperlink" Target="https://drive.google.com/open?id=1loh1VOcMLSDuHWjGG0ZcNzPkZxqfK8lU" TargetMode="External"/><Relationship Id="rId2002" Type="http://schemas.openxmlformats.org/officeDocument/2006/relationships/hyperlink" Target="https://drive.google.com/open?id=1jgPYv0_ZKMPB1Wu4p4G0x6xOA2xnJatK" TargetMode="External"/><Relationship Id="rId3332" Type="http://schemas.openxmlformats.org/officeDocument/2006/relationships/hyperlink" Target="https://drive.google.com/open?id=18xmJ-GnNLn-x1Dzjsy2IKDcoIYmFf3Nu" TargetMode="External"/><Relationship Id="rId2003" Type="http://schemas.openxmlformats.org/officeDocument/2006/relationships/hyperlink" Target="https://drive.google.com/open?id=1obj-hHD-hWdCsg92qfqhm0LRhy-4Oh1s" TargetMode="External"/><Relationship Id="rId3335" Type="http://schemas.openxmlformats.org/officeDocument/2006/relationships/hyperlink" Target="https://drive.google.com/open?id=107I8ML1h6DDtSb5eSMmP1_hqKqVi9F9u" TargetMode="External"/><Relationship Id="rId2004" Type="http://schemas.openxmlformats.org/officeDocument/2006/relationships/hyperlink" Target="https://drive.google.com/open?id=1cFGTVzxlRFHrHYH67shYlZnHhMEQhq5x" TargetMode="External"/><Relationship Id="rId3334" Type="http://schemas.openxmlformats.org/officeDocument/2006/relationships/hyperlink" Target="https://drive.google.com/open?id=1Zk4wu8oLByRyfYRvsOHJ-9T2bnq7zaVZ" TargetMode="External"/><Relationship Id="rId3326" Type="http://schemas.openxmlformats.org/officeDocument/2006/relationships/hyperlink" Target="https://drive.google.com/open?id=1uCQFQGA95pHahu7I0p-NtyvQxdIP0gwP" TargetMode="External"/><Relationship Id="rId3325" Type="http://schemas.openxmlformats.org/officeDocument/2006/relationships/hyperlink" Target="https://drive.google.com/open?id=1J1eRxH6Wnc6o9qxIf5LJuEg3pGHkl4YO" TargetMode="External"/><Relationship Id="rId3328" Type="http://schemas.openxmlformats.org/officeDocument/2006/relationships/hyperlink" Target="https://drive.google.com/open?id=1SY0bgUB34K7p8cezuXwkX919MXUwlZej" TargetMode="External"/><Relationship Id="rId3327" Type="http://schemas.openxmlformats.org/officeDocument/2006/relationships/hyperlink" Target="https://drive.google.com/open?id=1wgceoajsTRG7NSPvdMod-4KXoST92lQG" TargetMode="External"/><Relationship Id="rId3329" Type="http://schemas.openxmlformats.org/officeDocument/2006/relationships/hyperlink" Target="https://drive.google.com/open?id=1SzCMRWrLEfAKvZdD7UZuniS7OIzLRZI0" TargetMode="External"/><Relationship Id="rId3320" Type="http://schemas.openxmlformats.org/officeDocument/2006/relationships/hyperlink" Target="https://drive.google.com/open?id=1UDHEZSZywmJO5bG_m3mLw_j37XBQ0Kjc" TargetMode="External"/><Relationship Id="rId3322" Type="http://schemas.openxmlformats.org/officeDocument/2006/relationships/hyperlink" Target="https://drive.google.com/open?id=1vysxKQw42BEk4wlIjzWMCUhFqIYSTZVX" TargetMode="External"/><Relationship Id="rId3321" Type="http://schemas.openxmlformats.org/officeDocument/2006/relationships/hyperlink" Target="https://drive.google.com/open?id=1u17rjciVNrUDxK3epFpT4Q2YivusTfTc" TargetMode="External"/><Relationship Id="rId3324" Type="http://schemas.openxmlformats.org/officeDocument/2006/relationships/hyperlink" Target="https://drive.google.com/open?id=12Dbja37-CAZhIWYaBmL15fZ5hMTdYZ4S" TargetMode="External"/><Relationship Id="rId3323" Type="http://schemas.openxmlformats.org/officeDocument/2006/relationships/hyperlink" Target="https://drive.google.com/open?id=1_thiod2MMAnfd4aslSApNbB2y5taG-bs" TargetMode="External"/><Relationship Id="rId2090" Type="http://schemas.openxmlformats.org/officeDocument/2006/relationships/hyperlink" Target="https://drive.google.com/open?id=1IRXCWtyQQLyhtrppK--bft8UwxXEJTLF" TargetMode="External"/><Relationship Id="rId2091" Type="http://schemas.openxmlformats.org/officeDocument/2006/relationships/hyperlink" Target="https://drive.google.com/open?id=1RQ7Kp6Y_1AxNPAEqs29hZPd9bsDTNUwd" TargetMode="External"/><Relationship Id="rId2092" Type="http://schemas.openxmlformats.org/officeDocument/2006/relationships/hyperlink" Target="https://drive.google.com/open?id=1dceinvI1n0yH4QOq0Iq0qBot0ltzPImM" TargetMode="External"/><Relationship Id="rId2093" Type="http://schemas.openxmlformats.org/officeDocument/2006/relationships/hyperlink" Target="https://drive.google.com/open?id=1QJxq9FAS6GE8bYMacmFoDtr7LXfV_X51" TargetMode="External"/><Relationship Id="rId2094" Type="http://schemas.openxmlformats.org/officeDocument/2006/relationships/hyperlink" Target="https://drive.google.com/open?id=16ppyF8TUZ1vYJbb484URBfD5R1m5JPCy" TargetMode="External"/><Relationship Id="rId2095" Type="http://schemas.openxmlformats.org/officeDocument/2006/relationships/hyperlink" Target="https://drive.google.com/open?id=1RGtQJhGxXjnmZc2EwwyR1pbVY56I06Lg" TargetMode="External"/><Relationship Id="rId2096" Type="http://schemas.openxmlformats.org/officeDocument/2006/relationships/hyperlink" Target="https://drive.google.com/open?id=1P42pqevf_ybeV4EakIq5ToWL9UBSQMIz" TargetMode="External"/><Relationship Id="rId2097" Type="http://schemas.openxmlformats.org/officeDocument/2006/relationships/hyperlink" Target="https://drive.google.com/open?id=1kmzdRoxgQwS5tE1eFFLsAnXDLevhZ7p8" TargetMode="External"/><Relationship Id="rId2098" Type="http://schemas.openxmlformats.org/officeDocument/2006/relationships/hyperlink" Target="https://drive.google.com/open?id=1F9pVtR98Wyr08XWO2QiSwDhHgrDBa9VM" TargetMode="External"/><Relationship Id="rId2099" Type="http://schemas.openxmlformats.org/officeDocument/2006/relationships/hyperlink" Target="https://drive.google.com/open?id=1vAdtD16n2zhV3PveqUzlEbrz2KyspQEh" TargetMode="External"/><Relationship Id="rId3391" Type="http://schemas.openxmlformats.org/officeDocument/2006/relationships/hyperlink" Target="https://drive.google.com/open?id=1mJNbVYz61aMjeiHMmGgr907LkqF44C39" TargetMode="External"/><Relationship Id="rId2060" Type="http://schemas.openxmlformats.org/officeDocument/2006/relationships/hyperlink" Target="https://drive.google.com/open?id=1ihDKfI7EVm7LkJzFmFDbsf9yqtJE7nFk" TargetMode="External"/><Relationship Id="rId3390" Type="http://schemas.openxmlformats.org/officeDocument/2006/relationships/hyperlink" Target="https://drive.google.com/open?id=1eOeJS1VVhC7XrEnGfDuNFM-99X3UJzaP" TargetMode="External"/><Relationship Id="rId2061" Type="http://schemas.openxmlformats.org/officeDocument/2006/relationships/hyperlink" Target="https://drive.google.com/open?id=1_a2fA-h06gkDg8ShZEKfr5aczLL21P8n" TargetMode="External"/><Relationship Id="rId3393" Type="http://schemas.openxmlformats.org/officeDocument/2006/relationships/hyperlink" Target="https://drive.google.com/open?id=1RczM5aIcuPmUHj-tNy7925UQc4uOllf9" TargetMode="External"/><Relationship Id="rId2062" Type="http://schemas.openxmlformats.org/officeDocument/2006/relationships/hyperlink" Target="https://drive.google.com/open?id=15AwpjSYeOTGmdzwszfsVtaPLggv1d9q3" TargetMode="External"/><Relationship Id="rId3392" Type="http://schemas.openxmlformats.org/officeDocument/2006/relationships/hyperlink" Target="https://drive.google.com/open?id=1CGXH_Dm_uCiOPWVfoJ8UEBXMBrBEEq8d" TargetMode="External"/><Relationship Id="rId2063" Type="http://schemas.openxmlformats.org/officeDocument/2006/relationships/hyperlink" Target="https://drive.google.com/open?id=1FpBSEVgbL-Unq2L3CmaqxjkXzwQwYJkp" TargetMode="External"/><Relationship Id="rId3395" Type="http://schemas.openxmlformats.org/officeDocument/2006/relationships/hyperlink" Target="https://drive.google.com/open?id=1RBJ0H0XWW5KLXaIIx56O6qxPR83IW9uD" TargetMode="External"/><Relationship Id="rId2064" Type="http://schemas.openxmlformats.org/officeDocument/2006/relationships/hyperlink" Target="https://drive.google.com/open?id=1rjasYTFeq_rGvqiMgLgvQtd-Em0n4GDN" TargetMode="External"/><Relationship Id="rId3394" Type="http://schemas.openxmlformats.org/officeDocument/2006/relationships/hyperlink" Target="https://drive.google.com/open?id=1969U-i_QjCicShy9eS9Ifx4KdFIVA_0d" TargetMode="External"/><Relationship Id="rId2065" Type="http://schemas.openxmlformats.org/officeDocument/2006/relationships/hyperlink" Target="https://drive.google.com/open?id=164EjWdV3_vnbz7Tzss7kN2OJHyGDJP4r" TargetMode="External"/><Relationship Id="rId3397" Type="http://schemas.openxmlformats.org/officeDocument/2006/relationships/hyperlink" Target="https://drive.google.com/open?id=15sm5CkupkyGpIXh5_JLEZjRz29ifAiMz" TargetMode="External"/><Relationship Id="rId2066" Type="http://schemas.openxmlformats.org/officeDocument/2006/relationships/hyperlink" Target="https://drive.google.com/open?id=1IZ0NJm81gRioBf9UuA1xcb-9hj_evRTM" TargetMode="External"/><Relationship Id="rId3396" Type="http://schemas.openxmlformats.org/officeDocument/2006/relationships/hyperlink" Target="https://drive.google.com/open?id=1xO_02D0EjXKNnldGgBzaiYMJI_B6waCe" TargetMode="External"/><Relationship Id="rId2067" Type="http://schemas.openxmlformats.org/officeDocument/2006/relationships/hyperlink" Target="https://drive.google.com/open?id=14Llvs55nXUxeRISyuqQHy_csfi_2I0rZ" TargetMode="External"/><Relationship Id="rId3399" Type="http://schemas.openxmlformats.org/officeDocument/2006/relationships/hyperlink" Target="https://drive.google.com/open?id=1i1qR9op9o2Hln83vf1eq2a4Qjd8omPkJ" TargetMode="External"/><Relationship Id="rId2068" Type="http://schemas.openxmlformats.org/officeDocument/2006/relationships/hyperlink" Target="https://drive.google.com/open?id=1JX_D3XQNwJlqjYw77Z1OvUe7tywP1xXX" TargetMode="External"/><Relationship Id="rId3398" Type="http://schemas.openxmlformats.org/officeDocument/2006/relationships/hyperlink" Target="https://drive.google.com/open?id=1DInPz6-c0qOOGSL-Op_UbqQvW3P8WAJ1" TargetMode="External"/><Relationship Id="rId2069" Type="http://schemas.openxmlformats.org/officeDocument/2006/relationships/hyperlink" Target="https://drive.google.com/open?id=1SIVwQN5A9bmvwy-ImkDx9AYDSMT0aXjC" TargetMode="External"/><Relationship Id="rId3380" Type="http://schemas.openxmlformats.org/officeDocument/2006/relationships/hyperlink" Target="https://drive.google.com/open?id=1KP0pRvppspqZE48TddcrvdtUBcAxfJue" TargetMode="External"/><Relationship Id="rId2050" Type="http://schemas.openxmlformats.org/officeDocument/2006/relationships/hyperlink" Target="https://drive.google.com/open?id=1kQXNSlKF5m5Ubfckvo5gbuy1DjPUeK-o" TargetMode="External"/><Relationship Id="rId3382" Type="http://schemas.openxmlformats.org/officeDocument/2006/relationships/hyperlink" Target="https://drive.google.com/open?id=1U6vbdYRTcHcEUDyXrxfFpyZf0iO3hoDg" TargetMode="External"/><Relationship Id="rId2051" Type="http://schemas.openxmlformats.org/officeDocument/2006/relationships/hyperlink" Target="https://drive.google.com/open?id=1f8AAlWciqbSQ_WBfQy7xBSKd1Vel-OOg" TargetMode="External"/><Relationship Id="rId3381" Type="http://schemas.openxmlformats.org/officeDocument/2006/relationships/hyperlink" Target="https://drive.google.com/open?id=1afN80NsShzR9A8mwNQTaCJvsU7tYcq5S" TargetMode="External"/><Relationship Id="rId2052" Type="http://schemas.openxmlformats.org/officeDocument/2006/relationships/hyperlink" Target="https://drive.google.com/open?id=1shwXJ6lYVhixzFq9NUx72mdRttq3TcX3" TargetMode="External"/><Relationship Id="rId3384" Type="http://schemas.openxmlformats.org/officeDocument/2006/relationships/hyperlink" Target="https://drive.google.com/open?id=1u48BfNqh5_zfSGrf5e2gmq_yqJ0vHnhS" TargetMode="External"/><Relationship Id="rId2053" Type="http://schemas.openxmlformats.org/officeDocument/2006/relationships/hyperlink" Target="https://drive.google.com/open?id=1FAS_tu_Ty22r863sOOQKe0QNXCx1ikM3" TargetMode="External"/><Relationship Id="rId3383" Type="http://schemas.openxmlformats.org/officeDocument/2006/relationships/hyperlink" Target="https://drive.google.com/open?id=1cppe1YDFH1A8Pc4eXkvZ8D8SrNNMPMer" TargetMode="External"/><Relationship Id="rId2054" Type="http://schemas.openxmlformats.org/officeDocument/2006/relationships/hyperlink" Target="https://drive.google.com/open?id=1-fsUvHBEGju1ObN1NCeCr8i7LXNaoZPu" TargetMode="External"/><Relationship Id="rId3386" Type="http://schemas.openxmlformats.org/officeDocument/2006/relationships/hyperlink" Target="https://drive.google.com/open?id=12j_gdHxpqUW5AOcNr5JpwSak4yhcmkvd" TargetMode="External"/><Relationship Id="rId2055" Type="http://schemas.openxmlformats.org/officeDocument/2006/relationships/hyperlink" Target="https://drive.google.com/open?id=16A3kP4g6_khm5Ii3XAX3Z_z3Mm01EDwa" TargetMode="External"/><Relationship Id="rId3385" Type="http://schemas.openxmlformats.org/officeDocument/2006/relationships/hyperlink" Target="https://drive.google.com/open?id=16Ys6BaT6cCwk1EsudNyEzt9b_Fu4mXky" TargetMode="External"/><Relationship Id="rId2056" Type="http://schemas.openxmlformats.org/officeDocument/2006/relationships/hyperlink" Target="https://drive.google.com/open?id=1S_97MGNqf2u7fvZoGDGfxsbQmrv1IlKP" TargetMode="External"/><Relationship Id="rId3388" Type="http://schemas.openxmlformats.org/officeDocument/2006/relationships/hyperlink" Target="https://drive.google.com/open?id=1u-QoNxw1Z_9yTTyO10CPGWSKT3HoiFDu" TargetMode="External"/><Relationship Id="rId2057" Type="http://schemas.openxmlformats.org/officeDocument/2006/relationships/hyperlink" Target="https://drive.google.com/open?id=1-FDFsM9p4A4aAi9mcD0WFct0yft8sZrn" TargetMode="External"/><Relationship Id="rId3387" Type="http://schemas.openxmlformats.org/officeDocument/2006/relationships/hyperlink" Target="https://drive.google.com/open?id=1ygm1HPfm31jB9OS0CWIg8E2ZWmaNkMK_" TargetMode="External"/><Relationship Id="rId2058" Type="http://schemas.openxmlformats.org/officeDocument/2006/relationships/hyperlink" Target="https://drive.google.com/open?id=1fAR2KXLQKPkArbKlbm23_q64guUrnW30" TargetMode="External"/><Relationship Id="rId2059" Type="http://schemas.openxmlformats.org/officeDocument/2006/relationships/hyperlink" Target="https://drive.google.com/open?id=1PGidBKH8xs7hckuk9M8GSIgJl9A_gbr2" TargetMode="External"/><Relationship Id="rId3389" Type="http://schemas.openxmlformats.org/officeDocument/2006/relationships/hyperlink" Target="https://drive.google.com/open?id=1Hh_kh6FfZqgyOhRTtOTxULYoXL6qPO4b" TargetMode="External"/><Relationship Id="rId2080" Type="http://schemas.openxmlformats.org/officeDocument/2006/relationships/hyperlink" Target="https://drive.google.com/open?id=1z95BuyyZ4EFjX3ypzSeecli162OhZd9d" TargetMode="External"/><Relationship Id="rId2081" Type="http://schemas.openxmlformats.org/officeDocument/2006/relationships/hyperlink" Target="https://drive.google.com/open?id=1a7yJigjzH8tMeY-AUbhU0Bo3VQtDLgJ4" TargetMode="External"/><Relationship Id="rId2082" Type="http://schemas.openxmlformats.org/officeDocument/2006/relationships/hyperlink" Target="https://drive.google.com/open?id=1VplEHgmqi8DAjkqEbJbRGThjsm-_aafw" TargetMode="External"/><Relationship Id="rId2083" Type="http://schemas.openxmlformats.org/officeDocument/2006/relationships/hyperlink" Target="https://drive.google.com/open?id=1u13G_Ix7uv8DJQHXUqhp0zBM0Vqp120U" TargetMode="External"/><Relationship Id="rId2084" Type="http://schemas.openxmlformats.org/officeDocument/2006/relationships/hyperlink" Target="https://drive.google.com/open?id=1vJojKRa2YXEhR-yxBop-_W9TrHnU6eAl" TargetMode="External"/><Relationship Id="rId2085" Type="http://schemas.openxmlformats.org/officeDocument/2006/relationships/hyperlink" Target="https://drive.google.com/open?id=13l_06uMKfrmLYwP9bXLtkKxBJmeh6lLc" TargetMode="External"/><Relationship Id="rId2086" Type="http://schemas.openxmlformats.org/officeDocument/2006/relationships/hyperlink" Target="https://drive.google.com/open?id=1ZAI7d-ORhW4Tp_uwy0QUhSmHNxyPoy2O" TargetMode="External"/><Relationship Id="rId2087" Type="http://schemas.openxmlformats.org/officeDocument/2006/relationships/hyperlink" Target="https://drive.google.com/open?id=1UsvJfZLg-7xuSkewHfPdr3diWbMVz6Sb" TargetMode="External"/><Relationship Id="rId2088" Type="http://schemas.openxmlformats.org/officeDocument/2006/relationships/hyperlink" Target="https://drive.google.com/open?id=11dGoIBHV8A2PfV1qawE526PlJoz0sxoc" TargetMode="External"/><Relationship Id="rId2089" Type="http://schemas.openxmlformats.org/officeDocument/2006/relationships/hyperlink" Target="https://drive.google.com/open?id=1QK1PjK2DqDoqOqNu_ECFB4uThDr1Wcvl" TargetMode="External"/><Relationship Id="rId2070" Type="http://schemas.openxmlformats.org/officeDocument/2006/relationships/hyperlink" Target="https://drive.google.com/open?id=1wDwsNVA1knfa15-SA1tzLp7SeTi6YsmY" TargetMode="External"/><Relationship Id="rId2071" Type="http://schemas.openxmlformats.org/officeDocument/2006/relationships/hyperlink" Target="https://drive.google.com/open?id=1PjsIJPe20oJLC5cGGLkyhk5wJPvtTrVH" TargetMode="External"/><Relationship Id="rId2072" Type="http://schemas.openxmlformats.org/officeDocument/2006/relationships/hyperlink" Target="https://drive.google.com/open?id=14J-e2IJ24KM8TwrQybQOqDuN6tW3_V4C" TargetMode="External"/><Relationship Id="rId2073" Type="http://schemas.openxmlformats.org/officeDocument/2006/relationships/hyperlink" Target="https://drive.google.com/open?id=1TgkvlJcJhbXAOtzsDEjdAf1V-bZXDEBa" TargetMode="External"/><Relationship Id="rId2074" Type="http://schemas.openxmlformats.org/officeDocument/2006/relationships/hyperlink" Target="https://drive.google.com/open?id=1NpkEF3QBxwBAVVbH_TpyOjJGRoioYRrW" TargetMode="External"/><Relationship Id="rId2075" Type="http://schemas.openxmlformats.org/officeDocument/2006/relationships/hyperlink" Target="https://drive.google.com/open?id=14ZiExsmbjnUdhsM2ruN3SknObAJI5t4h" TargetMode="External"/><Relationship Id="rId2076" Type="http://schemas.openxmlformats.org/officeDocument/2006/relationships/hyperlink" Target="https://drive.google.com/open?id=1cT3WgthnNA7f8c_baHfCftM5oYgOUSLt" TargetMode="External"/><Relationship Id="rId2077" Type="http://schemas.openxmlformats.org/officeDocument/2006/relationships/hyperlink" Target="https://drive.google.com/open?id=1Tmbpwc2Oa7-pp_Qtic1gJhClyTbX0t9S" TargetMode="External"/><Relationship Id="rId2078" Type="http://schemas.openxmlformats.org/officeDocument/2006/relationships/hyperlink" Target="https://drive.google.com/open?id=1I4XPUGes7ihtVSMQHxjYwum-t9QT8HMl" TargetMode="External"/><Relationship Id="rId2079" Type="http://schemas.openxmlformats.org/officeDocument/2006/relationships/hyperlink" Target="https://drive.google.com/open?id=1mfmfqdik8zX8W_zAHyUDOZzlVqfvsHFk" TargetMode="External"/><Relationship Id="rId2940" Type="http://schemas.openxmlformats.org/officeDocument/2006/relationships/hyperlink" Target="https://drive.google.com/open?id=18BSCR9RHyOfV5M6cDClmAOUgl103zIOs" TargetMode="External"/><Relationship Id="rId1610" Type="http://schemas.openxmlformats.org/officeDocument/2006/relationships/hyperlink" Target="https://drive.google.com/open?id=1AZsIyx06oq0EMBBKJ11-UOBDpw3RQx8e" TargetMode="External"/><Relationship Id="rId2941" Type="http://schemas.openxmlformats.org/officeDocument/2006/relationships/hyperlink" Target="https://drive.google.com/open?id=16vkNQ9K69jGUha-kLbLJ_-8EMROLqUE5" TargetMode="External"/><Relationship Id="rId1611" Type="http://schemas.openxmlformats.org/officeDocument/2006/relationships/hyperlink" Target="https://drive.google.com/open?id=1ZOdTjV7gkM-Os--1rvrXwAGry3K9Jg3f" TargetMode="External"/><Relationship Id="rId2942" Type="http://schemas.openxmlformats.org/officeDocument/2006/relationships/hyperlink" Target="https://drive.google.com/open?id=1UGAcF4cJgLHI6kXBTt4Iqaxp9UQpiw-I" TargetMode="External"/><Relationship Id="rId1612" Type="http://schemas.openxmlformats.org/officeDocument/2006/relationships/hyperlink" Target="https://drive.google.com/open?id=1cNTQFVAkMzIGvbPxQ6uzrhV9bs9UyH7g" TargetMode="External"/><Relationship Id="rId2943" Type="http://schemas.openxmlformats.org/officeDocument/2006/relationships/hyperlink" Target="https://drive.google.com/open?id=1mkyHJq-is5CFzhRMIwc23EEJoOZ0nBFR" TargetMode="External"/><Relationship Id="rId1613" Type="http://schemas.openxmlformats.org/officeDocument/2006/relationships/hyperlink" Target="https://drive.google.com/open?id=1ladg_vcfwjRcaAy6EPll7IHt2YpPTnY3" TargetMode="External"/><Relationship Id="rId2944" Type="http://schemas.openxmlformats.org/officeDocument/2006/relationships/hyperlink" Target="https://drive.google.com/open?id=1AjjxZewSUajNXez0qww6OyZktFaMpVU5" TargetMode="External"/><Relationship Id="rId1614" Type="http://schemas.openxmlformats.org/officeDocument/2006/relationships/hyperlink" Target="https://drive.google.com/open?id=1sSL7_jZvhlaa7pAtyDXlTuLnlYTGQvqQ" TargetMode="External"/><Relationship Id="rId2945" Type="http://schemas.openxmlformats.org/officeDocument/2006/relationships/hyperlink" Target="https://drive.google.com/open?id=15RCtXV99cBS1FmcphzKPbWaah9oDG2VW" TargetMode="External"/><Relationship Id="rId1615" Type="http://schemas.openxmlformats.org/officeDocument/2006/relationships/hyperlink" Target="https://drive.google.com/open?id=1DGK5-qis8_rJr-8iR4ZV-_1L0rMyQMZd" TargetMode="External"/><Relationship Id="rId2946" Type="http://schemas.openxmlformats.org/officeDocument/2006/relationships/hyperlink" Target="https://drive.google.com/open?id=1QI7M4imEd8_xgEofGxVOfovddSlSrI4D" TargetMode="External"/><Relationship Id="rId1616" Type="http://schemas.openxmlformats.org/officeDocument/2006/relationships/hyperlink" Target="https://drive.google.com/open?id=1BKpoc3eHhF561gaBeN3mjtrajdIFtAFj" TargetMode="External"/><Relationship Id="rId2947" Type="http://schemas.openxmlformats.org/officeDocument/2006/relationships/hyperlink" Target="https://drive.google.com/open?id=1ZWEZmldjn7XyJ5pH1ZU_XDTuGCmxtXEv" TargetMode="External"/><Relationship Id="rId907" Type="http://schemas.openxmlformats.org/officeDocument/2006/relationships/hyperlink" Target="https://drive.google.com/open?id=13ndCV8SzO72UQHAo9ciGgJOrggQCV6W-" TargetMode="External"/><Relationship Id="rId1617" Type="http://schemas.openxmlformats.org/officeDocument/2006/relationships/hyperlink" Target="https://drive.google.com/open?id=136WtAO7B_wOWdR7zOhOQlZZHzHATWpte" TargetMode="External"/><Relationship Id="rId2948" Type="http://schemas.openxmlformats.org/officeDocument/2006/relationships/hyperlink" Target="https://drive.google.com/open?id=1PUkI6ylFK9UfJAdUu7C3AThLgY6YsZDr" TargetMode="External"/><Relationship Id="rId906" Type="http://schemas.openxmlformats.org/officeDocument/2006/relationships/hyperlink" Target="https://drive.google.com/open?id=13G9IrAR2QHF-oKfUTM7L2bys1eNCZZ-u" TargetMode="External"/><Relationship Id="rId1618" Type="http://schemas.openxmlformats.org/officeDocument/2006/relationships/hyperlink" Target="https://drive.google.com/open?id=1I5PmJyrMy_wV4nukVhEgAGlYor2S_Hda" TargetMode="External"/><Relationship Id="rId2949" Type="http://schemas.openxmlformats.org/officeDocument/2006/relationships/hyperlink" Target="https://drive.google.com/open?id=1gkl7EaWj5FFeCwbp1uhG49AD4Chleb8q" TargetMode="External"/><Relationship Id="rId905" Type="http://schemas.openxmlformats.org/officeDocument/2006/relationships/hyperlink" Target="https://drive.google.com/open?id=1MnV7Ct3Pw1pN-3ZogIMmuuDwsF0buBMX" TargetMode="External"/><Relationship Id="rId1619" Type="http://schemas.openxmlformats.org/officeDocument/2006/relationships/hyperlink" Target="https://drive.google.com/open?id=1a3Px7EL8TEv82IouypZOpbSt2m5tF2Ib" TargetMode="External"/><Relationship Id="rId904" Type="http://schemas.openxmlformats.org/officeDocument/2006/relationships/hyperlink" Target="https://drive.google.com/open?id=1ajXXzhr0pGHOhg_LtBskXFTrhfxX23Ll" TargetMode="External"/><Relationship Id="rId909" Type="http://schemas.openxmlformats.org/officeDocument/2006/relationships/hyperlink" Target="https://drive.google.com/open?id=19GBCOdVD5k6GzzmvNJMKxmr1JBfMBoIY" TargetMode="External"/><Relationship Id="rId908" Type="http://schemas.openxmlformats.org/officeDocument/2006/relationships/hyperlink" Target="https://drive.google.com/open?id=1USlooeTYGws13PHLN-vf_9R6tKi1vil3" TargetMode="External"/><Relationship Id="rId903" Type="http://schemas.openxmlformats.org/officeDocument/2006/relationships/hyperlink" Target="https://drive.google.com/open?id=1-WmWl82YWWls3iBP69l9mVN3t_Hy_vhy" TargetMode="External"/><Relationship Id="rId902" Type="http://schemas.openxmlformats.org/officeDocument/2006/relationships/hyperlink" Target="https://drive.google.com/open?id=1o4UEf6zK2CFTwvWw-oJeZJYHFaRWI2Yh" TargetMode="External"/><Relationship Id="rId901" Type="http://schemas.openxmlformats.org/officeDocument/2006/relationships/hyperlink" Target="https://drive.google.com/open?id=1NPYZjsFSu7kdkbJkeJCn_RoOWy57FrDl" TargetMode="External"/><Relationship Id="rId900" Type="http://schemas.openxmlformats.org/officeDocument/2006/relationships/hyperlink" Target="https://drive.google.com/open?id=13kpdQJyy6zVfTO0bxEhNIszVthN9IPDx" TargetMode="External"/><Relationship Id="rId2930" Type="http://schemas.openxmlformats.org/officeDocument/2006/relationships/hyperlink" Target="https://drive.google.com/open?id=1r1UDK81jIbskTFDy81AJR00ycBwHSxQY" TargetMode="External"/><Relationship Id="rId1600" Type="http://schemas.openxmlformats.org/officeDocument/2006/relationships/hyperlink" Target="https://drive.google.com/open?id=1wj703vwrbqM7esp0u_uuQHULkcMvWV4f" TargetMode="External"/><Relationship Id="rId2931" Type="http://schemas.openxmlformats.org/officeDocument/2006/relationships/hyperlink" Target="https://drive.google.com/open?id=1A7lWS6YxL_mHvEfNr62EIvsL4NjaBOSY" TargetMode="External"/><Relationship Id="rId1601" Type="http://schemas.openxmlformats.org/officeDocument/2006/relationships/hyperlink" Target="https://drive.google.com/open?id=1j3V3ZRXkcUuhWB-j9TNE_oq3aIm1IIbH" TargetMode="External"/><Relationship Id="rId2932" Type="http://schemas.openxmlformats.org/officeDocument/2006/relationships/hyperlink" Target="https://drive.google.com/open?id=1SJYQbsaJketjgekPeItMoUqC2CED0EGR" TargetMode="External"/><Relationship Id="rId1602" Type="http://schemas.openxmlformats.org/officeDocument/2006/relationships/hyperlink" Target="https://drive.google.com/open?id=1nP5POX59DSXNj66QT3ReuQciMti2Ippm" TargetMode="External"/><Relationship Id="rId2933" Type="http://schemas.openxmlformats.org/officeDocument/2006/relationships/hyperlink" Target="https://drive.google.com/open?id=1DS80R3PgSjMGa_CHa6QkQ9DbP9zTM0l7" TargetMode="External"/><Relationship Id="rId1603" Type="http://schemas.openxmlformats.org/officeDocument/2006/relationships/hyperlink" Target="https://drive.google.com/open?id=1gNSbBgJH7coiQnq4yRWRqHSg1grQXKaD" TargetMode="External"/><Relationship Id="rId2934" Type="http://schemas.openxmlformats.org/officeDocument/2006/relationships/hyperlink" Target="https://drive.google.com/open?id=16_2mXnM0cIFZI7in7WBh1wY-KObmmAW-" TargetMode="External"/><Relationship Id="rId1604" Type="http://schemas.openxmlformats.org/officeDocument/2006/relationships/hyperlink" Target="https://drive.google.com/open?id=13RS2BM0il7td5sBdeqaPwA1QFi0yBPcH" TargetMode="External"/><Relationship Id="rId2935" Type="http://schemas.openxmlformats.org/officeDocument/2006/relationships/hyperlink" Target="https://drive.google.com/open?id=1CoRzLoL0zhebZNXW67DFEU1x8FMbKXJt" TargetMode="External"/><Relationship Id="rId1605" Type="http://schemas.openxmlformats.org/officeDocument/2006/relationships/hyperlink" Target="https://drive.google.com/open?id=1_UTQW3V0IFp6tX4u6NJhO37d2adqmcvO" TargetMode="External"/><Relationship Id="rId2936" Type="http://schemas.openxmlformats.org/officeDocument/2006/relationships/hyperlink" Target="https://drive.google.com/open?id=1T-tusOnCodDUYdycm83CBZAjQ2PLbys9" TargetMode="External"/><Relationship Id="rId1606" Type="http://schemas.openxmlformats.org/officeDocument/2006/relationships/hyperlink" Target="https://drive.google.com/open?id=10ND2iBU-9a4357OeRE4Oc20AO8t2IEh2" TargetMode="External"/><Relationship Id="rId2937" Type="http://schemas.openxmlformats.org/officeDocument/2006/relationships/hyperlink" Target="https://drive.google.com/open?id=1gMtWTzxJV7o2gmFqZ94AaBVE-Ofbf-BV" TargetMode="External"/><Relationship Id="rId1607" Type="http://schemas.openxmlformats.org/officeDocument/2006/relationships/hyperlink" Target="https://drive.google.com/open?id=1Sq5ghqqb3rFRtb_kTe6swe43wOq-VWp5" TargetMode="External"/><Relationship Id="rId2938" Type="http://schemas.openxmlformats.org/officeDocument/2006/relationships/hyperlink" Target="https://drive.google.com/open?id=16TNx0qCvKmLvd2qk-AnWTuiq3m4SH9xX" TargetMode="External"/><Relationship Id="rId1608" Type="http://schemas.openxmlformats.org/officeDocument/2006/relationships/hyperlink" Target="https://drive.google.com/open?id=1w3x69gMn4OKhsXvk78CDdf6fIdUu4X4_" TargetMode="External"/><Relationship Id="rId2939" Type="http://schemas.openxmlformats.org/officeDocument/2006/relationships/hyperlink" Target="https://drive.google.com/open?id=1YEnHel3sdeA_Wkx20LKQJMP54eojnEhY" TargetMode="External"/><Relationship Id="rId1609" Type="http://schemas.openxmlformats.org/officeDocument/2006/relationships/hyperlink" Target="https://drive.google.com/open?id=1DjcjdVUwIBG1BB3u4SFvwma6hMKp04li" TargetMode="External"/><Relationship Id="rId1631" Type="http://schemas.openxmlformats.org/officeDocument/2006/relationships/hyperlink" Target="https://drive.google.com/open?id=16zgKL3pGHdKlhg5gIkXoDvRMhhcZjSc0" TargetMode="External"/><Relationship Id="rId2962" Type="http://schemas.openxmlformats.org/officeDocument/2006/relationships/hyperlink" Target="https://drive.google.com/open?id=1HNcGSzlJKuhrrrYAAl9p_k3v-3JxHoOf" TargetMode="External"/><Relationship Id="rId1632" Type="http://schemas.openxmlformats.org/officeDocument/2006/relationships/hyperlink" Target="https://drive.google.com/open?id=1jRuUSxLVI3XfniK2NJEbH3H8pczSUQyB" TargetMode="External"/><Relationship Id="rId2963" Type="http://schemas.openxmlformats.org/officeDocument/2006/relationships/hyperlink" Target="https://drive.google.com/open?id=1hlQNjI95Lg_LTRwgZcgxRpbmt2VCgfHZ" TargetMode="External"/><Relationship Id="rId1633" Type="http://schemas.openxmlformats.org/officeDocument/2006/relationships/hyperlink" Target="https://drive.google.com/open?id=1FqK7EUC_wt1jqEuRwMD7_t4wEuDoAd3X" TargetMode="External"/><Relationship Id="rId2964" Type="http://schemas.openxmlformats.org/officeDocument/2006/relationships/hyperlink" Target="https://drive.google.com/open?id=1HtfgYcOLhKOTw9mWWgaWy5UlMlaMLVgn" TargetMode="External"/><Relationship Id="rId1634" Type="http://schemas.openxmlformats.org/officeDocument/2006/relationships/hyperlink" Target="https://drive.google.com/open?id=16ZA1Bo3ctdjdUNJxC39zgikbvmpUlmck" TargetMode="External"/><Relationship Id="rId2965" Type="http://schemas.openxmlformats.org/officeDocument/2006/relationships/hyperlink" Target="https://drive.google.com/open?id=1vm6DRRThynMLm3BncNmUfCriDb_86Wne" TargetMode="External"/><Relationship Id="rId1635" Type="http://schemas.openxmlformats.org/officeDocument/2006/relationships/hyperlink" Target="https://drive.google.com/open?id=1gP9lK7lG1u-ssJN_yOt6tmc-vA1UBZoL" TargetMode="External"/><Relationship Id="rId2966" Type="http://schemas.openxmlformats.org/officeDocument/2006/relationships/hyperlink" Target="https://drive.google.com/open?id=1EkBmN14ToCxBdarM1VuAnNDtiBbKPpJb" TargetMode="External"/><Relationship Id="rId1636" Type="http://schemas.openxmlformats.org/officeDocument/2006/relationships/hyperlink" Target="https://drive.google.com/open?id=1luhfqx9eCKM7XzRBK784REksp0gw3hFZ" TargetMode="External"/><Relationship Id="rId2967" Type="http://schemas.openxmlformats.org/officeDocument/2006/relationships/hyperlink" Target="https://drive.google.com/open?id=1Pu9AlaIly9oTjHrusdwWdnLUk7MQBcea" TargetMode="External"/><Relationship Id="rId1637" Type="http://schemas.openxmlformats.org/officeDocument/2006/relationships/hyperlink" Target="https://drive.google.com/open?id=1fuKOgu532GGr0IKIR2YGeal0LwA4NTLk" TargetMode="External"/><Relationship Id="rId2968" Type="http://schemas.openxmlformats.org/officeDocument/2006/relationships/hyperlink" Target="https://drive.google.com/open?id=1tqNdN5CTHNI3JT0cgBP44sogySCOjikq" TargetMode="External"/><Relationship Id="rId1638" Type="http://schemas.openxmlformats.org/officeDocument/2006/relationships/hyperlink" Target="https://drive.google.com/open?id=1MPty8AmyGZibw4kButGpoiNzJrbdRXSR" TargetMode="External"/><Relationship Id="rId2969" Type="http://schemas.openxmlformats.org/officeDocument/2006/relationships/hyperlink" Target="https://drive.google.com/open?id=19MY77YUPnuHIYfCr9omvW9mdR-C2XqMr" TargetMode="External"/><Relationship Id="rId929" Type="http://schemas.openxmlformats.org/officeDocument/2006/relationships/hyperlink" Target="https://drive.google.com/open?id=1DqpRzleAHL8OJzaXc4LJo6q_sJHOI5oH" TargetMode="External"/><Relationship Id="rId1639" Type="http://schemas.openxmlformats.org/officeDocument/2006/relationships/hyperlink" Target="https://drive.google.com/open?id=1FjhPUqQ8pdRZTvQp5z12zZpmyyx-eGo9" TargetMode="External"/><Relationship Id="rId928" Type="http://schemas.openxmlformats.org/officeDocument/2006/relationships/hyperlink" Target="https://drive.google.com/open?id=1372hC9VyPiJ7reznoqJSDovbuaCbSt77" TargetMode="External"/><Relationship Id="rId927" Type="http://schemas.openxmlformats.org/officeDocument/2006/relationships/hyperlink" Target="https://drive.google.com/open?id=1JjDD0QaMFukI6o-sf3Ofj4Zc7UHLE1zb" TargetMode="External"/><Relationship Id="rId926" Type="http://schemas.openxmlformats.org/officeDocument/2006/relationships/hyperlink" Target="https://drive.google.com/open?id=14XJJK51FyIokNRud6Ft_Cm9zkkfNPobM" TargetMode="External"/><Relationship Id="rId921" Type="http://schemas.openxmlformats.org/officeDocument/2006/relationships/hyperlink" Target="https://drive.google.com/open?id=1U67d5BF_qCSw5EUb6CePRAWvDoL6AD91" TargetMode="External"/><Relationship Id="rId920" Type="http://schemas.openxmlformats.org/officeDocument/2006/relationships/hyperlink" Target="https://drive.google.com/open?id=1BYWcEucKRjP6TzXxQcWaf6v6wXFQc6BL" TargetMode="External"/><Relationship Id="rId925" Type="http://schemas.openxmlformats.org/officeDocument/2006/relationships/hyperlink" Target="https://drive.google.com/open?id=1ULi7RDZ8k9zCajOGXwikG1qnUlrzs-d-" TargetMode="External"/><Relationship Id="rId924" Type="http://schemas.openxmlformats.org/officeDocument/2006/relationships/hyperlink" Target="https://drive.google.com/open?id=1UHUJa-i08PyEMgxcDGfJ9qca-R4JsgY3" TargetMode="External"/><Relationship Id="rId923" Type="http://schemas.openxmlformats.org/officeDocument/2006/relationships/hyperlink" Target="https://drive.google.com/open?id=1XhnBj0O9WPledS9csnbjRqARqYGfRF0t" TargetMode="External"/><Relationship Id="rId922" Type="http://schemas.openxmlformats.org/officeDocument/2006/relationships/hyperlink" Target="https://drive.google.com/open?id=1_TbdlA540gCfTtduWVHoioEwVHGMU8PI" TargetMode="External"/><Relationship Id="rId2960" Type="http://schemas.openxmlformats.org/officeDocument/2006/relationships/hyperlink" Target="https://drive.google.com/open?id=1ufdgpP64TCxQYUvgKLiGZOrA9kq-kOOF" TargetMode="External"/><Relationship Id="rId1630" Type="http://schemas.openxmlformats.org/officeDocument/2006/relationships/hyperlink" Target="https://drive.google.com/open?id=1IWo2ZiQCpF1kiE48lXXagt_md4TJc52X" TargetMode="External"/><Relationship Id="rId2961" Type="http://schemas.openxmlformats.org/officeDocument/2006/relationships/hyperlink" Target="https://drive.google.com/open?id=1rdb15D0FMuqa6X3liuS5V4Xu43F_eua4" TargetMode="External"/><Relationship Id="rId1620" Type="http://schemas.openxmlformats.org/officeDocument/2006/relationships/hyperlink" Target="https://drive.google.com/open?id=1b0PqSvCngmk5DxrLEMRF602Hzlhkcg9V" TargetMode="External"/><Relationship Id="rId2951" Type="http://schemas.openxmlformats.org/officeDocument/2006/relationships/hyperlink" Target="https://drive.google.com/open?id=13n7yGRALTtb4Rt6N_UR0FUphnm87wsLY" TargetMode="External"/><Relationship Id="rId1621" Type="http://schemas.openxmlformats.org/officeDocument/2006/relationships/hyperlink" Target="https://drive.google.com/open?id=1fucuRh9LmBDRagzYrkMOjQAufmYIMb4S" TargetMode="External"/><Relationship Id="rId2952" Type="http://schemas.openxmlformats.org/officeDocument/2006/relationships/hyperlink" Target="https://drive.google.com/open?id=1AmkHdfbo-SEDwKYLCAYtC9kCKQYExl0T" TargetMode="External"/><Relationship Id="rId1622" Type="http://schemas.openxmlformats.org/officeDocument/2006/relationships/hyperlink" Target="https://drive.google.com/open?id=1rwRHCGgsi7a4AVZpX2392_HThzVzlhiY" TargetMode="External"/><Relationship Id="rId2953" Type="http://schemas.openxmlformats.org/officeDocument/2006/relationships/hyperlink" Target="https://drive.google.com/open?id=113kLhWwGAssrw0gaNVGlJjpULhEpIbl8" TargetMode="External"/><Relationship Id="rId1623" Type="http://schemas.openxmlformats.org/officeDocument/2006/relationships/hyperlink" Target="https://drive.google.com/open?id=1v6ZsThpzvl5bsZMpmPh_tEiekRe_xddC" TargetMode="External"/><Relationship Id="rId2954" Type="http://schemas.openxmlformats.org/officeDocument/2006/relationships/hyperlink" Target="https://drive.google.com/open?id=11sdFtJu-xupJrwH_vgJvSAEqORP2XPd9" TargetMode="External"/><Relationship Id="rId1624" Type="http://schemas.openxmlformats.org/officeDocument/2006/relationships/hyperlink" Target="https://drive.google.com/open?id=1jWu6FGsT0kNqMgjK3SXUGTx6fQd0IUzd" TargetMode="External"/><Relationship Id="rId2955" Type="http://schemas.openxmlformats.org/officeDocument/2006/relationships/hyperlink" Target="https://drive.google.com/open?id=1lvpqCxtL199HU5cYHARPQeYuY8WifHHo" TargetMode="External"/><Relationship Id="rId1625" Type="http://schemas.openxmlformats.org/officeDocument/2006/relationships/hyperlink" Target="https://drive.google.com/open?id=1E0PbLRMaivKwnuoLP0lVzR70pYa0DH-U" TargetMode="External"/><Relationship Id="rId2956" Type="http://schemas.openxmlformats.org/officeDocument/2006/relationships/hyperlink" Target="https://drive.google.com/open?id=1rBZaGciCaS-8Q9kA8vpHFgr6gRQD1fE1" TargetMode="External"/><Relationship Id="rId1626" Type="http://schemas.openxmlformats.org/officeDocument/2006/relationships/hyperlink" Target="https://drive.google.com/open?id=1nYQ79DQh2dlxutNIZ_A3FA8wEIUq1zYC" TargetMode="External"/><Relationship Id="rId2957" Type="http://schemas.openxmlformats.org/officeDocument/2006/relationships/hyperlink" Target="https://drive.google.com/open?id=1gWxekazy4E8717TgfIJuJ_KzDwP1y8bP" TargetMode="External"/><Relationship Id="rId1627" Type="http://schemas.openxmlformats.org/officeDocument/2006/relationships/hyperlink" Target="https://drive.google.com/open?id=1M2FC9eJKZYt3zUpw73-iFV4LzFupyXiN" TargetMode="External"/><Relationship Id="rId2958" Type="http://schemas.openxmlformats.org/officeDocument/2006/relationships/hyperlink" Target="https://drive.google.com/open?id=1AVuCdqJfvJcXL5yGgoMiB0JbrxexaiV6" TargetMode="External"/><Relationship Id="rId918" Type="http://schemas.openxmlformats.org/officeDocument/2006/relationships/hyperlink" Target="https://drive.google.com/open?id=1zAAQqVqmltMKrKF5Wa7TD_qHqxYVtI3B" TargetMode="External"/><Relationship Id="rId1628" Type="http://schemas.openxmlformats.org/officeDocument/2006/relationships/hyperlink" Target="https://drive.google.com/open?id=1gmswd0YRrf_1MIM-JvtMvOaKKkzZiWpl" TargetMode="External"/><Relationship Id="rId2959" Type="http://schemas.openxmlformats.org/officeDocument/2006/relationships/hyperlink" Target="https://drive.google.com/open?id=1IerwK-hdXvb2c8O3-GbhxOUcufSlwVvY" TargetMode="External"/><Relationship Id="rId917" Type="http://schemas.openxmlformats.org/officeDocument/2006/relationships/hyperlink" Target="https://drive.google.com/open?id=1dzlmHlSLhR94whknqGwrBL-QpSd-Tpat" TargetMode="External"/><Relationship Id="rId1629" Type="http://schemas.openxmlformats.org/officeDocument/2006/relationships/hyperlink" Target="https://drive.google.com/open?id=1448P-ysQxR5nUZEZ3kEcmzJGR74fbAVS" TargetMode="External"/><Relationship Id="rId916" Type="http://schemas.openxmlformats.org/officeDocument/2006/relationships/hyperlink" Target="https://drive.google.com/open?id=1isgU0t8ku7s1eNZ_nk2lPEnG5t65k5O3" TargetMode="External"/><Relationship Id="rId915" Type="http://schemas.openxmlformats.org/officeDocument/2006/relationships/hyperlink" Target="https://drive.google.com/open?id=1R40o6DvdBF0XeZnBsX5_VKJa6khVMIsh" TargetMode="External"/><Relationship Id="rId919" Type="http://schemas.openxmlformats.org/officeDocument/2006/relationships/hyperlink" Target="https://drive.google.com/open?id=1sulAXsBg1fVBHqKrGyW8rpxW8YtPus8_" TargetMode="External"/><Relationship Id="rId910" Type="http://schemas.openxmlformats.org/officeDocument/2006/relationships/hyperlink" Target="https://drive.google.com/open?id=1h-H2_KPdVJ9uTV3lWEIGm9rMGD339ZRJ" TargetMode="External"/><Relationship Id="rId914" Type="http://schemas.openxmlformats.org/officeDocument/2006/relationships/hyperlink" Target="https://drive.google.com/open?id=1nv3up55s3EZs-bYwSep4a7ipXWUk8CCb" TargetMode="External"/><Relationship Id="rId913" Type="http://schemas.openxmlformats.org/officeDocument/2006/relationships/hyperlink" Target="https://drive.google.com/open?id=1cweR6wvjfVvyq6P3eK_PJsUR9bC98McI" TargetMode="External"/><Relationship Id="rId912" Type="http://schemas.openxmlformats.org/officeDocument/2006/relationships/hyperlink" Target="https://drive.google.com/open?id=1esVBDpb-NEsPbd9gLQq9yB2VV2d8ivNF" TargetMode="External"/><Relationship Id="rId911" Type="http://schemas.openxmlformats.org/officeDocument/2006/relationships/hyperlink" Target="https://drive.google.com/open?id=1922AAKGLh1bN7OWDiWu3bZ0ZdO8gBbD0" TargetMode="External"/><Relationship Id="rId2950" Type="http://schemas.openxmlformats.org/officeDocument/2006/relationships/hyperlink" Target="https://drive.google.com/open?id=1q3ikZV2_5SSZ4mQcWAaTnPH0EJGNlbmA" TargetMode="External"/><Relationship Id="rId2900" Type="http://schemas.openxmlformats.org/officeDocument/2006/relationships/hyperlink" Target="https://drive.google.com/open?id=1Wg4XSwkPiOc6zxCGkwJIxoO-AQU60azZ" TargetMode="External"/><Relationship Id="rId2901" Type="http://schemas.openxmlformats.org/officeDocument/2006/relationships/hyperlink" Target="https://drive.google.com/open?id=1TpyOiikWKIGIPhWj010Vtt2fEWM8B_HW" TargetMode="External"/><Relationship Id="rId2902" Type="http://schemas.openxmlformats.org/officeDocument/2006/relationships/hyperlink" Target="https://drive.google.com/open?id=1m1pL4j1O2YFsC8JZIBxXyzu0_zRF81oP" TargetMode="External"/><Relationship Id="rId2903" Type="http://schemas.openxmlformats.org/officeDocument/2006/relationships/hyperlink" Target="https://drive.google.com/open?id=1cM2-1YOGgXIbQM7WKr12sSORigVC-LFt" TargetMode="External"/><Relationship Id="rId2904" Type="http://schemas.openxmlformats.org/officeDocument/2006/relationships/hyperlink" Target="https://drive.google.com/open?id=19U1aSc_xUEreUB3vTF8BHdlk08-ekK1v" TargetMode="External"/><Relationship Id="rId2905" Type="http://schemas.openxmlformats.org/officeDocument/2006/relationships/hyperlink" Target="https://drive.google.com/open?id=1rJtcRFZ91aZGQFMEeU_gdXTjo7x7TBXd" TargetMode="External"/><Relationship Id="rId2906" Type="http://schemas.openxmlformats.org/officeDocument/2006/relationships/hyperlink" Target="https://drive.google.com/open?id=1WSddeLITVz2pvhpvLV0DXWzXDsLT9ssU" TargetMode="External"/><Relationship Id="rId2907" Type="http://schemas.openxmlformats.org/officeDocument/2006/relationships/hyperlink" Target="https://drive.google.com/open?id=1g7pRlYhxcX68bfhYk0qiYUzgzz5RTEnB" TargetMode="External"/><Relationship Id="rId2908" Type="http://schemas.openxmlformats.org/officeDocument/2006/relationships/hyperlink" Target="https://drive.google.com/open?id=1iFdaeQWEfla4KlGNpUw65OQ1xCrdF9iW" TargetMode="External"/><Relationship Id="rId2909" Type="http://schemas.openxmlformats.org/officeDocument/2006/relationships/hyperlink" Target="https://drive.google.com/open?id=1xuCsuKFLamOtB3v_6Y4ACrTk-pvruSqp" TargetMode="External"/><Relationship Id="rId2920" Type="http://schemas.openxmlformats.org/officeDocument/2006/relationships/hyperlink" Target="https://drive.google.com/open?id=14YF8stvK7s7EVanICDNs1ljkP04OFTNW" TargetMode="External"/><Relationship Id="rId2921" Type="http://schemas.openxmlformats.org/officeDocument/2006/relationships/hyperlink" Target="https://drive.google.com/open?id=1LnYB0uZaXzTJ9UsTrZMkRPKKwd0xUBZ6" TargetMode="External"/><Relationship Id="rId2922" Type="http://schemas.openxmlformats.org/officeDocument/2006/relationships/hyperlink" Target="https://drive.google.com/open?id=1BG6YuxsUKOWAP5ZHEg68GMbzs00byuMn" TargetMode="External"/><Relationship Id="rId2923" Type="http://schemas.openxmlformats.org/officeDocument/2006/relationships/hyperlink" Target="https://drive.google.com/open?id=17O7c2eZKcsn6GtikgFqY_-2CtVHlb0sG" TargetMode="External"/><Relationship Id="rId2924" Type="http://schemas.openxmlformats.org/officeDocument/2006/relationships/hyperlink" Target="https://drive.google.com/open?id=1exHCi6sz8PZVRQ5yWNNLXa9Z9cQReCYM" TargetMode="External"/><Relationship Id="rId2925" Type="http://schemas.openxmlformats.org/officeDocument/2006/relationships/hyperlink" Target="https://drive.google.com/open?id=1jLMpV0785KGjWOigX51zaXMtGiphiFk9" TargetMode="External"/><Relationship Id="rId2926" Type="http://schemas.openxmlformats.org/officeDocument/2006/relationships/hyperlink" Target="https://drive.google.com/open?id=1KifG9ykfH_6ukYQbXqG4VOpDe6J-Ikkj" TargetMode="External"/><Relationship Id="rId2927" Type="http://schemas.openxmlformats.org/officeDocument/2006/relationships/hyperlink" Target="https://drive.google.com/open?id=1qmneq9vdbTKRLT6Y8lefN8mqG0d3AuU3" TargetMode="External"/><Relationship Id="rId2928" Type="http://schemas.openxmlformats.org/officeDocument/2006/relationships/hyperlink" Target="https://drive.google.com/open?id=18UwkFY6oHEx0ijGglIlBbTByNi-K872j" TargetMode="External"/><Relationship Id="rId2929" Type="http://schemas.openxmlformats.org/officeDocument/2006/relationships/hyperlink" Target="https://drive.google.com/open?id=1YEa7SaWBZvkqqc72uVBjdD2euOT1zQuq" TargetMode="External"/><Relationship Id="rId2910" Type="http://schemas.openxmlformats.org/officeDocument/2006/relationships/hyperlink" Target="https://drive.google.com/open?id=1yc-ZPcf4ctNDPHBiszUcBmPijCYPhrPf" TargetMode="External"/><Relationship Id="rId2911" Type="http://schemas.openxmlformats.org/officeDocument/2006/relationships/hyperlink" Target="https://drive.google.com/open?id=1rqP4BCgMLdWSw3aDrvvFG3qvS3w5Hpuw" TargetMode="External"/><Relationship Id="rId2912" Type="http://schemas.openxmlformats.org/officeDocument/2006/relationships/hyperlink" Target="https://drive.google.com/open?id=1ri6i1_hyJ8kc_-G2rOXIAbtN4cULm0U4" TargetMode="External"/><Relationship Id="rId2913" Type="http://schemas.openxmlformats.org/officeDocument/2006/relationships/hyperlink" Target="https://drive.google.com/open?id=1WyooMSzzwyIynuElVSIdSruYUA12v-jN" TargetMode="External"/><Relationship Id="rId2914" Type="http://schemas.openxmlformats.org/officeDocument/2006/relationships/hyperlink" Target="https://drive.google.com/open?id=11-cMTtNMnlJ7ztF6Bu5bmIuVZWmOysPF" TargetMode="External"/><Relationship Id="rId2915" Type="http://schemas.openxmlformats.org/officeDocument/2006/relationships/hyperlink" Target="https://drive.google.com/open?id=1qNlqFxRVtTNaGatZpsnbkRpZeJ8hhDWl" TargetMode="External"/><Relationship Id="rId2916" Type="http://schemas.openxmlformats.org/officeDocument/2006/relationships/hyperlink" Target="https://drive.google.com/open?id=1KbtjUfwIEgN5AFf3yARhDsmXmJYy9lhp" TargetMode="External"/><Relationship Id="rId2917" Type="http://schemas.openxmlformats.org/officeDocument/2006/relationships/hyperlink" Target="https://drive.google.com/open?id=1PTuWro8mvWsEuSyRjhWXr8BWx9G2rpG8" TargetMode="External"/><Relationship Id="rId2918" Type="http://schemas.openxmlformats.org/officeDocument/2006/relationships/hyperlink" Target="https://drive.google.com/open?id=18sTWAxcadkBK89jLkB84C6mm5JzwHvus" TargetMode="External"/><Relationship Id="rId2919" Type="http://schemas.openxmlformats.org/officeDocument/2006/relationships/hyperlink" Target="https://drive.google.com/open?id=1-hsf0gQwYyLI8xeKejZuK84FPQyCqh6e" TargetMode="External"/><Relationship Id="rId1697" Type="http://schemas.openxmlformats.org/officeDocument/2006/relationships/hyperlink" Target="https://drive.google.com/open?id=1YbxuXLt0Aa0fqHFarrsJXF75fBOFrb9J" TargetMode="External"/><Relationship Id="rId1698" Type="http://schemas.openxmlformats.org/officeDocument/2006/relationships/hyperlink" Target="https://drive.google.com/open?id=18TGY8Dov63fFPEJNK342H0AoNdtMX5GT" TargetMode="External"/><Relationship Id="rId1699" Type="http://schemas.openxmlformats.org/officeDocument/2006/relationships/hyperlink" Target="https://drive.google.com/open?id=1o4ormrRUn1KRlEnaLICubFtMq91iZw8v" TargetMode="External"/><Relationship Id="rId866" Type="http://schemas.openxmlformats.org/officeDocument/2006/relationships/hyperlink" Target="https://drive.google.com/open?id=1aKIqif3Nn_jJb5eeW6SJx8sht7IR-fTJ" TargetMode="External"/><Relationship Id="rId865" Type="http://schemas.openxmlformats.org/officeDocument/2006/relationships/hyperlink" Target="https://drive.google.com/open?id=148iX9ssoBC-m2_odBAJxkQV_oAIYZBIQ" TargetMode="External"/><Relationship Id="rId864" Type="http://schemas.openxmlformats.org/officeDocument/2006/relationships/hyperlink" Target="https://drive.google.com/open?id=1AqahX2fAc-Scu12NdmZ-1ORnYC5SJd_Y" TargetMode="External"/><Relationship Id="rId863" Type="http://schemas.openxmlformats.org/officeDocument/2006/relationships/hyperlink" Target="https://drive.google.com/open?id=1-fhSvKK55kCHrkPfsU4cZLTRx8fGm323" TargetMode="External"/><Relationship Id="rId869" Type="http://schemas.openxmlformats.org/officeDocument/2006/relationships/hyperlink" Target="https://drive.google.com/open?id=1nW3hWUlILOVC37UO-0qk-asfBAKuAVmL" TargetMode="External"/><Relationship Id="rId868" Type="http://schemas.openxmlformats.org/officeDocument/2006/relationships/hyperlink" Target="https://drive.google.com/open?id=1gxdYmc8I7BSyRTm0jRQWKt9Li75TK4WV" TargetMode="External"/><Relationship Id="rId867" Type="http://schemas.openxmlformats.org/officeDocument/2006/relationships/hyperlink" Target="https://drive.google.com/open?id=1mobVcxeIk_n9FuqSR74vejBpS-JL2uj0" TargetMode="External"/><Relationship Id="rId1690" Type="http://schemas.openxmlformats.org/officeDocument/2006/relationships/hyperlink" Target="https://drive.google.com/open?id=1B8lPEOz-uvUj4BrjxzhABAxa0r7rvaaV" TargetMode="External"/><Relationship Id="rId1691" Type="http://schemas.openxmlformats.org/officeDocument/2006/relationships/hyperlink" Target="https://drive.google.com/open?id=1ZIAi6TtQ2jm9uiGJsCTZvpf_La07YMWq" TargetMode="External"/><Relationship Id="rId1692" Type="http://schemas.openxmlformats.org/officeDocument/2006/relationships/hyperlink" Target="https://drive.google.com/open?id=1GdLGiH8XY56KXAjO0Y6NomLRzY_2Hy1a" TargetMode="External"/><Relationship Id="rId862" Type="http://schemas.openxmlformats.org/officeDocument/2006/relationships/hyperlink" Target="https://drive.google.com/open?id=1UG_fQR7pYUXLe8sX39JRXKYbQvSBYMwT" TargetMode="External"/><Relationship Id="rId1693" Type="http://schemas.openxmlformats.org/officeDocument/2006/relationships/hyperlink" Target="https://drive.google.com/open?id=1eLAZY8VCMyooR0bQMqgvQixf4G1SV2Hv" TargetMode="External"/><Relationship Id="rId861" Type="http://schemas.openxmlformats.org/officeDocument/2006/relationships/hyperlink" Target="https://drive.google.com/open?id=11KGenJruY-ghzSulN_yyRYlYVnSTDHIC" TargetMode="External"/><Relationship Id="rId1694" Type="http://schemas.openxmlformats.org/officeDocument/2006/relationships/hyperlink" Target="https://drive.google.com/open?id=1y6ZzhKgCBBteJERiye54ISOAMZy57U0v" TargetMode="External"/><Relationship Id="rId860" Type="http://schemas.openxmlformats.org/officeDocument/2006/relationships/hyperlink" Target="https://drive.google.com/open?id=1XlT3PwcpOsBC_nrmHfuOU_HVbiHlqfIH" TargetMode="External"/><Relationship Id="rId1695" Type="http://schemas.openxmlformats.org/officeDocument/2006/relationships/hyperlink" Target="https://drive.google.com/open?id=19G3ZCrdC-Cav6B-KpqduDCRnCTozkXqH" TargetMode="External"/><Relationship Id="rId1696" Type="http://schemas.openxmlformats.org/officeDocument/2006/relationships/hyperlink" Target="https://drive.google.com/open?id=1-EDnJn41GC-JMqtj2ZNZ29r7DiaB4PEw" TargetMode="External"/><Relationship Id="rId1686" Type="http://schemas.openxmlformats.org/officeDocument/2006/relationships/hyperlink" Target="https://drive.google.com/open?id=1CCN62_QLAG8zV9RcFo9_JOlXcs7-1wbu" TargetMode="External"/><Relationship Id="rId1687" Type="http://schemas.openxmlformats.org/officeDocument/2006/relationships/hyperlink" Target="https://drive.google.com/open?id=1vlDsl9lkFn-tc5F88CNMtmds1H9SmQ5i" TargetMode="External"/><Relationship Id="rId1688" Type="http://schemas.openxmlformats.org/officeDocument/2006/relationships/hyperlink" Target="https://drive.google.com/open?id=17sIw7nPBxi7Wq8bJ8csCIlC3XoN2PhWp" TargetMode="External"/><Relationship Id="rId1689" Type="http://schemas.openxmlformats.org/officeDocument/2006/relationships/hyperlink" Target="https://drive.google.com/open?id=1g2UVtlxu4wrfJPa4pQPUx09ZtpnvZoLM" TargetMode="External"/><Relationship Id="rId855" Type="http://schemas.openxmlformats.org/officeDocument/2006/relationships/hyperlink" Target="https://drive.google.com/open?id=1JMfylOZGJ-zqDmZGTBcpG-WZPFGax2bo" TargetMode="External"/><Relationship Id="rId854" Type="http://schemas.openxmlformats.org/officeDocument/2006/relationships/hyperlink" Target="https://drive.google.com/open?id=1uASMJUfgbr-IUMdzm4f00YdbJjZwyAgd" TargetMode="External"/><Relationship Id="rId853" Type="http://schemas.openxmlformats.org/officeDocument/2006/relationships/hyperlink" Target="https://drive.google.com/open?id=1ajOk7L9uYA-yLNCRzPeFlv8k99f43OIv" TargetMode="External"/><Relationship Id="rId852" Type="http://schemas.openxmlformats.org/officeDocument/2006/relationships/hyperlink" Target="https://drive.google.com/open?id=11HqUeakzGn02B1twOKW2ix4L9DIVhWmt" TargetMode="External"/><Relationship Id="rId859" Type="http://schemas.openxmlformats.org/officeDocument/2006/relationships/hyperlink" Target="https://drive.google.com/open?id=1j4Xfbn2dlOu_aYmR0Y3wRb-u65ssyPWp" TargetMode="External"/><Relationship Id="rId858" Type="http://schemas.openxmlformats.org/officeDocument/2006/relationships/hyperlink" Target="https://drive.google.com/open?id=12y-VYRzQcLKR-r3kzGtuu0GjDsN85qGp" TargetMode="External"/><Relationship Id="rId857" Type="http://schemas.openxmlformats.org/officeDocument/2006/relationships/hyperlink" Target="https://drive.google.com/open?id=18fYYwPHs6UXBfvwroHSOd7XQpv4sSfzG" TargetMode="External"/><Relationship Id="rId856" Type="http://schemas.openxmlformats.org/officeDocument/2006/relationships/hyperlink" Target="https://drive.google.com/open?id=1wlUoXhJRnqyv1mgoYLdEEpm1J5-Q01wm" TargetMode="External"/><Relationship Id="rId1680" Type="http://schemas.openxmlformats.org/officeDocument/2006/relationships/hyperlink" Target="https://drive.google.com/open?id=1c10cqplsvNJSdPyb1PufB48R-H8CSa2f" TargetMode="External"/><Relationship Id="rId1681" Type="http://schemas.openxmlformats.org/officeDocument/2006/relationships/hyperlink" Target="https://drive.google.com/open?id=1_X-GlNJZNKhJS8uyyN3vz3jAqGsCPnSW" TargetMode="External"/><Relationship Id="rId851" Type="http://schemas.openxmlformats.org/officeDocument/2006/relationships/hyperlink" Target="https://drive.google.com/open?id=1UedRPpIIYbNA4XQBCePS-36Lf5Ze7Cpd" TargetMode="External"/><Relationship Id="rId1682" Type="http://schemas.openxmlformats.org/officeDocument/2006/relationships/hyperlink" Target="https://drive.google.com/open?id=1kN3GPPKaOxk1LDRTjuIFZbvR9-hMdj0i" TargetMode="External"/><Relationship Id="rId850" Type="http://schemas.openxmlformats.org/officeDocument/2006/relationships/hyperlink" Target="https://drive.google.com/open?id=1mM4_n2gXLiSxygQeb38yc11nF_PWbuOV" TargetMode="External"/><Relationship Id="rId1683" Type="http://schemas.openxmlformats.org/officeDocument/2006/relationships/hyperlink" Target="https://drive.google.com/open?id=1sF9RduVk29XwHyNFGrM2ukoeHQMQDXEP" TargetMode="External"/><Relationship Id="rId1684" Type="http://schemas.openxmlformats.org/officeDocument/2006/relationships/hyperlink" Target="https://drive.google.com/open?id=10ELvQKh1qcg9gOlBGIjeIPx_kf4PvghV" TargetMode="External"/><Relationship Id="rId1685" Type="http://schemas.openxmlformats.org/officeDocument/2006/relationships/hyperlink" Target="https://drive.google.com/open?id=120OmJxbcyBjB_b6cC3kabhoTbxiu6WWE" TargetMode="External"/><Relationship Id="rId3414" Type="http://schemas.openxmlformats.org/officeDocument/2006/relationships/hyperlink" Target="https://drive.google.com/open?id=1gZhXF5kXviC3ix2qgv6aVl2LiG6Ox9kQ" TargetMode="External"/><Relationship Id="rId3413" Type="http://schemas.openxmlformats.org/officeDocument/2006/relationships/hyperlink" Target="https://drive.google.com/open?id=1V1-rs9jxjCHBkVO023dmAOxfUCQZL09R" TargetMode="External"/><Relationship Id="rId3416" Type="http://schemas.openxmlformats.org/officeDocument/2006/relationships/hyperlink" Target="https://drive.google.com/open?id=1BjoD4jm9es_1kh2dubvYFxrAxYWBdTPM" TargetMode="External"/><Relationship Id="rId3415" Type="http://schemas.openxmlformats.org/officeDocument/2006/relationships/hyperlink" Target="https://drive.google.com/open?id=1i-OsufVnv43AjpwhegrCm5C7LkMt5b0C" TargetMode="External"/><Relationship Id="rId3418" Type="http://schemas.openxmlformats.org/officeDocument/2006/relationships/hyperlink" Target="https://drive.google.com/open?id=1VpLCvyUFyMYvKiFp5Pe5O80g7XHkeVyC" TargetMode="External"/><Relationship Id="rId3417" Type="http://schemas.openxmlformats.org/officeDocument/2006/relationships/hyperlink" Target="https://drive.google.com/open?id=1jEBy2Sa_IqghO3b61813XskM56Rj0lcR" TargetMode="External"/><Relationship Id="rId3419" Type="http://schemas.openxmlformats.org/officeDocument/2006/relationships/hyperlink" Target="https://drive.google.com/open?id=18MnmtjtZnDbpJnPqKYdbESg-3w8f9IL0" TargetMode="External"/><Relationship Id="rId888" Type="http://schemas.openxmlformats.org/officeDocument/2006/relationships/hyperlink" Target="https://drive.google.com/open?id=1WlVbmHcOFQ4SG01fKFpfjYTf3s6ofCww" TargetMode="External"/><Relationship Id="rId887" Type="http://schemas.openxmlformats.org/officeDocument/2006/relationships/hyperlink" Target="https://drive.google.com/open?id=14QZCS4LyaGul-AtHRnvxoxpXgP1meXfY" TargetMode="External"/><Relationship Id="rId886" Type="http://schemas.openxmlformats.org/officeDocument/2006/relationships/hyperlink" Target="https://drive.google.com/open?id=13ygDh5fQBYDYRKq0CzAoML_O2EwQ6SEI" TargetMode="External"/><Relationship Id="rId885" Type="http://schemas.openxmlformats.org/officeDocument/2006/relationships/hyperlink" Target="https://drive.google.com/open?id=1_Tke0TzCuV23olTwm1ZM-3nBxnRRuKrE" TargetMode="External"/><Relationship Id="rId889" Type="http://schemas.openxmlformats.org/officeDocument/2006/relationships/hyperlink" Target="https://drive.google.com/open?id=1QiOmW2avhoU3CNlhd8-hRUrvV6W9pDj2" TargetMode="External"/><Relationship Id="rId880" Type="http://schemas.openxmlformats.org/officeDocument/2006/relationships/hyperlink" Target="https://drive.google.com/open?id=1X9qqT5qOIRfgUfeJaCj07LfjbKzAJrfE" TargetMode="External"/><Relationship Id="rId884" Type="http://schemas.openxmlformats.org/officeDocument/2006/relationships/hyperlink" Target="https://drive.google.com/open?id=1yO-M85ILrcqEvc4BOaOxZpIQ8XPYg12O" TargetMode="External"/><Relationship Id="rId3410" Type="http://schemas.openxmlformats.org/officeDocument/2006/relationships/hyperlink" Target="https://drive.google.com/open?id=16GmRw12pfcwVKd8egTcgoSw8nKp-dSp_" TargetMode="External"/><Relationship Id="rId883" Type="http://schemas.openxmlformats.org/officeDocument/2006/relationships/hyperlink" Target="https://drive.google.com/open?id=1YTsOfzvomucyD6OzTvPpstVpZy-Bd6gF" TargetMode="External"/><Relationship Id="rId882" Type="http://schemas.openxmlformats.org/officeDocument/2006/relationships/hyperlink" Target="https://drive.google.com/open?id=1v-DuUi3K8sdbJseMbyZfIgJR_onUJfLp" TargetMode="External"/><Relationship Id="rId3412" Type="http://schemas.openxmlformats.org/officeDocument/2006/relationships/hyperlink" Target="https://drive.google.com/open?id=1bawSjEeTpFIDeQ2G4_8Qm_m-9stXcQ6f" TargetMode="External"/><Relationship Id="rId881" Type="http://schemas.openxmlformats.org/officeDocument/2006/relationships/hyperlink" Target="https://drive.google.com/open?id=1ZxgXj3sSyGTffgdZfHd44YxiOKit6p4v" TargetMode="External"/><Relationship Id="rId3411" Type="http://schemas.openxmlformats.org/officeDocument/2006/relationships/hyperlink" Target="https://drive.google.com/open?id=1OH2fHR2i8BZhQGlWa_UDkjceeiwfjWN4" TargetMode="External"/><Relationship Id="rId3403" Type="http://schemas.openxmlformats.org/officeDocument/2006/relationships/hyperlink" Target="https://drive.google.com/open?id=1lQrdRmApi1QS3rtNi_o4TXBLnk3cxP-a" TargetMode="External"/><Relationship Id="rId3402" Type="http://schemas.openxmlformats.org/officeDocument/2006/relationships/hyperlink" Target="https://drive.google.com/open?id=1tj8t17xUCLRMsVM4YQQghGkV2Ds3eXy2" TargetMode="External"/><Relationship Id="rId3405" Type="http://schemas.openxmlformats.org/officeDocument/2006/relationships/hyperlink" Target="https://drive.google.com/open?id=1vCd4jtN4UKGO-7f6UO6PzGL3v9zQPowm" TargetMode="External"/><Relationship Id="rId3404" Type="http://schemas.openxmlformats.org/officeDocument/2006/relationships/hyperlink" Target="https://drive.google.com/open?id=1vl_tmCVVSdVPR_vAvt_CvlgkOHpBrk3l" TargetMode="External"/><Relationship Id="rId3407" Type="http://schemas.openxmlformats.org/officeDocument/2006/relationships/hyperlink" Target="https://drive.google.com/open?id=1LGDneK7LRyskaNMbm9eaQ2yJHt-6NbNZ" TargetMode="External"/><Relationship Id="rId3406" Type="http://schemas.openxmlformats.org/officeDocument/2006/relationships/hyperlink" Target="https://drive.google.com/open?id=1LYslNvj9nNnoz1YNOf4v76moeb8-0Iu0" TargetMode="External"/><Relationship Id="rId3409" Type="http://schemas.openxmlformats.org/officeDocument/2006/relationships/hyperlink" Target="https://drive.google.com/open?id=1GWyzBv-b6MKcpCwrWYs10aFhl677D_t6" TargetMode="External"/><Relationship Id="rId3408" Type="http://schemas.openxmlformats.org/officeDocument/2006/relationships/hyperlink" Target="https://drive.google.com/open?id=1zmpUgdJt3m_SrS5mC28THvyX8LJUF9fj" TargetMode="External"/><Relationship Id="rId877" Type="http://schemas.openxmlformats.org/officeDocument/2006/relationships/hyperlink" Target="https://drive.google.com/open?id=1D28dAq13c0JQDbFVWHEtA6uhnR50xI7q" TargetMode="External"/><Relationship Id="rId876" Type="http://schemas.openxmlformats.org/officeDocument/2006/relationships/hyperlink" Target="https://drive.google.com/open?id=1eqtrT_xw82qc1UPxYN1tVUbHl_N7NGXh" TargetMode="External"/><Relationship Id="rId875" Type="http://schemas.openxmlformats.org/officeDocument/2006/relationships/hyperlink" Target="https://drive.google.com/open?id=1vaQrJFzZ76uNe2_5BIzj08DQkjNjdGkC" TargetMode="External"/><Relationship Id="rId874" Type="http://schemas.openxmlformats.org/officeDocument/2006/relationships/hyperlink" Target="https://drive.google.com/open?id=14mprp7MRajE965UE5eQlqxb0XW6nxhWr" TargetMode="External"/><Relationship Id="rId879" Type="http://schemas.openxmlformats.org/officeDocument/2006/relationships/hyperlink" Target="https://drive.google.com/open?id=1Y4VeBK72LRvQRN3Q4U_qOl04Ec9cY31r" TargetMode="External"/><Relationship Id="rId878" Type="http://schemas.openxmlformats.org/officeDocument/2006/relationships/hyperlink" Target="https://drive.google.com/open?id=15T7x5McJqWMG6BnBBaOk7jjABe_JsA7K" TargetMode="External"/><Relationship Id="rId873" Type="http://schemas.openxmlformats.org/officeDocument/2006/relationships/hyperlink" Target="https://drive.google.com/open?id=17Y0ACl_54kH8vKz_sxplgOqAdQ9eSYZ7" TargetMode="External"/><Relationship Id="rId872" Type="http://schemas.openxmlformats.org/officeDocument/2006/relationships/hyperlink" Target="https://drive.google.com/open?id=16NYoj-M4IO4Mb_r7plG3rNPWqLn_Y52t" TargetMode="External"/><Relationship Id="rId871" Type="http://schemas.openxmlformats.org/officeDocument/2006/relationships/hyperlink" Target="https://drive.google.com/open?id=1uN-NrQ-Om-up_eZRzGM75A-q_RDigGBr" TargetMode="External"/><Relationship Id="rId3401" Type="http://schemas.openxmlformats.org/officeDocument/2006/relationships/hyperlink" Target="https://drive.google.com/open?id=1RKFBK1t4pezlGaP7q0GOJCMMuh3YaPZc" TargetMode="External"/><Relationship Id="rId870" Type="http://schemas.openxmlformats.org/officeDocument/2006/relationships/hyperlink" Target="https://drive.google.com/open?id=1bJYPJ5C390qBTlKAWwG0zGPPaZJPIHBI" TargetMode="External"/><Relationship Id="rId3400" Type="http://schemas.openxmlformats.org/officeDocument/2006/relationships/hyperlink" Target="https://drive.google.com/open?id=1GFVDheqx9p-Sn9uXDD0YUqvo0_Pdj7hh" TargetMode="External"/><Relationship Id="rId1653" Type="http://schemas.openxmlformats.org/officeDocument/2006/relationships/hyperlink" Target="https://drive.google.com/open?id=1_ncDVU5Rb2BTPiR9C4m4ivLTEN3Qz5a3" TargetMode="External"/><Relationship Id="rId2984" Type="http://schemas.openxmlformats.org/officeDocument/2006/relationships/hyperlink" Target="https://drive.google.com/open?id=1jwziCuAZfmX_rrXRKGQpVQ5QZCG2aVmW" TargetMode="External"/><Relationship Id="rId1654" Type="http://schemas.openxmlformats.org/officeDocument/2006/relationships/hyperlink" Target="https://drive.google.com/open?id=1J0opv_zt3fHdYrS4NBGacW20-qP9SIWb" TargetMode="External"/><Relationship Id="rId2985" Type="http://schemas.openxmlformats.org/officeDocument/2006/relationships/hyperlink" Target="https://drive.google.com/open?id=1Q1_hubkflL0a-0UWqbItl6xQPpiFfhS_" TargetMode="External"/><Relationship Id="rId1655" Type="http://schemas.openxmlformats.org/officeDocument/2006/relationships/hyperlink" Target="https://drive.google.com/open?id=1zQwoayIeezR4SMkADlODrnmqF2LQMVeZ" TargetMode="External"/><Relationship Id="rId2986" Type="http://schemas.openxmlformats.org/officeDocument/2006/relationships/hyperlink" Target="https://drive.google.com/open?id=1xlRRb7Mjeywye-l3Rp1kPdx7YrGeRCWd" TargetMode="External"/><Relationship Id="rId1656" Type="http://schemas.openxmlformats.org/officeDocument/2006/relationships/hyperlink" Target="https://drive.google.com/open?id=1PwFyqqhfrpQQQMkq1CBoOqDks34gzfQo" TargetMode="External"/><Relationship Id="rId2987" Type="http://schemas.openxmlformats.org/officeDocument/2006/relationships/hyperlink" Target="https://drive.google.com/open?id=1i7cwjhypm09eYzq8VwsfG-Je6Fg4jHf-" TargetMode="External"/><Relationship Id="rId1657" Type="http://schemas.openxmlformats.org/officeDocument/2006/relationships/hyperlink" Target="https://drive.google.com/open?id=1tefO5GiBNgzEaOI4i4xWZe8imwBPw6AW" TargetMode="External"/><Relationship Id="rId2988" Type="http://schemas.openxmlformats.org/officeDocument/2006/relationships/hyperlink" Target="https://drive.google.com/open?id=1VjeeF9nGRbq1Hn-gF_t0yeCgfR_u-eUh" TargetMode="External"/><Relationship Id="rId1658" Type="http://schemas.openxmlformats.org/officeDocument/2006/relationships/hyperlink" Target="https://drive.google.com/open?id=1n-362-xGXnDUZsehBJWx4nqyzG0ABOC-" TargetMode="External"/><Relationship Id="rId2989" Type="http://schemas.openxmlformats.org/officeDocument/2006/relationships/hyperlink" Target="https://drive.google.com/open?id=17pBHsxh4tEThuAra4y5XUAWmRDJ9JUhQ" TargetMode="External"/><Relationship Id="rId1659" Type="http://schemas.openxmlformats.org/officeDocument/2006/relationships/hyperlink" Target="https://drive.google.com/open?id=1xazoNGN9PmvNyjjZIEUjCeVT3NfFF9tr" TargetMode="External"/><Relationship Id="rId829" Type="http://schemas.openxmlformats.org/officeDocument/2006/relationships/hyperlink" Target="https://drive.google.com/open?id=1bQZErnWhyRnwww_LZiZhcdnINwiBQ9HN" TargetMode="External"/><Relationship Id="rId828" Type="http://schemas.openxmlformats.org/officeDocument/2006/relationships/hyperlink" Target="https://drive.google.com/open?id=1QniKfcVjyCKmvD4JSJp-Q7a7pFLJ7O9_" TargetMode="External"/><Relationship Id="rId827" Type="http://schemas.openxmlformats.org/officeDocument/2006/relationships/hyperlink" Target="https://drive.google.com/open?id=1H6B948REwdq7tYeR6BqdKU59AEeNM7ke" TargetMode="External"/><Relationship Id="rId822" Type="http://schemas.openxmlformats.org/officeDocument/2006/relationships/hyperlink" Target="https://drive.google.com/open?id=1tc9ydpD7pzC_O7l5u1WM1JIifOEVu3bx" TargetMode="External"/><Relationship Id="rId821" Type="http://schemas.openxmlformats.org/officeDocument/2006/relationships/hyperlink" Target="https://drive.google.com/open?id=1DtAO9Aro8tLy94ugJv3-4FoX0bXvodBn" TargetMode="External"/><Relationship Id="rId820" Type="http://schemas.openxmlformats.org/officeDocument/2006/relationships/hyperlink" Target="https://drive.google.com/open?id=1-nlUB_J67JQDULB8oZVd7GREGMkI0DqU" TargetMode="External"/><Relationship Id="rId826" Type="http://schemas.openxmlformats.org/officeDocument/2006/relationships/hyperlink" Target="https://drive.google.com/open?id=16rdNMEziuu8d9wdV5bDUUnkJAYLvolom" TargetMode="External"/><Relationship Id="rId825" Type="http://schemas.openxmlformats.org/officeDocument/2006/relationships/hyperlink" Target="https://drive.google.com/open?id=130Cu6Mbj8XHSSQDNUDNFMH0F5fLQFRA0" TargetMode="External"/><Relationship Id="rId824" Type="http://schemas.openxmlformats.org/officeDocument/2006/relationships/hyperlink" Target="https://drive.google.com/open?id=1hnFtUsldjbnDL5H3uHdLN3TpL0YKJpMx" TargetMode="External"/><Relationship Id="rId823" Type="http://schemas.openxmlformats.org/officeDocument/2006/relationships/hyperlink" Target="https://drive.google.com/open?id=1T6KiYqYUDXST-KozhWb_umlbbKllvKM8" TargetMode="External"/><Relationship Id="rId2980" Type="http://schemas.openxmlformats.org/officeDocument/2006/relationships/hyperlink" Target="https://drive.google.com/open?id=1h7AbQZGSQV-QNMJaq0cf2I1IaAu1aRJy" TargetMode="External"/><Relationship Id="rId1650" Type="http://schemas.openxmlformats.org/officeDocument/2006/relationships/hyperlink" Target="https://drive.google.com/open?id=1sMba5vpGabqVN2WoZogh87zi4Q-dhQNT" TargetMode="External"/><Relationship Id="rId2981" Type="http://schemas.openxmlformats.org/officeDocument/2006/relationships/hyperlink" Target="https://drive.google.com/open?id=1dVYB9WI-eUbA0hwN5AZVVJwqQsbKVyeK" TargetMode="External"/><Relationship Id="rId1651" Type="http://schemas.openxmlformats.org/officeDocument/2006/relationships/hyperlink" Target="https://drive.google.com/open?id=13cIWgaCSuilsAHZb1Kq4dOYwfN8x3sCa" TargetMode="External"/><Relationship Id="rId2982" Type="http://schemas.openxmlformats.org/officeDocument/2006/relationships/hyperlink" Target="https://drive.google.com/open?id=1ie1de0p6ZPGHnr46oIG6JaQ_d0cdhctS" TargetMode="External"/><Relationship Id="rId1652" Type="http://schemas.openxmlformats.org/officeDocument/2006/relationships/hyperlink" Target="https://drive.google.com/open?id=1knuX-JybSJh83V4xR0wP_YWRmvXdoDwy" TargetMode="External"/><Relationship Id="rId2983" Type="http://schemas.openxmlformats.org/officeDocument/2006/relationships/hyperlink" Target="https://drive.google.com/open?id=1sRTsNKy_HBho8hD9HI9fghALEGlojxY0" TargetMode="External"/><Relationship Id="rId1642" Type="http://schemas.openxmlformats.org/officeDocument/2006/relationships/hyperlink" Target="https://drive.google.com/open?id=1TXGANObH9wQoA5dSvy3mF8lXHmSxcHeW" TargetMode="External"/><Relationship Id="rId2973" Type="http://schemas.openxmlformats.org/officeDocument/2006/relationships/hyperlink" Target="https://drive.google.com/open?id=1HYxeKgVsW0N9RS40lPUtPSqu0q5gaLL2" TargetMode="External"/><Relationship Id="rId1643" Type="http://schemas.openxmlformats.org/officeDocument/2006/relationships/hyperlink" Target="https://drive.google.com/open?id=1lm591u03_3JULs_gdcxgpbMYje3SROJd" TargetMode="External"/><Relationship Id="rId2974" Type="http://schemas.openxmlformats.org/officeDocument/2006/relationships/hyperlink" Target="https://drive.google.com/open?id=1hABjKP_wrIRja-IfnPoyvUUGRGqhJff2" TargetMode="External"/><Relationship Id="rId1644" Type="http://schemas.openxmlformats.org/officeDocument/2006/relationships/hyperlink" Target="https://drive.google.com/open?id=1foDkfxnfNx2rIBLFCxlpRFfWWMZZIYJl" TargetMode="External"/><Relationship Id="rId2975" Type="http://schemas.openxmlformats.org/officeDocument/2006/relationships/hyperlink" Target="https://drive.google.com/open?id=1D_V50w31HWNudbBVZFWKqyrfnuBD000f" TargetMode="External"/><Relationship Id="rId1645" Type="http://schemas.openxmlformats.org/officeDocument/2006/relationships/hyperlink" Target="https://drive.google.com/open?id=1IzUJz-HxSf3vpV834oRY92Bd1emalEth" TargetMode="External"/><Relationship Id="rId2976" Type="http://schemas.openxmlformats.org/officeDocument/2006/relationships/hyperlink" Target="https://drive.google.com/open?id=19yY4Pg9e3ZoqVSiBs1NItW9RzUo44hfC" TargetMode="External"/><Relationship Id="rId1646" Type="http://schemas.openxmlformats.org/officeDocument/2006/relationships/hyperlink" Target="https://drive.google.com/open?id=1mY-lj2JgAsMZfSJHNAqi53Lvg8R5ELOp" TargetMode="External"/><Relationship Id="rId2977" Type="http://schemas.openxmlformats.org/officeDocument/2006/relationships/hyperlink" Target="https://drive.google.com/open?id=1gcLsVaK2nZWBfumVXTSM4qojqEtq36Ng" TargetMode="External"/><Relationship Id="rId1647" Type="http://schemas.openxmlformats.org/officeDocument/2006/relationships/hyperlink" Target="https://drive.google.com/open?id=19gzjcEXW8XQUbhODi91JFhQh8qyppbwA" TargetMode="External"/><Relationship Id="rId2978" Type="http://schemas.openxmlformats.org/officeDocument/2006/relationships/hyperlink" Target="https://drive.google.com/open?id=1Yp3-pQV2_ZofKiSd3jGden_31SQn0YX9" TargetMode="External"/><Relationship Id="rId1648" Type="http://schemas.openxmlformats.org/officeDocument/2006/relationships/hyperlink" Target="https://drive.google.com/open?id=1IKTW_nIelz4-TN-OrhFCl5ATQqoXT6I_" TargetMode="External"/><Relationship Id="rId2979" Type="http://schemas.openxmlformats.org/officeDocument/2006/relationships/hyperlink" Target="https://drive.google.com/open?id=1tRkxGSBSYn9Kq7BAFqzXZtc9KC8MNJ8Q" TargetMode="External"/><Relationship Id="rId1649" Type="http://schemas.openxmlformats.org/officeDocument/2006/relationships/hyperlink" Target="https://drive.google.com/open?id=1MoQMabnqTMBF9jOmZVt8njxAAcNkBVQF" TargetMode="External"/><Relationship Id="rId819" Type="http://schemas.openxmlformats.org/officeDocument/2006/relationships/hyperlink" Target="https://drive.google.com/open?id=1A5GYe0r-FG2qafqPGdMePLnUNMtqnkJf" TargetMode="External"/><Relationship Id="rId818" Type="http://schemas.openxmlformats.org/officeDocument/2006/relationships/hyperlink" Target="https://drive.google.com/open?id=1Kxd11VjEDoIkwaE95rd5ti8Cd3BvIuol" TargetMode="External"/><Relationship Id="rId817" Type="http://schemas.openxmlformats.org/officeDocument/2006/relationships/hyperlink" Target="https://drive.google.com/open?id=1lDaTMWBUy-utNY_3rF-mCKmilug-uQhv" TargetMode="External"/><Relationship Id="rId816" Type="http://schemas.openxmlformats.org/officeDocument/2006/relationships/hyperlink" Target="https://drive.google.com/open?id=1MHkeYF0Y_Xhf_S9YsceWXND40BLhSeC4" TargetMode="External"/><Relationship Id="rId811" Type="http://schemas.openxmlformats.org/officeDocument/2006/relationships/hyperlink" Target="https://drive.google.com/open?id=1cZZnV2Rk9Fh6tUugcgkRWNvOP3P-zIVI" TargetMode="External"/><Relationship Id="rId810" Type="http://schemas.openxmlformats.org/officeDocument/2006/relationships/hyperlink" Target="https://drive.google.com/open?id=1H2RwVnpfee31SKYomjRPApkjOehKf8pE" TargetMode="External"/><Relationship Id="rId815" Type="http://schemas.openxmlformats.org/officeDocument/2006/relationships/hyperlink" Target="https://drive.google.com/open?id=124hvyQZZMwrwShluAfNDs3lldMfoAeZE" TargetMode="External"/><Relationship Id="rId814" Type="http://schemas.openxmlformats.org/officeDocument/2006/relationships/hyperlink" Target="https://drive.google.com/open?id=1Db87fViP48ijpNlbUusNDuQ5mEuUjYUj" TargetMode="External"/><Relationship Id="rId813" Type="http://schemas.openxmlformats.org/officeDocument/2006/relationships/hyperlink" Target="https://drive.google.com/open?id=1-eCwGODvcL1QlkyaDNVtgo51M70XkbbM" TargetMode="External"/><Relationship Id="rId812" Type="http://schemas.openxmlformats.org/officeDocument/2006/relationships/hyperlink" Target="https://drive.google.com/open?id=1hFpbN_YkeXFcs2ch-bvwlWcFj_YV6uHE" TargetMode="External"/><Relationship Id="rId2970" Type="http://schemas.openxmlformats.org/officeDocument/2006/relationships/hyperlink" Target="https://drive.google.com/open?id=1RgideEfL3tE-p1auudNg1AufTz-E2wJf" TargetMode="External"/><Relationship Id="rId1640" Type="http://schemas.openxmlformats.org/officeDocument/2006/relationships/hyperlink" Target="https://drive.google.com/open?id=1Bsm19sPHFVKgUuymGOPr46AylrjFFOr1" TargetMode="External"/><Relationship Id="rId2971" Type="http://schemas.openxmlformats.org/officeDocument/2006/relationships/hyperlink" Target="https://drive.google.com/open?id=1NFAtk9BS9W56qPbnKQkM1mEubFYwkPh0" TargetMode="External"/><Relationship Id="rId1641" Type="http://schemas.openxmlformats.org/officeDocument/2006/relationships/hyperlink" Target="https://drive.google.com/open?id=1mhGfv_5OYeP5VeGCBlABmZRnxn2i02UX" TargetMode="External"/><Relationship Id="rId2972" Type="http://schemas.openxmlformats.org/officeDocument/2006/relationships/hyperlink" Target="https://drive.google.com/open?id=1__-fex3MVWrNvkoPL9n0ufh2EqhCO0l0" TargetMode="External"/><Relationship Id="rId1675" Type="http://schemas.openxmlformats.org/officeDocument/2006/relationships/hyperlink" Target="https://drive.google.com/open?id=1mqmZ6yTcA-HAIiyOK1mR6JFo2r8Jwyr3" TargetMode="External"/><Relationship Id="rId1676" Type="http://schemas.openxmlformats.org/officeDocument/2006/relationships/hyperlink" Target="https://drive.google.com/open?id=1CV2-Cm8dqDTJnKak7EoLMmRL-yifJEkg" TargetMode="External"/><Relationship Id="rId1677" Type="http://schemas.openxmlformats.org/officeDocument/2006/relationships/hyperlink" Target="https://drive.google.com/open?id=1eyFzVbNW0UtHB6aFT5Y8sYacnUb5C17c" TargetMode="External"/><Relationship Id="rId1678" Type="http://schemas.openxmlformats.org/officeDocument/2006/relationships/hyperlink" Target="https://drive.google.com/open?id=1Zhc2CqxZuTWBTqM70myL0BMKttOotnwt" TargetMode="External"/><Relationship Id="rId1679" Type="http://schemas.openxmlformats.org/officeDocument/2006/relationships/hyperlink" Target="https://drive.google.com/open?id=1zwWZIAWx3qHf76oSc6TfWvMhZhseGlHz" TargetMode="External"/><Relationship Id="rId849" Type="http://schemas.openxmlformats.org/officeDocument/2006/relationships/hyperlink" Target="https://drive.google.com/open?id=119vMby1P69ZoaCOe7psC8dD0w8TUKXlF" TargetMode="External"/><Relationship Id="rId844" Type="http://schemas.openxmlformats.org/officeDocument/2006/relationships/hyperlink" Target="https://drive.google.com/open?id=1tCR2XUjqC2WHZzq4DK2eUAgdyA_OQWuO" TargetMode="External"/><Relationship Id="rId843" Type="http://schemas.openxmlformats.org/officeDocument/2006/relationships/hyperlink" Target="https://drive.google.com/open?id=1-eo11pZ37NdVnUfhsaj_s7Ca7lxJ410B" TargetMode="External"/><Relationship Id="rId842" Type="http://schemas.openxmlformats.org/officeDocument/2006/relationships/hyperlink" Target="https://drive.google.com/open?id=1C_vn1ZQKtmxJV7otmAmTLEHV2bycReZn" TargetMode="External"/><Relationship Id="rId841" Type="http://schemas.openxmlformats.org/officeDocument/2006/relationships/hyperlink" Target="https://drive.google.com/open?id=1MfvA36N5c20Ni4z7lbJn0ju6XgXK-tSj" TargetMode="External"/><Relationship Id="rId848" Type="http://schemas.openxmlformats.org/officeDocument/2006/relationships/hyperlink" Target="https://drive.google.com/open?id=1uXvp6r388BAFa59PpfYLbJZ6duIOJpNH" TargetMode="External"/><Relationship Id="rId847" Type="http://schemas.openxmlformats.org/officeDocument/2006/relationships/hyperlink" Target="https://drive.google.com/open?id=1laYm6nwHFvmfX4yUcqcIBFpmWW-xO0xf" TargetMode="External"/><Relationship Id="rId846" Type="http://schemas.openxmlformats.org/officeDocument/2006/relationships/hyperlink" Target="https://drive.google.com/open?id=1lhsfAfRXXUSVSyET7GHG5Bxdthjv7NpC" TargetMode="External"/><Relationship Id="rId845" Type="http://schemas.openxmlformats.org/officeDocument/2006/relationships/hyperlink" Target="https://drive.google.com/open?id=1I8a96a99X5sVETWDJkrjDtYZgCKGAbw3" TargetMode="External"/><Relationship Id="rId1670" Type="http://schemas.openxmlformats.org/officeDocument/2006/relationships/hyperlink" Target="https://drive.google.com/open?id=1ynt_JaJqvaoAhViQvG8-ObnJw9VKp9sM" TargetMode="External"/><Relationship Id="rId840" Type="http://schemas.openxmlformats.org/officeDocument/2006/relationships/hyperlink" Target="https://drive.google.com/open?id=19kNyLJP3rVL0QGtjZ5LVb2ay_aiYvtFg" TargetMode="External"/><Relationship Id="rId1671" Type="http://schemas.openxmlformats.org/officeDocument/2006/relationships/hyperlink" Target="https://drive.google.com/open?id=1O7hctTwPKd_pyLkdJ4aIC1zlxmwaq9ak" TargetMode="External"/><Relationship Id="rId1672" Type="http://schemas.openxmlformats.org/officeDocument/2006/relationships/hyperlink" Target="https://drive.google.com/open?id=1GqX9N9ZOkaTqqNPN-o_GglrmmS8yAaKl" TargetMode="External"/><Relationship Id="rId1673" Type="http://schemas.openxmlformats.org/officeDocument/2006/relationships/hyperlink" Target="https://drive.google.com/open?id=1x-Tu9CZREIWh9KH9Q2ZZa37YPmowbGzt" TargetMode="External"/><Relationship Id="rId1674" Type="http://schemas.openxmlformats.org/officeDocument/2006/relationships/hyperlink" Target="https://drive.google.com/open?id=18BE1u79FN-traB2I60tUn--6XlmdcjEJ" TargetMode="External"/><Relationship Id="rId1664" Type="http://schemas.openxmlformats.org/officeDocument/2006/relationships/hyperlink" Target="https://drive.google.com/open?id=1eGAPlyTZ93MaqP4Los3-nabbeSBrO8wH" TargetMode="External"/><Relationship Id="rId2995" Type="http://schemas.openxmlformats.org/officeDocument/2006/relationships/hyperlink" Target="https://drive.google.com/open?id=1wuJLpfy1t6BWi3Cr591w3sPYs4vN09TW" TargetMode="External"/><Relationship Id="rId1665" Type="http://schemas.openxmlformats.org/officeDocument/2006/relationships/hyperlink" Target="https://drive.google.com/open?id=17QoUnWMWqUtOATURzbwPaYuN24owSw1Q" TargetMode="External"/><Relationship Id="rId2996" Type="http://schemas.openxmlformats.org/officeDocument/2006/relationships/hyperlink" Target="https://drive.google.com/open?id=1UV66FTEBPjdrCpyZROSK4a1td3FHgNsv" TargetMode="External"/><Relationship Id="rId1666" Type="http://schemas.openxmlformats.org/officeDocument/2006/relationships/hyperlink" Target="https://drive.google.com/open?id=1xxeFu5n7MzHlOCQQTs4PSxH5k9r9r0TG" TargetMode="External"/><Relationship Id="rId2997" Type="http://schemas.openxmlformats.org/officeDocument/2006/relationships/hyperlink" Target="https://drive.google.com/open?id=1GjWk2JcJ-XnCpX8AkaPa5pAawku5peSj" TargetMode="External"/><Relationship Id="rId1667" Type="http://schemas.openxmlformats.org/officeDocument/2006/relationships/hyperlink" Target="https://drive.google.com/open?id=1Wi0S6M1N-pLXiJqJQc53HPE22YsGIPB0" TargetMode="External"/><Relationship Id="rId2998" Type="http://schemas.openxmlformats.org/officeDocument/2006/relationships/hyperlink" Target="https://drive.google.com/open?id=1cBxoSPAmTKtl0Onqngl-u8khcjiA4swB" TargetMode="External"/><Relationship Id="rId1668" Type="http://schemas.openxmlformats.org/officeDocument/2006/relationships/hyperlink" Target="https://drive.google.com/open?id=13V1gP4C-0d8zrNk-G_-MhKtNvuksLgyX" TargetMode="External"/><Relationship Id="rId2999" Type="http://schemas.openxmlformats.org/officeDocument/2006/relationships/hyperlink" Target="https://drive.google.com/open?id=1RojC4SVc7xiWU448dpGitgp6s5v7JEh1" TargetMode="External"/><Relationship Id="rId1669" Type="http://schemas.openxmlformats.org/officeDocument/2006/relationships/hyperlink" Target="https://drive.google.com/open?id=1ricHJ0Y_giOX1w2bxd8i4jj9rV6LIL9S" TargetMode="External"/><Relationship Id="rId839" Type="http://schemas.openxmlformats.org/officeDocument/2006/relationships/hyperlink" Target="https://drive.google.com/open?id=1MYvuG-uaLLSWRk4dgzKdnuYw0iX7KPhB" TargetMode="External"/><Relationship Id="rId838" Type="http://schemas.openxmlformats.org/officeDocument/2006/relationships/hyperlink" Target="https://drive.google.com/open?id=1yKXMjqe7QayNLnZd-_7WU2hPpO6OAoB7" TargetMode="External"/><Relationship Id="rId833" Type="http://schemas.openxmlformats.org/officeDocument/2006/relationships/hyperlink" Target="https://drive.google.com/open?id=1cncTDjGWwXE4mbCvCuEVHKr2WX_DUcnQ" TargetMode="External"/><Relationship Id="rId832" Type="http://schemas.openxmlformats.org/officeDocument/2006/relationships/hyperlink" Target="https://drive.google.com/open?id=1uZBg4_aSqXioqY9ew-mttXjY3D4J31rf" TargetMode="External"/><Relationship Id="rId831" Type="http://schemas.openxmlformats.org/officeDocument/2006/relationships/hyperlink" Target="https://drive.google.com/open?id=17BL7CtYd1y51ePdff8NwGmkU32bYpiIL" TargetMode="External"/><Relationship Id="rId830" Type="http://schemas.openxmlformats.org/officeDocument/2006/relationships/hyperlink" Target="https://drive.google.com/open?id=1FvGIMUMJVH8xPl8mTY7ftF3omxePlxUG" TargetMode="External"/><Relationship Id="rId837" Type="http://schemas.openxmlformats.org/officeDocument/2006/relationships/hyperlink" Target="https://drive.google.com/open?id=1RmUZXFTCD_53FWmQOeRxUZeNYUDTTZIl" TargetMode="External"/><Relationship Id="rId836" Type="http://schemas.openxmlformats.org/officeDocument/2006/relationships/hyperlink" Target="https://drive.google.com/open?id=1xjciBZn9pjVV5PQxGh8PGOTpBW5lya7q" TargetMode="External"/><Relationship Id="rId835" Type="http://schemas.openxmlformats.org/officeDocument/2006/relationships/hyperlink" Target="https://drive.google.com/open?id=1OyMTymmgg1OYND9QWj4uItrqVL6wvBEh" TargetMode="External"/><Relationship Id="rId834" Type="http://schemas.openxmlformats.org/officeDocument/2006/relationships/hyperlink" Target="https://drive.google.com/open?id=16vPBX6cnBSHDb0NGoYouEvj76B3A_vPl" TargetMode="External"/><Relationship Id="rId2990" Type="http://schemas.openxmlformats.org/officeDocument/2006/relationships/hyperlink" Target="https://drive.google.com/open?id=10EpK6QbJG3vaMfW2-FhJqp1VVcrwmVT9" TargetMode="External"/><Relationship Id="rId1660" Type="http://schemas.openxmlformats.org/officeDocument/2006/relationships/hyperlink" Target="https://drive.google.com/open?id=1fJyDWQ5aDsTuIEFbjU9yLki6lo5aWiG9" TargetMode="External"/><Relationship Id="rId2991" Type="http://schemas.openxmlformats.org/officeDocument/2006/relationships/hyperlink" Target="https://drive.google.com/open?id=1jgKIY9YE6PHlIdSUUuiJ7Yk1HbKf5GT9" TargetMode="External"/><Relationship Id="rId1661" Type="http://schemas.openxmlformats.org/officeDocument/2006/relationships/hyperlink" Target="https://drive.google.com/open?id=1VuQs5LY71vZ1vGDD8ZpSyuUgnau0_Hh1" TargetMode="External"/><Relationship Id="rId2992" Type="http://schemas.openxmlformats.org/officeDocument/2006/relationships/hyperlink" Target="https://drive.google.com/open?id=1-r4mscdUWFRIsAhUwf-_Zkn49vaFpPc1" TargetMode="External"/><Relationship Id="rId1662" Type="http://schemas.openxmlformats.org/officeDocument/2006/relationships/hyperlink" Target="https://drive.google.com/open?id=1l6lLyPXesENLmuF86GgV-h7bhEQeuhcA" TargetMode="External"/><Relationship Id="rId2993" Type="http://schemas.openxmlformats.org/officeDocument/2006/relationships/hyperlink" Target="https://drive.google.com/open?id=1P0o9-p05YcKEJhuJuWqMCwhhag8cVQNL" TargetMode="External"/><Relationship Id="rId1663" Type="http://schemas.openxmlformats.org/officeDocument/2006/relationships/hyperlink" Target="https://drive.google.com/open?id=1a0r6Hnvs-ClCrGVf0buufF5N_9_5AiEr" TargetMode="External"/><Relationship Id="rId2994" Type="http://schemas.openxmlformats.org/officeDocument/2006/relationships/hyperlink" Target="https://drive.google.com/open?id=1zlnXcbZ4tgQtlfD5k2f_-JSI8Fu1U1uq" TargetMode="External"/><Relationship Id="rId2148" Type="http://schemas.openxmlformats.org/officeDocument/2006/relationships/hyperlink" Target="https://drive.google.com/open?id=1tBl_z4Q4w3WRKAGwpDZGkVTktxB4S_T3" TargetMode="External"/><Relationship Id="rId2149" Type="http://schemas.openxmlformats.org/officeDocument/2006/relationships/hyperlink" Target="https://drive.google.com/open?id=12oo9AKjOzwVMUOwwuaW87E9B6VoGn1ud" TargetMode="External"/><Relationship Id="rId3479" Type="http://schemas.openxmlformats.org/officeDocument/2006/relationships/hyperlink" Target="https://drive.google.com/open?id=1gHnFPRdlj-O4gIfyjrV3kMD8X6_OHidb" TargetMode="External"/><Relationship Id="rId3470" Type="http://schemas.openxmlformats.org/officeDocument/2006/relationships/hyperlink" Target="https://drive.google.com/open?id=1DJAdOqPkvHhVt5Rcp_lexp0RGHj3UN43" TargetMode="External"/><Relationship Id="rId2140" Type="http://schemas.openxmlformats.org/officeDocument/2006/relationships/hyperlink" Target="https://drive.google.com/open?id=10zNWlKjrgwj3pwFZkZme3DVk16a9tphP" TargetMode="External"/><Relationship Id="rId3472" Type="http://schemas.openxmlformats.org/officeDocument/2006/relationships/hyperlink" Target="https://drive.google.com/open?id=1kC34pj3t6Mn2Vh1Z-ZgrxKpRUaMGyiCm" TargetMode="External"/><Relationship Id="rId2141" Type="http://schemas.openxmlformats.org/officeDocument/2006/relationships/hyperlink" Target="https://drive.google.com/open?id=1e5IFE5mQ9cuiFfM6SRQGDAAAo3dhw3j8" TargetMode="External"/><Relationship Id="rId3471" Type="http://schemas.openxmlformats.org/officeDocument/2006/relationships/hyperlink" Target="https://drive.google.com/open?id=1ceJC-j3jRIueSFREm3PvOLBJE_Ax5Z3f" TargetMode="External"/><Relationship Id="rId2142" Type="http://schemas.openxmlformats.org/officeDocument/2006/relationships/hyperlink" Target="https://drive.google.com/open?id=1Q4XP3Xagt5psG2JTYryel1RAroZbp296" TargetMode="External"/><Relationship Id="rId3474" Type="http://schemas.openxmlformats.org/officeDocument/2006/relationships/hyperlink" Target="https://drive.google.com/open?id=1kktBuTmEvIF2DaKgqaomjXBWjijlUaNr" TargetMode="External"/><Relationship Id="rId2143" Type="http://schemas.openxmlformats.org/officeDocument/2006/relationships/hyperlink" Target="https://drive.google.com/open?id=1D9h-Bb_05vzs1dD-wdPH-sQ3XKZzlCbo" TargetMode="External"/><Relationship Id="rId3473" Type="http://schemas.openxmlformats.org/officeDocument/2006/relationships/hyperlink" Target="https://drive.google.com/open?id=1vIfeWnc-teI1y2DP27Xu639yVtAVOUb8" TargetMode="External"/><Relationship Id="rId2144" Type="http://schemas.openxmlformats.org/officeDocument/2006/relationships/hyperlink" Target="https://drive.google.com/open?id=1flx9h4v2FKSYipvGslOmMXUBelge2fhr" TargetMode="External"/><Relationship Id="rId3476" Type="http://schemas.openxmlformats.org/officeDocument/2006/relationships/hyperlink" Target="https://drive.google.com/open?id=1MVS4Wy2rJp_g5FMkca9e_OxuUcD0Az0y" TargetMode="External"/><Relationship Id="rId2145" Type="http://schemas.openxmlformats.org/officeDocument/2006/relationships/hyperlink" Target="https://drive.google.com/open?id=1LJDHZoMarwOK1EC7DDvalrjyCrhxXp7l" TargetMode="External"/><Relationship Id="rId3475" Type="http://schemas.openxmlformats.org/officeDocument/2006/relationships/hyperlink" Target="https://drive.google.com/open?id=1bkIVzMYIAYnrlk-x_vMSiKIADRCLBAxq" TargetMode="External"/><Relationship Id="rId2146" Type="http://schemas.openxmlformats.org/officeDocument/2006/relationships/hyperlink" Target="https://drive.google.com/open?id=1d4NonyaPWNfOc7T5TDLki_i6E-PO4BPY" TargetMode="External"/><Relationship Id="rId3478" Type="http://schemas.openxmlformats.org/officeDocument/2006/relationships/hyperlink" Target="https://drive.google.com/open?id=117Lc4XlT8z7yqAg7pXJ-t9YwigpaePBJ" TargetMode="External"/><Relationship Id="rId2147" Type="http://schemas.openxmlformats.org/officeDocument/2006/relationships/hyperlink" Target="https://drive.google.com/open?id=1jdbqxZU9v_fwB604mMkrqjmWSBGf6-ZZ" TargetMode="External"/><Relationship Id="rId3477" Type="http://schemas.openxmlformats.org/officeDocument/2006/relationships/hyperlink" Target="https://drive.google.com/open?id=1PSv7cVgca7uE_T5aGA9PaqrHbjKv_s8F" TargetMode="External"/><Relationship Id="rId2137" Type="http://schemas.openxmlformats.org/officeDocument/2006/relationships/hyperlink" Target="https://drive.google.com/open?id=1AXgPFglO3DnpL9PChhwBAljr6pINKOhJ" TargetMode="External"/><Relationship Id="rId3469" Type="http://schemas.openxmlformats.org/officeDocument/2006/relationships/hyperlink" Target="https://drive.google.com/open?id=1A1YNavfldbnO_QWhOzVqwRAY2NuPs5vG" TargetMode="External"/><Relationship Id="rId2138" Type="http://schemas.openxmlformats.org/officeDocument/2006/relationships/hyperlink" Target="https://drive.google.com/open?id=1u8JgNenw91RA9WwLlAHdaRafD0dZOHN5" TargetMode="External"/><Relationship Id="rId3468" Type="http://schemas.openxmlformats.org/officeDocument/2006/relationships/hyperlink" Target="https://drive.google.com/open?id=1m40G5Zg3jJavaO7ZXArCWg5z6coMpQFB" TargetMode="External"/><Relationship Id="rId2139" Type="http://schemas.openxmlformats.org/officeDocument/2006/relationships/hyperlink" Target="https://drive.google.com/open?id=1yKOhh0P982UJqp0jhcDMqjAMNZyvF5ct" TargetMode="External"/><Relationship Id="rId3461" Type="http://schemas.openxmlformats.org/officeDocument/2006/relationships/hyperlink" Target="https://drive.google.com/open?id=1MHrM0OqSSNtUgW4be5ZJvcseN29gNDkO" TargetMode="External"/><Relationship Id="rId2130" Type="http://schemas.openxmlformats.org/officeDocument/2006/relationships/hyperlink" Target="https://drive.google.com/open?id=1C9cNO7leqGyLMD6nXQFcQY1yJSIWL-ql" TargetMode="External"/><Relationship Id="rId3460" Type="http://schemas.openxmlformats.org/officeDocument/2006/relationships/hyperlink" Target="https://drive.google.com/open?id=1b8C5EDvur4jxXFp2QLKO4rwTTnIfCclR" TargetMode="External"/><Relationship Id="rId2131" Type="http://schemas.openxmlformats.org/officeDocument/2006/relationships/hyperlink" Target="https://drive.google.com/open?id=15yZxAS9N0pBA2CovypuTgGokwesyfg43" TargetMode="External"/><Relationship Id="rId3463" Type="http://schemas.openxmlformats.org/officeDocument/2006/relationships/hyperlink" Target="https://drive.google.com/open?id=1VaGO6tr6IBPygxNoljgGVFb-LmNtreBL" TargetMode="External"/><Relationship Id="rId2132" Type="http://schemas.openxmlformats.org/officeDocument/2006/relationships/hyperlink" Target="https://drive.google.com/open?id=1dNBl9i6cOk2l7xT9SAwyksl5dxIuoLKK" TargetMode="External"/><Relationship Id="rId3462" Type="http://schemas.openxmlformats.org/officeDocument/2006/relationships/hyperlink" Target="https://drive.google.com/open?id=1r1P7AIUiqaey3Bjq5LynqHqW9F1CY0OH" TargetMode="External"/><Relationship Id="rId2133" Type="http://schemas.openxmlformats.org/officeDocument/2006/relationships/hyperlink" Target="https://drive.google.com/open?id=1ccdsw2yUeePaClcOKIJP0Xx4yApZyenm" TargetMode="External"/><Relationship Id="rId3465" Type="http://schemas.openxmlformats.org/officeDocument/2006/relationships/hyperlink" Target="https://drive.google.com/open?id=15nEB3-7hixV-2yl8hzuNgPL-_QXCb1cT" TargetMode="External"/><Relationship Id="rId2134" Type="http://schemas.openxmlformats.org/officeDocument/2006/relationships/hyperlink" Target="https://drive.google.com/open?id=16poOt6xYxF9MvIfyJcFLxpE0EfxIQVkI" TargetMode="External"/><Relationship Id="rId3464" Type="http://schemas.openxmlformats.org/officeDocument/2006/relationships/hyperlink" Target="https://drive.google.com/open?id=1qNnESReuA8fC6WiNTEJ1ZnwxQoP0ewEj" TargetMode="External"/><Relationship Id="rId2135" Type="http://schemas.openxmlformats.org/officeDocument/2006/relationships/hyperlink" Target="https://drive.google.com/open?id=1CqBHtWZUL5kbTp0AOku2r94NP2EsjbHV" TargetMode="External"/><Relationship Id="rId3467" Type="http://schemas.openxmlformats.org/officeDocument/2006/relationships/hyperlink" Target="https://drive.google.com/open?id=1LwtboqygU4wsFY9LSx5zpyZ3RkdK0OZi" TargetMode="External"/><Relationship Id="rId2136" Type="http://schemas.openxmlformats.org/officeDocument/2006/relationships/hyperlink" Target="https://drive.google.com/open?id=15DLr9TLHwy2kJ1RapGZeIbvBEWk7ySa9" TargetMode="External"/><Relationship Id="rId3466" Type="http://schemas.openxmlformats.org/officeDocument/2006/relationships/hyperlink" Target="https://drive.google.com/open?id=1Dj62zHQNBgAc-Lb2BtgH_IPyVOJ44NLY" TargetMode="External"/><Relationship Id="rId3490" Type="http://schemas.openxmlformats.org/officeDocument/2006/relationships/hyperlink" Target="https://drive.google.com/open?id=1wXyRU7WseOoLZgaf-OtqdnV72WFDftjP" TargetMode="External"/><Relationship Id="rId2160" Type="http://schemas.openxmlformats.org/officeDocument/2006/relationships/hyperlink" Target="https://drive.google.com/open?id=1oYuDxno7QW2nz-N-0lfYK4ZrEF1NKG2t" TargetMode="External"/><Relationship Id="rId3492" Type="http://schemas.openxmlformats.org/officeDocument/2006/relationships/hyperlink" Target="https://drive.google.com/open?id=1PvXiJRJl5qKZWucb-dY57oao7Qfcc4Ej" TargetMode="External"/><Relationship Id="rId2161" Type="http://schemas.openxmlformats.org/officeDocument/2006/relationships/hyperlink" Target="https://drive.google.com/open?id=1d9q1ww-towMaktQ4x7EY3-sDt0017qkv" TargetMode="External"/><Relationship Id="rId3491" Type="http://schemas.openxmlformats.org/officeDocument/2006/relationships/hyperlink" Target="https://drive.google.com/open?id=1cZtotIF4GY-Om0W9IF81lLLDhOnEoYBW" TargetMode="External"/><Relationship Id="rId2162" Type="http://schemas.openxmlformats.org/officeDocument/2006/relationships/hyperlink" Target="https://drive.google.com/open?id=1PiSKJtgLbmiScxsebO8OG_4YA7dOGoAF" TargetMode="External"/><Relationship Id="rId3494" Type="http://schemas.openxmlformats.org/officeDocument/2006/relationships/hyperlink" Target="https://drive.google.com/open?id=1_c6XA7ivcu0KIc81cixN-NvGWAIZUXAp" TargetMode="External"/><Relationship Id="rId2163" Type="http://schemas.openxmlformats.org/officeDocument/2006/relationships/hyperlink" Target="https://drive.google.com/open?id=1eqRiemJwrQ_VCqDyizE_TVcfVulBnsXb" TargetMode="External"/><Relationship Id="rId3493" Type="http://schemas.openxmlformats.org/officeDocument/2006/relationships/hyperlink" Target="https://drive.google.com/open?id=1aV-q0YOOAtPWRZHo5qjxTanAKAom9c_9" TargetMode="External"/><Relationship Id="rId2164" Type="http://schemas.openxmlformats.org/officeDocument/2006/relationships/hyperlink" Target="https://drive.google.com/open?id=1mOgJ68QL3Evbu3gRdwWQqnrCQquY9Pda" TargetMode="External"/><Relationship Id="rId3496" Type="http://schemas.openxmlformats.org/officeDocument/2006/relationships/hyperlink" Target="https://drive.google.com/open?id=1ZpFaVAxtXqXMqhz5vr8lV6mPqt7aNEmr" TargetMode="External"/><Relationship Id="rId2165" Type="http://schemas.openxmlformats.org/officeDocument/2006/relationships/hyperlink" Target="https://drive.google.com/open?id=1vKj1fK6m91R2bU-V9xrvYkoKClFLKVlY" TargetMode="External"/><Relationship Id="rId3495" Type="http://schemas.openxmlformats.org/officeDocument/2006/relationships/hyperlink" Target="https://drive.google.com/open?id=1Sp-ZnCURrBDMxukqRVI9f5KIalJfdXd4" TargetMode="External"/><Relationship Id="rId2166" Type="http://schemas.openxmlformats.org/officeDocument/2006/relationships/hyperlink" Target="https://drive.google.com/open?id=1h4WM2s8bKYJ639CAP4VVBHfAe6jJ3oFo" TargetMode="External"/><Relationship Id="rId3498" Type="http://schemas.openxmlformats.org/officeDocument/2006/relationships/hyperlink" Target="https://drive.google.com/open?id=17630USqgf0EJCiY7wlAxMCJOeLgobG8c" TargetMode="External"/><Relationship Id="rId2167" Type="http://schemas.openxmlformats.org/officeDocument/2006/relationships/hyperlink" Target="https://drive.google.com/open?id=18LUilDscMsuqgFLZLiPZxz0nDbyo6vD0" TargetMode="External"/><Relationship Id="rId3497" Type="http://schemas.openxmlformats.org/officeDocument/2006/relationships/hyperlink" Target="https://drive.google.com/open?id=1BXRDTBofS4CZ2ITCqVFtXndcko0sigrV" TargetMode="External"/><Relationship Id="rId2168" Type="http://schemas.openxmlformats.org/officeDocument/2006/relationships/hyperlink" Target="https://drive.google.com/open?id=1IxZ5HUP29W0McsQ0UsNtHVtCGhaQJOao" TargetMode="External"/><Relationship Id="rId2169" Type="http://schemas.openxmlformats.org/officeDocument/2006/relationships/hyperlink" Target="https://drive.google.com/open?id=1ame_-3xVlYcLTzRfxmOSoZ4Ea2w9WLR-" TargetMode="External"/><Relationship Id="rId3499" Type="http://schemas.openxmlformats.org/officeDocument/2006/relationships/hyperlink" Target="https://drive.google.com/open?id=1DXtZyaL2ixp9yuh0piL41UUounP_OyM6" TargetMode="External"/><Relationship Id="rId2159" Type="http://schemas.openxmlformats.org/officeDocument/2006/relationships/hyperlink" Target="https://drive.google.com/open?id=11nDui2w7998TmA2jWlEGZ5jrTW4JBorj" TargetMode="External"/><Relationship Id="rId3481" Type="http://schemas.openxmlformats.org/officeDocument/2006/relationships/hyperlink" Target="https://drive.google.com/open?id=1bS3XZlXRikAjXXrYgBwqR2iiYlDFUGFu" TargetMode="External"/><Relationship Id="rId2150" Type="http://schemas.openxmlformats.org/officeDocument/2006/relationships/hyperlink" Target="https://drive.google.com/open?id=1-F2avHtBpGGzz5v8pCgdIRU8FOgSs0bO" TargetMode="External"/><Relationship Id="rId3480" Type="http://schemas.openxmlformats.org/officeDocument/2006/relationships/hyperlink" Target="https://drive.google.com/open?id=1jk8__Y9DbbXw5a-srTBJ7JBfOH0BRCcF" TargetMode="External"/><Relationship Id="rId2151" Type="http://schemas.openxmlformats.org/officeDocument/2006/relationships/hyperlink" Target="https://drive.google.com/open?id=10LyHMLBuxSCEe1zeNyQKZ0wHdRV9xs4B" TargetMode="External"/><Relationship Id="rId3483" Type="http://schemas.openxmlformats.org/officeDocument/2006/relationships/hyperlink" Target="https://drive.google.com/open?id=1hpZfKeEzz-8incF6GVdX2Nv_x8CleqjJ" TargetMode="External"/><Relationship Id="rId2152" Type="http://schemas.openxmlformats.org/officeDocument/2006/relationships/hyperlink" Target="https://drive.google.com/open?id=1TdGyBosnMHdQQnp8sYDu4jBHo3pg6YTH" TargetMode="External"/><Relationship Id="rId3482" Type="http://schemas.openxmlformats.org/officeDocument/2006/relationships/hyperlink" Target="https://drive.google.com/open?id=1Y-1yyHq9Qhnh5PNl5y7TyNW8lKxqsknQ" TargetMode="External"/><Relationship Id="rId2153" Type="http://schemas.openxmlformats.org/officeDocument/2006/relationships/hyperlink" Target="https://drive.google.com/open?id=1oNCNr6ULdemHulmD7bcvnd1KpZ6iDVuK" TargetMode="External"/><Relationship Id="rId3485" Type="http://schemas.openxmlformats.org/officeDocument/2006/relationships/hyperlink" Target="https://drive.google.com/open?id=1d8dqZn2_ueRO7pZOQvPc9_E90wak-wvR" TargetMode="External"/><Relationship Id="rId2154" Type="http://schemas.openxmlformats.org/officeDocument/2006/relationships/hyperlink" Target="https://drive.google.com/open?id=1FYreCKeackcJN7TSHS-6XSG3gM59YU3u" TargetMode="External"/><Relationship Id="rId3484" Type="http://schemas.openxmlformats.org/officeDocument/2006/relationships/hyperlink" Target="https://drive.google.com/open?id=1Bc_NgxG-Iq4qNxaf6T-aj4K5W3TKx8ka" TargetMode="External"/><Relationship Id="rId2155" Type="http://schemas.openxmlformats.org/officeDocument/2006/relationships/hyperlink" Target="https://drive.google.com/open?id=1dYVCK6NXZSiS_A3JwJOssAMPQJJV-Q-X" TargetMode="External"/><Relationship Id="rId3487" Type="http://schemas.openxmlformats.org/officeDocument/2006/relationships/hyperlink" Target="https://drive.google.com/open?id=11xGDUA3Eq2EpEL2VVfemVH43T3auulS5" TargetMode="External"/><Relationship Id="rId2156" Type="http://schemas.openxmlformats.org/officeDocument/2006/relationships/hyperlink" Target="https://drive.google.com/open?id=1iN9YsStG5vJPGE_RGWWn7NLJ-kSLGrR_" TargetMode="External"/><Relationship Id="rId3486" Type="http://schemas.openxmlformats.org/officeDocument/2006/relationships/hyperlink" Target="https://drive.google.com/open?id=1A0kK2GdQ2VexT_uqYQM04xT9XT1AZjPC" TargetMode="External"/><Relationship Id="rId2157" Type="http://schemas.openxmlformats.org/officeDocument/2006/relationships/hyperlink" Target="https://drive.google.com/open?id=1KiYHMC32ompMJHZB4DirYRvTX5IPU5f2" TargetMode="External"/><Relationship Id="rId3489" Type="http://schemas.openxmlformats.org/officeDocument/2006/relationships/hyperlink" Target="https://drive.google.com/open?id=1fJ_o8dopUHVjpHGw2_2E9m6-eiEoi87b" TargetMode="External"/><Relationship Id="rId2158" Type="http://schemas.openxmlformats.org/officeDocument/2006/relationships/hyperlink" Target="https://drive.google.com/open?id=19aJeZQctC58jNelNZWJxZnacoCqhR2ww" TargetMode="External"/><Relationship Id="rId3488" Type="http://schemas.openxmlformats.org/officeDocument/2006/relationships/hyperlink" Target="https://drive.google.com/open?id=1HsQMAAmDQ3v_DOUGGDDBKJyI545oNolP" TargetMode="External"/><Relationship Id="rId2104" Type="http://schemas.openxmlformats.org/officeDocument/2006/relationships/hyperlink" Target="https://drive.google.com/open?id=14wwyeXb9jXOFZa4kS7Vxft7Wb39SY6_T" TargetMode="External"/><Relationship Id="rId3436" Type="http://schemas.openxmlformats.org/officeDocument/2006/relationships/hyperlink" Target="https://drive.google.com/open?id=1dmz-fc88HDvdEQ5WF1koSEyiE57i4l1U" TargetMode="External"/><Relationship Id="rId2105" Type="http://schemas.openxmlformats.org/officeDocument/2006/relationships/hyperlink" Target="https://drive.google.com/open?id=1FT0gWITMWH2kkmmIxpPGh_6bjPOikLUv" TargetMode="External"/><Relationship Id="rId3435" Type="http://schemas.openxmlformats.org/officeDocument/2006/relationships/hyperlink" Target="https://drive.google.com/open?id=16K0aLqkEXcentN9kULOadvyl9hRL2Nvf" TargetMode="External"/><Relationship Id="rId2106" Type="http://schemas.openxmlformats.org/officeDocument/2006/relationships/hyperlink" Target="https://drive.google.com/open?id=1d2meeaY5rim-Di-Tj-_n6K0SHkqJRvoH" TargetMode="External"/><Relationship Id="rId3438" Type="http://schemas.openxmlformats.org/officeDocument/2006/relationships/hyperlink" Target="https://drive.google.com/open?id=1mfAicRTP6cNY7brypU9diYGXrA7GFsrJ" TargetMode="External"/><Relationship Id="rId2107" Type="http://schemas.openxmlformats.org/officeDocument/2006/relationships/hyperlink" Target="https://drive.google.com/open?id=1wYd9zPgMAw0KO2WabCb81qxvEfU9EOMT" TargetMode="External"/><Relationship Id="rId3437" Type="http://schemas.openxmlformats.org/officeDocument/2006/relationships/hyperlink" Target="https://drive.google.com/open?id=1pJ8Y_baZEVIgjyqa57JZn8aWi5AWLgdP" TargetMode="External"/><Relationship Id="rId2108" Type="http://schemas.openxmlformats.org/officeDocument/2006/relationships/hyperlink" Target="https://drive.google.com/open?id=1PiPTu3_Y4FIU5G2akesQuN1-nLrzMALF" TargetMode="External"/><Relationship Id="rId2109" Type="http://schemas.openxmlformats.org/officeDocument/2006/relationships/hyperlink" Target="https://drive.google.com/open?id=16yVd1uwQJKvgNssZeq50gJnKBIhmVuxQ" TargetMode="External"/><Relationship Id="rId3439" Type="http://schemas.openxmlformats.org/officeDocument/2006/relationships/hyperlink" Target="https://drive.google.com/open?id=1BKm11gc3KLmULBlQKk4Sl3uMz0gAJqKy" TargetMode="External"/><Relationship Id="rId3430" Type="http://schemas.openxmlformats.org/officeDocument/2006/relationships/hyperlink" Target="https://drive.google.com/open?id=19iLFHshsSN0A6FK1lXEOr8quntuPZWlv" TargetMode="External"/><Relationship Id="rId2100" Type="http://schemas.openxmlformats.org/officeDocument/2006/relationships/hyperlink" Target="https://drive.google.com/open?id=1NEvSkwglisobXQPKqQMzLMc6gAUr6l2m" TargetMode="External"/><Relationship Id="rId3432" Type="http://schemas.openxmlformats.org/officeDocument/2006/relationships/hyperlink" Target="https://drive.google.com/open?id=1v-YhxQTlXfqB7-QVOTE7x0yUsDorCPvM" TargetMode="External"/><Relationship Id="rId2101" Type="http://schemas.openxmlformats.org/officeDocument/2006/relationships/hyperlink" Target="https://drive.google.com/open?id=1viOdo4zcjG8HvfIGZdQJz9WdgUD4ucOt" TargetMode="External"/><Relationship Id="rId3431" Type="http://schemas.openxmlformats.org/officeDocument/2006/relationships/hyperlink" Target="https://drive.google.com/open?id=1CgwQVRoNHdFuEVit2AYoyY1EtplaVINj" TargetMode="External"/><Relationship Id="rId2102" Type="http://schemas.openxmlformats.org/officeDocument/2006/relationships/hyperlink" Target="https://drive.google.com/open?id=1Gei1ELrRea6NaEnPZ_ozlgW0CK4T8RDw" TargetMode="External"/><Relationship Id="rId3434" Type="http://schemas.openxmlformats.org/officeDocument/2006/relationships/hyperlink" Target="https://drive.google.com/open?id=1YOeMDLK30vR20Pgj_MiNzIEiZia_Dkks" TargetMode="External"/><Relationship Id="rId2103" Type="http://schemas.openxmlformats.org/officeDocument/2006/relationships/hyperlink" Target="https://drive.google.com/open?id=1KnaLntabTtUEzvsaUsx3omD4XbUOL_cF" TargetMode="External"/><Relationship Id="rId3433" Type="http://schemas.openxmlformats.org/officeDocument/2006/relationships/hyperlink" Target="https://drive.google.com/open?id=1mFC9x5nTva8WUVdTIUDjmtzFb8CNeorT" TargetMode="External"/><Relationship Id="rId3425" Type="http://schemas.openxmlformats.org/officeDocument/2006/relationships/hyperlink" Target="https://drive.google.com/open?id=1heP199jsklqSHu1r02p1w1P-x48oh1nf" TargetMode="External"/><Relationship Id="rId3424" Type="http://schemas.openxmlformats.org/officeDocument/2006/relationships/hyperlink" Target="https://drive.google.com/open?id=1DROj84wavzH8mOlF-sPpyGrN8PptnKPa" TargetMode="External"/><Relationship Id="rId3427" Type="http://schemas.openxmlformats.org/officeDocument/2006/relationships/hyperlink" Target="https://drive.google.com/open?id=1GOY5KfoUAxgVzDjXMy-gyt_0dCDdkOzf" TargetMode="External"/><Relationship Id="rId3426" Type="http://schemas.openxmlformats.org/officeDocument/2006/relationships/hyperlink" Target="https://drive.google.com/open?id=1QTRXjcgmg4DEsprEnu4txtbNxp_k5wDD" TargetMode="External"/><Relationship Id="rId3429" Type="http://schemas.openxmlformats.org/officeDocument/2006/relationships/hyperlink" Target="https://drive.google.com/open?id=1m0jCSoZ3QSBhNULCWMxrbu6H_hR_-B3f" TargetMode="External"/><Relationship Id="rId3428" Type="http://schemas.openxmlformats.org/officeDocument/2006/relationships/hyperlink" Target="https://drive.google.com/open?id=1PO-JuMV1-fJArg8iZKsHNa1CKo6GXg9L" TargetMode="External"/><Relationship Id="rId899" Type="http://schemas.openxmlformats.org/officeDocument/2006/relationships/hyperlink" Target="https://drive.google.com/open?id=13NjEuJazvTbGPEcbvoG2qlBzC921I6zB" TargetMode="External"/><Relationship Id="rId898" Type="http://schemas.openxmlformats.org/officeDocument/2006/relationships/hyperlink" Target="https://drive.google.com/open?id=1OawyleY38Ci4UG3uowtlboFgx9M5iRi0" TargetMode="External"/><Relationship Id="rId897" Type="http://schemas.openxmlformats.org/officeDocument/2006/relationships/hyperlink" Target="https://drive.google.com/open?id=1p-v9OiqmOScajUoOIn6gkv1QwLaoiSWv" TargetMode="External"/><Relationship Id="rId896" Type="http://schemas.openxmlformats.org/officeDocument/2006/relationships/hyperlink" Target="https://drive.google.com/open?id=18UXFRPm4o1s6lT7Wjhp2v2Uk6iNIIM7h" TargetMode="External"/><Relationship Id="rId891" Type="http://schemas.openxmlformats.org/officeDocument/2006/relationships/hyperlink" Target="https://drive.google.com/open?id=1LcOCEmZRI2nrP2e-pZi5DQG05jaet_qh" TargetMode="External"/><Relationship Id="rId890" Type="http://schemas.openxmlformats.org/officeDocument/2006/relationships/hyperlink" Target="https://drive.google.com/open?id=1ZZXuFscuKldOxs8lT6BnkvJNBhSArel3" TargetMode="External"/><Relationship Id="rId895" Type="http://schemas.openxmlformats.org/officeDocument/2006/relationships/hyperlink" Target="https://drive.google.com/open?id=119VbLphr1BbPqrJBJsfkjhI5jo30HzXJ" TargetMode="External"/><Relationship Id="rId3421" Type="http://schemas.openxmlformats.org/officeDocument/2006/relationships/hyperlink" Target="https://drive.google.com/open?id=1xeVjI3-2zTavE11nsf9v9xX_bQwHWyck" TargetMode="External"/><Relationship Id="rId894" Type="http://schemas.openxmlformats.org/officeDocument/2006/relationships/hyperlink" Target="https://drive.google.com/open?id=15b8eIjRY2Xv2xCGVaf4o7Z3dhr4sbH3w" TargetMode="External"/><Relationship Id="rId3420" Type="http://schemas.openxmlformats.org/officeDocument/2006/relationships/hyperlink" Target="https://drive.google.com/open?id=1rJkkQBSIDm0zJsQ1m1vNEH6UNfMD-Qmr" TargetMode="External"/><Relationship Id="rId893" Type="http://schemas.openxmlformats.org/officeDocument/2006/relationships/hyperlink" Target="https://drive.google.com/open?id=1aWxaseEZ9cxS9antBFG45bfscK-ycL8U" TargetMode="External"/><Relationship Id="rId3423" Type="http://schemas.openxmlformats.org/officeDocument/2006/relationships/hyperlink" Target="https://drive.google.com/open?id=1pI15P_RuXSZX36__cWcuay5kvaPH-Hi9" TargetMode="External"/><Relationship Id="rId892" Type="http://schemas.openxmlformats.org/officeDocument/2006/relationships/hyperlink" Target="https://drive.google.com/open?id=1-pSzcz8BozjWqz-ne1Hw3SFNNbbB1xKV" TargetMode="External"/><Relationship Id="rId3422" Type="http://schemas.openxmlformats.org/officeDocument/2006/relationships/hyperlink" Target="https://drive.google.com/open?id=15lB8REov-rM6VtO_r3iU51WpoV--DQh7" TargetMode="External"/><Relationship Id="rId2126" Type="http://schemas.openxmlformats.org/officeDocument/2006/relationships/hyperlink" Target="https://drive.google.com/open?id=1plqy9LjAfA1ZkGxzU8VDNU9xJ7ae1njJ" TargetMode="External"/><Relationship Id="rId3458" Type="http://schemas.openxmlformats.org/officeDocument/2006/relationships/hyperlink" Target="https://drive.google.com/open?id=1wylvsqr7jzP4n2bKNEN2AKvAFSAdeLkf" TargetMode="External"/><Relationship Id="rId2127" Type="http://schemas.openxmlformats.org/officeDocument/2006/relationships/hyperlink" Target="https://drive.google.com/open?id=1C314lH7PObgTtq8a7TS-LtCAosHC2TcB" TargetMode="External"/><Relationship Id="rId3457" Type="http://schemas.openxmlformats.org/officeDocument/2006/relationships/hyperlink" Target="https://drive.google.com/open?id=1p1Q9UGDogwbOL44Zh0LPdTQHbImJRkW8" TargetMode="External"/><Relationship Id="rId2128" Type="http://schemas.openxmlformats.org/officeDocument/2006/relationships/hyperlink" Target="https://drive.google.com/open?id=1chJE2y3dF1zYEHPqkryZyorGjuX9s_sQ" TargetMode="External"/><Relationship Id="rId2129" Type="http://schemas.openxmlformats.org/officeDocument/2006/relationships/hyperlink" Target="https://drive.google.com/open?id=15sUO642O7tgR-jcZVV7V4rYnTCHOMlJt" TargetMode="External"/><Relationship Id="rId3459" Type="http://schemas.openxmlformats.org/officeDocument/2006/relationships/hyperlink" Target="https://drive.google.com/open?id=1wHrzDoqSGXETEhYENFlxobJ4DDbmpQ2e" TargetMode="External"/><Relationship Id="rId3450" Type="http://schemas.openxmlformats.org/officeDocument/2006/relationships/hyperlink" Target="https://drive.google.com/open?id=1DuZcqqE3JARTRbeqzl6_c9SefYrF3o6y" TargetMode="External"/><Relationship Id="rId2120" Type="http://schemas.openxmlformats.org/officeDocument/2006/relationships/hyperlink" Target="https://drive.google.com/open?id=1nRkNS7fUvHtxuyCbV0MjTqbZEc1TiTxd" TargetMode="External"/><Relationship Id="rId3452" Type="http://schemas.openxmlformats.org/officeDocument/2006/relationships/hyperlink" Target="https://drive.google.com/open?id=1Mig3_nsuMyqU1hRQYFJQnnu7rzpyYy8M" TargetMode="External"/><Relationship Id="rId2121" Type="http://schemas.openxmlformats.org/officeDocument/2006/relationships/hyperlink" Target="https://drive.google.com/open?id=1dkUsnQZ2ZLLzHEgxUffGHqa36T4KzhRt" TargetMode="External"/><Relationship Id="rId3451" Type="http://schemas.openxmlformats.org/officeDocument/2006/relationships/hyperlink" Target="https://drive.google.com/open?id=12HwTvpr_iyuvC5G2IBtzGfDhqCQoijZh" TargetMode="External"/><Relationship Id="rId2122" Type="http://schemas.openxmlformats.org/officeDocument/2006/relationships/hyperlink" Target="https://drive.google.com/open?id=1LM-TlLthiBbnKqYzzy32F3Gq2qT07Dta" TargetMode="External"/><Relationship Id="rId3454" Type="http://schemas.openxmlformats.org/officeDocument/2006/relationships/hyperlink" Target="https://drive.google.com/open?id=1nYJR-bBneCvvrDss2X1EUtP5IW4cD4Tu" TargetMode="External"/><Relationship Id="rId2123" Type="http://schemas.openxmlformats.org/officeDocument/2006/relationships/hyperlink" Target="https://drive.google.com/open?id=1XLYeCaEY9ZKt1KBNfRS1Fc6-bkvPshht" TargetMode="External"/><Relationship Id="rId3453" Type="http://schemas.openxmlformats.org/officeDocument/2006/relationships/hyperlink" Target="https://drive.google.com/open?id=1jsQ6NM2iGYzunbhkXSUCjuRs7ZjCoDMm" TargetMode="External"/><Relationship Id="rId2124" Type="http://schemas.openxmlformats.org/officeDocument/2006/relationships/hyperlink" Target="https://drive.google.com/open?id=1Ix_0CrG8pCXmd64yP2qagSnBjl6RK4AK" TargetMode="External"/><Relationship Id="rId3456" Type="http://schemas.openxmlformats.org/officeDocument/2006/relationships/hyperlink" Target="https://drive.google.com/open?id=1tu3wdn_kS3KFGuTT-KkZPLcEAvV3CCem" TargetMode="External"/><Relationship Id="rId2125" Type="http://schemas.openxmlformats.org/officeDocument/2006/relationships/hyperlink" Target="https://drive.google.com/open?id=1ft7SMKqkOeTeeJVZrA45mWrCu42mGiH9" TargetMode="External"/><Relationship Id="rId3455" Type="http://schemas.openxmlformats.org/officeDocument/2006/relationships/hyperlink" Target="https://drive.google.com/open?id=1Fd70yeqnd1CIpBdd64l9aZpiR6PmCrlg" TargetMode="External"/><Relationship Id="rId2115" Type="http://schemas.openxmlformats.org/officeDocument/2006/relationships/hyperlink" Target="https://drive.google.com/open?id=1criXrSvInFGLsxpXT3vzLG4qO-Od2-ET" TargetMode="External"/><Relationship Id="rId3447" Type="http://schemas.openxmlformats.org/officeDocument/2006/relationships/hyperlink" Target="https://drive.google.com/open?id=15uLEVoN6ZShqjOzpYebSgTrYif8DKW_s" TargetMode="External"/><Relationship Id="rId2116" Type="http://schemas.openxmlformats.org/officeDocument/2006/relationships/hyperlink" Target="https://drive.google.com/open?id=1_3oh80ZuF9Hp7WiDY_d2ISjfMKrFI3jA" TargetMode="External"/><Relationship Id="rId3446" Type="http://schemas.openxmlformats.org/officeDocument/2006/relationships/hyperlink" Target="https://drive.google.com/open?id=1SB-OCTj6aSY4t9INjWFBHFC-cIIcxjte" TargetMode="External"/><Relationship Id="rId2117" Type="http://schemas.openxmlformats.org/officeDocument/2006/relationships/hyperlink" Target="https://drive.google.com/open?id=1ijB4s3sS1ePe-dGLhENNhDN9ISPrO4Tf" TargetMode="External"/><Relationship Id="rId3449" Type="http://schemas.openxmlformats.org/officeDocument/2006/relationships/hyperlink" Target="https://drive.google.com/open?id=1NiKJkzkbT_3x-EwUl6xHmCNU0i7hsNFO" TargetMode="External"/><Relationship Id="rId2118" Type="http://schemas.openxmlformats.org/officeDocument/2006/relationships/hyperlink" Target="https://drive.google.com/open?id=1oyhCBxiLfAwDBGn_NMZtcwijTRtVJ09T" TargetMode="External"/><Relationship Id="rId3448" Type="http://schemas.openxmlformats.org/officeDocument/2006/relationships/hyperlink" Target="https://drive.google.com/open?id=13ynUonK5SnDUDzaUy1SMUBxSMJ-rWWJH" TargetMode="External"/><Relationship Id="rId2119" Type="http://schemas.openxmlformats.org/officeDocument/2006/relationships/hyperlink" Target="https://drive.google.com/open?id=1YXAzeBnIY2e2xenliztCVQRHoe9t6lF6" TargetMode="External"/><Relationship Id="rId3441" Type="http://schemas.openxmlformats.org/officeDocument/2006/relationships/hyperlink" Target="https://drive.google.com/open?id=1xrbeR8Ii7EfdSeVIG1vsLwxEEWHj1v0I" TargetMode="External"/><Relationship Id="rId2110" Type="http://schemas.openxmlformats.org/officeDocument/2006/relationships/hyperlink" Target="https://drive.google.com/open?id=1SzYA2o1YNlA3wZ5K3BfGwTf9ghsZ9uIq" TargetMode="External"/><Relationship Id="rId3440" Type="http://schemas.openxmlformats.org/officeDocument/2006/relationships/hyperlink" Target="https://drive.google.com/open?id=1skBkHsKJKpaQ8GUDHCQib5YDd2eJ0cSh" TargetMode="External"/><Relationship Id="rId2111" Type="http://schemas.openxmlformats.org/officeDocument/2006/relationships/hyperlink" Target="https://drive.google.com/open?id=1OV7Qyw_3EjRbjhLocYnk1gkGMcxoAvCU" TargetMode="External"/><Relationship Id="rId3443" Type="http://schemas.openxmlformats.org/officeDocument/2006/relationships/hyperlink" Target="https://drive.google.com/open?id=1lX9dG89JASFB8_9II-EZhkWBPH3x_LT7" TargetMode="External"/><Relationship Id="rId2112" Type="http://schemas.openxmlformats.org/officeDocument/2006/relationships/hyperlink" Target="https://drive.google.com/open?id=1TLIsU98U2U_u85HQ-l46MS6unKBmhtn4" TargetMode="External"/><Relationship Id="rId3442" Type="http://schemas.openxmlformats.org/officeDocument/2006/relationships/hyperlink" Target="https://drive.google.com/open?id=1ayRhQFfVL37bzlA5ksZ2WU86p-76FCDl" TargetMode="External"/><Relationship Id="rId2113" Type="http://schemas.openxmlformats.org/officeDocument/2006/relationships/hyperlink" Target="https://drive.google.com/open?id=1_2afX_9pGTSaFiKj2ZuZ9g3kTnCOuycW" TargetMode="External"/><Relationship Id="rId3445" Type="http://schemas.openxmlformats.org/officeDocument/2006/relationships/hyperlink" Target="https://drive.google.com/open?id=1pZeynYBpPAlsVNdHHP77oq852bzHsFRJ" TargetMode="External"/><Relationship Id="rId2114" Type="http://schemas.openxmlformats.org/officeDocument/2006/relationships/hyperlink" Target="https://drive.google.com/open?id=15EM8jHb2GR0VHXdK0R6LVX7e2UssxFjs" TargetMode="External"/><Relationship Id="rId3444" Type="http://schemas.openxmlformats.org/officeDocument/2006/relationships/hyperlink" Target="https://drive.google.com/open?id=1ts_JVLZrcFYkIDoFq38jb4XGGIhaLdZJ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8.88"/>
    <col customWidth="1" min="3" max="3" width="30.25"/>
    <col customWidth="1" min="4" max="4" width="27.0"/>
    <col customWidth="1" min="5" max="5" width="24.63"/>
    <col customWidth="1" min="6" max="6" width="32.5"/>
    <col customWidth="1" min="7" max="7" width="19.0"/>
    <col customWidth="1" min="8" max="8" width="24.88"/>
    <col customWidth="1" min="9" max="9" width="36.88"/>
    <col customWidth="1" min="10" max="10" width="34.25"/>
    <col customWidth="1" min="11" max="11" width="15.75"/>
    <col customWidth="1" min="12" max="12" width="18.88"/>
    <col customWidth="1" min="13" max="13" width="32.88"/>
    <col customWidth="1" min="14" max="14" width="38.13"/>
    <col customWidth="1" min="15" max="15" width="28.88"/>
    <col customWidth="1" min="16" max="16" width="22.5"/>
    <col customWidth="1" min="17" max="17" width="34.63"/>
    <col customWidth="1" min="18" max="18" width="31.63"/>
    <col customWidth="1" min="19" max="19" width="28.0"/>
    <col customWidth="1" min="20" max="22" width="18.88"/>
    <col customWidth="1" min="23" max="23" width="28.13"/>
    <col customWidth="1" min="24" max="24" width="23.88"/>
    <col customWidth="1" min="25" max="33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15</v>
      </c>
      <c r="R1" s="1" t="s">
        <v>15</v>
      </c>
      <c r="S1" s="1" t="s">
        <v>15</v>
      </c>
      <c r="T1" s="1" t="s">
        <v>15</v>
      </c>
      <c r="U1" s="1" t="s">
        <v>15</v>
      </c>
      <c r="V1" s="1" t="s">
        <v>15</v>
      </c>
      <c r="W1" s="1" t="s">
        <v>15</v>
      </c>
      <c r="X1" s="1" t="s">
        <v>15</v>
      </c>
      <c r="Y1" s="1" t="s">
        <v>16</v>
      </c>
      <c r="Z1" s="1" t="s">
        <v>17</v>
      </c>
      <c r="AA1" s="1" t="s">
        <v>18</v>
      </c>
      <c r="AB1" s="3"/>
      <c r="AC1" s="3"/>
      <c r="AD1" s="3"/>
      <c r="AE1" s="3"/>
      <c r="AF1" s="3"/>
      <c r="AG1" s="3"/>
    </row>
    <row r="2" ht="22.5" customHeight="1">
      <c r="A2" s="4">
        <v>45897.58597868055</v>
      </c>
      <c r="B2" s="5"/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0.0</v>
      </c>
      <c r="I2" s="6" t="s">
        <v>24</v>
      </c>
      <c r="J2" s="6" t="s">
        <v>25</v>
      </c>
      <c r="K2" s="7" t="s">
        <v>26</v>
      </c>
      <c r="L2" s="6" t="s">
        <v>27</v>
      </c>
      <c r="M2" s="6"/>
      <c r="N2" s="8"/>
      <c r="O2" s="8"/>
      <c r="P2" s="8"/>
      <c r="Q2" s="9" t="s">
        <v>28</v>
      </c>
      <c r="R2" s="8"/>
      <c r="S2" s="8"/>
      <c r="T2" s="8"/>
      <c r="U2" s="8"/>
      <c r="V2" s="8"/>
      <c r="W2" s="8"/>
      <c r="X2" s="8"/>
      <c r="Y2" s="8"/>
      <c r="Z2" s="8"/>
      <c r="AA2" s="8"/>
      <c r="AB2" s="3"/>
      <c r="AC2" s="3"/>
      <c r="AD2" s="3"/>
      <c r="AE2" s="3"/>
      <c r="AF2" s="3"/>
      <c r="AG2" s="3"/>
    </row>
    <row r="3" ht="22.5" customHeight="1">
      <c r="A3" s="4">
        <v>45897.59262289351</v>
      </c>
      <c r="B3" s="5"/>
      <c r="C3" s="6" t="s">
        <v>29</v>
      </c>
      <c r="D3" s="6" t="s">
        <v>30</v>
      </c>
      <c r="E3" s="6" t="s">
        <v>31</v>
      </c>
      <c r="F3" s="6">
        <v>4500000.0</v>
      </c>
      <c r="G3" s="6" t="s">
        <v>23</v>
      </c>
      <c r="H3" s="6" t="s">
        <v>32</v>
      </c>
      <c r="I3" s="6" t="s">
        <v>33</v>
      </c>
      <c r="J3" s="6" t="s">
        <v>23</v>
      </c>
      <c r="K3" s="7" t="s">
        <v>34</v>
      </c>
      <c r="L3" s="6" t="s">
        <v>27</v>
      </c>
      <c r="M3" s="6" t="s">
        <v>35</v>
      </c>
      <c r="N3" s="8"/>
      <c r="O3" s="8"/>
      <c r="P3" s="8"/>
      <c r="Q3" s="9" t="s">
        <v>36</v>
      </c>
      <c r="R3" s="8"/>
      <c r="S3" s="8"/>
      <c r="T3" s="8"/>
      <c r="U3" s="8"/>
      <c r="V3" s="8"/>
      <c r="W3" s="8"/>
      <c r="X3" s="8"/>
      <c r="Y3" s="8"/>
      <c r="Z3" s="8"/>
      <c r="AA3" s="8"/>
      <c r="AB3" s="3"/>
      <c r="AC3" s="3"/>
      <c r="AD3" s="3"/>
      <c r="AE3" s="3"/>
      <c r="AF3" s="3"/>
      <c r="AG3" s="3"/>
    </row>
    <row r="4" ht="22.5" customHeight="1">
      <c r="A4" s="4">
        <v>45897.59448921296</v>
      </c>
      <c r="B4" s="5"/>
      <c r="C4" s="6" t="s">
        <v>37</v>
      </c>
      <c r="D4" s="6" t="s">
        <v>38</v>
      </c>
      <c r="E4" s="6" t="s">
        <v>31</v>
      </c>
      <c r="F4" s="6">
        <v>4.0</v>
      </c>
      <c r="G4" s="6" t="s">
        <v>23</v>
      </c>
      <c r="H4" s="6" t="s">
        <v>39</v>
      </c>
      <c r="I4" s="6" t="s">
        <v>24</v>
      </c>
      <c r="J4" s="6" t="s">
        <v>23</v>
      </c>
      <c r="K4" s="7" t="s">
        <v>40</v>
      </c>
      <c r="L4" s="6" t="s">
        <v>27</v>
      </c>
      <c r="M4" s="8"/>
      <c r="N4" s="8"/>
      <c r="O4" s="8"/>
      <c r="P4" s="8"/>
      <c r="Q4" s="9" t="s">
        <v>36</v>
      </c>
      <c r="R4" s="8"/>
      <c r="S4" s="8"/>
      <c r="T4" s="8"/>
      <c r="U4" s="8"/>
      <c r="V4" s="8"/>
      <c r="W4" s="8"/>
      <c r="X4" s="8"/>
      <c r="Y4" s="8"/>
      <c r="Z4" s="8"/>
      <c r="AA4" s="8"/>
      <c r="AB4" s="3"/>
      <c r="AC4" s="3"/>
      <c r="AD4" s="3"/>
      <c r="AE4" s="3"/>
      <c r="AF4" s="3"/>
      <c r="AG4" s="3"/>
    </row>
    <row r="5" ht="22.5" customHeight="1">
      <c r="A5" s="4">
        <v>45897.60611929398</v>
      </c>
      <c r="B5" s="5"/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25</v>
      </c>
      <c r="I5" s="6" t="s">
        <v>24</v>
      </c>
      <c r="J5" s="6" t="s">
        <v>25</v>
      </c>
      <c r="K5" s="7" t="s">
        <v>46</v>
      </c>
      <c r="L5" s="6" t="s">
        <v>27</v>
      </c>
      <c r="M5" s="8"/>
      <c r="N5" s="8"/>
      <c r="O5" s="8"/>
      <c r="P5" s="8"/>
      <c r="Q5" s="9" t="s">
        <v>47</v>
      </c>
      <c r="R5" s="8"/>
      <c r="S5" s="8"/>
      <c r="T5" s="8"/>
      <c r="U5" s="8"/>
      <c r="V5" s="8"/>
      <c r="W5" s="8"/>
      <c r="X5" s="8"/>
      <c r="Y5" s="8"/>
      <c r="Z5" s="8"/>
      <c r="AA5" s="8"/>
      <c r="AB5" s="3"/>
      <c r="AC5" s="3"/>
      <c r="AD5" s="3"/>
      <c r="AE5" s="3"/>
      <c r="AF5" s="3"/>
      <c r="AG5" s="3"/>
    </row>
    <row r="6" ht="22.5" customHeight="1">
      <c r="A6" s="4">
        <v>45897.639471574075</v>
      </c>
      <c r="B6" s="5"/>
      <c r="C6" s="6" t="s">
        <v>48</v>
      </c>
      <c r="D6" s="10" t="s">
        <v>49</v>
      </c>
      <c r="E6" s="6" t="s">
        <v>43</v>
      </c>
      <c r="F6" s="6" t="s">
        <v>50</v>
      </c>
      <c r="G6" s="6" t="s">
        <v>23</v>
      </c>
      <c r="H6" s="6" t="s">
        <v>51</v>
      </c>
      <c r="I6" s="6" t="s">
        <v>24</v>
      </c>
      <c r="J6" s="6" t="s">
        <v>51</v>
      </c>
      <c r="K6" s="7" t="s">
        <v>52</v>
      </c>
      <c r="L6" s="6" t="s">
        <v>27</v>
      </c>
      <c r="M6" s="8"/>
      <c r="N6" s="8"/>
      <c r="O6" s="8"/>
      <c r="P6" s="8"/>
      <c r="Q6" s="9" t="s">
        <v>53</v>
      </c>
      <c r="R6" s="8"/>
      <c r="S6" s="8"/>
      <c r="T6" s="8"/>
      <c r="U6" s="8"/>
      <c r="V6" s="8"/>
      <c r="W6" s="8"/>
      <c r="X6" s="8"/>
      <c r="Y6" s="8"/>
      <c r="Z6" s="8"/>
      <c r="AA6" s="8"/>
      <c r="AB6" s="3"/>
      <c r="AC6" s="3"/>
      <c r="AD6" s="3"/>
      <c r="AE6" s="3"/>
      <c r="AF6" s="3"/>
      <c r="AG6" s="3"/>
    </row>
    <row r="7" ht="22.5" customHeight="1">
      <c r="A7" s="4">
        <v>45897.64885048611</v>
      </c>
      <c r="B7" s="5"/>
      <c r="C7" s="6" t="s">
        <v>54</v>
      </c>
      <c r="D7" s="10" t="s">
        <v>55</v>
      </c>
      <c r="E7" s="6" t="s">
        <v>56</v>
      </c>
      <c r="F7" s="6" t="s">
        <v>50</v>
      </c>
      <c r="G7" s="6" t="s">
        <v>23</v>
      </c>
      <c r="H7" s="6" t="s">
        <v>57</v>
      </c>
      <c r="I7" s="6" t="s">
        <v>24</v>
      </c>
      <c r="J7" s="6" t="s">
        <v>57</v>
      </c>
      <c r="K7" s="7" t="s">
        <v>58</v>
      </c>
      <c r="L7" s="6" t="s">
        <v>27</v>
      </c>
      <c r="M7" s="8"/>
      <c r="N7" s="8"/>
      <c r="O7" s="8"/>
      <c r="P7" s="8"/>
      <c r="Q7" s="9" t="s">
        <v>59</v>
      </c>
      <c r="R7" s="8"/>
      <c r="S7" s="8"/>
      <c r="T7" s="8"/>
      <c r="U7" s="8"/>
      <c r="V7" s="8"/>
      <c r="W7" s="8"/>
      <c r="X7" s="8"/>
      <c r="Y7" s="8"/>
      <c r="Z7" s="8"/>
      <c r="AA7" s="8"/>
      <c r="AB7" s="3"/>
      <c r="AC7" s="3"/>
      <c r="AD7" s="3"/>
      <c r="AE7" s="3"/>
      <c r="AF7" s="3"/>
      <c r="AG7" s="3"/>
    </row>
    <row r="8" ht="22.5" customHeight="1">
      <c r="A8" s="4">
        <v>45897.65071901621</v>
      </c>
      <c r="B8" s="5"/>
      <c r="C8" s="6" t="s">
        <v>60</v>
      </c>
      <c r="D8" s="10" t="s">
        <v>61</v>
      </c>
      <c r="E8" s="6" t="s">
        <v>62</v>
      </c>
      <c r="F8" s="6" t="s">
        <v>63</v>
      </c>
      <c r="G8" s="6" t="s">
        <v>23</v>
      </c>
      <c r="H8" s="6" t="s">
        <v>57</v>
      </c>
      <c r="I8" s="6" t="s">
        <v>24</v>
      </c>
      <c r="J8" s="6" t="s">
        <v>64</v>
      </c>
      <c r="K8" s="7" t="s">
        <v>65</v>
      </c>
      <c r="L8" s="6" t="s">
        <v>27</v>
      </c>
      <c r="M8" s="8"/>
      <c r="N8" s="8"/>
      <c r="O8" s="8"/>
      <c r="P8" s="8"/>
      <c r="Q8" s="9" t="s">
        <v>59</v>
      </c>
      <c r="R8" s="8"/>
      <c r="S8" s="8"/>
      <c r="T8" s="8"/>
      <c r="U8" s="8"/>
      <c r="V8" s="8"/>
      <c r="W8" s="8"/>
      <c r="X8" s="8"/>
      <c r="Y8" s="8"/>
      <c r="Z8" s="8"/>
      <c r="AA8" s="8"/>
      <c r="AB8" s="3"/>
      <c r="AC8" s="3"/>
      <c r="AD8" s="3"/>
      <c r="AE8" s="3"/>
      <c r="AF8" s="3"/>
      <c r="AG8" s="3"/>
    </row>
    <row r="9" ht="22.5" customHeight="1">
      <c r="A9" s="4">
        <v>45897.65229791666</v>
      </c>
      <c r="B9" s="5"/>
      <c r="C9" s="6" t="s">
        <v>66</v>
      </c>
      <c r="D9" s="10" t="s">
        <v>67</v>
      </c>
      <c r="E9" s="6" t="s">
        <v>43</v>
      </c>
      <c r="F9" s="6" t="s">
        <v>68</v>
      </c>
      <c r="G9" s="6" t="s">
        <v>23</v>
      </c>
      <c r="H9" s="6" t="s">
        <v>25</v>
      </c>
      <c r="I9" s="6" t="s">
        <v>24</v>
      </c>
      <c r="J9" s="6" t="s">
        <v>25</v>
      </c>
      <c r="K9" s="7" t="s">
        <v>69</v>
      </c>
      <c r="L9" s="6" t="s">
        <v>27</v>
      </c>
      <c r="M9" s="8"/>
      <c r="N9" s="8"/>
      <c r="O9" s="8"/>
      <c r="P9" s="8"/>
      <c r="Q9" s="9" t="s">
        <v>47</v>
      </c>
      <c r="R9" s="8"/>
      <c r="S9" s="8"/>
      <c r="T9" s="8"/>
      <c r="U9" s="8"/>
      <c r="V9" s="8"/>
      <c r="W9" s="8"/>
      <c r="X9" s="8"/>
      <c r="Y9" s="8"/>
      <c r="Z9" s="8"/>
      <c r="AA9" s="8"/>
      <c r="AB9" s="3"/>
      <c r="AC9" s="3"/>
      <c r="AD9" s="3"/>
      <c r="AE9" s="3"/>
      <c r="AF9" s="3"/>
      <c r="AG9" s="3"/>
    </row>
    <row r="10" ht="22.5" customHeight="1">
      <c r="A10" s="4">
        <v>45897.69177612269</v>
      </c>
      <c r="B10" s="5"/>
      <c r="C10" s="6" t="s">
        <v>70</v>
      </c>
      <c r="D10" s="10" t="s">
        <v>71</v>
      </c>
      <c r="E10" s="6" t="s">
        <v>72</v>
      </c>
      <c r="F10" s="6" t="s">
        <v>73</v>
      </c>
      <c r="G10" s="6" t="s">
        <v>23</v>
      </c>
      <c r="H10" s="6" t="s">
        <v>74</v>
      </c>
      <c r="I10" s="6" t="s">
        <v>33</v>
      </c>
      <c r="J10" s="6" t="s">
        <v>25</v>
      </c>
      <c r="K10" s="7" t="s">
        <v>75</v>
      </c>
      <c r="L10" s="6" t="s">
        <v>27</v>
      </c>
      <c r="M10" s="6" t="s">
        <v>35</v>
      </c>
      <c r="N10" s="8"/>
      <c r="O10" s="8"/>
      <c r="P10" s="8"/>
      <c r="Q10" s="9" t="s">
        <v>28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3"/>
      <c r="AC10" s="3"/>
      <c r="AD10" s="3"/>
      <c r="AE10" s="3"/>
      <c r="AF10" s="3"/>
      <c r="AG10" s="3"/>
    </row>
    <row r="11" ht="22.5" customHeight="1">
      <c r="A11" s="4">
        <v>45897.75415983796</v>
      </c>
      <c r="B11" s="5"/>
      <c r="C11" s="6" t="s">
        <v>76</v>
      </c>
      <c r="D11" s="10" t="s">
        <v>77</v>
      </c>
      <c r="E11" s="6" t="s">
        <v>78</v>
      </c>
      <c r="F11" s="6" t="s">
        <v>79</v>
      </c>
      <c r="G11" s="6" t="s">
        <v>45</v>
      </c>
      <c r="H11" s="6" t="s">
        <v>80</v>
      </c>
      <c r="I11" s="6" t="s">
        <v>81</v>
      </c>
      <c r="J11" s="6" t="s">
        <v>51</v>
      </c>
      <c r="K11" s="7" t="s">
        <v>82</v>
      </c>
      <c r="L11" s="6" t="s">
        <v>27</v>
      </c>
      <c r="M11" s="8"/>
      <c r="N11" s="8"/>
      <c r="O11" s="8"/>
      <c r="P11" s="8"/>
      <c r="Q11" s="9" t="s">
        <v>83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3"/>
      <c r="AC11" s="3"/>
      <c r="AD11" s="3"/>
      <c r="AE11" s="3"/>
      <c r="AF11" s="3"/>
      <c r="AG11" s="3"/>
    </row>
    <row r="12" ht="22.5" customHeight="1">
      <c r="A12" s="4">
        <v>45897.77933287037</v>
      </c>
      <c r="B12" s="5"/>
      <c r="C12" s="6" t="s">
        <v>84</v>
      </c>
      <c r="D12" s="10" t="s">
        <v>85</v>
      </c>
      <c r="E12" s="6" t="s">
        <v>86</v>
      </c>
      <c r="F12" s="6" t="s">
        <v>87</v>
      </c>
      <c r="G12" s="6" t="s">
        <v>23</v>
      </c>
      <c r="H12" s="6">
        <v>0.0</v>
      </c>
      <c r="I12" s="6" t="s">
        <v>24</v>
      </c>
      <c r="J12" s="6" t="s">
        <v>88</v>
      </c>
      <c r="K12" s="7" t="s">
        <v>89</v>
      </c>
      <c r="L12" s="6" t="s">
        <v>27</v>
      </c>
      <c r="M12" s="8"/>
      <c r="N12" s="8"/>
      <c r="O12" s="8"/>
      <c r="P12" s="8"/>
      <c r="Q12" s="9" t="s">
        <v>90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3"/>
      <c r="AC12" s="3"/>
      <c r="AD12" s="3"/>
      <c r="AE12" s="3"/>
      <c r="AF12" s="3"/>
      <c r="AG12" s="3"/>
    </row>
    <row r="13" ht="22.5" customHeight="1">
      <c r="A13" s="4">
        <v>45897.77954232639</v>
      </c>
      <c r="B13" s="5"/>
      <c r="C13" s="6" t="s">
        <v>91</v>
      </c>
      <c r="D13" s="10" t="s">
        <v>92</v>
      </c>
      <c r="E13" s="6" t="s">
        <v>93</v>
      </c>
      <c r="F13" s="6" t="s">
        <v>94</v>
      </c>
      <c r="G13" s="6" t="s">
        <v>23</v>
      </c>
      <c r="H13" s="6">
        <v>0.0</v>
      </c>
      <c r="I13" s="6" t="s">
        <v>95</v>
      </c>
      <c r="J13" s="6" t="s">
        <v>96</v>
      </c>
      <c r="K13" s="7" t="s">
        <v>97</v>
      </c>
      <c r="L13" s="6" t="s">
        <v>27</v>
      </c>
      <c r="M13" s="8"/>
      <c r="N13" s="8"/>
      <c r="O13" s="8"/>
      <c r="P13" s="8"/>
      <c r="Q13" s="9" t="s">
        <v>98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3"/>
      <c r="AC13" s="3"/>
      <c r="AD13" s="3"/>
      <c r="AE13" s="3"/>
      <c r="AF13" s="3"/>
      <c r="AG13" s="3"/>
    </row>
    <row r="14" ht="22.5" customHeight="1">
      <c r="A14" s="4">
        <v>45897.78107916667</v>
      </c>
      <c r="B14" s="5"/>
      <c r="C14" s="6" t="s">
        <v>99</v>
      </c>
      <c r="D14" s="10" t="s">
        <v>100</v>
      </c>
      <c r="E14" s="6" t="s">
        <v>31</v>
      </c>
      <c r="F14" s="6" t="s">
        <v>101</v>
      </c>
      <c r="G14" s="6" t="s">
        <v>23</v>
      </c>
      <c r="H14" s="6">
        <v>0.0</v>
      </c>
      <c r="I14" s="6" t="s">
        <v>102</v>
      </c>
      <c r="J14" s="6" t="s">
        <v>96</v>
      </c>
      <c r="K14" s="7" t="s">
        <v>103</v>
      </c>
      <c r="L14" s="6" t="s">
        <v>27</v>
      </c>
      <c r="M14" s="8"/>
      <c r="N14" s="8"/>
      <c r="O14" s="8"/>
      <c r="P14" s="8"/>
      <c r="Q14" s="9" t="s">
        <v>98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3"/>
      <c r="AC14" s="3"/>
      <c r="AD14" s="3"/>
      <c r="AE14" s="3"/>
      <c r="AF14" s="3"/>
      <c r="AG14" s="3"/>
    </row>
    <row r="15" ht="22.5" customHeight="1">
      <c r="A15" s="4">
        <v>45897.80027759259</v>
      </c>
      <c r="B15" s="5"/>
      <c r="C15" s="6" t="s">
        <v>104</v>
      </c>
      <c r="D15" s="6">
        <v>1.2345678E7</v>
      </c>
      <c r="E15" s="6" t="s">
        <v>105</v>
      </c>
      <c r="F15" s="6">
        <v>2000000.0</v>
      </c>
      <c r="G15" s="6" t="s">
        <v>23</v>
      </c>
      <c r="H15" s="6">
        <v>0.0</v>
      </c>
      <c r="I15" s="6" t="s">
        <v>24</v>
      </c>
      <c r="J15" s="6" t="s">
        <v>25</v>
      </c>
      <c r="K15" s="7" t="s">
        <v>106</v>
      </c>
      <c r="L15" s="6" t="s">
        <v>107</v>
      </c>
      <c r="M15" s="8"/>
      <c r="N15" s="8"/>
      <c r="O15" s="8"/>
      <c r="P15" s="8"/>
      <c r="Q15" s="11" t="s">
        <v>108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3"/>
      <c r="AC15" s="3"/>
      <c r="AD15" s="3"/>
      <c r="AE15" s="3"/>
      <c r="AF15" s="3"/>
      <c r="AG15" s="3"/>
    </row>
    <row r="16" ht="22.5" customHeight="1">
      <c r="A16" s="4">
        <v>45897.80897542824</v>
      </c>
      <c r="B16" s="5"/>
      <c r="C16" s="6" t="s">
        <v>109</v>
      </c>
      <c r="D16" s="10" t="s">
        <v>110</v>
      </c>
      <c r="E16" s="6" t="s">
        <v>31</v>
      </c>
      <c r="F16" s="6">
        <v>10.0</v>
      </c>
      <c r="G16" s="6" t="s">
        <v>23</v>
      </c>
      <c r="H16" s="6">
        <v>0.0</v>
      </c>
      <c r="I16" s="6" t="s">
        <v>24</v>
      </c>
      <c r="J16" s="6" t="s">
        <v>111</v>
      </c>
      <c r="K16" s="7" t="s">
        <v>112</v>
      </c>
      <c r="L16" s="6" t="s">
        <v>107</v>
      </c>
      <c r="M16" s="8"/>
      <c r="N16" s="8"/>
      <c r="O16" s="8"/>
      <c r="P16" s="8"/>
      <c r="Q16" s="11" t="s">
        <v>108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3"/>
      <c r="AC16" s="3"/>
      <c r="AD16" s="3"/>
      <c r="AE16" s="3"/>
      <c r="AF16" s="3"/>
      <c r="AG16" s="3"/>
    </row>
    <row r="17" ht="22.5" customHeight="1">
      <c r="A17" s="4">
        <v>45897.835055891206</v>
      </c>
      <c r="B17" s="5"/>
      <c r="C17" s="6" t="s">
        <v>113</v>
      </c>
      <c r="D17" s="10" t="s">
        <v>114</v>
      </c>
      <c r="E17" s="6" t="s">
        <v>115</v>
      </c>
      <c r="F17" s="6" t="s">
        <v>32</v>
      </c>
      <c r="G17" s="6" t="s">
        <v>45</v>
      </c>
      <c r="H17" s="6">
        <v>0.0</v>
      </c>
      <c r="I17" s="6" t="s">
        <v>116</v>
      </c>
      <c r="J17" s="6" t="s">
        <v>117</v>
      </c>
      <c r="K17" s="7" t="s">
        <v>118</v>
      </c>
      <c r="L17" s="6" t="s">
        <v>27</v>
      </c>
      <c r="M17" s="8"/>
      <c r="N17" s="8"/>
      <c r="O17" s="8"/>
      <c r="P17" s="8"/>
      <c r="Q17" s="9" t="s">
        <v>98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3"/>
      <c r="AC17" s="3"/>
      <c r="AD17" s="3"/>
      <c r="AE17" s="3"/>
      <c r="AF17" s="3"/>
      <c r="AG17" s="3"/>
    </row>
    <row r="18" ht="22.5" customHeight="1">
      <c r="A18" s="4">
        <v>45897.83743508102</v>
      </c>
      <c r="B18" s="5"/>
      <c r="C18" s="6" t="s">
        <v>119</v>
      </c>
      <c r="D18" s="10" t="s">
        <v>120</v>
      </c>
      <c r="E18" s="6" t="s">
        <v>121</v>
      </c>
      <c r="F18" s="6" t="s">
        <v>122</v>
      </c>
      <c r="G18" s="6" t="s">
        <v>23</v>
      </c>
      <c r="H18" s="6">
        <v>0.0</v>
      </c>
      <c r="I18" s="6" t="s">
        <v>24</v>
      </c>
      <c r="J18" s="6" t="s">
        <v>25</v>
      </c>
      <c r="K18" s="7" t="s">
        <v>123</v>
      </c>
      <c r="L18" s="6" t="s">
        <v>27</v>
      </c>
      <c r="M18" s="8"/>
      <c r="N18" s="8"/>
      <c r="O18" s="8"/>
      <c r="P18" s="8"/>
      <c r="Q18" s="9" t="s">
        <v>124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3"/>
      <c r="AC18" s="3"/>
      <c r="AD18" s="3"/>
      <c r="AE18" s="3"/>
      <c r="AF18" s="3"/>
      <c r="AG18" s="3"/>
    </row>
    <row r="19" ht="22.5" customHeight="1">
      <c r="A19" s="4">
        <v>45898.3801822338</v>
      </c>
      <c r="B19" s="5"/>
      <c r="C19" s="6" t="s">
        <v>125</v>
      </c>
      <c r="D19" s="10" t="s">
        <v>126</v>
      </c>
      <c r="E19" s="6" t="s">
        <v>127</v>
      </c>
      <c r="F19" s="6" t="s">
        <v>128</v>
      </c>
      <c r="G19" s="6" t="s">
        <v>23</v>
      </c>
      <c r="H19" s="6">
        <v>0.0</v>
      </c>
      <c r="I19" s="6" t="s">
        <v>24</v>
      </c>
      <c r="J19" s="12"/>
      <c r="K19" s="7" t="s">
        <v>129</v>
      </c>
      <c r="L19" s="6" t="s">
        <v>27</v>
      </c>
      <c r="M19" s="8"/>
      <c r="N19" s="8"/>
      <c r="O19" s="8"/>
      <c r="P19" s="8"/>
      <c r="Q19" s="9" t="s">
        <v>90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3"/>
      <c r="AC19" s="3"/>
      <c r="AD19" s="3"/>
      <c r="AE19" s="3"/>
      <c r="AF19" s="3"/>
      <c r="AG19" s="3"/>
    </row>
    <row r="20" ht="22.5" customHeight="1">
      <c r="A20" s="4">
        <v>45898.499299629635</v>
      </c>
      <c r="B20" s="5"/>
      <c r="C20" s="6" t="s">
        <v>130</v>
      </c>
      <c r="D20" s="10" t="s">
        <v>131</v>
      </c>
      <c r="E20" s="6" t="s">
        <v>132</v>
      </c>
      <c r="F20" s="6" t="s">
        <v>133</v>
      </c>
      <c r="G20" s="6" t="s">
        <v>23</v>
      </c>
      <c r="H20" s="6" t="s">
        <v>32</v>
      </c>
      <c r="I20" s="6" t="s">
        <v>33</v>
      </c>
      <c r="J20" s="6" t="s">
        <v>57</v>
      </c>
      <c r="K20" s="7" t="s">
        <v>134</v>
      </c>
      <c r="L20" s="6" t="s">
        <v>27</v>
      </c>
      <c r="M20" s="6" t="s">
        <v>35</v>
      </c>
      <c r="N20" s="8"/>
      <c r="O20" s="8"/>
      <c r="P20" s="8"/>
      <c r="Q20" s="9" t="s">
        <v>90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3"/>
      <c r="AC20" s="3"/>
      <c r="AD20" s="3"/>
      <c r="AE20" s="3"/>
      <c r="AF20" s="3"/>
      <c r="AG20" s="3"/>
    </row>
    <row r="21" ht="22.5" customHeight="1">
      <c r="A21" s="4">
        <v>45898.57057521991</v>
      </c>
      <c r="B21" s="5"/>
      <c r="C21" s="6" t="s">
        <v>135</v>
      </c>
      <c r="D21" s="10" t="s">
        <v>136</v>
      </c>
      <c r="E21" s="6" t="s">
        <v>137</v>
      </c>
      <c r="F21" s="6" t="s">
        <v>138</v>
      </c>
      <c r="G21" s="6" t="s">
        <v>23</v>
      </c>
      <c r="H21" s="6" t="s">
        <v>23</v>
      </c>
      <c r="I21" s="6" t="s">
        <v>24</v>
      </c>
      <c r="J21" s="6" t="s">
        <v>139</v>
      </c>
      <c r="K21" s="7" t="s">
        <v>140</v>
      </c>
      <c r="L21" s="6" t="s">
        <v>27</v>
      </c>
      <c r="M21" s="8"/>
      <c r="N21" s="8"/>
      <c r="O21" s="8"/>
      <c r="P21" s="8"/>
      <c r="Q21" s="9" t="s">
        <v>83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3"/>
      <c r="AC21" s="3"/>
      <c r="AD21" s="3"/>
      <c r="AE21" s="3"/>
      <c r="AF21" s="3"/>
      <c r="AG21" s="3"/>
    </row>
    <row r="22" ht="22.5" customHeight="1">
      <c r="A22" s="13">
        <v>45898.658665625</v>
      </c>
      <c r="B22" s="14"/>
      <c r="C22" s="11" t="s">
        <v>141</v>
      </c>
      <c r="D22" s="15" t="s">
        <v>142</v>
      </c>
      <c r="E22" s="11" t="s">
        <v>143</v>
      </c>
      <c r="F22" s="11" t="s">
        <v>144</v>
      </c>
      <c r="G22" s="11" t="s">
        <v>23</v>
      </c>
      <c r="H22" s="11" t="s">
        <v>145</v>
      </c>
      <c r="I22" s="11" t="s">
        <v>24</v>
      </c>
      <c r="J22" s="11" t="s">
        <v>146</v>
      </c>
      <c r="K22" s="16" t="s">
        <v>147</v>
      </c>
      <c r="L22" s="11" t="s">
        <v>27</v>
      </c>
      <c r="M22" s="11" t="s">
        <v>35</v>
      </c>
      <c r="N22" s="17"/>
      <c r="O22" s="17"/>
      <c r="P22" s="17"/>
      <c r="Q22" s="11" t="s">
        <v>148</v>
      </c>
      <c r="R22" s="17"/>
      <c r="S22" s="17"/>
      <c r="T22" s="17"/>
      <c r="U22" s="17"/>
      <c r="V22" s="17"/>
      <c r="W22" s="17"/>
      <c r="X22" s="17"/>
      <c r="Y22" s="17"/>
      <c r="Z22" s="17"/>
      <c r="AA22" s="18"/>
      <c r="AB22" s="19"/>
      <c r="AC22" s="19"/>
      <c r="AD22" s="19"/>
      <c r="AE22" s="19"/>
      <c r="AF22" s="19"/>
      <c r="AG22" s="19"/>
    </row>
    <row r="23" ht="22.5" customHeight="1">
      <c r="A23" s="13">
        <v>45898.6762975</v>
      </c>
      <c r="B23" s="14"/>
      <c r="C23" s="11" t="s">
        <v>149</v>
      </c>
      <c r="D23" s="15" t="s">
        <v>150</v>
      </c>
      <c r="E23" s="11" t="s">
        <v>121</v>
      </c>
      <c r="F23" s="11" t="s">
        <v>151</v>
      </c>
      <c r="G23" s="11" t="s">
        <v>23</v>
      </c>
      <c r="H23" s="11">
        <v>0.0</v>
      </c>
      <c r="I23" s="11" t="s">
        <v>152</v>
      </c>
      <c r="J23" s="11" t="s">
        <v>152</v>
      </c>
      <c r="K23" s="16" t="s">
        <v>153</v>
      </c>
      <c r="L23" s="11" t="s">
        <v>27</v>
      </c>
      <c r="M23" s="11" t="s">
        <v>35</v>
      </c>
      <c r="N23" s="17"/>
      <c r="O23" s="17"/>
      <c r="P23" s="17"/>
      <c r="Q23" s="11" t="s">
        <v>90</v>
      </c>
      <c r="R23" s="17"/>
      <c r="S23" s="17"/>
      <c r="T23" s="17"/>
      <c r="U23" s="17"/>
      <c r="V23" s="17"/>
      <c r="W23" s="17"/>
      <c r="X23" s="17"/>
      <c r="Y23" s="17"/>
      <c r="Z23" s="17"/>
      <c r="AA23" s="18"/>
      <c r="AB23" s="19"/>
      <c r="AC23" s="19"/>
      <c r="AD23" s="19"/>
      <c r="AE23" s="19"/>
      <c r="AF23" s="19"/>
      <c r="AG23" s="19"/>
    </row>
    <row r="24" ht="22.5" customHeight="1">
      <c r="A24" s="13">
        <v>45898.79220520833</v>
      </c>
      <c r="B24" s="14"/>
      <c r="C24" s="11" t="s">
        <v>154</v>
      </c>
      <c r="D24" s="15" t="s">
        <v>155</v>
      </c>
      <c r="E24" s="11" t="s">
        <v>156</v>
      </c>
      <c r="F24" s="11" t="s">
        <v>151</v>
      </c>
      <c r="G24" s="11" t="s">
        <v>23</v>
      </c>
      <c r="H24" s="11" t="s">
        <v>157</v>
      </c>
      <c r="I24" s="11" t="s">
        <v>33</v>
      </c>
      <c r="J24" s="11" t="s">
        <v>158</v>
      </c>
      <c r="K24" s="16" t="s">
        <v>159</v>
      </c>
      <c r="L24" s="11" t="s">
        <v>27</v>
      </c>
      <c r="M24" s="11" t="s">
        <v>160</v>
      </c>
      <c r="N24" s="17"/>
      <c r="O24" s="17"/>
      <c r="P24" s="17"/>
      <c r="Q24" s="11" t="s">
        <v>90</v>
      </c>
      <c r="R24" s="17"/>
      <c r="S24" s="17"/>
      <c r="T24" s="17"/>
      <c r="U24" s="17"/>
      <c r="V24" s="17"/>
      <c r="W24" s="17"/>
      <c r="X24" s="17"/>
      <c r="Y24" s="17"/>
      <c r="Z24" s="17"/>
      <c r="AA24" s="18"/>
      <c r="AB24" s="19"/>
      <c r="AC24" s="19"/>
      <c r="AD24" s="19"/>
      <c r="AE24" s="19"/>
      <c r="AF24" s="19"/>
      <c r="AG24" s="19"/>
    </row>
    <row r="25" ht="22.5" customHeight="1">
      <c r="A25" s="13">
        <v>45898.83603935185</v>
      </c>
      <c r="B25" s="14"/>
      <c r="C25" s="11" t="s">
        <v>161</v>
      </c>
      <c r="D25" s="15" t="s">
        <v>162</v>
      </c>
      <c r="E25" s="11" t="s">
        <v>163</v>
      </c>
      <c r="F25" s="11">
        <v>3000000.0</v>
      </c>
      <c r="G25" s="11" t="s">
        <v>23</v>
      </c>
      <c r="H25" s="11">
        <v>0.0</v>
      </c>
      <c r="I25" s="11" t="s">
        <v>164</v>
      </c>
      <c r="J25" s="11" t="s">
        <v>165</v>
      </c>
      <c r="K25" s="16" t="s">
        <v>166</v>
      </c>
      <c r="L25" s="11" t="s">
        <v>27</v>
      </c>
      <c r="M25" s="11" t="s">
        <v>35</v>
      </c>
      <c r="N25" s="17"/>
      <c r="O25" s="17"/>
      <c r="P25" s="17"/>
      <c r="Q25" s="11" t="s">
        <v>167</v>
      </c>
      <c r="R25" s="17"/>
      <c r="S25" s="17"/>
      <c r="T25" s="17"/>
      <c r="U25" s="17"/>
      <c r="V25" s="17"/>
      <c r="W25" s="17"/>
      <c r="X25" s="17"/>
      <c r="Y25" s="17"/>
      <c r="Z25" s="17"/>
      <c r="AA25" s="18"/>
      <c r="AB25" s="19"/>
      <c r="AC25" s="19"/>
      <c r="AD25" s="19"/>
      <c r="AE25" s="19"/>
      <c r="AF25" s="19"/>
      <c r="AG25" s="19"/>
    </row>
    <row r="26" ht="22.5" customHeight="1">
      <c r="A26" s="13">
        <v>45898.86502353009</v>
      </c>
      <c r="B26" s="14"/>
      <c r="C26" s="11" t="s">
        <v>168</v>
      </c>
      <c r="D26" s="11" t="s">
        <v>25</v>
      </c>
      <c r="E26" s="11" t="s">
        <v>31</v>
      </c>
      <c r="F26" s="11" t="s">
        <v>169</v>
      </c>
      <c r="G26" s="11" t="s">
        <v>23</v>
      </c>
      <c r="H26" s="11">
        <v>0.0</v>
      </c>
      <c r="I26" s="11" t="s">
        <v>24</v>
      </c>
      <c r="J26" s="11" t="s">
        <v>164</v>
      </c>
      <c r="K26" s="16" t="s">
        <v>170</v>
      </c>
      <c r="L26" s="11" t="s">
        <v>27</v>
      </c>
      <c r="M26" s="11" t="s">
        <v>35</v>
      </c>
      <c r="N26" s="17"/>
      <c r="O26" s="17"/>
      <c r="P26" s="17"/>
      <c r="Q26" s="11" t="s">
        <v>171</v>
      </c>
      <c r="R26" s="17"/>
      <c r="S26" s="17"/>
      <c r="T26" s="17"/>
      <c r="U26" s="17"/>
      <c r="V26" s="17"/>
      <c r="W26" s="17"/>
      <c r="X26" s="17"/>
      <c r="Y26" s="17"/>
      <c r="Z26" s="17"/>
      <c r="AA26" s="18"/>
      <c r="AB26" s="19"/>
      <c r="AC26" s="19"/>
      <c r="AD26" s="19"/>
      <c r="AE26" s="19"/>
      <c r="AF26" s="19"/>
      <c r="AG26" s="19"/>
    </row>
    <row r="27" ht="22.5" customHeight="1">
      <c r="A27" s="13">
        <v>45898.86524013889</v>
      </c>
      <c r="B27" s="14"/>
      <c r="C27" s="11" t="s">
        <v>172</v>
      </c>
      <c r="D27" s="15" t="s">
        <v>173</v>
      </c>
      <c r="E27" s="11" t="s">
        <v>31</v>
      </c>
      <c r="F27" s="11">
        <v>0.0</v>
      </c>
      <c r="G27" s="11" t="s">
        <v>23</v>
      </c>
      <c r="H27" s="11">
        <v>0.0</v>
      </c>
      <c r="I27" s="11" t="s">
        <v>174</v>
      </c>
      <c r="J27" s="11" t="s">
        <v>165</v>
      </c>
      <c r="K27" s="16" t="s">
        <v>175</v>
      </c>
      <c r="L27" s="11" t="s">
        <v>27</v>
      </c>
      <c r="M27" s="11" t="s">
        <v>176</v>
      </c>
      <c r="N27" s="17"/>
      <c r="O27" s="17"/>
      <c r="P27" s="17"/>
      <c r="Q27" s="11" t="s">
        <v>167</v>
      </c>
      <c r="R27" s="17"/>
      <c r="S27" s="17"/>
      <c r="T27" s="17"/>
      <c r="U27" s="17"/>
      <c r="V27" s="17"/>
      <c r="W27" s="17"/>
      <c r="X27" s="17"/>
      <c r="Y27" s="17"/>
      <c r="Z27" s="17"/>
      <c r="AA27" s="18"/>
      <c r="AB27" s="19"/>
      <c r="AC27" s="19"/>
      <c r="AD27" s="19"/>
      <c r="AE27" s="19"/>
      <c r="AF27" s="19"/>
      <c r="AG27" s="19"/>
    </row>
    <row r="28" ht="22.5" customHeight="1">
      <c r="A28" s="13">
        <v>45898.866954363424</v>
      </c>
      <c r="B28" s="14"/>
      <c r="C28" s="11" t="s">
        <v>177</v>
      </c>
      <c r="D28" s="15" t="s">
        <v>178</v>
      </c>
      <c r="E28" s="11" t="s">
        <v>31</v>
      </c>
      <c r="F28" s="11" t="s">
        <v>151</v>
      </c>
      <c r="G28" s="11" t="s">
        <v>23</v>
      </c>
      <c r="H28" s="11" t="s">
        <v>23</v>
      </c>
      <c r="I28" s="11" t="s">
        <v>164</v>
      </c>
      <c r="J28" s="11" t="s">
        <v>164</v>
      </c>
      <c r="K28" s="16" t="s">
        <v>179</v>
      </c>
      <c r="L28" s="11" t="s">
        <v>27</v>
      </c>
      <c r="M28" s="11" t="s">
        <v>35</v>
      </c>
      <c r="N28" s="17"/>
      <c r="O28" s="17"/>
      <c r="P28" s="17"/>
      <c r="Q28" s="11" t="s">
        <v>83</v>
      </c>
      <c r="R28" s="17"/>
      <c r="S28" s="17"/>
      <c r="T28" s="17"/>
      <c r="U28" s="17"/>
      <c r="V28" s="17"/>
      <c r="W28" s="17"/>
      <c r="X28" s="17"/>
      <c r="Y28" s="17"/>
      <c r="Z28" s="17"/>
      <c r="AA28" s="18"/>
      <c r="AB28" s="19"/>
      <c r="AC28" s="19"/>
      <c r="AD28" s="19"/>
      <c r="AE28" s="19"/>
      <c r="AF28" s="19"/>
      <c r="AG28" s="19"/>
    </row>
    <row r="29" ht="22.5" customHeight="1">
      <c r="A29" s="13">
        <v>45898.86701832176</v>
      </c>
      <c r="B29" s="14"/>
      <c r="C29" s="11" t="s">
        <v>180</v>
      </c>
      <c r="D29" s="11" t="s">
        <v>25</v>
      </c>
      <c r="E29" s="11" t="s">
        <v>31</v>
      </c>
      <c r="F29" s="11" t="s">
        <v>63</v>
      </c>
      <c r="G29" s="11" t="s">
        <v>23</v>
      </c>
      <c r="H29" s="11">
        <v>0.0</v>
      </c>
      <c r="I29" s="11" t="s">
        <v>24</v>
      </c>
      <c r="J29" s="11" t="s">
        <v>164</v>
      </c>
      <c r="K29" s="16" t="s">
        <v>181</v>
      </c>
      <c r="L29" s="11" t="s">
        <v>27</v>
      </c>
      <c r="M29" s="11" t="s">
        <v>35</v>
      </c>
      <c r="N29" s="17"/>
      <c r="O29" s="17"/>
      <c r="P29" s="17"/>
      <c r="Q29" s="11" t="s">
        <v>171</v>
      </c>
      <c r="R29" s="17"/>
      <c r="S29" s="17"/>
      <c r="T29" s="17"/>
      <c r="U29" s="17"/>
      <c r="V29" s="17"/>
      <c r="W29" s="17"/>
      <c r="X29" s="17"/>
      <c r="Y29" s="17"/>
      <c r="Z29" s="17"/>
      <c r="AA29" s="18"/>
      <c r="AB29" s="19"/>
      <c r="AC29" s="19"/>
      <c r="AD29" s="19"/>
      <c r="AE29" s="19"/>
      <c r="AF29" s="19"/>
      <c r="AG29" s="19"/>
    </row>
    <row r="30" ht="22.5" customHeight="1">
      <c r="A30" s="13">
        <v>45898.86969869213</v>
      </c>
      <c r="B30" s="14"/>
      <c r="C30" s="11" t="s">
        <v>182</v>
      </c>
      <c r="D30" s="15" t="s">
        <v>183</v>
      </c>
      <c r="E30" s="11" t="s">
        <v>184</v>
      </c>
      <c r="F30" s="11" t="s">
        <v>185</v>
      </c>
      <c r="G30" s="11" t="s">
        <v>23</v>
      </c>
      <c r="H30" s="11" t="s">
        <v>23</v>
      </c>
      <c r="I30" s="11" t="s">
        <v>186</v>
      </c>
      <c r="J30" s="11" t="s">
        <v>186</v>
      </c>
      <c r="K30" s="16" t="s">
        <v>187</v>
      </c>
      <c r="L30" s="11" t="s">
        <v>107</v>
      </c>
      <c r="M30" s="11" t="s">
        <v>35</v>
      </c>
      <c r="N30" s="17"/>
      <c r="O30" s="17"/>
      <c r="P30" s="17"/>
      <c r="Q30" s="11" t="s">
        <v>83</v>
      </c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9"/>
      <c r="AC30" s="19"/>
      <c r="AD30" s="19"/>
      <c r="AE30" s="19"/>
      <c r="AF30" s="19"/>
      <c r="AG30" s="19"/>
    </row>
    <row r="31" ht="22.5" customHeight="1">
      <c r="A31" s="13">
        <v>45898.870139907405</v>
      </c>
      <c r="B31" s="14"/>
      <c r="C31" s="11" t="s">
        <v>188</v>
      </c>
      <c r="D31" s="15" t="s">
        <v>189</v>
      </c>
      <c r="E31" s="11" t="s">
        <v>190</v>
      </c>
      <c r="F31" s="11">
        <v>1.5</v>
      </c>
      <c r="G31" s="11" t="s">
        <v>23</v>
      </c>
      <c r="H31" s="11">
        <v>0.0</v>
      </c>
      <c r="I31" s="11" t="s">
        <v>24</v>
      </c>
      <c r="J31" s="11" t="s">
        <v>164</v>
      </c>
      <c r="K31" s="16" t="s">
        <v>191</v>
      </c>
      <c r="L31" s="11" t="s">
        <v>27</v>
      </c>
      <c r="M31" s="11" t="s">
        <v>35</v>
      </c>
      <c r="N31" s="17"/>
      <c r="O31" s="17"/>
      <c r="P31" s="17"/>
      <c r="Q31" s="11" t="s">
        <v>192</v>
      </c>
      <c r="R31" s="17"/>
      <c r="S31" s="17"/>
      <c r="T31" s="17"/>
      <c r="U31" s="17"/>
      <c r="V31" s="17"/>
      <c r="W31" s="17"/>
      <c r="X31" s="17"/>
      <c r="Y31" s="17"/>
      <c r="Z31" s="17"/>
      <c r="AA31" s="18"/>
      <c r="AB31" s="19"/>
      <c r="AC31" s="19"/>
      <c r="AD31" s="19"/>
      <c r="AE31" s="19"/>
      <c r="AF31" s="19"/>
      <c r="AG31" s="19"/>
    </row>
    <row r="32" ht="22.5" customHeight="1">
      <c r="A32" s="13">
        <v>45898.87224603009</v>
      </c>
      <c r="B32" s="14"/>
      <c r="C32" s="11" t="s">
        <v>193</v>
      </c>
      <c r="D32" s="11" t="s">
        <v>194</v>
      </c>
      <c r="E32" s="11" t="s">
        <v>195</v>
      </c>
      <c r="F32" s="11" t="s">
        <v>63</v>
      </c>
      <c r="G32" s="11" t="s">
        <v>23</v>
      </c>
      <c r="H32" s="11">
        <v>0.0</v>
      </c>
      <c r="I32" s="11" t="s">
        <v>24</v>
      </c>
      <c r="J32" s="11" t="s">
        <v>164</v>
      </c>
      <c r="K32" s="16" t="s">
        <v>196</v>
      </c>
      <c r="L32" s="11" t="s">
        <v>27</v>
      </c>
      <c r="M32" s="11" t="s">
        <v>35</v>
      </c>
      <c r="N32" s="17"/>
      <c r="O32" s="17"/>
      <c r="P32" s="17"/>
      <c r="Q32" s="11" t="s">
        <v>192</v>
      </c>
      <c r="R32" s="17"/>
      <c r="S32" s="17"/>
      <c r="T32" s="17"/>
      <c r="U32" s="17"/>
      <c r="V32" s="17"/>
      <c r="W32" s="17"/>
      <c r="X32" s="17"/>
      <c r="Y32" s="17"/>
      <c r="Z32" s="17"/>
      <c r="AA32" s="18"/>
      <c r="AB32" s="19"/>
      <c r="AC32" s="19"/>
      <c r="AD32" s="19"/>
      <c r="AE32" s="19"/>
      <c r="AF32" s="19"/>
      <c r="AG32" s="19"/>
    </row>
    <row r="33" ht="22.5" customHeight="1">
      <c r="A33" s="13">
        <v>45899.52757194445</v>
      </c>
      <c r="B33" s="14"/>
      <c r="C33" s="11" t="s">
        <v>197</v>
      </c>
      <c r="D33" s="15" t="s">
        <v>198</v>
      </c>
      <c r="E33" s="11" t="s">
        <v>199</v>
      </c>
      <c r="F33" s="11">
        <v>4000000.0</v>
      </c>
      <c r="G33" s="11" t="s">
        <v>45</v>
      </c>
      <c r="H33" s="11">
        <v>5000000.0</v>
      </c>
      <c r="I33" s="11" t="s">
        <v>200</v>
      </c>
      <c r="J33" s="18"/>
      <c r="K33" s="11" t="s">
        <v>201</v>
      </c>
      <c r="L33" s="11" t="s">
        <v>202</v>
      </c>
      <c r="M33" s="11" t="s">
        <v>203</v>
      </c>
      <c r="N33" s="11" t="s">
        <v>204</v>
      </c>
      <c r="O33" s="11" t="s">
        <v>205</v>
      </c>
      <c r="P33" s="11" t="s">
        <v>206</v>
      </c>
      <c r="Q33" s="11" t="s">
        <v>207</v>
      </c>
      <c r="R33" s="17"/>
      <c r="S33" s="17"/>
      <c r="T33" s="17"/>
      <c r="U33" s="17"/>
      <c r="V33" s="17"/>
      <c r="W33" s="17"/>
      <c r="X33" s="17"/>
      <c r="Y33" s="18"/>
      <c r="Z33" s="18"/>
      <c r="AA33" s="18"/>
      <c r="AB33" s="19"/>
      <c r="AC33" s="19"/>
      <c r="AD33" s="19"/>
      <c r="AE33" s="19"/>
      <c r="AF33" s="19"/>
      <c r="AG33" s="19"/>
    </row>
    <row r="34" ht="22.5" customHeight="1">
      <c r="A34" s="13">
        <v>45899.572350347225</v>
      </c>
      <c r="B34" s="18"/>
      <c r="C34" s="11" t="s">
        <v>208</v>
      </c>
      <c r="D34" s="11">
        <v>8.1284633899E10</v>
      </c>
      <c r="E34" s="11" t="s">
        <v>43</v>
      </c>
      <c r="F34" s="11">
        <v>3000000.0</v>
      </c>
      <c r="G34" s="11" t="s">
        <v>23</v>
      </c>
      <c r="H34" s="18"/>
      <c r="I34" s="11" t="s">
        <v>209</v>
      </c>
      <c r="J34" s="11" t="s">
        <v>186</v>
      </c>
      <c r="K34" s="16" t="s">
        <v>210</v>
      </c>
      <c r="L34" s="11" t="s">
        <v>202</v>
      </c>
      <c r="M34" s="18"/>
      <c r="N34" s="11" t="s">
        <v>204</v>
      </c>
      <c r="O34" s="18"/>
      <c r="P34" s="18"/>
      <c r="Q34" s="20"/>
      <c r="R34" s="11" t="s">
        <v>47</v>
      </c>
      <c r="S34" s="18"/>
      <c r="T34" s="18"/>
      <c r="U34" s="18"/>
      <c r="V34" s="18"/>
      <c r="W34" s="18"/>
      <c r="X34" s="18"/>
      <c r="Y34" s="18"/>
      <c r="Z34" s="18"/>
      <c r="AA34" s="18"/>
      <c r="AB34" s="19"/>
      <c r="AC34" s="19"/>
      <c r="AD34" s="19"/>
      <c r="AE34" s="19"/>
      <c r="AF34" s="19"/>
      <c r="AG34" s="19"/>
    </row>
    <row r="35" ht="22.5" customHeight="1">
      <c r="A35" s="13">
        <v>45899.619064976854</v>
      </c>
      <c r="B35" s="18"/>
      <c r="C35" s="11" t="s">
        <v>211</v>
      </c>
      <c r="D35" s="15" t="s">
        <v>212</v>
      </c>
      <c r="E35" s="11" t="s">
        <v>213</v>
      </c>
      <c r="F35" s="11">
        <v>2000000.0</v>
      </c>
      <c r="G35" s="11" t="s">
        <v>23</v>
      </c>
      <c r="H35" s="11">
        <v>5000000.0</v>
      </c>
      <c r="I35" s="11" t="s">
        <v>200</v>
      </c>
      <c r="J35" s="18"/>
      <c r="K35" s="16" t="s">
        <v>214</v>
      </c>
      <c r="L35" s="11" t="s">
        <v>202</v>
      </c>
      <c r="M35" s="11" t="s">
        <v>203</v>
      </c>
      <c r="N35" s="11" t="s">
        <v>215</v>
      </c>
      <c r="O35" s="18"/>
      <c r="P35" s="18"/>
      <c r="Q35" s="20"/>
      <c r="R35" s="18"/>
      <c r="S35" s="18"/>
      <c r="T35" s="18"/>
      <c r="U35" s="18"/>
      <c r="V35" s="18"/>
      <c r="W35" s="11" t="s">
        <v>216</v>
      </c>
      <c r="X35" s="18"/>
      <c r="Y35" s="18"/>
      <c r="Z35" s="18"/>
      <c r="AA35" s="18"/>
      <c r="AB35" s="19"/>
      <c r="AC35" s="19"/>
      <c r="AD35" s="19"/>
      <c r="AE35" s="19"/>
      <c r="AF35" s="19"/>
      <c r="AG35" s="19"/>
    </row>
    <row r="36" ht="22.5" customHeight="1">
      <c r="A36" s="13">
        <v>45899.774507256945</v>
      </c>
      <c r="B36" s="18"/>
      <c r="C36" s="11" t="s">
        <v>217</v>
      </c>
      <c r="D36" s="15" t="s">
        <v>218</v>
      </c>
      <c r="E36" s="11" t="s">
        <v>31</v>
      </c>
      <c r="F36" s="11">
        <v>5000000.0</v>
      </c>
      <c r="G36" s="11" t="s">
        <v>23</v>
      </c>
      <c r="H36" s="11">
        <v>7000000.0</v>
      </c>
      <c r="I36" s="11" t="s">
        <v>200</v>
      </c>
      <c r="J36" s="18"/>
      <c r="K36" s="16" t="s">
        <v>219</v>
      </c>
      <c r="L36" s="11" t="s">
        <v>202</v>
      </c>
      <c r="M36" s="11" t="s">
        <v>203</v>
      </c>
      <c r="N36" s="11" t="s">
        <v>220</v>
      </c>
      <c r="O36" s="18"/>
      <c r="P36" s="18"/>
      <c r="Q36" s="11" t="s">
        <v>36</v>
      </c>
      <c r="R36" s="18"/>
      <c r="S36" s="11" t="s">
        <v>36</v>
      </c>
      <c r="T36" s="18"/>
      <c r="U36" s="18"/>
      <c r="V36" s="18"/>
      <c r="W36" s="18"/>
      <c r="X36" s="18"/>
      <c r="Y36" s="18"/>
      <c r="Z36" s="18"/>
      <c r="AA36" s="18"/>
      <c r="AB36" s="19"/>
      <c r="AC36" s="19"/>
      <c r="AD36" s="19"/>
      <c r="AE36" s="19"/>
      <c r="AF36" s="19"/>
      <c r="AG36" s="19"/>
    </row>
    <row r="37" ht="22.5" customHeight="1">
      <c r="A37" s="13">
        <v>45899.78745510417</v>
      </c>
      <c r="B37" s="18"/>
      <c r="C37" s="11" t="s">
        <v>221</v>
      </c>
      <c r="D37" s="15" t="s">
        <v>222</v>
      </c>
      <c r="E37" s="11" t="s">
        <v>223</v>
      </c>
      <c r="F37" s="11">
        <v>4700000.0</v>
      </c>
      <c r="G37" s="11" t="s">
        <v>23</v>
      </c>
      <c r="H37" s="18"/>
      <c r="I37" s="11" t="s">
        <v>209</v>
      </c>
      <c r="J37" s="11" t="s">
        <v>224</v>
      </c>
      <c r="K37" s="16" t="s">
        <v>225</v>
      </c>
      <c r="L37" s="11" t="s">
        <v>202</v>
      </c>
      <c r="M37" s="18"/>
      <c r="N37" s="11" t="s">
        <v>220</v>
      </c>
      <c r="O37" s="18"/>
      <c r="P37" s="18"/>
      <c r="Q37" s="11" t="s">
        <v>83</v>
      </c>
      <c r="R37" s="18"/>
      <c r="S37" s="11" t="s">
        <v>83</v>
      </c>
      <c r="T37" s="18"/>
      <c r="U37" s="18"/>
      <c r="V37" s="18"/>
      <c r="W37" s="18"/>
      <c r="X37" s="18"/>
      <c r="Y37" s="18"/>
      <c r="Z37" s="18"/>
      <c r="AA37" s="18"/>
      <c r="AB37" s="19"/>
      <c r="AC37" s="19"/>
      <c r="AD37" s="19"/>
      <c r="AE37" s="19"/>
      <c r="AF37" s="19"/>
      <c r="AG37" s="19"/>
    </row>
    <row r="38" ht="22.5" customHeight="1">
      <c r="A38" s="13">
        <v>45899.81200167824</v>
      </c>
      <c r="B38" s="18"/>
      <c r="C38" s="11" t="s">
        <v>226</v>
      </c>
      <c r="D38" s="15" t="s">
        <v>227</v>
      </c>
      <c r="E38" s="11" t="s">
        <v>228</v>
      </c>
      <c r="F38" s="11">
        <v>2000000.0</v>
      </c>
      <c r="G38" s="11" t="s">
        <v>23</v>
      </c>
      <c r="H38" s="18"/>
      <c r="I38" s="11" t="s">
        <v>229</v>
      </c>
      <c r="J38" s="11" t="s">
        <v>24</v>
      </c>
      <c r="K38" s="16" t="s">
        <v>230</v>
      </c>
      <c r="L38" s="11" t="s">
        <v>202</v>
      </c>
      <c r="M38" s="18"/>
      <c r="N38" s="11" t="s">
        <v>220</v>
      </c>
      <c r="O38" s="18"/>
      <c r="P38" s="18"/>
      <c r="Q38" s="11" t="s">
        <v>59</v>
      </c>
      <c r="R38" s="18"/>
      <c r="S38" s="11" t="s">
        <v>59</v>
      </c>
      <c r="T38" s="18"/>
      <c r="U38" s="18"/>
      <c r="V38" s="18"/>
      <c r="W38" s="18"/>
      <c r="X38" s="18"/>
      <c r="Y38" s="18"/>
      <c r="Z38" s="18"/>
      <c r="AA38" s="18"/>
      <c r="AB38" s="19"/>
      <c r="AC38" s="19"/>
      <c r="AD38" s="19"/>
      <c r="AE38" s="19"/>
      <c r="AF38" s="19"/>
      <c r="AG38" s="19"/>
    </row>
    <row r="39" ht="22.5" customHeight="1">
      <c r="A39" s="13">
        <v>45899.826154131944</v>
      </c>
      <c r="B39" s="18"/>
      <c r="C39" s="11" t="s">
        <v>231</v>
      </c>
      <c r="D39" s="15" t="s">
        <v>227</v>
      </c>
      <c r="E39" s="11" t="s">
        <v>228</v>
      </c>
      <c r="F39" s="11">
        <v>3000000.0</v>
      </c>
      <c r="G39" s="11" t="s">
        <v>23</v>
      </c>
      <c r="H39" s="18"/>
      <c r="I39" s="11" t="s">
        <v>229</v>
      </c>
      <c r="J39" s="11" t="s">
        <v>232</v>
      </c>
      <c r="K39" s="16" t="s">
        <v>233</v>
      </c>
      <c r="L39" s="11" t="s">
        <v>202</v>
      </c>
      <c r="M39" s="18"/>
      <c r="N39" s="11" t="s">
        <v>220</v>
      </c>
      <c r="O39" s="18"/>
      <c r="P39" s="18"/>
      <c r="Q39" s="11" t="s">
        <v>59</v>
      </c>
      <c r="R39" s="18"/>
      <c r="S39" s="11" t="s">
        <v>59</v>
      </c>
      <c r="T39" s="18"/>
      <c r="U39" s="18"/>
      <c r="V39" s="18"/>
      <c r="W39" s="18"/>
      <c r="X39" s="18"/>
      <c r="Y39" s="18"/>
      <c r="Z39" s="18"/>
      <c r="AA39" s="18"/>
      <c r="AB39" s="19"/>
      <c r="AC39" s="19"/>
      <c r="AD39" s="19"/>
      <c r="AE39" s="19"/>
      <c r="AF39" s="19"/>
      <c r="AG39" s="19"/>
    </row>
    <row r="40" ht="22.5" customHeight="1">
      <c r="A40" s="13">
        <v>45899.82789027778</v>
      </c>
      <c r="B40" s="18"/>
      <c r="C40" s="11" t="s">
        <v>234</v>
      </c>
      <c r="D40" s="15" t="s">
        <v>235</v>
      </c>
      <c r="E40" s="11" t="s">
        <v>43</v>
      </c>
      <c r="F40" s="11">
        <v>4500000.0</v>
      </c>
      <c r="G40" s="11" t="s">
        <v>23</v>
      </c>
      <c r="H40" s="11">
        <v>1.9459E7</v>
      </c>
      <c r="I40" s="11" t="s">
        <v>200</v>
      </c>
      <c r="J40" s="18"/>
      <c r="K40" s="11" t="s">
        <v>236</v>
      </c>
      <c r="L40" s="11" t="s">
        <v>202</v>
      </c>
      <c r="M40" s="11" t="s">
        <v>203</v>
      </c>
      <c r="N40" s="11" t="s">
        <v>220</v>
      </c>
      <c r="O40" s="18"/>
      <c r="P40" s="18"/>
      <c r="Q40" s="11" t="s">
        <v>124</v>
      </c>
      <c r="R40" s="18"/>
      <c r="S40" s="11" t="s">
        <v>124</v>
      </c>
      <c r="T40" s="18"/>
      <c r="U40" s="18"/>
      <c r="V40" s="18"/>
      <c r="W40" s="18"/>
      <c r="X40" s="18"/>
      <c r="Y40" s="18"/>
      <c r="Z40" s="18"/>
      <c r="AA40" s="18"/>
      <c r="AB40" s="19"/>
      <c r="AC40" s="19"/>
      <c r="AD40" s="19"/>
      <c r="AE40" s="19"/>
      <c r="AF40" s="19"/>
      <c r="AG40" s="19"/>
    </row>
    <row r="41" ht="22.5" customHeight="1">
      <c r="A41" s="13">
        <v>45899.900955798614</v>
      </c>
      <c r="B41" s="18"/>
      <c r="C41" s="11" t="s">
        <v>237</v>
      </c>
      <c r="D41" s="15" t="s">
        <v>238</v>
      </c>
      <c r="E41" s="11" t="s">
        <v>239</v>
      </c>
      <c r="F41" s="11">
        <v>4200000.0</v>
      </c>
      <c r="G41" s="11" t="s">
        <v>23</v>
      </c>
      <c r="H41" s="18"/>
      <c r="I41" s="11" t="s">
        <v>209</v>
      </c>
      <c r="J41" s="11" t="s">
        <v>158</v>
      </c>
      <c r="K41" s="16" t="s">
        <v>240</v>
      </c>
      <c r="L41" s="11" t="s">
        <v>202</v>
      </c>
      <c r="M41" s="18"/>
      <c r="N41" s="11" t="s">
        <v>204</v>
      </c>
      <c r="O41" s="18"/>
      <c r="P41" s="18"/>
      <c r="Q41" s="11" t="s">
        <v>90</v>
      </c>
      <c r="R41" s="11" t="s">
        <v>90</v>
      </c>
      <c r="S41" s="18"/>
      <c r="T41" s="18"/>
      <c r="U41" s="18"/>
      <c r="V41" s="18"/>
      <c r="W41" s="18"/>
      <c r="X41" s="18"/>
      <c r="Y41" s="18"/>
      <c r="Z41" s="18"/>
      <c r="AA41" s="18"/>
      <c r="AB41" s="19"/>
      <c r="AC41" s="19"/>
      <c r="AD41" s="19"/>
      <c r="AE41" s="19"/>
      <c r="AF41" s="19"/>
      <c r="AG41" s="19"/>
    </row>
    <row r="42" ht="22.5" customHeight="1">
      <c r="A42" s="13">
        <v>45900.542593356484</v>
      </c>
      <c r="B42" s="18"/>
      <c r="C42" s="11" t="s">
        <v>48</v>
      </c>
      <c r="D42" s="15" t="s">
        <v>241</v>
      </c>
      <c r="E42" s="11" t="s">
        <v>43</v>
      </c>
      <c r="F42" s="11">
        <v>3500000.0</v>
      </c>
      <c r="G42" s="11" t="s">
        <v>23</v>
      </c>
      <c r="H42" s="18"/>
      <c r="I42" s="11" t="s">
        <v>229</v>
      </c>
      <c r="J42" s="11" t="s">
        <v>165</v>
      </c>
      <c r="K42" s="16" t="s">
        <v>242</v>
      </c>
      <c r="L42" s="11" t="s">
        <v>202</v>
      </c>
      <c r="M42" s="18"/>
      <c r="N42" s="11" t="s">
        <v>204</v>
      </c>
      <c r="O42" s="18"/>
      <c r="P42" s="18"/>
      <c r="Q42" s="11" t="s">
        <v>53</v>
      </c>
      <c r="R42" s="11" t="s">
        <v>53</v>
      </c>
      <c r="S42" s="18"/>
      <c r="T42" s="18"/>
      <c r="U42" s="18"/>
      <c r="V42" s="18"/>
      <c r="W42" s="18"/>
      <c r="X42" s="18"/>
      <c r="Y42" s="18"/>
      <c r="Z42" s="18"/>
      <c r="AA42" s="18"/>
      <c r="AB42" s="19"/>
      <c r="AC42" s="19"/>
      <c r="AD42" s="19"/>
      <c r="AE42" s="19"/>
      <c r="AF42" s="19"/>
      <c r="AG42" s="19"/>
    </row>
    <row r="43" ht="22.5" customHeight="1">
      <c r="A43" s="13">
        <v>45900.84245362268</v>
      </c>
      <c r="B43" s="18"/>
      <c r="C43" s="11" t="s">
        <v>243</v>
      </c>
      <c r="D43" s="15" t="s">
        <v>244</v>
      </c>
      <c r="E43" s="11" t="s">
        <v>245</v>
      </c>
      <c r="F43" s="11">
        <v>6500000.0</v>
      </c>
      <c r="G43" s="11" t="s">
        <v>23</v>
      </c>
      <c r="H43" s="18"/>
      <c r="I43" s="11" t="s">
        <v>229</v>
      </c>
      <c r="J43" s="11" t="s">
        <v>246</v>
      </c>
      <c r="K43" s="16" t="s">
        <v>247</v>
      </c>
      <c r="L43" s="11" t="s">
        <v>202</v>
      </c>
      <c r="M43" s="18"/>
      <c r="N43" s="11" t="s">
        <v>204</v>
      </c>
      <c r="O43" s="18"/>
      <c r="P43" s="18"/>
      <c r="Q43" s="11" t="s">
        <v>98</v>
      </c>
      <c r="R43" s="11" t="s">
        <v>98</v>
      </c>
      <c r="S43" s="18"/>
      <c r="T43" s="18"/>
      <c r="U43" s="18"/>
      <c r="V43" s="18"/>
      <c r="W43" s="18"/>
      <c r="X43" s="18"/>
      <c r="Y43" s="18"/>
      <c r="Z43" s="18"/>
      <c r="AA43" s="18"/>
      <c r="AB43" s="19"/>
      <c r="AC43" s="19"/>
      <c r="AD43" s="19"/>
      <c r="AE43" s="19"/>
      <c r="AF43" s="19"/>
      <c r="AG43" s="19"/>
    </row>
    <row r="44" ht="22.5" customHeight="1">
      <c r="A44" s="13">
        <v>45901.538850578705</v>
      </c>
      <c r="B44" s="21">
        <v>45901.0</v>
      </c>
      <c r="C44" s="11" t="s">
        <v>248</v>
      </c>
      <c r="D44" s="15" t="s">
        <v>249</v>
      </c>
      <c r="E44" s="11" t="s">
        <v>228</v>
      </c>
      <c r="F44" s="22">
        <v>1500000.0</v>
      </c>
      <c r="G44" s="11" t="s">
        <v>23</v>
      </c>
      <c r="H44" s="18"/>
      <c r="I44" s="11" t="s">
        <v>229</v>
      </c>
      <c r="J44" s="11" t="s">
        <v>250</v>
      </c>
      <c r="K44" s="16" t="s">
        <v>251</v>
      </c>
      <c r="L44" s="11" t="s">
        <v>252</v>
      </c>
      <c r="M44" s="18"/>
      <c r="N44" s="18"/>
      <c r="O44" s="11" t="s">
        <v>205</v>
      </c>
      <c r="P44" s="18"/>
      <c r="Q44" s="18"/>
      <c r="R44" s="18"/>
      <c r="S44" s="18"/>
      <c r="T44" s="18"/>
      <c r="U44" s="18"/>
      <c r="V44" s="18"/>
      <c r="W44" s="18"/>
      <c r="X44" s="11" t="s">
        <v>253</v>
      </c>
      <c r="Y44" s="18"/>
      <c r="Z44" s="18"/>
      <c r="AA44" s="18"/>
      <c r="AB44" s="19"/>
      <c r="AC44" s="19"/>
      <c r="AD44" s="19"/>
      <c r="AE44" s="19"/>
      <c r="AF44" s="19"/>
      <c r="AG44" s="19"/>
    </row>
    <row r="45" ht="22.5" customHeight="1">
      <c r="A45" s="13">
        <v>45901.544305069445</v>
      </c>
      <c r="B45" s="21">
        <v>45901.0</v>
      </c>
      <c r="C45" s="11" t="s">
        <v>254</v>
      </c>
      <c r="D45" s="15" t="s">
        <v>255</v>
      </c>
      <c r="E45" s="11" t="s">
        <v>199</v>
      </c>
      <c r="F45" s="11">
        <v>3000000.0</v>
      </c>
      <c r="G45" s="11" t="s">
        <v>23</v>
      </c>
      <c r="H45" s="11">
        <v>5000000.0</v>
      </c>
      <c r="I45" s="11" t="s">
        <v>200</v>
      </c>
      <c r="J45" s="18"/>
      <c r="K45" s="16" t="s">
        <v>256</v>
      </c>
      <c r="L45" s="11" t="s">
        <v>252</v>
      </c>
      <c r="M45" s="11" t="s">
        <v>203</v>
      </c>
      <c r="N45" s="18"/>
      <c r="O45" s="11" t="s">
        <v>257</v>
      </c>
      <c r="P45" s="11" t="s">
        <v>258</v>
      </c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9"/>
      <c r="AC45" s="19"/>
      <c r="AD45" s="19"/>
      <c r="AE45" s="19"/>
      <c r="AF45" s="19"/>
      <c r="AG45" s="19"/>
    </row>
    <row r="46" ht="22.5" customHeight="1">
      <c r="A46" s="13">
        <v>45901.557086574074</v>
      </c>
      <c r="B46" s="21">
        <v>45901.0</v>
      </c>
      <c r="C46" s="11" t="s">
        <v>259</v>
      </c>
      <c r="D46" s="15" t="s">
        <v>260</v>
      </c>
      <c r="E46" s="11" t="s">
        <v>261</v>
      </c>
      <c r="F46" s="11">
        <v>2000000.0</v>
      </c>
      <c r="G46" s="11" t="s">
        <v>23</v>
      </c>
      <c r="H46" s="18"/>
      <c r="I46" s="11" t="s">
        <v>229</v>
      </c>
      <c r="J46" s="11" t="s">
        <v>262</v>
      </c>
      <c r="K46" s="16" t="s">
        <v>263</v>
      </c>
      <c r="L46" s="11" t="s">
        <v>252</v>
      </c>
      <c r="M46" s="18"/>
      <c r="N46" s="18"/>
      <c r="O46" s="11" t="s">
        <v>257</v>
      </c>
      <c r="P46" s="11" t="s">
        <v>258</v>
      </c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9"/>
      <c r="AC46" s="19"/>
      <c r="AD46" s="19"/>
      <c r="AE46" s="19"/>
      <c r="AF46" s="19"/>
      <c r="AG46" s="19"/>
    </row>
    <row r="47" ht="22.5" customHeight="1">
      <c r="A47" s="13">
        <v>45901.55869613426</v>
      </c>
      <c r="B47" s="21">
        <v>45901.0</v>
      </c>
      <c r="C47" s="11" t="s">
        <v>264</v>
      </c>
      <c r="D47" s="15" t="s">
        <v>265</v>
      </c>
      <c r="E47" s="11" t="s">
        <v>43</v>
      </c>
      <c r="F47" s="11">
        <v>2800000.0</v>
      </c>
      <c r="G47" s="11" t="s">
        <v>23</v>
      </c>
      <c r="H47" s="18"/>
      <c r="I47" s="11" t="s">
        <v>229</v>
      </c>
      <c r="J47" s="11" t="s">
        <v>266</v>
      </c>
      <c r="K47" s="16" t="s">
        <v>267</v>
      </c>
      <c r="L47" s="11" t="s">
        <v>252</v>
      </c>
      <c r="M47" s="18"/>
      <c r="N47" s="18"/>
      <c r="O47" s="11" t="s">
        <v>257</v>
      </c>
      <c r="P47" s="11" t="s">
        <v>258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9"/>
      <c r="AC47" s="19"/>
      <c r="AD47" s="19"/>
      <c r="AE47" s="19"/>
      <c r="AF47" s="19"/>
      <c r="AG47" s="19"/>
    </row>
    <row r="48" ht="22.5" customHeight="1">
      <c r="A48" s="13">
        <v>45901.607212256946</v>
      </c>
      <c r="B48" s="21">
        <v>45901.0</v>
      </c>
      <c r="C48" s="11" t="s">
        <v>268</v>
      </c>
      <c r="D48" s="15" t="s">
        <v>269</v>
      </c>
      <c r="E48" s="11" t="s">
        <v>43</v>
      </c>
      <c r="F48" s="11">
        <v>7000000.0</v>
      </c>
      <c r="G48" s="11" t="s">
        <v>23</v>
      </c>
      <c r="H48" s="18"/>
      <c r="I48" s="11" t="s">
        <v>229</v>
      </c>
      <c r="J48" s="11" t="s">
        <v>270</v>
      </c>
      <c r="K48" s="16" t="s">
        <v>271</v>
      </c>
      <c r="L48" s="11" t="s">
        <v>252</v>
      </c>
      <c r="M48" s="18"/>
      <c r="N48" s="18"/>
      <c r="O48" s="11" t="s">
        <v>257</v>
      </c>
      <c r="P48" s="11" t="s">
        <v>272</v>
      </c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9"/>
      <c r="AC48" s="19"/>
      <c r="AD48" s="19"/>
      <c r="AE48" s="19"/>
      <c r="AF48" s="19"/>
      <c r="AG48" s="19"/>
    </row>
    <row r="49" ht="22.5" customHeight="1">
      <c r="A49" s="13">
        <v>45901.60798973379</v>
      </c>
      <c r="B49" s="21">
        <v>45901.0</v>
      </c>
      <c r="C49" s="11" t="s">
        <v>273</v>
      </c>
      <c r="D49" s="15" t="s">
        <v>274</v>
      </c>
      <c r="E49" s="11" t="s">
        <v>275</v>
      </c>
      <c r="F49" s="11">
        <v>500000.0</v>
      </c>
      <c r="G49" s="11" t="s">
        <v>23</v>
      </c>
      <c r="H49" s="18"/>
      <c r="I49" s="11" t="s">
        <v>229</v>
      </c>
      <c r="J49" s="11" t="s">
        <v>276</v>
      </c>
      <c r="K49" s="16" t="s">
        <v>277</v>
      </c>
      <c r="L49" s="11" t="s">
        <v>202</v>
      </c>
      <c r="M49" s="18"/>
      <c r="N49" s="11" t="s">
        <v>204</v>
      </c>
      <c r="O49" s="18"/>
      <c r="P49" s="18"/>
      <c r="Q49" s="18"/>
      <c r="R49" s="11" t="s">
        <v>28</v>
      </c>
      <c r="S49" s="18"/>
      <c r="T49" s="18"/>
      <c r="U49" s="18"/>
      <c r="V49" s="18"/>
      <c r="W49" s="18"/>
      <c r="X49" s="18"/>
      <c r="Y49" s="18"/>
      <c r="Z49" s="18"/>
      <c r="AA49" s="18"/>
      <c r="AB49" s="19"/>
      <c r="AC49" s="19"/>
      <c r="AD49" s="19"/>
      <c r="AE49" s="19"/>
      <c r="AF49" s="19"/>
      <c r="AG49" s="19"/>
    </row>
    <row r="50" ht="22.5" customHeight="1">
      <c r="A50" s="13">
        <v>45901.60894314815</v>
      </c>
      <c r="B50" s="21">
        <v>45901.0</v>
      </c>
      <c r="C50" s="11" t="s">
        <v>278</v>
      </c>
      <c r="D50" s="15" t="s">
        <v>279</v>
      </c>
      <c r="E50" s="11" t="s">
        <v>127</v>
      </c>
      <c r="F50" s="11">
        <v>6200000.0</v>
      </c>
      <c r="G50" s="11" t="s">
        <v>23</v>
      </c>
      <c r="H50" s="18"/>
      <c r="I50" s="11" t="s">
        <v>229</v>
      </c>
      <c r="J50" s="11" t="s">
        <v>158</v>
      </c>
      <c r="K50" s="16" t="s">
        <v>280</v>
      </c>
      <c r="L50" s="11" t="s">
        <v>202</v>
      </c>
      <c r="M50" s="18"/>
      <c r="N50" s="11" t="s">
        <v>204</v>
      </c>
      <c r="O50" s="18"/>
      <c r="P50" s="18"/>
      <c r="Q50" s="18"/>
      <c r="R50" s="11" t="s">
        <v>90</v>
      </c>
      <c r="S50" s="18"/>
      <c r="T50" s="18"/>
      <c r="U50" s="18"/>
      <c r="V50" s="18"/>
      <c r="W50" s="18"/>
      <c r="X50" s="18"/>
      <c r="Y50" s="18"/>
      <c r="Z50" s="18"/>
      <c r="AA50" s="18"/>
      <c r="AB50" s="19"/>
      <c r="AC50" s="19"/>
      <c r="AD50" s="19"/>
      <c r="AE50" s="19"/>
      <c r="AF50" s="19"/>
      <c r="AG50" s="19"/>
    </row>
    <row r="51" ht="22.5" customHeight="1">
      <c r="A51" s="13">
        <v>45901.612523668984</v>
      </c>
      <c r="B51" s="21">
        <v>45901.0</v>
      </c>
      <c r="C51" s="11" t="s">
        <v>281</v>
      </c>
      <c r="D51" s="15" t="s">
        <v>282</v>
      </c>
      <c r="E51" s="11" t="s">
        <v>283</v>
      </c>
      <c r="F51" s="11">
        <v>1.0E7</v>
      </c>
      <c r="G51" s="11" t="s">
        <v>23</v>
      </c>
      <c r="H51" s="11">
        <v>3000000.0</v>
      </c>
      <c r="I51" s="11" t="s">
        <v>200</v>
      </c>
      <c r="J51" s="18"/>
      <c r="K51" s="16" t="s">
        <v>284</v>
      </c>
      <c r="L51" s="11" t="s">
        <v>252</v>
      </c>
      <c r="M51" s="11" t="s">
        <v>203</v>
      </c>
      <c r="N51" s="18"/>
      <c r="O51" s="11" t="s">
        <v>257</v>
      </c>
      <c r="P51" s="11" t="s">
        <v>285</v>
      </c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9"/>
      <c r="AC51" s="19"/>
      <c r="AD51" s="19"/>
      <c r="AE51" s="19"/>
      <c r="AF51" s="19"/>
      <c r="AG51" s="19"/>
    </row>
    <row r="52" ht="22.5" customHeight="1">
      <c r="A52" s="13">
        <v>45901.65412210648</v>
      </c>
      <c r="B52" s="21">
        <v>45901.0</v>
      </c>
      <c r="C52" s="11" t="s">
        <v>286</v>
      </c>
      <c r="D52" s="15" t="s">
        <v>287</v>
      </c>
      <c r="E52" s="11" t="s">
        <v>288</v>
      </c>
      <c r="F52" s="11">
        <v>3000000.0</v>
      </c>
      <c r="G52" s="11" t="s">
        <v>23</v>
      </c>
      <c r="H52" s="18"/>
      <c r="I52" s="11" t="s">
        <v>229</v>
      </c>
      <c r="J52" s="11" t="s">
        <v>289</v>
      </c>
      <c r="K52" s="16" t="s">
        <v>290</v>
      </c>
      <c r="L52" s="11" t="s">
        <v>202</v>
      </c>
      <c r="M52" s="18"/>
      <c r="N52" s="11" t="s">
        <v>204</v>
      </c>
      <c r="O52" s="18"/>
      <c r="P52" s="18"/>
      <c r="Q52" s="18"/>
      <c r="R52" s="11" t="s">
        <v>207</v>
      </c>
      <c r="S52" s="18"/>
      <c r="T52" s="18"/>
      <c r="U52" s="18"/>
      <c r="V52" s="18"/>
      <c r="W52" s="18"/>
      <c r="X52" s="18"/>
      <c r="Y52" s="18"/>
      <c r="Z52" s="18"/>
      <c r="AA52" s="18"/>
      <c r="AB52" s="19"/>
      <c r="AC52" s="19"/>
      <c r="AD52" s="19"/>
      <c r="AE52" s="19"/>
      <c r="AF52" s="19"/>
      <c r="AG52" s="19"/>
    </row>
    <row r="53" ht="22.5" customHeight="1">
      <c r="A53" s="13">
        <v>45901.665994166666</v>
      </c>
      <c r="B53" s="21">
        <v>45901.0</v>
      </c>
      <c r="C53" s="11" t="s">
        <v>291</v>
      </c>
      <c r="D53" s="15" t="s">
        <v>292</v>
      </c>
      <c r="E53" s="11" t="s">
        <v>283</v>
      </c>
      <c r="F53" s="11">
        <v>1.0E7</v>
      </c>
      <c r="G53" s="11" t="s">
        <v>23</v>
      </c>
      <c r="H53" s="18"/>
      <c r="I53" s="11" t="s">
        <v>229</v>
      </c>
      <c r="J53" s="11" t="s">
        <v>293</v>
      </c>
      <c r="K53" s="16" t="s">
        <v>294</v>
      </c>
      <c r="L53" s="11" t="s">
        <v>252</v>
      </c>
      <c r="M53" s="18"/>
      <c r="N53" s="18"/>
      <c r="O53" s="11" t="s">
        <v>257</v>
      </c>
      <c r="P53" s="11" t="s">
        <v>285</v>
      </c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9"/>
      <c r="AC53" s="19"/>
      <c r="AD53" s="19"/>
      <c r="AE53" s="19"/>
      <c r="AF53" s="19"/>
      <c r="AG53" s="19"/>
    </row>
    <row r="54" ht="22.5" customHeight="1">
      <c r="A54" s="13">
        <v>45901.667556307875</v>
      </c>
      <c r="B54" s="21">
        <v>45901.0</v>
      </c>
      <c r="C54" s="11" t="s">
        <v>295</v>
      </c>
      <c r="D54" s="15" t="s">
        <v>296</v>
      </c>
      <c r="E54" s="11" t="s">
        <v>228</v>
      </c>
      <c r="F54" s="11">
        <v>4500000.0</v>
      </c>
      <c r="G54" s="11" t="s">
        <v>23</v>
      </c>
      <c r="H54" s="18"/>
      <c r="I54" s="11" t="s">
        <v>229</v>
      </c>
      <c r="J54" s="11" t="s">
        <v>297</v>
      </c>
      <c r="K54" s="16" t="s">
        <v>298</v>
      </c>
      <c r="L54" s="11" t="s">
        <v>202</v>
      </c>
      <c r="M54" s="18"/>
      <c r="N54" s="11" t="s">
        <v>220</v>
      </c>
      <c r="O54" s="18"/>
      <c r="P54" s="18"/>
      <c r="Q54" s="18"/>
      <c r="R54" s="18"/>
      <c r="S54" s="11" t="s">
        <v>59</v>
      </c>
      <c r="T54" s="18"/>
      <c r="U54" s="18"/>
      <c r="V54" s="18"/>
      <c r="W54" s="18"/>
      <c r="X54" s="18"/>
      <c r="Y54" s="18"/>
      <c r="Z54" s="18"/>
      <c r="AA54" s="18"/>
      <c r="AB54" s="19"/>
      <c r="AC54" s="19"/>
      <c r="AD54" s="19"/>
      <c r="AE54" s="19"/>
      <c r="AF54" s="19"/>
      <c r="AG54" s="19"/>
    </row>
    <row r="55" ht="22.5" customHeight="1">
      <c r="A55" s="13">
        <v>45901.68529576389</v>
      </c>
      <c r="B55" s="21">
        <v>45901.0</v>
      </c>
      <c r="C55" s="11" t="s">
        <v>299</v>
      </c>
      <c r="D55" s="15" t="s">
        <v>300</v>
      </c>
      <c r="E55" s="11" t="s">
        <v>43</v>
      </c>
      <c r="F55" s="11">
        <v>7000000.0</v>
      </c>
      <c r="G55" s="11" t="s">
        <v>23</v>
      </c>
      <c r="H55" s="11">
        <v>3000000.0</v>
      </c>
      <c r="I55" s="11" t="s">
        <v>200</v>
      </c>
      <c r="J55" s="18"/>
      <c r="K55" s="16" t="s">
        <v>301</v>
      </c>
      <c r="L55" s="11" t="s">
        <v>252</v>
      </c>
      <c r="M55" s="11" t="s">
        <v>203</v>
      </c>
      <c r="N55" s="18"/>
      <c r="O55" s="11" t="s">
        <v>257</v>
      </c>
      <c r="P55" s="11" t="s">
        <v>272</v>
      </c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9"/>
      <c r="AC55" s="19"/>
      <c r="AD55" s="19"/>
      <c r="AE55" s="19"/>
      <c r="AF55" s="19"/>
      <c r="AG55" s="19"/>
    </row>
    <row r="56" ht="22.5" customHeight="1">
      <c r="A56" s="13">
        <v>45901.72030047454</v>
      </c>
      <c r="B56" s="21">
        <v>45901.0</v>
      </c>
      <c r="C56" s="11" t="s">
        <v>302</v>
      </c>
      <c r="D56" s="15" t="s">
        <v>303</v>
      </c>
      <c r="E56" s="11" t="s">
        <v>31</v>
      </c>
      <c r="F56" s="11">
        <v>1.5E7</v>
      </c>
      <c r="G56" s="11" t="s">
        <v>23</v>
      </c>
      <c r="H56" s="18"/>
      <c r="I56" s="11" t="s">
        <v>229</v>
      </c>
      <c r="J56" s="11" t="s">
        <v>262</v>
      </c>
      <c r="K56" s="16" t="s">
        <v>304</v>
      </c>
      <c r="L56" s="11" t="s">
        <v>252</v>
      </c>
      <c r="M56" s="18"/>
      <c r="N56" s="18"/>
      <c r="O56" s="11" t="s">
        <v>257</v>
      </c>
      <c r="P56" s="11" t="s">
        <v>272</v>
      </c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9"/>
      <c r="AC56" s="19"/>
      <c r="AD56" s="19"/>
      <c r="AE56" s="19"/>
      <c r="AF56" s="19"/>
      <c r="AG56" s="19"/>
    </row>
    <row r="57" ht="22.5" customHeight="1">
      <c r="A57" s="13">
        <v>45901.7713924537</v>
      </c>
      <c r="B57" s="21">
        <v>45901.0</v>
      </c>
      <c r="C57" s="11" t="s">
        <v>305</v>
      </c>
      <c r="D57" s="15" t="s">
        <v>306</v>
      </c>
      <c r="E57" s="11" t="s">
        <v>307</v>
      </c>
      <c r="F57" s="11">
        <v>3000000.0</v>
      </c>
      <c r="G57" s="11" t="s">
        <v>23</v>
      </c>
      <c r="H57" s="18"/>
      <c r="I57" s="11" t="s">
        <v>229</v>
      </c>
      <c r="J57" s="11" t="s">
        <v>165</v>
      </c>
      <c r="K57" s="16" t="s">
        <v>308</v>
      </c>
      <c r="L57" s="11" t="s">
        <v>202</v>
      </c>
      <c r="M57" s="18"/>
      <c r="N57" s="11" t="s">
        <v>204</v>
      </c>
      <c r="O57" s="18"/>
      <c r="P57" s="18"/>
      <c r="Q57" s="18"/>
      <c r="R57" s="11" t="s">
        <v>28</v>
      </c>
      <c r="S57" s="18"/>
      <c r="T57" s="18"/>
      <c r="U57" s="18"/>
      <c r="V57" s="18"/>
      <c r="W57" s="18"/>
      <c r="X57" s="18"/>
      <c r="Y57" s="18"/>
      <c r="Z57" s="18"/>
      <c r="AA57" s="18"/>
      <c r="AB57" s="19"/>
      <c r="AC57" s="19"/>
      <c r="AD57" s="19"/>
      <c r="AE57" s="19"/>
      <c r="AF57" s="19"/>
      <c r="AG57" s="19"/>
    </row>
    <row r="58" ht="22.5" customHeight="1">
      <c r="A58" s="13">
        <v>45901.77915246528</v>
      </c>
      <c r="B58" s="21">
        <v>45901.0</v>
      </c>
      <c r="C58" s="11" t="s">
        <v>309</v>
      </c>
      <c r="D58" s="15" t="s">
        <v>310</v>
      </c>
      <c r="E58" s="11" t="s">
        <v>311</v>
      </c>
      <c r="F58" s="11">
        <v>3400000.0</v>
      </c>
      <c r="G58" s="11" t="s">
        <v>23</v>
      </c>
      <c r="H58" s="18"/>
      <c r="I58" s="11" t="s">
        <v>229</v>
      </c>
      <c r="J58" s="11" t="s">
        <v>24</v>
      </c>
      <c r="K58" s="16" t="s">
        <v>312</v>
      </c>
      <c r="L58" s="11" t="s">
        <v>202</v>
      </c>
      <c r="M58" s="18"/>
      <c r="N58" s="11" t="s">
        <v>313</v>
      </c>
      <c r="O58" s="18"/>
      <c r="P58" s="18"/>
      <c r="Q58" s="18"/>
      <c r="R58" s="18"/>
      <c r="S58" s="18"/>
      <c r="T58" s="11" t="s">
        <v>314</v>
      </c>
      <c r="U58" s="18"/>
      <c r="V58" s="18"/>
      <c r="W58" s="18"/>
      <c r="X58" s="18"/>
      <c r="Y58" s="18"/>
      <c r="Z58" s="18"/>
      <c r="AA58" s="18"/>
      <c r="AB58" s="19"/>
      <c r="AC58" s="19"/>
      <c r="AD58" s="19"/>
      <c r="AE58" s="19"/>
      <c r="AF58" s="19"/>
      <c r="AG58" s="19"/>
    </row>
    <row r="59" ht="22.5" customHeight="1">
      <c r="A59" s="13">
        <v>45901.78771160879</v>
      </c>
      <c r="B59" s="21">
        <v>45901.0</v>
      </c>
      <c r="C59" s="11" t="s">
        <v>315</v>
      </c>
      <c r="D59" s="15" t="s">
        <v>316</v>
      </c>
      <c r="E59" s="11" t="s">
        <v>317</v>
      </c>
      <c r="F59" s="11">
        <v>4500000.0</v>
      </c>
      <c r="G59" s="11" t="s">
        <v>23</v>
      </c>
      <c r="H59" s="18"/>
      <c r="I59" s="11" t="s">
        <v>229</v>
      </c>
      <c r="J59" s="11" t="s">
        <v>24</v>
      </c>
      <c r="K59" s="16" t="s">
        <v>318</v>
      </c>
      <c r="L59" s="11" t="s">
        <v>202</v>
      </c>
      <c r="M59" s="18"/>
      <c r="N59" s="11" t="s">
        <v>313</v>
      </c>
      <c r="O59" s="18"/>
      <c r="P59" s="18"/>
      <c r="Q59" s="18"/>
      <c r="R59" s="18"/>
      <c r="S59" s="18"/>
      <c r="T59" s="11" t="s">
        <v>314</v>
      </c>
      <c r="U59" s="18"/>
      <c r="V59" s="18"/>
      <c r="W59" s="18"/>
      <c r="X59" s="18"/>
      <c r="Y59" s="18"/>
      <c r="Z59" s="18"/>
      <c r="AA59" s="18"/>
      <c r="AB59" s="19"/>
      <c r="AC59" s="19"/>
      <c r="AD59" s="19"/>
      <c r="AE59" s="19"/>
      <c r="AF59" s="19"/>
      <c r="AG59" s="19"/>
    </row>
    <row r="60" ht="22.5" customHeight="1">
      <c r="A60" s="13">
        <v>45901.78979534723</v>
      </c>
      <c r="B60" s="21">
        <v>45901.0</v>
      </c>
      <c r="C60" s="11" t="s">
        <v>319</v>
      </c>
      <c r="D60" s="15" t="s">
        <v>320</v>
      </c>
      <c r="E60" s="11" t="s">
        <v>43</v>
      </c>
      <c r="F60" s="11">
        <v>3500000.0</v>
      </c>
      <c r="G60" s="11" t="s">
        <v>23</v>
      </c>
      <c r="H60" s="11">
        <v>3000000.0</v>
      </c>
      <c r="I60" s="11" t="s">
        <v>200</v>
      </c>
      <c r="J60" s="18"/>
      <c r="K60" s="16" t="s">
        <v>321</v>
      </c>
      <c r="L60" s="11" t="s">
        <v>202</v>
      </c>
      <c r="M60" s="11" t="s">
        <v>203</v>
      </c>
      <c r="N60" s="11" t="s">
        <v>220</v>
      </c>
      <c r="O60" s="18"/>
      <c r="P60" s="18"/>
      <c r="Q60" s="18"/>
      <c r="R60" s="18"/>
      <c r="S60" s="11" t="s">
        <v>83</v>
      </c>
      <c r="T60" s="18"/>
      <c r="U60" s="18"/>
      <c r="V60" s="18"/>
      <c r="W60" s="18"/>
      <c r="X60" s="18"/>
      <c r="Y60" s="18"/>
      <c r="Z60" s="18"/>
      <c r="AA60" s="18"/>
      <c r="AB60" s="19"/>
      <c r="AC60" s="19"/>
      <c r="AD60" s="19"/>
      <c r="AE60" s="19"/>
      <c r="AF60" s="19"/>
      <c r="AG60" s="19"/>
    </row>
    <row r="61" ht="22.5" customHeight="1">
      <c r="A61" s="13">
        <v>45901.79177538195</v>
      </c>
      <c r="B61" s="21">
        <v>45901.0</v>
      </c>
      <c r="C61" s="11" t="s">
        <v>322</v>
      </c>
      <c r="D61" s="15" t="s">
        <v>323</v>
      </c>
      <c r="E61" s="11" t="s">
        <v>317</v>
      </c>
      <c r="F61" s="11">
        <v>3500000.0</v>
      </c>
      <c r="G61" s="11" t="s">
        <v>23</v>
      </c>
      <c r="H61" s="18"/>
      <c r="I61" s="11" t="s">
        <v>229</v>
      </c>
      <c r="J61" s="11" t="s">
        <v>24</v>
      </c>
      <c r="K61" s="16" t="s">
        <v>324</v>
      </c>
      <c r="L61" s="11" t="s">
        <v>202</v>
      </c>
      <c r="M61" s="18"/>
      <c r="N61" s="11" t="s">
        <v>313</v>
      </c>
      <c r="O61" s="18"/>
      <c r="P61" s="18"/>
      <c r="Q61" s="18"/>
      <c r="R61" s="18"/>
      <c r="S61" s="18"/>
      <c r="T61" s="11" t="s">
        <v>314</v>
      </c>
      <c r="U61" s="18"/>
      <c r="V61" s="18"/>
      <c r="W61" s="18"/>
      <c r="X61" s="18"/>
      <c r="Y61" s="18"/>
      <c r="Z61" s="18"/>
      <c r="AA61" s="18"/>
      <c r="AB61" s="19"/>
      <c r="AC61" s="19"/>
      <c r="AD61" s="19"/>
      <c r="AE61" s="19"/>
      <c r="AF61" s="19"/>
      <c r="AG61" s="19"/>
    </row>
    <row r="62" ht="22.5" customHeight="1">
      <c r="A62" s="13">
        <v>45901.79504125</v>
      </c>
      <c r="B62" s="21">
        <v>45901.0</v>
      </c>
      <c r="C62" s="11" t="s">
        <v>325</v>
      </c>
      <c r="D62" s="15" t="s">
        <v>326</v>
      </c>
      <c r="E62" s="11" t="s">
        <v>31</v>
      </c>
      <c r="F62" s="11">
        <v>5500000.0</v>
      </c>
      <c r="G62" s="11" t="s">
        <v>23</v>
      </c>
      <c r="H62" s="18"/>
      <c r="I62" s="11" t="s">
        <v>229</v>
      </c>
      <c r="J62" s="11" t="s">
        <v>327</v>
      </c>
      <c r="K62" s="16" t="s">
        <v>328</v>
      </c>
      <c r="L62" s="11" t="s">
        <v>202</v>
      </c>
      <c r="M62" s="18"/>
      <c r="N62" s="11" t="s">
        <v>313</v>
      </c>
      <c r="O62" s="18"/>
      <c r="P62" s="18"/>
      <c r="Q62" s="18"/>
      <c r="R62" s="18"/>
      <c r="S62" s="18"/>
      <c r="T62" s="11" t="s">
        <v>329</v>
      </c>
      <c r="U62" s="18"/>
      <c r="V62" s="18"/>
      <c r="W62" s="18"/>
      <c r="X62" s="18"/>
      <c r="Y62" s="18"/>
      <c r="Z62" s="18"/>
      <c r="AA62" s="18"/>
      <c r="AB62" s="19"/>
      <c r="AC62" s="19"/>
      <c r="AD62" s="19"/>
      <c r="AE62" s="19"/>
      <c r="AF62" s="19"/>
      <c r="AG62" s="19"/>
    </row>
    <row r="63" ht="22.5" customHeight="1">
      <c r="A63" s="13">
        <v>45901.80172587963</v>
      </c>
      <c r="B63" s="21">
        <v>45901.0</v>
      </c>
      <c r="C63" s="11" t="s">
        <v>330</v>
      </c>
      <c r="D63" s="15" t="s">
        <v>331</v>
      </c>
      <c r="E63" s="11" t="s">
        <v>43</v>
      </c>
      <c r="F63" s="11">
        <v>5500000.0</v>
      </c>
      <c r="G63" s="11" t="s">
        <v>23</v>
      </c>
      <c r="H63" s="18"/>
      <c r="I63" s="11" t="s">
        <v>229</v>
      </c>
      <c r="J63" s="11" t="s">
        <v>297</v>
      </c>
      <c r="K63" s="16" t="s">
        <v>332</v>
      </c>
      <c r="L63" s="11" t="s">
        <v>202</v>
      </c>
      <c r="M63" s="18"/>
      <c r="N63" s="11" t="s">
        <v>220</v>
      </c>
      <c r="O63" s="18"/>
      <c r="P63" s="18"/>
      <c r="Q63" s="18"/>
      <c r="R63" s="18"/>
      <c r="S63" s="11" t="s">
        <v>59</v>
      </c>
      <c r="T63" s="18"/>
      <c r="U63" s="18"/>
      <c r="V63" s="18"/>
      <c r="W63" s="18"/>
      <c r="X63" s="18"/>
      <c r="Y63" s="18"/>
      <c r="Z63" s="18"/>
      <c r="AA63" s="18"/>
      <c r="AB63" s="19"/>
      <c r="AC63" s="19"/>
      <c r="AD63" s="19"/>
      <c r="AE63" s="19"/>
      <c r="AF63" s="19"/>
      <c r="AG63" s="19"/>
    </row>
    <row r="64" ht="22.5" customHeight="1">
      <c r="A64" s="13">
        <v>45901.8032674537</v>
      </c>
      <c r="B64" s="21">
        <v>45901.0</v>
      </c>
      <c r="C64" s="11" t="s">
        <v>333</v>
      </c>
      <c r="D64" s="15" t="s">
        <v>334</v>
      </c>
      <c r="E64" s="11" t="s">
        <v>335</v>
      </c>
      <c r="F64" s="11">
        <v>8000000.0</v>
      </c>
      <c r="G64" s="11" t="s">
        <v>23</v>
      </c>
      <c r="H64" s="11">
        <v>500000.0</v>
      </c>
      <c r="I64" s="11" t="s">
        <v>200</v>
      </c>
      <c r="J64" s="18"/>
      <c r="K64" s="16" t="s">
        <v>336</v>
      </c>
      <c r="L64" s="11" t="s">
        <v>252</v>
      </c>
      <c r="M64" s="11" t="s">
        <v>203</v>
      </c>
      <c r="N64" s="18"/>
      <c r="O64" s="11" t="s">
        <v>257</v>
      </c>
      <c r="P64" s="11" t="s">
        <v>258</v>
      </c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9"/>
      <c r="AC64" s="19"/>
      <c r="AD64" s="19"/>
      <c r="AE64" s="19"/>
      <c r="AF64" s="19"/>
      <c r="AG64" s="19"/>
    </row>
    <row r="65" ht="22.5" customHeight="1">
      <c r="A65" s="13">
        <v>45901.80976429398</v>
      </c>
      <c r="B65" s="21">
        <v>45901.0</v>
      </c>
      <c r="C65" s="11" t="s">
        <v>337</v>
      </c>
      <c r="D65" s="15" t="s">
        <v>338</v>
      </c>
      <c r="E65" s="11" t="s">
        <v>288</v>
      </c>
      <c r="F65" s="11">
        <v>200000.0</v>
      </c>
      <c r="G65" s="11" t="s">
        <v>23</v>
      </c>
      <c r="H65" s="18"/>
      <c r="I65" s="11" t="s">
        <v>229</v>
      </c>
      <c r="J65" s="11" t="s">
        <v>339</v>
      </c>
      <c r="K65" s="16" t="s">
        <v>340</v>
      </c>
      <c r="L65" s="11" t="s">
        <v>252</v>
      </c>
      <c r="M65" s="18"/>
      <c r="N65" s="18"/>
      <c r="O65" s="11" t="s">
        <v>257</v>
      </c>
      <c r="P65" s="11" t="s">
        <v>258</v>
      </c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9"/>
      <c r="AC65" s="19"/>
      <c r="AD65" s="19"/>
      <c r="AE65" s="19"/>
      <c r="AF65" s="19"/>
      <c r="AG65" s="19"/>
    </row>
    <row r="66" ht="22.5" customHeight="1">
      <c r="A66" s="13">
        <v>45901.812202685185</v>
      </c>
      <c r="B66" s="21">
        <v>45901.0</v>
      </c>
      <c r="C66" s="11" t="s">
        <v>341</v>
      </c>
      <c r="D66" s="15" t="s">
        <v>342</v>
      </c>
      <c r="E66" s="11" t="s">
        <v>43</v>
      </c>
      <c r="F66" s="11">
        <v>3000000.0</v>
      </c>
      <c r="G66" s="11" t="s">
        <v>23</v>
      </c>
      <c r="H66" s="18"/>
      <c r="I66" s="11" t="s">
        <v>229</v>
      </c>
      <c r="J66" s="11" t="s">
        <v>262</v>
      </c>
      <c r="K66" s="16" t="s">
        <v>343</v>
      </c>
      <c r="L66" s="11" t="s">
        <v>252</v>
      </c>
      <c r="M66" s="18"/>
      <c r="N66" s="18"/>
      <c r="O66" s="11" t="s">
        <v>257</v>
      </c>
      <c r="P66" s="11" t="s">
        <v>258</v>
      </c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9"/>
      <c r="AC66" s="19"/>
      <c r="AD66" s="19"/>
      <c r="AE66" s="19"/>
      <c r="AF66" s="19"/>
      <c r="AG66" s="19"/>
    </row>
    <row r="67" ht="22.5" customHeight="1">
      <c r="A67" s="13">
        <v>45901.81377979167</v>
      </c>
      <c r="B67" s="21">
        <v>45901.0</v>
      </c>
      <c r="C67" s="11" t="s">
        <v>344</v>
      </c>
      <c r="D67" s="15" t="s">
        <v>345</v>
      </c>
      <c r="E67" s="11" t="s">
        <v>43</v>
      </c>
      <c r="F67" s="11">
        <v>3500000.0</v>
      </c>
      <c r="G67" s="11" t="s">
        <v>23</v>
      </c>
      <c r="H67" s="18"/>
      <c r="I67" s="11" t="s">
        <v>229</v>
      </c>
      <c r="J67" s="11" t="s">
        <v>262</v>
      </c>
      <c r="K67" s="16" t="s">
        <v>346</v>
      </c>
      <c r="L67" s="11" t="s">
        <v>252</v>
      </c>
      <c r="M67" s="18"/>
      <c r="N67" s="18"/>
      <c r="O67" s="11" t="s">
        <v>257</v>
      </c>
      <c r="P67" s="11" t="s">
        <v>258</v>
      </c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9"/>
      <c r="AC67" s="19"/>
      <c r="AD67" s="19"/>
      <c r="AE67" s="19"/>
      <c r="AF67" s="19"/>
      <c r="AG67" s="19"/>
    </row>
    <row r="68" ht="22.5" customHeight="1">
      <c r="A68" s="13">
        <v>45901.82026493056</v>
      </c>
      <c r="B68" s="21">
        <v>45901.0</v>
      </c>
      <c r="C68" s="11" t="s">
        <v>347</v>
      </c>
      <c r="D68" s="15" t="s">
        <v>218</v>
      </c>
      <c r="E68" s="11" t="s">
        <v>31</v>
      </c>
      <c r="F68" s="11">
        <v>5000000.0</v>
      </c>
      <c r="G68" s="11" t="s">
        <v>23</v>
      </c>
      <c r="H68" s="11">
        <v>7000000.0</v>
      </c>
      <c r="I68" s="11" t="s">
        <v>200</v>
      </c>
      <c r="J68" s="18"/>
      <c r="K68" s="16" t="s">
        <v>348</v>
      </c>
      <c r="L68" s="11" t="s">
        <v>202</v>
      </c>
      <c r="M68" s="11" t="s">
        <v>203</v>
      </c>
      <c r="N68" s="11" t="s">
        <v>220</v>
      </c>
      <c r="O68" s="18"/>
      <c r="P68" s="18"/>
      <c r="Q68" s="18"/>
      <c r="R68" s="18"/>
      <c r="S68" s="11" t="s">
        <v>36</v>
      </c>
      <c r="T68" s="18"/>
      <c r="U68" s="18"/>
      <c r="V68" s="18"/>
      <c r="W68" s="18"/>
      <c r="X68" s="18"/>
      <c r="Y68" s="18"/>
      <c r="Z68" s="18"/>
      <c r="AA68" s="18"/>
      <c r="AB68" s="19"/>
      <c r="AC68" s="19"/>
      <c r="AD68" s="19"/>
      <c r="AE68" s="19"/>
      <c r="AF68" s="19"/>
      <c r="AG68" s="19"/>
    </row>
    <row r="69" ht="22.5" customHeight="1">
      <c r="A69" s="13">
        <v>45901.82213983797</v>
      </c>
      <c r="B69" s="21">
        <v>45901.0</v>
      </c>
      <c r="C69" s="11" t="s">
        <v>349</v>
      </c>
      <c r="D69" s="15" t="s">
        <v>350</v>
      </c>
      <c r="E69" s="11" t="s">
        <v>317</v>
      </c>
      <c r="F69" s="11">
        <v>3500000.0</v>
      </c>
      <c r="G69" s="11" t="s">
        <v>23</v>
      </c>
      <c r="H69" s="18"/>
      <c r="I69" s="11" t="s">
        <v>229</v>
      </c>
      <c r="J69" s="11" t="s">
        <v>24</v>
      </c>
      <c r="K69" s="16" t="s">
        <v>351</v>
      </c>
      <c r="L69" s="11" t="s">
        <v>202</v>
      </c>
      <c r="M69" s="18"/>
      <c r="N69" s="11" t="s">
        <v>313</v>
      </c>
      <c r="O69" s="18"/>
      <c r="P69" s="18"/>
      <c r="Q69" s="18"/>
      <c r="R69" s="18"/>
      <c r="S69" s="18"/>
      <c r="T69" s="11" t="s">
        <v>314</v>
      </c>
      <c r="U69" s="18"/>
      <c r="V69" s="18"/>
      <c r="W69" s="18"/>
      <c r="X69" s="18"/>
      <c r="Y69" s="18"/>
      <c r="Z69" s="18"/>
      <c r="AA69" s="18"/>
      <c r="AB69" s="19"/>
      <c r="AC69" s="19"/>
      <c r="AD69" s="19"/>
      <c r="AE69" s="19"/>
      <c r="AF69" s="19"/>
      <c r="AG69" s="19"/>
    </row>
    <row r="70" ht="22.5" customHeight="1">
      <c r="A70" s="13">
        <v>45901.82789208333</v>
      </c>
      <c r="B70" s="21">
        <v>45901.0</v>
      </c>
      <c r="C70" s="11" t="s">
        <v>352</v>
      </c>
      <c r="D70" s="11" t="s">
        <v>353</v>
      </c>
      <c r="E70" s="11" t="s">
        <v>31</v>
      </c>
      <c r="F70" s="11">
        <v>3500000.0</v>
      </c>
      <c r="G70" s="11" t="s">
        <v>23</v>
      </c>
      <c r="H70" s="18"/>
      <c r="I70" s="11" t="s">
        <v>229</v>
      </c>
      <c r="J70" s="11" t="s">
        <v>327</v>
      </c>
      <c r="K70" s="16" t="s">
        <v>354</v>
      </c>
      <c r="L70" s="11" t="s">
        <v>202</v>
      </c>
      <c r="M70" s="18"/>
      <c r="N70" s="11" t="s">
        <v>215</v>
      </c>
      <c r="O70" s="18"/>
      <c r="P70" s="18"/>
      <c r="Q70" s="18"/>
      <c r="R70" s="18"/>
      <c r="S70" s="18"/>
      <c r="T70" s="18"/>
      <c r="U70" s="18"/>
      <c r="V70" s="18"/>
      <c r="W70" s="11" t="s">
        <v>355</v>
      </c>
      <c r="X70" s="18"/>
      <c r="Y70" s="18"/>
      <c r="Z70" s="18"/>
      <c r="AA70" s="18"/>
      <c r="AB70" s="19"/>
      <c r="AC70" s="19"/>
      <c r="AD70" s="19"/>
      <c r="AE70" s="19"/>
      <c r="AF70" s="19"/>
      <c r="AG70" s="19"/>
    </row>
    <row r="71" ht="22.5" customHeight="1">
      <c r="A71" s="13">
        <v>45901.83536979167</v>
      </c>
      <c r="B71" s="21">
        <v>45901.0</v>
      </c>
      <c r="C71" s="11" t="s">
        <v>356</v>
      </c>
      <c r="D71" s="15" t="s">
        <v>357</v>
      </c>
      <c r="E71" s="11" t="s">
        <v>288</v>
      </c>
      <c r="F71" s="11">
        <v>1000000.0</v>
      </c>
      <c r="G71" s="11" t="s">
        <v>23</v>
      </c>
      <c r="H71" s="18"/>
      <c r="I71" s="11" t="s">
        <v>229</v>
      </c>
      <c r="J71" s="11" t="s">
        <v>358</v>
      </c>
      <c r="K71" s="16" t="s">
        <v>359</v>
      </c>
      <c r="L71" s="11" t="s">
        <v>202</v>
      </c>
      <c r="M71" s="18"/>
      <c r="N71" s="11" t="s">
        <v>204</v>
      </c>
      <c r="O71" s="18"/>
      <c r="P71" s="18"/>
      <c r="Q71" s="18"/>
      <c r="R71" s="11" t="s">
        <v>360</v>
      </c>
      <c r="S71" s="18"/>
      <c r="T71" s="18"/>
      <c r="U71" s="18"/>
      <c r="V71" s="18"/>
      <c r="W71" s="18"/>
      <c r="X71" s="18"/>
      <c r="Y71" s="18"/>
      <c r="Z71" s="18"/>
      <c r="AA71" s="18"/>
      <c r="AB71" s="19"/>
      <c r="AC71" s="19"/>
      <c r="AD71" s="19"/>
      <c r="AE71" s="19"/>
      <c r="AF71" s="19"/>
      <c r="AG71" s="19"/>
    </row>
    <row r="72" ht="22.5" customHeight="1">
      <c r="A72" s="13">
        <v>45901.83919087963</v>
      </c>
      <c r="B72" s="21">
        <v>45901.0</v>
      </c>
      <c r="C72" s="11" t="s">
        <v>361</v>
      </c>
      <c r="D72" s="15" t="s">
        <v>362</v>
      </c>
      <c r="E72" s="11" t="s">
        <v>363</v>
      </c>
      <c r="F72" s="11">
        <v>3000000.0</v>
      </c>
      <c r="G72" s="11" t="s">
        <v>23</v>
      </c>
      <c r="H72" s="18"/>
      <c r="I72" s="11" t="s">
        <v>229</v>
      </c>
      <c r="J72" s="11" t="s">
        <v>358</v>
      </c>
      <c r="K72" s="16" t="s">
        <v>364</v>
      </c>
      <c r="L72" s="11" t="s">
        <v>202</v>
      </c>
      <c r="M72" s="18"/>
      <c r="N72" s="11" t="s">
        <v>204</v>
      </c>
      <c r="O72" s="18"/>
      <c r="P72" s="18"/>
      <c r="Q72" s="18"/>
      <c r="R72" s="11" t="s">
        <v>360</v>
      </c>
      <c r="S72" s="18"/>
      <c r="T72" s="18"/>
      <c r="U72" s="18"/>
      <c r="V72" s="18"/>
      <c r="W72" s="18"/>
      <c r="X72" s="18"/>
      <c r="Y72" s="18"/>
      <c r="Z72" s="18"/>
      <c r="AA72" s="18"/>
      <c r="AB72" s="19"/>
      <c r="AC72" s="19"/>
      <c r="AD72" s="19"/>
      <c r="AE72" s="19"/>
      <c r="AF72" s="19"/>
      <c r="AG72" s="19"/>
    </row>
    <row r="73" ht="22.5" customHeight="1">
      <c r="A73" s="13">
        <v>45901.842271180554</v>
      </c>
      <c r="B73" s="21">
        <v>45901.0</v>
      </c>
      <c r="C73" s="11" t="s">
        <v>365</v>
      </c>
      <c r="D73" s="15" t="s">
        <v>366</v>
      </c>
      <c r="E73" s="11" t="s">
        <v>43</v>
      </c>
      <c r="F73" s="23">
        <v>3200000.0</v>
      </c>
      <c r="G73" s="11" t="s">
        <v>23</v>
      </c>
      <c r="H73" s="18"/>
      <c r="I73" s="11" t="s">
        <v>229</v>
      </c>
      <c r="J73" s="11" t="s">
        <v>165</v>
      </c>
      <c r="K73" s="16" t="s">
        <v>367</v>
      </c>
      <c r="L73" s="11" t="s">
        <v>202</v>
      </c>
      <c r="M73" s="18"/>
      <c r="N73" s="11" t="s">
        <v>204</v>
      </c>
      <c r="O73" s="18"/>
      <c r="P73" s="18"/>
      <c r="Q73" s="18"/>
      <c r="R73" s="11" t="s">
        <v>192</v>
      </c>
      <c r="S73" s="18"/>
      <c r="T73" s="18"/>
      <c r="U73" s="18"/>
      <c r="V73" s="18"/>
      <c r="W73" s="18"/>
      <c r="X73" s="18"/>
      <c r="Y73" s="18"/>
      <c r="Z73" s="18"/>
      <c r="AA73" s="18"/>
      <c r="AB73" s="19"/>
      <c r="AC73" s="19"/>
      <c r="AD73" s="19"/>
      <c r="AE73" s="19"/>
      <c r="AF73" s="19"/>
      <c r="AG73" s="19"/>
    </row>
    <row r="74" ht="22.5" customHeight="1">
      <c r="A74" s="13">
        <v>45901.8436855787</v>
      </c>
      <c r="B74" s="21">
        <v>45901.0</v>
      </c>
      <c r="C74" s="11" t="s">
        <v>368</v>
      </c>
      <c r="D74" s="15" t="s">
        <v>369</v>
      </c>
      <c r="E74" s="11" t="s">
        <v>239</v>
      </c>
      <c r="F74" s="23">
        <v>2000000.0</v>
      </c>
      <c r="G74" s="11" t="s">
        <v>23</v>
      </c>
      <c r="H74" s="18"/>
      <c r="I74" s="11" t="s">
        <v>229</v>
      </c>
      <c r="J74" s="11" t="s">
        <v>165</v>
      </c>
      <c r="K74" s="16" t="s">
        <v>370</v>
      </c>
      <c r="L74" s="11" t="s">
        <v>202</v>
      </c>
      <c r="M74" s="18"/>
      <c r="N74" s="11" t="s">
        <v>204</v>
      </c>
      <c r="O74" s="18"/>
      <c r="P74" s="18"/>
      <c r="Q74" s="18"/>
      <c r="R74" s="11" t="s">
        <v>167</v>
      </c>
      <c r="S74" s="18"/>
      <c r="T74" s="18"/>
      <c r="U74" s="18"/>
      <c r="V74" s="18"/>
      <c r="W74" s="18"/>
      <c r="X74" s="18"/>
      <c r="Y74" s="18"/>
      <c r="Z74" s="18"/>
      <c r="AA74" s="18"/>
      <c r="AB74" s="19"/>
      <c r="AC74" s="19"/>
      <c r="AD74" s="19"/>
      <c r="AE74" s="19"/>
      <c r="AF74" s="19"/>
      <c r="AG74" s="19"/>
    </row>
    <row r="75" ht="22.5" customHeight="1">
      <c r="A75" s="13">
        <v>45901.84539569444</v>
      </c>
      <c r="B75" s="21">
        <v>45901.0</v>
      </c>
      <c r="C75" s="11" t="s">
        <v>371</v>
      </c>
      <c r="D75" s="15" t="s">
        <v>372</v>
      </c>
      <c r="E75" s="11" t="s">
        <v>261</v>
      </c>
      <c r="F75" s="23">
        <v>2300000.0</v>
      </c>
      <c r="G75" s="11" t="s">
        <v>23</v>
      </c>
      <c r="H75" s="18"/>
      <c r="I75" s="11" t="s">
        <v>229</v>
      </c>
      <c r="J75" s="11" t="s">
        <v>293</v>
      </c>
      <c r="K75" s="16" t="s">
        <v>373</v>
      </c>
      <c r="L75" s="11" t="s">
        <v>202</v>
      </c>
      <c r="M75" s="18"/>
      <c r="N75" s="11" t="s">
        <v>204</v>
      </c>
      <c r="O75" s="18"/>
      <c r="P75" s="18"/>
      <c r="Q75" s="18"/>
      <c r="R75" s="11" t="s">
        <v>192</v>
      </c>
      <c r="S75" s="18"/>
      <c r="T75" s="18"/>
      <c r="U75" s="18"/>
      <c r="V75" s="18"/>
      <c r="W75" s="18"/>
      <c r="X75" s="18"/>
      <c r="Y75" s="18"/>
      <c r="Z75" s="18"/>
      <c r="AA75" s="18"/>
      <c r="AB75" s="19"/>
      <c r="AC75" s="19"/>
      <c r="AD75" s="19"/>
      <c r="AE75" s="19"/>
      <c r="AF75" s="19"/>
      <c r="AG75" s="19"/>
    </row>
    <row r="76" ht="22.5" customHeight="1">
      <c r="A76" s="13">
        <v>45901.8489812037</v>
      </c>
      <c r="B76" s="21">
        <v>45901.0</v>
      </c>
      <c r="C76" s="11" t="s">
        <v>374</v>
      </c>
      <c r="D76" s="15" t="s">
        <v>375</v>
      </c>
      <c r="E76" s="11" t="s">
        <v>376</v>
      </c>
      <c r="F76" s="11">
        <v>4500000.0</v>
      </c>
      <c r="G76" s="11" t="s">
        <v>23</v>
      </c>
      <c r="H76" s="18"/>
      <c r="I76" s="11" t="s">
        <v>229</v>
      </c>
      <c r="J76" s="11" t="s">
        <v>377</v>
      </c>
      <c r="K76" s="16" t="s">
        <v>378</v>
      </c>
      <c r="L76" s="11" t="s">
        <v>202</v>
      </c>
      <c r="M76" s="18"/>
      <c r="N76" s="11" t="s">
        <v>204</v>
      </c>
      <c r="O76" s="18"/>
      <c r="P76" s="18"/>
      <c r="Q76" s="18"/>
      <c r="R76" s="11" t="s">
        <v>98</v>
      </c>
      <c r="S76" s="18"/>
      <c r="T76" s="18"/>
      <c r="U76" s="18"/>
      <c r="V76" s="18"/>
      <c r="W76" s="18"/>
      <c r="X76" s="18"/>
      <c r="Y76" s="18"/>
      <c r="Z76" s="18"/>
      <c r="AA76" s="18"/>
      <c r="AB76" s="19"/>
      <c r="AC76" s="19"/>
      <c r="AD76" s="19"/>
      <c r="AE76" s="19"/>
      <c r="AF76" s="19"/>
      <c r="AG76" s="19"/>
    </row>
    <row r="77" ht="22.5" customHeight="1">
      <c r="A77" s="13">
        <v>45901.84956012732</v>
      </c>
      <c r="B77" s="21">
        <v>45901.0</v>
      </c>
      <c r="C77" s="11" t="s">
        <v>379</v>
      </c>
      <c r="D77" s="15" t="s">
        <v>380</v>
      </c>
      <c r="E77" s="11" t="s">
        <v>381</v>
      </c>
      <c r="F77" s="11">
        <v>6000000.0</v>
      </c>
      <c r="G77" s="11" t="s">
        <v>23</v>
      </c>
      <c r="H77" s="11">
        <v>5000000.0</v>
      </c>
      <c r="I77" s="11" t="s">
        <v>200</v>
      </c>
      <c r="J77" s="18"/>
      <c r="K77" s="16" t="s">
        <v>382</v>
      </c>
      <c r="L77" s="11" t="s">
        <v>202</v>
      </c>
      <c r="M77" s="11" t="s">
        <v>383</v>
      </c>
      <c r="N77" s="11" t="s">
        <v>313</v>
      </c>
      <c r="O77" s="18"/>
      <c r="P77" s="18"/>
      <c r="Q77" s="18"/>
      <c r="R77" s="18"/>
      <c r="S77" s="18"/>
      <c r="T77" s="11" t="s">
        <v>384</v>
      </c>
      <c r="U77" s="18"/>
      <c r="V77" s="18"/>
      <c r="W77" s="18"/>
      <c r="X77" s="18"/>
      <c r="Y77" s="18"/>
      <c r="Z77" s="18"/>
      <c r="AA77" s="18"/>
      <c r="AB77" s="19"/>
      <c r="AC77" s="19"/>
      <c r="AD77" s="19"/>
      <c r="AE77" s="19"/>
      <c r="AF77" s="19"/>
      <c r="AG77" s="19"/>
    </row>
    <row r="78" ht="22.5" customHeight="1">
      <c r="A78" s="13">
        <v>45901.85414896991</v>
      </c>
      <c r="B78" s="21">
        <v>45901.0</v>
      </c>
      <c r="C78" s="11" t="s">
        <v>385</v>
      </c>
      <c r="D78" s="15" t="s">
        <v>386</v>
      </c>
      <c r="E78" s="11" t="s">
        <v>228</v>
      </c>
      <c r="F78" s="11">
        <v>3000000.0</v>
      </c>
      <c r="G78" s="11" t="s">
        <v>23</v>
      </c>
      <c r="H78" s="18"/>
      <c r="I78" s="11" t="s">
        <v>229</v>
      </c>
      <c r="J78" s="11" t="s">
        <v>387</v>
      </c>
      <c r="K78" s="16" t="s">
        <v>388</v>
      </c>
      <c r="L78" s="11" t="s">
        <v>202</v>
      </c>
      <c r="M78" s="18"/>
      <c r="N78" s="11" t="s">
        <v>215</v>
      </c>
      <c r="O78" s="18"/>
      <c r="P78" s="18"/>
      <c r="Q78" s="18"/>
      <c r="R78" s="18"/>
      <c r="S78" s="18"/>
      <c r="T78" s="18"/>
      <c r="U78" s="18"/>
      <c r="V78" s="18"/>
      <c r="W78" s="11" t="s">
        <v>389</v>
      </c>
      <c r="X78" s="18"/>
      <c r="Y78" s="18"/>
      <c r="Z78" s="18"/>
      <c r="AA78" s="18"/>
      <c r="AB78" s="19"/>
      <c r="AC78" s="19"/>
      <c r="AD78" s="19"/>
      <c r="AE78" s="19"/>
      <c r="AF78" s="19"/>
      <c r="AG78" s="19"/>
    </row>
    <row r="79" ht="22.5" customHeight="1">
      <c r="A79" s="13">
        <v>45901.96731184028</v>
      </c>
      <c r="B79" s="21">
        <v>45901.0</v>
      </c>
      <c r="C79" s="11" t="s">
        <v>390</v>
      </c>
      <c r="D79" s="15" t="s">
        <v>391</v>
      </c>
      <c r="E79" s="11" t="s">
        <v>392</v>
      </c>
      <c r="F79" s="11">
        <v>5700000.0</v>
      </c>
      <c r="G79" s="11" t="s">
        <v>45</v>
      </c>
      <c r="H79" s="11">
        <v>3000000.0</v>
      </c>
      <c r="I79" s="11" t="s">
        <v>200</v>
      </c>
      <c r="J79" s="18"/>
      <c r="K79" s="16" t="s">
        <v>393</v>
      </c>
      <c r="L79" s="11" t="s">
        <v>202</v>
      </c>
      <c r="M79" s="11" t="s">
        <v>203</v>
      </c>
      <c r="N79" s="11" t="s">
        <v>204</v>
      </c>
      <c r="O79" s="18"/>
      <c r="P79" s="18"/>
      <c r="Q79" s="18"/>
      <c r="R79" s="11" t="s">
        <v>53</v>
      </c>
      <c r="S79" s="18"/>
      <c r="T79" s="18"/>
      <c r="U79" s="18"/>
      <c r="V79" s="18"/>
      <c r="W79" s="18"/>
      <c r="X79" s="18"/>
      <c r="Y79" s="18"/>
      <c r="Z79" s="18"/>
      <c r="AA79" s="18"/>
      <c r="AB79" s="19"/>
      <c r="AC79" s="19"/>
      <c r="AD79" s="19"/>
      <c r="AE79" s="19"/>
      <c r="AF79" s="19"/>
      <c r="AG79" s="19"/>
    </row>
    <row r="80" ht="22.5" customHeight="1">
      <c r="A80" s="13">
        <v>45902.43235957176</v>
      </c>
      <c r="B80" s="21">
        <v>45902.0</v>
      </c>
      <c r="C80" s="11" t="s">
        <v>394</v>
      </c>
      <c r="D80" s="15" t="s">
        <v>395</v>
      </c>
      <c r="E80" s="11" t="s">
        <v>396</v>
      </c>
      <c r="F80" s="11">
        <v>5600000.0</v>
      </c>
      <c r="G80" s="11" t="s">
        <v>23</v>
      </c>
      <c r="H80" s="18"/>
      <c r="I80" s="11" t="s">
        <v>229</v>
      </c>
      <c r="J80" s="11" t="s">
        <v>397</v>
      </c>
      <c r="K80" s="16" t="s">
        <v>398</v>
      </c>
      <c r="L80" s="11" t="s">
        <v>202</v>
      </c>
      <c r="M80" s="18"/>
      <c r="N80" s="11" t="s">
        <v>204</v>
      </c>
      <c r="O80" s="18"/>
      <c r="P80" s="18"/>
      <c r="Q80" s="18"/>
      <c r="R80" s="11" t="s">
        <v>98</v>
      </c>
      <c r="S80" s="18"/>
      <c r="T80" s="18"/>
      <c r="U80" s="18"/>
      <c r="V80" s="18"/>
      <c r="W80" s="18"/>
      <c r="X80" s="18"/>
      <c r="Y80" s="18"/>
      <c r="Z80" s="18"/>
      <c r="AA80" s="18"/>
      <c r="AB80" s="19"/>
      <c r="AC80" s="19"/>
      <c r="AD80" s="19"/>
      <c r="AE80" s="19"/>
      <c r="AF80" s="19"/>
      <c r="AG80" s="19"/>
    </row>
    <row r="81" ht="22.5" customHeight="1">
      <c r="A81" s="13">
        <v>45902.437738657405</v>
      </c>
      <c r="B81" s="21">
        <v>45902.0</v>
      </c>
      <c r="C81" s="11" t="s">
        <v>399</v>
      </c>
      <c r="D81" s="15" t="s">
        <v>400</v>
      </c>
      <c r="E81" s="11" t="s">
        <v>31</v>
      </c>
      <c r="F81" s="11">
        <v>5000000.0</v>
      </c>
      <c r="G81" s="11" t="s">
        <v>23</v>
      </c>
      <c r="H81" s="18"/>
      <c r="I81" s="11" t="s">
        <v>229</v>
      </c>
      <c r="J81" s="11" t="s">
        <v>401</v>
      </c>
      <c r="K81" s="16" t="s">
        <v>402</v>
      </c>
      <c r="L81" s="11" t="s">
        <v>202</v>
      </c>
      <c r="M81" s="18"/>
      <c r="N81" s="11" t="s">
        <v>220</v>
      </c>
      <c r="O81" s="18"/>
      <c r="P81" s="18"/>
      <c r="Q81" s="18"/>
      <c r="R81" s="18"/>
      <c r="S81" s="11" t="s">
        <v>36</v>
      </c>
      <c r="T81" s="18"/>
      <c r="U81" s="18"/>
      <c r="V81" s="18"/>
      <c r="W81" s="18"/>
      <c r="X81" s="18"/>
      <c r="Y81" s="18"/>
      <c r="Z81" s="18"/>
      <c r="AA81" s="18"/>
      <c r="AB81" s="19"/>
      <c r="AC81" s="19"/>
      <c r="AD81" s="19"/>
      <c r="AE81" s="19"/>
      <c r="AF81" s="19"/>
      <c r="AG81" s="19"/>
    </row>
    <row r="82" ht="22.5" customHeight="1">
      <c r="A82" s="13">
        <v>45902.460727233796</v>
      </c>
      <c r="B82" s="21">
        <v>45902.0</v>
      </c>
      <c r="C82" s="11" t="s">
        <v>403</v>
      </c>
      <c r="D82" s="15" t="s">
        <v>404</v>
      </c>
      <c r="E82" s="11" t="s">
        <v>261</v>
      </c>
      <c r="F82" s="11">
        <v>4600000.0</v>
      </c>
      <c r="G82" s="11" t="s">
        <v>23</v>
      </c>
      <c r="H82" s="18"/>
      <c r="I82" s="11" t="s">
        <v>229</v>
      </c>
      <c r="J82" s="11" t="s">
        <v>405</v>
      </c>
      <c r="K82" s="16" t="s">
        <v>406</v>
      </c>
      <c r="L82" s="11" t="s">
        <v>202</v>
      </c>
      <c r="M82" s="18"/>
      <c r="N82" s="11" t="s">
        <v>204</v>
      </c>
      <c r="O82" s="18"/>
      <c r="P82" s="18"/>
      <c r="Q82" s="18"/>
      <c r="R82" s="11" t="s">
        <v>90</v>
      </c>
      <c r="S82" s="18"/>
      <c r="T82" s="18"/>
      <c r="U82" s="18"/>
      <c r="V82" s="18"/>
      <c r="W82" s="18"/>
      <c r="X82" s="18"/>
      <c r="Y82" s="18"/>
      <c r="Z82" s="18"/>
      <c r="AA82" s="18"/>
      <c r="AB82" s="19"/>
      <c r="AC82" s="19"/>
      <c r="AD82" s="19"/>
      <c r="AE82" s="19"/>
      <c r="AF82" s="19"/>
      <c r="AG82" s="19"/>
    </row>
    <row r="83" ht="22.5" customHeight="1">
      <c r="A83" s="13">
        <v>45902.462958749995</v>
      </c>
      <c r="B83" s="21">
        <v>45902.0</v>
      </c>
      <c r="C83" s="11" t="s">
        <v>407</v>
      </c>
      <c r="D83" s="15" t="s">
        <v>408</v>
      </c>
      <c r="E83" s="11" t="s">
        <v>409</v>
      </c>
      <c r="F83" s="11">
        <v>2000000.0</v>
      </c>
      <c r="G83" s="11" t="s">
        <v>23</v>
      </c>
      <c r="H83" s="18"/>
      <c r="I83" s="11" t="s">
        <v>229</v>
      </c>
      <c r="J83" s="11" t="s">
        <v>165</v>
      </c>
      <c r="K83" s="16" t="s">
        <v>410</v>
      </c>
      <c r="L83" s="11" t="s">
        <v>202</v>
      </c>
      <c r="M83" s="18"/>
      <c r="N83" s="11" t="s">
        <v>204</v>
      </c>
      <c r="O83" s="18"/>
      <c r="P83" s="18"/>
      <c r="Q83" s="18"/>
      <c r="R83" s="11" t="s">
        <v>360</v>
      </c>
      <c r="S83" s="18"/>
      <c r="T83" s="18"/>
      <c r="U83" s="18"/>
      <c r="V83" s="18"/>
      <c r="W83" s="18"/>
      <c r="X83" s="18"/>
      <c r="Y83" s="18"/>
      <c r="Z83" s="18"/>
      <c r="AA83" s="18"/>
      <c r="AB83" s="19"/>
      <c r="AC83" s="19"/>
      <c r="AD83" s="19"/>
      <c r="AE83" s="19"/>
      <c r="AF83" s="19"/>
      <c r="AG83" s="19"/>
    </row>
    <row r="84" ht="22.5" customHeight="1">
      <c r="A84" s="13">
        <v>45902.48496108796</v>
      </c>
      <c r="B84" s="21">
        <v>45902.0</v>
      </c>
      <c r="C84" s="11" t="s">
        <v>411</v>
      </c>
      <c r="D84" s="15" t="s">
        <v>412</v>
      </c>
      <c r="E84" s="11" t="s">
        <v>288</v>
      </c>
      <c r="F84" s="11">
        <v>4600000.0</v>
      </c>
      <c r="G84" s="11" t="s">
        <v>23</v>
      </c>
      <c r="H84" s="11">
        <v>7000000.0</v>
      </c>
      <c r="I84" s="11" t="s">
        <v>413</v>
      </c>
      <c r="J84" s="18"/>
      <c r="K84" s="16" t="s">
        <v>414</v>
      </c>
      <c r="L84" s="11" t="s">
        <v>202</v>
      </c>
      <c r="M84" s="11" t="s">
        <v>203</v>
      </c>
      <c r="N84" s="11" t="s">
        <v>204</v>
      </c>
      <c r="O84" s="18"/>
      <c r="P84" s="18"/>
      <c r="Q84" s="18"/>
      <c r="R84" s="11" t="s">
        <v>90</v>
      </c>
      <c r="S84" s="18"/>
      <c r="T84" s="18"/>
      <c r="U84" s="18"/>
      <c r="V84" s="18"/>
      <c r="W84" s="18"/>
      <c r="X84" s="18"/>
      <c r="Y84" s="18"/>
      <c r="Z84" s="18"/>
      <c r="AA84" s="18"/>
      <c r="AB84" s="19"/>
      <c r="AC84" s="19"/>
      <c r="AD84" s="19"/>
      <c r="AE84" s="19"/>
      <c r="AF84" s="19"/>
      <c r="AG84" s="19"/>
    </row>
    <row r="85" ht="22.5" customHeight="1">
      <c r="A85" s="13">
        <v>45902.51811761574</v>
      </c>
      <c r="B85" s="21">
        <v>45902.0</v>
      </c>
      <c r="C85" s="11" t="s">
        <v>415</v>
      </c>
      <c r="D85" s="15" t="s">
        <v>416</v>
      </c>
      <c r="E85" s="11" t="s">
        <v>417</v>
      </c>
      <c r="F85" s="11">
        <v>6100000.0</v>
      </c>
      <c r="G85" s="11" t="s">
        <v>23</v>
      </c>
      <c r="H85" s="18"/>
      <c r="I85" s="11" t="s">
        <v>229</v>
      </c>
      <c r="J85" s="11" t="s">
        <v>418</v>
      </c>
      <c r="K85" s="16" t="s">
        <v>419</v>
      </c>
      <c r="L85" s="11" t="s">
        <v>202</v>
      </c>
      <c r="M85" s="18"/>
      <c r="N85" s="11" t="s">
        <v>313</v>
      </c>
      <c r="O85" s="18"/>
      <c r="P85" s="18"/>
      <c r="Q85" s="18"/>
      <c r="R85" s="18"/>
      <c r="S85" s="18"/>
      <c r="T85" s="11" t="s">
        <v>329</v>
      </c>
      <c r="U85" s="18"/>
      <c r="V85" s="18"/>
      <c r="W85" s="18"/>
      <c r="X85" s="18"/>
      <c r="Y85" s="18"/>
      <c r="Z85" s="18"/>
      <c r="AA85" s="18"/>
      <c r="AB85" s="19"/>
      <c r="AC85" s="19"/>
      <c r="AD85" s="19"/>
      <c r="AE85" s="19"/>
      <c r="AF85" s="19"/>
      <c r="AG85" s="19"/>
    </row>
    <row r="86" ht="22.5" customHeight="1">
      <c r="A86" s="13">
        <v>45902.52115446759</v>
      </c>
      <c r="B86" s="21">
        <v>45902.0</v>
      </c>
      <c r="C86" s="11" t="s">
        <v>420</v>
      </c>
      <c r="D86" s="15" t="s">
        <v>421</v>
      </c>
      <c r="E86" s="11" t="s">
        <v>288</v>
      </c>
      <c r="F86" s="11">
        <v>3200000.0</v>
      </c>
      <c r="G86" s="11" t="s">
        <v>23</v>
      </c>
      <c r="H86" s="18"/>
      <c r="I86" s="11" t="s">
        <v>229</v>
      </c>
      <c r="J86" s="11" t="s">
        <v>422</v>
      </c>
      <c r="K86" s="16" t="s">
        <v>423</v>
      </c>
      <c r="L86" s="11" t="s">
        <v>202</v>
      </c>
      <c r="M86" s="18"/>
      <c r="N86" s="11" t="s">
        <v>204</v>
      </c>
      <c r="O86" s="18"/>
      <c r="P86" s="18"/>
      <c r="Q86" s="18"/>
      <c r="R86" s="11" t="s">
        <v>148</v>
      </c>
      <c r="S86" s="18"/>
      <c r="T86" s="18"/>
      <c r="U86" s="18"/>
      <c r="V86" s="18"/>
      <c r="W86" s="18"/>
      <c r="X86" s="18"/>
      <c r="Y86" s="18"/>
      <c r="Z86" s="18"/>
      <c r="AA86" s="18"/>
      <c r="AB86" s="19"/>
      <c r="AC86" s="19"/>
      <c r="AD86" s="19"/>
      <c r="AE86" s="19"/>
      <c r="AF86" s="19"/>
      <c r="AG86" s="19"/>
    </row>
    <row r="87" ht="22.5" customHeight="1">
      <c r="A87" s="13">
        <v>45902.52319717593</v>
      </c>
      <c r="B87" s="21">
        <v>45902.0</v>
      </c>
      <c r="C87" s="11" t="s">
        <v>424</v>
      </c>
      <c r="D87" s="15" t="s">
        <v>425</v>
      </c>
      <c r="E87" s="11" t="s">
        <v>288</v>
      </c>
      <c r="F87" s="11">
        <v>1200000.0</v>
      </c>
      <c r="G87" s="11" t="s">
        <v>23</v>
      </c>
      <c r="H87" s="18"/>
      <c r="I87" s="11" t="s">
        <v>229</v>
      </c>
      <c r="J87" s="11" t="s">
        <v>426</v>
      </c>
      <c r="K87" s="16" t="s">
        <v>427</v>
      </c>
      <c r="L87" s="11" t="s">
        <v>202</v>
      </c>
      <c r="M87" s="18"/>
      <c r="N87" s="11" t="s">
        <v>204</v>
      </c>
      <c r="O87" s="18"/>
      <c r="P87" s="18"/>
      <c r="Q87" s="18"/>
      <c r="R87" s="11" t="s">
        <v>148</v>
      </c>
      <c r="S87" s="18"/>
      <c r="T87" s="18"/>
      <c r="U87" s="18"/>
      <c r="V87" s="18"/>
      <c r="W87" s="18"/>
      <c r="X87" s="18"/>
      <c r="Y87" s="18"/>
      <c r="Z87" s="18"/>
      <c r="AA87" s="18"/>
      <c r="AB87" s="19"/>
      <c r="AC87" s="19"/>
      <c r="AD87" s="19"/>
      <c r="AE87" s="19"/>
      <c r="AF87" s="19"/>
      <c r="AG87" s="19"/>
    </row>
    <row r="88" ht="22.5" customHeight="1">
      <c r="A88" s="13">
        <v>45902.545426805555</v>
      </c>
      <c r="B88" s="21">
        <v>45902.0</v>
      </c>
      <c r="C88" s="11" t="s">
        <v>428</v>
      </c>
      <c r="D88" s="15" t="s">
        <v>429</v>
      </c>
      <c r="E88" s="11" t="s">
        <v>261</v>
      </c>
      <c r="F88" s="11">
        <v>2500.0</v>
      </c>
      <c r="G88" s="11" t="s">
        <v>23</v>
      </c>
      <c r="H88" s="18"/>
      <c r="I88" s="11" t="s">
        <v>229</v>
      </c>
      <c r="J88" s="11" t="s">
        <v>430</v>
      </c>
      <c r="K88" s="16" t="s">
        <v>431</v>
      </c>
      <c r="L88" s="11" t="s">
        <v>202</v>
      </c>
      <c r="M88" s="18"/>
      <c r="N88" s="11" t="s">
        <v>204</v>
      </c>
      <c r="O88" s="18"/>
      <c r="P88" s="18"/>
      <c r="Q88" s="18"/>
      <c r="R88" s="11" t="s">
        <v>192</v>
      </c>
      <c r="S88" s="18"/>
      <c r="T88" s="18"/>
      <c r="U88" s="18"/>
      <c r="V88" s="18"/>
      <c r="W88" s="18"/>
      <c r="X88" s="18"/>
      <c r="Y88" s="18"/>
      <c r="Z88" s="18"/>
      <c r="AA88" s="18"/>
      <c r="AB88" s="19"/>
      <c r="AC88" s="19"/>
      <c r="AD88" s="19"/>
      <c r="AE88" s="19"/>
      <c r="AF88" s="19"/>
      <c r="AG88" s="19"/>
    </row>
    <row r="89" ht="22.5" customHeight="1">
      <c r="A89" s="13">
        <v>45902.55569258102</v>
      </c>
      <c r="B89" s="21">
        <v>45902.0</v>
      </c>
      <c r="C89" s="11" t="s">
        <v>432</v>
      </c>
      <c r="D89" s="15" t="s">
        <v>433</v>
      </c>
      <c r="E89" s="11" t="s">
        <v>43</v>
      </c>
      <c r="F89" s="11">
        <v>3000000.0</v>
      </c>
      <c r="G89" s="11" t="s">
        <v>45</v>
      </c>
      <c r="H89" s="11">
        <v>5000000.0</v>
      </c>
      <c r="I89" s="11" t="s">
        <v>413</v>
      </c>
      <c r="J89" s="18"/>
      <c r="K89" s="16" t="s">
        <v>434</v>
      </c>
      <c r="L89" s="11" t="s">
        <v>202</v>
      </c>
      <c r="M89" s="11" t="s">
        <v>435</v>
      </c>
      <c r="N89" s="11" t="s">
        <v>215</v>
      </c>
      <c r="O89" s="18"/>
      <c r="P89" s="18"/>
      <c r="Q89" s="18"/>
      <c r="R89" s="18"/>
      <c r="S89" s="18"/>
      <c r="T89" s="18"/>
      <c r="U89" s="18"/>
      <c r="V89" s="18"/>
      <c r="W89" s="11" t="s">
        <v>216</v>
      </c>
      <c r="X89" s="18"/>
      <c r="Y89" s="18"/>
      <c r="Z89" s="18"/>
      <c r="AA89" s="18"/>
      <c r="AB89" s="19"/>
      <c r="AC89" s="19"/>
      <c r="AD89" s="19"/>
      <c r="AE89" s="19"/>
      <c r="AF89" s="19"/>
      <c r="AG89" s="19"/>
    </row>
    <row r="90" ht="22.5" customHeight="1">
      <c r="A90" s="13">
        <v>45902.55781012731</v>
      </c>
      <c r="B90" s="21">
        <v>45902.0</v>
      </c>
      <c r="C90" s="11" t="s">
        <v>436</v>
      </c>
      <c r="D90" s="15" t="s">
        <v>437</v>
      </c>
      <c r="E90" s="11" t="s">
        <v>239</v>
      </c>
      <c r="F90" s="11">
        <v>100.0</v>
      </c>
      <c r="G90" s="11" t="s">
        <v>23</v>
      </c>
      <c r="H90" s="18"/>
      <c r="I90" s="11" t="s">
        <v>229</v>
      </c>
      <c r="J90" s="11" t="s">
        <v>270</v>
      </c>
      <c r="K90" s="16" t="s">
        <v>438</v>
      </c>
      <c r="L90" s="11" t="s">
        <v>202</v>
      </c>
      <c r="M90" s="18"/>
      <c r="N90" s="11" t="s">
        <v>215</v>
      </c>
      <c r="O90" s="18"/>
      <c r="P90" s="18"/>
      <c r="Q90" s="18"/>
      <c r="R90" s="18"/>
      <c r="S90" s="18"/>
      <c r="T90" s="18"/>
      <c r="U90" s="18"/>
      <c r="V90" s="18"/>
      <c r="W90" s="11" t="s">
        <v>216</v>
      </c>
      <c r="X90" s="18"/>
      <c r="Y90" s="18"/>
      <c r="Z90" s="18"/>
      <c r="AA90" s="18"/>
      <c r="AB90" s="19"/>
      <c r="AC90" s="19"/>
      <c r="AD90" s="19"/>
      <c r="AE90" s="19"/>
      <c r="AF90" s="19"/>
      <c r="AG90" s="19"/>
    </row>
    <row r="91" ht="22.5" customHeight="1">
      <c r="A91" s="13">
        <v>45902.562344363425</v>
      </c>
      <c r="B91" s="21">
        <v>45902.0</v>
      </c>
      <c r="C91" s="11" t="s">
        <v>439</v>
      </c>
      <c r="D91" s="15" t="s">
        <v>440</v>
      </c>
      <c r="E91" s="11" t="s">
        <v>441</v>
      </c>
      <c r="F91" s="23">
        <v>4000.0</v>
      </c>
      <c r="G91" s="11" t="s">
        <v>23</v>
      </c>
      <c r="H91" s="18"/>
      <c r="I91" s="11" t="s">
        <v>229</v>
      </c>
      <c r="J91" s="11" t="s">
        <v>165</v>
      </c>
      <c r="K91" s="16" t="s">
        <v>442</v>
      </c>
      <c r="L91" s="11" t="s">
        <v>202</v>
      </c>
      <c r="M91" s="18"/>
      <c r="N91" s="11" t="s">
        <v>204</v>
      </c>
      <c r="O91" s="18"/>
      <c r="P91" s="18"/>
      <c r="Q91" s="18"/>
      <c r="R91" s="11" t="s">
        <v>167</v>
      </c>
      <c r="S91" s="18"/>
      <c r="T91" s="18"/>
      <c r="U91" s="18"/>
      <c r="V91" s="18"/>
      <c r="W91" s="18"/>
      <c r="X91" s="18"/>
      <c r="Y91" s="18"/>
      <c r="Z91" s="18"/>
      <c r="AA91" s="18"/>
      <c r="AB91" s="19"/>
      <c r="AC91" s="19"/>
      <c r="AD91" s="19"/>
      <c r="AE91" s="19"/>
      <c r="AF91" s="19"/>
      <c r="AG91" s="19"/>
    </row>
    <row r="92" ht="22.5" customHeight="1">
      <c r="A92" s="13">
        <v>45902.57149311343</v>
      </c>
      <c r="B92" s="21">
        <v>45902.0</v>
      </c>
      <c r="C92" s="11" t="s">
        <v>443</v>
      </c>
      <c r="D92" s="15" t="s">
        <v>444</v>
      </c>
      <c r="E92" s="11" t="s">
        <v>311</v>
      </c>
      <c r="F92" s="11">
        <v>4200000.0</v>
      </c>
      <c r="G92" s="11" t="s">
        <v>23</v>
      </c>
      <c r="H92" s="18"/>
      <c r="I92" s="11" t="s">
        <v>229</v>
      </c>
      <c r="J92" s="11" t="s">
        <v>24</v>
      </c>
      <c r="K92" s="16" t="s">
        <v>445</v>
      </c>
      <c r="L92" s="11" t="s">
        <v>202</v>
      </c>
      <c r="M92" s="18"/>
      <c r="N92" s="11" t="s">
        <v>313</v>
      </c>
      <c r="O92" s="18"/>
      <c r="P92" s="18"/>
      <c r="Q92" s="18"/>
      <c r="R92" s="18"/>
      <c r="S92" s="18"/>
      <c r="T92" s="11" t="s">
        <v>314</v>
      </c>
      <c r="U92" s="18"/>
      <c r="V92" s="18"/>
      <c r="W92" s="18"/>
      <c r="X92" s="18"/>
      <c r="Y92" s="18"/>
      <c r="Z92" s="18"/>
      <c r="AA92" s="18"/>
      <c r="AB92" s="19"/>
      <c r="AC92" s="19"/>
      <c r="AD92" s="19"/>
      <c r="AE92" s="19"/>
      <c r="AF92" s="19"/>
      <c r="AG92" s="19"/>
    </row>
    <row r="93" ht="22.5" customHeight="1">
      <c r="A93" s="13">
        <v>45902.57340248843</v>
      </c>
      <c r="B93" s="21">
        <v>45902.0</v>
      </c>
      <c r="C93" s="11" t="s">
        <v>446</v>
      </c>
      <c r="D93" s="15" t="s">
        <v>447</v>
      </c>
      <c r="E93" s="11" t="s">
        <v>448</v>
      </c>
      <c r="F93" s="11">
        <v>3400000.0</v>
      </c>
      <c r="G93" s="11" t="s">
        <v>23</v>
      </c>
      <c r="H93" s="18"/>
      <c r="I93" s="11" t="s">
        <v>229</v>
      </c>
      <c r="J93" s="11" t="s">
        <v>24</v>
      </c>
      <c r="K93" s="16" t="s">
        <v>449</v>
      </c>
      <c r="L93" s="11" t="s">
        <v>202</v>
      </c>
      <c r="M93" s="18"/>
      <c r="N93" s="11" t="s">
        <v>313</v>
      </c>
      <c r="O93" s="18"/>
      <c r="P93" s="18"/>
      <c r="Q93" s="18"/>
      <c r="R93" s="18"/>
      <c r="S93" s="18"/>
      <c r="T93" s="11" t="s">
        <v>314</v>
      </c>
      <c r="U93" s="18"/>
      <c r="V93" s="18"/>
      <c r="W93" s="18"/>
      <c r="X93" s="18"/>
      <c r="Y93" s="18"/>
      <c r="Z93" s="18"/>
      <c r="AA93" s="18"/>
      <c r="AB93" s="19"/>
      <c r="AC93" s="19"/>
      <c r="AD93" s="19"/>
      <c r="AE93" s="19"/>
      <c r="AF93" s="19"/>
      <c r="AG93" s="19"/>
    </row>
    <row r="94" ht="22.5" customHeight="1">
      <c r="A94" s="13">
        <v>45902.586242743055</v>
      </c>
      <c r="B94" s="21">
        <v>45902.0</v>
      </c>
      <c r="C94" s="11" t="s">
        <v>450</v>
      </c>
      <c r="D94" s="11">
        <v>8.85338534966E11</v>
      </c>
      <c r="E94" s="11" t="s">
        <v>43</v>
      </c>
      <c r="F94" s="11">
        <v>2500000.0</v>
      </c>
      <c r="G94" s="11" t="s">
        <v>23</v>
      </c>
      <c r="H94" s="18"/>
      <c r="I94" s="11" t="s">
        <v>229</v>
      </c>
      <c r="J94" s="11" t="s">
        <v>164</v>
      </c>
      <c r="K94" s="16" t="s">
        <v>451</v>
      </c>
      <c r="L94" s="11" t="s">
        <v>252</v>
      </c>
      <c r="M94" s="18"/>
      <c r="N94" s="18"/>
      <c r="O94" s="11" t="s">
        <v>205</v>
      </c>
      <c r="P94" s="18"/>
      <c r="Q94" s="18"/>
      <c r="R94" s="18"/>
      <c r="S94" s="18"/>
      <c r="T94" s="18"/>
      <c r="U94" s="18"/>
      <c r="V94" s="18"/>
      <c r="W94" s="18"/>
      <c r="X94" s="11" t="s">
        <v>452</v>
      </c>
      <c r="Y94" s="18"/>
      <c r="Z94" s="18"/>
      <c r="AA94" s="18"/>
      <c r="AB94" s="19"/>
      <c r="AC94" s="19"/>
      <c r="AD94" s="19"/>
      <c r="AE94" s="19"/>
      <c r="AF94" s="19"/>
      <c r="AG94" s="19"/>
    </row>
    <row r="95" ht="22.5" customHeight="1">
      <c r="A95" s="13">
        <v>45902.58930306713</v>
      </c>
      <c r="B95" s="21">
        <v>45902.0</v>
      </c>
      <c r="C95" s="11" t="s">
        <v>453</v>
      </c>
      <c r="D95" s="11">
        <v>8.2213300765E10</v>
      </c>
      <c r="E95" s="11" t="s">
        <v>43</v>
      </c>
      <c r="F95" s="11">
        <v>3000000.0</v>
      </c>
      <c r="G95" s="11" t="s">
        <v>45</v>
      </c>
      <c r="H95" s="18"/>
      <c r="I95" s="11" t="s">
        <v>229</v>
      </c>
      <c r="J95" s="11" t="s">
        <v>164</v>
      </c>
      <c r="K95" s="16" t="s">
        <v>454</v>
      </c>
      <c r="L95" s="11" t="s">
        <v>252</v>
      </c>
      <c r="M95" s="18"/>
      <c r="N95" s="18"/>
      <c r="O95" s="11" t="s">
        <v>205</v>
      </c>
      <c r="P95" s="18"/>
      <c r="Q95" s="18"/>
      <c r="R95" s="18"/>
      <c r="S95" s="18"/>
      <c r="T95" s="18"/>
      <c r="U95" s="18"/>
      <c r="V95" s="18"/>
      <c r="W95" s="18"/>
      <c r="X95" s="11" t="s">
        <v>452</v>
      </c>
      <c r="Y95" s="18"/>
      <c r="Z95" s="18"/>
      <c r="AA95" s="18"/>
      <c r="AB95" s="19"/>
      <c r="AC95" s="19"/>
      <c r="AD95" s="19"/>
      <c r="AE95" s="19"/>
      <c r="AF95" s="19"/>
      <c r="AG95" s="19"/>
    </row>
    <row r="96" ht="22.5" customHeight="1">
      <c r="A96" s="13">
        <v>45902.61159556713</v>
      </c>
      <c r="B96" s="21">
        <v>45902.0</v>
      </c>
      <c r="C96" s="11" t="s">
        <v>455</v>
      </c>
      <c r="D96" s="11">
        <v>8.1236270475E10</v>
      </c>
      <c r="E96" s="11" t="s">
        <v>31</v>
      </c>
      <c r="F96" s="11">
        <v>5000000.0</v>
      </c>
      <c r="G96" s="11" t="s">
        <v>23</v>
      </c>
      <c r="H96" s="11">
        <v>7000000.0</v>
      </c>
      <c r="I96" s="11" t="s">
        <v>413</v>
      </c>
      <c r="J96" s="18"/>
      <c r="K96" s="16" t="s">
        <v>456</v>
      </c>
      <c r="L96" s="11" t="s">
        <v>202</v>
      </c>
      <c r="M96" s="11" t="s">
        <v>203</v>
      </c>
      <c r="N96" s="11" t="s">
        <v>220</v>
      </c>
      <c r="O96" s="18"/>
      <c r="P96" s="18"/>
      <c r="Q96" s="18"/>
      <c r="R96" s="18"/>
      <c r="S96" s="11" t="s">
        <v>124</v>
      </c>
      <c r="T96" s="18"/>
      <c r="U96" s="18"/>
      <c r="V96" s="18"/>
      <c r="W96" s="18"/>
      <c r="X96" s="18"/>
      <c r="Y96" s="18"/>
      <c r="Z96" s="18"/>
      <c r="AA96" s="18"/>
      <c r="AB96" s="19"/>
      <c r="AC96" s="19"/>
      <c r="AD96" s="19"/>
      <c r="AE96" s="19"/>
      <c r="AF96" s="19"/>
      <c r="AG96" s="19"/>
    </row>
    <row r="97" ht="22.5" customHeight="1">
      <c r="A97" s="13">
        <v>45902.644215844906</v>
      </c>
      <c r="B97" s="21">
        <v>45902.0</v>
      </c>
      <c r="C97" s="11" t="s">
        <v>457</v>
      </c>
      <c r="D97" s="15" t="s">
        <v>458</v>
      </c>
      <c r="E97" s="11" t="s">
        <v>43</v>
      </c>
      <c r="F97" s="11">
        <v>2000000.0</v>
      </c>
      <c r="G97" s="11" t="s">
        <v>23</v>
      </c>
      <c r="H97" s="18"/>
      <c r="I97" s="11" t="s">
        <v>229</v>
      </c>
      <c r="J97" s="11" t="s">
        <v>459</v>
      </c>
      <c r="K97" s="16" t="s">
        <v>460</v>
      </c>
      <c r="L97" s="11" t="s">
        <v>202</v>
      </c>
      <c r="M97" s="18"/>
      <c r="N97" s="11" t="s">
        <v>220</v>
      </c>
      <c r="O97" s="18"/>
      <c r="P97" s="18"/>
      <c r="Q97" s="18"/>
      <c r="R97" s="18"/>
      <c r="S97" s="11" t="s">
        <v>36</v>
      </c>
      <c r="T97" s="18"/>
      <c r="U97" s="18"/>
      <c r="V97" s="18"/>
      <c r="W97" s="18"/>
      <c r="X97" s="18"/>
      <c r="Y97" s="18"/>
      <c r="Z97" s="18"/>
      <c r="AA97" s="18"/>
      <c r="AB97" s="19"/>
      <c r="AC97" s="19"/>
      <c r="AD97" s="19"/>
      <c r="AE97" s="19"/>
      <c r="AF97" s="19"/>
      <c r="AG97" s="19"/>
    </row>
    <row r="98" ht="22.5" customHeight="1">
      <c r="A98" s="13">
        <v>45902.6628462963</v>
      </c>
      <c r="B98" s="21">
        <v>45902.0</v>
      </c>
      <c r="C98" s="11" t="s">
        <v>461</v>
      </c>
      <c r="D98" s="15" t="s">
        <v>462</v>
      </c>
      <c r="E98" s="11" t="s">
        <v>463</v>
      </c>
      <c r="F98" s="11">
        <v>8000000.0</v>
      </c>
      <c r="G98" s="11" t="s">
        <v>23</v>
      </c>
      <c r="H98" s="18"/>
      <c r="I98" s="11" t="s">
        <v>229</v>
      </c>
      <c r="J98" s="11" t="s">
        <v>464</v>
      </c>
      <c r="K98" s="16" t="s">
        <v>465</v>
      </c>
      <c r="L98" s="11" t="s">
        <v>202</v>
      </c>
      <c r="M98" s="18"/>
      <c r="N98" s="11" t="s">
        <v>220</v>
      </c>
      <c r="O98" s="18"/>
      <c r="P98" s="18"/>
      <c r="Q98" s="18"/>
      <c r="R98" s="18"/>
      <c r="S98" s="11" t="s">
        <v>466</v>
      </c>
      <c r="T98" s="18"/>
      <c r="U98" s="18"/>
      <c r="V98" s="18"/>
      <c r="W98" s="18"/>
      <c r="X98" s="18"/>
      <c r="Y98" s="18"/>
      <c r="Z98" s="18"/>
      <c r="AA98" s="18"/>
      <c r="AB98" s="19"/>
      <c r="AC98" s="19"/>
      <c r="AD98" s="19"/>
      <c r="AE98" s="19"/>
      <c r="AF98" s="19"/>
      <c r="AG98" s="19"/>
    </row>
    <row r="99" ht="22.5" customHeight="1">
      <c r="A99" s="13">
        <v>45902.665916909726</v>
      </c>
      <c r="B99" s="21">
        <v>45902.0</v>
      </c>
      <c r="C99" s="11" t="s">
        <v>467</v>
      </c>
      <c r="D99" s="15" t="s">
        <v>468</v>
      </c>
      <c r="E99" s="11" t="s">
        <v>43</v>
      </c>
      <c r="F99" s="11">
        <v>7000000.0</v>
      </c>
      <c r="G99" s="11" t="s">
        <v>23</v>
      </c>
      <c r="H99" s="18"/>
      <c r="I99" s="11" t="s">
        <v>229</v>
      </c>
      <c r="J99" s="11" t="s">
        <v>469</v>
      </c>
      <c r="K99" s="16" t="s">
        <v>470</v>
      </c>
      <c r="L99" s="11" t="s">
        <v>202</v>
      </c>
      <c r="M99" s="18"/>
      <c r="N99" s="11" t="s">
        <v>204</v>
      </c>
      <c r="O99" s="18"/>
      <c r="P99" s="18"/>
      <c r="Q99" s="18"/>
      <c r="R99" s="11" t="s">
        <v>471</v>
      </c>
      <c r="S99" s="18"/>
      <c r="T99" s="18"/>
      <c r="U99" s="18"/>
      <c r="V99" s="18"/>
      <c r="W99" s="18"/>
      <c r="X99" s="18"/>
      <c r="Y99" s="18"/>
      <c r="Z99" s="18"/>
      <c r="AA99" s="18"/>
      <c r="AB99" s="19"/>
      <c r="AC99" s="19"/>
      <c r="AD99" s="19"/>
      <c r="AE99" s="19"/>
      <c r="AF99" s="19"/>
      <c r="AG99" s="19"/>
    </row>
    <row r="100" ht="22.5" customHeight="1">
      <c r="A100" s="13">
        <v>45902.6692593287</v>
      </c>
      <c r="B100" s="21">
        <v>45902.0</v>
      </c>
      <c r="C100" s="11" t="s">
        <v>472</v>
      </c>
      <c r="D100" s="15" t="s">
        <v>473</v>
      </c>
      <c r="E100" s="11" t="s">
        <v>283</v>
      </c>
      <c r="F100" s="11">
        <v>1.0E7</v>
      </c>
      <c r="G100" s="11" t="s">
        <v>23</v>
      </c>
      <c r="H100" s="11">
        <v>3000000.0</v>
      </c>
      <c r="I100" s="11" t="s">
        <v>413</v>
      </c>
      <c r="J100" s="18"/>
      <c r="K100" s="16" t="s">
        <v>474</v>
      </c>
      <c r="L100" s="11" t="s">
        <v>252</v>
      </c>
      <c r="M100" s="11" t="s">
        <v>203</v>
      </c>
      <c r="N100" s="18"/>
      <c r="O100" s="11" t="s">
        <v>257</v>
      </c>
      <c r="P100" s="11" t="s">
        <v>272</v>
      </c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9"/>
      <c r="AC100" s="19"/>
      <c r="AD100" s="19"/>
      <c r="AE100" s="19"/>
      <c r="AF100" s="19"/>
      <c r="AG100" s="19"/>
    </row>
    <row r="101" ht="22.5" customHeight="1">
      <c r="A101" s="13">
        <v>45902.69138204861</v>
      </c>
      <c r="B101" s="21">
        <v>45902.0</v>
      </c>
      <c r="C101" s="11" t="s">
        <v>475</v>
      </c>
      <c r="D101" s="15" t="s">
        <v>476</v>
      </c>
      <c r="E101" s="11" t="s">
        <v>31</v>
      </c>
      <c r="F101" s="11">
        <v>6100000.0</v>
      </c>
      <c r="G101" s="11" t="s">
        <v>23</v>
      </c>
      <c r="H101" s="18"/>
      <c r="I101" s="11" t="s">
        <v>229</v>
      </c>
      <c r="J101" s="11" t="s">
        <v>270</v>
      </c>
      <c r="K101" s="16" t="s">
        <v>477</v>
      </c>
      <c r="L101" s="11" t="s">
        <v>202</v>
      </c>
      <c r="M101" s="18"/>
      <c r="N101" s="11" t="s">
        <v>313</v>
      </c>
      <c r="O101" s="18"/>
      <c r="P101" s="18"/>
      <c r="Q101" s="18"/>
      <c r="R101" s="18"/>
      <c r="S101" s="18"/>
      <c r="T101" s="11" t="s">
        <v>329</v>
      </c>
      <c r="U101" s="18"/>
      <c r="V101" s="18"/>
      <c r="W101" s="18"/>
      <c r="X101" s="18"/>
      <c r="Y101" s="18"/>
      <c r="Z101" s="18"/>
      <c r="AA101" s="18"/>
      <c r="AB101" s="19"/>
      <c r="AC101" s="19"/>
      <c r="AD101" s="19"/>
      <c r="AE101" s="19"/>
      <c r="AF101" s="19"/>
      <c r="AG101" s="19"/>
    </row>
    <row r="102" ht="22.5" customHeight="1">
      <c r="A102" s="13">
        <v>45902.70738878472</v>
      </c>
      <c r="B102" s="21">
        <v>45902.0</v>
      </c>
      <c r="C102" s="11" t="s">
        <v>478</v>
      </c>
      <c r="D102" s="15" t="s">
        <v>479</v>
      </c>
      <c r="E102" s="11" t="s">
        <v>43</v>
      </c>
      <c r="F102" s="11">
        <v>3500000.0</v>
      </c>
      <c r="G102" s="11" t="s">
        <v>23</v>
      </c>
      <c r="H102" s="18"/>
      <c r="I102" s="11" t="s">
        <v>229</v>
      </c>
      <c r="J102" s="11" t="s">
        <v>164</v>
      </c>
      <c r="K102" s="16" t="s">
        <v>480</v>
      </c>
      <c r="L102" s="11" t="s">
        <v>202</v>
      </c>
      <c r="M102" s="18"/>
      <c r="N102" s="11" t="s">
        <v>220</v>
      </c>
      <c r="O102" s="18"/>
      <c r="P102" s="18"/>
      <c r="Q102" s="18"/>
      <c r="R102" s="18"/>
      <c r="S102" s="11" t="s">
        <v>83</v>
      </c>
      <c r="T102" s="18"/>
      <c r="U102" s="18"/>
      <c r="V102" s="18"/>
      <c r="W102" s="18"/>
      <c r="X102" s="18"/>
      <c r="Y102" s="18"/>
      <c r="Z102" s="18"/>
      <c r="AA102" s="18"/>
      <c r="AB102" s="19"/>
      <c r="AC102" s="19"/>
      <c r="AD102" s="19"/>
      <c r="AE102" s="19"/>
      <c r="AF102" s="19"/>
      <c r="AG102" s="19"/>
    </row>
    <row r="103" ht="22.5" customHeight="1">
      <c r="A103" s="13">
        <v>45902.72966157408</v>
      </c>
      <c r="B103" s="21">
        <v>45902.0</v>
      </c>
      <c r="C103" s="11" t="s">
        <v>481</v>
      </c>
      <c r="D103" s="15" t="s">
        <v>482</v>
      </c>
      <c r="E103" s="11" t="s">
        <v>31</v>
      </c>
      <c r="F103" s="11">
        <v>4500000.0</v>
      </c>
      <c r="G103" s="11" t="s">
        <v>45</v>
      </c>
      <c r="H103" s="11">
        <v>5000000.0</v>
      </c>
      <c r="I103" s="11" t="s">
        <v>413</v>
      </c>
      <c r="J103" s="18"/>
      <c r="K103" s="16" t="s">
        <v>483</v>
      </c>
      <c r="L103" s="11" t="s">
        <v>202</v>
      </c>
      <c r="M103" s="11" t="s">
        <v>383</v>
      </c>
      <c r="N103" s="11" t="s">
        <v>204</v>
      </c>
      <c r="O103" s="18"/>
      <c r="P103" s="18"/>
      <c r="Q103" s="18"/>
      <c r="R103" s="11" t="s">
        <v>207</v>
      </c>
      <c r="S103" s="18"/>
      <c r="T103" s="18"/>
      <c r="U103" s="18"/>
      <c r="V103" s="18"/>
      <c r="W103" s="18"/>
      <c r="X103" s="18"/>
      <c r="Y103" s="18"/>
      <c r="Z103" s="18"/>
      <c r="AA103" s="18"/>
      <c r="AB103" s="19"/>
      <c r="AC103" s="19"/>
      <c r="AD103" s="19"/>
      <c r="AE103" s="19"/>
      <c r="AF103" s="19"/>
      <c r="AG103" s="19"/>
    </row>
    <row r="104" ht="22.5" customHeight="1">
      <c r="A104" s="13">
        <v>45902.7455541088</v>
      </c>
      <c r="B104" s="21">
        <v>45902.0</v>
      </c>
      <c r="C104" s="11" t="s">
        <v>484</v>
      </c>
      <c r="D104" s="15" t="s">
        <v>485</v>
      </c>
      <c r="E104" s="11" t="s">
        <v>199</v>
      </c>
      <c r="F104" s="11">
        <v>3200000.0</v>
      </c>
      <c r="G104" s="11" t="s">
        <v>45</v>
      </c>
      <c r="H104" s="11">
        <v>5000000.0</v>
      </c>
      <c r="I104" s="11" t="s">
        <v>413</v>
      </c>
      <c r="J104" s="18"/>
      <c r="K104" s="16" t="s">
        <v>486</v>
      </c>
      <c r="L104" s="11" t="s">
        <v>252</v>
      </c>
      <c r="M104" s="11" t="s">
        <v>435</v>
      </c>
      <c r="N104" s="18"/>
      <c r="O104" s="11" t="s">
        <v>205</v>
      </c>
      <c r="P104" s="18"/>
      <c r="Q104" s="18"/>
      <c r="R104" s="18"/>
      <c r="S104" s="18"/>
      <c r="T104" s="18"/>
      <c r="U104" s="18"/>
      <c r="V104" s="18"/>
      <c r="W104" s="18"/>
      <c r="X104" s="11" t="s">
        <v>487</v>
      </c>
      <c r="Y104" s="18"/>
      <c r="Z104" s="18"/>
      <c r="AA104" s="18"/>
      <c r="AB104" s="19"/>
      <c r="AC104" s="19"/>
      <c r="AD104" s="19"/>
      <c r="AE104" s="19"/>
      <c r="AF104" s="19"/>
      <c r="AG104" s="19"/>
    </row>
    <row r="105" ht="22.5" customHeight="1">
      <c r="A105" s="13">
        <v>45902.791140208334</v>
      </c>
      <c r="B105" s="21">
        <v>45902.0</v>
      </c>
      <c r="C105" s="11" t="s">
        <v>488</v>
      </c>
      <c r="D105" s="15" t="s">
        <v>489</v>
      </c>
      <c r="E105" s="11" t="s">
        <v>239</v>
      </c>
      <c r="F105" s="11">
        <v>4000.0</v>
      </c>
      <c r="G105" s="11" t="s">
        <v>23</v>
      </c>
      <c r="H105" s="18"/>
      <c r="I105" s="11" t="s">
        <v>229</v>
      </c>
      <c r="J105" s="11" t="s">
        <v>165</v>
      </c>
      <c r="K105" s="16" t="s">
        <v>490</v>
      </c>
      <c r="L105" s="11" t="s">
        <v>202</v>
      </c>
      <c r="M105" s="18"/>
      <c r="N105" s="11" t="s">
        <v>204</v>
      </c>
      <c r="O105" s="18"/>
      <c r="P105" s="18"/>
      <c r="Q105" s="18"/>
      <c r="R105" s="11" t="s">
        <v>167</v>
      </c>
      <c r="S105" s="18"/>
      <c r="T105" s="18"/>
      <c r="U105" s="18"/>
      <c r="V105" s="18"/>
      <c r="W105" s="18"/>
      <c r="X105" s="18"/>
      <c r="Y105" s="18"/>
      <c r="Z105" s="18"/>
      <c r="AA105" s="18"/>
      <c r="AB105" s="19"/>
      <c r="AC105" s="19"/>
      <c r="AD105" s="19"/>
      <c r="AE105" s="19"/>
      <c r="AF105" s="19"/>
      <c r="AG105" s="19"/>
    </row>
    <row r="106" ht="22.5" customHeight="1">
      <c r="A106" s="13">
        <v>45902.79341953703</v>
      </c>
      <c r="B106" s="21">
        <v>45902.0</v>
      </c>
      <c r="C106" s="11" t="s">
        <v>491</v>
      </c>
      <c r="D106" s="15" t="s">
        <v>492</v>
      </c>
      <c r="E106" s="11" t="s">
        <v>493</v>
      </c>
      <c r="F106" s="11">
        <v>5000000.0</v>
      </c>
      <c r="G106" s="11" t="s">
        <v>23</v>
      </c>
      <c r="H106" s="18"/>
      <c r="I106" s="11" t="s">
        <v>229</v>
      </c>
      <c r="J106" s="11" t="s">
        <v>165</v>
      </c>
      <c r="K106" s="16" t="s">
        <v>494</v>
      </c>
      <c r="L106" s="11" t="s">
        <v>202</v>
      </c>
      <c r="M106" s="18"/>
      <c r="N106" s="11" t="s">
        <v>204</v>
      </c>
      <c r="O106" s="18"/>
      <c r="P106" s="18"/>
      <c r="Q106" s="18"/>
      <c r="R106" s="11" t="s">
        <v>28</v>
      </c>
      <c r="S106" s="18"/>
      <c r="T106" s="18"/>
      <c r="U106" s="18"/>
      <c r="V106" s="18"/>
      <c r="W106" s="18"/>
      <c r="X106" s="18"/>
      <c r="Y106" s="18"/>
      <c r="Z106" s="18"/>
      <c r="AA106" s="18"/>
      <c r="AB106" s="19"/>
      <c r="AC106" s="19"/>
      <c r="AD106" s="19"/>
      <c r="AE106" s="19"/>
      <c r="AF106" s="19"/>
      <c r="AG106" s="19"/>
    </row>
    <row r="107" ht="22.5" customHeight="1">
      <c r="A107" s="13">
        <v>45902.80699758102</v>
      </c>
      <c r="B107" s="21">
        <v>45902.0</v>
      </c>
      <c r="C107" s="11" t="s">
        <v>495</v>
      </c>
      <c r="D107" s="15" t="s">
        <v>496</v>
      </c>
      <c r="E107" s="11" t="s">
        <v>497</v>
      </c>
      <c r="F107" s="11">
        <v>8500000.0</v>
      </c>
      <c r="G107" s="11" t="s">
        <v>23</v>
      </c>
      <c r="H107" s="18"/>
      <c r="I107" s="11" t="s">
        <v>229</v>
      </c>
      <c r="J107" s="11" t="s">
        <v>498</v>
      </c>
      <c r="K107" s="16" t="s">
        <v>499</v>
      </c>
      <c r="L107" s="11" t="s">
        <v>202</v>
      </c>
      <c r="M107" s="18"/>
      <c r="N107" s="11" t="s">
        <v>500</v>
      </c>
      <c r="O107" s="18"/>
      <c r="P107" s="18"/>
      <c r="Q107" s="18"/>
      <c r="R107" s="18"/>
      <c r="S107" s="18"/>
      <c r="T107" s="18"/>
      <c r="U107" s="18"/>
      <c r="V107" s="11" t="s">
        <v>501</v>
      </c>
      <c r="W107" s="18"/>
      <c r="X107" s="18"/>
      <c r="Y107" s="18"/>
      <c r="Z107" s="18"/>
      <c r="AA107" s="18"/>
      <c r="AB107" s="19"/>
      <c r="AC107" s="19"/>
      <c r="AD107" s="19"/>
      <c r="AE107" s="19"/>
      <c r="AF107" s="19"/>
      <c r="AG107" s="19"/>
    </row>
    <row r="108" ht="22.5" customHeight="1">
      <c r="A108" s="13">
        <v>45902.81807995371</v>
      </c>
      <c r="B108" s="21">
        <v>45902.0</v>
      </c>
      <c r="C108" s="11" t="s">
        <v>502</v>
      </c>
      <c r="D108" s="15" t="s">
        <v>503</v>
      </c>
      <c r="E108" s="11" t="s">
        <v>228</v>
      </c>
      <c r="F108" s="11">
        <v>3500000.0</v>
      </c>
      <c r="G108" s="11" t="s">
        <v>23</v>
      </c>
      <c r="H108" s="18"/>
      <c r="I108" s="11" t="s">
        <v>229</v>
      </c>
      <c r="J108" s="11" t="s">
        <v>229</v>
      </c>
      <c r="K108" s="16" t="s">
        <v>504</v>
      </c>
      <c r="L108" s="11" t="s">
        <v>202</v>
      </c>
      <c r="M108" s="18"/>
      <c r="N108" s="11" t="s">
        <v>220</v>
      </c>
      <c r="O108" s="18"/>
      <c r="P108" s="18"/>
      <c r="Q108" s="18"/>
      <c r="R108" s="18"/>
      <c r="S108" s="11" t="s">
        <v>59</v>
      </c>
      <c r="T108" s="18"/>
      <c r="U108" s="18"/>
      <c r="V108" s="18"/>
      <c r="W108" s="18"/>
      <c r="X108" s="18"/>
      <c r="Y108" s="18"/>
      <c r="Z108" s="18"/>
      <c r="AA108" s="18"/>
      <c r="AB108" s="19"/>
      <c r="AC108" s="19"/>
      <c r="AD108" s="19"/>
      <c r="AE108" s="19"/>
      <c r="AF108" s="19"/>
      <c r="AG108" s="19"/>
    </row>
    <row r="109" ht="22.5" customHeight="1">
      <c r="A109" s="13">
        <v>45902.82361928241</v>
      </c>
      <c r="B109" s="21">
        <v>45902.0</v>
      </c>
      <c r="C109" s="11" t="s">
        <v>505</v>
      </c>
      <c r="D109" s="15" t="s">
        <v>506</v>
      </c>
      <c r="E109" s="11" t="s">
        <v>228</v>
      </c>
      <c r="F109" s="11">
        <v>2000000.0</v>
      </c>
      <c r="G109" s="11" t="s">
        <v>23</v>
      </c>
      <c r="H109" s="18"/>
      <c r="I109" s="11" t="s">
        <v>229</v>
      </c>
      <c r="J109" s="11" t="s">
        <v>250</v>
      </c>
      <c r="K109" s="16" t="s">
        <v>507</v>
      </c>
      <c r="L109" s="11" t="s">
        <v>252</v>
      </c>
      <c r="M109" s="18"/>
      <c r="N109" s="18"/>
      <c r="O109" s="11" t="s">
        <v>205</v>
      </c>
      <c r="P109" s="18"/>
      <c r="Q109" s="18"/>
      <c r="R109" s="18"/>
      <c r="S109" s="18"/>
      <c r="T109" s="18"/>
      <c r="U109" s="18"/>
      <c r="V109" s="18"/>
      <c r="W109" s="18"/>
      <c r="X109" s="11" t="s">
        <v>253</v>
      </c>
      <c r="Y109" s="18"/>
      <c r="Z109" s="18"/>
      <c r="AA109" s="18"/>
      <c r="AB109" s="19"/>
      <c r="AC109" s="19"/>
      <c r="AD109" s="19"/>
      <c r="AE109" s="19"/>
      <c r="AF109" s="19"/>
      <c r="AG109" s="19"/>
    </row>
    <row r="110" ht="22.5" customHeight="1">
      <c r="A110" s="13">
        <v>45902.824095497686</v>
      </c>
      <c r="B110" s="21">
        <v>45902.0</v>
      </c>
      <c r="C110" s="11" t="s">
        <v>508</v>
      </c>
      <c r="D110" s="15" t="s">
        <v>509</v>
      </c>
      <c r="E110" s="11" t="s">
        <v>43</v>
      </c>
      <c r="F110" s="11">
        <v>3400000.0</v>
      </c>
      <c r="G110" s="11" t="s">
        <v>23</v>
      </c>
      <c r="H110" s="18"/>
      <c r="I110" s="11" t="s">
        <v>229</v>
      </c>
      <c r="J110" s="11" t="s">
        <v>164</v>
      </c>
      <c r="K110" s="16" t="s">
        <v>510</v>
      </c>
      <c r="L110" s="11" t="s">
        <v>202</v>
      </c>
      <c r="M110" s="18"/>
      <c r="N110" s="11" t="s">
        <v>220</v>
      </c>
      <c r="O110" s="18"/>
      <c r="P110" s="18"/>
      <c r="Q110" s="18"/>
      <c r="R110" s="18"/>
      <c r="S110" s="11" t="s">
        <v>83</v>
      </c>
      <c r="T110" s="18"/>
      <c r="U110" s="18"/>
      <c r="V110" s="18"/>
      <c r="W110" s="18"/>
      <c r="X110" s="18"/>
      <c r="Y110" s="18"/>
      <c r="Z110" s="18"/>
      <c r="AA110" s="18"/>
      <c r="AB110" s="19"/>
      <c r="AC110" s="19"/>
      <c r="AD110" s="19"/>
      <c r="AE110" s="19"/>
      <c r="AF110" s="19"/>
      <c r="AG110" s="19"/>
    </row>
    <row r="111" ht="22.5" customHeight="1">
      <c r="A111" s="13">
        <v>45902.825723912036</v>
      </c>
      <c r="B111" s="21">
        <v>45902.0</v>
      </c>
      <c r="C111" s="11" t="s">
        <v>508</v>
      </c>
      <c r="D111" s="15" t="s">
        <v>509</v>
      </c>
      <c r="E111" s="11" t="s">
        <v>43</v>
      </c>
      <c r="F111" s="11">
        <v>3400000.0</v>
      </c>
      <c r="G111" s="11" t="s">
        <v>23</v>
      </c>
      <c r="H111" s="18"/>
      <c r="I111" s="11" t="s">
        <v>229</v>
      </c>
      <c r="J111" s="11" t="s">
        <v>164</v>
      </c>
      <c r="K111" s="16" t="s">
        <v>511</v>
      </c>
      <c r="L111" s="11" t="s">
        <v>202</v>
      </c>
      <c r="M111" s="18"/>
      <c r="N111" s="11" t="s">
        <v>220</v>
      </c>
      <c r="O111" s="18"/>
      <c r="P111" s="18"/>
      <c r="Q111" s="18"/>
      <c r="R111" s="18"/>
      <c r="S111" s="11" t="s">
        <v>83</v>
      </c>
      <c r="T111" s="18"/>
      <c r="U111" s="18"/>
      <c r="V111" s="18"/>
      <c r="W111" s="18"/>
      <c r="X111" s="18"/>
      <c r="Y111" s="18"/>
      <c r="Z111" s="18"/>
      <c r="AA111" s="18"/>
      <c r="AB111" s="19"/>
      <c r="AC111" s="19"/>
      <c r="AD111" s="19"/>
      <c r="AE111" s="19"/>
      <c r="AF111" s="19"/>
      <c r="AG111" s="19"/>
    </row>
    <row r="112" ht="22.5" customHeight="1">
      <c r="A112" s="13">
        <v>45902.82857892361</v>
      </c>
      <c r="B112" s="21">
        <v>45902.0</v>
      </c>
      <c r="C112" s="11" t="s">
        <v>512</v>
      </c>
      <c r="D112" s="15" t="s">
        <v>369</v>
      </c>
      <c r="E112" s="11" t="s">
        <v>199</v>
      </c>
      <c r="F112" s="11">
        <v>4000000.0</v>
      </c>
      <c r="G112" s="11" t="s">
        <v>45</v>
      </c>
      <c r="H112" s="18"/>
      <c r="I112" s="11" t="s">
        <v>229</v>
      </c>
      <c r="J112" s="11" t="s">
        <v>426</v>
      </c>
      <c r="K112" s="16" t="s">
        <v>513</v>
      </c>
      <c r="L112" s="11" t="s">
        <v>202</v>
      </c>
      <c r="M112" s="18"/>
      <c r="N112" s="11" t="s">
        <v>204</v>
      </c>
      <c r="O112" s="18"/>
      <c r="P112" s="18"/>
      <c r="Q112" s="18"/>
      <c r="R112" s="11" t="s">
        <v>148</v>
      </c>
      <c r="S112" s="18"/>
      <c r="T112" s="18"/>
      <c r="U112" s="18"/>
      <c r="V112" s="18"/>
      <c r="W112" s="18"/>
      <c r="X112" s="18"/>
      <c r="Y112" s="18"/>
      <c r="Z112" s="18"/>
      <c r="AA112" s="18"/>
      <c r="AB112" s="19"/>
      <c r="AC112" s="19"/>
      <c r="AD112" s="19"/>
      <c r="AE112" s="19"/>
      <c r="AF112" s="19"/>
      <c r="AG112" s="19"/>
    </row>
    <row r="113" ht="22.5" customHeight="1">
      <c r="A113" s="13">
        <v>45902.851255347225</v>
      </c>
      <c r="B113" s="21">
        <v>45902.0</v>
      </c>
      <c r="C113" s="11" t="s">
        <v>514</v>
      </c>
      <c r="D113" s="15" t="s">
        <v>515</v>
      </c>
      <c r="E113" s="11" t="s">
        <v>31</v>
      </c>
      <c r="F113" s="11">
        <v>4100000.0</v>
      </c>
      <c r="G113" s="11" t="s">
        <v>23</v>
      </c>
      <c r="H113" s="11">
        <v>3000000.0</v>
      </c>
      <c r="I113" s="11" t="s">
        <v>200</v>
      </c>
      <c r="J113" s="18"/>
      <c r="K113" s="16" t="s">
        <v>516</v>
      </c>
      <c r="L113" s="11" t="s">
        <v>202</v>
      </c>
      <c r="M113" s="11" t="s">
        <v>203</v>
      </c>
      <c r="N113" s="11" t="s">
        <v>220</v>
      </c>
      <c r="O113" s="18"/>
      <c r="P113" s="18"/>
      <c r="Q113" s="18"/>
      <c r="R113" s="18"/>
      <c r="S113" s="11" t="s">
        <v>36</v>
      </c>
      <c r="T113" s="18"/>
      <c r="U113" s="18"/>
      <c r="V113" s="18"/>
      <c r="W113" s="18"/>
      <c r="X113" s="18"/>
      <c r="Y113" s="18"/>
      <c r="Z113" s="18"/>
      <c r="AA113" s="18"/>
      <c r="AB113" s="19"/>
      <c r="AC113" s="19"/>
      <c r="AD113" s="19"/>
      <c r="AE113" s="19"/>
      <c r="AF113" s="19"/>
      <c r="AG113" s="19"/>
    </row>
    <row r="114" ht="22.5" customHeight="1">
      <c r="A114" s="13">
        <v>45902.85840118055</v>
      </c>
      <c r="B114" s="21">
        <v>45902.0</v>
      </c>
      <c r="C114" s="11" t="s">
        <v>517</v>
      </c>
      <c r="D114" s="15" t="s">
        <v>518</v>
      </c>
      <c r="E114" s="11" t="s">
        <v>43</v>
      </c>
      <c r="F114" s="11">
        <v>5000000.0</v>
      </c>
      <c r="G114" s="11" t="s">
        <v>45</v>
      </c>
      <c r="H114" s="18"/>
      <c r="I114" s="11" t="s">
        <v>229</v>
      </c>
      <c r="J114" s="11" t="s">
        <v>297</v>
      </c>
      <c r="K114" s="16" t="s">
        <v>519</v>
      </c>
      <c r="L114" s="11" t="s">
        <v>202</v>
      </c>
      <c r="M114" s="18"/>
      <c r="N114" s="11" t="s">
        <v>220</v>
      </c>
      <c r="O114" s="18"/>
      <c r="P114" s="18"/>
      <c r="Q114" s="18"/>
      <c r="R114" s="18"/>
      <c r="S114" s="11" t="s">
        <v>59</v>
      </c>
      <c r="T114" s="18"/>
      <c r="U114" s="18"/>
      <c r="V114" s="18"/>
      <c r="W114" s="18"/>
      <c r="X114" s="18"/>
      <c r="Y114" s="18"/>
      <c r="Z114" s="18"/>
      <c r="AA114" s="18"/>
      <c r="AB114" s="19"/>
      <c r="AC114" s="19"/>
      <c r="AD114" s="19"/>
      <c r="AE114" s="19"/>
      <c r="AF114" s="19"/>
      <c r="AG114" s="19"/>
    </row>
    <row r="115" ht="22.5" customHeight="1">
      <c r="A115" s="13">
        <v>45902.85992379629</v>
      </c>
      <c r="B115" s="21">
        <v>45902.0</v>
      </c>
      <c r="C115" s="11" t="s">
        <v>520</v>
      </c>
      <c r="D115" s="11" t="s">
        <v>521</v>
      </c>
      <c r="E115" s="11" t="s">
        <v>31</v>
      </c>
      <c r="F115" s="11">
        <v>8000000.0</v>
      </c>
      <c r="G115" s="11" t="s">
        <v>23</v>
      </c>
      <c r="H115" s="18"/>
      <c r="I115" s="11" t="s">
        <v>229</v>
      </c>
      <c r="J115" s="11" t="s">
        <v>327</v>
      </c>
      <c r="K115" s="16" t="s">
        <v>522</v>
      </c>
      <c r="L115" s="11" t="s">
        <v>202</v>
      </c>
      <c r="M115" s="18"/>
      <c r="N115" s="11" t="s">
        <v>215</v>
      </c>
      <c r="O115" s="18"/>
      <c r="P115" s="18"/>
      <c r="Q115" s="18"/>
      <c r="R115" s="18"/>
      <c r="S115" s="18"/>
      <c r="T115" s="18"/>
      <c r="U115" s="18"/>
      <c r="V115" s="18"/>
      <c r="W115" s="11" t="s">
        <v>355</v>
      </c>
      <c r="X115" s="18"/>
      <c r="Y115" s="18"/>
      <c r="Z115" s="18"/>
      <c r="AA115" s="18"/>
      <c r="AB115" s="19"/>
      <c r="AC115" s="19"/>
      <c r="AD115" s="19"/>
      <c r="AE115" s="19"/>
      <c r="AF115" s="19"/>
      <c r="AG115" s="19"/>
    </row>
    <row r="116" ht="22.5" customHeight="1">
      <c r="A116" s="13">
        <v>45902.862251921295</v>
      </c>
      <c r="B116" s="21">
        <v>45902.0</v>
      </c>
      <c r="C116" s="11" t="s">
        <v>523</v>
      </c>
      <c r="D116" s="11" t="s">
        <v>524</v>
      </c>
      <c r="E116" s="11" t="s">
        <v>31</v>
      </c>
      <c r="F116" s="11">
        <v>6000000.0</v>
      </c>
      <c r="G116" s="11" t="s">
        <v>23</v>
      </c>
      <c r="H116" s="18"/>
      <c r="I116" s="11" t="s">
        <v>229</v>
      </c>
      <c r="J116" s="11" t="s">
        <v>327</v>
      </c>
      <c r="K116" s="16" t="s">
        <v>525</v>
      </c>
      <c r="L116" s="11" t="s">
        <v>202</v>
      </c>
      <c r="M116" s="18"/>
      <c r="N116" s="11" t="s">
        <v>215</v>
      </c>
      <c r="O116" s="18"/>
      <c r="P116" s="18"/>
      <c r="Q116" s="18"/>
      <c r="R116" s="18"/>
      <c r="S116" s="18"/>
      <c r="T116" s="18"/>
      <c r="U116" s="18"/>
      <c r="V116" s="18"/>
      <c r="W116" s="11" t="s">
        <v>355</v>
      </c>
      <c r="X116" s="18"/>
      <c r="Y116" s="18"/>
      <c r="Z116" s="18"/>
      <c r="AA116" s="18"/>
      <c r="AB116" s="19"/>
      <c r="AC116" s="19"/>
      <c r="AD116" s="19"/>
      <c r="AE116" s="19"/>
      <c r="AF116" s="19"/>
      <c r="AG116" s="19"/>
    </row>
    <row r="117" ht="22.5" customHeight="1">
      <c r="A117" s="13">
        <v>45902.87992450231</v>
      </c>
      <c r="B117" s="21">
        <v>45902.0</v>
      </c>
      <c r="C117" s="11" t="s">
        <v>526</v>
      </c>
      <c r="D117" s="15" t="s">
        <v>527</v>
      </c>
      <c r="E117" s="11" t="s">
        <v>43</v>
      </c>
      <c r="F117" s="11">
        <v>4500000.0</v>
      </c>
      <c r="G117" s="11" t="s">
        <v>23</v>
      </c>
      <c r="H117" s="18"/>
      <c r="I117" s="11" t="s">
        <v>229</v>
      </c>
      <c r="J117" s="11" t="s">
        <v>25</v>
      </c>
      <c r="K117" s="16" t="s">
        <v>528</v>
      </c>
      <c r="L117" s="11" t="s">
        <v>202</v>
      </c>
      <c r="M117" s="18"/>
      <c r="N117" s="11" t="s">
        <v>220</v>
      </c>
      <c r="O117" s="18"/>
      <c r="P117" s="18"/>
      <c r="Q117" s="18"/>
      <c r="R117" s="18"/>
      <c r="S117" s="11" t="s">
        <v>124</v>
      </c>
      <c r="T117" s="18"/>
      <c r="U117" s="18"/>
      <c r="V117" s="18"/>
      <c r="W117" s="18"/>
      <c r="X117" s="18"/>
      <c r="Y117" s="18"/>
      <c r="Z117" s="18"/>
      <c r="AA117" s="18"/>
      <c r="AB117" s="19"/>
      <c r="AC117" s="19"/>
      <c r="AD117" s="19"/>
      <c r="AE117" s="19"/>
      <c r="AF117" s="19"/>
      <c r="AG117" s="19"/>
    </row>
    <row r="118" ht="22.5" customHeight="1">
      <c r="A118" s="13">
        <v>45902.88612643519</v>
      </c>
      <c r="B118" s="21">
        <v>45902.0</v>
      </c>
      <c r="C118" s="11" t="s">
        <v>529</v>
      </c>
      <c r="D118" s="15" t="s">
        <v>530</v>
      </c>
      <c r="E118" s="11" t="s">
        <v>288</v>
      </c>
      <c r="F118" s="11">
        <v>2000000.0</v>
      </c>
      <c r="G118" s="11" t="s">
        <v>23</v>
      </c>
      <c r="H118" s="11">
        <v>3000000.0</v>
      </c>
      <c r="I118" s="11" t="s">
        <v>200</v>
      </c>
      <c r="J118" s="18"/>
      <c r="K118" s="16" t="s">
        <v>531</v>
      </c>
      <c r="L118" s="11" t="s">
        <v>202</v>
      </c>
      <c r="M118" s="11" t="s">
        <v>203</v>
      </c>
      <c r="N118" s="11" t="s">
        <v>215</v>
      </c>
      <c r="O118" s="18"/>
      <c r="P118" s="18"/>
      <c r="Q118" s="18"/>
      <c r="R118" s="18"/>
      <c r="S118" s="18"/>
      <c r="T118" s="18"/>
      <c r="U118" s="18"/>
      <c r="V118" s="18"/>
      <c r="W118" s="11" t="s">
        <v>532</v>
      </c>
      <c r="X118" s="18"/>
      <c r="Y118" s="18"/>
      <c r="Z118" s="18"/>
      <c r="AA118" s="18"/>
      <c r="AB118" s="19"/>
      <c r="AC118" s="19"/>
      <c r="AD118" s="19"/>
      <c r="AE118" s="19"/>
      <c r="AF118" s="19"/>
      <c r="AG118" s="19"/>
    </row>
    <row r="119" ht="22.5" customHeight="1">
      <c r="A119" s="13">
        <v>45902.88852997685</v>
      </c>
      <c r="B119" s="21">
        <v>45902.0</v>
      </c>
      <c r="C119" s="11" t="s">
        <v>533</v>
      </c>
      <c r="D119" s="11">
        <v>6.28585752805E12</v>
      </c>
      <c r="E119" s="11" t="s">
        <v>43</v>
      </c>
      <c r="F119" s="11">
        <v>2000000.0</v>
      </c>
      <c r="G119" s="11" t="s">
        <v>23</v>
      </c>
      <c r="H119" s="18"/>
      <c r="I119" s="11" t="s">
        <v>229</v>
      </c>
      <c r="J119" s="11" t="s">
        <v>534</v>
      </c>
      <c r="K119" s="16" t="s">
        <v>535</v>
      </c>
      <c r="L119" s="11" t="s">
        <v>202</v>
      </c>
      <c r="M119" s="18"/>
      <c r="N119" s="11" t="s">
        <v>220</v>
      </c>
      <c r="O119" s="18"/>
      <c r="P119" s="18"/>
      <c r="Q119" s="18"/>
      <c r="R119" s="18"/>
      <c r="S119" s="11" t="s">
        <v>536</v>
      </c>
      <c r="T119" s="18"/>
      <c r="U119" s="18"/>
      <c r="V119" s="18"/>
      <c r="W119" s="18"/>
      <c r="X119" s="18"/>
      <c r="Y119" s="18"/>
      <c r="Z119" s="18"/>
      <c r="AA119" s="18"/>
      <c r="AB119" s="19"/>
      <c r="AC119" s="19"/>
      <c r="AD119" s="19"/>
      <c r="AE119" s="19"/>
      <c r="AF119" s="19"/>
      <c r="AG119" s="19"/>
    </row>
    <row r="120" ht="22.5" customHeight="1">
      <c r="A120" s="13">
        <v>45902.89837310185</v>
      </c>
      <c r="B120" s="21">
        <v>45902.0</v>
      </c>
      <c r="C120" s="11" t="s">
        <v>537</v>
      </c>
      <c r="D120" s="15" t="s">
        <v>538</v>
      </c>
      <c r="E120" s="11" t="s">
        <v>199</v>
      </c>
      <c r="F120" s="11">
        <v>4000000.0</v>
      </c>
      <c r="G120" s="11" t="s">
        <v>23</v>
      </c>
      <c r="H120" s="18"/>
      <c r="I120" s="11" t="s">
        <v>229</v>
      </c>
      <c r="J120" s="11" t="s">
        <v>539</v>
      </c>
      <c r="K120" s="16" t="s">
        <v>540</v>
      </c>
      <c r="L120" s="11" t="s">
        <v>202</v>
      </c>
      <c r="M120" s="18"/>
      <c r="N120" s="11" t="s">
        <v>204</v>
      </c>
      <c r="O120" s="18"/>
      <c r="P120" s="18"/>
      <c r="Q120" s="18"/>
      <c r="R120" s="11" t="s">
        <v>47</v>
      </c>
      <c r="S120" s="18"/>
      <c r="T120" s="18"/>
      <c r="U120" s="18"/>
      <c r="V120" s="18"/>
      <c r="W120" s="18"/>
      <c r="X120" s="18"/>
      <c r="Y120" s="18"/>
      <c r="Z120" s="18"/>
      <c r="AA120" s="18"/>
      <c r="AB120" s="19"/>
      <c r="AC120" s="19"/>
      <c r="AD120" s="19"/>
      <c r="AE120" s="19"/>
      <c r="AF120" s="19"/>
      <c r="AG120" s="19"/>
    </row>
    <row r="121" ht="22.5" customHeight="1">
      <c r="A121" s="13">
        <v>45902.91563149306</v>
      </c>
      <c r="B121" s="21">
        <v>45902.0</v>
      </c>
      <c r="C121" s="11" t="s">
        <v>541</v>
      </c>
      <c r="D121" s="15" t="s">
        <v>542</v>
      </c>
      <c r="E121" s="11" t="s">
        <v>199</v>
      </c>
      <c r="F121" s="11">
        <v>2500000.0</v>
      </c>
      <c r="G121" s="11" t="s">
        <v>23</v>
      </c>
      <c r="H121" s="11">
        <v>5000000.0</v>
      </c>
      <c r="I121" s="11" t="s">
        <v>200</v>
      </c>
      <c r="J121" s="18"/>
      <c r="K121" s="16" t="s">
        <v>543</v>
      </c>
      <c r="L121" s="11" t="s">
        <v>202</v>
      </c>
      <c r="M121" s="11" t="s">
        <v>544</v>
      </c>
      <c r="N121" s="11" t="s">
        <v>313</v>
      </c>
      <c r="O121" s="18"/>
      <c r="P121" s="18"/>
      <c r="Q121" s="18"/>
      <c r="R121" s="18"/>
      <c r="S121" s="18"/>
      <c r="T121" s="11" t="s">
        <v>314</v>
      </c>
      <c r="U121" s="18"/>
      <c r="V121" s="18"/>
      <c r="W121" s="18"/>
      <c r="X121" s="18"/>
      <c r="Y121" s="18"/>
      <c r="Z121" s="18"/>
      <c r="AA121" s="18"/>
      <c r="AB121" s="19"/>
      <c r="AC121" s="19"/>
      <c r="AD121" s="19"/>
      <c r="AE121" s="19"/>
      <c r="AF121" s="19"/>
      <c r="AG121" s="19"/>
    </row>
    <row r="122" ht="22.5" customHeight="1">
      <c r="A122" s="13">
        <v>45903.41674042824</v>
      </c>
      <c r="B122" s="21">
        <v>45902.0</v>
      </c>
      <c r="C122" s="11" t="s">
        <v>545</v>
      </c>
      <c r="D122" s="15" t="s">
        <v>546</v>
      </c>
      <c r="E122" s="11" t="s">
        <v>121</v>
      </c>
      <c r="F122" s="11">
        <v>5000000.0</v>
      </c>
      <c r="G122" s="11" t="s">
        <v>23</v>
      </c>
      <c r="H122" s="18"/>
      <c r="I122" s="11" t="s">
        <v>229</v>
      </c>
      <c r="J122" s="11" t="s">
        <v>547</v>
      </c>
      <c r="K122" s="16" t="s">
        <v>548</v>
      </c>
      <c r="L122" s="11" t="s">
        <v>252</v>
      </c>
      <c r="M122" s="18"/>
      <c r="N122" s="18"/>
      <c r="O122" s="11" t="s">
        <v>205</v>
      </c>
      <c r="P122" s="18"/>
      <c r="Q122" s="18"/>
      <c r="R122" s="18"/>
      <c r="S122" s="18"/>
      <c r="T122" s="18"/>
      <c r="U122" s="18"/>
      <c r="V122" s="18"/>
      <c r="W122" s="18"/>
      <c r="X122" s="11" t="s">
        <v>549</v>
      </c>
      <c r="Y122" s="18"/>
      <c r="Z122" s="18"/>
      <c r="AA122" s="18"/>
      <c r="AB122" s="19"/>
      <c r="AC122" s="19"/>
      <c r="AD122" s="19"/>
      <c r="AE122" s="19"/>
      <c r="AF122" s="19"/>
      <c r="AG122" s="19"/>
    </row>
    <row r="123" ht="22.5" customHeight="1">
      <c r="A123" s="13">
        <v>45903.421036493055</v>
      </c>
      <c r="B123" s="21">
        <v>45903.0</v>
      </c>
      <c r="C123" s="11" t="s">
        <v>550</v>
      </c>
      <c r="D123" s="15" t="s">
        <v>551</v>
      </c>
      <c r="E123" s="11" t="s">
        <v>283</v>
      </c>
      <c r="F123" s="11">
        <v>5000000.0</v>
      </c>
      <c r="G123" s="11" t="s">
        <v>23</v>
      </c>
      <c r="H123" s="18"/>
      <c r="I123" s="11" t="s">
        <v>229</v>
      </c>
      <c r="J123" s="11" t="s">
        <v>552</v>
      </c>
      <c r="K123" s="16" t="s">
        <v>553</v>
      </c>
      <c r="L123" s="11" t="s">
        <v>252</v>
      </c>
      <c r="M123" s="18"/>
      <c r="N123" s="18"/>
      <c r="O123" s="11" t="s">
        <v>257</v>
      </c>
      <c r="P123" s="11" t="s">
        <v>272</v>
      </c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9"/>
      <c r="AC123" s="19"/>
      <c r="AD123" s="19"/>
      <c r="AE123" s="19"/>
      <c r="AF123" s="19"/>
      <c r="AG123" s="19"/>
    </row>
    <row r="124" ht="22.5" customHeight="1">
      <c r="A124" s="13">
        <v>45903.4338397338</v>
      </c>
      <c r="B124" s="21">
        <v>45903.0</v>
      </c>
      <c r="C124" s="11" t="s">
        <v>554</v>
      </c>
      <c r="D124" s="15" t="s">
        <v>555</v>
      </c>
      <c r="E124" s="11" t="s">
        <v>31</v>
      </c>
      <c r="F124" s="11">
        <v>3500000.0</v>
      </c>
      <c r="G124" s="11" t="s">
        <v>23</v>
      </c>
      <c r="H124" s="11">
        <v>3000000.0</v>
      </c>
      <c r="I124" s="11" t="s">
        <v>413</v>
      </c>
      <c r="J124" s="18"/>
      <c r="K124" s="16" t="s">
        <v>556</v>
      </c>
      <c r="L124" s="11" t="s">
        <v>202</v>
      </c>
      <c r="M124" s="11" t="s">
        <v>203</v>
      </c>
      <c r="N124" s="11" t="s">
        <v>204</v>
      </c>
      <c r="O124" s="18"/>
      <c r="P124" s="18"/>
      <c r="Q124" s="18"/>
      <c r="R124" s="11" t="s">
        <v>207</v>
      </c>
      <c r="S124" s="18"/>
      <c r="T124" s="18"/>
      <c r="U124" s="18"/>
      <c r="V124" s="18"/>
      <c r="W124" s="18"/>
      <c r="X124" s="18"/>
      <c r="Y124" s="18"/>
      <c r="Z124" s="18"/>
      <c r="AA124" s="18"/>
      <c r="AB124" s="19"/>
      <c r="AC124" s="19"/>
      <c r="AD124" s="19"/>
      <c r="AE124" s="19"/>
      <c r="AF124" s="19"/>
      <c r="AG124" s="19"/>
    </row>
    <row r="125" ht="22.5" customHeight="1">
      <c r="A125" s="13">
        <v>45903.45964724537</v>
      </c>
      <c r="B125" s="21">
        <v>45903.0</v>
      </c>
      <c r="C125" s="11" t="s">
        <v>557</v>
      </c>
      <c r="D125" s="15" t="s">
        <v>558</v>
      </c>
      <c r="E125" s="11" t="s">
        <v>559</v>
      </c>
      <c r="F125" s="11">
        <v>3500000.0</v>
      </c>
      <c r="G125" s="11" t="s">
        <v>23</v>
      </c>
      <c r="H125" s="18"/>
      <c r="I125" s="11" t="s">
        <v>229</v>
      </c>
      <c r="J125" s="11" t="s">
        <v>560</v>
      </c>
      <c r="K125" s="16" t="s">
        <v>561</v>
      </c>
      <c r="L125" s="11" t="s">
        <v>202</v>
      </c>
      <c r="M125" s="18"/>
      <c r="N125" s="11" t="s">
        <v>220</v>
      </c>
      <c r="O125" s="18"/>
      <c r="P125" s="18"/>
      <c r="Q125" s="18"/>
      <c r="R125" s="18"/>
      <c r="S125" s="11" t="s">
        <v>59</v>
      </c>
      <c r="T125" s="18"/>
      <c r="U125" s="18"/>
      <c r="V125" s="18"/>
      <c r="W125" s="18"/>
      <c r="X125" s="18"/>
      <c r="Y125" s="18"/>
      <c r="Z125" s="18"/>
      <c r="AA125" s="18"/>
      <c r="AB125" s="19"/>
      <c r="AC125" s="19"/>
      <c r="AD125" s="19"/>
      <c r="AE125" s="19"/>
      <c r="AF125" s="19"/>
      <c r="AG125" s="19"/>
    </row>
    <row r="126" ht="22.5" customHeight="1">
      <c r="A126" s="13">
        <v>45903.462072187496</v>
      </c>
      <c r="B126" s="21">
        <v>45903.0</v>
      </c>
      <c r="C126" s="11" t="s">
        <v>562</v>
      </c>
      <c r="D126" s="15" t="s">
        <v>563</v>
      </c>
      <c r="E126" s="11" t="s">
        <v>199</v>
      </c>
      <c r="F126" s="11">
        <v>9000000.0</v>
      </c>
      <c r="G126" s="11" t="s">
        <v>23</v>
      </c>
      <c r="H126" s="18"/>
      <c r="I126" s="11" t="s">
        <v>229</v>
      </c>
      <c r="J126" s="11" t="s">
        <v>498</v>
      </c>
      <c r="K126" s="16" t="s">
        <v>564</v>
      </c>
      <c r="L126" s="11" t="s">
        <v>202</v>
      </c>
      <c r="M126" s="18"/>
      <c r="N126" s="11" t="s">
        <v>500</v>
      </c>
      <c r="O126" s="18"/>
      <c r="P126" s="18"/>
      <c r="Q126" s="18"/>
      <c r="R126" s="18"/>
      <c r="S126" s="18"/>
      <c r="T126" s="18"/>
      <c r="U126" s="18"/>
      <c r="V126" s="11" t="s">
        <v>501</v>
      </c>
      <c r="W126" s="18"/>
      <c r="X126" s="18"/>
      <c r="Y126" s="18"/>
      <c r="Z126" s="18"/>
      <c r="AA126" s="18"/>
      <c r="AB126" s="19"/>
      <c r="AC126" s="19"/>
      <c r="AD126" s="19"/>
      <c r="AE126" s="19"/>
      <c r="AF126" s="19"/>
      <c r="AG126" s="19"/>
    </row>
    <row r="127" ht="22.5" customHeight="1">
      <c r="A127" s="13">
        <v>45903.47750637731</v>
      </c>
      <c r="B127" s="21">
        <v>45903.0</v>
      </c>
      <c r="C127" s="11" t="s">
        <v>565</v>
      </c>
      <c r="D127" s="15" t="s">
        <v>566</v>
      </c>
      <c r="E127" s="11" t="s">
        <v>31</v>
      </c>
      <c r="F127" s="11">
        <v>1500000.0</v>
      </c>
      <c r="G127" s="11" t="s">
        <v>23</v>
      </c>
      <c r="H127" s="18"/>
      <c r="I127" s="11" t="s">
        <v>229</v>
      </c>
      <c r="J127" s="11" t="s">
        <v>567</v>
      </c>
      <c r="K127" s="16" t="s">
        <v>568</v>
      </c>
      <c r="L127" s="11" t="s">
        <v>252</v>
      </c>
      <c r="M127" s="18"/>
      <c r="N127" s="18"/>
      <c r="O127" s="11" t="s">
        <v>205</v>
      </c>
      <c r="P127" s="18"/>
      <c r="Q127" s="18"/>
      <c r="R127" s="18"/>
      <c r="S127" s="18"/>
      <c r="T127" s="18"/>
      <c r="U127" s="18"/>
      <c r="V127" s="18"/>
      <c r="W127" s="18"/>
      <c r="X127" s="11" t="s">
        <v>569</v>
      </c>
      <c r="Y127" s="18"/>
      <c r="Z127" s="18"/>
      <c r="AA127" s="18"/>
      <c r="AB127" s="19"/>
      <c r="AC127" s="19"/>
      <c r="AD127" s="19"/>
      <c r="AE127" s="19"/>
      <c r="AF127" s="19"/>
      <c r="AG127" s="19"/>
    </row>
    <row r="128" ht="22.5" customHeight="1">
      <c r="A128" s="13">
        <v>45903.49193822917</v>
      </c>
      <c r="B128" s="21">
        <v>45903.0</v>
      </c>
      <c r="C128" s="11" t="s">
        <v>570</v>
      </c>
      <c r="D128" s="15" t="s">
        <v>571</v>
      </c>
      <c r="E128" s="11" t="s">
        <v>572</v>
      </c>
      <c r="F128" s="11">
        <v>5000000.0</v>
      </c>
      <c r="G128" s="11" t="s">
        <v>45</v>
      </c>
      <c r="H128" s="18"/>
      <c r="I128" s="11" t="s">
        <v>229</v>
      </c>
      <c r="J128" s="11" t="s">
        <v>327</v>
      </c>
      <c r="K128" s="16" t="s">
        <v>573</v>
      </c>
      <c r="L128" s="11" t="s">
        <v>202</v>
      </c>
      <c r="M128" s="18"/>
      <c r="N128" s="11" t="s">
        <v>215</v>
      </c>
      <c r="O128" s="18"/>
      <c r="P128" s="18"/>
      <c r="Q128" s="18"/>
      <c r="R128" s="18"/>
      <c r="S128" s="18"/>
      <c r="T128" s="18"/>
      <c r="U128" s="18"/>
      <c r="V128" s="18"/>
      <c r="W128" s="11" t="s">
        <v>355</v>
      </c>
      <c r="X128" s="18"/>
      <c r="Y128" s="18"/>
      <c r="Z128" s="18"/>
      <c r="AA128" s="18"/>
      <c r="AB128" s="19"/>
      <c r="AC128" s="19"/>
      <c r="AD128" s="19"/>
      <c r="AE128" s="19"/>
      <c r="AF128" s="19"/>
      <c r="AG128" s="19"/>
    </row>
    <row r="129" ht="22.5" customHeight="1">
      <c r="A129" s="13">
        <v>45903.495203611106</v>
      </c>
      <c r="B129" s="21">
        <v>45903.0</v>
      </c>
      <c r="C129" s="11" t="s">
        <v>574</v>
      </c>
      <c r="D129" s="15" t="s">
        <v>575</v>
      </c>
      <c r="E129" s="11" t="s">
        <v>283</v>
      </c>
      <c r="F129" s="11">
        <v>4400000.0</v>
      </c>
      <c r="G129" s="11" t="s">
        <v>23</v>
      </c>
      <c r="H129" s="18"/>
      <c r="I129" s="11" t="s">
        <v>229</v>
      </c>
      <c r="J129" s="11" t="s">
        <v>246</v>
      </c>
      <c r="K129" s="16" t="s">
        <v>576</v>
      </c>
      <c r="L129" s="11" t="s">
        <v>202</v>
      </c>
      <c r="M129" s="18"/>
      <c r="N129" s="11" t="s">
        <v>204</v>
      </c>
      <c r="O129" s="18"/>
      <c r="P129" s="18"/>
      <c r="Q129" s="18"/>
      <c r="R129" s="11" t="s">
        <v>207</v>
      </c>
      <c r="S129" s="18"/>
      <c r="T129" s="18"/>
      <c r="U129" s="18"/>
      <c r="V129" s="18"/>
      <c r="W129" s="18"/>
      <c r="X129" s="18"/>
      <c r="Y129" s="18"/>
      <c r="Z129" s="18"/>
      <c r="AA129" s="18"/>
      <c r="AB129" s="19"/>
      <c r="AC129" s="19"/>
      <c r="AD129" s="19"/>
      <c r="AE129" s="19"/>
      <c r="AF129" s="19"/>
      <c r="AG129" s="19"/>
    </row>
    <row r="130" ht="22.5" customHeight="1">
      <c r="A130" s="13">
        <v>45903.49885618055</v>
      </c>
      <c r="B130" s="21">
        <v>45903.0</v>
      </c>
      <c r="C130" s="11" t="s">
        <v>577</v>
      </c>
      <c r="D130" s="15" t="s">
        <v>578</v>
      </c>
      <c r="E130" s="11" t="s">
        <v>228</v>
      </c>
      <c r="F130" s="23">
        <v>3500000.0</v>
      </c>
      <c r="G130" s="11" t="s">
        <v>23</v>
      </c>
      <c r="H130" s="18"/>
      <c r="I130" s="11" t="s">
        <v>229</v>
      </c>
      <c r="J130" s="11" t="s">
        <v>270</v>
      </c>
      <c r="K130" s="16" t="s">
        <v>579</v>
      </c>
      <c r="L130" s="11" t="s">
        <v>202</v>
      </c>
      <c r="M130" s="18"/>
      <c r="N130" s="11" t="s">
        <v>204</v>
      </c>
      <c r="O130" s="18"/>
      <c r="P130" s="18"/>
      <c r="Q130" s="18"/>
      <c r="R130" s="11" t="s">
        <v>192</v>
      </c>
      <c r="S130" s="18"/>
      <c r="T130" s="18"/>
      <c r="U130" s="18"/>
      <c r="V130" s="18"/>
      <c r="W130" s="18"/>
      <c r="X130" s="18"/>
      <c r="Y130" s="18"/>
      <c r="Z130" s="18"/>
      <c r="AA130" s="18"/>
      <c r="AB130" s="19"/>
      <c r="AC130" s="19"/>
      <c r="AD130" s="19"/>
      <c r="AE130" s="19"/>
      <c r="AF130" s="19"/>
      <c r="AG130" s="19"/>
    </row>
    <row r="131" ht="22.5" customHeight="1">
      <c r="A131" s="13">
        <v>45903.501606805556</v>
      </c>
      <c r="B131" s="21">
        <v>45903.0</v>
      </c>
      <c r="C131" s="11" t="s">
        <v>580</v>
      </c>
      <c r="D131" s="15" t="s">
        <v>581</v>
      </c>
      <c r="E131" s="11" t="s">
        <v>31</v>
      </c>
      <c r="F131" s="11">
        <v>2000000.0</v>
      </c>
      <c r="G131" s="11" t="s">
        <v>23</v>
      </c>
      <c r="H131" s="18"/>
      <c r="I131" s="11" t="s">
        <v>229</v>
      </c>
      <c r="J131" s="11" t="s">
        <v>567</v>
      </c>
      <c r="K131" s="16" t="s">
        <v>582</v>
      </c>
      <c r="L131" s="11" t="s">
        <v>252</v>
      </c>
      <c r="M131" s="18"/>
      <c r="N131" s="18"/>
      <c r="O131" s="11" t="s">
        <v>205</v>
      </c>
      <c r="P131" s="18"/>
      <c r="Q131" s="18"/>
      <c r="R131" s="18"/>
      <c r="S131" s="18"/>
      <c r="T131" s="18"/>
      <c r="U131" s="18"/>
      <c r="V131" s="18"/>
      <c r="W131" s="18"/>
      <c r="X131" s="11" t="s">
        <v>569</v>
      </c>
      <c r="Y131" s="18"/>
      <c r="Z131" s="18"/>
      <c r="AA131" s="18"/>
      <c r="AB131" s="19"/>
      <c r="AC131" s="19"/>
      <c r="AD131" s="19"/>
      <c r="AE131" s="19"/>
      <c r="AF131" s="19"/>
      <c r="AG131" s="19"/>
    </row>
    <row r="132" ht="22.5" customHeight="1">
      <c r="A132" s="13">
        <v>45903.50515046297</v>
      </c>
      <c r="B132" s="21">
        <v>45903.0</v>
      </c>
      <c r="C132" s="11" t="s">
        <v>583</v>
      </c>
      <c r="D132" s="15" t="s">
        <v>584</v>
      </c>
      <c r="E132" s="11" t="s">
        <v>43</v>
      </c>
      <c r="F132" s="11">
        <v>3000000.0</v>
      </c>
      <c r="G132" s="11" t="s">
        <v>45</v>
      </c>
      <c r="H132" s="18"/>
      <c r="I132" s="11" t="s">
        <v>229</v>
      </c>
      <c r="J132" s="11" t="s">
        <v>165</v>
      </c>
      <c r="K132" s="16" t="s">
        <v>585</v>
      </c>
      <c r="L132" s="11" t="s">
        <v>202</v>
      </c>
      <c r="M132" s="18"/>
      <c r="N132" s="11" t="s">
        <v>215</v>
      </c>
      <c r="O132" s="18"/>
      <c r="P132" s="18"/>
      <c r="Q132" s="18"/>
      <c r="R132" s="18"/>
      <c r="S132" s="18"/>
      <c r="T132" s="18"/>
      <c r="U132" s="18"/>
      <c r="V132" s="18"/>
      <c r="W132" s="11" t="s">
        <v>216</v>
      </c>
      <c r="X132" s="18"/>
      <c r="Y132" s="18"/>
      <c r="Z132" s="18"/>
      <c r="AA132" s="18"/>
      <c r="AB132" s="19"/>
      <c r="AC132" s="19"/>
      <c r="AD132" s="19"/>
      <c r="AE132" s="19"/>
      <c r="AF132" s="19"/>
      <c r="AG132" s="19"/>
    </row>
    <row r="133" ht="22.5" customHeight="1">
      <c r="A133" s="13">
        <v>45903.51059413195</v>
      </c>
      <c r="B133" s="21">
        <v>45903.0</v>
      </c>
      <c r="C133" s="11" t="s">
        <v>586</v>
      </c>
      <c r="D133" s="15" t="s">
        <v>587</v>
      </c>
      <c r="E133" s="11" t="s">
        <v>228</v>
      </c>
      <c r="F133" s="11">
        <v>1.5E7</v>
      </c>
      <c r="G133" s="11" t="s">
        <v>23</v>
      </c>
      <c r="H133" s="18"/>
      <c r="I133" s="11" t="s">
        <v>229</v>
      </c>
      <c r="J133" s="11" t="s">
        <v>588</v>
      </c>
      <c r="K133" s="16" t="s">
        <v>589</v>
      </c>
      <c r="L133" s="11" t="s">
        <v>202</v>
      </c>
      <c r="M133" s="18"/>
      <c r="N133" s="11" t="s">
        <v>204</v>
      </c>
      <c r="O133" s="18"/>
      <c r="P133" s="18"/>
      <c r="Q133" s="18"/>
      <c r="R133" s="11" t="s">
        <v>53</v>
      </c>
      <c r="S133" s="18"/>
      <c r="T133" s="18"/>
      <c r="U133" s="18"/>
      <c r="V133" s="18"/>
      <c r="W133" s="18"/>
      <c r="X133" s="18"/>
      <c r="Y133" s="18"/>
      <c r="Z133" s="18"/>
      <c r="AA133" s="18"/>
      <c r="AB133" s="19"/>
      <c r="AC133" s="19"/>
      <c r="AD133" s="19"/>
      <c r="AE133" s="19"/>
      <c r="AF133" s="19"/>
      <c r="AG133" s="19"/>
    </row>
    <row r="134" ht="22.5" customHeight="1">
      <c r="A134" s="13">
        <v>45903.51299708334</v>
      </c>
      <c r="B134" s="21">
        <v>45903.0</v>
      </c>
      <c r="C134" s="11" t="s">
        <v>590</v>
      </c>
      <c r="D134" s="15" t="s">
        <v>591</v>
      </c>
      <c r="E134" s="11" t="s">
        <v>592</v>
      </c>
      <c r="F134" s="11">
        <v>4100000.0</v>
      </c>
      <c r="G134" s="11" t="s">
        <v>23</v>
      </c>
      <c r="H134" s="11">
        <v>3.0</v>
      </c>
      <c r="I134" s="11" t="s">
        <v>413</v>
      </c>
      <c r="J134" s="18"/>
      <c r="K134" s="16" t="s">
        <v>593</v>
      </c>
      <c r="L134" s="11" t="s">
        <v>202</v>
      </c>
      <c r="M134" s="11" t="s">
        <v>203</v>
      </c>
      <c r="N134" s="11" t="s">
        <v>204</v>
      </c>
      <c r="O134" s="18"/>
      <c r="P134" s="18"/>
      <c r="Q134" s="18"/>
      <c r="R134" s="11" t="s">
        <v>90</v>
      </c>
      <c r="S134" s="18"/>
      <c r="T134" s="18"/>
      <c r="U134" s="18"/>
      <c r="V134" s="18"/>
      <c r="W134" s="18"/>
      <c r="X134" s="18"/>
      <c r="Y134" s="18"/>
      <c r="Z134" s="18"/>
      <c r="AA134" s="18"/>
      <c r="AB134" s="19"/>
      <c r="AC134" s="19"/>
      <c r="AD134" s="19"/>
      <c r="AE134" s="19"/>
      <c r="AF134" s="19"/>
      <c r="AG134" s="19"/>
    </row>
    <row r="135" ht="22.5" customHeight="1">
      <c r="A135" s="13">
        <v>45903.52266754629</v>
      </c>
      <c r="B135" s="21">
        <v>45903.0</v>
      </c>
      <c r="C135" s="11" t="s">
        <v>594</v>
      </c>
      <c r="D135" s="15" t="s">
        <v>595</v>
      </c>
      <c r="E135" s="11" t="s">
        <v>596</v>
      </c>
      <c r="F135" s="11">
        <v>300000.0</v>
      </c>
      <c r="G135" s="11" t="s">
        <v>23</v>
      </c>
      <c r="H135" s="18"/>
      <c r="I135" s="11" t="s">
        <v>229</v>
      </c>
      <c r="J135" s="11" t="s">
        <v>165</v>
      </c>
      <c r="K135" s="16" t="s">
        <v>597</v>
      </c>
      <c r="L135" s="11" t="s">
        <v>202</v>
      </c>
      <c r="M135" s="18"/>
      <c r="N135" s="11" t="s">
        <v>204</v>
      </c>
      <c r="O135" s="18"/>
      <c r="P135" s="18"/>
      <c r="Q135" s="18"/>
      <c r="R135" s="11" t="s">
        <v>28</v>
      </c>
      <c r="S135" s="18"/>
      <c r="T135" s="18"/>
      <c r="U135" s="18"/>
      <c r="V135" s="18"/>
      <c r="W135" s="18"/>
      <c r="X135" s="18"/>
      <c r="Y135" s="18"/>
      <c r="Z135" s="18"/>
      <c r="AA135" s="18"/>
      <c r="AB135" s="19"/>
      <c r="AC135" s="19"/>
      <c r="AD135" s="19"/>
      <c r="AE135" s="19"/>
      <c r="AF135" s="19"/>
      <c r="AG135" s="19"/>
    </row>
    <row r="136" ht="22.5" customHeight="1">
      <c r="A136" s="13">
        <v>45903.52330111111</v>
      </c>
      <c r="B136" s="21">
        <v>45903.0</v>
      </c>
      <c r="C136" s="11" t="s">
        <v>598</v>
      </c>
      <c r="D136" s="15" t="s">
        <v>599</v>
      </c>
      <c r="E136" s="11" t="s">
        <v>239</v>
      </c>
      <c r="F136" s="11">
        <v>1000000.0</v>
      </c>
      <c r="G136" s="11" t="s">
        <v>23</v>
      </c>
      <c r="H136" s="18"/>
      <c r="I136" s="11" t="s">
        <v>229</v>
      </c>
      <c r="J136" s="11" t="s">
        <v>600</v>
      </c>
      <c r="K136" s="16" t="s">
        <v>601</v>
      </c>
      <c r="L136" s="11" t="s">
        <v>202</v>
      </c>
      <c r="M136" s="18"/>
      <c r="N136" s="11" t="s">
        <v>215</v>
      </c>
      <c r="O136" s="18"/>
      <c r="P136" s="18"/>
      <c r="Q136" s="18"/>
      <c r="R136" s="18"/>
      <c r="S136" s="18"/>
      <c r="T136" s="18"/>
      <c r="U136" s="18"/>
      <c r="V136" s="18"/>
      <c r="W136" s="11" t="s">
        <v>216</v>
      </c>
      <c r="X136" s="18"/>
      <c r="Y136" s="18"/>
      <c r="Z136" s="18"/>
      <c r="AA136" s="18"/>
      <c r="AB136" s="19"/>
      <c r="AC136" s="19"/>
      <c r="AD136" s="19"/>
      <c r="AE136" s="19"/>
      <c r="AF136" s="19"/>
      <c r="AG136" s="19"/>
    </row>
    <row r="137" ht="22.5" customHeight="1">
      <c r="A137" s="13">
        <v>45903.526197037034</v>
      </c>
      <c r="B137" s="21">
        <v>45903.0</v>
      </c>
      <c r="C137" s="11" t="s">
        <v>602</v>
      </c>
      <c r="D137" s="15" t="s">
        <v>603</v>
      </c>
      <c r="E137" s="11" t="s">
        <v>199</v>
      </c>
      <c r="F137" s="11">
        <v>5000000.0</v>
      </c>
      <c r="G137" s="11" t="s">
        <v>45</v>
      </c>
      <c r="H137" s="11">
        <v>7000000.0</v>
      </c>
      <c r="I137" s="11" t="s">
        <v>413</v>
      </c>
      <c r="J137" s="18"/>
      <c r="K137" s="16" t="s">
        <v>604</v>
      </c>
      <c r="L137" s="11" t="s">
        <v>202</v>
      </c>
      <c r="M137" s="11" t="s">
        <v>605</v>
      </c>
      <c r="N137" s="11" t="s">
        <v>204</v>
      </c>
      <c r="O137" s="18"/>
      <c r="P137" s="18"/>
      <c r="Q137" s="18"/>
      <c r="R137" s="11" t="s">
        <v>47</v>
      </c>
      <c r="S137" s="18"/>
      <c r="T137" s="18"/>
      <c r="U137" s="18"/>
      <c r="V137" s="18"/>
      <c r="W137" s="18"/>
      <c r="X137" s="18"/>
      <c r="Y137" s="18"/>
      <c r="Z137" s="18"/>
      <c r="AA137" s="18"/>
      <c r="AB137" s="19"/>
      <c r="AC137" s="19"/>
      <c r="AD137" s="19"/>
      <c r="AE137" s="19"/>
      <c r="AF137" s="19"/>
      <c r="AG137" s="19"/>
    </row>
    <row r="138" ht="22.5" customHeight="1">
      <c r="A138" s="13">
        <v>45903.54990450232</v>
      </c>
      <c r="B138" s="21">
        <v>45903.0</v>
      </c>
      <c r="C138" s="11" t="s">
        <v>606</v>
      </c>
      <c r="D138" s="15" t="s">
        <v>607</v>
      </c>
      <c r="E138" s="11" t="s">
        <v>43</v>
      </c>
      <c r="F138" s="11">
        <v>2000000.0</v>
      </c>
      <c r="G138" s="11" t="s">
        <v>45</v>
      </c>
      <c r="H138" s="18"/>
      <c r="I138" s="11" t="s">
        <v>229</v>
      </c>
      <c r="J138" s="11" t="s">
        <v>600</v>
      </c>
      <c r="K138" s="16" t="s">
        <v>608</v>
      </c>
      <c r="L138" s="11" t="s">
        <v>202</v>
      </c>
      <c r="M138" s="18"/>
      <c r="N138" s="11" t="s">
        <v>215</v>
      </c>
      <c r="O138" s="18"/>
      <c r="P138" s="18"/>
      <c r="Q138" s="18"/>
      <c r="R138" s="18"/>
      <c r="S138" s="18"/>
      <c r="T138" s="18"/>
      <c r="U138" s="18"/>
      <c r="V138" s="18"/>
      <c r="W138" s="11" t="s">
        <v>216</v>
      </c>
      <c r="X138" s="18"/>
      <c r="Y138" s="18"/>
      <c r="Z138" s="18"/>
      <c r="AA138" s="18"/>
      <c r="AB138" s="19"/>
      <c r="AC138" s="19"/>
      <c r="AD138" s="19"/>
      <c r="AE138" s="19"/>
      <c r="AF138" s="19"/>
      <c r="AG138" s="19"/>
    </row>
    <row r="139" ht="22.5" customHeight="1">
      <c r="A139" s="13">
        <v>45903.55392530093</v>
      </c>
      <c r="B139" s="21">
        <v>45903.0</v>
      </c>
      <c r="C139" s="11" t="s">
        <v>609</v>
      </c>
      <c r="D139" s="15" t="s">
        <v>610</v>
      </c>
      <c r="E139" s="11" t="s">
        <v>43</v>
      </c>
      <c r="F139" s="11">
        <v>4000000.0</v>
      </c>
      <c r="G139" s="11" t="s">
        <v>23</v>
      </c>
      <c r="H139" s="11">
        <v>3000000.0</v>
      </c>
      <c r="I139" s="11" t="s">
        <v>413</v>
      </c>
      <c r="J139" s="18"/>
      <c r="K139" s="16" t="s">
        <v>611</v>
      </c>
      <c r="L139" s="11" t="s">
        <v>202</v>
      </c>
      <c r="M139" s="11" t="s">
        <v>203</v>
      </c>
      <c r="N139" s="11" t="s">
        <v>220</v>
      </c>
      <c r="O139" s="18"/>
      <c r="P139" s="18"/>
      <c r="Q139" s="18"/>
      <c r="R139" s="18"/>
      <c r="S139" s="11" t="s">
        <v>36</v>
      </c>
      <c r="T139" s="18"/>
      <c r="U139" s="18"/>
      <c r="V139" s="18"/>
      <c r="W139" s="18"/>
      <c r="X139" s="18"/>
      <c r="Y139" s="18"/>
      <c r="Z139" s="18"/>
      <c r="AA139" s="18"/>
      <c r="AB139" s="19"/>
      <c r="AC139" s="19"/>
      <c r="AD139" s="19"/>
      <c r="AE139" s="19"/>
      <c r="AF139" s="19"/>
      <c r="AG139" s="19"/>
    </row>
    <row r="140" ht="22.5" customHeight="1">
      <c r="A140" s="13">
        <v>45903.55823761574</v>
      </c>
      <c r="B140" s="21">
        <v>45903.0</v>
      </c>
      <c r="C140" s="11" t="s">
        <v>612</v>
      </c>
      <c r="D140" s="15" t="s">
        <v>613</v>
      </c>
      <c r="E140" s="11" t="s">
        <v>199</v>
      </c>
      <c r="F140" s="11">
        <v>2600000.0</v>
      </c>
      <c r="G140" s="11" t="s">
        <v>23</v>
      </c>
      <c r="H140" s="11">
        <v>1600000.0</v>
      </c>
      <c r="I140" s="11" t="s">
        <v>413</v>
      </c>
      <c r="J140" s="18"/>
      <c r="K140" s="16" t="s">
        <v>614</v>
      </c>
      <c r="L140" s="11" t="s">
        <v>202</v>
      </c>
      <c r="M140" s="11" t="s">
        <v>203</v>
      </c>
      <c r="N140" s="11" t="s">
        <v>313</v>
      </c>
      <c r="O140" s="18"/>
      <c r="P140" s="18"/>
      <c r="Q140" s="18"/>
      <c r="R140" s="18"/>
      <c r="S140" s="18"/>
      <c r="T140" s="11" t="s">
        <v>314</v>
      </c>
      <c r="U140" s="18"/>
      <c r="V140" s="18"/>
      <c r="W140" s="18"/>
      <c r="X140" s="18"/>
      <c r="Y140" s="18"/>
      <c r="Z140" s="18"/>
      <c r="AA140" s="18"/>
      <c r="AB140" s="19"/>
      <c r="AC140" s="19"/>
      <c r="AD140" s="19"/>
      <c r="AE140" s="19"/>
      <c r="AF140" s="19"/>
      <c r="AG140" s="19"/>
    </row>
    <row r="141" ht="22.5" customHeight="1">
      <c r="A141" s="13">
        <v>45903.5665515625</v>
      </c>
      <c r="B141" s="21">
        <v>45903.0</v>
      </c>
      <c r="C141" s="11" t="s">
        <v>615</v>
      </c>
      <c r="D141" s="15" t="s">
        <v>616</v>
      </c>
      <c r="E141" s="11" t="s">
        <v>617</v>
      </c>
      <c r="F141" s="11">
        <v>2300000.0</v>
      </c>
      <c r="G141" s="11" t="s">
        <v>23</v>
      </c>
      <c r="H141" s="11">
        <v>1600000.0</v>
      </c>
      <c r="I141" s="11" t="s">
        <v>413</v>
      </c>
      <c r="J141" s="18"/>
      <c r="K141" s="16" t="s">
        <v>618</v>
      </c>
      <c r="L141" s="11" t="s">
        <v>202</v>
      </c>
      <c r="M141" s="11" t="s">
        <v>383</v>
      </c>
      <c r="N141" s="11" t="s">
        <v>204</v>
      </c>
      <c r="O141" s="18"/>
      <c r="P141" s="18"/>
      <c r="Q141" s="18"/>
      <c r="R141" s="11" t="s">
        <v>28</v>
      </c>
      <c r="S141" s="18"/>
      <c r="T141" s="18"/>
      <c r="U141" s="18"/>
      <c r="V141" s="18"/>
      <c r="W141" s="18"/>
      <c r="X141" s="18"/>
      <c r="Y141" s="18"/>
      <c r="Z141" s="18"/>
      <c r="AA141" s="18"/>
      <c r="AB141" s="19"/>
      <c r="AC141" s="19"/>
      <c r="AD141" s="19"/>
      <c r="AE141" s="19"/>
      <c r="AF141" s="19"/>
      <c r="AG141" s="19"/>
    </row>
    <row r="142" ht="22.5" customHeight="1">
      <c r="A142" s="13">
        <v>45903.57589467593</v>
      </c>
      <c r="B142" s="21">
        <v>45903.0</v>
      </c>
      <c r="C142" s="11" t="s">
        <v>619</v>
      </c>
      <c r="D142" s="15" t="s">
        <v>620</v>
      </c>
      <c r="E142" s="11" t="s">
        <v>199</v>
      </c>
      <c r="F142" s="11">
        <v>6000000.0</v>
      </c>
      <c r="G142" s="11" t="s">
        <v>45</v>
      </c>
      <c r="H142" s="11">
        <v>1.0E7</v>
      </c>
      <c r="I142" s="11" t="s">
        <v>200</v>
      </c>
      <c r="J142" s="18"/>
      <c r="K142" s="16" t="s">
        <v>621</v>
      </c>
      <c r="L142" s="11" t="s">
        <v>252</v>
      </c>
      <c r="M142" s="11" t="s">
        <v>203</v>
      </c>
      <c r="N142" s="18"/>
      <c r="O142" s="11" t="s">
        <v>205</v>
      </c>
      <c r="P142" s="18"/>
      <c r="Q142" s="18"/>
      <c r="R142" s="18"/>
      <c r="S142" s="18"/>
      <c r="T142" s="18"/>
      <c r="U142" s="18"/>
      <c r="V142" s="18"/>
      <c r="W142" s="18"/>
      <c r="X142" s="11" t="s">
        <v>569</v>
      </c>
      <c r="Y142" s="18"/>
      <c r="Z142" s="18"/>
      <c r="AA142" s="18"/>
      <c r="AB142" s="19"/>
      <c r="AC142" s="19"/>
      <c r="AD142" s="19"/>
      <c r="AE142" s="19"/>
      <c r="AF142" s="19"/>
      <c r="AG142" s="19"/>
    </row>
    <row r="143" ht="22.5" customHeight="1">
      <c r="A143" s="13">
        <v>45903.60446351852</v>
      </c>
      <c r="B143" s="21">
        <v>45903.0</v>
      </c>
      <c r="C143" s="11" t="s">
        <v>622</v>
      </c>
      <c r="D143" s="15" t="s">
        <v>623</v>
      </c>
      <c r="E143" s="11" t="s">
        <v>239</v>
      </c>
      <c r="F143" s="11">
        <v>2000000.0</v>
      </c>
      <c r="G143" s="11" t="s">
        <v>23</v>
      </c>
      <c r="H143" s="11">
        <v>3000000.0</v>
      </c>
      <c r="I143" s="11" t="s">
        <v>200</v>
      </c>
      <c r="J143" s="18"/>
      <c r="K143" s="16" t="s">
        <v>624</v>
      </c>
      <c r="L143" s="11" t="s">
        <v>202</v>
      </c>
      <c r="M143" s="11" t="s">
        <v>203</v>
      </c>
      <c r="N143" s="11" t="s">
        <v>215</v>
      </c>
      <c r="O143" s="18"/>
      <c r="P143" s="18"/>
      <c r="Q143" s="18"/>
      <c r="R143" s="18"/>
      <c r="S143" s="18"/>
      <c r="T143" s="18"/>
      <c r="U143" s="18"/>
      <c r="V143" s="18"/>
      <c r="W143" s="11" t="s">
        <v>532</v>
      </c>
      <c r="X143" s="18"/>
      <c r="Y143" s="18"/>
      <c r="Z143" s="18"/>
      <c r="AA143" s="18"/>
      <c r="AB143" s="19"/>
      <c r="AC143" s="19"/>
      <c r="AD143" s="19"/>
      <c r="AE143" s="19"/>
      <c r="AF143" s="19"/>
      <c r="AG143" s="19"/>
    </row>
    <row r="144" ht="22.5" customHeight="1">
      <c r="A144" s="13">
        <v>45903.611863819446</v>
      </c>
      <c r="B144" s="21">
        <v>45903.0</v>
      </c>
      <c r="C144" s="11" t="s">
        <v>625</v>
      </c>
      <c r="D144" s="15" t="s">
        <v>626</v>
      </c>
      <c r="E144" s="11" t="s">
        <v>31</v>
      </c>
      <c r="F144" s="11">
        <v>4400000.0</v>
      </c>
      <c r="G144" s="11" t="s">
        <v>23</v>
      </c>
      <c r="H144" s="18"/>
      <c r="I144" s="11" t="s">
        <v>229</v>
      </c>
      <c r="J144" s="11" t="s">
        <v>250</v>
      </c>
      <c r="K144" s="16" t="s">
        <v>627</v>
      </c>
      <c r="L144" s="11" t="s">
        <v>202</v>
      </c>
      <c r="M144" s="18"/>
      <c r="N144" s="11" t="s">
        <v>204</v>
      </c>
      <c r="O144" s="18"/>
      <c r="P144" s="18"/>
      <c r="Q144" s="18"/>
      <c r="R144" s="11" t="s">
        <v>207</v>
      </c>
      <c r="S144" s="18"/>
      <c r="T144" s="18"/>
      <c r="U144" s="18"/>
      <c r="V144" s="18"/>
      <c r="W144" s="18"/>
      <c r="X144" s="18"/>
      <c r="Y144" s="18"/>
      <c r="Z144" s="18"/>
      <c r="AA144" s="18"/>
      <c r="AB144" s="19"/>
      <c r="AC144" s="19"/>
      <c r="AD144" s="19"/>
      <c r="AE144" s="19"/>
      <c r="AF144" s="19"/>
      <c r="AG144" s="19"/>
    </row>
    <row r="145" ht="22.5" customHeight="1">
      <c r="A145" s="13">
        <v>45903.6151078125</v>
      </c>
      <c r="B145" s="21">
        <v>45903.0</v>
      </c>
      <c r="C145" s="11" t="s">
        <v>628</v>
      </c>
      <c r="D145" s="15" t="s">
        <v>629</v>
      </c>
      <c r="E145" s="11" t="s">
        <v>239</v>
      </c>
      <c r="F145" s="11">
        <v>3000000.0</v>
      </c>
      <c r="G145" s="11" t="s">
        <v>23</v>
      </c>
      <c r="H145" s="18"/>
      <c r="I145" s="11" t="s">
        <v>229</v>
      </c>
      <c r="J145" s="11" t="s">
        <v>630</v>
      </c>
      <c r="K145" s="16" t="s">
        <v>631</v>
      </c>
      <c r="L145" s="11" t="s">
        <v>202</v>
      </c>
      <c r="M145" s="18"/>
      <c r="N145" s="11" t="s">
        <v>313</v>
      </c>
      <c r="O145" s="18"/>
      <c r="P145" s="18"/>
      <c r="Q145" s="18"/>
      <c r="R145" s="18"/>
      <c r="S145" s="18"/>
      <c r="T145" s="11" t="s">
        <v>384</v>
      </c>
      <c r="U145" s="18"/>
      <c r="V145" s="18"/>
      <c r="W145" s="18"/>
      <c r="X145" s="18"/>
      <c r="Y145" s="18"/>
      <c r="Z145" s="18"/>
      <c r="AA145" s="18"/>
      <c r="AB145" s="19"/>
      <c r="AC145" s="19"/>
      <c r="AD145" s="19"/>
      <c r="AE145" s="19"/>
      <c r="AF145" s="19"/>
      <c r="AG145" s="19"/>
    </row>
    <row r="146" ht="22.5" customHeight="1">
      <c r="A146" s="13">
        <v>45903.620257511575</v>
      </c>
      <c r="B146" s="21">
        <v>45903.0</v>
      </c>
      <c r="C146" s="11" t="s">
        <v>632</v>
      </c>
      <c r="D146" s="15" t="s">
        <v>633</v>
      </c>
      <c r="E146" s="11" t="s">
        <v>43</v>
      </c>
      <c r="F146" s="11">
        <v>3000000.0</v>
      </c>
      <c r="G146" s="11" t="s">
        <v>23</v>
      </c>
      <c r="H146" s="11">
        <v>3000000.0</v>
      </c>
      <c r="I146" s="11" t="s">
        <v>200</v>
      </c>
      <c r="J146" s="18"/>
      <c r="K146" s="16" t="s">
        <v>634</v>
      </c>
      <c r="L146" s="11" t="s">
        <v>252</v>
      </c>
      <c r="M146" s="11" t="s">
        <v>203</v>
      </c>
      <c r="N146" s="18"/>
      <c r="O146" s="11" t="s">
        <v>205</v>
      </c>
      <c r="P146" s="18"/>
      <c r="Q146" s="18"/>
      <c r="R146" s="18"/>
      <c r="S146" s="18"/>
      <c r="T146" s="18"/>
      <c r="U146" s="18"/>
      <c r="V146" s="18"/>
      <c r="W146" s="18"/>
      <c r="X146" s="11" t="s">
        <v>549</v>
      </c>
      <c r="Y146" s="18"/>
      <c r="Z146" s="18"/>
      <c r="AA146" s="18"/>
      <c r="AB146" s="19"/>
      <c r="AC146" s="19"/>
      <c r="AD146" s="19"/>
      <c r="AE146" s="19"/>
      <c r="AF146" s="19"/>
      <c r="AG146" s="19"/>
    </row>
    <row r="147" ht="22.5" customHeight="1">
      <c r="A147" s="13">
        <v>45903.622338587964</v>
      </c>
      <c r="B147" s="21">
        <v>45903.0</v>
      </c>
      <c r="C147" s="11" t="s">
        <v>635</v>
      </c>
      <c r="D147" s="15" t="s">
        <v>636</v>
      </c>
      <c r="E147" s="11" t="s">
        <v>239</v>
      </c>
      <c r="F147" s="11">
        <v>2000000.0</v>
      </c>
      <c r="G147" s="11" t="s">
        <v>23</v>
      </c>
      <c r="H147" s="18"/>
      <c r="I147" s="11" t="s">
        <v>229</v>
      </c>
      <c r="J147" s="11" t="s">
        <v>270</v>
      </c>
      <c r="K147" s="16" t="s">
        <v>637</v>
      </c>
      <c r="L147" s="11" t="s">
        <v>202</v>
      </c>
      <c r="M147" s="18"/>
      <c r="N147" s="11" t="s">
        <v>215</v>
      </c>
      <c r="O147" s="18"/>
      <c r="P147" s="18"/>
      <c r="Q147" s="18"/>
      <c r="R147" s="18"/>
      <c r="S147" s="18"/>
      <c r="T147" s="18"/>
      <c r="U147" s="18"/>
      <c r="V147" s="18"/>
      <c r="W147" s="11" t="s">
        <v>532</v>
      </c>
      <c r="X147" s="18"/>
      <c r="Y147" s="18"/>
      <c r="Z147" s="18"/>
      <c r="AA147" s="18"/>
      <c r="AB147" s="19"/>
      <c r="AC147" s="19"/>
      <c r="AD147" s="19"/>
      <c r="AE147" s="19"/>
      <c r="AF147" s="19"/>
      <c r="AG147" s="19"/>
    </row>
    <row r="148" ht="22.5" customHeight="1">
      <c r="A148" s="13">
        <v>45903.647459513886</v>
      </c>
      <c r="B148" s="21">
        <v>45903.0</v>
      </c>
      <c r="C148" s="11" t="s">
        <v>638</v>
      </c>
      <c r="D148" s="15" t="s">
        <v>639</v>
      </c>
      <c r="E148" s="11" t="s">
        <v>31</v>
      </c>
      <c r="F148" s="11">
        <v>5400000.0</v>
      </c>
      <c r="G148" s="11" t="s">
        <v>23</v>
      </c>
      <c r="H148" s="18"/>
      <c r="I148" s="11" t="s">
        <v>229</v>
      </c>
      <c r="J148" s="11" t="s">
        <v>164</v>
      </c>
      <c r="K148" s="16" t="s">
        <v>640</v>
      </c>
      <c r="L148" s="11" t="s">
        <v>202</v>
      </c>
      <c r="M148" s="18"/>
      <c r="N148" s="11" t="s">
        <v>204</v>
      </c>
      <c r="O148" s="18"/>
      <c r="P148" s="18"/>
      <c r="Q148" s="18"/>
      <c r="R148" s="11" t="s">
        <v>207</v>
      </c>
      <c r="S148" s="18"/>
      <c r="T148" s="18"/>
      <c r="U148" s="18"/>
      <c r="V148" s="18"/>
      <c r="W148" s="18"/>
      <c r="X148" s="18"/>
      <c r="Y148" s="18"/>
      <c r="Z148" s="18"/>
      <c r="AA148" s="18"/>
      <c r="AB148" s="19"/>
      <c r="AC148" s="19"/>
      <c r="AD148" s="19"/>
      <c r="AE148" s="19"/>
      <c r="AF148" s="19"/>
      <c r="AG148" s="19"/>
    </row>
    <row r="149" ht="22.5" customHeight="1">
      <c r="A149" s="13">
        <v>45903.66925320602</v>
      </c>
      <c r="B149" s="21">
        <v>45903.0</v>
      </c>
      <c r="C149" s="11" t="s">
        <v>641</v>
      </c>
      <c r="D149" s="15" t="s">
        <v>642</v>
      </c>
      <c r="E149" s="11" t="s">
        <v>43</v>
      </c>
      <c r="F149" s="11">
        <v>4200000.0</v>
      </c>
      <c r="G149" s="11" t="s">
        <v>23</v>
      </c>
      <c r="H149" s="11">
        <v>7000000.0</v>
      </c>
      <c r="I149" s="11" t="s">
        <v>200</v>
      </c>
      <c r="J149" s="18"/>
      <c r="K149" s="16" t="s">
        <v>643</v>
      </c>
      <c r="L149" s="11" t="s">
        <v>202</v>
      </c>
      <c r="M149" s="11" t="s">
        <v>203</v>
      </c>
      <c r="N149" s="11" t="s">
        <v>220</v>
      </c>
      <c r="O149" s="18"/>
      <c r="P149" s="18"/>
      <c r="Q149" s="18"/>
      <c r="R149" s="18"/>
      <c r="S149" s="11" t="s">
        <v>83</v>
      </c>
      <c r="T149" s="18"/>
      <c r="U149" s="18"/>
      <c r="V149" s="18"/>
      <c r="W149" s="18"/>
      <c r="X149" s="18"/>
      <c r="Y149" s="18"/>
      <c r="Z149" s="18"/>
      <c r="AA149" s="18"/>
      <c r="AB149" s="19"/>
      <c r="AC149" s="19"/>
      <c r="AD149" s="19"/>
      <c r="AE149" s="19"/>
      <c r="AF149" s="19"/>
      <c r="AG149" s="19"/>
    </row>
    <row r="150" ht="22.5" customHeight="1">
      <c r="A150" s="13">
        <v>45903.68648636574</v>
      </c>
      <c r="B150" s="21">
        <v>45903.0</v>
      </c>
      <c r="C150" s="11" t="s">
        <v>644</v>
      </c>
      <c r="D150" s="15" t="s">
        <v>645</v>
      </c>
      <c r="E150" s="11" t="s">
        <v>228</v>
      </c>
      <c r="F150" s="11">
        <v>2500000.0</v>
      </c>
      <c r="G150" s="11" t="s">
        <v>23</v>
      </c>
      <c r="H150" s="18"/>
      <c r="I150" s="11" t="s">
        <v>229</v>
      </c>
      <c r="J150" s="11" t="s">
        <v>270</v>
      </c>
      <c r="K150" s="16" t="s">
        <v>646</v>
      </c>
      <c r="L150" s="11" t="s">
        <v>202</v>
      </c>
      <c r="M150" s="18"/>
      <c r="N150" s="11" t="s">
        <v>204</v>
      </c>
      <c r="O150" s="18"/>
      <c r="P150" s="18"/>
      <c r="Q150" s="18"/>
      <c r="R150" s="11" t="s">
        <v>192</v>
      </c>
      <c r="S150" s="18"/>
      <c r="T150" s="18"/>
      <c r="U150" s="18"/>
      <c r="V150" s="18"/>
      <c r="W150" s="18"/>
      <c r="X150" s="18"/>
      <c r="Y150" s="18"/>
      <c r="Z150" s="18"/>
      <c r="AA150" s="18"/>
      <c r="AB150" s="19"/>
      <c r="AC150" s="19"/>
      <c r="AD150" s="19"/>
      <c r="AE150" s="19"/>
      <c r="AF150" s="19"/>
      <c r="AG150" s="19"/>
    </row>
    <row r="151" ht="22.5" customHeight="1">
      <c r="A151" s="13">
        <v>45903.70627376158</v>
      </c>
      <c r="B151" s="21">
        <v>45903.0</v>
      </c>
      <c r="C151" s="11" t="s">
        <v>647</v>
      </c>
      <c r="D151" s="15" t="s">
        <v>648</v>
      </c>
      <c r="E151" s="11" t="s">
        <v>228</v>
      </c>
      <c r="F151" s="11">
        <v>3000000.0</v>
      </c>
      <c r="G151" s="11" t="s">
        <v>23</v>
      </c>
      <c r="H151" s="18"/>
      <c r="I151" s="11" t="s">
        <v>229</v>
      </c>
      <c r="J151" s="11" t="s">
        <v>387</v>
      </c>
      <c r="K151" s="16" t="s">
        <v>649</v>
      </c>
      <c r="L151" s="11" t="s">
        <v>202</v>
      </c>
      <c r="M151" s="18"/>
      <c r="N151" s="11" t="s">
        <v>215</v>
      </c>
      <c r="O151" s="18"/>
      <c r="P151" s="18"/>
      <c r="Q151" s="18"/>
      <c r="R151" s="18"/>
      <c r="S151" s="18"/>
      <c r="T151" s="18"/>
      <c r="U151" s="18"/>
      <c r="V151" s="18"/>
      <c r="W151" s="11" t="s">
        <v>389</v>
      </c>
      <c r="X151" s="18"/>
      <c r="Y151" s="18"/>
      <c r="Z151" s="18"/>
      <c r="AA151" s="18"/>
      <c r="AB151" s="19"/>
      <c r="AC151" s="19"/>
      <c r="AD151" s="19"/>
      <c r="AE151" s="19"/>
      <c r="AF151" s="19"/>
      <c r="AG151" s="19"/>
    </row>
    <row r="152" ht="22.5" customHeight="1">
      <c r="A152" s="13">
        <v>45903.72747195602</v>
      </c>
      <c r="B152" s="21">
        <v>45903.0</v>
      </c>
      <c r="C152" s="11" t="s">
        <v>650</v>
      </c>
      <c r="D152" s="15" t="s">
        <v>651</v>
      </c>
      <c r="E152" s="11" t="s">
        <v>43</v>
      </c>
      <c r="F152" s="11">
        <v>3000000.0</v>
      </c>
      <c r="G152" s="11" t="s">
        <v>23</v>
      </c>
      <c r="H152" s="18"/>
      <c r="I152" s="11" t="s">
        <v>229</v>
      </c>
      <c r="J152" s="11" t="s">
        <v>652</v>
      </c>
      <c r="K152" s="16" t="s">
        <v>653</v>
      </c>
      <c r="L152" s="11" t="s">
        <v>252</v>
      </c>
      <c r="M152" s="18"/>
      <c r="N152" s="18"/>
      <c r="O152" s="11" t="s">
        <v>205</v>
      </c>
      <c r="P152" s="18"/>
      <c r="Q152" s="18"/>
      <c r="R152" s="18"/>
      <c r="S152" s="18"/>
      <c r="T152" s="18"/>
      <c r="U152" s="18"/>
      <c r="V152" s="18"/>
      <c r="W152" s="18"/>
      <c r="X152" s="11" t="s">
        <v>569</v>
      </c>
      <c r="Y152" s="18"/>
      <c r="Z152" s="18"/>
      <c r="AA152" s="18"/>
      <c r="AB152" s="19"/>
      <c r="AC152" s="19"/>
      <c r="AD152" s="19"/>
      <c r="AE152" s="19"/>
      <c r="AF152" s="19"/>
      <c r="AG152" s="19"/>
    </row>
    <row r="153" ht="22.5" customHeight="1">
      <c r="A153" s="13">
        <v>45903.728208252316</v>
      </c>
      <c r="B153" s="21">
        <v>45903.0</v>
      </c>
      <c r="C153" s="11" t="s">
        <v>654</v>
      </c>
      <c r="D153" s="15" t="s">
        <v>655</v>
      </c>
      <c r="E153" s="11" t="s">
        <v>43</v>
      </c>
      <c r="F153" s="11">
        <v>3000000.0</v>
      </c>
      <c r="G153" s="11" t="s">
        <v>23</v>
      </c>
      <c r="H153" s="18"/>
      <c r="I153" s="11" t="s">
        <v>229</v>
      </c>
      <c r="J153" s="11" t="s">
        <v>656</v>
      </c>
      <c r="K153" s="16" t="s">
        <v>657</v>
      </c>
      <c r="L153" s="11" t="s">
        <v>202</v>
      </c>
      <c r="M153" s="18"/>
      <c r="N153" s="11" t="s">
        <v>220</v>
      </c>
      <c r="O153" s="18"/>
      <c r="P153" s="18"/>
      <c r="Q153" s="18"/>
      <c r="R153" s="18"/>
      <c r="S153" s="11" t="s">
        <v>36</v>
      </c>
      <c r="T153" s="18"/>
      <c r="U153" s="18"/>
      <c r="V153" s="18"/>
      <c r="W153" s="18"/>
      <c r="X153" s="18"/>
      <c r="Y153" s="18"/>
      <c r="Z153" s="18"/>
      <c r="AA153" s="18"/>
      <c r="AB153" s="19"/>
      <c r="AC153" s="19"/>
      <c r="AD153" s="19"/>
      <c r="AE153" s="19"/>
      <c r="AF153" s="19"/>
      <c r="AG153" s="19"/>
    </row>
    <row r="154" ht="22.5" customHeight="1">
      <c r="A154" s="13">
        <v>45903.736568865745</v>
      </c>
      <c r="B154" s="21">
        <v>45903.0</v>
      </c>
      <c r="C154" s="11" t="s">
        <v>658</v>
      </c>
      <c r="D154" s="15" t="s">
        <v>659</v>
      </c>
      <c r="E154" s="11" t="s">
        <v>660</v>
      </c>
      <c r="F154" s="11">
        <v>5000000.0</v>
      </c>
      <c r="G154" s="11" t="s">
        <v>23</v>
      </c>
      <c r="H154" s="11">
        <v>3000000.0</v>
      </c>
      <c r="I154" s="11" t="s">
        <v>200</v>
      </c>
      <c r="J154" s="18"/>
      <c r="K154" s="16" t="s">
        <v>661</v>
      </c>
      <c r="L154" s="11" t="s">
        <v>252</v>
      </c>
      <c r="M154" s="11" t="s">
        <v>203</v>
      </c>
      <c r="N154" s="18"/>
      <c r="O154" s="11" t="s">
        <v>205</v>
      </c>
      <c r="P154" s="18"/>
      <c r="Q154" s="18"/>
      <c r="R154" s="18"/>
      <c r="S154" s="18"/>
      <c r="T154" s="18"/>
      <c r="U154" s="18"/>
      <c r="V154" s="18"/>
      <c r="W154" s="18"/>
      <c r="X154" s="11" t="s">
        <v>549</v>
      </c>
      <c r="Y154" s="18"/>
      <c r="Z154" s="18"/>
      <c r="AA154" s="18"/>
      <c r="AB154" s="19"/>
      <c r="AC154" s="19"/>
      <c r="AD154" s="19"/>
      <c r="AE154" s="19"/>
      <c r="AF154" s="19"/>
      <c r="AG154" s="19"/>
    </row>
    <row r="155" ht="22.5" customHeight="1">
      <c r="A155" s="13">
        <v>45903.75393306713</v>
      </c>
      <c r="B155" s="21">
        <v>45903.0</v>
      </c>
      <c r="C155" s="11" t="s">
        <v>590</v>
      </c>
      <c r="D155" s="15" t="s">
        <v>591</v>
      </c>
      <c r="E155" s="11" t="s">
        <v>662</v>
      </c>
      <c r="F155" s="11">
        <v>4100000.0</v>
      </c>
      <c r="G155" s="11" t="s">
        <v>23</v>
      </c>
      <c r="H155" s="11">
        <v>3000000.0</v>
      </c>
      <c r="I155" s="11" t="s">
        <v>200</v>
      </c>
      <c r="J155" s="18"/>
      <c r="K155" s="16" t="s">
        <v>663</v>
      </c>
      <c r="L155" s="11" t="s">
        <v>202</v>
      </c>
      <c r="M155" s="11" t="s">
        <v>203</v>
      </c>
      <c r="N155" s="11" t="s">
        <v>204</v>
      </c>
      <c r="O155" s="18"/>
      <c r="P155" s="18"/>
      <c r="Q155" s="18"/>
      <c r="R155" s="11" t="s">
        <v>90</v>
      </c>
      <c r="S155" s="18"/>
      <c r="T155" s="18"/>
      <c r="U155" s="18"/>
      <c r="V155" s="18"/>
      <c r="W155" s="18"/>
      <c r="X155" s="18"/>
      <c r="Y155" s="18"/>
      <c r="Z155" s="18"/>
      <c r="AA155" s="18"/>
      <c r="AB155" s="19"/>
      <c r="AC155" s="19"/>
      <c r="AD155" s="19"/>
      <c r="AE155" s="19"/>
      <c r="AF155" s="19"/>
      <c r="AG155" s="19"/>
    </row>
    <row r="156" ht="22.5" customHeight="1">
      <c r="A156" s="13">
        <v>45903.75564886574</v>
      </c>
      <c r="B156" s="21">
        <v>45903.0</v>
      </c>
      <c r="C156" s="11" t="s">
        <v>664</v>
      </c>
      <c r="D156" s="15" t="s">
        <v>665</v>
      </c>
      <c r="E156" s="11" t="s">
        <v>43</v>
      </c>
      <c r="F156" s="11">
        <v>8400000.0</v>
      </c>
      <c r="G156" s="11" t="s">
        <v>23</v>
      </c>
      <c r="H156" s="11">
        <v>3000000.0</v>
      </c>
      <c r="I156" s="11" t="s">
        <v>413</v>
      </c>
      <c r="J156" s="18"/>
      <c r="K156" s="16" t="s">
        <v>666</v>
      </c>
      <c r="L156" s="11" t="s">
        <v>202</v>
      </c>
      <c r="M156" s="11" t="s">
        <v>605</v>
      </c>
      <c r="N156" s="11" t="s">
        <v>667</v>
      </c>
      <c r="O156" s="18"/>
      <c r="P156" s="18"/>
      <c r="Q156" s="18"/>
      <c r="R156" s="18"/>
      <c r="S156" s="18"/>
      <c r="T156" s="18"/>
      <c r="U156" s="11" t="s">
        <v>668</v>
      </c>
      <c r="V156" s="18"/>
      <c r="W156" s="18"/>
      <c r="X156" s="18"/>
      <c r="Y156" s="18"/>
      <c r="Z156" s="18"/>
      <c r="AA156" s="18"/>
      <c r="AB156" s="19"/>
      <c r="AC156" s="19"/>
      <c r="AD156" s="19"/>
      <c r="AE156" s="19"/>
      <c r="AF156" s="19"/>
      <c r="AG156" s="19"/>
    </row>
    <row r="157" ht="22.5" customHeight="1">
      <c r="A157" s="13">
        <v>45903.75716833334</v>
      </c>
      <c r="B157" s="21">
        <v>45903.0</v>
      </c>
      <c r="C157" s="11" t="s">
        <v>664</v>
      </c>
      <c r="D157" s="15" t="s">
        <v>665</v>
      </c>
      <c r="E157" s="11" t="s">
        <v>43</v>
      </c>
      <c r="F157" s="11">
        <v>8400000.0</v>
      </c>
      <c r="G157" s="11" t="s">
        <v>23</v>
      </c>
      <c r="H157" s="11">
        <v>3000000.0</v>
      </c>
      <c r="I157" s="11" t="s">
        <v>413</v>
      </c>
      <c r="J157" s="18"/>
      <c r="K157" s="16" t="s">
        <v>669</v>
      </c>
      <c r="L157" s="11" t="s">
        <v>202</v>
      </c>
      <c r="M157" s="11" t="s">
        <v>605</v>
      </c>
      <c r="N157" s="11" t="s">
        <v>667</v>
      </c>
      <c r="O157" s="18"/>
      <c r="P157" s="18"/>
      <c r="Q157" s="18"/>
      <c r="R157" s="18"/>
      <c r="S157" s="18"/>
      <c r="T157" s="18"/>
      <c r="U157" s="11" t="s">
        <v>668</v>
      </c>
      <c r="V157" s="18"/>
      <c r="W157" s="18"/>
      <c r="X157" s="18"/>
      <c r="Y157" s="18"/>
      <c r="Z157" s="18"/>
      <c r="AA157" s="18"/>
      <c r="AB157" s="19"/>
      <c r="AC157" s="19"/>
      <c r="AD157" s="19"/>
      <c r="AE157" s="19"/>
      <c r="AF157" s="19"/>
      <c r="AG157" s="19"/>
    </row>
    <row r="158" ht="22.5" customHeight="1">
      <c r="A158" s="13">
        <v>45903.763307905094</v>
      </c>
      <c r="B158" s="21">
        <v>45903.0</v>
      </c>
      <c r="C158" s="11" t="s">
        <v>670</v>
      </c>
      <c r="D158" s="15" t="s">
        <v>671</v>
      </c>
      <c r="E158" s="11" t="s">
        <v>199</v>
      </c>
      <c r="F158" s="11">
        <v>3200000.0</v>
      </c>
      <c r="G158" s="11" t="s">
        <v>23</v>
      </c>
      <c r="H158" s="18"/>
      <c r="I158" s="11" t="s">
        <v>229</v>
      </c>
      <c r="J158" s="11" t="s">
        <v>24</v>
      </c>
      <c r="K158" s="16" t="s">
        <v>672</v>
      </c>
      <c r="L158" s="11" t="s">
        <v>202</v>
      </c>
      <c r="M158" s="18"/>
      <c r="N158" s="11" t="s">
        <v>313</v>
      </c>
      <c r="O158" s="18"/>
      <c r="P158" s="18"/>
      <c r="Q158" s="18"/>
      <c r="R158" s="18"/>
      <c r="S158" s="18"/>
      <c r="T158" s="11" t="s">
        <v>314</v>
      </c>
      <c r="U158" s="18"/>
      <c r="V158" s="18"/>
      <c r="W158" s="18"/>
      <c r="X158" s="18"/>
      <c r="Y158" s="18"/>
      <c r="Z158" s="18"/>
      <c r="AA158" s="18"/>
      <c r="AB158" s="19"/>
      <c r="AC158" s="19"/>
      <c r="AD158" s="19"/>
      <c r="AE158" s="19"/>
      <c r="AF158" s="19"/>
      <c r="AG158" s="19"/>
    </row>
    <row r="159" ht="22.5" customHeight="1">
      <c r="A159" s="13">
        <v>45903.764813773145</v>
      </c>
      <c r="B159" s="21">
        <v>45903.0</v>
      </c>
      <c r="C159" s="11" t="s">
        <v>673</v>
      </c>
      <c r="D159" s="15" t="s">
        <v>674</v>
      </c>
      <c r="E159" s="11" t="s">
        <v>675</v>
      </c>
      <c r="F159" s="11">
        <v>3200000.0</v>
      </c>
      <c r="G159" s="11" t="s">
        <v>23</v>
      </c>
      <c r="H159" s="18"/>
      <c r="I159" s="11" t="s">
        <v>229</v>
      </c>
      <c r="J159" s="11" t="s">
        <v>24</v>
      </c>
      <c r="K159" s="16" t="s">
        <v>676</v>
      </c>
      <c r="L159" s="11" t="s">
        <v>202</v>
      </c>
      <c r="M159" s="18"/>
      <c r="N159" s="11" t="s">
        <v>313</v>
      </c>
      <c r="O159" s="18"/>
      <c r="P159" s="18"/>
      <c r="Q159" s="18"/>
      <c r="R159" s="18"/>
      <c r="S159" s="18"/>
      <c r="T159" s="11" t="s">
        <v>314</v>
      </c>
      <c r="U159" s="18"/>
      <c r="V159" s="18"/>
      <c r="W159" s="18"/>
      <c r="X159" s="18"/>
      <c r="Y159" s="18"/>
      <c r="Z159" s="18"/>
      <c r="AA159" s="18"/>
      <c r="AB159" s="19"/>
      <c r="AC159" s="19"/>
      <c r="AD159" s="19"/>
      <c r="AE159" s="19"/>
      <c r="AF159" s="19"/>
      <c r="AG159" s="19"/>
    </row>
    <row r="160" ht="22.5" customHeight="1">
      <c r="A160" s="13">
        <v>45903.76637027778</v>
      </c>
      <c r="B160" s="21">
        <v>45903.0</v>
      </c>
      <c r="C160" s="11" t="s">
        <v>677</v>
      </c>
      <c r="D160" s="15" t="s">
        <v>678</v>
      </c>
      <c r="E160" s="11" t="s">
        <v>679</v>
      </c>
      <c r="F160" s="11">
        <v>3400000.0</v>
      </c>
      <c r="G160" s="11" t="s">
        <v>23</v>
      </c>
      <c r="H160" s="18"/>
      <c r="I160" s="11" t="s">
        <v>229</v>
      </c>
      <c r="J160" s="11" t="s">
        <v>24</v>
      </c>
      <c r="K160" s="16" t="s">
        <v>680</v>
      </c>
      <c r="L160" s="11" t="s">
        <v>202</v>
      </c>
      <c r="M160" s="18"/>
      <c r="N160" s="11" t="s">
        <v>313</v>
      </c>
      <c r="O160" s="18"/>
      <c r="P160" s="18"/>
      <c r="Q160" s="18"/>
      <c r="R160" s="18"/>
      <c r="S160" s="18"/>
      <c r="T160" s="11" t="s">
        <v>314</v>
      </c>
      <c r="U160" s="18"/>
      <c r="V160" s="18"/>
      <c r="W160" s="18"/>
      <c r="X160" s="18"/>
      <c r="Y160" s="18"/>
      <c r="Z160" s="18"/>
      <c r="AA160" s="18"/>
      <c r="AB160" s="19"/>
      <c r="AC160" s="19"/>
      <c r="AD160" s="19"/>
      <c r="AE160" s="19"/>
      <c r="AF160" s="19"/>
      <c r="AG160" s="19"/>
    </row>
    <row r="161" ht="22.5" customHeight="1">
      <c r="A161" s="13">
        <v>45903.78417009259</v>
      </c>
      <c r="B161" s="21">
        <v>45903.0</v>
      </c>
      <c r="C161" s="11" t="s">
        <v>681</v>
      </c>
      <c r="D161" s="15" t="s">
        <v>682</v>
      </c>
      <c r="E161" s="11" t="s">
        <v>683</v>
      </c>
      <c r="F161" s="11">
        <v>5000000.0</v>
      </c>
      <c r="G161" s="11" t="s">
        <v>23</v>
      </c>
      <c r="H161" s="18"/>
      <c r="I161" s="11" t="s">
        <v>229</v>
      </c>
      <c r="J161" s="11" t="s">
        <v>387</v>
      </c>
      <c r="K161" s="16" t="s">
        <v>684</v>
      </c>
      <c r="L161" s="11" t="s">
        <v>202</v>
      </c>
      <c r="M161" s="18"/>
      <c r="N161" s="11" t="s">
        <v>215</v>
      </c>
      <c r="O161" s="18"/>
      <c r="P161" s="18"/>
      <c r="Q161" s="18"/>
      <c r="R161" s="18"/>
      <c r="S161" s="18"/>
      <c r="T161" s="18"/>
      <c r="U161" s="18"/>
      <c r="V161" s="18"/>
      <c r="W161" s="11" t="s">
        <v>389</v>
      </c>
      <c r="X161" s="18"/>
      <c r="Y161" s="18"/>
      <c r="Z161" s="18"/>
      <c r="AA161" s="18"/>
      <c r="AB161" s="19"/>
      <c r="AC161" s="19"/>
      <c r="AD161" s="19"/>
      <c r="AE161" s="19"/>
      <c r="AF161" s="19"/>
      <c r="AG161" s="19"/>
    </row>
    <row r="162" ht="22.5" customHeight="1">
      <c r="A162" s="13">
        <v>45903.842329293984</v>
      </c>
      <c r="B162" s="21">
        <v>45903.0</v>
      </c>
      <c r="C162" s="11" t="s">
        <v>685</v>
      </c>
      <c r="D162" s="15" t="s">
        <v>686</v>
      </c>
      <c r="E162" s="11" t="s">
        <v>687</v>
      </c>
      <c r="F162" s="11">
        <v>5000000.0</v>
      </c>
      <c r="G162" s="11" t="s">
        <v>23</v>
      </c>
      <c r="H162" s="18"/>
      <c r="I162" s="11" t="s">
        <v>229</v>
      </c>
      <c r="J162" s="11" t="s">
        <v>289</v>
      </c>
      <c r="K162" s="16" t="s">
        <v>688</v>
      </c>
      <c r="L162" s="11" t="s">
        <v>252</v>
      </c>
      <c r="M162" s="18"/>
      <c r="N162" s="18"/>
      <c r="O162" s="11" t="s">
        <v>205</v>
      </c>
      <c r="P162" s="18"/>
      <c r="Q162" s="18"/>
      <c r="R162" s="18"/>
      <c r="S162" s="18"/>
      <c r="T162" s="18"/>
      <c r="U162" s="18"/>
      <c r="V162" s="18"/>
      <c r="W162" s="18"/>
      <c r="X162" s="11" t="s">
        <v>549</v>
      </c>
      <c r="Y162" s="18"/>
      <c r="Z162" s="18"/>
      <c r="AA162" s="18"/>
      <c r="AB162" s="19"/>
      <c r="AC162" s="19"/>
      <c r="AD162" s="19"/>
      <c r="AE162" s="19"/>
      <c r="AF162" s="19"/>
      <c r="AG162" s="19"/>
    </row>
    <row r="163" ht="22.5" customHeight="1">
      <c r="A163" s="13">
        <v>45903.86015943287</v>
      </c>
      <c r="B163" s="21">
        <v>45903.0</v>
      </c>
      <c r="C163" s="11" t="s">
        <v>689</v>
      </c>
      <c r="D163" s="15" t="s">
        <v>492</v>
      </c>
      <c r="E163" s="11" t="s">
        <v>690</v>
      </c>
      <c r="F163" s="11">
        <v>300000.0</v>
      </c>
      <c r="G163" s="11" t="s">
        <v>23</v>
      </c>
      <c r="H163" s="18"/>
      <c r="I163" s="11" t="s">
        <v>229</v>
      </c>
      <c r="J163" s="11" t="s">
        <v>165</v>
      </c>
      <c r="K163" s="16" t="s">
        <v>691</v>
      </c>
      <c r="L163" s="11" t="s">
        <v>202</v>
      </c>
      <c r="M163" s="18"/>
      <c r="N163" s="11" t="s">
        <v>204</v>
      </c>
      <c r="O163" s="18"/>
      <c r="P163" s="18"/>
      <c r="Q163" s="18"/>
      <c r="R163" s="11" t="s">
        <v>28</v>
      </c>
      <c r="S163" s="18"/>
      <c r="T163" s="18"/>
      <c r="U163" s="18"/>
      <c r="V163" s="18"/>
      <c r="W163" s="18"/>
      <c r="X163" s="18"/>
      <c r="Y163" s="18"/>
      <c r="Z163" s="18"/>
      <c r="AA163" s="18"/>
      <c r="AB163" s="19"/>
      <c r="AC163" s="19"/>
      <c r="AD163" s="19"/>
      <c r="AE163" s="19"/>
      <c r="AF163" s="19"/>
      <c r="AG163" s="19"/>
    </row>
    <row r="164" ht="22.5" customHeight="1">
      <c r="A164" s="13">
        <v>45903.877019328706</v>
      </c>
      <c r="B164" s="21">
        <v>45903.0</v>
      </c>
      <c r="C164" s="11" t="s">
        <v>692</v>
      </c>
      <c r="D164" s="11" t="s">
        <v>693</v>
      </c>
      <c r="E164" s="11" t="s">
        <v>31</v>
      </c>
      <c r="F164" s="11">
        <v>7000000.0</v>
      </c>
      <c r="G164" s="11" t="s">
        <v>23</v>
      </c>
      <c r="H164" s="11">
        <v>5000000.0</v>
      </c>
      <c r="I164" s="11" t="s">
        <v>200</v>
      </c>
      <c r="J164" s="18"/>
      <c r="K164" s="16" t="s">
        <v>694</v>
      </c>
      <c r="L164" s="11" t="s">
        <v>202</v>
      </c>
      <c r="M164" s="11" t="s">
        <v>203</v>
      </c>
      <c r="N164" s="11" t="s">
        <v>215</v>
      </c>
      <c r="O164" s="18"/>
      <c r="P164" s="18"/>
      <c r="Q164" s="18"/>
      <c r="R164" s="18"/>
      <c r="S164" s="18"/>
      <c r="T164" s="18"/>
      <c r="U164" s="18"/>
      <c r="V164" s="18"/>
      <c r="W164" s="11" t="s">
        <v>355</v>
      </c>
      <c r="X164" s="18"/>
      <c r="Y164" s="18"/>
      <c r="Z164" s="18"/>
      <c r="AA164" s="18"/>
      <c r="AB164" s="19"/>
      <c r="AC164" s="19"/>
      <c r="AD164" s="19"/>
      <c r="AE164" s="19"/>
      <c r="AF164" s="19"/>
      <c r="AG164" s="19"/>
    </row>
    <row r="165" ht="22.5" customHeight="1">
      <c r="A165" s="13">
        <v>45903.882083819444</v>
      </c>
      <c r="B165" s="21">
        <v>45903.0</v>
      </c>
      <c r="C165" s="11" t="s">
        <v>695</v>
      </c>
      <c r="D165" s="11" t="s">
        <v>696</v>
      </c>
      <c r="E165" s="11" t="s">
        <v>31</v>
      </c>
      <c r="F165" s="11">
        <v>3700000.0</v>
      </c>
      <c r="G165" s="11" t="s">
        <v>23</v>
      </c>
      <c r="H165" s="11">
        <v>3000000.0</v>
      </c>
      <c r="I165" s="11" t="s">
        <v>413</v>
      </c>
      <c r="J165" s="18"/>
      <c r="K165" s="16" t="s">
        <v>697</v>
      </c>
      <c r="L165" s="11" t="s">
        <v>202</v>
      </c>
      <c r="M165" s="11" t="s">
        <v>203</v>
      </c>
      <c r="N165" s="11" t="s">
        <v>215</v>
      </c>
      <c r="O165" s="18"/>
      <c r="P165" s="18"/>
      <c r="Q165" s="18"/>
      <c r="R165" s="18"/>
      <c r="S165" s="18"/>
      <c r="T165" s="18"/>
      <c r="U165" s="18"/>
      <c r="V165" s="18"/>
      <c r="W165" s="11" t="s">
        <v>355</v>
      </c>
      <c r="X165" s="18"/>
      <c r="Y165" s="18"/>
      <c r="Z165" s="18"/>
      <c r="AA165" s="18"/>
      <c r="AB165" s="19"/>
      <c r="AC165" s="19"/>
      <c r="AD165" s="19"/>
      <c r="AE165" s="19"/>
      <c r="AF165" s="19"/>
      <c r="AG165" s="19"/>
    </row>
    <row r="166" ht="22.5" customHeight="1">
      <c r="A166" s="13">
        <v>45903.8854666088</v>
      </c>
      <c r="B166" s="21">
        <v>45903.0</v>
      </c>
      <c r="C166" s="11" t="s">
        <v>698</v>
      </c>
      <c r="D166" s="11" t="s">
        <v>699</v>
      </c>
      <c r="E166" s="11" t="s">
        <v>31</v>
      </c>
      <c r="F166" s="11">
        <v>3700000.0</v>
      </c>
      <c r="G166" s="11" t="s">
        <v>23</v>
      </c>
      <c r="H166" s="18"/>
      <c r="I166" s="11" t="s">
        <v>229</v>
      </c>
      <c r="J166" s="11" t="s">
        <v>327</v>
      </c>
      <c r="K166" s="16" t="s">
        <v>700</v>
      </c>
      <c r="L166" s="11" t="s">
        <v>202</v>
      </c>
      <c r="M166" s="18"/>
      <c r="N166" s="11" t="s">
        <v>215</v>
      </c>
      <c r="O166" s="18"/>
      <c r="P166" s="18"/>
      <c r="Q166" s="18"/>
      <c r="R166" s="18"/>
      <c r="S166" s="18"/>
      <c r="T166" s="18"/>
      <c r="U166" s="18"/>
      <c r="V166" s="18"/>
      <c r="W166" s="11" t="s">
        <v>355</v>
      </c>
      <c r="X166" s="18"/>
      <c r="Y166" s="18"/>
      <c r="Z166" s="18"/>
      <c r="AA166" s="18"/>
      <c r="AB166" s="19"/>
      <c r="AC166" s="19"/>
      <c r="AD166" s="19"/>
      <c r="AE166" s="19"/>
      <c r="AF166" s="19"/>
      <c r="AG166" s="19"/>
    </row>
    <row r="167" ht="22.5" customHeight="1">
      <c r="A167" s="13">
        <v>45903.894187604164</v>
      </c>
      <c r="B167" s="21">
        <v>45903.0</v>
      </c>
      <c r="C167" s="11" t="s">
        <v>701</v>
      </c>
      <c r="D167" s="15" t="s">
        <v>702</v>
      </c>
      <c r="E167" s="11" t="s">
        <v>43</v>
      </c>
      <c r="F167" s="11">
        <v>4000000.0</v>
      </c>
      <c r="G167" s="11" t="s">
        <v>23</v>
      </c>
      <c r="H167" s="11">
        <v>5000000.0</v>
      </c>
      <c r="I167" s="11" t="s">
        <v>200</v>
      </c>
      <c r="J167" s="18"/>
      <c r="K167" s="16" t="s">
        <v>703</v>
      </c>
      <c r="L167" s="11" t="s">
        <v>252</v>
      </c>
      <c r="M167" s="11" t="s">
        <v>383</v>
      </c>
      <c r="N167" s="18"/>
      <c r="O167" s="11" t="s">
        <v>257</v>
      </c>
      <c r="P167" s="11" t="s">
        <v>258</v>
      </c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9"/>
      <c r="AC167" s="19"/>
      <c r="AD167" s="19"/>
      <c r="AE167" s="19"/>
      <c r="AF167" s="19"/>
      <c r="AG167" s="19"/>
    </row>
    <row r="168" ht="22.5" customHeight="1">
      <c r="A168" s="13">
        <v>45903.89924355324</v>
      </c>
      <c r="B168" s="21">
        <v>45903.0</v>
      </c>
      <c r="C168" s="11" t="s">
        <v>704</v>
      </c>
      <c r="D168" s="11" t="s">
        <v>705</v>
      </c>
      <c r="E168" s="11" t="s">
        <v>43</v>
      </c>
      <c r="F168" s="11">
        <v>3000000.0</v>
      </c>
      <c r="G168" s="11" t="s">
        <v>23</v>
      </c>
      <c r="H168" s="18"/>
      <c r="I168" s="11" t="s">
        <v>229</v>
      </c>
      <c r="J168" s="11" t="s">
        <v>262</v>
      </c>
      <c r="K168" s="16" t="s">
        <v>706</v>
      </c>
      <c r="L168" s="11" t="s">
        <v>252</v>
      </c>
      <c r="M168" s="18"/>
      <c r="N168" s="18"/>
      <c r="O168" s="11" t="s">
        <v>257</v>
      </c>
      <c r="P168" s="11" t="s">
        <v>258</v>
      </c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9"/>
      <c r="AC168" s="19"/>
      <c r="AD168" s="19"/>
      <c r="AE168" s="19"/>
      <c r="AF168" s="19"/>
      <c r="AG168" s="19"/>
    </row>
    <row r="169" ht="22.5" customHeight="1">
      <c r="A169" s="13">
        <v>45904.29015302083</v>
      </c>
      <c r="B169" s="21">
        <v>45904.0</v>
      </c>
      <c r="C169" s="11" t="s">
        <v>707</v>
      </c>
      <c r="D169" s="15" t="s">
        <v>708</v>
      </c>
      <c r="E169" s="11" t="s">
        <v>43</v>
      </c>
      <c r="F169" s="11">
        <v>2000000.0</v>
      </c>
      <c r="G169" s="11" t="s">
        <v>23</v>
      </c>
      <c r="H169" s="11">
        <v>3000000.0</v>
      </c>
      <c r="I169" s="11" t="s">
        <v>413</v>
      </c>
      <c r="J169" s="18"/>
      <c r="K169" s="16" t="s">
        <v>709</v>
      </c>
      <c r="L169" s="11" t="s">
        <v>202</v>
      </c>
      <c r="M169" s="11" t="s">
        <v>435</v>
      </c>
      <c r="N169" s="11" t="s">
        <v>215</v>
      </c>
      <c r="O169" s="18"/>
      <c r="P169" s="18"/>
      <c r="Q169" s="18"/>
      <c r="R169" s="18"/>
      <c r="S169" s="18"/>
      <c r="T169" s="18"/>
      <c r="U169" s="18"/>
      <c r="V169" s="18"/>
      <c r="W169" s="11" t="s">
        <v>216</v>
      </c>
      <c r="X169" s="18"/>
      <c r="Y169" s="18"/>
      <c r="Z169" s="18"/>
      <c r="AA169" s="18"/>
      <c r="AB169" s="19"/>
      <c r="AC169" s="19"/>
      <c r="AD169" s="19"/>
      <c r="AE169" s="19"/>
      <c r="AF169" s="19"/>
      <c r="AG169" s="19"/>
    </row>
    <row r="170" ht="22.5" customHeight="1">
      <c r="A170" s="13">
        <v>45904.415776458336</v>
      </c>
      <c r="B170" s="21">
        <v>45904.0</v>
      </c>
      <c r="C170" s="11" t="s">
        <v>710</v>
      </c>
      <c r="D170" s="15" t="s">
        <v>711</v>
      </c>
      <c r="E170" s="11" t="s">
        <v>288</v>
      </c>
      <c r="F170" s="11">
        <v>1.0E7</v>
      </c>
      <c r="G170" s="11" t="s">
        <v>23</v>
      </c>
      <c r="H170" s="18"/>
      <c r="I170" s="11" t="s">
        <v>229</v>
      </c>
      <c r="J170" s="11" t="s">
        <v>250</v>
      </c>
      <c r="K170" s="16" t="s">
        <v>712</v>
      </c>
      <c r="L170" s="11" t="s">
        <v>252</v>
      </c>
      <c r="M170" s="18"/>
      <c r="N170" s="18"/>
      <c r="O170" s="11" t="s">
        <v>257</v>
      </c>
      <c r="P170" s="11" t="s">
        <v>285</v>
      </c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9"/>
      <c r="AC170" s="19"/>
      <c r="AD170" s="19"/>
      <c r="AE170" s="19"/>
      <c r="AF170" s="19"/>
      <c r="AG170" s="19"/>
    </row>
    <row r="171" ht="22.5" customHeight="1">
      <c r="A171" s="13">
        <v>45904.4572217824</v>
      </c>
      <c r="B171" s="21">
        <v>45904.0</v>
      </c>
      <c r="C171" s="11" t="s">
        <v>713</v>
      </c>
      <c r="D171" s="15" t="s">
        <v>714</v>
      </c>
      <c r="E171" s="11" t="s">
        <v>43</v>
      </c>
      <c r="F171" s="11">
        <v>8200000.0</v>
      </c>
      <c r="G171" s="11" t="s">
        <v>23</v>
      </c>
      <c r="H171" s="11">
        <v>3000000.0</v>
      </c>
      <c r="I171" s="11" t="s">
        <v>200</v>
      </c>
      <c r="J171" s="18"/>
      <c r="K171" s="16" t="s">
        <v>715</v>
      </c>
      <c r="L171" s="11" t="s">
        <v>252</v>
      </c>
      <c r="M171" s="11" t="s">
        <v>203</v>
      </c>
      <c r="N171" s="18"/>
      <c r="O171" s="11" t="s">
        <v>205</v>
      </c>
      <c r="P171" s="18"/>
      <c r="Q171" s="18"/>
      <c r="R171" s="18"/>
      <c r="S171" s="18"/>
      <c r="T171" s="18"/>
      <c r="U171" s="18"/>
      <c r="V171" s="18"/>
      <c r="W171" s="18"/>
      <c r="X171" s="11" t="s">
        <v>716</v>
      </c>
      <c r="Y171" s="18"/>
      <c r="Z171" s="18"/>
      <c r="AA171" s="18"/>
      <c r="AB171" s="19"/>
      <c r="AC171" s="19"/>
      <c r="AD171" s="19"/>
      <c r="AE171" s="19"/>
      <c r="AF171" s="19"/>
      <c r="AG171" s="19"/>
    </row>
    <row r="172" ht="22.5" customHeight="1">
      <c r="A172" s="13">
        <v>45904.487522951385</v>
      </c>
      <c r="B172" s="21">
        <v>45904.0</v>
      </c>
      <c r="C172" s="11" t="s">
        <v>717</v>
      </c>
      <c r="D172" s="15" t="s">
        <v>718</v>
      </c>
      <c r="E172" s="11" t="s">
        <v>288</v>
      </c>
      <c r="F172" s="11">
        <v>6300000.0</v>
      </c>
      <c r="G172" s="11" t="s">
        <v>23</v>
      </c>
      <c r="H172" s="18"/>
      <c r="I172" s="11" t="s">
        <v>229</v>
      </c>
      <c r="J172" s="11" t="s">
        <v>719</v>
      </c>
      <c r="K172" s="16" t="s">
        <v>720</v>
      </c>
      <c r="L172" s="11" t="s">
        <v>202</v>
      </c>
      <c r="M172" s="18"/>
      <c r="N172" s="11" t="s">
        <v>667</v>
      </c>
      <c r="O172" s="18"/>
      <c r="P172" s="18"/>
      <c r="Q172" s="18"/>
      <c r="R172" s="18"/>
      <c r="S172" s="18"/>
      <c r="T172" s="18"/>
      <c r="U172" s="11" t="s">
        <v>668</v>
      </c>
      <c r="V172" s="18"/>
      <c r="W172" s="18"/>
      <c r="X172" s="18"/>
      <c r="Y172" s="18"/>
      <c r="Z172" s="18"/>
      <c r="AA172" s="18"/>
      <c r="AB172" s="19"/>
      <c r="AC172" s="19"/>
      <c r="AD172" s="19"/>
      <c r="AE172" s="19"/>
      <c r="AF172" s="19"/>
      <c r="AG172" s="19"/>
    </row>
    <row r="173" ht="22.5" customHeight="1">
      <c r="A173" s="13">
        <v>45904.49424891204</v>
      </c>
      <c r="B173" s="21">
        <v>45904.0</v>
      </c>
      <c r="C173" s="11" t="s">
        <v>721</v>
      </c>
      <c r="D173" s="15" t="s">
        <v>722</v>
      </c>
      <c r="E173" s="11" t="s">
        <v>199</v>
      </c>
      <c r="F173" s="11">
        <v>6100000.0</v>
      </c>
      <c r="G173" s="11" t="s">
        <v>23</v>
      </c>
      <c r="H173" s="18"/>
      <c r="I173" s="11" t="s">
        <v>229</v>
      </c>
      <c r="J173" s="11" t="s">
        <v>24</v>
      </c>
      <c r="K173" s="16" t="s">
        <v>723</v>
      </c>
      <c r="L173" s="11" t="s">
        <v>202</v>
      </c>
      <c r="M173" s="18"/>
      <c r="N173" s="11" t="s">
        <v>313</v>
      </c>
      <c r="O173" s="18"/>
      <c r="P173" s="18"/>
      <c r="Q173" s="18"/>
      <c r="R173" s="18"/>
      <c r="S173" s="18"/>
      <c r="T173" s="11" t="s">
        <v>329</v>
      </c>
      <c r="U173" s="18"/>
      <c r="V173" s="18"/>
      <c r="W173" s="18"/>
      <c r="X173" s="18"/>
      <c r="Y173" s="18"/>
      <c r="Z173" s="18"/>
      <c r="AA173" s="18"/>
      <c r="AB173" s="19"/>
      <c r="AC173" s="19"/>
      <c r="AD173" s="19"/>
      <c r="AE173" s="19"/>
      <c r="AF173" s="19"/>
      <c r="AG173" s="19"/>
    </row>
    <row r="174" ht="22.5" customHeight="1">
      <c r="A174" s="13">
        <v>45904.496218472224</v>
      </c>
      <c r="B174" s="21">
        <v>45904.0</v>
      </c>
      <c r="C174" s="11" t="s">
        <v>724</v>
      </c>
      <c r="D174" s="15" t="s">
        <v>725</v>
      </c>
      <c r="E174" s="11" t="s">
        <v>31</v>
      </c>
      <c r="F174" s="11">
        <v>4600000.0</v>
      </c>
      <c r="G174" s="11" t="s">
        <v>23</v>
      </c>
      <c r="H174" s="18"/>
      <c r="I174" s="11" t="s">
        <v>229</v>
      </c>
      <c r="J174" s="11" t="s">
        <v>24</v>
      </c>
      <c r="K174" s="16" t="s">
        <v>726</v>
      </c>
      <c r="L174" s="11" t="s">
        <v>202</v>
      </c>
      <c r="M174" s="18"/>
      <c r="N174" s="11" t="s">
        <v>313</v>
      </c>
      <c r="O174" s="18"/>
      <c r="P174" s="18"/>
      <c r="Q174" s="18"/>
      <c r="R174" s="18"/>
      <c r="S174" s="18"/>
      <c r="T174" s="11" t="s">
        <v>329</v>
      </c>
      <c r="U174" s="18"/>
      <c r="V174" s="18"/>
      <c r="W174" s="18"/>
      <c r="X174" s="18"/>
      <c r="Y174" s="18"/>
      <c r="Z174" s="18"/>
      <c r="AA174" s="18"/>
      <c r="AB174" s="19"/>
      <c r="AC174" s="19"/>
      <c r="AD174" s="19"/>
      <c r="AE174" s="19"/>
      <c r="AF174" s="19"/>
      <c r="AG174" s="19"/>
    </row>
    <row r="175" ht="22.5" customHeight="1">
      <c r="A175" s="13">
        <v>45904.49939045139</v>
      </c>
      <c r="B175" s="21">
        <v>45904.0</v>
      </c>
      <c r="C175" s="11" t="s">
        <v>727</v>
      </c>
      <c r="D175" s="15" t="s">
        <v>728</v>
      </c>
      <c r="E175" s="11" t="s">
        <v>43</v>
      </c>
      <c r="F175" s="11">
        <v>5000000.0</v>
      </c>
      <c r="G175" s="11" t="s">
        <v>23</v>
      </c>
      <c r="H175" s="18"/>
      <c r="I175" s="11" t="s">
        <v>229</v>
      </c>
      <c r="J175" s="11" t="s">
        <v>266</v>
      </c>
      <c r="K175" s="16" t="s">
        <v>729</v>
      </c>
      <c r="L175" s="11" t="s">
        <v>252</v>
      </c>
      <c r="M175" s="18"/>
      <c r="N175" s="18"/>
      <c r="O175" s="11" t="s">
        <v>257</v>
      </c>
      <c r="P175" s="11" t="s">
        <v>258</v>
      </c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9"/>
      <c r="AC175" s="19"/>
      <c r="AD175" s="19"/>
      <c r="AE175" s="19"/>
      <c r="AF175" s="19"/>
      <c r="AG175" s="19"/>
    </row>
    <row r="176" ht="22.5" customHeight="1">
      <c r="A176" s="13">
        <v>45904.50455498842</v>
      </c>
      <c r="B176" s="21">
        <v>45904.0</v>
      </c>
      <c r="C176" s="11" t="s">
        <v>730</v>
      </c>
      <c r="D176" s="15" t="s">
        <v>731</v>
      </c>
      <c r="E176" s="11" t="s">
        <v>43</v>
      </c>
      <c r="F176" s="11">
        <v>9000000.0</v>
      </c>
      <c r="G176" s="11" t="s">
        <v>23</v>
      </c>
      <c r="H176" s="18"/>
      <c r="I176" s="11" t="s">
        <v>229</v>
      </c>
      <c r="J176" s="11" t="s">
        <v>732</v>
      </c>
      <c r="K176" s="16" t="s">
        <v>733</v>
      </c>
      <c r="L176" s="11" t="s">
        <v>252</v>
      </c>
      <c r="M176" s="18"/>
      <c r="N176" s="18"/>
      <c r="O176" s="11" t="s">
        <v>205</v>
      </c>
      <c r="P176" s="18"/>
      <c r="Q176" s="18"/>
      <c r="R176" s="18"/>
      <c r="S176" s="18"/>
      <c r="T176" s="18"/>
      <c r="U176" s="18"/>
      <c r="V176" s="18"/>
      <c r="W176" s="18"/>
      <c r="X176" s="11" t="s">
        <v>253</v>
      </c>
      <c r="Y176" s="18"/>
      <c r="Z176" s="18"/>
      <c r="AA176" s="18"/>
      <c r="AB176" s="19"/>
      <c r="AC176" s="19"/>
      <c r="AD176" s="19"/>
      <c r="AE176" s="19"/>
      <c r="AF176" s="19"/>
      <c r="AG176" s="19"/>
    </row>
    <row r="177" ht="22.5" customHeight="1">
      <c r="A177" s="13">
        <v>45904.512712662035</v>
      </c>
      <c r="B177" s="21">
        <v>45904.0</v>
      </c>
      <c r="C177" s="11" t="s">
        <v>734</v>
      </c>
      <c r="D177" s="15" t="s">
        <v>735</v>
      </c>
      <c r="E177" s="11" t="s">
        <v>43</v>
      </c>
      <c r="F177" s="11">
        <v>3000000.0</v>
      </c>
      <c r="G177" s="11" t="s">
        <v>23</v>
      </c>
      <c r="H177" s="18"/>
      <c r="I177" s="11" t="s">
        <v>229</v>
      </c>
      <c r="J177" s="11" t="s">
        <v>339</v>
      </c>
      <c r="K177" s="16" t="s">
        <v>736</v>
      </c>
      <c r="L177" s="11" t="s">
        <v>252</v>
      </c>
      <c r="M177" s="18"/>
      <c r="N177" s="18"/>
      <c r="O177" s="11" t="s">
        <v>257</v>
      </c>
      <c r="P177" s="11" t="s">
        <v>258</v>
      </c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9"/>
      <c r="AC177" s="19"/>
      <c r="AD177" s="19"/>
      <c r="AE177" s="19"/>
      <c r="AF177" s="19"/>
      <c r="AG177" s="19"/>
    </row>
    <row r="178" ht="22.5" customHeight="1">
      <c r="A178" s="13">
        <v>45904.54816824074</v>
      </c>
      <c r="B178" s="21">
        <v>45904.0</v>
      </c>
      <c r="C178" s="11" t="s">
        <v>737</v>
      </c>
      <c r="D178" s="15" t="s">
        <v>738</v>
      </c>
      <c r="E178" s="11" t="s">
        <v>288</v>
      </c>
      <c r="F178" s="23">
        <v>3100000.0</v>
      </c>
      <c r="G178" s="11" t="s">
        <v>23</v>
      </c>
      <c r="H178" s="18"/>
      <c r="I178" s="11" t="s">
        <v>229</v>
      </c>
      <c r="J178" s="11" t="s">
        <v>165</v>
      </c>
      <c r="K178" s="16" t="s">
        <v>739</v>
      </c>
      <c r="L178" s="11" t="s">
        <v>202</v>
      </c>
      <c r="M178" s="18"/>
      <c r="N178" s="11" t="s">
        <v>204</v>
      </c>
      <c r="O178" s="18"/>
      <c r="P178" s="18"/>
      <c r="Q178" s="18"/>
      <c r="R178" s="11" t="s">
        <v>167</v>
      </c>
      <c r="S178" s="18"/>
      <c r="T178" s="18"/>
      <c r="U178" s="18"/>
      <c r="V178" s="18"/>
      <c r="W178" s="18"/>
      <c r="X178" s="18"/>
      <c r="Y178" s="18"/>
      <c r="Z178" s="18"/>
      <c r="AA178" s="18"/>
      <c r="AB178" s="19"/>
      <c r="AC178" s="19"/>
      <c r="AD178" s="19"/>
      <c r="AE178" s="19"/>
      <c r="AF178" s="19"/>
      <c r="AG178" s="19"/>
    </row>
    <row r="179" ht="22.5" customHeight="1">
      <c r="A179" s="13">
        <v>45904.55295193287</v>
      </c>
      <c r="B179" s="21">
        <v>45904.0</v>
      </c>
      <c r="C179" s="11" t="s">
        <v>740</v>
      </c>
      <c r="D179" s="15" t="s">
        <v>741</v>
      </c>
      <c r="E179" s="11" t="s">
        <v>239</v>
      </c>
      <c r="F179" s="11">
        <v>100000.0</v>
      </c>
      <c r="G179" s="11" t="s">
        <v>23</v>
      </c>
      <c r="H179" s="18"/>
      <c r="I179" s="11" t="s">
        <v>229</v>
      </c>
      <c r="J179" s="11" t="s">
        <v>358</v>
      </c>
      <c r="K179" s="16" t="s">
        <v>742</v>
      </c>
      <c r="L179" s="11" t="s">
        <v>202</v>
      </c>
      <c r="M179" s="18"/>
      <c r="N179" s="11" t="s">
        <v>204</v>
      </c>
      <c r="O179" s="18"/>
      <c r="P179" s="18"/>
      <c r="Q179" s="18"/>
      <c r="R179" s="11" t="s">
        <v>360</v>
      </c>
      <c r="S179" s="18"/>
      <c r="T179" s="18"/>
      <c r="U179" s="18"/>
      <c r="V179" s="18"/>
      <c r="W179" s="18"/>
      <c r="X179" s="18"/>
      <c r="Y179" s="18"/>
      <c r="Z179" s="18"/>
      <c r="AA179" s="18"/>
      <c r="AB179" s="19"/>
      <c r="AC179" s="19"/>
      <c r="AD179" s="19"/>
      <c r="AE179" s="19"/>
      <c r="AF179" s="19"/>
      <c r="AG179" s="19"/>
    </row>
    <row r="180" ht="22.5" customHeight="1">
      <c r="A180" s="13">
        <v>45904.564909803245</v>
      </c>
      <c r="B180" s="21">
        <v>45904.0</v>
      </c>
      <c r="C180" s="11" t="s">
        <v>743</v>
      </c>
      <c r="D180" s="11" t="s">
        <v>744</v>
      </c>
      <c r="E180" s="11" t="s">
        <v>43</v>
      </c>
      <c r="F180" s="23">
        <v>3500.0</v>
      </c>
      <c r="G180" s="11" t="s">
        <v>23</v>
      </c>
      <c r="H180" s="18"/>
      <c r="I180" s="11" t="s">
        <v>229</v>
      </c>
      <c r="J180" s="11" t="s">
        <v>745</v>
      </c>
      <c r="K180" s="16" t="s">
        <v>746</v>
      </c>
      <c r="L180" s="11" t="s">
        <v>202</v>
      </c>
      <c r="M180" s="18"/>
      <c r="N180" s="11" t="s">
        <v>204</v>
      </c>
      <c r="O180" s="18"/>
      <c r="P180" s="18"/>
      <c r="Q180" s="18"/>
      <c r="R180" s="11" t="s">
        <v>171</v>
      </c>
      <c r="S180" s="18"/>
      <c r="T180" s="18"/>
      <c r="U180" s="18"/>
      <c r="V180" s="18"/>
      <c r="W180" s="18"/>
      <c r="X180" s="18"/>
      <c r="Y180" s="18"/>
      <c r="Z180" s="18"/>
      <c r="AA180" s="18"/>
      <c r="AB180" s="19"/>
      <c r="AC180" s="19"/>
      <c r="AD180" s="19"/>
      <c r="AE180" s="19"/>
      <c r="AF180" s="19"/>
      <c r="AG180" s="19"/>
    </row>
    <row r="181" ht="22.5" customHeight="1">
      <c r="A181" s="13">
        <v>45904.58407351852</v>
      </c>
      <c r="B181" s="21">
        <v>45904.0</v>
      </c>
      <c r="C181" s="11" t="s">
        <v>747</v>
      </c>
      <c r="D181" s="15" t="s">
        <v>748</v>
      </c>
      <c r="E181" s="11" t="s">
        <v>31</v>
      </c>
      <c r="F181" s="11">
        <v>4300000.0</v>
      </c>
      <c r="G181" s="11" t="s">
        <v>23</v>
      </c>
      <c r="H181" s="18"/>
      <c r="I181" s="11" t="s">
        <v>229</v>
      </c>
      <c r="J181" s="11" t="s">
        <v>25</v>
      </c>
      <c r="K181" s="16" t="s">
        <v>749</v>
      </c>
      <c r="L181" s="11" t="s">
        <v>202</v>
      </c>
      <c r="M181" s="18"/>
      <c r="N181" s="11" t="s">
        <v>220</v>
      </c>
      <c r="O181" s="18"/>
      <c r="P181" s="18"/>
      <c r="Q181" s="18"/>
      <c r="R181" s="18"/>
      <c r="S181" s="11" t="s">
        <v>124</v>
      </c>
      <c r="T181" s="18"/>
      <c r="U181" s="18"/>
      <c r="V181" s="18"/>
      <c r="W181" s="18"/>
      <c r="X181" s="18"/>
      <c r="Y181" s="18"/>
      <c r="Z181" s="18"/>
      <c r="AA181" s="18"/>
      <c r="AB181" s="19"/>
      <c r="AC181" s="19"/>
      <c r="AD181" s="19"/>
      <c r="AE181" s="19"/>
      <c r="AF181" s="19"/>
      <c r="AG181" s="19"/>
    </row>
    <row r="182" ht="22.5" customHeight="1">
      <c r="A182" s="13">
        <v>45904.59941476852</v>
      </c>
      <c r="B182" s="21">
        <v>45904.0</v>
      </c>
      <c r="C182" s="11" t="s">
        <v>750</v>
      </c>
      <c r="D182" s="15" t="s">
        <v>751</v>
      </c>
      <c r="E182" s="11" t="s">
        <v>31</v>
      </c>
      <c r="F182" s="11">
        <v>6200000.0</v>
      </c>
      <c r="G182" s="11" t="s">
        <v>23</v>
      </c>
      <c r="H182" s="11">
        <v>7000000.0</v>
      </c>
      <c r="I182" s="11" t="s">
        <v>200</v>
      </c>
      <c r="J182" s="18"/>
      <c r="K182" s="16" t="s">
        <v>752</v>
      </c>
      <c r="L182" s="11" t="s">
        <v>202</v>
      </c>
      <c r="M182" s="11" t="s">
        <v>383</v>
      </c>
      <c r="N182" s="11" t="s">
        <v>220</v>
      </c>
      <c r="O182" s="18"/>
      <c r="P182" s="18"/>
      <c r="Q182" s="18"/>
      <c r="R182" s="18"/>
      <c r="S182" s="11" t="s">
        <v>83</v>
      </c>
      <c r="T182" s="18"/>
      <c r="U182" s="18"/>
      <c r="V182" s="18"/>
      <c r="W182" s="18"/>
      <c r="X182" s="18"/>
      <c r="Y182" s="18"/>
      <c r="Z182" s="18"/>
      <c r="AA182" s="18"/>
      <c r="AB182" s="19"/>
      <c r="AC182" s="19"/>
      <c r="AD182" s="19"/>
      <c r="AE182" s="19"/>
      <c r="AF182" s="19"/>
      <c r="AG182" s="19"/>
    </row>
    <row r="183" ht="22.5" customHeight="1">
      <c r="A183" s="13">
        <v>45904.607501192135</v>
      </c>
      <c r="B183" s="21">
        <v>45904.0</v>
      </c>
      <c r="C183" s="11" t="s">
        <v>753</v>
      </c>
      <c r="D183" s="15" t="s">
        <v>754</v>
      </c>
      <c r="E183" s="11" t="s">
        <v>43</v>
      </c>
      <c r="F183" s="11">
        <v>3500000.0</v>
      </c>
      <c r="G183" s="11" t="s">
        <v>23</v>
      </c>
      <c r="H183" s="11">
        <v>3000000.0</v>
      </c>
      <c r="I183" s="11" t="s">
        <v>200</v>
      </c>
      <c r="J183" s="18"/>
      <c r="K183" s="16" t="s">
        <v>755</v>
      </c>
      <c r="L183" s="11" t="s">
        <v>252</v>
      </c>
      <c r="M183" s="11" t="s">
        <v>203</v>
      </c>
      <c r="N183" s="18"/>
      <c r="O183" s="11" t="s">
        <v>257</v>
      </c>
      <c r="P183" s="11" t="s">
        <v>206</v>
      </c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9"/>
      <c r="AC183" s="19"/>
      <c r="AD183" s="19"/>
      <c r="AE183" s="19"/>
      <c r="AF183" s="19"/>
      <c r="AG183" s="19"/>
    </row>
    <row r="184" ht="22.5" customHeight="1">
      <c r="A184" s="13">
        <v>45904.60835954861</v>
      </c>
      <c r="B184" s="21">
        <v>45904.0</v>
      </c>
      <c r="C184" s="11" t="s">
        <v>756</v>
      </c>
      <c r="D184" s="15" t="s">
        <v>757</v>
      </c>
      <c r="E184" s="11" t="s">
        <v>43</v>
      </c>
      <c r="F184" s="11">
        <v>3700000.0</v>
      </c>
      <c r="G184" s="11" t="s">
        <v>23</v>
      </c>
      <c r="H184" s="18"/>
      <c r="I184" s="11" t="s">
        <v>229</v>
      </c>
      <c r="J184" s="11" t="s">
        <v>289</v>
      </c>
      <c r="K184" s="16" t="s">
        <v>758</v>
      </c>
      <c r="L184" s="11" t="s">
        <v>202</v>
      </c>
      <c r="M184" s="18"/>
      <c r="N184" s="11" t="s">
        <v>204</v>
      </c>
      <c r="O184" s="18"/>
      <c r="P184" s="18"/>
      <c r="Q184" s="18"/>
      <c r="R184" s="11" t="s">
        <v>207</v>
      </c>
      <c r="S184" s="18"/>
      <c r="T184" s="18"/>
      <c r="U184" s="18"/>
      <c r="V184" s="18"/>
      <c r="W184" s="18"/>
      <c r="X184" s="18"/>
      <c r="Y184" s="18"/>
      <c r="Z184" s="18"/>
      <c r="AA184" s="18"/>
      <c r="AB184" s="19"/>
      <c r="AC184" s="19"/>
      <c r="AD184" s="19"/>
      <c r="AE184" s="19"/>
      <c r="AF184" s="19"/>
      <c r="AG184" s="19"/>
    </row>
    <row r="185" ht="22.5" customHeight="1">
      <c r="A185" s="13">
        <v>45904.61412034722</v>
      </c>
      <c r="B185" s="21">
        <v>45904.0</v>
      </c>
      <c r="C185" s="11" t="s">
        <v>759</v>
      </c>
      <c r="D185" s="15" t="s">
        <v>760</v>
      </c>
      <c r="E185" s="11" t="s">
        <v>199</v>
      </c>
      <c r="F185" s="23">
        <v>4600.0</v>
      </c>
      <c r="G185" s="11" t="s">
        <v>45</v>
      </c>
      <c r="H185" s="18"/>
      <c r="I185" s="11" t="s">
        <v>229</v>
      </c>
      <c r="J185" s="11" t="s">
        <v>464</v>
      </c>
      <c r="K185" s="16" t="s">
        <v>761</v>
      </c>
      <c r="L185" s="11" t="s">
        <v>202</v>
      </c>
      <c r="M185" s="18"/>
      <c r="N185" s="11" t="s">
        <v>204</v>
      </c>
      <c r="O185" s="18"/>
      <c r="P185" s="18"/>
      <c r="Q185" s="18"/>
      <c r="R185" s="11" t="s">
        <v>171</v>
      </c>
      <c r="S185" s="18"/>
      <c r="T185" s="18"/>
      <c r="U185" s="18"/>
      <c r="V185" s="18"/>
      <c r="W185" s="18"/>
      <c r="X185" s="18"/>
      <c r="Y185" s="18"/>
      <c r="Z185" s="18"/>
      <c r="AA185" s="18"/>
      <c r="AB185" s="19"/>
      <c r="AC185" s="19"/>
      <c r="AD185" s="19"/>
      <c r="AE185" s="19"/>
      <c r="AF185" s="19"/>
      <c r="AG185" s="19"/>
    </row>
    <row r="186" ht="22.5" customHeight="1">
      <c r="A186" s="13">
        <v>45904.61562667824</v>
      </c>
      <c r="B186" s="21">
        <v>45904.0</v>
      </c>
      <c r="C186" s="11" t="s">
        <v>762</v>
      </c>
      <c r="D186" s="15" t="s">
        <v>763</v>
      </c>
      <c r="E186" s="11" t="s">
        <v>43</v>
      </c>
      <c r="F186" s="11">
        <v>5300000.0</v>
      </c>
      <c r="G186" s="11" t="s">
        <v>23</v>
      </c>
      <c r="H186" s="18"/>
      <c r="I186" s="11" t="s">
        <v>229</v>
      </c>
      <c r="J186" s="11" t="s">
        <v>327</v>
      </c>
      <c r="K186" s="16" t="s">
        <v>764</v>
      </c>
      <c r="L186" s="11" t="s">
        <v>202</v>
      </c>
      <c r="M186" s="18"/>
      <c r="N186" s="11" t="s">
        <v>204</v>
      </c>
      <c r="O186" s="18"/>
      <c r="P186" s="18"/>
      <c r="Q186" s="18"/>
      <c r="R186" s="11" t="s">
        <v>98</v>
      </c>
      <c r="S186" s="18"/>
      <c r="T186" s="18"/>
      <c r="U186" s="18"/>
      <c r="V186" s="18"/>
      <c r="W186" s="18"/>
      <c r="X186" s="18"/>
      <c r="Y186" s="18"/>
      <c r="Z186" s="18"/>
      <c r="AA186" s="18"/>
      <c r="AB186" s="19"/>
      <c r="AC186" s="19"/>
      <c r="AD186" s="19"/>
      <c r="AE186" s="19"/>
      <c r="AF186" s="19"/>
      <c r="AG186" s="19"/>
    </row>
    <row r="187" ht="22.5" customHeight="1">
      <c r="A187" s="13">
        <v>45904.61601219907</v>
      </c>
      <c r="B187" s="21">
        <v>45904.0</v>
      </c>
      <c r="C187" s="11" t="s">
        <v>765</v>
      </c>
      <c r="D187" s="15" t="s">
        <v>766</v>
      </c>
      <c r="E187" s="11" t="s">
        <v>43</v>
      </c>
      <c r="F187" s="11">
        <v>4000000.0</v>
      </c>
      <c r="G187" s="11" t="s">
        <v>23</v>
      </c>
      <c r="H187" s="18"/>
      <c r="I187" s="11" t="s">
        <v>229</v>
      </c>
      <c r="J187" s="11" t="s">
        <v>464</v>
      </c>
      <c r="K187" s="16" t="s">
        <v>767</v>
      </c>
      <c r="L187" s="11" t="s">
        <v>202</v>
      </c>
      <c r="M187" s="18"/>
      <c r="N187" s="11" t="s">
        <v>220</v>
      </c>
      <c r="O187" s="18"/>
      <c r="P187" s="18"/>
      <c r="Q187" s="18"/>
      <c r="R187" s="18"/>
      <c r="S187" s="11" t="s">
        <v>466</v>
      </c>
      <c r="T187" s="18"/>
      <c r="U187" s="18"/>
      <c r="V187" s="18"/>
      <c r="W187" s="18"/>
      <c r="X187" s="18"/>
      <c r="Y187" s="18"/>
      <c r="Z187" s="18"/>
      <c r="AA187" s="18"/>
      <c r="AB187" s="19"/>
      <c r="AC187" s="19"/>
      <c r="AD187" s="19"/>
      <c r="AE187" s="19"/>
      <c r="AF187" s="19"/>
      <c r="AG187" s="19"/>
    </row>
    <row r="188" ht="22.5" customHeight="1">
      <c r="A188" s="13">
        <v>45904.61636383102</v>
      </c>
      <c r="B188" s="21">
        <v>45904.0</v>
      </c>
      <c r="C188" s="11" t="s">
        <v>768</v>
      </c>
      <c r="D188" s="15" t="s">
        <v>769</v>
      </c>
      <c r="E188" s="11" t="s">
        <v>770</v>
      </c>
      <c r="F188" s="23">
        <v>2400.0</v>
      </c>
      <c r="G188" s="11" t="s">
        <v>23</v>
      </c>
      <c r="H188" s="18"/>
      <c r="I188" s="11" t="s">
        <v>229</v>
      </c>
      <c r="J188" s="11" t="s">
        <v>464</v>
      </c>
      <c r="K188" s="16" t="s">
        <v>771</v>
      </c>
      <c r="L188" s="11" t="s">
        <v>202</v>
      </c>
      <c r="M188" s="18"/>
      <c r="N188" s="11" t="s">
        <v>204</v>
      </c>
      <c r="O188" s="18"/>
      <c r="P188" s="18"/>
      <c r="Q188" s="18"/>
      <c r="R188" s="11" t="s">
        <v>171</v>
      </c>
      <c r="S188" s="18"/>
      <c r="T188" s="18"/>
      <c r="U188" s="18"/>
      <c r="V188" s="18"/>
      <c r="W188" s="18"/>
      <c r="X188" s="18"/>
      <c r="Y188" s="18"/>
      <c r="Z188" s="18"/>
      <c r="AA188" s="18"/>
      <c r="AB188" s="19"/>
      <c r="AC188" s="19"/>
      <c r="AD188" s="19"/>
      <c r="AE188" s="19"/>
      <c r="AF188" s="19"/>
      <c r="AG188" s="19"/>
    </row>
    <row r="189" ht="22.5" customHeight="1">
      <c r="A189" s="13">
        <v>45904.62128131944</v>
      </c>
      <c r="B189" s="21">
        <v>45904.0</v>
      </c>
      <c r="C189" s="11" t="s">
        <v>772</v>
      </c>
      <c r="D189" s="15" t="s">
        <v>773</v>
      </c>
      <c r="E189" s="11" t="s">
        <v>43</v>
      </c>
      <c r="F189" s="11">
        <v>3200000.0</v>
      </c>
      <c r="G189" s="11" t="s">
        <v>23</v>
      </c>
      <c r="H189" s="11">
        <v>1600000.0</v>
      </c>
      <c r="I189" s="11" t="s">
        <v>413</v>
      </c>
      <c r="J189" s="18"/>
      <c r="K189" s="16" t="s">
        <v>774</v>
      </c>
      <c r="L189" s="11" t="s">
        <v>202</v>
      </c>
      <c r="M189" s="11" t="s">
        <v>203</v>
      </c>
      <c r="N189" s="11" t="s">
        <v>204</v>
      </c>
      <c r="O189" s="18"/>
      <c r="P189" s="18"/>
      <c r="Q189" s="18"/>
      <c r="R189" s="11" t="s">
        <v>207</v>
      </c>
      <c r="S189" s="18"/>
      <c r="T189" s="18"/>
      <c r="U189" s="18"/>
      <c r="V189" s="18"/>
      <c r="W189" s="18"/>
      <c r="X189" s="18"/>
      <c r="Y189" s="18"/>
      <c r="Z189" s="18"/>
      <c r="AA189" s="18"/>
      <c r="AB189" s="19"/>
      <c r="AC189" s="19"/>
      <c r="AD189" s="19"/>
      <c r="AE189" s="19"/>
      <c r="AF189" s="19"/>
      <c r="AG189" s="19"/>
    </row>
    <row r="190" ht="22.5" customHeight="1">
      <c r="A190" s="13">
        <v>45904.66179884259</v>
      </c>
      <c r="B190" s="21">
        <v>45904.0</v>
      </c>
      <c r="C190" s="11" t="s">
        <v>775</v>
      </c>
      <c r="D190" s="15" t="s">
        <v>776</v>
      </c>
      <c r="E190" s="11" t="s">
        <v>43</v>
      </c>
      <c r="F190" s="11">
        <v>4500000.0</v>
      </c>
      <c r="G190" s="11" t="s">
        <v>23</v>
      </c>
      <c r="H190" s="18"/>
      <c r="I190" s="11" t="s">
        <v>229</v>
      </c>
      <c r="J190" s="11" t="s">
        <v>464</v>
      </c>
      <c r="K190" s="16" t="s">
        <v>777</v>
      </c>
      <c r="L190" s="11" t="s">
        <v>202</v>
      </c>
      <c r="M190" s="18"/>
      <c r="N190" s="11" t="s">
        <v>220</v>
      </c>
      <c r="O190" s="18"/>
      <c r="P190" s="18"/>
      <c r="Q190" s="18"/>
      <c r="R190" s="18"/>
      <c r="S190" s="11" t="s">
        <v>466</v>
      </c>
      <c r="T190" s="18"/>
      <c r="U190" s="18"/>
      <c r="V190" s="18"/>
      <c r="W190" s="18"/>
      <c r="X190" s="18"/>
      <c r="Y190" s="18"/>
      <c r="Z190" s="18"/>
      <c r="AA190" s="18"/>
      <c r="AB190" s="19"/>
      <c r="AC190" s="19"/>
      <c r="AD190" s="19"/>
      <c r="AE190" s="19"/>
      <c r="AF190" s="19"/>
      <c r="AG190" s="19"/>
    </row>
    <row r="191" ht="22.5" customHeight="1">
      <c r="A191" s="13">
        <v>45904.664916875</v>
      </c>
      <c r="B191" s="21">
        <v>45904.0</v>
      </c>
      <c r="C191" s="11" t="s">
        <v>778</v>
      </c>
      <c r="D191" s="15" t="s">
        <v>779</v>
      </c>
      <c r="E191" s="11" t="s">
        <v>780</v>
      </c>
      <c r="F191" s="11">
        <v>4500000.0</v>
      </c>
      <c r="G191" s="11" t="s">
        <v>23</v>
      </c>
      <c r="H191" s="11">
        <v>7000000.0</v>
      </c>
      <c r="I191" s="11" t="s">
        <v>413</v>
      </c>
      <c r="J191" s="18"/>
      <c r="K191" s="16" t="s">
        <v>781</v>
      </c>
      <c r="L191" s="11" t="s">
        <v>202</v>
      </c>
      <c r="M191" s="11" t="s">
        <v>203</v>
      </c>
      <c r="N191" s="11" t="s">
        <v>220</v>
      </c>
      <c r="O191" s="18"/>
      <c r="P191" s="18"/>
      <c r="Q191" s="18"/>
      <c r="R191" s="18"/>
      <c r="S191" s="11" t="s">
        <v>59</v>
      </c>
      <c r="T191" s="18"/>
      <c r="U191" s="18"/>
      <c r="V191" s="18"/>
      <c r="W191" s="18"/>
      <c r="X191" s="18"/>
      <c r="Y191" s="18"/>
      <c r="Z191" s="18"/>
      <c r="AA191" s="18"/>
      <c r="AB191" s="19"/>
      <c r="AC191" s="19"/>
      <c r="AD191" s="19"/>
      <c r="AE191" s="19"/>
      <c r="AF191" s="19"/>
      <c r="AG191" s="19"/>
    </row>
    <row r="192" ht="22.5" customHeight="1">
      <c r="A192" s="13">
        <v>45904.67294827546</v>
      </c>
      <c r="B192" s="21">
        <v>45904.0</v>
      </c>
      <c r="C192" s="11" t="s">
        <v>782</v>
      </c>
      <c r="D192" s="15" t="s">
        <v>783</v>
      </c>
      <c r="E192" s="11" t="s">
        <v>784</v>
      </c>
      <c r="F192" s="11">
        <v>3700000.0</v>
      </c>
      <c r="G192" s="11" t="s">
        <v>23</v>
      </c>
      <c r="H192" s="18"/>
      <c r="I192" s="11" t="s">
        <v>229</v>
      </c>
      <c r="J192" s="11" t="s">
        <v>785</v>
      </c>
      <c r="K192" s="16" t="s">
        <v>786</v>
      </c>
      <c r="L192" s="11" t="s">
        <v>202</v>
      </c>
      <c r="M192" s="18"/>
      <c r="N192" s="11" t="s">
        <v>204</v>
      </c>
      <c r="O192" s="18"/>
      <c r="P192" s="18"/>
      <c r="Q192" s="18"/>
      <c r="R192" s="11" t="s">
        <v>90</v>
      </c>
      <c r="S192" s="18"/>
      <c r="T192" s="18"/>
      <c r="U192" s="18"/>
      <c r="V192" s="18"/>
      <c r="W192" s="18"/>
      <c r="X192" s="18"/>
      <c r="Y192" s="18"/>
      <c r="Z192" s="18"/>
      <c r="AA192" s="18"/>
      <c r="AB192" s="19"/>
      <c r="AC192" s="19"/>
      <c r="AD192" s="19"/>
      <c r="AE192" s="19"/>
      <c r="AF192" s="19"/>
      <c r="AG192" s="19"/>
    </row>
    <row r="193" ht="22.5" customHeight="1">
      <c r="A193" s="13">
        <v>45904.675337939814</v>
      </c>
      <c r="B193" s="21">
        <v>45904.0</v>
      </c>
      <c r="C193" s="11" t="s">
        <v>787</v>
      </c>
      <c r="D193" s="15" t="s">
        <v>788</v>
      </c>
      <c r="E193" s="11" t="s">
        <v>31</v>
      </c>
      <c r="F193" s="11">
        <v>8000000.0</v>
      </c>
      <c r="G193" s="11" t="s">
        <v>23</v>
      </c>
      <c r="H193" s="18"/>
      <c r="I193" s="11" t="s">
        <v>229</v>
      </c>
      <c r="J193" s="11" t="s">
        <v>498</v>
      </c>
      <c r="K193" s="16" t="s">
        <v>789</v>
      </c>
      <c r="L193" s="11" t="s">
        <v>202</v>
      </c>
      <c r="M193" s="18"/>
      <c r="N193" s="11" t="s">
        <v>500</v>
      </c>
      <c r="O193" s="18"/>
      <c r="P193" s="18"/>
      <c r="Q193" s="18"/>
      <c r="R193" s="18"/>
      <c r="S193" s="18"/>
      <c r="T193" s="18"/>
      <c r="U193" s="18"/>
      <c r="V193" s="11" t="s">
        <v>501</v>
      </c>
      <c r="W193" s="18"/>
      <c r="X193" s="18"/>
      <c r="Y193" s="18"/>
      <c r="Z193" s="18"/>
      <c r="AA193" s="18"/>
      <c r="AB193" s="19"/>
      <c r="AC193" s="19"/>
      <c r="AD193" s="19"/>
      <c r="AE193" s="19"/>
      <c r="AF193" s="19"/>
      <c r="AG193" s="19"/>
    </row>
    <row r="194" ht="22.5" customHeight="1">
      <c r="A194" s="13">
        <v>45904.68274188657</v>
      </c>
      <c r="B194" s="21">
        <v>45904.0</v>
      </c>
      <c r="C194" s="11" t="s">
        <v>790</v>
      </c>
      <c r="D194" s="15" t="s">
        <v>791</v>
      </c>
      <c r="E194" s="11" t="s">
        <v>43</v>
      </c>
      <c r="F194" s="11">
        <v>2400000.0</v>
      </c>
      <c r="G194" s="11" t="s">
        <v>23</v>
      </c>
      <c r="H194" s="18"/>
      <c r="I194" s="11" t="s">
        <v>229</v>
      </c>
      <c r="J194" s="11" t="s">
        <v>164</v>
      </c>
      <c r="K194" s="16" t="s">
        <v>792</v>
      </c>
      <c r="L194" s="11" t="s">
        <v>252</v>
      </c>
      <c r="M194" s="18"/>
      <c r="N194" s="18"/>
      <c r="O194" s="11" t="s">
        <v>205</v>
      </c>
      <c r="P194" s="18"/>
      <c r="Q194" s="18"/>
      <c r="R194" s="18"/>
      <c r="S194" s="18"/>
      <c r="T194" s="18"/>
      <c r="U194" s="18"/>
      <c r="V194" s="18"/>
      <c r="W194" s="18"/>
      <c r="X194" s="11" t="s">
        <v>452</v>
      </c>
      <c r="Y194" s="18"/>
      <c r="Z194" s="18"/>
      <c r="AA194" s="18"/>
      <c r="AB194" s="19"/>
      <c r="AC194" s="19"/>
      <c r="AD194" s="19"/>
      <c r="AE194" s="19"/>
      <c r="AF194" s="19"/>
      <c r="AG194" s="19"/>
    </row>
    <row r="195" ht="22.5" customHeight="1">
      <c r="A195" s="13">
        <v>45904.69350331018</v>
      </c>
      <c r="B195" s="21">
        <v>45904.0</v>
      </c>
      <c r="C195" s="11" t="s">
        <v>793</v>
      </c>
      <c r="D195" s="15" t="s">
        <v>794</v>
      </c>
      <c r="E195" s="11" t="s">
        <v>795</v>
      </c>
      <c r="F195" s="11">
        <v>1.0E7</v>
      </c>
      <c r="G195" s="11" t="s">
        <v>23</v>
      </c>
      <c r="H195" s="18"/>
      <c r="I195" s="11" t="s">
        <v>229</v>
      </c>
      <c r="J195" s="11" t="s">
        <v>293</v>
      </c>
      <c r="K195" s="16" t="s">
        <v>796</v>
      </c>
      <c r="L195" s="11" t="s">
        <v>252</v>
      </c>
      <c r="M195" s="18"/>
      <c r="N195" s="18"/>
      <c r="O195" s="11" t="s">
        <v>257</v>
      </c>
      <c r="P195" s="11" t="s">
        <v>285</v>
      </c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9"/>
      <c r="AC195" s="19"/>
      <c r="AD195" s="19"/>
      <c r="AE195" s="19"/>
      <c r="AF195" s="19"/>
      <c r="AG195" s="19"/>
    </row>
    <row r="196" ht="22.5" customHeight="1">
      <c r="A196" s="13">
        <v>45904.70378733796</v>
      </c>
      <c r="B196" s="21">
        <v>45904.0</v>
      </c>
      <c r="C196" s="11" t="s">
        <v>797</v>
      </c>
      <c r="D196" s="15" t="s">
        <v>798</v>
      </c>
      <c r="E196" s="11" t="s">
        <v>43</v>
      </c>
      <c r="F196" s="11">
        <v>4000000.0</v>
      </c>
      <c r="G196" s="11" t="s">
        <v>23</v>
      </c>
      <c r="H196" s="11">
        <v>3000000.0</v>
      </c>
      <c r="I196" s="11" t="s">
        <v>413</v>
      </c>
      <c r="J196" s="18"/>
      <c r="K196" s="16" t="s">
        <v>799</v>
      </c>
      <c r="L196" s="11" t="s">
        <v>202</v>
      </c>
      <c r="M196" s="11" t="s">
        <v>383</v>
      </c>
      <c r="N196" s="11" t="s">
        <v>220</v>
      </c>
      <c r="O196" s="18"/>
      <c r="P196" s="18"/>
      <c r="Q196" s="18"/>
      <c r="R196" s="18"/>
      <c r="S196" s="11" t="s">
        <v>466</v>
      </c>
      <c r="T196" s="18"/>
      <c r="U196" s="18"/>
      <c r="V196" s="18"/>
      <c r="W196" s="18"/>
      <c r="X196" s="18"/>
      <c r="Y196" s="18"/>
      <c r="Z196" s="18"/>
      <c r="AA196" s="18"/>
      <c r="AB196" s="19"/>
      <c r="AC196" s="19"/>
      <c r="AD196" s="19"/>
      <c r="AE196" s="19"/>
      <c r="AF196" s="19"/>
      <c r="AG196" s="19"/>
    </row>
    <row r="197" ht="22.5" customHeight="1">
      <c r="A197" s="13">
        <v>45904.706793888894</v>
      </c>
      <c r="B197" s="21">
        <v>45904.0</v>
      </c>
      <c r="C197" s="11" t="s">
        <v>800</v>
      </c>
      <c r="D197" s="15" t="s">
        <v>801</v>
      </c>
      <c r="E197" s="11" t="s">
        <v>199</v>
      </c>
      <c r="F197" s="11">
        <v>3400000.0</v>
      </c>
      <c r="G197" s="11" t="s">
        <v>23</v>
      </c>
      <c r="H197" s="18"/>
      <c r="I197" s="11" t="s">
        <v>229</v>
      </c>
      <c r="J197" s="11" t="s">
        <v>24</v>
      </c>
      <c r="K197" s="16" t="s">
        <v>802</v>
      </c>
      <c r="L197" s="11" t="s">
        <v>202</v>
      </c>
      <c r="M197" s="18"/>
      <c r="N197" s="11" t="s">
        <v>313</v>
      </c>
      <c r="O197" s="18"/>
      <c r="P197" s="18"/>
      <c r="Q197" s="18"/>
      <c r="R197" s="18"/>
      <c r="S197" s="18"/>
      <c r="T197" s="11" t="s">
        <v>314</v>
      </c>
      <c r="U197" s="18"/>
      <c r="V197" s="18"/>
      <c r="W197" s="18"/>
      <c r="X197" s="18"/>
      <c r="Y197" s="18"/>
      <c r="Z197" s="18"/>
      <c r="AA197" s="18"/>
      <c r="AB197" s="19"/>
      <c r="AC197" s="19"/>
      <c r="AD197" s="19"/>
      <c r="AE197" s="19"/>
      <c r="AF197" s="19"/>
      <c r="AG197" s="19"/>
    </row>
    <row r="198" ht="22.5" customHeight="1">
      <c r="A198" s="13">
        <v>45904.719569699075</v>
      </c>
      <c r="B198" s="21">
        <v>45904.0</v>
      </c>
      <c r="C198" s="11" t="s">
        <v>803</v>
      </c>
      <c r="D198" s="15" t="s">
        <v>804</v>
      </c>
      <c r="E198" s="11" t="s">
        <v>660</v>
      </c>
      <c r="F198" s="11">
        <v>3000000.0</v>
      </c>
      <c r="G198" s="11" t="s">
        <v>23</v>
      </c>
      <c r="H198" s="18"/>
      <c r="I198" s="11" t="s">
        <v>229</v>
      </c>
      <c r="J198" s="11" t="s">
        <v>289</v>
      </c>
      <c r="K198" s="16" t="s">
        <v>805</v>
      </c>
      <c r="L198" s="11" t="s">
        <v>252</v>
      </c>
      <c r="M198" s="18"/>
      <c r="N198" s="18"/>
      <c r="O198" s="11" t="s">
        <v>205</v>
      </c>
      <c r="P198" s="18"/>
      <c r="Q198" s="18"/>
      <c r="R198" s="18"/>
      <c r="S198" s="18"/>
      <c r="T198" s="18"/>
      <c r="U198" s="18"/>
      <c r="V198" s="18"/>
      <c r="W198" s="18"/>
      <c r="X198" s="11" t="s">
        <v>549</v>
      </c>
      <c r="Y198" s="18"/>
      <c r="Z198" s="18"/>
      <c r="AA198" s="18"/>
      <c r="AB198" s="19"/>
      <c r="AC198" s="19"/>
      <c r="AD198" s="19"/>
      <c r="AE198" s="19"/>
      <c r="AF198" s="19"/>
      <c r="AG198" s="19"/>
    </row>
    <row r="199" ht="22.5" customHeight="1">
      <c r="A199" s="13">
        <v>45904.724201840276</v>
      </c>
      <c r="B199" s="21">
        <v>45904.0</v>
      </c>
      <c r="C199" s="11" t="s">
        <v>806</v>
      </c>
      <c r="D199" s="15" t="s">
        <v>807</v>
      </c>
      <c r="E199" s="11" t="s">
        <v>199</v>
      </c>
      <c r="F199" s="11">
        <v>5000000.0</v>
      </c>
      <c r="G199" s="11" t="s">
        <v>45</v>
      </c>
      <c r="H199" s="18"/>
      <c r="I199" s="11" t="s">
        <v>229</v>
      </c>
      <c r="J199" s="11" t="s">
        <v>250</v>
      </c>
      <c r="K199" s="16" t="s">
        <v>808</v>
      </c>
      <c r="L199" s="11" t="s">
        <v>252</v>
      </c>
      <c r="M199" s="18"/>
      <c r="N199" s="18"/>
      <c r="O199" s="11" t="s">
        <v>205</v>
      </c>
      <c r="P199" s="18"/>
      <c r="Q199" s="18"/>
      <c r="R199" s="18"/>
      <c r="S199" s="18"/>
      <c r="T199" s="18"/>
      <c r="U199" s="18"/>
      <c r="V199" s="18"/>
      <c r="W199" s="18"/>
      <c r="X199" s="11" t="s">
        <v>549</v>
      </c>
      <c r="Y199" s="18"/>
      <c r="Z199" s="18"/>
      <c r="AA199" s="18"/>
      <c r="AB199" s="19"/>
      <c r="AC199" s="19"/>
      <c r="AD199" s="19"/>
      <c r="AE199" s="19"/>
      <c r="AF199" s="19"/>
      <c r="AG199" s="19"/>
    </row>
    <row r="200" ht="22.5" customHeight="1">
      <c r="A200" s="13">
        <v>45904.72666194444</v>
      </c>
      <c r="B200" s="21">
        <v>45904.0</v>
      </c>
      <c r="C200" s="11" t="s">
        <v>809</v>
      </c>
      <c r="D200" s="15" t="s">
        <v>810</v>
      </c>
      <c r="E200" s="11" t="s">
        <v>811</v>
      </c>
      <c r="F200" s="11">
        <v>4000000.0</v>
      </c>
      <c r="G200" s="11" t="s">
        <v>23</v>
      </c>
      <c r="H200" s="18"/>
      <c r="I200" s="11" t="s">
        <v>229</v>
      </c>
      <c r="J200" s="11" t="s">
        <v>164</v>
      </c>
      <c r="K200" s="16" t="s">
        <v>812</v>
      </c>
      <c r="L200" s="11" t="s">
        <v>202</v>
      </c>
      <c r="M200" s="18"/>
      <c r="N200" s="11" t="s">
        <v>204</v>
      </c>
      <c r="O200" s="18"/>
      <c r="P200" s="18"/>
      <c r="Q200" s="18"/>
      <c r="R200" s="11" t="s">
        <v>98</v>
      </c>
      <c r="S200" s="18"/>
      <c r="T200" s="18"/>
      <c r="U200" s="18"/>
      <c r="V200" s="18"/>
      <c r="W200" s="18"/>
      <c r="X200" s="18"/>
      <c r="Y200" s="18"/>
      <c r="Z200" s="18"/>
      <c r="AA200" s="18"/>
      <c r="AB200" s="19"/>
      <c r="AC200" s="19"/>
      <c r="AD200" s="19"/>
      <c r="AE200" s="19"/>
      <c r="AF200" s="19"/>
      <c r="AG200" s="19"/>
    </row>
    <row r="201" ht="22.5" customHeight="1">
      <c r="A201" s="13">
        <v>45904.73357081019</v>
      </c>
      <c r="B201" s="21">
        <v>45904.0</v>
      </c>
      <c r="C201" s="11" t="s">
        <v>813</v>
      </c>
      <c r="D201" s="15" t="s">
        <v>357</v>
      </c>
      <c r="E201" s="11" t="s">
        <v>288</v>
      </c>
      <c r="F201" s="11">
        <v>1000000.0</v>
      </c>
      <c r="G201" s="11" t="s">
        <v>23</v>
      </c>
      <c r="H201" s="18"/>
      <c r="I201" s="11" t="s">
        <v>229</v>
      </c>
      <c r="J201" s="11" t="s">
        <v>165</v>
      </c>
      <c r="K201" s="16" t="s">
        <v>814</v>
      </c>
      <c r="L201" s="11" t="s">
        <v>202</v>
      </c>
      <c r="M201" s="18"/>
      <c r="N201" s="11" t="s">
        <v>204</v>
      </c>
      <c r="O201" s="18"/>
      <c r="P201" s="18"/>
      <c r="Q201" s="18"/>
      <c r="R201" s="11" t="s">
        <v>360</v>
      </c>
      <c r="S201" s="18"/>
      <c r="T201" s="18"/>
      <c r="U201" s="18"/>
      <c r="V201" s="18"/>
      <c r="W201" s="18"/>
      <c r="X201" s="18"/>
      <c r="Y201" s="18"/>
      <c r="Z201" s="18"/>
      <c r="AA201" s="18"/>
      <c r="AB201" s="19"/>
      <c r="AC201" s="19"/>
      <c r="AD201" s="19"/>
      <c r="AE201" s="19"/>
      <c r="AF201" s="19"/>
      <c r="AG201" s="19"/>
    </row>
    <row r="202" ht="22.5" customHeight="1">
      <c r="A202" s="13">
        <v>45904.74121417824</v>
      </c>
      <c r="B202" s="21">
        <v>45904.0</v>
      </c>
      <c r="C202" s="11" t="s">
        <v>815</v>
      </c>
      <c r="D202" s="15" t="s">
        <v>816</v>
      </c>
      <c r="E202" s="11" t="s">
        <v>687</v>
      </c>
      <c r="F202" s="11">
        <v>3000000.0</v>
      </c>
      <c r="G202" s="11" t="s">
        <v>23</v>
      </c>
      <c r="H202" s="18"/>
      <c r="I202" s="11" t="s">
        <v>229</v>
      </c>
      <c r="J202" s="11" t="s">
        <v>250</v>
      </c>
      <c r="K202" s="16" t="s">
        <v>817</v>
      </c>
      <c r="L202" s="11" t="s">
        <v>252</v>
      </c>
      <c r="M202" s="18"/>
      <c r="N202" s="18"/>
      <c r="O202" s="11" t="s">
        <v>205</v>
      </c>
      <c r="P202" s="18"/>
      <c r="Q202" s="18"/>
      <c r="R202" s="18"/>
      <c r="S202" s="18"/>
      <c r="T202" s="18"/>
      <c r="U202" s="18"/>
      <c r="V202" s="18"/>
      <c r="W202" s="18"/>
      <c r="X202" s="11" t="s">
        <v>549</v>
      </c>
      <c r="Y202" s="18"/>
      <c r="Z202" s="18"/>
      <c r="AA202" s="18"/>
      <c r="AB202" s="19"/>
      <c r="AC202" s="19"/>
      <c r="AD202" s="19"/>
      <c r="AE202" s="19"/>
      <c r="AF202" s="19"/>
      <c r="AG202" s="19"/>
    </row>
    <row r="203" ht="22.5" customHeight="1">
      <c r="A203" s="13">
        <v>45904.74989438658</v>
      </c>
      <c r="B203" s="21">
        <v>45904.0</v>
      </c>
      <c r="C203" s="11" t="s">
        <v>818</v>
      </c>
      <c r="D203" s="15" t="s">
        <v>819</v>
      </c>
      <c r="E203" s="11" t="s">
        <v>199</v>
      </c>
      <c r="F203" s="11">
        <v>6700000.0</v>
      </c>
      <c r="G203" s="11" t="s">
        <v>45</v>
      </c>
      <c r="H203" s="18"/>
      <c r="I203" s="11" t="s">
        <v>229</v>
      </c>
      <c r="J203" s="11" t="s">
        <v>24</v>
      </c>
      <c r="K203" s="16" t="s">
        <v>820</v>
      </c>
      <c r="L203" s="11" t="s">
        <v>202</v>
      </c>
      <c r="M203" s="18"/>
      <c r="N203" s="11" t="s">
        <v>313</v>
      </c>
      <c r="O203" s="18"/>
      <c r="P203" s="18"/>
      <c r="Q203" s="18"/>
      <c r="R203" s="18"/>
      <c r="S203" s="18"/>
      <c r="T203" s="11" t="s">
        <v>329</v>
      </c>
      <c r="U203" s="18"/>
      <c r="V203" s="18"/>
      <c r="W203" s="18"/>
      <c r="X203" s="18"/>
      <c r="Y203" s="18"/>
      <c r="Z203" s="18"/>
      <c r="AA203" s="18"/>
      <c r="AB203" s="19"/>
      <c r="AC203" s="19"/>
      <c r="AD203" s="19"/>
      <c r="AE203" s="19"/>
      <c r="AF203" s="19"/>
      <c r="AG203" s="19"/>
    </row>
    <row r="204" ht="22.5" customHeight="1">
      <c r="A204" s="13">
        <v>45904.75095920139</v>
      </c>
      <c r="B204" s="21">
        <v>45904.0</v>
      </c>
      <c r="C204" s="11" t="s">
        <v>821</v>
      </c>
      <c r="D204" s="15" t="s">
        <v>822</v>
      </c>
      <c r="E204" s="11" t="s">
        <v>288</v>
      </c>
      <c r="F204" s="23">
        <v>1600.0</v>
      </c>
      <c r="G204" s="11" t="s">
        <v>23</v>
      </c>
      <c r="H204" s="18"/>
      <c r="I204" s="11" t="s">
        <v>229</v>
      </c>
      <c r="J204" s="11" t="s">
        <v>165</v>
      </c>
      <c r="K204" s="16" t="s">
        <v>823</v>
      </c>
      <c r="L204" s="11" t="s">
        <v>202</v>
      </c>
      <c r="M204" s="18"/>
      <c r="N204" s="11" t="s">
        <v>204</v>
      </c>
      <c r="O204" s="18"/>
      <c r="P204" s="18"/>
      <c r="Q204" s="18"/>
      <c r="R204" s="11" t="s">
        <v>167</v>
      </c>
      <c r="S204" s="18"/>
      <c r="T204" s="18"/>
      <c r="U204" s="18"/>
      <c r="V204" s="18"/>
      <c r="W204" s="18"/>
      <c r="X204" s="18"/>
      <c r="Y204" s="18"/>
      <c r="Z204" s="18"/>
      <c r="AA204" s="18"/>
      <c r="AB204" s="19"/>
      <c r="AC204" s="19"/>
      <c r="AD204" s="19"/>
      <c r="AE204" s="19"/>
      <c r="AF204" s="19"/>
      <c r="AG204" s="19"/>
    </row>
    <row r="205" ht="22.5" customHeight="1">
      <c r="A205" s="13">
        <v>45904.752145694445</v>
      </c>
      <c r="B205" s="21">
        <v>45904.0</v>
      </c>
      <c r="C205" s="11" t="s">
        <v>824</v>
      </c>
      <c r="D205" s="15" t="s">
        <v>825</v>
      </c>
      <c r="E205" s="11" t="s">
        <v>283</v>
      </c>
      <c r="F205" s="11">
        <v>6000000.0</v>
      </c>
      <c r="G205" s="11" t="s">
        <v>23</v>
      </c>
      <c r="H205" s="11">
        <v>3000000.0</v>
      </c>
      <c r="I205" s="11" t="s">
        <v>413</v>
      </c>
      <c r="J205" s="18"/>
      <c r="K205" s="16" t="s">
        <v>826</v>
      </c>
      <c r="L205" s="11" t="s">
        <v>252</v>
      </c>
      <c r="M205" s="11" t="s">
        <v>203</v>
      </c>
      <c r="N205" s="18"/>
      <c r="O205" s="11" t="s">
        <v>257</v>
      </c>
      <c r="P205" s="11" t="s">
        <v>272</v>
      </c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9"/>
      <c r="AC205" s="19"/>
      <c r="AD205" s="19"/>
      <c r="AE205" s="19"/>
      <c r="AF205" s="19"/>
      <c r="AG205" s="19"/>
    </row>
    <row r="206" ht="22.5" customHeight="1">
      <c r="A206" s="13">
        <v>45904.75238449074</v>
      </c>
      <c r="B206" s="21">
        <v>45904.0</v>
      </c>
      <c r="C206" s="11" t="s">
        <v>827</v>
      </c>
      <c r="D206" s="15" t="s">
        <v>828</v>
      </c>
      <c r="E206" s="11" t="s">
        <v>31</v>
      </c>
      <c r="F206" s="11">
        <v>3000000.0</v>
      </c>
      <c r="G206" s="11" t="s">
        <v>23</v>
      </c>
      <c r="H206" s="18"/>
      <c r="I206" s="11" t="s">
        <v>229</v>
      </c>
      <c r="J206" s="11" t="s">
        <v>327</v>
      </c>
      <c r="K206" s="16" t="s">
        <v>829</v>
      </c>
      <c r="L206" s="11" t="s">
        <v>202</v>
      </c>
      <c r="M206" s="18"/>
      <c r="N206" s="11" t="s">
        <v>215</v>
      </c>
      <c r="O206" s="18"/>
      <c r="P206" s="18"/>
      <c r="Q206" s="18"/>
      <c r="R206" s="18"/>
      <c r="S206" s="18"/>
      <c r="T206" s="18"/>
      <c r="U206" s="18"/>
      <c r="V206" s="18"/>
      <c r="W206" s="11" t="s">
        <v>355</v>
      </c>
      <c r="X206" s="18"/>
      <c r="Y206" s="18"/>
      <c r="Z206" s="18"/>
      <c r="AA206" s="18"/>
      <c r="AB206" s="19"/>
      <c r="AC206" s="19"/>
      <c r="AD206" s="19"/>
      <c r="AE206" s="19"/>
      <c r="AF206" s="19"/>
      <c r="AG206" s="19"/>
    </row>
    <row r="207" ht="22.5" customHeight="1">
      <c r="A207" s="13">
        <v>45904.75694222222</v>
      </c>
      <c r="B207" s="21">
        <v>45904.0</v>
      </c>
      <c r="C207" s="11" t="s">
        <v>830</v>
      </c>
      <c r="D207" s="15" t="s">
        <v>831</v>
      </c>
      <c r="E207" s="11" t="s">
        <v>43</v>
      </c>
      <c r="F207" s="11">
        <v>4700000.0</v>
      </c>
      <c r="G207" s="11" t="s">
        <v>23</v>
      </c>
      <c r="H207" s="18"/>
      <c r="I207" s="11" t="s">
        <v>229</v>
      </c>
      <c r="J207" s="11" t="s">
        <v>25</v>
      </c>
      <c r="K207" s="16" t="s">
        <v>832</v>
      </c>
      <c r="L207" s="11" t="s">
        <v>202</v>
      </c>
      <c r="M207" s="18"/>
      <c r="N207" s="11" t="s">
        <v>220</v>
      </c>
      <c r="O207" s="18"/>
      <c r="P207" s="18"/>
      <c r="Q207" s="18"/>
      <c r="R207" s="18"/>
      <c r="S207" s="11" t="s">
        <v>124</v>
      </c>
      <c r="T207" s="18"/>
      <c r="U207" s="18"/>
      <c r="V207" s="18"/>
      <c r="W207" s="18"/>
      <c r="X207" s="18"/>
      <c r="Y207" s="18"/>
      <c r="Z207" s="18"/>
      <c r="AA207" s="18"/>
      <c r="AB207" s="19"/>
      <c r="AC207" s="19"/>
      <c r="AD207" s="19"/>
      <c r="AE207" s="19"/>
      <c r="AF207" s="19"/>
      <c r="AG207" s="19"/>
    </row>
    <row r="208" ht="22.5" customHeight="1">
      <c r="A208" s="13">
        <v>45904.75748572916</v>
      </c>
      <c r="B208" s="21">
        <v>45904.0</v>
      </c>
      <c r="C208" s="11" t="s">
        <v>833</v>
      </c>
      <c r="D208" s="15" t="s">
        <v>834</v>
      </c>
      <c r="E208" s="11" t="s">
        <v>283</v>
      </c>
      <c r="F208" s="11">
        <v>4100000.0</v>
      </c>
      <c r="G208" s="11" t="s">
        <v>23</v>
      </c>
      <c r="H208" s="18"/>
      <c r="I208" s="11" t="s">
        <v>229</v>
      </c>
      <c r="J208" s="11" t="s">
        <v>24</v>
      </c>
      <c r="K208" s="16" t="s">
        <v>835</v>
      </c>
      <c r="L208" s="11" t="s">
        <v>202</v>
      </c>
      <c r="M208" s="18"/>
      <c r="N208" s="11" t="s">
        <v>313</v>
      </c>
      <c r="O208" s="18"/>
      <c r="P208" s="18"/>
      <c r="Q208" s="18"/>
      <c r="R208" s="18"/>
      <c r="S208" s="18"/>
      <c r="T208" s="11" t="s">
        <v>329</v>
      </c>
      <c r="U208" s="18"/>
      <c r="V208" s="18"/>
      <c r="W208" s="18"/>
      <c r="X208" s="18"/>
      <c r="Y208" s="18"/>
      <c r="Z208" s="18"/>
      <c r="AA208" s="18"/>
      <c r="AB208" s="19"/>
      <c r="AC208" s="19"/>
      <c r="AD208" s="19"/>
      <c r="AE208" s="19"/>
      <c r="AF208" s="19"/>
      <c r="AG208" s="19"/>
    </row>
    <row r="209" ht="22.5" customHeight="1">
      <c r="A209" s="13">
        <v>45904.75854844907</v>
      </c>
      <c r="B209" s="21">
        <v>45904.0</v>
      </c>
      <c r="C209" s="11" t="s">
        <v>836</v>
      </c>
      <c r="D209" s="15" t="s">
        <v>837</v>
      </c>
      <c r="E209" s="11" t="s">
        <v>43</v>
      </c>
      <c r="F209" s="11">
        <v>7500000.0</v>
      </c>
      <c r="G209" s="11" t="s">
        <v>23</v>
      </c>
      <c r="H209" s="18"/>
      <c r="I209" s="11" t="s">
        <v>229</v>
      </c>
      <c r="J209" s="11" t="s">
        <v>498</v>
      </c>
      <c r="K209" s="16" t="s">
        <v>838</v>
      </c>
      <c r="L209" s="11" t="s">
        <v>202</v>
      </c>
      <c r="M209" s="18"/>
      <c r="N209" s="11" t="s">
        <v>500</v>
      </c>
      <c r="O209" s="18"/>
      <c r="P209" s="18"/>
      <c r="Q209" s="18"/>
      <c r="R209" s="18"/>
      <c r="S209" s="18"/>
      <c r="T209" s="18"/>
      <c r="U209" s="18"/>
      <c r="V209" s="11" t="s">
        <v>501</v>
      </c>
      <c r="W209" s="18"/>
      <c r="X209" s="18"/>
      <c r="Y209" s="18"/>
      <c r="Z209" s="18"/>
      <c r="AA209" s="18"/>
      <c r="AB209" s="19"/>
      <c r="AC209" s="19"/>
      <c r="AD209" s="19"/>
      <c r="AE209" s="19"/>
      <c r="AF209" s="19"/>
      <c r="AG209" s="19"/>
    </row>
    <row r="210" ht="22.5" customHeight="1">
      <c r="A210" s="13">
        <v>45904.75996398148</v>
      </c>
      <c r="B210" s="21">
        <v>45904.0</v>
      </c>
      <c r="C210" s="11" t="s">
        <v>839</v>
      </c>
      <c r="D210" s="15" t="s">
        <v>840</v>
      </c>
      <c r="E210" s="11" t="s">
        <v>199</v>
      </c>
      <c r="F210" s="11">
        <v>7100000.0</v>
      </c>
      <c r="G210" s="11" t="s">
        <v>23</v>
      </c>
      <c r="H210" s="11">
        <v>5000000.0</v>
      </c>
      <c r="I210" s="11" t="s">
        <v>413</v>
      </c>
      <c r="J210" s="18"/>
      <c r="K210" s="16" t="s">
        <v>841</v>
      </c>
      <c r="L210" s="11" t="s">
        <v>202</v>
      </c>
      <c r="M210" s="11" t="s">
        <v>203</v>
      </c>
      <c r="N210" s="11" t="s">
        <v>313</v>
      </c>
      <c r="O210" s="18"/>
      <c r="P210" s="18"/>
      <c r="Q210" s="18"/>
      <c r="R210" s="18"/>
      <c r="S210" s="18"/>
      <c r="T210" s="11" t="s">
        <v>329</v>
      </c>
      <c r="U210" s="18"/>
      <c r="V210" s="18"/>
      <c r="W210" s="18"/>
      <c r="X210" s="18"/>
      <c r="Y210" s="18"/>
      <c r="Z210" s="18"/>
      <c r="AA210" s="18"/>
      <c r="AB210" s="19"/>
      <c r="AC210" s="19"/>
      <c r="AD210" s="19"/>
      <c r="AE210" s="19"/>
      <c r="AF210" s="19"/>
      <c r="AG210" s="19"/>
    </row>
    <row r="211" ht="22.5" customHeight="1">
      <c r="A211" s="13">
        <v>45904.76001273148</v>
      </c>
      <c r="B211" s="21">
        <v>45904.0</v>
      </c>
      <c r="C211" s="11" t="s">
        <v>842</v>
      </c>
      <c r="D211" s="15" t="s">
        <v>843</v>
      </c>
      <c r="E211" s="11" t="s">
        <v>127</v>
      </c>
      <c r="F211" s="11">
        <v>3500000.0</v>
      </c>
      <c r="G211" s="11" t="s">
        <v>23</v>
      </c>
      <c r="H211" s="11">
        <v>10.0</v>
      </c>
      <c r="I211" s="11" t="s">
        <v>200</v>
      </c>
      <c r="J211" s="18"/>
      <c r="K211" s="16" t="s">
        <v>844</v>
      </c>
      <c r="L211" s="11" t="s">
        <v>202</v>
      </c>
      <c r="M211" s="11" t="s">
        <v>203</v>
      </c>
      <c r="N211" s="11" t="s">
        <v>204</v>
      </c>
      <c r="O211" s="18"/>
      <c r="P211" s="18"/>
      <c r="Q211" s="18"/>
      <c r="R211" s="11" t="s">
        <v>90</v>
      </c>
      <c r="S211" s="18"/>
      <c r="T211" s="18"/>
      <c r="U211" s="18"/>
      <c r="V211" s="18"/>
      <c r="W211" s="18"/>
      <c r="X211" s="18"/>
      <c r="Y211" s="18"/>
      <c r="Z211" s="18"/>
      <c r="AA211" s="18"/>
      <c r="AB211" s="19"/>
      <c r="AC211" s="19"/>
      <c r="AD211" s="19"/>
      <c r="AE211" s="19"/>
      <c r="AF211" s="19"/>
      <c r="AG211" s="19"/>
    </row>
    <row r="212" ht="22.5" customHeight="1">
      <c r="A212" s="13">
        <v>45904.76193217593</v>
      </c>
      <c r="B212" s="21">
        <v>45904.0</v>
      </c>
      <c r="C212" s="11" t="s">
        <v>845</v>
      </c>
      <c r="D212" s="15" t="s">
        <v>846</v>
      </c>
      <c r="E212" s="11" t="s">
        <v>847</v>
      </c>
      <c r="F212" s="11">
        <v>5000000.0</v>
      </c>
      <c r="G212" s="11" t="s">
        <v>23</v>
      </c>
      <c r="H212" s="18"/>
      <c r="I212" s="11" t="s">
        <v>229</v>
      </c>
      <c r="J212" s="11" t="s">
        <v>289</v>
      </c>
      <c r="K212" s="16" t="s">
        <v>848</v>
      </c>
      <c r="L212" s="11" t="s">
        <v>252</v>
      </c>
      <c r="M212" s="18"/>
      <c r="N212" s="18"/>
      <c r="O212" s="11" t="s">
        <v>205</v>
      </c>
      <c r="P212" s="18"/>
      <c r="Q212" s="18"/>
      <c r="R212" s="18"/>
      <c r="S212" s="18"/>
      <c r="T212" s="18"/>
      <c r="U212" s="18"/>
      <c r="V212" s="18"/>
      <c r="W212" s="18"/>
      <c r="X212" s="11" t="s">
        <v>549</v>
      </c>
      <c r="Y212" s="18"/>
      <c r="Z212" s="18"/>
      <c r="AA212" s="18"/>
      <c r="AB212" s="19"/>
      <c r="AC212" s="19"/>
      <c r="AD212" s="19"/>
      <c r="AE212" s="19"/>
      <c r="AF212" s="19"/>
      <c r="AG212" s="19"/>
    </row>
    <row r="213" ht="22.5" customHeight="1">
      <c r="A213" s="13">
        <v>45904.76598993056</v>
      </c>
      <c r="B213" s="21">
        <v>45904.0</v>
      </c>
      <c r="C213" s="11" t="s">
        <v>849</v>
      </c>
      <c r="D213" s="15" t="s">
        <v>850</v>
      </c>
      <c r="E213" s="11" t="s">
        <v>31</v>
      </c>
      <c r="F213" s="11">
        <v>310000.0</v>
      </c>
      <c r="G213" s="11" t="s">
        <v>23</v>
      </c>
      <c r="H213" s="18"/>
      <c r="I213" s="11" t="s">
        <v>229</v>
      </c>
      <c r="J213" s="11" t="s">
        <v>851</v>
      </c>
      <c r="K213" s="16" t="s">
        <v>852</v>
      </c>
      <c r="L213" s="11" t="s">
        <v>202</v>
      </c>
      <c r="M213" s="18"/>
      <c r="N213" s="11" t="s">
        <v>204</v>
      </c>
      <c r="O213" s="18"/>
      <c r="P213" s="18"/>
      <c r="Q213" s="18"/>
      <c r="R213" s="11" t="s">
        <v>148</v>
      </c>
      <c r="S213" s="18"/>
      <c r="T213" s="18"/>
      <c r="U213" s="18"/>
      <c r="V213" s="18"/>
      <c r="W213" s="18"/>
      <c r="X213" s="18"/>
      <c r="Y213" s="18"/>
      <c r="Z213" s="18"/>
      <c r="AA213" s="18"/>
      <c r="AB213" s="19"/>
      <c r="AC213" s="19"/>
      <c r="AD213" s="19"/>
      <c r="AE213" s="19"/>
      <c r="AF213" s="19"/>
      <c r="AG213" s="19"/>
    </row>
    <row r="214" ht="22.5" customHeight="1">
      <c r="A214" s="13">
        <v>45904.773804247685</v>
      </c>
      <c r="B214" s="21">
        <v>45904.0</v>
      </c>
      <c r="C214" s="11" t="s">
        <v>853</v>
      </c>
      <c r="D214" s="15" t="s">
        <v>854</v>
      </c>
      <c r="E214" s="11" t="s">
        <v>43</v>
      </c>
      <c r="F214" s="11">
        <v>2100000.0</v>
      </c>
      <c r="G214" s="11" t="s">
        <v>23</v>
      </c>
      <c r="H214" s="18"/>
      <c r="I214" s="11" t="s">
        <v>229</v>
      </c>
      <c r="J214" s="11" t="s">
        <v>165</v>
      </c>
      <c r="K214" s="16" t="s">
        <v>855</v>
      </c>
      <c r="L214" s="11" t="s">
        <v>202</v>
      </c>
      <c r="M214" s="18"/>
      <c r="N214" s="11" t="s">
        <v>204</v>
      </c>
      <c r="O214" s="18"/>
      <c r="P214" s="18"/>
      <c r="Q214" s="18"/>
      <c r="R214" s="11" t="s">
        <v>28</v>
      </c>
      <c r="S214" s="18"/>
      <c r="T214" s="18"/>
      <c r="U214" s="18"/>
      <c r="V214" s="18"/>
      <c r="W214" s="18"/>
      <c r="X214" s="18"/>
      <c r="Y214" s="18"/>
      <c r="Z214" s="18"/>
      <c r="AA214" s="18"/>
      <c r="AB214" s="19"/>
      <c r="AC214" s="19"/>
      <c r="AD214" s="19"/>
      <c r="AE214" s="19"/>
      <c r="AF214" s="19"/>
      <c r="AG214" s="19"/>
    </row>
    <row r="215" ht="22.5" customHeight="1">
      <c r="A215" s="13">
        <v>45904.77730663195</v>
      </c>
      <c r="B215" s="21">
        <v>45904.0</v>
      </c>
      <c r="C215" s="11" t="s">
        <v>856</v>
      </c>
      <c r="D215" s="11" t="s">
        <v>857</v>
      </c>
      <c r="E215" s="11" t="s">
        <v>31</v>
      </c>
      <c r="F215" s="11">
        <v>3800000.0</v>
      </c>
      <c r="G215" s="11" t="s">
        <v>23</v>
      </c>
      <c r="H215" s="18"/>
      <c r="I215" s="11" t="s">
        <v>229</v>
      </c>
      <c r="J215" s="11" t="s">
        <v>327</v>
      </c>
      <c r="K215" s="16" t="s">
        <v>858</v>
      </c>
      <c r="L215" s="11" t="s">
        <v>202</v>
      </c>
      <c r="M215" s="18"/>
      <c r="N215" s="11" t="s">
        <v>215</v>
      </c>
      <c r="O215" s="18"/>
      <c r="P215" s="18"/>
      <c r="Q215" s="18"/>
      <c r="R215" s="18"/>
      <c r="S215" s="18"/>
      <c r="T215" s="18"/>
      <c r="U215" s="18"/>
      <c r="V215" s="18"/>
      <c r="W215" s="11" t="s">
        <v>355</v>
      </c>
      <c r="X215" s="18"/>
      <c r="Y215" s="18"/>
      <c r="Z215" s="18"/>
      <c r="AA215" s="18"/>
      <c r="AB215" s="19"/>
      <c r="AC215" s="19"/>
      <c r="AD215" s="19"/>
      <c r="AE215" s="19"/>
      <c r="AF215" s="19"/>
      <c r="AG215" s="19"/>
    </row>
    <row r="216" ht="22.5" customHeight="1">
      <c r="A216" s="13">
        <v>45904.782170335646</v>
      </c>
      <c r="B216" s="21">
        <v>45904.0</v>
      </c>
      <c r="C216" s="11" t="s">
        <v>859</v>
      </c>
      <c r="D216" s="15" t="s">
        <v>860</v>
      </c>
      <c r="E216" s="11" t="s">
        <v>228</v>
      </c>
      <c r="F216" s="11">
        <v>1500.0</v>
      </c>
      <c r="G216" s="11" t="s">
        <v>23</v>
      </c>
      <c r="H216" s="18"/>
      <c r="I216" s="11" t="s">
        <v>229</v>
      </c>
      <c r="J216" s="11" t="s">
        <v>270</v>
      </c>
      <c r="K216" s="16" t="s">
        <v>861</v>
      </c>
      <c r="L216" s="11" t="s">
        <v>202</v>
      </c>
      <c r="M216" s="18"/>
      <c r="N216" s="11" t="s">
        <v>204</v>
      </c>
      <c r="O216" s="18"/>
      <c r="P216" s="18"/>
      <c r="Q216" s="18"/>
      <c r="R216" s="11" t="s">
        <v>192</v>
      </c>
      <c r="S216" s="18"/>
      <c r="T216" s="18"/>
      <c r="U216" s="18"/>
      <c r="V216" s="18"/>
      <c r="W216" s="18"/>
      <c r="X216" s="18"/>
      <c r="Y216" s="18"/>
      <c r="Z216" s="18"/>
      <c r="AA216" s="18"/>
      <c r="AB216" s="19"/>
      <c r="AC216" s="19"/>
      <c r="AD216" s="19"/>
      <c r="AE216" s="19"/>
      <c r="AF216" s="19"/>
      <c r="AG216" s="19"/>
    </row>
    <row r="217" ht="22.5" customHeight="1">
      <c r="A217" s="13">
        <v>45904.80314054398</v>
      </c>
      <c r="B217" s="21">
        <v>45904.0</v>
      </c>
      <c r="C217" s="11" t="s">
        <v>862</v>
      </c>
      <c r="D217" s="15" t="s">
        <v>863</v>
      </c>
      <c r="E217" s="11" t="s">
        <v>43</v>
      </c>
      <c r="F217" s="11">
        <v>3500000.0</v>
      </c>
      <c r="G217" s="11" t="s">
        <v>23</v>
      </c>
      <c r="H217" s="11">
        <v>3000000.0</v>
      </c>
      <c r="I217" s="11" t="s">
        <v>200</v>
      </c>
      <c r="J217" s="18"/>
      <c r="K217" s="16" t="s">
        <v>864</v>
      </c>
      <c r="L217" s="11" t="s">
        <v>252</v>
      </c>
      <c r="M217" s="11" t="s">
        <v>203</v>
      </c>
      <c r="N217" s="18"/>
      <c r="O217" s="11" t="s">
        <v>257</v>
      </c>
      <c r="P217" s="11" t="s">
        <v>206</v>
      </c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9"/>
      <c r="AC217" s="19"/>
      <c r="AD217" s="19"/>
      <c r="AE217" s="19"/>
      <c r="AF217" s="19"/>
      <c r="AG217" s="19"/>
    </row>
    <row r="218" ht="22.5" customHeight="1">
      <c r="A218" s="13">
        <v>45904.809428148146</v>
      </c>
      <c r="B218" s="21">
        <v>45904.0</v>
      </c>
      <c r="C218" s="11" t="s">
        <v>865</v>
      </c>
      <c r="D218" s="15" t="s">
        <v>866</v>
      </c>
      <c r="E218" s="11" t="s">
        <v>199</v>
      </c>
      <c r="F218" s="11">
        <v>4100000.0</v>
      </c>
      <c r="G218" s="11" t="s">
        <v>23</v>
      </c>
      <c r="H218" s="11">
        <v>3000000.0</v>
      </c>
      <c r="I218" s="11" t="s">
        <v>200</v>
      </c>
      <c r="J218" s="18"/>
      <c r="K218" s="16" t="s">
        <v>867</v>
      </c>
      <c r="L218" s="11" t="s">
        <v>202</v>
      </c>
      <c r="M218" s="11" t="s">
        <v>203</v>
      </c>
      <c r="N218" s="11" t="s">
        <v>313</v>
      </c>
      <c r="O218" s="18"/>
      <c r="P218" s="18"/>
      <c r="Q218" s="18"/>
      <c r="R218" s="18"/>
      <c r="S218" s="18"/>
      <c r="T218" s="11" t="s">
        <v>314</v>
      </c>
      <c r="U218" s="18"/>
      <c r="V218" s="18"/>
      <c r="W218" s="18"/>
      <c r="X218" s="18"/>
      <c r="Y218" s="18"/>
      <c r="Z218" s="18"/>
      <c r="AA218" s="18"/>
      <c r="AB218" s="19"/>
      <c r="AC218" s="19"/>
      <c r="AD218" s="19"/>
      <c r="AE218" s="19"/>
      <c r="AF218" s="19"/>
      <c r="AG218" s="19"/>
    </row>
    <row r="219" ht="22.5" customHeight="1">
      <c r="A219" s="13">
        <v>45904.81048005787</v>
      </c>
      <c r="B219" s="21">
        <v>45904.0</v>
      </c>
      <c r="C219" s="11" t="s">
        <v>868</v>
      </c>
      <c r="D219" s="15" t="s">
        <v>869</v>
      </c>
      <c r="E219" s="11" t="s">
        <v>43</v>
      </c>
      <c r="F219" s="11">
        <v>3500000.0</v>
      </c>
      <c r="G219" s="11" t="s">
        <v>23</v>
      </c>
      <c r="H219" s="18"/>
      <c r="I219" s="11" t="s">
        <v>229</v>
      </c>
      <c r="J219" s="11" t="s">
        <v>229</v>
      </c>
      <c r="K219" s="16" t="s">
        <v>870</v>
      </c>
      <c r="L219" s="11" t="s">
        <v>202</v>
      </c>
      <c r="M219" s="18"/>
      <c r="N219" s="11" t="s">
        <v>871</v>
      </c>
      <c r="O219" s="18"/>
      <c r="P219" s="18"/>
      <c r="Q219" s="11" t="s">
        <v>872</v>
      </c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9"/>
      <c r="AC219" s="19"/>
      <c r="AD219" s="19"/>
      <c r="AE219" s="19"/>
      <c r="AF219" s="19"/>
      <c r="AG219" s="19"/>
    </row>
    <row r="220" ht="22.5" customHeight="1">
      <c r="A220" s="13">
        <v>45904.81229607639</v>
      </c>
      <c r="B220" s="21">
        <v>45904.0</v>
      </c>
      <c r="C220" s="11" t="s">
        <v>873</v>
      </c>
      <c r="D220" s="15" t="s">
        <v>874</v>
      </c>
      <c r="E220" s="11" t="s">
        <v>43</v>
      </c>
      <c r="F220" s="11">
        <v>3000000.0</v>
      </c>
      <c r="G220" s="11" t="s">
        <v>23</v>
      </c>
      <c r="H220" s="18"/>
      <c r="I220" s="11" t="s">
        <v>229</v>
      </c>
      <c r="J220" s="11" t="s">
        <v>250</v>
      </c>
      <c r="K220" s="16" t="s">
        <v>875</v>
      </c>
      <c r="L220" s="11" t="s">
        <v>252</v>
      </c>
      <c r="M220" s="18"/>
      <c r="N220" s="18"/>
      <c r="O220" s="11" t="s">
        <v>205</v>
      </c>
      <c r="P220" s="18"/>
      <c r="Q220" s="18"/>
      <c r="R220" s="18"/>
      <c r="S220" s="18"/>
      <c r="T220" s="18"/>
      <c r="U220" s="18"/>
      <c r="V220" s="18"/>
      <c r="W220" s="18"/>
      <c r="X220" s="11" t="s">
        <v>253</v>
      </c>
      <c r="Y220" s="18"/>
      <c r="Z220" s="18"/>
      <c r="AA220" s="18"/>
      <c r="AB220" s="19"/>
      <c r="AC220" s="19"/>
      <c r="AD220" s="19"/>
      <c r="AE220" s="19"/>
      <c r="AF220" s="19"/>
      <c r="AG220" s="19"/>
    </row>
    <row r="221" ht="22.5" customHeight="1">
      <c r="A221" s="13">
        <v>45904.813605972224</v>
      </c>
      <c r="B221" s="21">
        <v>45904.0</v>
      </c>
      <c r="C221" s="11" t="s">
        <v>876</v>
      </c>
      <c r="D221" s="15" t="s">
        <v>877</v>
      </c>
      <c r="E221" s="11" t="s">
        <v>288</v>
      </c>
      <c r="F221" s="11">
        <v>3500000.0</v>
      </c>
      <c r="G221" s="11" t="s">
        <v>23</v>
      </c>
      <c r="H221" s="18"/>
      <c r="I221" s="11" t="s">
        <v>229</v>
      </c>
      <c r="J221" s="11" t="s">
        <v>405</v>
      </c>
      <c r="K221" s="16" t="s">
        <v>878</v>
      </c>
      <c r="L221" s="11" t="s">
        <v>202</v>
      </c>
      <c r="M221" s="18"/>
      <c r="N221" s="11" t="s">
        <v>204</v>
      </c>
      <c r="O221" s="18"/>
      <c r="P221" s="18"/>
      <c r="Q221" s="18"/>
      <c r="R221" s="11" t="s">
        <v>90</v>
      </c>
      <c r="S221" s="18"/>
      <c r="T221" s="18"/>
      <c r="U221" s="18"/>
      <c r="V221" s="18"/>
      <c r="W221" s="18"/>
      <c r="X221" s="18"/>
      <c r="Y221" s="18"/>
      <c r="Z221" s="18"/>
      <c r="AA221" s="18"/>
      <c r="AB221" s="19"/>
      <c r="AC221" s="19"/>
      <c r="AD221" s="19"/>
      <c r="AE221" s="19"/>
      <c r="AF221" s="19"/>
      <c r="AG221" s="19"/>
    </row>
    <row r="222" ht="22.5" customHeight="1">
      <c r="A222" s="13">
        <v>45904.818576516205</v>
      </c>
      <c r="B222" s="21">
        <v>45904.0</v>
      </c>
      <c r="C222" s="11" t="s">
        <v>879</v>
      </c>
      <c r="D222" s="15" t="s">
        <v>880</v>
      </c>
      <c r="E222" s="11" t="s">
        <v>881</v>
      </c>
      <c r="F222" s="11">
        <v>4500000.0</v>
      </c>
      <c r="G222" s="11" t="s">
        <v>23</v>
      </c>
      <c r="H222" s="11">
        <v>7000000.0</v>
      </c>
      <c r="I222" s="11" t="s">
        <v>413</v>
      </c>
      <c r="J222" s="18"/>
      <c r="K222" s="16" t="s">
        <v>882</v>
      </c>
      <c r="L222" s="11" t="s">
        <v>202</v>
      </c>
      <c r="M222" s="11" t="s">
        <v>383</v>
      </c>
      <c r="N222" s="11" t="s">
        <v>220</v>
      </c>
      <c r="O222" s="18"/>
      <c r="P222" s="18"/>
      <c r="Q222" s="18"/>
      <c r="R222" s="18"/>
      <c r="S222" s="11" t="s">
        <v>59</v>
      </c>
      <c r="T222" s="18"/>
      <c r="U222" s="18"/>
      <c r="V222" s="18"/>
      <c r="W222" s="18"/>
      <c r="X222" s="18"/>
      <c r="Y222" s="18"/>
      <c r="Z222" s="18"/>
      <c r="AA222" s="18"/>
      <c r="AB222" s="19"/>
      <c r="AC222" s="19"/>
      <c r="AD222" s="19"/>
      <c r="AE222" s="19"/>
      <c r="AF222" s="19"/>
      <c r="AG222" s="19"/>
    </row>
    <row r="223" ht="22.5" customHeight="1">
      <c r="A223" s="13">
        <v>45904.82086886574</v>
      </c>
      <c r="B223" s="21">
        <v>45904.0</v>
      </c>
      <c r="C223" s="11" t="s">
        <v>883</v>
      </c>
      <c r="D223" s="15" t="s">
        <v>884</v>
      </c>
      <c r="E223" s="11" t="s">
        <v>239</v>
      </c>
      <c r="F223" s="11">
        <v>2500000.0</v>
      </c>
      <c r="G223" s="11" t="s">
        <v>23</v>
      </c>
      <c r="H223" s="18"/>
      <c r="I223" s="11" t="s">
        <v>229</v>
      </c>
      <c r="J223" s="11" t="s">
        <v>405</v>
      </c>
      <c r="K223" s="16" t="s">
        <v>885</v>
      </c>
      <c r="L223" s="11" t="s">
        <v>202</v>
      </c>
      <c r="M223" s="18"/>
      <c r="N223" s="11" t="s">
        <v>204</v>
      </c>
      <c r="O223" s="18"/>
      <c r="P223" s="18"/>
      <c r="Q223" s="18"/>
      <c r="R223" s="11" t="s">
        <v>90</v>
      </c>
      <c r="S223" s="18"/>
      <c r="T223" s="18"/>
      <c r="U223" s="18"/>
      <c r="V223" s="18"/>
      <c r="W223" s="18"/>
      <c r="X223" s="18"/>
      <c r="Y223" s="18"/>
      <c r="Z223" s="18"/>
      <c r="AA223" s="18"/>
      <c r="AB223" s="19"/>
      <c r="AC223" s="19"/>
      <c r="AD223" s="19"/>
      <c r="AE223" s="19"/>
      <c r="AF223" s="19"/>
      <c r="AG223" s="19"/>
    </row>
    <row r="224" ht="22.5" customHeight="1">
      <c r="A224" s="13">
        <v>45904.828955115736</v>
      </c>
      <c r="B224" s="21">
        <v>45904.0</v>
      </c>
      <c r="C224" s="11" t="s">
        <v>886</v>
      </c>
      <c r="D224" s="15" t="s">
        <v>887</v>
      </c>
      <c r="E224" s="11" t="s">
        <v>31</v>
      </c>
      <c r="F224" s="11">
        <v>5100000.0</v>
      </c>
      <c r="G224" s="11" t="s">
        <v>23</v>
      </c>
      <c r="H224" s="18"/>
      <c r="I224" s="11" t="s">
        <v>229</v>
      </c>
      <c r="J224" s="11" t="s">
        <v>24</v>
      </c>
      <c r="K224" s="16" t="s">
        <v>888</v>
      </c>
      <c r="L224" s="11" t="s">
        <v>202</v>
      </c>
      <c r="M224" s="18"/>
      <c r="N224" s="11" t="s">
        <v>313</v>
      </c>
      <c r="O224" s="18"/>
      <c r="P224" s="18"/>
      <c r="Q224" s="18"/>
      <c r="R224" s="18"/>
      <c r="S224" s="18"/>
      <c r="T224" s="11" t="s">
        <v>329</v>
      </c>
      <c r="U224" s="18"/>
      <c r="V224" s="18"/>
      <c r="W224" s="18"/>
      <c r="X224" s="18"/>
      <c r="Y224" s="18"/>
      <c r="Z224" s="18"/>
      <c r="AA224" s="18"/>
      <c r="AB224" s="19"/>
      <c r="AC224" s="19"/>
      <c r="AD224" s="19"/>
      <c r="AE224" s="19"/>
      <c r="AF224" s="19"/>
      <c r="AG224" s="19"/>
    </row>
    <row r="225" ht="22.5" customHeight="1">
      <c r="A225" s="13">
        <v>45904.831633333335</v>
      </c>
      <c r="B225" s="21">
        <v>45904.0</v>
      </c>
      <c r="C225" s="11" t="s">
        <v>889</v>
      </c>
      <c r="D225" s="15" t="s">
        <v>890</v>
      </c>
      <c r="E225" s="11" t="s">
        <v>288</v>
      </c>
      <c r="F225" s="11">
        <v>3200000.0</v>
      </c>
      <c r="G225" s="11" t="s">
        <v>23</v>
      </c>
      <c r="H225" s="18"/>
      <c r="I225" s="11" t="s">
        <v>229</v>
      </c>
      <c r="J225" s="11" t="s">
        <v>270</v>
      </c>
      <c r="K225" s="16" t="s">
        <v>891</v>
      </c>
      <c r="L225" s="11" t="s">
        <v>202</v>
      </c>
      <c r="M225" s="18"/>
      <c r="N225" s="11" t="s">
        <v>204</v>
      </c>
      <c r="O225" s="18"/>
      <c r="P225" s="18"/>
      <c r="Q225" s="18"/>
      <c r="R225" s="11" t="s">
        <v>892</v>
      </c>
      <c r="S225" s="18"/>
      <c r="T225" s="18"/>
      <c r="U225" s="18"/>
      <c r="V225" s="18"/>
      <c r="W225" s="18"/>
      <c r="X225" s="18"/>
      <c r="Y225" s="18"/>
      <c r="Z225" s="18"/>
      <c r="AA225" s="18"/>
      <c r="AB225" s="19"/>
      <c r="AC225" s="19"/>
      <c r="AD225" s="19"/>
      <c r="AE225" s="19"/>
      <c r="AF225" s="19"/>
      <c r="AG225" s="19"/>
    </row>
    <row r="226" ht="22.5" customHeight="1">
      <c r="A226" s="13">
        <v>45904.83886556713</v>
      </c>
      <c r="B226" s="21">
        <v>45904.0</v>
      </c>
      <c r="C226" s="11" t="s">
        <v>893</v>
      </c>
      <c r="D226" s="15" t="s">
        <v>894</v>
      </c>
      <c r="E226" s="11" t="s">
        <v>43</v>
      </c>
      <c r="F226" s="11">
        <v>3600000.0</v>
      </c>
      <c r="G226" s="11" t="s">
        <v>23</v>
      </c>
      <c r="H226" s="18"/>
      <c r="I226" s="11" t="s">
        <v>229</v>
      </c>
      <c r="J226" s="11" t="s">
        <v>270</v>
      </c>
      <c r="K226" s="16" t="s">
        <v>895</v>
      </c>
      <c r="L226" s="11" t="s">
        <v>202</v>
      </c>
      <c r="M226" s="18"/>
      <c r="N226" s="11" t="s">
        <v>220</v>
      </c>
      <c r="O226" s="18"/>
      <c r="P226" s="18"/>
      <c r="Q226" s="18"/>
      <c r="R226" s="18"/>
      <c r="S226" s="11" t="s">
        <v>896</v>
      </c>
      <c r="T226" s="18"/>
      <c r="U226" s="18"/>
      <c r="V226" s="18"/>
      <c r="W226" s="18"/>
      <c r="X226" s="18"/>
      <c r="Y226" s="18"/>
      <c r="Z226" s="18"/>
      <c r="AA226" s="18"/>
      <c r="AB226" s="19"/>
      <c r="AC226" s="19"/>
      <c r="AD226" s="19"/>
      <c r="AE226" s="19"/>
      <c r="AF226" s="19"/>
      <c r="AG226" s="19"/>
    </row>
    <row r="227" ht="22.5" customHeight="1">
      <c r="A227" s="13">
        <v>45904.842468726856</v>
      </c>
      <c r="B227" s="21">
        <v>45904.0</v>
      </c>
      <c r="C227" s="11" t="s">
        <v>897</v>
      </c>
      <c r="D227" s="15" t="s">
        <v>898</v>
      </c>
      <c r="E227" s="11" t="s">
        <v>288</v>
      </c>
      <c r="F227" s="11">
        <v>1000000.0</v>
      </c>
      <c r="G227" s="11" t="s">
        <v>23</v>
      </c>
      <c r="H227" s="18"/>
      <c r="I227" s="11" t="s">
        <v>229</v>
      </c>
      <c r="J227" s="11" t="s">
        <v>358</v>
      </c>
      <c r="K227" s="16" t="s">
        <v>899</v>
      </c>
      <c r="L227" s="11" t="s">
        <v>202</v>
      </c>
      <c r="M227" s="18"/>
      <c r="N227" s="11" t="s">
        <v>204</v>
      </c>
      <c r="O227" s="18"/>
      <c r="P227" s="18"/>
      <c r="Q227" s="18"/>
      <c r="R227" s="11" t="s">
        <v>360</v>
      </c>
      <c r="S227" s="18"/>
      <c r="T227" s="18"/>
      <c r="U227" s="18"/>
      <c r="V227" s="18"/>
      <c r="W227" s="18"/>
      <c r="X227" s="18"/>
      <c r="Y227" s="18"/>
      <c r="Z227" s="18"/>
      <c r="AA227" s="18"/>
      <c r="AB227" s="19"/>
      <c r="AC227" s="19"/>
      <c r="AD227" s="19"/>
      <c r="AE227" s="19"/>
      <c r="AF227" s="19"/>
      <c r="AG227" s="19"/>
    </row>
    <row r="228" ht="22.5" customHeight="1">
      <c r="A228" s="13">
        <v>45904.84806982639</v>
      </c>
      <c r="B228" s="21">
        <v>45904.0</v>
      </c>
      <c r="C228" s="11" t="s">
        <v>900</v>
      </c>
      <c r="D228" s="15" t="s">
        <v>901</v>
      </c>
      <c r="E228" s="11" t="s">
        <v>43</v>
      </c>
      <c r="F228" s="11">
        <v>3000000.0</v>
      </c>
      <c r="G228" s="11" t="s">
        <v>23</v>
      </c>
      <c r="H228" s="11">
        <v>1.0E7</v>
      </c>
      <c r="I228" s="11" t="s">
        <v>413</v>
      </c>
      <c r="J228" s="18"/>
      <c r="K228" s="16" t="s">
        <v>902</v>
      </c>
      <c r="L228" s="11" t="s">
        <v>202</v>
      </c>
      <c r="M228" s="11" t="s">
        <v>605</v>
      </c>
      <c r="N228" s="11" t="s">
        <v>215</v>
      </c>
      <c r="O228" s="18"/>
      <c r="P228" s="18"/>
      <c r="Q228" s="18"/>
      <c r="R228" s="18"/>
      <c r="S228" s="18"/>
      <c r="T228" s="18"/>
      <c r="U228" s="18"/>
      <c r="V228" s="18"/>
      <c r="W228" s="11" t="s">
        <v>216</v>
      </c>
      <c r="X228" s="18"/>
      <c r="Y228" s="18"/>
      <c r="Z228" s="18"/>
      <c r="AA228" s="18"/>
      <c r="AB228" s="19"/>
      <c r="AC228" s="19"/>
      <c r="AD228" s="19"/>
      <c r="AE228" s="19"/>
      <c r="AF228" s="19"/>
      <c r="AG228" s="19"/>
    </row>
    <row r="229" ht="22.5" customHeight="1">
      <c r="A229" s="13">
        <v>45904.85937693287</v>
      </c>
      <c r="B229" s="21">
        <v>45904.0</v>
      </c>
      <c r="C229" s="11" t="s">
        <v>903</v>
      </c>
      <c r="D229" s="15" t="s">
        <v>904</v>
      </c>
      <c r="E229" s="11" t="s">
        <v>239</v>
      </c>
      <c r="F229" s="11">
        <v>3000000.0</v>
      </c>
      <c r="G229" s="11" t="s">
        <v>23</v>
      </c>
      <c r="H229" s="18"/>
      <c r="I229" s="11" t="s">
        <v>229</v>
      </c>
      <c r="J229" s="11" t="s">
        <v>229</v>
      </c>
      <c r="K229" s="16" t="s">
        <v>905</v>
      </c>
      <c r="L229" s="11" t="s">
        <v>202</v>
      </c>
      <c r="M229" s="18"/>
      <c r="N229" s="11" t="s">
        <v>215</v>
      </c>
      <c r="O229" s="18"/>
      <c r="P229" s="18"/>
      <c r="Q229" s="18"/>
      <c r="R229" s="18"/>
      <c r="S229" s="18"/>
      <c r="T229" s="18"/>
      <c r="U229" s="18"/>
      <c r="V229" s="18"/>
      <c r="W229" s="11" t="s">
        <v>389</v>
      </c>
      <c r="X229" s="18"/>
      <c r="Y229" s="18"/>
      <c r="Z229" s="18"/>
      <c r="AA229" s="18"/>
      <c r="AB229" s="19"/>
      <c r="AC229" s="19"/>
      <c r="AD229" s="19"/>
      <c r="AE229" s="19"/>
      <c r="AF229" s="19"/>
      <c r="AG229" s="19"/>
    </row>
    <row r="230" ht="22.5" customHeight="1">
      <c r="A230" s="13">
        <v>45904.86015270834</v>
      </c>
      <c r="B230" s="21">
        <v>45904.0</v>
      </c>
      <c r="C230" s="11" t="s">
        <v>906</v>
      </c>
      <c r="D230" s="15" t="s">
        <v>907</v>
      </c>
      <c r="E230" s="11" t="s">
        <v>228</v>
      </c>
      <c r="F230" s="11">
        <v>2000000.0</v>
      </c>
      <c r="G230" s="11" t="s">
        <v>23</v>
      </c>
      <c r="H230" s="18"/>
      <c r="I230" s="11" t="s">
        <v>229</v>
      </c>
      <c r="J230" s="11" t="s">
        <v>270</v>
      </c>
      <c r="K230" s="16" t="s">
        <v>908</v>
      </c>
      <c r="L230" s="11" t="s">
        <v>202</v>
      </c>
      <c r="M230" s="18"/>
      <c r="N230" s="11" t="s">
        <v>215</v>
      </c>
      <c r="O230" s="18"/>
      <c r="P230" s="18"/>
      <c r="Q230" s="18"/>
      <c r="R230" s="18"/>
      <c r="S230" s="18"/>
      <c r="T230" s="18"/>
      <c r="U230" s="18"/>
      <c r="V230" s="18"/>
      <c r="W230" s="11" t="s">
        <v>532</v>
      </c>
      <c r="X230" s="18"/>
      <c r="Y230" s="18"/>
      <c r="Z230" s="18"/>
      <c r="AA230" s="18"/>
      <c r="AB230" s="19"/>
      <c r="AC230" s="19"/>
      <c r="AD230" s="19"/>
      <c r="AE230" s="19"/>
      <c r="AF230" s="19"/>
      <c r="AG230" s="19"/>
    </row>
    <row r="231" ht="22.5" customHeight="1">
      <c r="A231" s="13">
        <v>45904.86083929398</v>
      </c>
      <c r="B231" s="21">
        <v>45904.0</v>
      </c>
      <c r="C231" s="11" t="s">
        <v>909</v>
      </c>
      <c r="D231" s="15" t="s">
        <v>910</v>
      </c>
      <c r="E231" s="11" t="s">
        <v>911</v>
      </c>
      <c r="F231" s="11">
        <v>1500000.0</v>
      </c>
      <c r="G231" s="11" t="s">
        <v>23</v>
      </c>
      <c r="H231" s="18"/>
      <c r="I231" s="11" t="s">
        <v>229</v>
      </c>
      <c r="J231" s="11" t="s">
        <v>164</v>
      </c>
      <c r="K231" s="16" t="s">
        <v>912</v>
      </c>
      <c r="L231" s="11" t="s">
        <v>202</v>
      </c>
      <c r="M231" s="18"/>
      <c r="N231" s="11" t="s">
        <v>220</v>
      </c>
      <c r="O231" s="18"/>
      <c r="P231" s="18"/>
      <c r="Q231" s="18"/>
      <c r="R231" s="18"/>
      <c r="S231" s="11" t="s">
        <v>913</v>
      </c>
      <c r="T231" s="18"/>
      <c r="U231" s="18"/>
      <c r="V231" s="18"/>
      <c r="W231" s="18"/>
      <c r="X231" s="18"/>
      <c r="Y231" s="18"/>
      <c r="Z231" s="18"/>
      <c r="AA231" s="18"/>
      <c r="AB231" s="19"/>
      <c r="AC231" s="19"/>
      <c r="AD231" s="19"/>
      <c r="AE231" s="19"/>
      <c r="AF231" s="19"/>
      <c r="AG231" s="19"/>
    </row>
    <row r="232" ht="22.5" customHeight="1">
      <c r="A232" s="13">
        <v>45904.869292337964</v>
      </c>
      <c r="B232" s="21">
        <v>45904.0</v>
      </c>
      <c r="C232" s="11" t="s">
        <v>914</v>
      </c>
      <c r="D232" s="15" t="s">
        <v>915</v>
      </c>
      <c r="E232" s="11" t="s">
        <v>916</v>
      </c>
      <c r="F232" s="11">
        <v>4000000.0</v>
      </c>
      <c r="G232" s="11" t="s">
        <v>23</v>
      </c>
      <c r="H232" s="11">
        <v>5000000.0</v>
      </c>
      <c r="I232" s="11" t="s">
        <v>413</v>
      </c>
      <c r="J232" s="18"/>
      <c r="K232" s="16" t="s">
        <v>917</v>
      </c>
      <c r="L232" s="11" t="s">
        <v>252</v>
      </c>
      <c r="M232" s="11" t="s">
        <v>203</v>
      </c>
      <c r="N232" s="18"/>
      <c r="O232" s="11" t="s">
        <v>205</v>
      </c>
      <c r="P232" s="18"/>
      <c r="Q232" s="18"/>
      <c r="R232" s="18"/>
      <c r="S232" s="18"/>
      <c r="T232" s="18"/>
      <c r="U232" s="18"/>
      <c r="V232" s="18"/>
      <c r="W232" s="18"/>
      <c r="X232" s="11" t="s">
        <v>487</v>
      </c>
      <c r="Y232" s="18"/>
      <c r="Z232" s="18"/>
      <c r="AA232" s="18"/>
      <c r="AB232" s="19"/>
      <c r="AC232" s="19"/>
      <c r="AD232" s="19"/>
      <c r="AE232" s="19"/>
      <c r="AF232" s="19"/>
      <c r="AG232" s="19"/>
    </row>
    <row r="233" ht="22.5" customHeight="1">
      <c r="A233" s="13">
        <v>45904.87284131945</v>
      </c>
      <c r="B233" s="21">
        <v>45904.0</v>
      </c>
      <c r="C233" s="11" t="s">
        <v>918</v>
      </c>
      <c r="D233" s="15" t="s">
        <v>919</v>
      </c>
      <c r="E233" s="11" t="s">
        <v>43</v>
      </c>
      <c r="F233" s="23">
        <v>3000000.0</v>
      </c>
      <c r="G233" s="11" t="s">
        <v>23</v>
      </c>
      <c r="H233" s="11">
        <v>3000000.0</v>
      </c>
      <c r="I233" s="11" t="s">
        <v>413</v>
      </c>
      <c r="J233" s="18"/>
      <c r="K233" s="16" t="s">
        <v>920</v>
      </c>
      <c r="L233" s="11" t="s">
        <v>202</v>
      </c>
      <c r="M233" s="11" t="s">
        <v>544</v>
      </c>
      <c r="N233" s="11" t="s">
        <v>204</v>
      </c>
      <c r="O233" s="18"/>
      <c r="P233" s="18"/>
      <c r="Q233" s="18"/>
      <c r="R233" s="11" t="s">
        <v>28</v>
      </c>
      <c r="S233" s="18"/>
      <c r="T233" s="18"/>
      <c r="U233" s="18"/>
      <c r="V233" s="18"/>
      <c r="W233" s="18"/>
      <c r="X233" s="18"/>
      <c r="Y233" s="18"/>
      <c r="Z233" s="18"/>
      <c r="AA233" s="18"/>
      <c r="AB233" s="19"/>
      <c r="AC233" s="19"/>
      <c r="AD233" s="19"/>
      <c r="AE233" s="19"/>
      <c r="AF233" s="19"/>
      <c r="AG233" s="19"/>
    </row>
    <row r="234" ht="22.5" customHeight="1">
      <c r="A234" s="13">
        <v>45904.878280370365</v>
      </c>
      <c r="B234" s="21">
        <v>45904.0</v>
      </c>
      <c r="C234" s="11" t="s">
        <v>921</v>
      </c>
      <c r="D234" s="15" t="s">
        <v>922</v>
      </c>
      <c r="E234" s="11" t="s">
        <v>228</v>
      </c>
      <c r="F234" s="11">
        <v>3100000.0</v>
      </c>
      <c r="G234" s="11" t="s">
        <v>23</v>
      </c>
      <c r="H234" s="18"/>
      <c r="I234" s="11" t="s">
        <v>229</v>
      </c>
      <c r="J234" s="11" t="s">
        <v>923</v>
      </c>
      <c r="K234" s="16" t="s">
        <v>924</v>
      </c>
      <c r="L234" s="11" t="s">
        <v>252</v>
      </c>
      <c r="M234" s="18"/>
      <c r="N234" s="18"/>
      <c r="O234" s="11" t="s">
        <v>205</v>
      </c>
      <c r="P234" s="18"/>
      <c r="Q234" s="18"/>
      <c r="R234" s="18"/>
      <c r="S234" s="18"/>
      <c r="T234" s="18"/>
      <c r="U234" s="18"/>
      <c r="V234" s="18"/>
      <c r="W234" s="18"/>
      <c r="X234" s="11" t="s">
        <v>487</v>
      </c>
      <c r="Y234" s="18"/>
      <c r="Z234" s="18"/>
      <c r="AA234" s="18"/>
      <c r="AB234" s="19"/>
      <c r="AC234" s="19"/>
      <c r="AD234" s="19"/>
      <c r="AE234" s="19"/>
      <c r="AF234" s="19"/>
      <c r="AG234" s="19"/>
    </row>
    <row r="235" ht="22.5" customHeight="1">
      <c r="A235" s="13">
        <v>45904.92267234954</v>
      </c>
      <c r="B235" s="21">
        <v>45904.0</v>
      </c>
      <c r="C235" s="11" t="s">
        <v>900</v>
      </c>
      <c r="D235" s="15" t="s">
        <v>901</v>
      </c>
      <c r="E235" s="11" t="s">
        <v>43</v>
      </c>
      <c r="F235" s="11">
        <v>3000000.0</v>
      </c>
      <c r="G235" s="11" t="s">
        <v>23</v>
      </c>
      <c r="H235" s="11">
        <v>1.0E7</v>
      </c>
      <c r="I235" s="11" t="s">
        <v>413</v>
      </c>
      <c r="J235" s="18"/>
      <c r="K235" s="16" t="s">
        <v>925</v>
      </c>
      <c r="L235" s="11" t="s">
        <v>202</v>
      </c>
      <c r="M235" s="11" t="s">
        <v>926</v>
      </c>
      <c r="N235" s="11" t="s">
        <v>215</v>
      </c>
      <c r="O235" s="18"/>
      <c r="P235" s="18"/>
      <c r="Q235" s="18"/>
      <c r="R235" s="18"/>
      <c r="S235" s="18"/>
      <c r="T235" s="18"/>
      <c r="U235" s="18"/>
      <c r="V235" s="18"/>
      <c r="W235" s="11" t="s">
        <v>216</v>
      </c>
      <c r="X235" s="18"/>
      <c r="Y235" s="18"/>
      <c r="Z235" s="18"/>
      <c r="AA235" s="18"/>
      <c r="AB235" s="19"/>
      <c r="AC235" s="19"/>
      <c r="AD235" s="19"/>
      <c r="AE235" s="19"/>
      <c r="AF235" s="19"/>
      <c r="AG235" s="19"/>
    </row>
    <row r="236" ht="22.5" customHeight="1">
      <c r="A236" s="13">
        <v>45905.431302060184</v>
      </c>
      <c r="B236" s="21">
        <v>45905.0</v>
      </c>
      <c r="C236" s="11" t="s">
        <v>927</v>
      </c>
      <c r="D236" s="15" t="s">
        <v>928</v>
      </c>
      <c r="E236" s="11" t="s">
        <v>43</v>
      </c>
      <c r="F236" s="11">
        <v>4000000.0</v>
      </c>
      <c r="G236" s="11" t="s">
        <v>23</v>
      </c>
      <c r="H236" s="18"/>
      <c r="I236" s="11" t="s">
        <v>229</v>
      </c>
      <c r="J236" s="11" t="s">
        <v>377</v>
      </c>
      <c r="K236" s="16" t="s">
        <v>929</v>
      </c>
      <c r="L236" s="11" t="s">
        <v>202</v>
      </c>
      <c r="M236" s="18"/>
      <c r="N236" s="11" t="s">
        <v>204</v>
      </c>
      <c r="O236" s="18"/>
      <c r="P236" s="18"/>
      <c r="Q236" s="18"/>
      <c r="R236" s="11" t="s">
        <v>98</v>
      </c>
      <c r="S236" s="18"/>
      <c r="T236" s="18"/>
      <c r="U236" s="18"/>
      <c r="V236" s="18"/>
      <c r="W236" s="18"/>
      <c r="X236" s="18"/>
      <c r="Y236" s="18"/>
      <c r="Z236" s="18"/>
      <c r="AA236" s="18"/>
      <c r="AB236" s="19"/>
      <c r="AC236" s="19"/>
      <c r="AD236" s="19"/>
      <c r="AE236" s="19"/>
      <c r="AF236" s="19"/>
      <c r="AG236" s="19"/>
    </row>
    <row r="237">
      <c r="A237" s="24">
        <v>45905.43776423611</v>
      </c>
      <c r="B237" s="25">
        <v>45905.0</v>
      </c>
      <c r="C237" s="26" t="s">
        <v>930</v>
      </c>
      <c r="D237" s="27" t="s">
        <v>931</v>
      </c>
      <c r="E237" s="26" t="s">
        <v>43</v>
      </c>
      <c r="F237" s="26">
        <v>4000000.0</v>
      </c>
      <c r="G237" s="26" t="s">
        <v>23</v>
      </c>
      <c r="H237" s="19"/>
      <c r="I237" s="26" t="s">
        <v>229</v>
      </c>
      <c r="J237" s="26" t="s">
        <v>25</v>
      </c>
      <c r="K237" s="28" t="s">
        <v>932</v>
      </c>
      <c r="L237" s="26" t="s">
        <v>202</v>
      </c>
      <c r="M237" s="19"/>
      <c r="N237" s="26" t="s">
        <v>220</v>
      </c>
      <c r="O237" s="19"/>
      <c r="P237" s="19"/>
      <c r="Q237" s="19"/>
      <c r="R237" s="19"/>
      <c r="S237" s="26" t="s">
        <v>124</v>
      </c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>
      <c r="A238" s="24">
        <v>45905.44668959491</v>
      </c>
      <c r="B238" s="25">
        <v>45905.0</v>
      </c>
      <c r="C238" s="26" t="s">
        <v>933</v>
      </c>
      <c r="D238" s="27" t="s">
        <v>934</v>
      </c>
      <c r="E238" s="26" t="s">
        <v>43</v>
      </c>
      <c r="F238" s="26">
        <v>8600000.0</v>
      </c>
      <c r="G238" s="26" t="s">
        <v>23</v>
      </c>
      <c r="H238" s="19"/>
      <c r="I238" s="26" t="s">
        <v>229</v>
      </c>
      <c r="J238" s="26" t="s">
        <v>165</v>
      </c>
      <c r="K238" s="28" t="s">
        <v>935</v>
      </c>
      <c r="L238" s="26" t="s">
        <v>202</v>
      </c>
      <c r="M238" s="19"/>
      <c r="N238" s="26" t="s">
        <v>667</v>
      </c>
      <c r="O238" s="19"/>
      <c r="P238" s="19"/>
      <c r="Q238" s="19"/>
      <c r="R238" s="19"/>
      <c r="S238" s="19"/>
      <c r="T238" s="19"/>
      <c r="U238" s="26" t="s">
        <v>668</v>
      </c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>
      <c r="A239" s="24">
        <v>45905.45254549768</v>
      </c>
      <c r="B239" s="25">
        <v>45905.0</v>
      </c>
      <c r="C239" s="26" t="s">
        <v>936</v>
      </c>
      <c r="D239" s="27" t="s">
        <v>937</v>
      </c>
      <c r="E239" s="26" t="s">
        <v>43</v>
      </c>
      <c r="F239" s="26">
        <v>7000000.0</v>
      </c>
      <c r="G239" s="26" t="s">
        <v>23</v>
      </c>
      <c r="H239" s="19"/>
      <c r="I239" s="26" t="s">
        <v>229</v>
      </c>
      <c r="J239" s="26" t="s">
        <v>262</v>
      </c>
      <c r="K239" s="28" t="s">
        <v>938</v>
      </c>
      <c r="L239" s="26" t="s">
        <v>252</v>
      </c>
      <c r="M239" s="19"/>
      <c r="N239" s="19"/>
      <c r="O239" s="26" t="s">
        <v>257</v>
      </c>
      <c r="P239" s="26" t="s">
        <v>258</v>
      </c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>
      <c r="A240" s="24">
        <v>45905.46494803241</v>
      </c>
      <c r="B240" s="25">
        <v>45905.0</v>
      </c>
      <c r="C240" s="26" t="s">
        <v>939</v>
      </c>
      <c r="D240" s="27" t="s">
        <v>940</v>
      </c>
      <c r="E240" s="26" t="s">
        <v>43</v>
      </c>
      <c r="F240" s="26">
        <v>4700000.0</v>
      </c>
      <c r="G240" s="26" t="s">
        <v>23</v>
      </c>
      <c r="H240" s="19"/>
      <c r="I240" s="26" t="s">
        <v>229</v>
      </c>
      <c r="J240" s="26" t="s">
        <v>464</v>
      </c>
      <c r="K240" s="28" t="s">
        <v>941</v>
      </c>
      <c r="L240" s="26" t="s">
        <v>202</v>
      </c>
      <c r="M240" s="19"/>
      <c r="N240" s="26" t="s">
        <v>220</v>
      </c>
      <c r="O240" s="19"/>
      <c r="P240" s="19"/>
      <c r="Q240" s="19"/>
      <c r="R240" s="19"/>
      <c r="S240" s="26" t="s">
        <v>466</v>
      </c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>
      <c r="A241" s="29">
        <v>45905.477577708334</v>
      </c>
      <c r="B241" s="30">
        <v>45905.0</v>
      </c>
      <c r="C241" s="31" t="s">
        <v>942</v>
      </c>
      <c r="D241" s="32" t="s">
        <v>943</v>
      </c>
      <c r="E241" s="31" t="s">
        <v>31</v>
      </c>
      <c r="F241" s="31">
        <v>6200000.0</v>
      </c>
      <c r="G241" s="31" t="s">
        <v>45</v>
      </c>
      <c r="I241" s="31" t="s">
        <v>229</v>
      </c>
      <c r="J241" s="31" t="s">
        <v>944</v>
      </c>
      <c r="K241" s="33" t="s">
        <v>945</v>
      </c>
      <c r="L241" s="31" t="s">
        <v>252</v>
      </c>
      <c r="O241" s="31" t="s">
        <v>205</v>
      </c>
      <c r="X241" s="31" t="s">
        <v>716</v>
      </c>
    </row>
    <row r="242">
      <c r="A242" s="29">
        <v>45905.48790868056</v>
      </c>
      <c r="B242" s="30">
        <v>45905.0</v>
      </c>
      <c r="C242" s="31" t="s">
        <v>946</v>
      </c>
      <c r="D242" s="32" t="s">
        <v>947</v>
      </c>
      <c r="E242" s="31" t="s">
        <v>311</v>
      </c>
      <c r="F242" s="31">
        <v>3400000.0</v>
      </c>
      <c r="G242" s="31" t="s">
        <v>23</v>
      </c>
      <c r="H242" s="31">
        <v>3000000.0</v>
      </c>
      <c r="I242" s="31" t="s">
        <v>200</v>
      </c>
      <c r="K242" s="33" t="s">
        <v>948</v>
      </c>
      <c r="L242" s="31" t="s">
        <v>202</v>
      </c>
      <c r="M242" s="31" t="s">
        <v>203</v>
      </c>
      <c r="N242" s="31" t="s">
        <v>313</v>
      </c>
      <c r="T242" s="31" t="s">
        <v>314</v>
      </c>
    </row>
    <row r="243">
      <c r="A243" s="29">
        <v>45905.500744178236</v>
      </c>
      <c r="B243" s="30">
        <v>45905.0</v>
      </c>
      <c r="C243" s="31" t="s">
        <v>949</v>
      </c>
      <c r="D243" s="32" t="s">
        <v>950</v>
      </c>
      <c r="E243" s="31" t="s">
        <v>43</v>
      </c>
      <c r="F243" s="31">
        <v>3000000.0</v>
      </c>
      <c r="G243" s="31" t="s">
        <v>23</v>
      </c>
      <c r="H243" s="31">
        <v>3000000.0</v>
      </c>
      <c r="I243" s="31" t="s">
        <v>200</v>
      </c>
      <c r="K243" s="33" t="s">
        <v>951</v>
      </c>
      <c r="L243" s="31" t="s">
        <v>202</v>
      </c>
      <c r="M243" s="31" t="s">
        <v>203</v>
      </c>
      <c r="N243" s="31" t="s">
        <v>313</v>
      </c>
      <c r="T243" s="31" t="s">
        <v>384</v>
      </c>
    </row>
    <row r="244">
      <c r="A244" s="29">
        <v>45905.51000353009</v>
      </c>
      <c r="B244" s="30">
        <v>45905.0</v>
      </c>
      <c r="C244" s="31" t="s">
        <v>952</v>
      </c>
      <c r="D244" s="32" t="s">
        <v>953</v>
      </c>
      <c r="E244" s="31" t="s">
        <v>31</v>
      </c>
      <c r="F244" s="31">
        <v>3400000.0</v>
      </c>
      <c r="G244" s="31" t="s">
        <v>23</v>
      </c>
      <c r="I244" s="31" t="s">
        <v>229</v>
      </c>
      <c r="J244" s="31" t="s">
        <v>164</v>
      </c>
      <c r="K244" s="33" t="s">
        <v>954</v>
      </c>
      <c r="L244" s="31" t="s">
        <v>202</v>
      </c>
      <c r="N244" s="31" t="s">
        <v>204</v>
      </c>
      <c r="R244" s="31" t="s">
        <v>207</v>
      </c>
    </row>
    <row r="245">
      <c r="A245" s="29">
        <v>45905.54569907408</v>
      </c>
      <c r="B245" s="30">
        <v>45905.0</v>
      </c>
      <c r="C245" s="31" t="s">
        <v>955</v>
      </c>
      <c r="D245" s="32" t="s">
        <v>956</v>
      </c>
      <c r="E245" s="31" t="s">
        <v>957</v>
      </c>
      <c r="F245" s="31">
        <v>2000000.0</v>
      </c>
      <c r="G245" s="31" t="s">
        <v>23</v>
      </c>
      <c r="H245" s="31">
        <v>3000000.0</v>
      </c>
      <c r="I245" s="26" t="s">
        <v>413</v>
      </c>
      <c r="K245" s="33" t="s">
        <v>958</v>
      </c>
      <c r="L245" s="31" t="s">
        <v>202</v>
      </c>
      <c r="M245" s="31" t="s">
        <v>203</v>
      </c>
      <c r="N245" s="31" t="s">
        <v>215</v>
      </c>
      <c r="W245" s="31" t="s">
        <v>532</v>
      </c>
    </row>
    <row r="246">
      <c r="A246" s="29">
        <v>45905.54775280092</v>
      </c>
      <c r="B246" s="30">
        <v>45905.0</v>
      </c>
      <c r="C246" s="31" t="s">
        <v>959</v>
      </c>
      <c r="D246" s="32" t="s">
        <v>960</v>
      </c>
      <c r="E246" s="31" t="s">
        <v>43</v>
      </c>
      <c r="F246" s="31">
        <v>3500000.0</v>
      </c>
      <c r="G246" s="31" t="s">
        <v>23</v>
      </c>
      <c r="H246" s="31">
        <v>3000000.0</v>
      </c>
      <c r="I246" s="31" t="s">
        <v>200</v>
      </c>
      <c r="K246" s="33" t="s">
        <v>961</v>
      </c>
      <c r="L246" s="31" t="s">
        <v>252</v>
      </c>
      <c r="M246" s="31" t="s">
        <v>203</v>
      </c>
      <c r="O246" s="31" t="s">
        <v>257</v>
      </c>
      <c r="P246" s="31" t="s">
        <v>206</v>
      </c>
    </row>
    <row r="247">
      <c r="A247" s="29">
        <v>45905.55014060185</v>
      </c>
      <c r="B247" s="30">
        <v>45905.0</v>
      </c>
      <c r="C247" s="31" t="s">
        <v>962</v>
      </c>
      <c r="D247" s="32" t="s">
        <v>963</v>
      </c>
      <c r="E247" s="31" t="s">
        <v>31</v>
      </c>
      <c r="F247" s="31">
        <v>6500000.0</v>
      </c>
      <c r="G247" s="31" t="s">
        <v>23</v>
      </c>
      <c r="I247" s="31" t="s">
        <v>229</v>
      </c>
      <c r="J247" s="31" t="s">
        <v>327</v>
      </c>
      <c r="K247" s="33" t="s">
        <v>964</v>
      </c>
      <c r="L247" s="31" t="s">
        <v>202</v>
      </c>
      <c r="N247" s="31" t="s">
        <v>215</v>
      </c>
      <c r="W247" s="31" t="s">
        <v>355</v>
      </c>
    </row>
    <row r="248">
      <c r="A248" s="29">
        <v>45905.55029804398</v>
      </c>
      <c r="B248" s="30">
        <v>45905.0</v>
      </c>
      <c r="C248" s="31" t="s">
        <v>965</v>
      </c>
      <c r="D248" s="32" t="s">
        <v>966</v>
      </c>
      <c r="E248" s="31" t="s">
        <v>31</v>
      </c>
      <c r="F248" s="31">
        <v>3500000.0</v>
      </c>
      <c r="G248" s="31" t="s">
        <v>23</v>
      </c>
      <c r="I248" s="31" t="s">
        <v>229</v>
      </c>
      <c r="J248" s="31" t="s">
        <v>967</v>
      </c>
      <c r="K248" s="33" t="s">
        <v>968</v>
      </c>
      <c r="L248" s="31" t="s">
        <v>202</v>
      </c>
      <c r="N248" s="31" t="s">
        <v>204</v>
      </c>
      <c r="R248" s="31" t="s">
        <v>98</v>
      </c>
    </row>
    <row r="249">
      <c r="A249" s="29">
        <v>45905.55110416666</v>
      </c>
      <c r="B249" s="30">
        <v>45905.0</v>
      </c>
      <c r="C249" s="31" t="s">
        <v>969</v>
      </c>
      <c r="D249" s="32" t="s">
        <v>970</v>
      </c>
      <c r="E249" s="31" t="s">
        <v>971</v>
      </c>
      <c r="F249" s="31">
        <v>5000000.0</v>
      </c>
      <c r="G249" s="31" t="s">
        <v>23</v>
      </c>
      <c r="I249" s="31" t="s">
        <v>229</v>
      </c>
      <c r="J249" s="31" t="s">
        <v>250</v>
      </c>
      <c r="K249" s="33" t="s">
        <v>972</v>
      </c>
      <c r="L249" s="31" t="s">
        <v>252</v>
      </c>
      <c r="O249" s="31" t="s">
        <v>205</v>
      </c>
      <c r="X249" s="31" t="s">
        <v>549</v>
      </c>
    </row>
    <row r="250">
      <c r="A250" s="29">
        <v>45905.5521372338</v>
      </c>
      <c r="B250" s="30">
        <v>45905.0</v>
      </c>
      <c r="C250" s="31" t="s">
        <v>973</v>
      </c>
      <c r="D250" s="32" t="s">
        <v>974</v>
      </c>
      <c r="E250" s="31" t="s">
        <v>31</v>
      </c>
      <c r="F250" s="31">
        <v>6100000.0</v>
      </c>
      <c r="G250" s="31" t="s">
        <v>23</v>
      </c>
      <c r="H250" s="31">
        <v>5000000.0</v>
      </c>
      <c r="I250" s="31" t="s">
        <v>200</v>
      </c>
      <c r="K250" s="33" t="s">
        <v>975</v>
      </c>
      <c r="L250" s="31" t="s">
        <v>202</v>
      </c>
      <c r="M250" s="31" t="s">
        <v>203</v>
      </c>
      <c r="N250" s="31" t="s">
        <v>313</v>
      </c>
      <c r="T250" s="31" t="s">
        <v>329</v>
      </c>
    </row>
    <row r="251">
      <c r="A251" s="29">
        <v>45905.55247743055</v>
      </c>
      <c r="B251" s="30">
        <v>45905.0</v>
      </c>
      <c r="C251" s="31" t="s">
        <v>976</v>
      </c>
      <c r="D251" s="32" t="s">
        <v>977</v>
      </c>
      <c r="E251" s="31" t="s">
        <v>31</v>
      </c>
      <c r="F251" s="31">
        <v>3100000.0</v>
      </c>
      <c r="G251" s="31" t="s">
        <v>23</v>
      </c>
      <c r="I251" s="31" t="s">
        <v>229</v>
      </c>
      <c r="J251" s="31" t="s">
        <v>327</v>
      </c>
      <c r="K251" s="33" t="s">
        <v>978</v>
      </c>
      <c r="L251" s="31" t="s">
        <v>202</v>
      </c>
      <c r="N251" s="31" t="s">
        <v>215</v>
      </c>
      <c r="W251" s="31" t="s">
        <v>355</v>
      </c>
    </row>
    <row r="252">
      <c r="A252" s="29">
        <v>45905.55587182871</v>
      </c>
      <c r="B252" s="30">
        <v>45905.0</v>
      </c>
      <c r="C252" s="31" t="s">
        <v>979</v>
      </c>
      <c r="D252" s="32" t="s">
        <v>980</v>
      </c>
      <c r="E252" s="31" t="s">
        <v>31</v>
      </c>
      <c r="F252" s="31">
        <v>3600000.0</v>
      </c>
      <c r="G252" s="31" t="s">
        <v>23</v>
      </c>
      <c r="I252" s="31" t="s">
        <v>229</v>
      </c>
      <c r="J252" s="31" t="s">
        <v>327</v>
      </c>
      <c r="K252" s="33" t="s">
        <v>981</v>
      </c>
      <c r="L252" s="31" t="s">
        <v>202</v>
      </c>
      <c r="N252" s="31" t="s">
        <v>215</v>
      </c>
      <c r="W252" s="31" t="s">
        <v>355</v>
      </c>
    </row>
    <row r="253">
      <c r="A253" s="29">
        <v>45905.55781721065</v>
      </c>
      <c r="B253" s="30">
        <v>45905.0</v>
      </c>
      <c r="C253" s="31" t="s">
        <v>982</v>
      </c>
      <c r="D253" s="32" t="s">
        <v>983</v>
      </c>
      <c r="E253" s="31" t="s">
        <v>984</v>
      </c>
      <c r="F253" s="31">
        <v>5000000.0</v>
      </c>
      <c r="G253" s="31" t="s">
        <v>23</v>
      </c>
      <c r="I253" s="31" t="s">
        <v>229</v>
      </c>
      <c r="J253" s="31" t="s">
        <v>967</v>
      </c>
      <c r="K253" s="33" t="s">
        <v>985</v>
      </c>
      <c r="L253" s="31" t="s">
        <v>202</v>
      </c>
      <c r="N253" s="31" t="s">
        <v>313</v>
      </c>
      <c r="T253" s="31" t="s">
        <v>329</v>
      </c>
    </row>
    <row r="254">
      <c r="A254" s="29">
        <v>45905.58115637732</v>
      </c>
      <c r="B254" s="30">
        <v>45905.0</v>
      </c>
      <c r="C254" s="31" t="s">
        <v>986</v>
      </c>
      <c r="D254" s="32" t="s">
        <v>987</v>
      </c>
      <c r="E254" s="31" t="s">
        <v>43</v>
      </c>
      <c r="F254" s="31">
        <v>2500.0</v>
      </c>
      <c r="G254" s="31" t="s">
        <v>23</v>
      </c>
      <c r="H254" s="31">
        <v>3000000.0</v>
      </c>
      <c r="I254" s="31" t="s">
        <v>200</v>
      </c>
      <c r="K254" s="33" t="s">
        <v>988</v>
      </c>
      <c r="L254" s="31" t="s">
        <v>202</v>
      </c>
      <c r="M254" s="31" t="s">
        <v>203</v>
      </c>
      <c r="N254" s="31" t="s">
        <v>204</v>
      </c>
      <c r="R254" s="31" t="s">
        <v>192</v>
      </c>
    </row>
    <row r="255">
      <c r="A255" s="29">
        <v>45905.581328229164</v>
      </c>
      <c r="B255" s="30">
        <v>45905.0</v>
      </c>
      <c r="C255" s="31" t="s">
        <v>989</v>
      </c>
      <c r="D255" s="31" t="s">
        <v>990</v>
      </c>
      <c r="E255" s="31" t="s">
        <v>43</v>
      </c>
      <c r="F255" s="34">
        <v>4200.0</v>
      </c>
      <c r="G255" s="31" t="s">
        <v>45</v>
      </c>
      <c r="I255" s="31" t="s">
        <v>229</v>
      </c>
      <c r="J255" s="31" t="s">
        <v>270</v>
      </c>
      <c r="K255" s="33" t="s">
        <v>991</v>
      </c>
      <c r="L255" s="31" t="s">
        <v>252</v>
      </c>
      <c r="O255" s="31" t="s">
        <v>257</v>
      </c>
      <c r="P255" s="31" t="s">
        <v>992</v>
      </c>
    </row>
    <row r="256">
      <c r="A256" s="29">
        <v>45905.58499456018</v>
      </c>
      <c r="B256" s="30">
        <v>45905.0</v>
      </c>
      <c r="C256" s="31" t="s">
        <v>993</v>
      </c>
      <c r="D256" s="32" t="s">
        <v>994</v>
      </c>
      <c r="E256" s="31" t="s">
        <v>363</v>
      </c>
      <c r="F256" s="31">
        <v>4000000.0</v>
      </c>
      <c r="G256" s="31" t="s">
        <v>23</v>
      </c>
      <c r="I256" s="31" t="s">
        <v>229</v>
      </c>
      <c r="J256" s="31" t="s">
        <v>967</v>
      </c>
      <c r="K256" s="33" t="s">
        <v>995</v>
      </c>
      <c r="L256" s="31" t="s">
        <v>252</v>
      </c>
      <c r="O256" s="31" t="s">
        <v>205</v>
      </c>
      <c r="X256" s="31" t="s">
        <v>487</v>
      </c>
    </row>
    <row r="257">
      <c r="A257" s="29">
        <v>45905.589950706024</v>
      </c>
      <c r="B257" s="30">
        <v>45905.0</v>
      </c>
      <c r="C257" s="31" t="s">
        <v>996</v>
      </c>
      <c r="D257" s="32" t="s">
        <v>997</v>
      </c>
      <c r="E257" s="31" t="s">
        <v>43</v>
      </c>
      <c r="F257" s="31">
        <v>9000000.0</v>
      </c>
      <c r="G257" s="31" t="s">
        <v>23</v>
      </c>
      <c r="I257" s="31" t="s">
        <v>229</v>
      </c>
      <c r="J257" s="31" t="s">
        <v>464</v>
      </c>
      <c r="K257" s="33" t="s">
        <v>998</v>
      </c>
      <c r="L257" s="31" t="s">
        <v>202</v>
      </c>
      <c r="N257" s="31" t="s">
        <v>220</v>
      </c>
      <c r="S257" s="31" t="s">
        <v>466</v>
      </c>
    </row>
    <row r="258">
      <c r="A258" s="29">
        <v>45905.60482177083</v>
      </c>
      <c r="B258" s="30">
        <v>45905.0</v>
      </c>
      <c r="C258" s="31" t="s">
        <v>999</v>
      </c>
      <c r="D258" s="32" t="s">
        <v>1000</v>
      </c>
      <c r="E258" s="31" t="s">
        <v>784</v>
      </c>
      <c r="F258" s="31">
        <v>5000000.0</v>
      </c>
      <c r="G258" s="31" t="s">
        <v>23</v>
      </c>
      <c r="I258" s="31" t="s">
        <v>229</v>
      </c>
      <c r="J258" s="31" t="s">
        <v>967</v>
      </c>
      <c r="K258" s="33" t="s">
        <v>1001</v>
      </c>
      <c r="L258" s="31" t="s">
        <v>252</v>
      </c>
      <c r="O258" s="31" t="s">
        <v>205</v>
      </c>
      <c r="X258" s="31" t="s">
        <v>487</v>
      </c>
    </row>
    <row r="259">
      <c r="A259" s="29">
        <v>45905.62025681713</v>
      </c>
      <c r="B259" s="30">
        <v>45905.0</v>
      </c>
      <c r="C259" s="31" t="s">
        <v>1002</v>
      </c>
      <c r="D259" s="32" t="s">
        <v>1003</v>
      </c>
      <c r="E259" s="31" t="s">
        <v>43</v>
      </c>
      <c r="F259" s="31">
        <v>5490000.0</v>
      </c>
      <c r="G259" s="31" t="s">
        <v>23</v>
      </c>
      <c r="I259" s="31" t="s">
        <v>229</v>
      </c>
      <c r="J259" s="31" t="s">
        <v>967</v>
      </c>
      <c r="K259" s="33" t="s">
        <v>1004</v>
      </c>
      <c r="L259" s="31" t="s">
        <v>252</v>
      </c>
      <c r="O259" s="31" t="s">
        <v>205</v>
      </c>
      <c r="X259" s="31" t="s">
        <v>716</v>
      </c>
    </row>
    <row r="260">
      <c r="A260" s="29">
        <v>45905.62185465278</v>
      </c>
      <c r="B260" s="30">
        <v>45905.0</v>
      </c>
      <c r="C260" s="31" t="s">
        <v>1005</v>
      </c>
      <c r="D260" s="32" t="s">
        <v>1006</v>
      </c>
      <c r="E260" s="31" t="s">
        <v>1007</v>
      </c>
      <c r="F260" s="31">
        <v>2500000.0</v>
      </c>
      <c r="G260" s="31" t="s">
        <v>23</v>
      </c>
      <c r="I260" s="31" t="s">
        <v>229</v>
      </c>
      <c r="J260" s="31" t="s">
        <v>967</v>
      </c>
      <c r="K260" s="33" t="s">
        <v>1008</v>
      </c>
      <c r="L260" s="31" t="s">
        <v>202</v>
      </c>
      <c r="N260" s="31" t="s">
        <v>204</v>
      </c>
      <c r="R260" s="31" t="s">
        <v>207</v>
      </c>
    </row>
    <row r="261">
      <c r="A261" s="29">
        <v>45905.6235194676</v>
      </c>
      <c r="B261" s="30">
        <v>45905.0</v>
      </c>
      <c r="C261" s="31" t="s">
        <v>1009</v>
      </c>
      <c r="D261" s="32" t="s">
        <v>1010</v>
      </c>
      <c r="E261" s="31" t="s">
        <v>881</v>
      </c>
      <c r="F261" s="31">
        <v>4600000.0</v>
      </c>
      <c r="G261" s="31" t="s">
        <v>45</v>
      </c>
      <c r="I261" s="31" t="s">
        <v>229</v>
      </c>
      <c r="J261" s="31" t="s">
        <v>250</v>
      </c>
      <c r="K261" s="33" t="s">
        <v>1011</v>
      </c>
      <c r="L261" s="31" t="s">
        <v>202</v>
      </c>
      <c r="N261" s="31" t="s">
        <v>220</v>
      </c>
      <c r="S261" s="31" t="s">
        <v>59</v>
      </c>
    </row>
    <row r="262">
      <c r="A262" s="29">
        <v>45905.62508403935</v>
      </c>
      <c r="B262" s="30">
        <v>45905.0</v>
      </c>
      <c r="C262" s="31" t="s">
        <v>1012</v>
      </c>
      <c r="D262" s="32" t="s">
        <v>1013</v>
      </c>
      <c r="E262" s="31" t="s">
        <v>881</v>
      </c>
      <c r="F262" s="31">
        <v>4600000.0</v>
      </c>
      <c r="G262" s="31" t="s">
        <v>23</v>
      </c>
      <c r="I262" s="31" t="s">
        <v>229</v>
      </c>
      <c r="J262" s="31" t="s">
        <v>229</v>
      </c>
      <c r="K262" s="33" t="s">
        <v>1014</v>
      </c>
      <c r="L262" s="31" t="s">
        <v>202</v>
      </c>
      <c r="N262" s="31" t="s">
        <v>220</v>
      </c>
      <c r="S262" s="31" t="s">
        <v>59</v>
      </c>
    </row>
    <row r="263">
      <c r="A263" s="29">
        <v>45905.634418437505</v>
      </c>
      <c r="B263" s="30">
        <v>45905.0</v>
      </c>
      <c r="C263" s="31" t="s">
        <v>1015</v>
      </c>
      <c r="D263" s="32" t="s">
        <v>1016</v>
      </c>
      <c r="E263" s="31" t="s">
        <v>283</v>
      </c>
      <c r="F263" s="31">
        <v>9000000.0</v>
      </c>
      <c r="G263" s="31" t="s">
        <v>23</v>
      </c>
      <c r="I263" s="31" t="s">
        <v>229</v>
      </c>
      <c r="J263" s="31" t="s">
        <v>165</v>
      </c>
      <c r="K263" s="33" t="s">
        <v>1017</v>
      </c>
      <c r="L263" s="31" t="s">
        <v>252</v>
      </c>
      <c r="O263" s="31" t="s">
        <v>257</v>
      </c>
      <c r="P263" s="31" t="s">
        <v>285</v>
      </c>
    </row>
    <row r="264">
      <c r="A264" s="29">
        <v>45905.636853275464</v>
      </c>
      <c r="B264" s="30">
        <v>45905.0</v>
      </c>
      <c r="C264" s="31" t="s">
        <v>1018</v>
      </c>
      <c r="D264" s="32" t="s">
        <v>1019</v>
      </c>
      <c r="E264" s="31" t="s">
        <v>43</v>
      </c>
      <c r="F264" s="31">
        <v>2000000.0</v>
      </c>
      <c r="G264" s="31" t="s">
        <v>23</v>
      </c>
      <c r="I264" s="31" t="s">
        <v>229</v>
      </c>
      <c r="J264" s="31" t="s">
        <v>967</v>
      </c>
      <c r="K264" s="33" t="s">
        <v>1020</v>
      </c>
      <c r="L264" s="31" t="s">
        <v>202</v>
      </c>
      <c r="N264" s="31" t="s">
        <v>871</v>
      </c>
      <c r="Q264" s="31" t="s">
        <v>1021</v>
      </c>
    </row>
    <row r="265">
      <c r="A265" s="29">
        <v>45905.64528607639</v>
      </c>
      <c r="B265" s="30">
        <v>45905.0</v>
      </c>
      <c r="C265" s="31" t="s">
        <v>1022</v>
      </c>
      <c r="D265" s="32" t="s">
        <v>1023</v>
      </c>
      <c r="E265" s="31" t="s">
        <v>335</v>
      </c>
      <c r="F265" s="31">
        <v>4000000.0</v>
      </c>
      <c r="G265" s="31" t="s">
        <v>23</v>
      </c>
      <c r="H265" s="31">
        <v>3000000.0</v>
      </c>
      <c r="I265" s="26" t="s">
        <v>413</v>
      </c>
      <c r="K265" s="33" t="s">
        <v>1024</v>
      </c>
      <c r="L265" s="31" t="s">
        <v>202</v>
      </c>
      <c r="M265" s="31" t="s">
        <v>203</v>
      </c>
      <c r="N265" s="31" t="s">
        <v>313</v>
      </c>
      <c r="T265" s="31" t="s">
        <v>384</v>
      </c>
    </row>
    <row r="266">
      <c r="A266" s="29">
        <v>45905.66307902778</v>
      </c>
      <c r="B266" s="30">
        <v>45905.0</v>
      </c>
      <c r="C266" s="31" t="s">
        <v>1025</v>
      </c>
      <c r="D266" s="31">
        <v>8.123896611E10</v>
      </c>
      <c r="E266" s="31" t="s">
        <v>1026</v>
      </c>
      <c r="F266" s="34">
        <v>1800.0</v>
      </c>
      <c r="G266" s="31" t="s">
        <v>23</v>
      </c>
      <c r="I266" s="31" t="s">
        <v>229</v>
      </c>
      <c r="J266" s="31" t="s">
        <v>967</v>
      </c>
      <c r="K266" s="33" t="s">
        <v>1027</v>
      </c>
      <c r="L266" s="31" t="s">
        <v>202</v>
      </c>
      <c r="N266" s="31" t="s">
        <v>204</v>
      </c>
      <c r="R266" s="31" t="s">
        <v>171</v>
      </c>
    </row>
    <row r="267">
      <c r="A267" s="29">
        <v>45905.66586334491</v>
      </c>
      <c r="B267" s="30">
        <v>45905.0</v>
      </c>
      <c r="C267" s="31" t="s">
        <v>1028</v>
      </c>
      <c r="D267" s="31">
        <v>0.0</v>
      </c>
      <c r="E267" s="31" t="s">
        <v>1029</v>
      </c>
      <c r="F267" s="32" t="s">
        <v>1030</v>
      </c>
      <c r="G267" s="31" t="s">
        <v>23</v>
      </c>
      <c r="I267" s="31" t="s">
        <v>229</v>
      </c>
      <c r="J267" s="31" t="s">
        <v>967</v>
      </c>
      <c r="K267" s="33" t="s">
        <v>1031</v>
      </c>
      <c r="L267" s="31" t="s">
        <v>202</v>
      </c>
      <c r="N267" s="31" t="s">
        <v>204</v>
      </c>
      <c r="R267" s="31" t="s">
        <v>171</v>
      </c>
    </row>
    <row r="268">
      <c r="A268" s="29">
        <v>45905.68519362269</v>
      </c>
      <c r="B268" s="30">
        <v>45905.0</v>
      </c>
      <c r="C268" s="31" t="s">
        <v>1032</v>
      </c>
      <c r="D268" s="32" t="s">
        <v>1033</v>
      </c>
      <c r="E268" s="31" t="s">
        <v>43</v>
      </c>
      <c r="F268" s="31">
        <v>4000000.0</v>
      </c>
      <c r="G268" s="31" t="s">
        <v>23</v>
      </c>
      <c r="H268" s="31">
        <v>7000000.0</v>
      </c>
      <c r="I268" s="26" t="s">
        <v>413</v>
      </c>
      <c r="K268" s="33" t="s">
        <v>1034</v>
      </c>
      <c r="L268" s="31" t="s">
        <v>202</v>
      </c>
      <c r="M268" s="31" t="s">
        <v>203</v>
      </c>
      <c r="N268" s="31" t="s">
        <v>220</v>
      </c>
      <c r="S268" s="31" t="s">
        <v>466</v>
      </c>
    </row>
    <row r="269">
      <c r="A269" s="29">
        <v>45905.70137848379</v>
      </c>
      <c r="B269" s="30">
        <v>45905.0</v>
      </c>
      <c r="C269" s="31" t="s">
        <v>1035</v>
      </c>
      <c r="D269" s="32" t="s">
        <v>1036</v>
      </c>
      <c r="E269" s="31" t="s">
        <v>43</v>
      </c>
      <c r="F269" s="31">
        <v>6200000.0</v>
      </c>
      <c r="G269" s="31" t="s">
        <v>23</v>
      </c>
      <c r="I269" s="31" t="s">
        <v>229</v>
      </c>
      <c r="J269" s="31" t="s">
        <v>967</v>
      </c>
      <c r="K269" s="33" t="s">
        <v>1037</v>
      </c>
      <c r="L269" s="31" t="s">
        <v>252</v>
      </c>
      <c r="O269" s="31" t="s">
        <v>205</v>
      </c>
      <c r="X269" s="31" t="s">
        <v>452</v>
      </c>
    </row>
    <row r="270">
      <c r="A270" s="29">
        <v>45905.70890385417</v>
      </c>
      <c r="B270" s="30">
        <v>45903.0</v>
      </c>
      <c r="C270" s="31" t="s">
        <v>1038</v>
      </c>
      <c r="D270" s="32" t="s">
        <v>1039</v>
      </c>
      <c r="E270" s="31" t="s">
        <v>43</v>
      </c>
      <c r="F270" s="31">
        <v>5200000.0</v>
      </c>
      <c r="G270" s="31" t="s">
        <v>23</v>
      </c>
      <c r="I270" s="31" t="s">
        <v>229</v>
      </c>
      <c r="J270" s="31" t="s">
        <v>967</v>
      </c>
      <c r="K270" s="33" t="s">
        <v>1040</v>
      </c>
      <c r="L270" s="31" t="s">
        <v>202</v>
      </c>
      <c r="N270" s="31" t="s">
        <v>204</v>
      </c>
      <c r="R270" s="31" t="s">
        <v>53</v>
      </c>
    </row>
    <row r="271">
      <c r="A271" s="29">
        <v>45905.71853863426</v>
      </c>
      <c r="B271" s="30">
        <v>45905.0</v>
      </c>
      <c r="C271" s="31" t="s">
        <v>1041</v>
      </c>
      <c r="D271" s="32" t="s">
        <v>1042</v>
      </c>
      <c r="E271" s="31" t="s">
        <v>31</v>
      </c>
      <c r="F271" s="31">
        <v>4500000.0</v>
      </c>
      <c r="G271" s="31" t="s">
        <v>23</v>
      </c>
      <c r="I271" s="31" t="s">
        <v>229</v>
      </c>
      <c r="J271" s="31" t="s">
        <v>967</v>
      </c>
      <c r="K271" s="33" t="s">
        <v>1043</v>
      </c>
      <c r="L271" s="31" t="s">
        <v>202</v>
      </c>
      <c r="N271" s="31" t="s">
        <v>204</v>
      </c>
      <c r="R271" s="31" t="s">
        <v>98</v>
      </c>
    </row>
    <row r="272">
      <c r="A272" s="29">
        <v>45905.728940914356</v>
      </c>
      <c r="B272" s="30">
        <v>45905.0</v>
      </c>
      <c r="C272" s="31" t="s">
        <v>1044</v>
      </c>
      <c r="D272" s="32" t="s">
        <v>1045</v>
      </c>
      <c r="E272" s="31" t="s">
        <v>43</v>
      </c>
      <c r="F272" s="31">
        <v>4700000.0</v>
      </c>
      <c r="G272" s="31" t="s">
        <v>23</v>
      </c>
      <c r="I272" s="31" t="s">
        <v>229</v>
      </c>
      <c r="J272" s="31" t="s">
        <v>967</v>
      </c>
      <c r="K272" s="33" t="s">
        <v>1046</v>
      </c>
      <c r="L272" s="31" t="s">
        <v>202</v>
      </c>
      <c r="N272" s="31" t="s">
        <v>204</v>
      </c>
      <c r="R272" s="31" t="s">
        <v>90</v>
      </c>
    </row>
    <row r="273">
      <c r="A273" s="29">
        <v>45905.736126331016</v>
      </c>
      <c r="B273" s="30" t="s">
        <v>1047</v>
      </c>
      <c r="C273" s="31" t="s">
        <v>1048</v>
      </c>
      <c r="D273" s="32" t="s">
        <v>1049</v>
      </c>
      <c r="E273" s="31" t="s">
        <v>43</v>
      </c>
      <c r="F273" s="31">
        <v>2000000.0</v>
      </c>
      <c r="G273" s="31" t="s">
        <v>23</v>
      </c>
      <c r="H273" s="31">
        <v>3000000.0</v>
      </c>
      <c r="I273" s="26" t="s">
        <v>413</v>
      </c>
      <c r="K273" s="33" t="s">
        <v>1050</v>
      </c>
      <c r="L273" s="31" t="s">
        <v>202</v>
      </c>
      <c r="M273" s="31" t="s">
        <v>203</v>
      </c>
      <c r="N273" s="31" t="s">
        <v>215</v>
      </c>
      <c r="W273" s="31" t="s">
        <v>216</v>
      </c>
    </row>
    <row r="274">
      <c r="A274" s="29">
        <v>45905.74299940972</v>
      </c>
      <c r="B274" s="30">
        <v>45905.0</v>
      </c>
      <c r="C274" s="31" t="s">
        <v>1051</v>
      </c>
      <c r="D274" s="32" t="s">
        <v>1052</v>
      </c>
      <c r="E274" s="31" t="s">
        <v>132</v>
      </c>
      <c r="F274" s="31">
        <v>5000000.0</v>
      </c>
      <c r="G274" s="31" t="s">
        <v>23</v>
      </c>
      <c r="I274" s="31" t="s">
        <v>229</v>
      </c>
      <c r="J274" s="31" t="s">
        <v>1053</v>
      </c>
      <c r="K274" s="33" t="s">
        <v>1054</v>
      </c>
      <c r="L274" s="31" t="s">
        <v>202</v>
      </c>
      <c r="N274" s="31" t="s">
        <v>220</v>
      </c>
      <c r="S274" s="31" t="s">
        <v>36</v>
      </c>
    </row>
    <row r="275">
      <c r="A275" s="29">
        <v>45905.748183310185</v>
      </c>
      <c r="B275" s="30">
        <v>45905.0</v>
      </c>
      <c r="C275" s="31" t="s">
        <v>1055</v>
      </c>
      <c r="D275" s="32" t="s">
        <v>1056</v>
      </c>
      <c r="E275" s="31" t="s">
        <v>228</v>
      </c>
      <c r="F275" s="31">
        <v>4500000.0</v>
      </c>
      <c r="G275" s="31" t="s">
        <v>23</v>
      </c>
      <c r="I275" s="31" t="s">
        <v>229</v>
      </c>
      <c r="J275" s="31" t="s">
        <v>967</v>
      </c>
      <c r="K275" s="33" t="s">
        <v>1057</v>
      </c>
      <c r="L275" s="31" t="s">
        <v>202</v>
      </c>
      <c r="N275" s="31" t="s">
        <v>204</v>
      </c>
      <c r="R275" s="31" t="s">
        <v>98</v>
      </c>
    </row>
    <row r="276">
      <c r="A276" s="29">
        <v>45905.751191620366</v>
      </c>
      <c r="B276" s="30">
        <v>45905.0</v>
      </c>
      <c r="C276" s="31" t="s">
        <v>1058</v>
      </c>
      <c r="D276" s="32" t="s">
        <v>1059</v>
      </c>
      <c r="E276" s="31" t="s">
        <v>31</v>
      </c>
      <c r="F276" s="31">
        <v>3500000.0</v>
      </c>
      <c r="G276" s="31" t="s">
        <v>23</v>
      </c>
      <c r="I276" s="31" t="s">
        <v>229</v>
      </c>
      <c r="J276" s="31" t="s">
        <v>164</v>
      </c>
      <c r="K276" s="33" t="s">
        <v>1060</v>
      </c>
      <c r="L276" s="31" t="s">
        <v>202</v>
      </c>
      <c r="N276" s="31" t="s">
        <v>220</v>
      </c>
      <c r="S276" s="31" t="s">
        <v>83</v>
      </c>
    </row>
    <row r="277">
      <c r="A277" s="29">
        <v>45905.75193734954</v>
      </c>
      <c r="B277" s="30">
        <v>45905.0</v>
      </c>
      <c r="C277" s="31" t="s">
        <v>1061</v>
      </c>
      <c r="D277" s="32" t="s">
        <v>1062</v>
      </c>
      <c r="E277" s="31" t="s">
        <v>43</v>
      </c>
      <c r="F277" s="31">
        <v>1000000.0</v>
      </c>
      <c r="G277" s="31" t="s">
        <v>45</v>
      </c>
      <c r="H277" s="31">
        <v>700000.0</v>
      </c>
      <c r="I277" s="31" t="s">
        <v>200</v>
      </c>
      <c r="K277" s="33" t="s">
        <v>1063</v>
      </c>
      <c r="L277" s="31" t="s">
        <v>202</v>
      </c>
      <c r="M277" s="31" t="s">
        <v>383</v>
      </c>
      <c r="N277" s="31" t="s">
        <v>204</v>
      </c>
      <c r="R277" s="31" t="s">
        <v>471</v>
      </c>
    </row>
    <row r="278">
      <c r="A278" s="29">
        <v>45905.75593300926</v>
      </c>
      <c r="B278" s="30">
        <v>45905.0</v>
      </c>
      <c r="C278" s="31" t="s">
        <v>1064</v>
      </c>
      <c r="D278" s="32" t="s">
        <v>1065</v>
      </c>
      <c r="E278" s="31" t="s">
        <v>43</v>
      </c>
      <c r="F278" s="31">
        <v>6900000.0</v>
      </c>
      <c r="G278" s="31" t="s">
        <v>23</v>
      </c>
      <c r="I278" s="31" t="s">
        <v>229</v>
      </c>
      <c r="J278" s="31" t="s">
        <v>165</v>
      </c>
      <c r="K278" s="33" t="s">
        <v>1066</v>
      </c>
      <c r="L278" s="31" t="s">
        <v>202</v>
      </c>
      <c r="N278" s="31" t="s">
        <v>667</v>
      </c>
      <c r="U278" s="31" t="s">
        <v>668</v>
      </c>
    </row>
    <row r="279">
      <c r="A279" s="29">
        <v>45905.75637806713</v>
      </c>
      <c r="B279" s="30">
        <v>45905.0</v>
      </c>
      <c r="C279" s="31" t="s">
        <v>1067</v>
      </c>
      <c r="D279" s="32" t="s">
        <v>1068</v>
      </c>
      <c r="E279" s="31" t="s">
        <v>31</v>
      </c>
      <c r="F279" s="31">
        <v>3500000.0</v>
      </c>
      <c r="G279" s="31" t="s">
        <v>23</v>
      </c>
      <c r="I279" s="31" t="s">
        <v>229</v>
      </c>
      <c r="J279" s="31" t="s">
        <v>967</v>
      </c>
      <c r="K279" s="33" t="s">
        <v>1069</v>
      </c>
      <c r="L279" s="31" t="s">
        <v>202</v>
      </c>
      <c r="N279" s="31" t="s">
        <v>204</v>
      </c>
      <c r="R279" s="31" t="s">
        <v>47</v>
      </c>
    </row>
    <row r="280">
      <c r="A280" s="29">
        <v>45905.76249790509</v>
      </c>
      <c r="B280" s="30">
        <v>45905.0</v>
      </c>
      <c r="C280" s="31" t="s">
        <v>1070</v>
      </c>
      <c r="D280" s="32" t="s">
        <v>1071</v>
      </c>
      <c r="E280" s="31" t="s">
        <v>43</v>
      </c>
      <c r="F280" s="31">
        <v>4700000.0</v>
      </c>
      <c r="G280" s="31" t="s">
        <v>23</v>
      </c>
      <c r="I280" s="31" t="s">
        <v>229</v>
      </c>
      <c r="J280" s="31" t="s">
        <v>262</v>
      </c>
      <c r="K280" s="33" t="s">
        <v>1072</v>
      </c>
      <c r="L280" s="31" t="s">
        <v>252</v>
      </c>
      <c r="O280" s="31" t="s">
        <v>257</v>
      </c>
      <c r="P280" s="31" t="s">
        <v>258</v>
      </c>
    </row>
    <row r="281">
      <c r="A281" s="29">
        <v>45905.76690710648</v>
      </c>
      <c r="B281" s="30">
        <v>45905.0</v>
      </c>
      <c r="C281" s="31" t="s">
        <v>1073</v>
      </c>
      <c r="D281" s="32" t="s">
        <v>1074</v>
      </c>
      <c r="E281" s="31" t="s">
        <v>43</v>
      </c>
      <c r="F281" s="31">
        <v>3125000.0</v>
      </c>
      <c r="G281" s="31" t="s">
        <v>23</v>
      </c>
      <c r="I281" s="31" t="s">
        <v>229</v>
      </c>
      <c r="J281" s="31" t="s">
        <v>851</v>
      </c>
      <c r="K281" s="33" t="s">
        <v>1075</v>
      </c>
      <c r="L281" s="31" t="s">
        <v>202</v>
      </c>
      <c r="N281" s="31" t="s">
        <v>204</v>
      </c>
      <c r="R281" s="31" t="s">
        <v>148</v>
      </c>
    </row>
    <row r="282">
      <c r="A282" s="29">
        <v>45905.76949335648</v>
      </c>
      <c r="B282" s="30">
        <v>45905.0</v>
      </c>
      <c r="C282" s="31" t="s">
        <v>1076</v>
      </c>
      <c r="D282" s="32" t="s">
        <v>1077</v>
      </c>
      <c r="E282" s="31" t="s">
        <v>228</v>
      </c>
      <c r="F282" s="31">
        <v>4000000.0</v>
      </c>
      <c r="G282" s="31" t="s">
        <v>23</v>
      </c>
      <c r="I282" s="31" t="s">
        <v>229</v>
      </c>
      <c r="J282" s="31" t="s">
        <v>250</v>
      </c>
      <c r="K282" s="33" t="s">
        <v>1078</v>
      </c>
      <c r="L282" s="31" t="s">
        <v>252</v>
      </c>
      <c r="O282" s="31" t="s">
        <v>205</v>
      </c>
      <c r="X282" s="31" t="s">
        <v>253</v>
      </c>
    </row>
    <row r="283">
      <c r="A283" s="29">
        <v>45905.77123950231</v>
      </c>
      <c r="B283" s="30">
        <v>45905.0</v>
      </c>
      <c r="C283" s="31" t="s">
        <v>1079</v>
      </c>
      <c r="D283" s="32" t="s">
        <v>1080</v>
      </c>
      <c r="E283" s="31" t="s">
        <v>43</v>
      </c>
      <c r="F283" s="31">
        <v>3500000.0</v>
      </c>
      <c r="G283" s="31" t="s">
        <v>23</v>
      </c>
      <c r="H283" s="31">
        <v>3000000.0</v>
      </c>
      <c r="I283" s="26" t="s">
        <v>413</v>
      </c>
      <c r="K283" s="33" t="s">
        <v>1081</v>
      </c>
      <c r="L283" s="31" t="s">
        <v>202</v>
      </c>
      <c r="M283" s="31" t="s">
        <v>203</v>
      </c>
      <c r="N283" s="31" t="s">
        <v>871</v>
      </c>
      <c r="Q283" s="31" t="s">
        <v>872</v>
      </c>
    </row>
    <row r="284">
      <c r="A284" s="29">
        <v>45905.773291377314</v>
      </c>
      <c r="B284" s="30">
        <v>45905.0</v>
      </c>
      <c r="C284" s="31" t="s">
        <v>1082</v>
      </c>
      <c r="D284" s="32" t="s">
        <v>1083</v>
      </c>
      <c r="E284" s="31" t="s">
        <v>31</v>
      </c>
      <c r="F284" s="31">
        <v>3700000.0</v>
      </c>
      <c r="G284" s="31" t="s">
        <v>23</v>
      </c>
      <c r="I284" s="31" t="s">
        <v>229</v>
      </c>
      <c r="J284" s="31" t="s">
        <v>498</v>
      </c>
      <c r="K284" s="33" t="s">
        <v>1084</v>
      </c>
      <c r="L284" s="31" t="s">
        <v>202</v>
      </c>
      <c r="N284" s="31" t="s">
        <v>500</v>
      </c>
      <c r="V284" s="31" t="s">
        <v>501</v>
      </c>
    </row>
    <row r="285">
      <c r="A285" s="29">
        <v>45905.78172824074</v>
      </c>
      <c r="B285" s="30">
        <v>45905.0</v>
      </c>
      <c r="C285" s="31" t="s">
        <v>1085</v>
      </c>
      <c r="D285" s="32" t="s">
        <v>1086</v>
      </c>
      <c r="E285" s="31" t="s">
        <v>199</v>
      </c>
      <c r="F285" s="31">
        <v>5500000.0</v>
      </c>
      <c r="G285" s="31" t="s">
        <v>45</v>
      </c>
      <c r="H285" s="31">
        <v>3000000.0</v>
      </c>
      <c r="I285" s="31" t="s">
        <v>200</v>
      </c>
      <c r="K285" s="33" t="s">
        <v>1087</v>
      </c>
      <c r="L285" s="31" t="s">
        <v>202</v>
      </c>
      <c r="M285" s="31" t="s">
        <v>203</v>
      </c>
      <c r="N285" s="31" t="s">
        <v>871</v>
      </c>
      <c r="Q285" s="31" t="s">
        <v>1021</v>
      </c>
    </row>
    <row r="286">
      <c r="A286" s="29">
        <v>45905.7909195949</v>
      </c>
      <c r="B286" s="30">
        <v>45905.0</v>
      </c>
      <c r="C286" s="31" t="s">
        <v>1088</v>
      </c>
      <c r="D286" s="32" t="s">
        <v>1089</v>
      </c>
      <c r="E286" s="31" t="s">
        <v>288</v>
      </c>
      <c r="F286" s="31">
        <v>1000000.0</v>
      </c>
      <c r="G286" s="31" t="s">
        <v>45</v>
      </c>
      <c r="I286" s="31" t="s">
        <v>229</v>
      </c>
      <c r="J286" s="31" t="s">
        <v>967</v>
      </c>
      <c r="K286" s="33" t="s">
        <v>1090</v>
      </c>
      <c r="L286" s="31" t="s">
        <v>202</v>
      </c>
      <c r="N286" s="31" t="s">
        <v>204</v>
      </c>
      <c r="R286" s="31" t="s">
        <v>360</v>
      </c>
    </row>
    <row r="287">
      <c r="A287" s="29">
        <v>45905.8098297338</v>
      </c>
      <c r="B287" s="30">
        <v>45905.0</v>
      </c>
      <c r="C287" s="31" t="s">
        <v>1091</v>
      </c>
      <c r="D287" s="32" t="s">
        <v>1092</v>
      </c>
      <c r="E287" s="31" t="s">
        <v>1093</v>
      </c>
      <c r="F287" s="31">
        <v>3000000.0</v>
      </c>
      <c r="G287" s="31" t="s">
        <v>23</v>
      </c>
      <c r="I287" s="31" t="s">
        <v>229</v>
      </c>
      <c r="J287" s="31" t="s">
        <v>1094</v>
      </c>
      <c r="K287" s="33" t="s">
        <v>1095</v>
      </c>
      <c r="L287" s="31" t="s">
        <v>252</v>
      </c>
      <c r="O287" s="31" t="s">
        <v>205</v>
      </c>
      <c r="X287" s="31" t="s">
        <v>549</v>
      </c>
    </row>
    <row r="288">
      <c r="A288" s="29">
        <v>45905.81834762731</v>
      </c>
      <c r="B288" s="30">
        <v>45905.0</v>
      </c>
      <c r="C288" s="31" t="s">
        <v>1096</v>
      </c>
      <c r="D288" s="32" t="s">
        <v>1097</v>
      </c>
      <c r="E288" s="31" t="s">
        <v>288</v>
      </c>
      <c r="F288" s="31">
        <v>1000000.0</v>
      </c>
      <c r="G288" s="31" t="s">
        <v>23</v>
      </c>
      <c r="I288" s="31" t="s">
        <v>229</v>
      </c>
      <c r="J288" s="31" t="s">
        <v>967</v>
      </c>
      <c r="K288" s="33" t="s">
        <v>1098</v>
      </c>
      <c r="L288" s="31" t="s">
        <v>202</v>
      </c>
      <c r="N288" s="31" t="s">
        <v>220</v>
      </c>
      <c r="S288" s="31" t="s">
        <v>913</v>
      </c>
    </row>
    <row r="289">
      <c r="A289" s="29">
        <v>45905.8413306713</v>
      </c>
      <c r="B289" s="30" t="s">
        <v>1047</v>
      </c>
      <c r="C289" s="31" t="s">
        <v>1099</v>
      </c>
      <c r="D289" s="32" t="s">
        <v>1100</v>
      </c>
      <c r="E289" s="31" t="s">
        <v>199</v>
      </c>
      <c r="F289" s="31">
        <v>7000000.0</v>
      </c>
      <c r="G289" s="31" t="s">
        <v>45</v>
      </c>
      <c r="H289" s="31">
        <v>7000000.0</v>
      </c>
      <c r="I289" s="31" t="s">
        <v>200</v>
      </c>
      <c r="K289" s="33" t="s">
        <v>1101</v>
      </c>
      <c r="L289" s="31" t="s">
        <v>202</v>
      </c>
      <c r="M289" s="31" t="s">
        <v>203</v>
      </c>
      <c r="N289" s="31" t="s">
        <v>215</v>
      </c>
      <c r="W289" s="31" t="s">
        <v>216</v>
      </c>
    </row>
    <row r="290">
      <c r="A290" s="29">
        <v>45905.85318548611</v>
      </c>
      <c r="B290" s="30">
        <v>45905.0</v>
      </c>
      <c r="C290" s="31" t="s">
        <v>1102</v>
      </c>
      <c r="D290" s="32" t="s">
        <v>1103</v>
      </c>
      <c r="E290" s="31" t="s">
        <v>1104</v>
      </c>
      <c r="F290" s="31">
        <v>3000000.0</v>
      </c>
      <c r="G290" s="31" t="s">
        <v>23</v>
      </c>
      <c r="I290" s="31" t="s">
        <v>229</v>
      </c>
      <c r="J290" s="31" t="s">
        <v>387</v>
      </c>
      <c r="K290" s="33" t="s">
        <v>1105</v>
      </c>
      <c r="L290" s="31" t="s">
        <v>202</v>
      </c>
      <c r="N290" s="31" t="s">
        <v>215</v>
      </c>
      <c r="W290" s="31" t="s">
        <v>389</v>
      </c>
    </row>
    <row r="291">
      <c r="A291" s="29">
        <v>45905.867286967594</v>
      </c>
      <c r="B291" s="30">
        <v>45905.0</v>
      </c>
      <c r="C291" s="31" t="s">
        <v>1106</v>
      </c>
      <c r="D291" s="32" t="s">
        <v>1107</v>
      </c>
      <c r="E291" s="31" t="s">
        <v>43</v>
      </c>
      <c r="F291" s="31">
        <v>3700000.0</v>
      </c>
      <c r="G291" s="31" t="s">
        <v>23</v>
      </c>
      <c r="I291" s="31" t="s">
        <v>229</v>
      </c>
      <c r="J291" s="31" t="s">
        <v>164</v>
      </c>
      <c r="K291" s="33" t="s">
        <v>1108</v>
      </c>
      <c r="L291" s="31" t="s">
        <v>202</v>
      </c>
      <c r="N291" s="31" t="s">
        <v>220</v>
      </c>
      <c r="S291" s="31" t="s">
        <v>83</v>
      </c>
    </row>
    <row r="292">
      <c r="A292" s="29">
        <v>45905.88422114583</v>
      </c>
      <c r="B292" s="30">
        <v>45905.0</v>
      </c>
      <c r="C292" s="31" t="s">
        <v>1109</v>
      </c>
      <c r="D292" s="32" t="s">
        <v>1110</v>
      </c>
      <c r="E292" s="31" t="s">
        <v>1111</v>
      </c>
      <c r="F292" s="31">
        <v>3200000.0</v>
      </c>
      <c r="G292" s="31" t="s">
        <v>23</v>
      </c>
      <c r="I292" s="31" t="s">
        <v>229</v>
      </c>
      <c r="J292" s="31" t="s">
        <v>967</v>
      </c>
      <c r="K292" s="33" t="s">
        <v>1112</v>
      </c>
      <c r="L292" s="31" t="s">
        <v>202</v>
      </c>
      <c r="N292" s="31" t="s">
        <v>204</v>
      </c>
      <c r="R292" s="31" t="s">
        <v>892</v>
      </c>
    </row>
    <row r="293">
      <c r="A293" s="29">
        <v>45905.9027691088</v>
      </c>
      <c r="B293" s="30">
        <v>45905.0</v>
      </c>
      <c r="C293" s="31" t="s">
        <v>1113</v>
      </c>
      <c r="D293" s="32" t="s">
        <v>1114</v>
      </c>
      <c r="E293" s="31" t="s">
        <v>1115</v>
      </c>
      <c r="F293" s="31">
        <v>5000000.0</v>
      </c>
      <c r="G293" s="31" t="s">
        <v>23</v>
      </c>
      <c r="I293" s="31" t="s">
        <v>229</v>
      </c>
      <c r="J293" s="31" t="s">
        <v>967</v>
      </c>
      <c r="K293" s="33" t="s">
        <v>1116</v>
      </c>
      <c r="L293" s="31" t="s">
        <v>202</v>
      </c>
      <c r="N293" s="31" t="s">
        <v>220</v>
      </c>
      <c r="S293" s="31" t="s">
        <v>536</v>
      </c>
    </row>
    <row r="294">
      <c r="A294" s="29">
        <v>45905.909909375</v>
      </c>
      <c r="B294" s="30">
        <v>45905.0</v>
      </c>
      <c r="C294" s="31" t="s">
        <v>1117</v>
      </c>
      <c r="D294" s="32" t="s">
        <v>1118</v>
      </c>
      <c r="E294" s="31" t="s">
        <v>132</v>
      </c>
      <c r="F294" s="31">
        <v>4600000.0</v>
      </c>
      <c r="G294" s="31" t="s">
        <v>23</v>
      </c>
      <c r="I294" s="31" t="s">
        <v>229</v>
      </c>
      <c r="J294" s="31" t="s">
        <v>1119</v>
      </c>
      <c r="K294" s="33" t="s">
        <v>1120</v>
      </c>
      <c r="L294" s="31" t="s">
        <v>202</v>
      </c>
      <c r="N294" s="31" t="s">
        <v>220</v>
      </c>
      <c r="S294" s="31" t="s">
        <v>36</v>
      </c>
    </row>
    <row r="295">
      <c r="A295" s="29">
        <v>45906.42411533565</v>
      </c>
      <c r="B295" s="30">
        <v>45906.0</v>
      </c>
      <c r="C295" s="31" t="s">
        <v>1121</v>
      </c>
      <c r="D295" s="32" t="s">
        <v>1122</v>
      </c>
      <c r="E295" s="31" t="s">
        <v>335</v>
      </c>
      <c r="F295" s="31">
        <v>5000000.0</v>
      </c>
      <c r="G295" s="31" t="s">
        <v>23</v>
      </c>
      <c r="I295" s="31" t="s">
        <v>229</v>
      </c>
      <c r="J295" s="31" t="s">
        <v>967</v>
      </c>
      <c r="K295" s="33" t="s">
        <v>1123</v>
      </c>
      <c r="L295" s="31" t="s">
        <v>202</v>
      </c>
      <c r="N295" s="31" t="s">
        <v>313</v>
      </c>
      <c r="T295" s="31" t="s">
        <v>384</v>
      </c>
    </row>
    <row r="296">
      <c r="A296" s="29">
        <v>45906.47495283565</v>
      </c>
      <c r="B296" s="30">
        <v>45906.0</v>
      </c>
      <c r="C296" s="31" t="s">
        <v>1124</v>
      </c>
      <c r="D296" s="32" t="s">
        <v>1125</v>
      </c>
      <c r="E296" s="31" t="s">
        <v>1126</v>
      </c>
      <c r="F296" s="31">
        <v>4500000.0</v>
      </c>
      <c r="G296" s="31" t="s">
        <v>23</v>
      </c>
      <c r="I296" s="31" t="s">
        <v>229</v>
      </c>
      <c r="J296" s="31" t="s">
        <v>967</v>
      </c>
      <c r="K296" s="33" t="s">
        <v>1127</v>
      </c>
      <c r="L296" s="31" t="s">
        <v>202</v>
      </c>
      <c r="N296" s="31" t="s">
        <v>204</v>
      </c>
      <c r="R296" s="31" t="s">
        <v>98</v>
      </c>
    </row>
    <row r="297">
      <c r="A297" s="29">
        <v>45906.49739430555</v>
      </c>
      <c r="B297" s="30">
        <v>45906.0</v>
      </c>
      <c r="C297" s="31" t="s">
        <v>1128</v>
      </c>
      <c r="D297" s="32" t="s">
        <v>1129</v>
      </c>
      <c r="E297" s="31" t="s">
        <v>43</v>
      </c>
      <c r="F297" s="31">
        <v>4500000.0</v>
      </c>
      <c r="G297" s="31" t="s">
        <v>23</v>
      </c>
      <c r="I297" s="31" t="s">
        <v>229</v>
      </c>
      <c r="J297" s="31" t="s">
        <v>967</v>
      </c>
      <c r="K297" s="33" t="s">
        <v>1130</v>
      </c>
      <c r="L297" s="31" t="s">
        <v>202</v>
      </c>
      <c r="N297" s="31" t="s">
        <v>204</v>
      </c>
      <c r="R297" s="31" t="s">
        <v>53</v>
      </c>
    </row>
    <row r="298">
      <c r="A298" s="29">
        <v>45906.50268320602</v>
      </c>
      <c r="B298" s="30">
        <v>45906.0</v>
      </c>
      <c r="C298" s="31" t="s">
        <v>1131</v>
      </c>
      <c r="D298" s="32" t="s">
        <v>1132</v>
      </c>
      <c r="E298" s="31" t="s">
        <v>1133</v>
      </c>
      <c r="F298" s="31">
        <v>4200000.0</v>
      </c>
      <c r="G298" s="31" t="s">
        <v>45</v>
      </c>
      <c r="H298" s="31">
        <v>500000.0</v>
      </c>
      <c r="I298" s="31" t="s">
        <v>200</v>
      </c>
      <c r="K298" s="31" t="s">
        <v>1134</v>
      </c>
      <c r="L298" s="31" t="s">
        <v>202</v>
      </c>
      <c r="M298" s="31" t="s">
        <v>203</v>
      </c>
      <c r="N298" s="31" t="s">
        <v>215</v>
      </c>
      <c r="W298" s="31" t="s">
        <v>389</v>
      </c>
    </row>
    <row r="299">
      <c r="A299" s="29">
        <v>45906.51751380787</v>
      </c>
      <c r="B299" s="30">
        <v>45906.0</v>
      </c>
      <c r="C299" s="31" t="s">
        <v>1135</v>
      </c>
      <c r="D299" s="32" t="s">
        <v>1136</v>
      </c>
      <c r="E299" s="31" t="s">
        <v>228</v>
      </c>
      <c r="F299" s="31">
        <v>2500000.0</v>
      </c>
      <c r="G299" s="31" t="s">
        <v>45</v>
      </c>
      <c r="I299" s="31" t="s">
        <v>229</v>
      </c>
      <c r="J299" s="31" t="s">
        <v>967</v>
      </c>
      <c r="K299" s="33" t="s">
        <v>1137</v>
      </c>
      <c r="L299" s="31" t="s">
        <v>202</v>
      </c>
      <c r="N299" s="31" t="s">
        <v>204</v>
      </c>
      <c r="R299" s="31" t="s">
        <v>148</v>
      </c>
    </row>
    <row r="300">
      <c r="A300" s="29">
        <v>45906.51844128472</v>
      </c>
      <c r="B300" s="30">
        <v>45906.0</v>
      </c>
      <c r="C300" s="31" t="s">
        <v>1138</v>
      </c>
      <c r="D300" s="32" t="s">
        <v>1139</v>
      </c>
      <c r="E300" s="31" t="s">
        <v>31</v>
      </c>
      <c r="F300" s="31">
        <v>3200000.0</v>
      </c>
      <c r="G300" s="31" t="s">
        <v>23</v>
      </c>
      <c r="I300" s="31" t="s">
        <v>229</v>
      </c>
      <c r="J300" s="31" t="s">
        <v>967</v>
      </c>
      <c r="K300" s="33" t="s">
        <v>1140</v>
      </c>
      <c r="L300" s="31" t="s">
        <v>202</v>
      </c>
      <c r="N300" s="31" t="s">
        <v>204</v>
      </c>
      <c r="R300" s="31" t="s">
        <v>148</v>
      </c>
    </row>
    <row r="301">
      <c r="A301" s="29">
        <v>45906.51957716435</v>
      </c>
      <c r="B301" s="30">
        <v>45906.0</v>
      </c>
      <c r="C301" s="31" t="s">
        <v>1141</v>
      </c>
      <c r="D301" s="32" t="s">
        <v>1142</v>
      </c>
      <c r="E301" s="31" t="s">
        <v>31</v>
      </c>
      <c r="F301" s="31">
        <v>5000000.0</v>
      </c>
      <c r="G301" s="31" t="s">
        <v>23</v>
      </c>
      <c r="I301" s="31" t="s">
        <v>229</v>
      </c>
      <c r="J301" s="31" t="s">
        <v>967</v>
      </c>
      <c r="K301" s="33" t="s">
        <v>1143</v>
      </c>
      <c r="L301" s="31" t="s">
        <v>202</v>
      </c>
      <c r="N301" s="31" t="s">
        <v>313</v>
      </c>
      <c r="T301" s="31" t="s">
        <v>329</v>
      </c>
    </row>
    <row r="302">
      <c r="A302" s="29">
        <v>45906.520080856484</v>
      </c>
      <c r="B302" s="30">
        <v>45906.0</v>
      </c>
      <c r="C302" s="31" t="s">
        <v>1144</v>
      </c>
      <c r="D302" s="32" t="s">
        <v>1145</v>
      </c>
      <c r="E302" s="31" t="s">
        <v>288</v>
      </c>
      <c r="F302" s="31">
        <v>4100000.0</v>
      </c>
      <c r="G302" s="31" t="s">
        <v>45</v>
      </c>
      <c r="H302" s="31">
        <v>3000000.0</v>
      </c>
      <c r="I302" s="26" t="s">
        <v>413</v>
      </c>
      <c r="K302" s="33" t="s">
        <v>1146</v>
      </c>
      <c r="L302" s="31" t="s">
        <v>202</v>
      </c>
      <c r="M302" s="31" t="s">
        <v>203</v>
      </c>
      <c r="N302" s="31" t="s">
        <v>204</v>
      </c>
      <c r="R302" s="31" t="s">
        <v>90</v>
      </c>
    </row>
    <row r="303">
      <c r="A303" s="29">
        <v>45906.521778263894</v>
      </c>
      <c r="B303" s="30">
        <v>45906.0</v>
      </c>
      <c r="C303" s="31" t="s">
        <v>1147</v>
      </c>
      <c r="D303" s="32" t="s">
        <v>1148</v>
      </c>
      <c r="E303" s="31" t="s">
        <v>283</v>
      </c>
      <c r="F303" s="31">
        <v>4300000.0</v>
      </c>
      <c r="G303" s="31" t="s">
        <v>23</v>
      </c>
      <c r="I303" s="31" t="s">
        <v>229</v>
      </c>
      <c r="J303" s="31" t="s">
        <v>967</v>
      </c>
      <c r="K303" s="33" t="s">
        <v>1149</v>
      </c>
      <c r="L303" s="31" t="s">
        <v>202</v>
      </c>
      <c r="N303" s="31" t="s">
        <v>204</v>
      </c>
      <c r="R303" s="31" t="s">
        <v>207</v>
      </c>
    </row>
    <row r="304">
      <c r="A304" s="29">
        <v>45906.531258125004</v>
      </c>
      <c r="B304" s="30">
        <v>45906.0</v>
      </c>
      <c r="C304" s="31" t="s">
        <v>1150</v>
      </c>
      <c r="D304" s="32" t="s">
        <v>1151</v>
      </c>
      <c r="E304" s="31" t="s">
        <v>43</v>
      </c>
      <c r="F304" s="31">
        <v>3000000.0</v>
      </c>
      <c r="G304" s="31" t="s">
        <v>23</v>
      </c>
      <c r="H304" s="31">
        <v>3000000.0</v>
      </c>
      <c r="I304" s="31" t="s">
        <v>200</v>
      </c>
      <c r="K304" s="33" t="s">
        <v>1152</v>
      </c>
      <c r="L304" s="31" t="s">
        <v>252</v>
      </c>
      <c r="M304" s="31" t="s">
        <v>203</v>
      </c>
      <c r="O304" s="31" t="s">
        <v>257</v>
      </c>
      <c r="P304" s="31" t="s">
        <v>206</v>
      </c>
    </row>
    <row r="305">
      <c r="A305" s="29">
        <v>45906.534141689815</v>
      </c>
      <c r="B305" s="30">
        <v>45906.0</v>
      </c>
      <c r="C305" s="31" t="s">
        <v>1153</v>
      </c>
      <c r="D305" s="32" t="s">
        <v>1154</v>
      </c>
      <c r="E305" s="31" t="s">
        <v>1155</v>
      </c>
      <c r="F305" s="31">
        <v>3500000.0</v>
      </c>
      <c r="G305" s="31" t="s">
        <v>23</v>
      </c>
      <c r="H305" s="31">
        <v>3000000.0</v>
      </c>
      <c r="I305" s="31" t="s">
        <v>200</v>
      </c>
      <c r="K305" s="33" t="s">
        <v>1156</v>
      </c>
      <c r="L305" s="31" t="s">
        <v>252</v>
      </c>
      <c r="M305" s="31" t="s">
        <v>203</v>
      </c>
      <c r="O305" s="31" t="s">
        <v>205</v>
      </c>
      <c r="X305" s="31" t="s">
        <v>549</v>
      </c>
    </row>
    <row r="306">
      <c r="A306" s="29">
        <v>45906.54512355324</v>
      </c>
      <c r="B306" s="30">
        <v>45906.0</v>
      </c>
      <c r="C306" s="31" t="s">
        <v>1157</v>
      </c>
      <c r="D306" s="32" t="s">
        <v>1158</v>
      </c>
      <c r="E306" s="31" t="s">
        <v>199</v>
      </c>
      <c r="F306" s="31">
        <v>6500000.0</v>
      </c>
      <c r="G306" s="31" t="s">
        <v>45</v>
      </c>
      <c r="H306" s="31">
        <v>2.0E7</v>
      </c>
      <c r="I306" s="31" t="s">
        <v>200</v>
      </c>
      <c r="K306" s="31" t="s">
        <v>1159</v>
      </c>
      <c r="L306" s="31" t="s">
        <v>202</v>
      </c>
      <c r="M306" s="31" t="s">
        <v>203</v>
      </c>
      <c r="N306" s="31" t="s">
        <v>220</v>
      </c>
      <c r="S306" s="31" t="s">
        <v>124</v>
      </c>
    </row>
    <row r="307">
      <c r="A307" s="29">
        <v>45906.560383275464</v>
      </c>
      <c r="B307" s="30">
        <v>45906.0</v>
      </c>
      <c r="C307" s="31" t="s">
        <v>1160</v>
      </c>
      <c r="D307" s="32" t="s">
        <v>1161</v>
      </c>
      <c r="E307" s="31" t="s">
        <v>132</v>
      </c>
      <c r="F307" s="31">
        <v>4600000.0</v>
      </c>
      <c r="G307" s="31" t="s">
        <v>23</v>
      </c>
      <c r="I307" s="31" t="s">
        <v>229</v>
      </c>
      <c r="J307" s="31" t="s">
        <v>1162</v>
      </c>
      <c r="K307" s="33" t="s">
        <v>1163</v>
      </c>
      <c r="L307" s="31" t="s">
        <v>202</v>
      </c>
      <c r="N307" s="31" t="s">
        <v>220</v>
      </c>
      <c r="S307" s="31" t="s">
        <v>36</v>
      </c>
    </row>
    <row r="308">
      <c r="A308" s="29">
        <v>45906.56233542824</v>
      </c>
      <c r="B308" s="30">
        <v>45906.0</v>
      </c>
      <c r="C308" s="31" t="s">
        <v>1164</v>
      </c>
      <c r="D308" s="32" t="s">
        <v>1165</v>
      </c>
      <c r="E308" s="31" t="s">
        <v>1166</v>
      </c>
      <c r="F308" s="31">
        <v>4000000.0</v>
      </c>
      <c r="G308" s="31" t="s">
        <v>23</v>
      </c>
      <c r="I308" s="31" t="s">
        <v>229</v>
      </c>
      <c r="J308" s="31" t="s">
        <v>967</v>
      </c>
      <c r="K308" s="33" t="s">
        <v>1167</v>
      </c>
      <c r="L308" s="31" t="s">
        <v>202</v>
      </c>
      <c r="N308" s="31" t="s">
        <v>313</v>
      </c>
      <c r="T308" s="31" t="s">
        <v>384</v>
      </c>
    </row>
    <row r="309">
      <c r="A309" s="29">
        <v>45906.57892597222</v>
      </c>
      <c r="B309" s="30">
        <v>45906.0</v>
      </c>
      <c r="C309" s="31" t="s">
        <v>1168</v>
      </c>
      <c r="D309" s="32" t="s">
        <v>1169</v>
      </c>
      <c r="E309" s="31" t="s">
        <v>31</v>
      </c>
      <c r="F309" s="31">
        <v>3500000.0</v>
      </c>
      <c r="G309" s="31" t="s">
        <v>23</v>
      </c>
      <c r="I309" s="31" t="s">
        <v>229</v>
      </c>
      <c r="J309" s="31" t="s">
        <v>967</v>
      </c>
      <c r="K309" s="33" t="s">
        <v>1170</v>
      </c>
      <c r="L309" s="31" t="s">
        <v>202</v>
      </c>
      <c r="N309" s="31" t="s">
        <v>204</v>
      </c>
      <c r="R309" s="31" t="s">
        <v>207</v>
      </c>
    </row>
    <row r="310">
      <c r="A310" s="29">
        <v>45906.599120300925</v>
      </c>
      <c r="B310" s="30">
        <v>45906.0</v>
      </c>
      <c r="C310" s="31" t="s">
        <v>1171</v>
      </c>
      <c r="D310" s="32" t="s">
        <v>1172</v>
      </c>
      <c r="E310" s="31" t="s">
        <v>43</v>
      </c>
      <c r="F310" s="31">
        <v>4000000.0</v>
      </c>
      <c r="G310" s="31" t="s">
        <v>23</v>
      </c>
      <c r="I310" s="31" t="s">
        <v>229</v>
      </c>
      <c r="J310" s="31" t="s">
        <v>498</v>
      </c>
      <c r="K310" s="33" t="s">
        <v>1173</v>
      </c>
      <c r="L310" s="31" t="s">
        <v>202</v>
      </c>
      <c r="N310" s="31" t="s">
        <v>500</v>
      </c>
      <c r="V310" s="31" t="s">
        <v>501</v>
      </c>
    </row>
    <row r="311">
      <c r="A311" s="29">
        <v>45906.63995832176</v>
      </c>
      <c r="B311" s="30">
        <v>45906.0</v>
      </c>
      <c r="C311" s="31" t="s">
        <v>517</v>
      </c>
      <c r="D311" s="32" t="s">
        <v>518</v>
      </c>
      <c r="E311" s="31" t="s">
        <v>43</v>
      </c>
      <c r="F311" s="31">
        <v>3400000.0</v>
      </c>
      <c r="G311" s="31" t="s">
        <v>45</v>
      </c>
      <c r="I311" s="31" t="s">
        <v>229</v>
      </c>
      <c r="J311" s="31" t="s">
        <v>967</v>
      </c>
      <c r="K311" s="33" t="s">
        <v>1174</v>
      </c>
      <c r="L311" s="31" t="s">
        <v>202</v>
      </c>
      <c r="N311" s="31" t="s">
        <v>204</v>
      </c>
      <c r="R311" s="31" t="s">
        <v>148</v>
      </c>
    </row>
    <row r="312">
      <c r="A312" s="29">
        <v>45906.64178480324</v>
      </c>
      <c r="B312" s="30">
        <v>45906.0</v>
      </c>
      <c r="C312" s="31" t="s">
        <v>1175</v>
      </c>
      <c r="D312" s="32" t="s">
        <v>1176</v>
      </c>
      <c r="E312" s="31" t="s">
        <v>288</v>
      </c>
      <c r="F312" s="34">
        <v>1500.0</v>
      </c>
      <c r="G312" s="31" t="s">
        <v>23</v>
      </c>
      <c r="I312" s="31" t="s">
        <v>229</v>
      </c>
      <c r="J312" s="31" t="s">
        <v>165</v>
      </c>
      <c r="K312" s="33" t="s">
        <v>1177</v>
      </c>
      <c r="L312" s="31" t="s">
        <v>202</v>
      </c>
      <c r="N312" s="31" t="s">
        <v>204</v>
      </c>
      <c r="R312" s="31" t="s">
        <v>167</v>
      </c>
    </row>
    <row r="313">
      <c r="A313" s="29">
        <v>45906.64399582176</v>
      </c>
      <c r="B313" s="30">
        <v>45906.0</v>
      </c>
      <c r="C313" s="31" t="s">
        <v>1144</v>
      </c>
      <c r="D313" s="31" t="s">
        <v>1178</v>
      </c>
      <c r="E313" s="31" t="s">
        <v>288</v>
      </c>
      <c r="F313" s="31">
        <v>4100000.0</v>
      </c>
      <c r="G313" s="31" t="s">
        <v>45</v>
      </c>
      <c r="H313" s="31">
        <v>3000000.0</v>
      </c>
      <c r="I313" s="31" t="s">
        <v>200</v>
      </c>
      <c r="K313" s="33" t="s">
        <v>1179</v>
      </c>
      <c r="L313" s="31" t="s">
        <v>202</v>
      </c>
      <c r="M313" s="31" t="s">
        <v>203</v>
      </c>
      <c r="N313" s="31" t="s">
        <v>204</v>
      </c>
      <c r="R313" s="31" t="s">
        <v>90</v>
      </c>
    </row>
    <row r="314">
      <c r="A314" s="29">
        <v>45906.649077071765</v>
      </c>
      <c r="B314" s="30">
        <v>45906.0</v>
      </c>
      <c r="C314" s="31" t="s">
        <v>1180</v>
      </c>
      <c r="D314" s="31">
        <v>0.0</v>
      </c>
      <c r="E314" s="31" t="s">
        <v>1181</v>
      </c>
      <c r="F314" s="34">
        <v>3500.0</v>
      </c>
      <c r="G314" s="31" t="s">
        <v>23</v>
      </c>
      <c r="I314" s="31" t="s">
        <v>229</v>
      </c>
      <c r="J314" s="31" t="s">
        <v>967</v>
      </c>
      <c r="K314" s="33" t="s">
        <v>1182</v>
      </c>
      <c r="L314" s="31" t="s">
        <v>202</v>
      </c>
      <c r="N314" s="31" t="s">
        <v>204</v>
      </c>
      <c r="R314" s="31" t="s">
        <v>171</v>
      </c>
    </row>
    <row r="315">
      <c r="A315" s="29">
        <v>45906.650818634254</v>
      </c>
      <c r="B315" s="30">
        <v>45906.0</v>
      </c>
      <c r="C315" s="31" t="s">
        <v>1183</v>
      </c>
      <c r="D315" s="31">
        <v>0.0</v>
      </c>
      <c r="E315" s="31" t="s">
        <v>1184</v>
      </c>
      <c r="F315" s="34">
        <v>2000.0</v>
      </c>
      <c r="G315" s="31" t="s">
        <v>23</v>
      </c>
      <c r="I315" s="31" t="s">
        <v>229</v>
      </c>
      <c r="J315" s="31" t="s">
        <v>967</v>
      </c>
      <c r="K315" s="33" t="s">
        <v>1185</v>
      </c>
      <c r="L315" s="31" t="s">
        <v>202</v>
      </c>
      <c r="N315" s="31" t="s">
        <v>204</v>
      </c>
      <c r="R315" s="31" t="s">
        <v>171</v>
      </c>
    </row>
    <row r="316">
      <c r="A316" s="29">
        <v>45906.65906164351</v>
      </c>
      <c r="B316" s="30">
        <v>45906.0</v>
      </c>
      <c r="C316" s="31" t="s">
        <v>1186</v>
      </c>
      <c r="D316" s="32" t="s">
        <v>1187</v>
      </c>
      <c r="E316" s="31" t="s">
        <v>957</v>
      </c>
      <c r="F316" s="31">
        <v>2000000.0</v>
      </c>
      <c r="G316" s="31" t="s">
        <v>23</v>
      </c>
      <c r="H316" s="31">
        <v>5000000.0</v>
      </c>
      <c r="I316" s="31" t="s">
        <v>200</v>
      </c>
      <c r="K316" s="33" t="s">
        <v>1188</v>
      </c>
      <c r="L316" s="31" t="s">
        <v>202</v>
      </c>
      <c r="M316" s="31" t="s">
        <v>203</v>
      </c>
      <c r="N316" s="31" t="s">
        <v>215</v>
      </c>
      <c r="W316" s="31" t="s">
        <v>532</v>
      </c>
    </row>
    <row r="317">
      <c r="A317" s="29">
        <v>45906.70939662037</v>
      </c>
      <c r="B317" s="30">
        <v>45906.0</v>
      </c>
      <c r="C317" s="31" t="s">
        <v>1189</v>
      </c>
      <c r="D317" s="32" t="s">
        <v>1190</v>
      </c>
      <c r="E317" s="31" t="s">
        <v>43</v>
      </c>
      <c r="F317" s="31">
        <v>1.0E7</v>
      </c>
      <c r="G317" s="31" t="s">
        <v>23</v>
      </c>
      <c r="I317" s="31" t="s">
        <v>229</v>
      </c>
      <c r="J317" s="31" t="s">
        <v>967</v>
      </c>
      <c r="K317" s="33" t="s">
        <v>1191</v>
      </c>
      <c r="L317" s="31" t="s">
        <v>252</v>
      </c>
      <c r="O317" s="31" t="s">
        <v>257</v>
      </c>
      <c r="P317" s="31" t="s">
        <v>272</v>
      </c>
    </row>
    <row r="318">
      <c r="A318" s="29">
        <v>45906.715494895834</v>
      </c>
      <c r="B318" s="30">
        <v>45906.0</v>
      </c>
      <c r="C318" s="31" t="s">
        <v>1192</v>
      </c>
      <c r="D318" s="32" t="s">
        <v>1193</v>
      </c>
      <c r="E318" s="31" t="s">
        <v>31</v>
      </c>
      <c r="F318" s="31">
        <v>2400000.0</v>
      </c>
      <c r="G318" s="31" t="s">
        <v>23</v>
      </c>
      <c r="I318" s="31" t="s">
        <v>229</v>
      </c>
      <c r="J318" s="31" t="s">
        <v>967</v>
      </c>
      <c r="K318" s="33" t="s">
        <v>1194</v>
      </c>
      <c r="L318" s="31" t="s">
        <v>202</v>
      </c>
      <c r="N318" s="31" t="s">
        <v>204</v>
      </c>
      <c r="R318" s="31" t="s">
        <v>207</v>
      </c>
    </row>
    <row r="319">
      <c r="A319" s="29">
        <v>45906.72593943287</v>
      </c>
      <c r="B319" s="30">
        <v>45906.0</v>
      </c>
      <c r="C319" s="31" t="s">
        <v>1195</v>
      </c>
      <c r="D319" s="32" t="s">
        <v>1196</v>
      </c>
      <c r="E319" s="31" t="s">
        <v>43</v>
      </c>
      <c r="F319" s="31">
        <v>3500000.0</v>
      </c>
      <c r="G319" s="31" t="s">
        <v>23</v>
      </c>
      <c r="I319" s="31" t="s">
        <v>229</v>
      </c>
      <c r="J319" s="31" t="s">
        <v>262</v>
      </c>
      <c r="K319" s="33" t="s">
        <v>1197</v>
      </c>
      <c r="L319" s="31" t="s">
        <v>252</v>
      </c>
      <c r="O319" s="31" t="s">
        <v>257</v>
      </c>
      <c r="P319" s="31" t="s">
        <v>258</v>
      </c>
    </row>
    <row r="320">
      <c r="A320" s="29">
        <v>45906.73922872685</v>
      </c>
      <c r="B320" s="30">
        <v>45906.0</v>
      </c>
      <c r="C320" s="31" t="s">
        <v>1198</v>
      </c>
      <c r="D320" s="32" t="s">
        <v>1199</v>
      </c>
      <c r="E320" s="31" t="s">
        <v>43</v>
      </c>
      <c r="F320" s="31">
        <v>5000000.0</v>
      </c>
      <c r="G320" s="31" t="s">
        <v>23</v>
      </c>
      <c r="H320" s="31">
        <v>1000.0</v>
      </c>
      <c r="I320" s="26" t="s">
        <v>413</v>
      </c>
      <c r="K320" s="33" t="s">
        <v>1200</v>
      </c>
      <c r="L320" s="31" t="s">
        <v>202</v>
      </c>
      <c r="M320" s="31" t="s">
        <v>203</v>
      </c>
      <c r="N320" s="31" t="s">
        <v>220</v>
      </c>
      <c r="S320" s="31" t="s">
        <v>124</v>
      </c>
    </row>
    <row r="321">
      <c r="A321" s="29">
        <v>45906.74572197917</v>
      </c>
      <c r="B321" s="30">
        <v>45906.0</v>
      </c>
      <c r="C321" s="31" t="s">
        <v>1201</v>
      </c>
      <c r="D321" s="32" t="s">
        <v>1202</v>
      </c>
      <c r="E321" s="31" t="s">
        <v>43</v>
      </c>
      <c r="F321" s="31">
        <v>5000000.0</v>
      </c>
      <c r="G321" s="31" t="s">
        <v>23</v>
      </c>
      <c r="H321" s="31">
        <v>5000000.0</v>
      </c>
      <c r="I321" s="31" t="s">
        <v>200</v>
      </c>
      <c r="K321" s="33" t="s">
        <v>1203</v>
      </c>
      <c r="L321" s="31" t="s">
        <v>252</v>
      </c>
      <c r="M321" s="31" t="s">
        <v>203</v>
      </c>
      <c r="O321" s="31" t="s">
        <v>205</v>
      </c>
      <c r="X321" s="31" t="s">
        <v>253</v>
      </c>
    </row>
    <row r="322">
      <c r="A322" s="29">
        <v>45906.77713236111</v>
      </c>
      <c r="B322" s="30">
        <v>45906.0</v>
      </c>
      <c r="C322" s="31" t="s">
        <v>1204</v>
      </c>
      <c r="D322" s="32" t="s">
        <v>1205</v>
      </c>
      <c r="E322" s="31" t="s">
        <v>43</v>
      </c>
      <c r="F322" s="31">
        <v>3000000.0</v>
      </c>
      <c r="G322" s="31" t="s">
        <v>23</v>
      </c>
      <c r="I322" s="31" t="s">
        <v>229</v>
      </c>
      <c r="J322" s="31" t="s">
        <v>270</v>
      </c>
      <c r="K322" s="33" t="s">
        <v>1206</v>
      </c>
      <c r="L322" s="31" t="s">
        <v>202</v>
      </c>
      <c r="N322" s="31" t="s">
        <v>204</v>
      </c>
      <c r="R322" s="31" t="s">
        <v>47</v>
      </c>
    </row>
    <row r="323">
      <c r="A323" s="29">
        <v>45906.79679721065</v>
      </c>
      <c r="B323" s="30" t="s">
        <v>1207</v>
      </c>
      <c r="C323" s="31" t="s">
        <v>1208</v>
      </c>
      <c r="D323" s="32" t="s">
        <v>1209</v>
      </c>
      <c r="E323" s="31" t="s">
        <v>43</v>
      </c>
      <c r="F323" s="31">
        <v>3000000.0</v>
      </c>
      <c r="G323" s="31" t="s">
        <v>23</v>
      </c>
      <c r="I323" s="31" t="s">
        <v>229</v>
      </c>
      <c r="J323" s="31" t="s">
        <v>229</v>
      </c>
      <c r="K323" s="33" t="s">
        <v>1210</v>
      </c>
      <c r="L323" s="31" t="s">
        <v>202</v>
      </c>
      <c r="N323" s="31" t="s">
        <v>215</v>
      </c>
      <c r="W323" s="31" t="s">
        <v>216</v>
      </c>
    </row>
    <row r="324">
      <c r="A324" s="29">
        <v>45906.811035266204</v>
      </c>
      <c r="B324" s="30">
        <v>45906.0</v>
      </c>
      <c r="C324" s="31" t="s">
        <v>1211</v>
      </c>
      <c r="D324" s="32" t="s">
        <v>1212</v>
      </c>
      <c r="E324" s="31" t="s">
        <v>43</v>
      </c>
      <c r="F324" s="31">
        <v>4500000.0</v>
      </c>
      <c r="G324" s="31" t="s">
        <v>45</v>
      </c>
      <c r="I324" s="31" t="s">
        <v>229</v>
      </c>
      <c r="J324" s="31" t="s">
        <v>967</v>
      </c>
      <c r="K324" s="33" t="s">
        <v>1213</v>
      </c>
      <c r="L324" s="31" t="s">
        <v>202</v>
      </c>
      <c r="N324" s="31" t="s">
        <v>204</v>
      </c>
      <c r="R324" s="31" t="s">
        <v>47</v>
      </c>
    </row>
    <row r="325">
      <c r="A325" s="29">
        <v>45906.83000181713</v>
      </c>
      <c r="B325" s="30">
        <v>45906.0</v>
      </c>
      <c r="C325" s="31" t="s">
        <v>1214</v>
      </c>
      <c r="D325" s="32" t="s">
        <v>1215</v>
      </c>
      <c r="E325" s="31" t="s">
        <v>43</v>
      </c>
      <c r="F325" s="31">
        <v>5000000.0</v>
      </c>
      <c r="G325" s="31" t="s">
        <v>23</v>
      </c>
      <c r="I325" s="31" t="s">
        <v>229</v>
      </c>
      <c r="J325" s="31" t="s">
        <v>250</v>
      </c>
      <c r="K325" s="33" t="s">
        <v>1216</v>
      </c>
      <c r="L325" s="31" t="s">
        <v>252</v>
      </c>
      <c r="O325" s="31" t="s">
        <v>205</v>
      </c>
      <c r="X325" s="31" t="s">
        <v>253</v>
      </c>
    </row>
    <row r="326">
      <c r="A326" s="29">
        <v>45906.84152673611</v>
      </c>
      <c r="B326" s="30">
        <v>45906.0</v>
      </c>
      <c r="C326" s="31" t="s">
        <v>1217</v>
      </c>
      <c r="D326" s="32" t="s">
        <v>1218</v>
      </c>
      <c r="E326" s="31" t="s">
        <v>1219</v>
      </c>
      <c r="F326" s="31">
        <v>3500000.0</v>
      </c>
      <c r="G326" s="31" t="s">
        <v>23</v>
      </c>
      <c r="H326" s="31">
        <v>3000000.0</v>
      </c>
      <c r="I326" s="31" t="s">
        <v>200</v>
      </c>
      <c r="K326" s="33" t="s">
        <v>1220</v>
      </c>
      <c r="L326" s="31" t="s">
        <v>252</v>
      </c>
      <c r="M326" s="31" t="s">
        <v>203</v>
      </c>
      <c r="O326" s="31" t="s">
        <v>205</v>
      </c>
      <c r="X326" s="31" t="s">
        <v>549</v>
      </c>
    </row>
    <row r="327">
      <c r="A327" s="29">
        <v>45906.8426841551</v>
      </c>
      <c r="B327" s="30">
        <v>45906.0</v>
      </c>
      <c r="C327" s="31" t="s">
        <v>1221</v>
      </c>
      <c r="D327" s="32" t="s">
        <v>1222</v>
      </c>
      <c r="E327" s="31" t="s">
        <v>1223</v>
      </c>
      <c r="F327" s="31">
        <v>3700000.0</v>
      </c>
      <c r="G327" s="31" t="s">
        <v>23</v>
      </c>
      <c r="I327" s="31" t="s">
        <v>229</v>
      </c>
      <c r="J327" s="31" t="s">
        <v>327</v>
      </c>
      <c r="K327" s="33" t="s">
        <v>1224</v>
      </c>
      <c r="L327" s="31" t="s">
        <v>202</v>
      </c>
      <c r="N327" s="31" t="s">
        <v>215</v>
      </c>
      <c r="W327" s="31" t="s">
        <v>355</v>
      </c>
    </row>
    <row r="328">
      <c r="A328" s="29">
        <v>45906.85228071759</v>
      </c>
      <c r="B328" s="30">
        <v>45906.0</v>
      </c>
      <c r="C328" s="31" t="s">
        <v>1225</v>
      </c>
      <c r="D328" s="32" t="s">
        <v>1226</v>
      </c>
      <c r="E328" s="31" t="s">
        <v>132</v>
      </c>
      <c r="F328" s="31">
        <v>5000000.0</v>
      </c>
      <c r="G328" s="31" t="s">
        <v>23</v>
      </c>
      <c r="H328" s="31">
        <v>1.2E7</v>
      </c>
      <c r="I328" s="26" t="s">
        <v>413</v>
      </c>
      <c r="K328" s="33" t="s">
        <v>1227</v>
      </c>
      <c r="L328" s="31" t="s">
        <v>202</v>
      </c>
      <c r="M328" s="31" t="s">
        <v>605</v>
      </c>
      <c r="N328" s="31" t="s">
        <v>220</v>
      </c>
      <c r="S328" s="31" t="s">
        <v>36</v>
      </c>
    </row>
    <row r="329">
      <c r="A329" s="29">
        <v>45906.87781898148</v>
      </c>
      <c r="B329" s="30">
        <v>45906.0</v>
      </c>
      <c r="C329" s="31" t="s">
        <v>1228</v>
      </c>
      <c r="D329" s="32" t="s">
        <v>1229</v>
      </c>
      <c r="E329" s="31" t="s">
        <v>572</v>
      </c>
      <c r="F329" s="31">
        <v>3000000.0</v>
      </c>
      <c r="G329" s="31" t="s">
        <v>23</v>
      </c>
      <c r="I329" s="31" t="s">
        <v>229</v>
      </c>
      <c r="J329" s="31" t="s">
        <v>967</v>
      </c>
      <c r="K329" s="33" t="s">
        <v>1230</v>
      </c>
      <c r="L329" s="31" t="s">
        <v>202</v>
      </c>
      <c r="N329" s="31" t="s">
        <v>871</v>
      </c>
      <c r="Q329" s="31" t="s">
        <v>872</v>
      </c>
    </row>
    <row r="330">
      <c r="A330" s="29">
        <v>45906.88009907407</v>
      </c>
      <c r="B330" s="30">
        <v>45906.0</v>
      </c>
      <c r="C330" s="31" t="s">
        <v>1231</v>
      </c>
      <c r="D330" s="32" t="s">
        <v>1232</v>
      </c>
      <c r="E330" s="31" t="s">
        <v>199</v>
      </c>
      <c r="F330" s="31">
        <v>5200000.0</v>
      </c>
      <c r="G330" s="31" t="s">
        <v>23</v>
      </c>
      <c r="H330" s="31">
        <v>3000000.0</v>
      </c>
      <c r="I330" s="26" t="s">
        <v>413</v>
      </c>
      <c r="K330" s="33" t="s">
        <v>1233</v>
      </c>
      <c r="L330" s="31" t="s">
        <v>202</v>
      </c>
      <c r="M330" s="31" t="s">
        <v>203</v>
      </c>
      <c r="N330" s="31" t="s">
        <v>204</v>
      </c>
      <c r="R330" s="31" t="s">
        <v>47</v>
      </c>
    </row>
    <row r="331">
      <c r="A331" s="29">
        <v>45906.95191019676</v>
      </c>
      <c r="B331" s="30">
        <v>45906.0</v>
      </c>
      <c r="C331" s="31" t="s">
        <v>1234</v>
      </c>
      <c r="D331" s="32" t="s">
        <v>1235</v>
      </c>
      <c r="E331" s="31" t="s">
        <v>43</v>
      </c>
      <c r="F331" s="31">
        <v>5000000.0</v>
      </c>
      <c r="G331" s="31" t="s">
        <v>23</v>
      </c>
      <c r="H331" s="31">
        <v>5000000.0</v>
      </c>
      <c r="I331" s="26" t="s">
        <v>413</v>
      </c>
      <c r="K331" s="33" t="s">
        <v>1236</v>
      </c>
      <c r="L331" s="31" t="s">
        <v>202</v>
      </c>
      <c r="M331" s="31" t="s">
        <v>605</v>
      </c>
      <c r="N331" s="31" t="s">
        <v>220</v>
      </c>
      <c r="S331" s="31" t="s">
        <v>83</v>
      </c>
    </row>
    <row r="332">
      <c r="A332" s="29">
        <v>45906.958561736115</v>
      </c>
      <c r="B332" s="30">
        <v>45906.0</v>
      </c>
      <c r="C332" s="31" t="s">
        <v>1237</v>
      </c>
      <c r="D332" s="32" t="s">
        <v>1238</v>
      </c>
      <c r="E332" s="31" t="s">
        <v>31</v>
      </c>
      <c r="F332" s="31">
        <v>5000000.0</v>
      </c>
      <c r="G332" s="31" t="s">
        <v>45</v>
      </c>
      <c r="I332" s="31" t="s">
        <v>229</v>
      </c>
      <c r="J332" s="31" t="s">
        <v>967</v>
      </c>
      <c r="K332" s="33" t="s">
        <v>1239</v>
      </c>
      <c r="L332" s="31" t="s">
        <v>202</v>
      </c>
      <c r="N332" s="31" t="s">
        <v>220</v>
      </c>
      <c r="S332" s="31" t="s">
        <v>124</v>
      </c>
    </row>
    <row r="333">
      <c r="A333" s="29">
        <v>45907.51170379629</v>
      </c>
      <c r="B333" s="30">
        <v>45907.0</v>
      </c>
      <c r="C333" s="31" t="s">
        <v>1240</v>
      </c>
      <c r="D333" s="31">
        <v>8.5239685441E10</v>
      </c>
      <c r="E333" s="31" t="s">
        <v>199</v>
      </c>
      <c r="F333" s="31">
        <v>9000000.0</v>
      </c>
      <c r="G333" s="31" t="s">
        <v>23</v>
      </c>
      <c r="I333" s="31" t="s">
        <v>229</v>
      </c>
      <c r="J333" s="31" t="s">
        <v>967</v>
      </c>
      <c r="K333" s="33" t="s">
        <v>1241</v>
      </c>
      <c r="L333" s="31" t="s">
        <v>202</v>
      </c>
      <c r="N333" s="31" t="s">
        <v>220</v>
      </c>
      <c r="S333" s="31" t="s">
        <v>124</v>
      </c>
    </row>
    <row r="334">
      <c r="A334" s="29">
        <v>45907.51279252315</v>
      </c>
      <c r="B334" s="30">
        <v>45907.0</v>
      </c>
      <c r="C334" s="31" t="s">
        <v>1242</v>
      </c>
      <c r="D334" s="31">
        <v>8.5253649991E10</v>
      </c>
      <c r="E334" s="31" t="s">
        <v>31</v>
      </c>
      <c r="F334" s="31">
        <v>6000000.0</v>
      </c>
      <c r="G334" s="31" t="s">
        <v>23</v>
      </c>
      <c r="I334" s="31" t="s">
        <v>229</v>
      </c>
      <c r="J334" s="31" t="s">
        <v>967</v>
      </c>
      <c r="K334" s="33" t="s">
        <v>1243</v>
      </c>
      <c r="L334" s="31" t="s">
        <v>202</v>
      </c>
      <c r="N334" s="31" t="s">
        <v>220</v>
      </c>
      <c r="S334" s="31" t="s">
        <v>124</v>
      </c>
    </row>
    <row r="335">
      <c r="A335" s="29">
        <v>45907.513864050925</v>
      </c>
      <c r="B335" s="30">
        <v>45907.0</v>
      </c>
      <c r="C335" s="31" t="s">
        <v>1244</v>
      </c>
      <c r="D335" s="31">
        <v>8.1339014562E10</v>
      </c>
      <c r="E335" s="31" t="s">
        <v>288</v>
      </c>
      <c r="F335" s="31">
        <v>4600000.0</v>
      </c>
      <c r="G335" s="31" t="s">
        <v>23</v>
      </c>
      <c r="I335" s="31" t="s">
        <v>229</v>
      </c>
      <c r="J335" s="31" t="s">
        <v>967</v>
      </c>
      <c r="K335" s="33" t="s">
        <v>1245</v>
      </c>
      <c r="L335" s="31" t="s">
        <v>202</v>
      </c>
      <c r="N335" s="31" t="s">
        <v>220</v>
      </c>
      <c r="S335" s="31" t="s">
        <v>124</v>
      </c>
    </row>
    <row r="336">
      <c r="A336" s="29">
        <v>45907.51480804398</v>
      </c>
      <c r="B336" s="30">
        <v>45907.0</v>
      </c>
      <c r="C336" s="31" t="s">
        <v>1246</v>
      </c>
      <c r="D336" s="31">
        <v>8.2236558058E10</v>
      </c>
      <c r="E336" s="31" t="s">
        <v>288</v>
      </c>
      <c r="F336" s="31">
        <v>5000000.0</v>
      </c>
      <c r="G336" s="31" t="s">
        <v>23</v>
      </c>
      <c r="I336" s="31" t="s">
        <v>229</v>
      </c>
      <c r="J336" s="31" t="s">
        <v>967</v>
      </c>
      <c r="K336" s="33" t="s">
        <v>1247</v>
      </c>
      <c r="L336" s="31" t="s">
        <v>202</v>
      </c>
      <c r="N336" s="31" t="s">
        <v>220</v>
      </c>
      <c r="S336" s="31" t="s">
        <v>124</v>
      </c>
    </row>
    <row r="337">
      <c r="A337" s="29">
        <v>45907.57549020833</v>
      </c>
      <c r="B337" s="30">
        <v>45907.0</v>
      </c>
      <c r="C337" s="31" t="s">
        <v>1248</v>
      </c>
      <c r="D337" s="32" t="s">
        <v>1249</v>
      </c>
      <c r="E337" s="31" t="s">
        <v>199</v>
      </c>
      <c r="F337" s="31">
        <v>3000000.0</v>
      </c>
      <c r="G337" s="31" t="s">
        <v>45</v>
      </c>
      <c r="H337" s="31">
        <v>7000000.0</v>
      </c>
      <c r="I337" s="31" t="s">
        <v>200</v>
      </c>
      <c r="K337" s="33" t="s">
        <v>1250</v>
      </c>
      <c r="L337" s="31" t="s">
        <v>252</v>
      </c>
      <c r="M337" s="31" t="s">
        <v>203</v>
      </c>
      <c r="O337" s="31" t="s">
        <v>205</v>
      </c>
      <c r="X337" s="31" t="s">
        <v>452</v>
      </c>
    </row>
    <row r="338">
      <c r="A338" s="29">
        <v>45907.60270152778</v>
      </c>
      <c r="B338" s="30">
        <v>45907.0</v>
      </c>
      <c r="C338" s="31" t="s">
        <v>1251</v>
      </c>
      <c r="D338" s="32" t="s">
        <v>1252</v>
      </c>
      <c r="E338" s="31" t="s">
        <v>43</v>
      </c>
      <c r="F338" s="31">
        <v>2400000.0</v>
      </c>
      <c r="G338" s="31" t="s">
        <v>45</v>
      </c>
      <c r="I338" s="31" t="s">
        <v>229</v>
      </c>
      <c r="J338" s="31" t="s">
        <v>967</v>
      </c>
      <c r="K338" s="33" t="s">
        <v>1253</v>
      </c>
      <c r="L338" s="31" t="s">
        <v>202</v>
      </c>
      <c r="N338" s="31" t="s">
        <v>204</v>
      </c>
      <c r="R338" s="31" t="s">
        <v>148</v>
      </c>
    </row>
    <row r="339">
      <c r="A339" s="29">
        <v>45907.7043781713</v>
      </c>
      <c r="B339" s="30">
        <v>45907.0</v>
      </c>
      <c r="C339" s="31" t="s">
        <v>1254</v>
      </c>
      <c r="D339" s="31">
        <v>6.282236846042E12</v>
      </c>
      <c r="E339" s="31" t="s">
        <v>43</v>
      </c>
      <c r="F339" s="31">
        <v>6000000.0</v>
      </c>
      <c r="G339" s="31" t="s">
        <v>23</v>
      </c>
      <c r="I339" s="31" t="s">
        <v>229</v>
      </c>
      <c r="J339" s="31" t="s">
        <v>967</v>
      </c>
      <c r="K339" s="33" t="s">
        <v>1255</v>
      </c>
      <c r="L339" s="31" t="s">
        <v>202</v>
      </c>
      <c r="N339" s="31" t="s">
        <v>220</v>
      </c>
      <c r="S339" s="31" t="s">
        <v>536</v>
      </c>
    </row>
    <row r="340">
      <c r="A340" s="29">
        <v>45907.708675497684</v>
      </c>
      <c r="B340" s="30">
        <v>45907.0</v>
      </c>
      <c r="C340" s="31" t="s">
        <v>1256</v>
      </c>
      <c r="D340" s="32" t="s">
        <v>1257</v>
      </c>
      <c r="E340" s="31" t="s">
        <v>228</v>
      </c>
      <c r="F340" s="31">
        <v>8500000.0</v>
      </c>
      <c r="G340" s="31" t="s">
        <v>23</v>
      </c>
      <c r="I340" s="31" t="s">
        <v>229</v>
      </c>
      <c r="J340" s="31" t="s">
        <v>967</v>
      </c>
      <c r="K340" s="33" t="s">
        <v>1258</v>
      </c>
      <c r="L340" s="31" t="s">
        <v>202</v>
      </c>
      <c r="N340" s="31" t="s">
        <v>204</v>
      </c>
      <c r="R340" s="31" t="s">
        <v>98</v>
      </c>
    </row>
    <row r="341">
      <c r="A341" s="29">
        <v>45907.72388887731</v>
      </c>
      <c r="B341" s="30">
        <v>45907.0</v>
      </c>
      <c r="C341" s="31" t="s">
        <v>1259</v>
      </c>
      <c r="D341" s="32" t="s">
        <v>1260</v>
      </c>
      <c r="E341" s="31" t="s">
        <v>228</v>
      </c>
      <c r="F341" s="31">
        <v>4500000.0</v>
      </c>
      <c r="G341" s="31" t="s">
        <v>23</v>
      </c>
      <c r="I341" s="31" t="s">
        <v>229</v>
      </c>
      <c r="J341" s="31" t="s">
        <v>967</v>
      </c>
      <c r="K341" s="33" t="s">
        <v>1261</v>
      </c>
      <c r="L341" s="31" t="s">
        <v>202</v>
      </c>
      <c r="N341" s="31" t="s">
        <v>204</v>
      </c>
      <c r="R341" s="31" t="s">
        <v>98</v>
      </c>
    </row>
    <row r="342">
      <c r="A342" s="29">
        <v>45907.75514101852</v>
      </c>
      <c r="B342" s="30">
        <v>45907.0</v>
      </c>
      <c r="C342" s="31" t="s">
        <v>1262</v>
      </c>
      <c r="D342" s="31">
        <v>8.1291018333E10</v>
      </c>
      <c r="E342" s="31" t="s">
        <v>199</v>
      </c>
      <c r="F342" s="31">
        <v>9500000.0</v>
      </c>
      <c r="G342" s="31" t="s">
        <v>45</v>
      </c>
      <c r="I342" s="31" t="s">
        <v>229</v>
      </c>
      <c r="J342" s="31" t="s">
        <v>967</v>
      </c>
      <c r="K342" s="33" t="s">
        <v>1263</v>
      </c>
      <c r="L342" s="31" t="s">
        <v>202</v>
      </c>
      <c r="N342" s="31" t="s">
        <v>204</v>
      </c>
      <c r="R342" s="31" t="s">
        <v>98</v>
      </c>
    </row>
    <row r="343">
      <c r="A343" s="29">
        <v>45907.80215027778</v>
      </c>
      <c r="B343" s="30">
        <v>45907.0</v>
      </c>
      <c r="C343" s="31" t="s">
        <v>1264</v>
      </c>
      <c r="D343" s="32" t="s">
        <v>1265</v>
      </c>
      <c r="E343" s="31" t="s">
        <v>1093</v>
      </c>
      <c r="F343" s="31">
        <v>3000000.0</v>
      </c>
      <c r="G343" s="31" t="s">
        <v>23</v>
      </c>
      <c r="I343" s="31" t="s">
        <v>229</v>
      </c>
      <c r="J343" s="31" t="s">
        <v>967</v>
      </c>
      <c r="K343" s="33" t="s">
        <v>1266</v>
      </c>
      <c r="L343" s="31" t="s">
        <v>252</v>
      </c>
      <c r="O343" s="31" t="s">
        <v>205</v>
      </c>
      <c r="X343" s="31" t="s">
        <v>549</v>
      </c>
    </row>
    <row r="344">
      <c r="A344" s="29">
        <v>45907.80777813657</v>
      </c>
      <c r="B344" s="30">
        <v>45907.0</v>
      </c>
      <c r="C344" s="31" t="s">
        <v>1267</v>
      </c>
      <c r="D344" s="32" t="s">
        <v>1268</v>
      </c>
      <c r="E344" s="31" t="s">
        <v>288</v>
      </c>
      <c r="F344" s="31">
        <v>7000000.0</v>
      </c>
      <c r="G344" s="31" t="s">
        <v>45</v>
      </c>
      <c r="I344" s="31" t="s">
        <v>229</v>
      </c>
      <c r="J344" s="31" t="s">
        <v>967</v>
      </c>
      <c r="K344" s="33" t="s">
        <v>1269</v>
      </c>
      <c r="L344" s="31" t="s">
        <v>252</v>
      </c>
      <c r="O344" s="31" t="s">
        <v>257</v>
      </c>
      <c r="P344" s="31" t="s">
        <v>285</v>
      </c>
    </row>
    <row r="345">
      <c r="A345" s="29">
        <v>45907.80820083333</v>
      </c>
      <c r="B345" s="30">
        <v>45907.0</v>
      </c>
      <c r="C345" s="31" t="s">
        <v>1270</v>
      </c>
      <c r="D345" s="32" t="s">
        <v>1271</v>
      </c>
      <c r="E345" s="31" t="s">
        <v>31</v>
      </c>
      <c r="F345" s="31">
        <v>3500000.0</v>
      </c>
      <c r="G345" s="31" t="s">
        <v>23</v>
      </c>
      <c r="I345" s="31" t="s">
        <v>229</v>
      </c>
      <c r="J345" s="31" t="s">
        <v>967</v>
      </c>
      <c r="K345" s="33" t="s">
        <v>1272</v>
      </c>
      <c r="L345" s="31" t="s">
        <v>202</v>
      </c>
      <c r="N345" s="31" t="s">
        <v>204</v>
      </c>
      <c r="R345" s="31" t="s">
        <v>148</v>
      </c>
    </row>
    <row r="346">
      <c r="A346" s="29">
        <v>45907.83011386574</v>
      </c>
      <c r="B346" s="30">
        <v>45907.0</v>
      </c>
      <c r="C346" s="31" t="s">
        <v>1273</v>
      </c>
      <c r="D346" s="32" t="s">
        <v>1274</v>
      </c>
      <c r="E346" s="31" t="s">
        <v>31</v>
      </c>
      <c r="F346" s="31">
        <v>2500000.0</v>
      </c>
      <c r="G346" s="31" t="s">
        <v>23</v>
      </c>
      <c r="I346" s="31" t="s">
        <v>229</v>
      </c>
      <c r="J346" s="31" t="s">
        <v>967</v>
      </c>
      <c r="K346" s="33" t="s">
        <v>1275</v>
      </c>
      <c r="L346" s="31" t="s">
        <v>202</v>
      </c>
      <c r="N346" s="31" t="s">
        <v>204</v>
      </c>
      <c r="R346" s="31" t="s">
        <v>148</v>
      </c>
    </row>
    <row r="347">
      <c r="A347" s="29">
        <v>45907.83704107639</v>
      </c>
      <c r="B347" s="30">
        <v>45907.0</v>
      </c>
      <c r="C347" s="31" t="s">
        <v>1276</v>
      </c>
      <c r="D347" s="31">
        <v>0.0</v>
      </c>
      <c r="E347" s="31" t="s">
        <v>190</v>
      </c>
      <c r="F347" s="34">
        <v>2800.0</v>
      </c>
      <c r="G347" s="31" t="s">
        <v>23</v>
      </c>
      <c r="I347" s="31" t="s">
        <v>229</v>
      </c>
      <c r="J347" s="31" t="s">
        <v>967</v>
      </c>
      <c r="K347" s="33" t="s">
        <v>1277</v>
      </c>
      <c r="L347" s="31" t="s">
        <v>202</v>
      </c>
      <c r="N347" s="31" t="s">
        <v>204</v>
      </c>
      <c r="R347" s="31" t="s">
        <v>171</v>
      </c>
    </row>
    <row r="348">
      <c r="A348" s="29">
        <v>45907.83876766203</v>
      </c>
      <c r="B348" s="30">
        <v>45907.0</v>
      </c>
      <c r="C348" s="31" t="s">
        <v>1278</v>
      </c>
      <c r="D348" s="31">
        <v>0.0</v>
      </c>
      <c r="E348" s="31" t="s">
        <v>1279</v>
      </c>
      <c r="F348" s="34">
        <v>1900.0</v>
      </c>
      <c r="G348" s="31" t="s">
        <v>23</v>
      </c>
      <c r="I348" s="31" t="s">
        <v>229</v>
      </c>
      <c r="J348" s="31" t="s">
        <v>967</v>
      </c>
      <c r="K348" s="33" t="s">
        <v>1280</v>
      </c>
      <c r="L348" s="31" t="s">
        <v>202</v>
      </c>
      <c r="N348" s="31" t="s">
        <v>204</v>
      </c>
      <c r="R348" s="31" t="s">
        <v>171</v>
      </c>
    </row>
    <row r="349">
      <c r="A349" s="29">
        <v>45907.84011853009</v>
      </c>
      <c r="B349" s="30">
        <v>45907.0</v>
      </c>
      <c r="C349" s="31" t="s">
        <v>1281</v>
      </c>
      <c r="D349" s="31">
        <v>0.0</v>
      </c>
      <c r="E349" s="31" t="s">
        <v>1279</v>
      </c>
      <c r="F349" s="34">
        <v>1900.0</v>
      </c>
      <c r="G349" s="31" t="s">
        <v>23</v>
      </c>
      <c r="I349" s="31" t="s">
        <v>229</v>
      </c>
      <c r="J349" s="31" t="s">
        <v>967</v>
      </c>
      <c r="K349" s="33" t="s">
        <v>1282</v>
      </c>
      <c r="L349" s="31" t="s">
        <v>202</v>
      </c>
      <c r="N349" s="31" t="s">
        <v>204</v>
      </c>
      <c r="R349" s="31" t="s">
        <v>171</v>
      </c>
    </row>
    <row r="350">
      <c r="A350" s="29">
        <v>45907.86486149306</v>
      </c>
      <c r="B350" s="30">
        <v>45907.0</v>
      </c>
      <c r="C350" s="31" t="s">
        <v>1283</v>
      </c>
      <c r="D350" s="31">
        <v>0.0</v>
      </c>
      <c r="E350" s="31" t="s">
        <v>93</v>
      </c>
      <c r="F350" s="34">
        <v>1800.0</v>
      </c>
      <c r="G350" s="31" t="s">
        <v>23</v>
      </c>
      <c r="I350" s="31" t="s">
        <v>229</v>
      </c>
      <c r="J350" s="31" t="s">
        <v>967</v>
      </c>
      <c r="K350" s="33" t="s">
        <v>1284</v>
      </c>
      <c r="L350" s="31" t="s">
        <v>202</v>
      </c>
      <c r="N350" s="31" t="s">
        <v>204</v>
      </c>
      <c r="R350" s="31" t="s">
        <v>171</v>
      </c>
    </row>
    <row r="351">
      <c r="A351" s="29">
        <v>45907.865917627314</v>
      </c>
      <c r="B351" s="30">
        <v>45907.0</v>
      </c>
      <c r="C351" s="31" t="s">
        <v>1285</v>
      </c>
      <c r="D351" s="31">
        <v>0.0</v>
      </c>
      <c r="E351" s="31" t="s">
        <v>1286</v>
      </c>
      <c r="F351" s="34">
        <v>2500.0</v>
      </c>
      <c r="G351" s="31" t="s">
        <v>23</v>
      </c>
      <c r="I351" s="31" t="s">
        <v>229</v>
      </c>
      <c r="J351" s="31" t="s">
        <v>967</v>
      </c>
      <c r="K351" s="33" t="s">
        <v>1287</v>
      </c>
      <c r="L351" s="31" t="s">
        <v>202</v>
      </c>
      <c r="N351" s="31" t="s">
        <v>204</v>
      </c>
      <c r="R351" s="31" t="s">
        <v>171</v>
      </c>
    </row>
    <row r="352">
      <c r="A352" s="29">
        <v>45907.87273258102</v>
      </c>
      <c r="B352" s="30">
        <v>45907.0</v>
      </c>
      <c r="C352" s="31" t="s">
        <v>1288</v>
      </c>
      <c r="D352" s="32" t="s">
        <v>1289</v>
      </c>
      <c r="E352" s="31" t="s">
        <v>43</v>
      </c>
      <c r="F352" s="31">
        <v>1.24E7</v>
      </c>
      <c r="G352" s="31" t="s">
        <v>23</v>
      </c>
      <c r="H352" s="31">
        <v>7000000.0</v>
      </c>
      <c r="I352" s="26" t="s">
        <v>413</v>
      </c>
      <c r="K352" s="33" t="s">
        <v>1290</v>
      </c>
      <c r="L352" s="31" t="s">
        <v>202</v>
      </c>
      <c r="M352" s="31" t="s">
        <v>605</v>
      </c>
      <c r="N352" s="31" t="s">
        <v>204</v>
      </c>
      <c r="R352" s="31" t="s">
        <v>148</v>
      </c>
    </row>
    <row r="353">
      <c r="A353" s="29">
        <v>45907.877176828704</v>
      </c>
      <c r="B353" s="30">
        <v>45907.0</v>
      </c>
      <c r="C353" s="31" t="s">
        <v>1291</v>
      </c>
      <c r="D353" s="32" t="s">
        <v>1292</v>
      </c>
      <c r="E353" s="31" t="s">
        <v>288</v>
      </c>
      <c r="F353" s="34">
        <v>1300.0</v>
      </c>
      <c r="G353" s="31" t="s">
        <v>23</v>
      </c>
      <c r="I353" s="31" t="s">
        <v>229</v>
      </c>
      <c r="J353" s="31" t="s">
        <v>165</v>
      </c>
      <c r="K353" s="33" t="s">
        <v>1293</v>
      </c>
      <c r="L353" s="31" t="s">
        <v>202</v>
      </c>
      <c r="N353" s="31" t="s">
        <v>204</v>
      </c>
      <c r="R353" s="31" t="s">
        <v>167</v>
      </c>
    </row>
    <row r="354">
      <c r="A354" s="29">
        <v>45907.90380581019</v>
      </c>
      <c r="B354" s="30">
        <v>45907.0</v>
      </c>
      <c r="C354" s="31" t="s">
        <v>1294</v>
      </c>
      <c r="D354" s="32" t="s">
        <v>1295</v>
      </c>
      <c r="E354" s="31" t="s">
        <v>261</v>
      </c>
      <c r="F354" s="34">
        <v>2000.0</v>
      </c>
      <c r="G354" s="31" t="s">
        <v>23</v>
      </c>
      <c r="I354" s="31" t="s">
        <v>229</v>
      </c>
      <c r="J354" s="31" t="s">
        <v>165</v>
      </c>
      <c r="K354" s="33" t="s">
        <v>1296</v>
      </c>
      <c r="L354" s="31" t="s">
        <v>202</v>
      </c>
      <c r="N354" s="31" t="s">
        <v>204</v>
      </c>
      <c r="R354" s="31" t="s">
        <v>167</v>
      </c>
    </row>
    <row r="355">
      <c r="A355" s="29">
        <v>45908.40393907407</v>
      </c>
      <c r="B355" s="30">
        <v>45908.0</v>
      </c>
      <c r="C355" s="31" t="s">
        <v>1297</v>
      </c>
      <c r="D355" s="32" t="s">
        <v>1298</v>
      </c>
      <c r="E355" s="31" t="s">
        <v>31</v>
      </c>
      <c r="F355" s="31">
        <v>1.2E7</v>
      </c>
      <c r="G355" s="31" t="s">
        <v>23</v>
      </c>
      <c r="I355" s="31" t="s">
        <v>229</v>
      </c>
      <c r="J355" s="31" t="s">
        <v>967</v>
      </c>
      <c r="K355" s="33" t="s">
        <v>1299</v>
      </c>
      <c r="L355" s="31" t="s">
        <v>202</v>
      </c>
      <c r="N355" s="31" t="s">
        <v>204</v>
      </c>
      <c r="R355" s="31" t="s">
        <v>148</v>
      </c>
    </row>
    <row r="356">
      <c r="A356" s="29">
        <v>45908.43431038194</v>
      </c>
      <c r="B356" s="30">
        <v>45908.0</v>
      </c>
      <c r="C356" s="31" t="s">
        <v>1300</v>
      </c>
      <c r="D356" s="32" t="s">
        <v>1301</v>
      </c>
      <c r="E356" s="31" t="s">
        <v>43</v>
      </c>
      <c r="F356" s="31">
        <v>4600000.0</v>
      </c>
      <c r="G356" s="31" t="s">
        <v>23</v>
      </c>
      <c r="H356" s="31">
        <v>3000000.0</v>
      </c>
      <c r="I356" s="26" t="s">
        <v>413</v>
      </c>
      <c r="K356" s="33" t="s">
        <v>1302</v>
      </c>
      <c r="L356" s="31" t="s">
        <v>202</v>
      </c>
      <c r="M356" s="31" t="s">
        <v>605</v>
      </c>
      <c r="N356" s="31" t="s">
        <v>220</v>
      </c>
      <c r="S356" s="31" t="s">
        <v>36</v>
      </c>
    </row>
    <row r="357">
      <c r="A357" s="29">
        <v>45908.43543060185</v>
      </c>
      <c r="B357" s="30">
        <v>45908.0</v>
      </c>
      <c r="C357" s="31" t="s">
        <v>1303</v>
      </c>
      <c r="D357" s="32" t="s">
        <v>1304</v>
      </c>
      <c r="E357" s="31" t="s">
        <v>213</v>
      </c>
      <c r="F357" s="31">
        <v>3500000.0</v>
      </c>
      <c r="G357" s="31" t="s">
        <v>23</v>
      </c>
      <c r="H357" s="31">
        <v>3000000.0</v>
      </c>
      <c r="I357" s="26" t="s">
        <v>413</v>
      </c>
      <c r="K357" s="33" t="s">
        <v>1305</v>
      </c>
      <c r="L357" s="31" t="s">
        <v>202</v>
      </c>
      <c r="M357" s="31" t="s">
        <v>203</v>
      </c>
      <c r="N357" s="31" t="s">
        <v>871</v>
      </c>
      <c r="Q357" s="31" t="s">
        <v>872</v>
      </c>
    </row>
    <row r="358">
      <c r="A358" s="29">
        <v>45908.446710578704</v>
      </c>
      <c r="B358" s="30">
        <v>45908.0</v>
      </c>
      <c r="C358" s="31" t="s">
        <v>1306</v>
      </c>
      <c r="D358" s="32" t="s">
        <v>1307</v>
      </c>
      <c r="E358" s="31" t="s">
        <v>239</v>
      </c>
      <c r="F358" s="34">
        <v>9000000.0</v>
      </c>
      <c r="G358" s="31" t="s">
        <v>45</v>
      </c>
      <c r="H358" s="34">
        <v>7000000.0</v>
      </c>
      <c r="I358" s="31" t="s">
        <v>200</v>
      </c>
      <c r="K358" s="33" t="s">
        <v>1308</v>
      </c>
      <c r="L358" s="31" t="s">
        <v>202</v>
      </c>
      <c r="M358" s="31" t="s">
        <v>383</v>
      </c>
      <c r="N358" s="31" t="s">
        <v>204</v>
      </c>
      <c r="R358" s="31" t="s">
        <v>471</v>
      </c>
    </row>
    <row r="359">
      <c r="A359" s="29">
        <v>45908.449132407404</v>
      </c>
      <c r="B359" s="30">
        <v>45908.0</v>
      </c>
      <c r="C359" s="31" t="s">
        <v>1309</v>
      </c>
      <c r="D359" s="31">
        <v>8.1337877998E10</v>
      </c>
      <c r="E359" s="31" t="s">
        <v>43</v>
      </c>
      <c r="F359" s="34">
        <v>1.1E7</v>
      </c>
      <c r="G359" s="31" t="s">
        <v>45</v>
      </c>
      <c r="H359" s="34">
        <v>7000000.0</v>
      </c>
      <c r="I359" s="31" t="s">
        <v>200</v>
      </c>
      <c r="K359" s="33" t="s">
        <v>1310</v>
      </c>
      <c r="L359" s="31" t="s">
        <v>202</v>
      </c>
      <c r="M359" s="31" t="s">
        <v>383</v>
      </c>
      <c r="N359" s="31" t="s">
        <v>204</v>
      </c>
      <c r="R359" s="31" t="s">
        <v>471</v>
      </c>
    </row>
    <row r="360">
      <c r="A360" s="29">
        <v>45908.45308907407</v>
      </c>
      <c r="B360" s="30">
        <v>45908.0</v>
      </c>
      <c r="C360" s="31" t="s">
        <v>1311</v>
      </c>
      <c r="D360" s="31">
        <v>0.0</v>
      </c>
      <c r="E360" s="31" t="s">
        <v>43</v>
      </c>
      <c r="F360" s="34">
        <v>6500.0</v>
      </c>
      <c r="G360" s="31" t="s">
        <v>23</v>
      </c>
      <c r="I360" s="31" t="s">
        <v>229</v>
      </c>
      <c r="J360" s="31" t="s">
        <v>967</v>
      </c>
      <c r="K360" s="33" t="s">
        <v>1312</v>
      </c>
      <c r="L360" s="31" t="s">
        <v>202</v>
      </c>
      <c r="N360" s="31" t="s">
        <v>204</v>
      </c>
      <c r="R360" s="31" t="s">
        <v>171</v>
      </c>
    </row>
    <row r="361">
      <c r="A361" s="29">
        <v>45908.460602060186</v>
      </c>
      <c r="B361" s="30">
        <v>45904.0</v>
      </c>
      <c r="C361" s="31" t="s">
        <v>1313</v>
      </c>
      <c r="D361" s="32" t="s">
        <v>1314</v>
      </c>
      <c r="E361" s="31" t="s">
        <v>31</v>
      </c>
      <c r="F361" s="31">
        <v>3400000.0</v>
      </c>
      <c r="G361" s="31" t="s">
        <v>23</v>
      </c>
      <c r="I361" s="31" t="s">
        <v>229</v>
      </c>
      <c r="J361" s="31" t="s">
        <v>967</v>
      </c>
      <c r="K361" s="33" t="s">
        <v>1315</v>
      </c>
      <c r="L361" s="31" t="s">
        <v>202</v>
      </c>
      <c r="N361" s="31" t="s">
        <v>204</v>
      </c>
      <c r="R361" s="31" t="s">
        <v>207</v>
      </c>
    </row>
    <row r="362">
      <c r="A362" s="29">
        <v>45908.47634039352</v>
      </c>
      <c r="B362" s="30">
        <v>45908.0</v>
      </c>
      <c r="C362" s="31" t="s">
        <v>1316</v>
      </c>
      <c r="D362" s="32" t="s">
        <v>1317</v>
      </c>
      <c r="E362" s="31" t="s">
        <v>31</v>
      </c>
      <c r="F362" s="31">
        <v>4000000.0</v>
      </c>
      <c r="G362" s="31" t="s">
        <v>23</v>
      </c>
      <c r="I362" s="31" t="s">
        <v>229</v>
      </c>
      <c r="J362" s="31" t="s">
        <v>967</v>
      </c>
      <c r="K362" s="33" t="s">
        <v>1318</v>
      </c>
      <c r="L362" s="31" t="s">
        <v>202</v>
      </c>
      <c r="N362" s="31" t="s">
        <v>871</v>
      </c>
      <c r="Q362" s="31" t="s">
        <v>1021</v>
      </c>
    </row>
    <row r="363">
      <c r="A363" s="29">
        <v>45908.48251623842</v>
      </c>
      <c r="B363" s="30">
        <v>45908.0</v>
      </c>
      <c r="C363" s="31" t="s">
        <v>1319</v>
      </c>
      <c r="D363" s="32" t="s">
        <v>1320</v>
      </c>
      <c r="E363" s="31" t="s">
        <v>43</v>
      </c>
      <c r="F363" s="31">
        <v>7600000.0</v>
      </c>
      <c r="G363" s="31" t="s">
        <v>23</v>
      </c>
      <c r="I363" s="31" t="s">
        <v>229</v>
      </c>
      <c r="J363" s="31" t="s">
        <v>164</v>
      </c>
      <c r="K363" s="33" t="s">
        <v>1321</v>
      </c>
      <c r="L363" s="31" t="s">
        <v>202</v>
      </c>
      <c r="N363" s="31" t="s">
        <v>220</v>
      </c>
      <c r="S363" s="31" t="s">
        <v>83</v>
      </c>
    </row>
    <row r="364">
      <c r="A364" s="29">
        <v>45908.514493634255</v>
      </c>
      <c r="B364" s="30">
        <v>45908.0</v>
      </c>
      <c r="C364" s="31" t="s">
        <v>1322</v>
      </c>
      <c r="D364" s="32" t="s">
        <v>1323</v>
      </c>
      <c r="E364" s="31" t="s">
        <v>43</v>
      </c>
      <c r="F364" s="31">
        <v>3000000.0</v>
      </c>
      <c r="G364" s="31" t="s">
        <v>23</v>
      </c>
      <c r="I364" s="31" t="s">
        <v>229</v>
      </c>
      <c r="J364" s="31" t="s">
        <v>967</v>
      </c>
      <c r="K364" s="33" t="s">
        <v>1324</v>
      </c>
      <c r="L364" s="31" t="s">
        <v>202</v>
      </c>
      <c r="N364" s="31" t="s">
        <v>204</v>
      </c>
      <c r="R364" s="31" t="s">
        <v>53</v>
      </c>
    </row>
    <row r="365">
      <c r="A365" s="29">
        <v>45908.51721962963</v>
      </c>
      <c r="B365" s="30">
        <v>45908.0</v>
      </c>
      <c r="C365" s="31" t="s">
        <v>1325</v>
      </c>
      <c r="D365" s="32" t="s">
        <v>1326</v>
      </c>
      <c r="E365" s="31" t="s">
        <v>43</v>
      </c>
      <c r="F365" s="31">
        <v>2500000.0</v>
      </c>
      <c r="G365" s="31" t="s">
        <v>23</v>
      </c>
      <c r="I365" s="31" t="s">
        <v>229</v>
      </c>
      <c r="J365" s="31" t="s">
        <v>967</v>
      </c>
      <c r="K365" s="33" t="s">
        <v>1327</v>
      </c>
      <c r="L365" s="31" t="s">
        <v>202</v>
      </c>
      <c r="N365" s="31" t="s">
        <v>871</v>
      </c>
      <c r="Q365" s="31" t="s">
        <v>1021</v>
      </c>
    </row>
    <row r="366">
      <c r="A366" s="29">
        <v>45908.52658719907</v>
      </c>
      <c r="B366" s="30">
        <v>45908.0</v>
      </c>
      <c r="C366" s="31" t="s">
        <v>1328</v>
      </c>
      <c r="D366" s="31" t="s">
        <v>1329</v>
      </c>
      <c r="E366" s="31" t="s">
        <v>43</v>
      </c>
      <c r="F366" s="31">
        <v>2300000.0</v>
      </c>
      <c r="G366" s="31" t="s">
        <v>23</v>
      </c>
      <c r="I366" s="31" t="s">
        <v>229</v>
      </c>
      <c r="J366" s="31" t="s">
        <v>1330</v>
      </c>
      <c r="K366" s="33" t="s">
        <v>1331</v>
      </c>
      <c r="L366" s="31" t="s">
        <v>202</v>
      </c>
      <c r="N366" s="31" t="s">
        <v>204</v>
      </c>
      <c r="R366" s="31" t="s">
        <v>892</v>
      </c>
    </row>
    <row r="367">
      <c r="A367" s="29">
        <v>45908.5278303588</v>
      </c>
      <c r="B367" s="30">
        <v>45908.0</v>
      </c>
      <c r="C367" s="31" t="s">
        <v>1332</v>
      </c>
      <c r="D367" s="32" t="s">
        <v>1333</v>
      </c>
      <c r="E367" s="31" t="s">
        <v>31</v>
      </c>
      <c r="F367" s="31">
        <v>5000000.0</v>
      </c>
      <c r="G367" s="31" t="s">
        <v>23</v>
      </c>
      <c r="I367" s="31" t="s">
        <v>229</v>
      </c>
      <c r="J367" s="31" t="s">
        <v>967</v>
      </c>
      <c r="K367" s="33" t="s">
        <v>1334</v>
      </c>
      <c r="L367" s="31" t="s">
        <v>202</v>
      </c>
      <c r="N367" s="31" t="s">
        <v>204</v>
      </c>
      <c r="R367" s="31" t="s">
        <v>207</v>
      </c>
    </row>
    <row r="368">
      <c r="A368" s="29">
        <v>45908.54721584491</v>
      </c>
      <c r="B368" s="30">
        <v>45908.0</v>
      </c>
      <c r="C368" s="31" t="s">
        <v>1335</v>
      </c>
      <c r="D368" s="32" t="s">
        <v>1336</v>
      </c>
      <c r="E368" s="31" t="s">
        <v>288</v>
      </c>
      <c r="F368" s="31">
        <v>2000000.0</v>
      </c>
      <c r="G368" s="31" t="s">
        <v>23</v>
      </c>
      <c r="I368" s="31" t="s">
        <v>229</v>
      </c>
      <c r="J368" s="31" t="s">
        <v>967</v>
      </c>
      <c r="K368" s="33" t="s">
        <v>1337</v>
      </c>
      <c r="L368" s="31" t="s">
        <v>202</v>
      </c>
      <c r="N368" s="31" t="s">
        <v>204</v>
      </c>
      <c r="R368" s="31" t="s">
        <v>892</v>
      </c>
    </row>
    <row r="369">
      <c r="A369" s="29">
        <v>45908.54909152778</v>
      </c>
      <c r="B369" s="30">
        <v>45908.0</v>
      </c>
      <c r="C369" s="31" t="s">
        <v>1338</v>
      </c>
      <c r="D369" s="32" t="s">
        <v>1339</v>
      </c>
      <c r="E369" s="31" t="s">
        <v>43</v>
      </c>
      <c r="F369" s="31">
        <v>3800000.0</v>
      </c>
      <c r="G369" s="31" t="s">
        <v>23</v>
      </c>
      <c r="H369" s="31">
        <v>3000000.0</v>
      </c>
      <c r="I369" s="31" t="s">
        <v>200</v>
      </c>
      <c r="K369" s="33" t="s">
        <v>1340</v>
      </c>
      <c r="L369" s="31" t="s">
        <v>252</v>
      </c>
      <c r="M369" s="31" t="s">
        <v>203</v>
      </c>
      <c r="O369" s="31" t="s">
        <v>257</v>
      </c>
      <c r="P369" s="31" t="s">
        <v>258</v>
      </c>
    </row>
    <row r="370">
      <c r="A370" s="29">
        <v>45908.56217633102</v>
      </c>
      <c r="B370" s="30">
        <v>45908.0</v>
      </c>
      <c r="C370" s="31" t="s">
        <v>1341</v>
      </c>
      <c r="D370" s="32" t="s">
        <v>1342</v>
      </c>
      <c r="E370" s="31" t="s">
        <v>43</v>
      </c>
      <c r="F370" s="31">
        <v>4000000.0</v>
      </c>
      <c r="G370" s="31" t="s">
        <v>23</v>
      </c>
      <c r="I370" s="31" t="s">
        <v>229</v>
      </c>
      <c r="J370" s="31" t="s">
        <v>967</v>
      </c>
      <c r="K370" s="33" t="s">
        <v>1343</v>
      </c>
      <c r="L370" s="31" t="s">
        <v>202</v>
      </c>
      <c r="N370" s="31" t="s">
        <v>220</v>
      </c>
      <c r="S370" s="31" t="s">
        <v>913</v>
      </c>
    </row>
    <row r="371">
      <c r="A371" s="29">
        <v>45908.56558652778</v>
      </c>
      <c r="B371" s="30">
        <v>45908.0</v>
      </c>
      <c r="C371" s="31" t="s">
        <v>1344</v>
      </c>
      <c r="D371" s="32" t="s">
        <v>1345</v>
      </c>
      <c r="E371" s="31" t="s">
        <v>847</v>
      </c>
      <c r="F371" s="31">
        <v>3000000.0</v>
      </c>
      <c r="G371" s="31" t="s">
        <v>23</v>
      </c>
      <c r="I371" s="31" t="s">
        <v>229</v>
      </c>
      <c r="J371" s="31" t="s">
        <v>967</v>
      </c>
      <c r="K371" s="33" t="s">
        <v>1346</v>
      </c>
      <c r="L371" s="31" t="s">
        <v>252</v>
      </c>
      <c r="O371" s="31" t="s">
        <v>205</v>
      </c>
      <c r="X371" s="31" t="s">
        <v>549</v>
      </c>
    </row>
    <row r="372">
      <c r="A372" s="29">
        <v>45908.568286712965</v>
      </c>
      <c r="B372" s="30">
        <v>45908.0</v>
      </c>
      <c r="C372" s="31" t="s">
        <v>1347</v>
      </c>
      <c r="D372" s="32" t="s">
        <v>1348</v>
      </c>
      <c r="E372" s="31" t="s">
        <v>1349</v>
      </c>
      <c r="F372" s="31">
        <v>6000000.0</v>
      </c>
      <c r="G372" s="31" t="s">
        <v>23</v>
      </c>
      <c r="H372" s="31">
        <v>7000000.0</v>
      </c>
      <c r="I372" s="31" t="s">
        <v>200</v>
      </c>
      <c r="K372" s="33" t="s">
        <v>1350</v>
      </c>
      <c r="L372" s="31" t="s">
        <v>202</v>
      </c>
      <c r="M372" s="31" t="s">
        <v>383</v>
      </c>
      <c r="N372" s="31" t="s">
        <v>313</v>
      </c>
      <c r="T372" s="31" t="s">
        <v>384</v>
      </c>
    </row>
    <row r="373">
      <c r="A373" s="29">
        <v>45908.579032696754</v>
      </c>
      <c r="B373" s="30">
        <v>45908.0</v>
      </c>
      <c r="C373" s="31" t="s">
        <v>1351</v>
      </c>
      <c r="D373" s="32" t="s">
        <v>1352</v>
      </c>
      <c r="E373" s="31" t="s">
        <v>43</v>
      </c>
      <c r="F373" s="31">
        <v>3500000.0</v>
      </c>
      <c r="G373" s="31" t="s">
        <v>23</v>
      </c>
      <c r="I373" s="31" t="s">
        <v>229</v>
      </c>
      <c r="J373" s="31" t="s">
        <v>967</v>
      </c>
      <c r="K373" s="33" t="s">
        <v>1353</v>
      </c>
      <c r="L373" s="31" t="s">
        <v>202</v>
      </c>
      <c r="N373" s="31" t="s">
        <v>871</v>
      </c>
      <c r="Q373" s="31" t="s">
        <v>1021</v>
      </c>
    </row>
    <row r="374">
      <c r="A374" s="29">
        <v>45908.581060763885</v>
      </c>
      <c r="B374" s="30">
        <v>45908.0</v>
      </c>
      <c r="C374" s="31" t="s">
        <v>1354</v>
      </c>
      <c r="D374" s="32" t="s">
        <v>1355</v>
      </c>
      <c r="E374" s="31" t="s">
        <v>43</v>
      </c>
      <c r="F374" s="31">
        <v>5000000.0</v>
      </c>
      <c r="G374" s="31" t="s">
        <v>23</v>
      </c>
      <c r="I374" s="31" t="s">
        <v>229</v>
      </c>
      <c r="J374" s="31" t="s">
        <v>967</v>
      </c>
      <c r="K374" s="33" t="s">
        <v>1356</v>
      </c>
      <c r="L374" s="31" t="s">
        <v>202</v>
      </c>
      <c r="N374" s="31" t="s">
        <v>220</v>
      </c>
      <c r="S374" s="31" t="s">
        <v>536</v>
      </c>
    </row>
    <row r="375">
      <c r="A375" s="29">
        <v>45908.59405918981</v>
      </c>
      <c r="B375" s="30">
        <v>45908.0</v>
      </c>
      <c r="C375" s="31" t="s">
        <v>1357</v>
      </c>
      <c r="D375" s="32" t="s">
        <v>1358</v>
      </c>
      <c r="E375" s="31" t="s">
        <v>43</v>
      </c>
      <c r="F375" s="31">
        <v>2000000.0</v>
      </c>
      <c r="G375" s="31" t="s">
        <v>45</v>
      </c>
      <c r="I375" s="31" t="s">
        <v>229</v>
      </c>
      <c r="J375" s="31" t="s">
        <v>600</v>
      </c>
      <c r="K375" s="33" t="s">
        <v>1359</v>
      </c>
      <c r="L375" s="31" t="s">
        <v>202</v>
      </c>
      <c r="N375" s="31" t="s">
        <v>215</v>
      </c>
      <c r="W375" s="31" t="s">
        <v>216</v>
      </c>
    </row>
    <row r="376">
      <c r="A376" s="29">
        <v>45908.596757384264</v>
      </c>
      <c r="B376" s="30">
        <v>45908.0</v>
      </c>
      <c r="C376" s="31" t="s">
        <v>1360</v>
      </c>
      <c r="D376" s="32" t="s">
        <v>1361</v>
      </c>
      <c r="E376" s="31" t="s">
        <v>1362</v>
      </c>
      <c r="F376" s="31">
        <v>3500000.0</v>
      </c>
      <c r="G376" s="31" t="s">
        <v>23</v>
      </c>
      <c r="I376" s="31" t="s">
        <v>229</v>
      </c>
      <c r="J376" s="31" t="s">
        <v>229</v>
      </c>
      <c r="K376" s="33" t="s">
        <v>1363</v>
      </c>
      <c r="L376" s="31" t="s">
        <v>202</v>
      </c>
      <c r="N376" s="31" t="s">
        <v>220</v>
      </c>
      <c r="S376" s="31" t="s">
        <v>59</v>
      </c>
    </row>
    <row r="377">
      <c r="A377" s="29">
        <v>45908.597286759265</v>
      </c>
      <c r="B377" s="30">
        <v>45908.0</v>
      </c>
      <c r="C377" s="31" t="s">
        <v>1364</v>
      </c>
      <c r="D377" s="32" t="s">
        <v>1365</v>
      </c>
      <c r="E377" s="31" t="s">
        <v>239</v>
      </c>
      <c r="F377" s="31">
        <v>3000000.0</v>
      </c>
      <c r="G377" s="31" t="s">
        <v>23</v>
      </c>
      <c r="I377" s="31" t="s">
        <v>229</v>
      </c>
      <c r="J377" s="31" t="s">
        <v>967</v>
      </c>
      <c r="K377" s="33" t="s">
        <v>1366</v>
      </c>
      <c r="L377" s="31" t="s">
        <v>202</v>
      </c>
      <c r="N377" s="31" t="s">
        <v>871</v>
      </c>
      <c r="Q377" s="31" t="s">
        <v>872</v>
      </c>
    </row>
    <row r="378">
      <c r="A378" s="29">
        <v>45908.60628787037</v>
      </c>
      <c r="B378" s="30">
        <v>45908.0</v>
      </c>
      <c r="C378" s="31" t="s">
        <v>1367</v>
      </c>
      <c r="D378" s="32" t="s">
        <v>1368</v>
      </c>
      <c r="E378" s="31" t="s">
        <v>43</v>
      </c>
      <c r="F378" s="31">
        <v>3500000.0</v>
      </c>
      <c r="G378" s="31" t="s">
        <v>45</v>
      </c>
      <c r="I378" s="31" t="s">
        <v>229</v>
      </c>
      <c r="J378" s="31" t="s">
        <v>967</v>
      </c>
      <c r="K378" s="33" t="s">
        <v>1369</v>
      </c>
      <c r="L378" s="31" t="s">
        <v>252</v>
      </c>
      <c r="O378" s="31" t="s">
        <v>205</v>
      </c>
      <c r="X378" s="31" t="s">
        <v>549</v>
      </c>
    </row>
    <row r="379">
      <c r="A379" s="29">
        <v>45908.62775428241</v>
      </c>
      <c r="B379" s="30">
        <v>45908.0</v>
      </c>
      <c r="C379" s="31" t="s">
        <v>1370</v>
      </c>
      <c r="D379" s="32" t="s">
        <v>1371</v>
      </c>
      <c r="E379" s="31" t="s">
        <v>43</v>
      </c>
      <c r="F379" s="31">
        <v>5100000.0</v>
      </c>
      <c r="G379" s="31" t="s">
        <v>23</v>
      </c>
      <c r="I379" s="31" t="s">
        <v>229</v>
      </c>
      <c r="J379" s="31" t="s">
        <v>967</v>
      </c>
      <c r="K379" s="33" t="s">
        <v>1372</v>
      </c>
      <c r="L379" s="31" t="s">
        <v>202</v>
      </c>
      <c r="N379" s="31" t="s">
        <v>313</v>
      </c>
      <c r="T379" s="31" t="s">
        <v>329</v>
      </c>
    </row>
    <row r="380">
      <c r="A380" s="29">
        <v>45908.62817111111</v>
      </c>
      <c r="B380" s="30">
        <v>45908.0</v>
      </c>
      <c r="C380" s="31" t="s">
        <v>1373</v>
      </c>
      <c r="D380" s="32" t="s">
        <v>1374</v>
      </c>
      <c r="E380" s="31" t="s">
        <v>43</v>
      </c>
      <c r="F380" s="31">
        <v>3000000.0</v>
      </c>
      <c r="G380" s="31" t="s">
        <v>23</v>
      </c>
      <c r="I380" s="31" t="s">
        <v>229</v>
      </c>
      <c r="J380" s="31" t="s">
        <v>967</v>
      </c>
      <c r="K380" s="33" t="s">
        <v>1375</v>
      </c>
      <c r="L380" s="31" t="s">
        <v>202</v>
      </c>
      <c r="N380" s="31" t="s">
        <v>871</v>
      </c>
      <c r="Q380" s="31" t="s">
        <v>872</v>
      </c>
    </row>
    <row r="381">
      <c r="A381" s="29">
        <v>45908.64659199074</v>
      </c>
      <c r="B381" s="30">
        <v>45908.0</v>
      </c>
      <c r="C381" s="31" t="s">
        <v>1376</v>
      </c>
      <c r="D381" s="32" t="s">
        <v>1377</v>
      </c>
      <c r="E381" s="31" t="s">
        <v>199</v>
      </c>
      <c r="F381" s="31">
        <v>5500000.0</v>
      </c>
      <c r="G381" s="31" t="s">
        <v>23</v>
      </c>
      <c r="H381" s="31">
        <v>3000000.0</v>
      </c>
      <c r="I381" s="31" t="s">
        <v>200</v>
      </c>
      <c r="K381" s="33" t="s">
        <v>1378</v>
      </c>
      <c r="L381" s="31" t="s">
        <v>252</v>
      </c>
      <c r="M381" s="31" t="s">
        <v>203</v>
      </c>
      <c r="O381" s="31" t="s">
        <v>257</v>
      </c>
      <c r="P381" s="31" t="s">
        <v>258</v>
      </c>
    </row>
    <row r="382">
      <c r="A382" s="29">
        <v>45908.6480037037</v>
      </c>
      <c r="B382" s="30">
        <v>45908.0</v>
      </c>
      <c r="C382" s="31" t="s">
        <v>1379</v>
      </c>
      <c r="D382" s="32" t="s">
        <v>1380</v>
      </c>
      <c r="E382" s="31" t="s">
        <v>43</v>
      </c>
      <c r="F382" s="31">
        <v>5000000.0</v>
      </c>
      <c r="G382" s="31" t="s">
        <v>23</v>
      </c>
      <c r="I382" s="31" t="s">
        <v>229</v>
      </c>
      <c r="J382" s="31" t="s">
        <v>266</v>
      </c>
      <c r="K382" s="33" t="s">
        <v>1381</v>
      </c>
      <c r="L382" s="31" t="s">
        <v>252</v>
      </c>
      <c r="O382" s="31" t="s">
        <v>257</v>
      </c>
      <c r="P382" s="31" t="s">
        <v>258</v>
      </c>
    </row>
    <row r="383">
      <c r="A383" s="29">
        <v>45908.678642638886</v>
      </c>
      <c r="B383" s="30">
        <v>45908.0</v>
      </c>
      <c r="C383" s="31" t="s">
        <v>1382</v>
      </c>
      <c r="D383" s="32" t="s">
        <v>1383</v>
      </c>
      <c r="E383" s="31" t="s">
        <v>199</v>
      </c>
      <c r="F383" s="31">
        <v>3000000.0</v>
      </c>
      <c r="G383" s="31" t="s">
        <v>45</v>
      </c>
      <c r="H383" s="31">
        <v>3000000.0</v>
      </c>
      <c r="I383" s="26" t="s">
        <v>413</v>
      </c>
      <c r="K383" s="33" t="s">
        <v>1384</v>
      </c>
      <c r="L383" s="31" t="s">
        <v>252</v>
      </c>
      <c r="M383" s="31" t="s">
        <v>203</v>
      </c>
      <c r="O383" s="31" t="s">
        <v>257</v>
      </c>
      <c r="P383" s="31" t="s">
        <v>206</v>
      </c>
    </row>
    <row r="384">
      <c r="A384" s="29">
        <v>45908.6851855787</v>
      </c>
      <c r="B384" s="30">
        <v>45908.0</v>
      </c>
      <c r="C384" s="31" t="s">
        <v>1385</v>
      </c>
      <c r="D384" s="32" t="s">
        <v>1386</v>
      </c>
      <c r="E384" s="31" t="s">
        <v>43</v>
      </c>
      <c r="F384" s="31">
        <v>5200000.0</v>
      </c>
      <c r="G384" s="31" t="s">
        <v>23</v>
      </c>
      <c r="I384" s="31" t="s">
        <v>229</v>
      </c>
      <c r="J384" s="31" t="s">
        <v>967</v>
      </c>
      <c r="K384" s="33" t="s">
        <v>1387</v>
      </c>
      <c r="L384" s="31" t="s">
        <v>202</v>
      </c>
      <c r="N384" s="31" t="s">
        <v>220</v>
      </c>
      <c r="S384" s="31" t="s">
        <v>36</v>
      </c>
    </row>
    <row r="385">
      <c r="A385" s="29">
        <v>45908.70770326389</v>
      </c>
      <c r="B385" s="30">
        <v>45908.0</v>
      </c>
      <c r="C385" s="31" t="s">
        <v>1388</v>
      </c>
      <c r="D385" s="32" t="s">
        <v>1389</v>
      </c>
      <c r="E385" s="31" t="s">
        <v>43</v>
      </c>
      <c r="F385" s="31">
        <v>6100000.0</v>
      </c>
      <c r="G385" s="31" t="s">
        <v>23</v>
      </c>
      <c r="H385" s="31">
        <v>3000000.0</v>
      </c>
      <c r="I385" s="26" t="s">
        <v>413</v>
      </c>
      <c r="K385" s="33" t="s">
        <v>1390</v>
      </c>
      <c r="L385" s="31" t="s">
        <v>202</v>
      </c>
      <c r="M385" s="31" t="s">
        <v>203</v>
      </c>
      <c r="N385" s="31" t="s">
        <v>313</v>
      </c>
      <c r="T385" s="31" t="s">
        <v>329</v>
      </c>
    </row>
    <row r="386">
      <c r="A386" s="29">
        <v>45908.73858493056</v>
      </c>
      <c r="B386" s="30">
        <v>45908.0</v>
      </c>
      <c r="C386" s="31" t="s">
        <v>1391</v>
      </c>
      <c r="D386" s="32" t="s">
        <v>1392</v>
      </c>
      <c r="E386" s="31" t="s">
        <v>43</v>
      </c>
      <c r="F386" s="31">
        <v>8100000.0</v>
      </c>
      <c r="G386" s="31" t="s">
        <v>23</v>
      </c>
      <c r="H386" s="31">
        <v>5000000.0</v>
      </c>
      <c r="I386" s="31" t="s">
        <v>200</v>
      </c>
      <c r="K386" s="33" t="s">
        <v>1393</v>
      </c>
      <c r="L386" s="31" t="s">
        <v>252</v>
      </c>
      <c r="M386" s="31" t="s">
        <v>383</v>
      </c>
      <c r="O386" s="31" t="s">
        <v>257</v>
      </c>
      <c r="P386" s="31" t="s">
        <v>272</v>
      </c>
    </row>
    <row r="387">
      <c r="A387" s="29">
        <v>45908.74232041667</v>
      </c>
      <c r="B387" s="30">
        <v>45908.0</v>
      </c>
      <c r="C387" s="31" t="s">
        <v>1394</v>
      </c>
      <c r="D387" s="32" t="s">
        <v>1395</v>
      </c>
      <c r="E387" s="31" t="s">
        <v>43</v>
      </c>
      <c r="F387" s="31">
        <v>1.0E7</v>
      </c>
      <c r="G387" s="31" t="s">
        <v>23</v>
      </c>
      <c r="I387" s="31" t="s">
        <v>229</v>
      </c>
      <c r="J387" s="31" t="s">
        <v>967</v>
      </c>
      <c r="K387" s="33" t="s">
        <v>1396</v>
      </c>
      <c r="L387" s="31" t="s">
        <v>202</v>
      </c>
      <c r="N387" s="31" t="s">
        <v>220</v>
      </c>
      <c r="S387" s="31" t="s">
        <v>536</v>
      </c>
    </row>
    <row r="388">
      <c r="A388" s="29">
        <v>45908.76510797454</v>
      </c>
      <c r="B388" s="30">
        <v>45908.0</v>
      </c>
      <c r="C388" s="31" t="s">
        <v>1397</v>
      </c>
      <c r="D388" s="32" t="s">
        <v>1398</v>
      </c>
      <c r="E388" s="31" t="s">
        <v>43</v>
      </c>
      <c r="F388" s="31">
        <v>6200000.0</v>
      </c>
      <c r="G388" s="31" t="s">
        <v>23</v>
      </c>
      <c r="H388" s="31">
        <v>7000000.0</v>
      </c>
      <c r="I388" s="31" t="s">
        <v>200</v>
      </c>
      <c r="K388" s="33" t="s">
        <v>1399</v>
      </c>
      <c r="L388" s="31" t="s">
        <v>202</v>
      </c>
      <c r="M388" s="31" t="s">
        <v>203</v>
      </c>
      <c r="N388" s="31" t="s">
        <v>220</v>
      </c>
      <c r="S388" s="31" t="s">
        <v>83</v>
      </c>
    </row>
    <row r="389">
      <c r="A389" s="29">
        <v>45908.76685039352</v>
      </c>
      <c r="B389" s="30">
        <v>45908.0</v>
      </c>
      <c r="C389" s="31" t="s">
        <v>1400</v>
      </c>
      <c r="D389" s="32" t="s">
        <v>1401</v>
      </c>
      <c r="E389" s="31" t="s">
        <v>43</v>
      </c>
      <c r="F389" s="31">
        <v>3500000.0</v>
      </c>
      <c r="G389" s="31" t="s">
        <v>23</v>
      </c>
      <c r="H389" s="31">
        <v>3000000.0</v>
      </c>
      <c r="I389" s="26" t="s">
        <v>413</v>
      </c>
      <c r="K389" s="33" t="s">
        <v>1402</v>
      </c>
      <c r="L389" s="31" t="s">
        <v>202</v>
      </c>
      <c r="M389" s="31" t="s">
        <v>203</v>
      </c>
      <c r="N389" s="31" t="s">
        <v>220</v>
      </c>
      <c r="S389" s="31" t="s">
        <v>83</v>
      </c>
    </row>
    <row r="390">
      <c r="A390" s="29">
        <v>45908.774569189816</v>
      </c>
      <c r="B390" s="30">
        <v>45908.0</v>
      </c>
      <c r="C390" s="31" t="s">
        <v>1403</v>
      </c>
      <c r="D390" s="32" t="s">
        <v>1404</v>
      </c>
      <c r="E390" s="31" t="s">
        <v>228</v>
      </c>
      <c r="F390" s="31">
        <v>6000000.0</v>
      </c>
      <c r="G390" s="31" t="s">
        <v>23</v>
      </c>
      <c r="I390" s="31" t="s">
        <v>229</v>
      </c>
      <c r="J390" s="31" t="s">
        <v>967</v>
      </c>
      <c r="K390" s="33" t="s">
        <v>1405</v>
      </c>
      <c r="L390" s="31" t="s">
        <v>202</v>
      </c>
      <c r="N390" s="31" t="s">
        <v>220</v>
      </c>
      <c r="S390" s="31" t="s">
        <v>1406</v>
      </c>
    </row>
    <row r="391">
      <c r="A391" s="29">
        <v>45908.78103278935</v>
      </c>
      <c r="B391" s="30">
        <v>45908.0</v>
      </c>
      <c r="C391" s="31" t="s">
        <v>1407</v>
      </c>
      <c r="D391" s="32" t="s">
        <v>1408</v>
      </c>
      <c r="E391" s="31" t="s">
        <v>31</v>
      </c>
      <c r="F391" s="31">
        <v>4400000.0</v>
      </c>
      <c r="G391" s="31" t="s">
        <v>45</v>
      </c>
      <c r="I391" s="31" t="s">
        <v>229</v>
      </c>
      <c r="J391" s="31" t="s">
        <v>967</v>
      </c>
      <c r="K391" s="33" t="s">
        <v>1409</v>
      </c>
      <c r="L391" s="31" t="s">
        <v>202</v>
      </c>
      <c r="N391" s="31" t="s">
        <v>204</v>
      </c>
      <c r="R391" s="31" t="s">
        <v>207</v>
      </c>
    </row>
    <row r="392">
      <c r="A392" s="29">
        <v>45908.79152546296</v>
      </c>
      <c r="B392" s="30">
        <v>45908.0</v>
      </c>
      <c r="C392" s="31" t="s">
        <v>1410</v>
      </c>
      <c r="D392" s="32" t="s">
        <v>1411</v>
      </c>
      <c r="E392" s="31" t="s">
        <v>228</v>
      </c>
      <c r="F392" s="31">
        <v>3000000.0</v>
      </c>
      <c r="G392" s="31" t="s">
        <v>23</v>
      </c>
      <c r="I392" s="31" t="s">
        <v>229</v>
      </c>
      <c r="J392" s="31" t="s">
        <v>250</v>
      </c>
      <c r="K392" s="33" t="s">
        <v>1412</v>
      </c>
      <c r="L392" s="31" t="s">
        <v>252</v>
      </c>
      <c r="O392" s="31" t="s">
        <v>205</v>
      </c>
      <c r="X392" s="31" t="s">
        <v>253</v>
      </c>
    </row>
    <row r="393">
      <c r="A393" s="29">
        <v>45908.80456050926</v>
      </c>
      <c r="B393" s="30">
        <v>45908.0</v>
      </c>
      <c r="C393" s="31" t="s">
        <v>1413</v>
      </c>
      <c r="D393" s="32" t="s">
        <v>1414</v>
      </c>
      <c r="E393" s="31" t="s">
        <v>43</v>
      </c>
      <c r="F393" s="31">
        <v>6000000.0</v>
      </c>
      <c r="G393" s="31" t="s">
        <v>23</v>
      </c>
      <c r="H393" s="31">
        <v>1.2972E7</v>
      </c>
      <c r="I393" s="31" t="s">
        <v>200</v>
      </c>
      <c r="K393" s="31" t="s">
        <v>1415</v>
      </c>
      <c r="L393" s="31" t="s">
        <v>202</v>
      </c>
      <c r="M393" s="31" t="s">
        <v>383</v>
      </c>
      <c r="N393" s="31" t="s">
        <v>204</v>
      </c>
      <c r="R393" s="31" t="s">
        <v>47</v>
      </c>
    </row>
    <row r="394">
      <c r="A394" s="29">
        <v>45908.827633622685</v>
      </c>
      <c r="B394" s="30">
        <v>45908.0</v>
      </c>
      <c r="C394" s="31" t="s">
        <v>1416</v>
      </c>
      <c r="D394" s="32" t="s">
        <v>1417</v>
      </c>
      <c r="E394" s="31" t="s">
        <v>228</v>
      </c>
      <c r="F394" s="34">
        <v>1000000.0</v>
      </c>
      <c r="G394" s="31" t="s">
        <v>23</v>
      </c>
      <c r="I394" s="31" t="s">
        <v>229</v>
      </c>
      <c r="J394" s="31" t="s">
        <v>967</v>
      </c>
      <c r="K394" s="33" t="s">
        <v>1418</v>
      </c>
      <c r="L394" s="31" t="s">
        <v>202</v>
      </c>
      <c r="N394" s="31" t="s">
        <v>204</v>
      </c>
      <c r="R394" s="31" t="s">
        <v>471</v>
      </c>
    </row>
    <row r="395">
      <c r="A395" s="29">
        <v>45908.848564155094</v>
      </c>
      <c r="B395" s="30">
        <v>45908.0</v>
      </c>
      <c r="C395" s="31" t="s">
        <v>1419</v>
      </c>
      <c r="D395" s="32" t="s">
        <v>1420</v>
      </c>
      <c r="E395" s="31" t="s">
        <v>43</v>
      </c>
      <c r="F395" s="31">
        <v>5000000.0</v>
      </c>
      <c r="G395" s="31" t="s">
        <v>23</v>
      </c>
      <c r="I395" s="31" t="s">
        <v>229</v>
      </c>
      <c r="J395" s="31" t="s">
        <v>387</v>
      </c>
      <c r="K395" s="33" t="s">
        <v>1421</v>
      </c>
      <c r="L395" s="31" t="s">
        <v>202</v>
      </c>
      <c r="N395" s="31" t="s">
        <v>215</v>
      </c>
      <c r="W395" s="31" t="s">
        <v>389</v>
      </c>
    </row>
    <row r="396">
      <c r="A396" s="29">
        <v>45908.865649467596</v>
      </c>
      <c r="B396" s="30">
        <v>45908.0</v>
      </c>
      <c r="C396" s="31" t="s">
        <v>1422</v>
      </c>
      <c r="D396" s="32" t="s">
        <v>1423</v>
      </c>
      <c r="E396" s="31" t="s">
        <v>43</v>
      </c>
      <c r="F396" s="31">
        <v>5000000.0</v>
      </c>
      <c r="G396" s="31" t="s">
        <v>23</v>
      </c>
      <c r="I396" s="31" t="s">
        <v>229</v>
      </c>
      <c r="J396" s="31" t="s">
        <v>967</v>
      </c>
      <c r="K396" s="33" t="s">
        <v>1424</v>
      </c>
      <c r="L396" s="31" t="s">
        <v>202</v>
      </c>
      <c r="N396" s="31" t="s">
        <v>204</v>
      </c>
      <c r="R396" s="31" t="s">
        <v>47</v>
      </c>
    </row>
    <row r="397">
      <c r="A397" s="29">
        <v>45908.86680369213</v>
      </c>
      <c r="B397" s="30">
        <v>45908.0</v>
      </c>
      <c r="C397" s="31" t="s">
        <v>1425</v>
      </c>
      <c r="D397" s="31">
        <v>8.3171916951E10</v>
      </c>
      <c r="E397" s="31" t="s">
        <v>261</v>
      </c>
      <c r="F397" s="34">
        <v>1.1E7</v>
      </c>
      <c r="G397" s="31" t="s">
        <v>23</v>
      </c>
      <c r="I397" s="31" t="s">
        <v>229</v>
      </c>
      <c r="J397" s="31" t="s">
        <v>967</v>
      </c>
      <c r="K397" s="33" t="s">
        <v>1426</v>
      </c>
      <c r="L397" s="31" t="s">
        <v>202</v>
      </c>
      <c r="N397" s="31" t="s">
        <v>204</v>
      </c>
      <c r="R397" s="31" t="s">
        <v>471</v>
      </c>
    </row>
    <row r="398">
      <c r="A398" s="29">
        <v>45908.87163284722</v>
      </c>
      <c r="B398" s="30">
        <v>45908.0</v>
      </c>
      <c r="C398" s="31" t="s">
        <v>1427</v>
      </c>
      <c r="D398" s="32" t="s">
        <v>1428</v>
      </c>
      <c r="E398" s="31" t="s">
        <v>31</v>
      </c>
      <c r="F398" s="31">
        <v>5000000.0</v>
      </c>
      <c r="G398" s="31" t="s">
        <v>23</v>
      </c>
      <c r="H398" s="31">
        <v>7000000.0</v>
      </c>
      <c r="I398" s="31" t="s">
        <v>200</v>
      </c>
      <c r="K398" s="33" t="s">
        <v>1429</v>
      </c>
      <c r="L398" s="31" t="s">
        <v>202</v>
      </c>
      <c r="M398" s="31" t="s">
        <v>203</v>
      </c>
      <c r="N398" s="31" t="s">
        <v>220</v>
      </c>
      <c r="S398" s="31" t="s">
        <v>36</v>
      </c>
    </row>
    <row r="399">
      <c r="A399" s="29">
        <v>45908.87252633102</v>
      </c>
      <c r="B399" s="30">
        <v>45908.0</v>
      </c>
      <c r="C399" s="31" t="s">
        <v>1430</v>
      </c>
      <c r="D399" s="32" t="s">
        <v>1431</v>
      </c>
      <c r="E399" s="31" t="s">
        <v>1432</v>
      </c>
      <c r="F399" s="31">
        <v>3000000.0</v>
      </c>
      <c r="G399" s="31" t="s">
        <v>23</v>
      </c>
      <c r="I399" s="31" t="s">
        <v>229</v>
      </c>
      <c r="J399" s="31" t="s">
        <v>967</v>
      </c>
      <c r="K399" s="33" t="s">
        <v>1433</v>
      </c>
      <c r="L399" s="31" t="s">
        <v>202</v>
      </c>
      <c r="N399" s="31" t="s">
        <v>313</v>
      </c>
      <c r="T399" s="31" t="s">
        <v>384</v>
      </c>
    </row>
    <row r="400">
      <c r="A400" s="29">
        <v>45908.873827303236</v>
      </c>
      <c r="B400" s="30">
        <v>45908.0</v>
      </c>
      <c r="C400" s="31" t="s">
        <v>1434</v>
      </c>
      <c r="D400" s="32" t="s">
        <v>1435</v>
      </c>
      <c r="E400" s="31" t="s">
        <v>199</v>
      </c>
      <c r="F400" s="31">
        <v>5000000.0</v>
      </c>
      <c r="G400" s="31" t="s">
        <v>45</v>
      </c>
      <c r="H400" s="31">
        <v>1.3868E7</v>
      </c>
      <c r="I400" s="26" t="s">
        <v>413</v>
      </c>
      <c r="K400" s="33" t="s">
        <v>1436</v>
      </c>
      <c r="L400" s="31" t="s">
        <v>202</v>
      </c>
      <c r="M400" s="31" t="s">
        <v>605</v>
      </c>
      <c r="N400" s="31" t="s">
        <v>220</v>
      </c>
      <c r="S400" s="31" t="s">
        <v>36</v>
      </c>
    </row>
    <row r="401">
      <c r="A401" s="29">
        <v>45908.904307164354</v>
      </c>
      <c r="B401" s="30">
        <v>45908.0</v>
      </c>
      <c r="C401" s="31" t="s">
        <v>1437</v>
      </c>
      <c r="D401" s="32" t="s">
        <v>1438</v>
      </c>
      <c r="E401" s="31" t="s">
        <v>228</v>
      </c>
      <c r="F401" s="31">
        <v>600000.0</v>
      </c>
      <c r="G401" s="31" t="s">
        <v>23</v>
      </c>
      <c r="I401" s="31" t="s">
        <v>229</v>
      </c>
      <c r="J401" s="31" t="s">
        <v>967</v>
      </c>
      <c r="K401" s="33" t="s">
        <v>1439</v>
      </c>
      <c r="L401" s="31" t="s">
        <v>202</v>
      </c>
      <c r="N401" s="31" t="s">
        <v>220</v>
      </c>
      <c r="S401" s="31" t="s">
        <v>1406</v>
      </c>
    </row>
    <row r="402">
      <c r="A402" s="29">
        <v>45908.940745451386</v>
      </c>
      <c r="B402" s="30">
        <v>45908.0</v>
      </c>
      <c r="C402" s="31" t="s">
        <v>1440</v>
      </c>
      <c r="D402" s="32" t="s">
        <v>1441</v>
      </c>
      <c r="E402" s="31" t="s">
        <v>261</v>
      </c>
      <c r="F402" s="34">
        <v>1600.0</v>
      </c>
      <c r="G402" s="31" t="s">
        <v>23</v>
      </c>
      <c r="I402" s="31" t="s">
        <v>229</v>
      </c>
      <c r="J402" s="31" t="s">
        <v>270</v>
      </c>
      <c r="K402" s="33" t="s">
        <v>1442</v>
      </c>
      <c r="L402" s="31" t="s">
        <v>202</v>
      </c>
      <c r="N402" s="31" t="s">
        <v>204</v>
      </c>
      <c r="R402" s="31" t="s">
        <v>192</v>
      </c>
    </row>
    <row r="403">
      <c r="A403" s="29">
        <v>45909.421172546296</v>
      </c>
      <c r="B403" s="30">
        <v>45909.0</v>
      </c>
      <c r="C403" s="31" t="s">
        <v>1443</v>
      </c>
      <c r="D403" s="32" t="s">
        <v>1444</v>
      </c>
      <c r="E403" s="31" t="s">
        <v>43</v>
      </c>
      <c r="F403" s="31">
        <v>3600000.0</v>
      </c>
      <c r="G403" s="31" t="s">
        <v>23</v>
      </c>
      <c r="I403" s="31" t="s">
        <v>229</v>
      </c>
      <c r="J403" s="31" t="s">
        <v>1445</v>
      </c>
      <c r="K403" s="33" t="s">
        <v>1446</v>
      </c>
      <c r="L403" s="31" t="s">
        <v>252</v>
      </c>
      <c r="O403" s="31" t="s">
        <v>205</v>
      </c>
      <c r="X403" s="31" t="s">
        <v>569</v>
      </c>
    </row>
    <row r="404">
      <c r="A404" s="29">
        <v>45909.44154881944</v>
      </c>
      <c r="B404" s="30">
        <v>45909.0</v>
      </c>
      <c r="C404" s="31" t="s">
        <v>1447</v>
      </c>
      <c r="D404" s="32" t="s">
        <v>1448</v>
      </c>
      <c r="E404" s="31" t="s">
        <v>31</v>
      </c>
      <c r="F404" s="31">
        <v>4200000.0</v>
      </c>
      <c r="G404" s="31" t="s">
        <v>45</v>
      </c>
      <c r="I404" s="31" t="s">
        <v>229</v>
      </c>
      <c r="J404" s="31" t="s">
        <v>967</v>
      </c>
      <c r="K404" s="33" t="s">
        <v>1449</v>
      </c>
      <c r="L404" s="31" t="s">
        <v>202</v>
      </c>
      <c r="N404" s="31" t="s">
        <v>204</v>
      </c>
      <c r="R404" s="31" t="s">
        <v>148</v>
      </c>
    </row>
    <row r="405">
      <c r="A405" s="29">
        <v>45909.45361149305</v>
      </c>
      <c r="B405" s="30">
        <v>45909.0</v>
      </c>
      <c r="C405" s="31" t="s">
        <v>1450</v>
      </c>
      <c r="D405" s="32" t="s">
        <v>1451</v>
      </c>
      <c r="E405" s="31" t="s">
        <v>43</v>
      </c>
      <c r="F405" s="31">
        <v>2000000.0</v>
      </c>
      <c r="G405" s="31" t="s">
        <v>23</v>
      </c>
      <c r="I405" s="31" t="s">
        <v>229</v>
      </c>
      <c r="J405" s="31" t="s">
        <v>967</v>
      </c>
      <c r="K405" s="33" t="s">
        <v>1452</v>
      </c>
      <c r="L405" s="31" t="s">
        <v>252</v>
      </c>
      <c r="O405" s="31" t="s">
        <v>205</v>
      </c>
      <c r="X405" s="31" t="s">
        <v>716</v>
      </c>
    </row>
    <row r="406">
      <c r="A406" s="29">
        <v>45909.46004972223</v>
      </c>
      <c r="B406" s="30">
        <v>45909.0</v>
      </c>
      <c r="C406" s="31" t="s">
        <v>1453</v>
      </c>
      <c r="D406" s="32" t="s">
        <v>1454</v>
      </c>
      <c r="E406" s="31" t="s">
        <v>31</v>
      </c>
      <c r="F406" s="31">
        <v>5700000.0</v>
      </c>
      <c r="G406" s="31" t="s">
        <v>23</v>
      </c>
      <c r="I406" s="31" t="s">
        <v>229</v>
      </c>
      <c r="J406" s="31" t="s">
        <v>967</v>
      </c>
      <c r="K406" s="33" t="s">
        <v>1455</v>
      </c>
      <c r="L406" s="31" t="s">
        <v>202</v>
      </c>
      <c r="N406" s="31" t="s">
        <v>204</v>
      </c>
      <c r="R406" s="31" t="s">
        <v>207</v>
      </c>
    </row>
    <row r="407">
      <c r="A407" s="29">
        <v>45909.4758892824</v>
      </c>
      <c r="B407" s="30">
        <v>45909.0</v>
      </c>
      <c r="C407" s="31" t="s">
        <v>1456</v>
      </c>
      <c r="D407" s="31" t="s">
        <v>1457</v>
      </c>
      <c r="E407" s="31" t="s">
        <v>31</v>
      </c>
      <c r="F407" s="31">
        <v>3000000.0</v>
      </c>
      <c r="G407" s="31" t="s">
        <v>23</v>
      </c>
      <c r="I407" s="31" t="s">
        <v>229</v>
      </c>
      <c r="J407" s="31" t="s">
        <v>327</v>
      </c>
      <c r="K407" s="31" t="s">
        <v>1458</v>
      </c>
      <c r="L407" s="31" t="s">
        <v>202</v>
      </c>
      <c r="N407" s="31" t="s">
        <v>215</v>
      </c>
      <c r="W407" s="31" t="s">
        <v>355</v>
      </c>
    </row>
    <row r="408">
      <c r="A408" s="29">
        <v>45909.47627068287</v>
      </c>
      <c r="B408" s="30">
        <v>45909.0</v>
      </c>
      <c r="C408" s="31" t="s">
        <v>1459</v>
      </c>
      <c r="D408" s="32" t="s">
        <v>1460</v>
      </c>
      <c r="E408" s="31" t="s">
        <v>239</v>
      </c>
      <c r="F408" s="31">
        <v>3000000.0</v>
      </c>
      <c r="G408" s="31" t="s">
        <v>23</v>
      </c>
      <c r="H408" s="31">
        <v>3000000.0</v>
      </c>
      <c r="I408" s="26" t="s">
        <v>413</v>
      </c>
      <c r="K408" s="33" t="s">
        <v>1461</v>
      </c>
      <c r="L408" s="31" t="s">
        <v>202</v>
      </c>
      <c r="M408" s="31" t="s">
        <v>203</v>
      </c>
      <c r="N408" s="31" t="s">
        <v>871</v>
      </c>
      <c r="Q408" s="31" t="s">
        <v>872</v>
      </c>
    </row>
    <row r="409">
      <c r="A409" s="29">
        <v>45909.48400056713</v>
      </c>
      <c r="B409" s="30">
        <v>45909.0</v>
      </c>
      <c r="C409" s="31" t="s">
        <v>1462</v>
      </c>
      <c r="D409" s="32" t="s">
        <v>1463</v>
      </c>
      <c r="E409" s="31" t="s">
        <v>43</v>
      </c>
      <c r="F409" s="31">
        <v>6700000.0</v>
      </c>
      <c r="G409" s="31" t="s">
        <v>23</v>
      </c>
      <c r="I409" s="31" t="s">
        <v>229</v>
      </c>
      <c r="J409" s="31" t="s">
        <v>967</v>
      </c>
      <c r="K409" s="33" t="s">
        <v>1464</v>
      </c>
      <c r="L409" s="31" t="s">
        <v>252</v>
      </c>
      <c r="O409" s="31" t="s">
        <v>205</v>
      </c>
      <c r="X409" s="31" t="s">
        <v>716</v>
      </c>
    </row>
    <row r="410">
      <c r="A410" s="29">
        <v>45909.49907356482</v>
      </c>
      <c r="B410" s="30">
        <v>45909.0</v>
      </c>
      <c r="C410" s="31" t="s">
        <v>1465</v>
      </c>
      <c r="D410" s="32" t="s">
        <v>1466</v>
      </c>
      <c r="E410" s="31" t="s">
        <v>43</v>
      </c>
      <c r="F410" s="31">
        <v>2700000.0</v>
      </c>
      <c r="G410" s="31" t="s">
        <v>23</v>
      </c>
      <c r="H410" s="31">
        <v>2700000.0</v>
      </c>
      <c r="I410" s="26" t="s">
        <v>413</v>
      </c>
      <c r="K410" s="33" t="s">
        <v>1467</v>
      </c>
      <c r="L410" s="31" t="s">
        <v>202</v>
      </c>
      <c r="M410" s="31" t="s">
        <v>203</v>
      </c>
      <c r="N410" s="31" t="s">
        <v>667</v>
      </c>
      <c r="U410" s="31" t="s">
        <v>668</v>
      </c>
    </row>
    <row r="411">
      <c r="A411" s="29">
        <v>45909.500109699075</v>
      </c>
      <c r="B411" s="30">
        <v>45909.0</v>
      </c>
      <c r="C411" s="31" t="s">
        <v>1468</v>
      </c>
      <c r="D411" s="32" t="s">
        <v>1469</v>
      </c>
      <c r="E411" s="31" t="s">
        <v>261</v>
      </c>
      <c r="F411" s="31">
        <v>2000000.0</v>
      </c>
      <c r="G411" s="31" t="s">
        <v>23</v>
      </c>
      <c r="I411" s="31" t="s">
        <v>229</v>
      </c>
      <c r="J411" s="31" t="s">
        <v>967</v>
      </c>
      <c r="K411" s="33" t="s">
        <v>1470</v>
      </c>
      <c r="L411" s="31" t="s">
        <v>252</v>
      </c>
      <c r="O411" s="31" t="s">
        <v>205</v>
      </c>
      <c r="X411" s="31" t="s">
        <v>1471</v>
      </c>
    </row>
    <row r="412">
      <c r="A412" s="29">
        <v>45909.501494571756</v>
      </c>
      <c r="B412" s="30">
        <v>45909.0</v>
      </c>
      <c r="C412" s="31" t="s">
        <v>1472</v>
      </c>
      <c r="D412" s="32" t="s">
        <v>1473</v>
      </c>
      <c r="E412" s="31" t="s">
        <v>43</v>
      </c>
      <c r="F412" s="31">
        <v>3500000.0</v>
      </c>
      <c r="G412" s="31" t="s">
        <v>23</v>
      </c>
      <c r="I412" s="31" t="s">
        <v>229</v>
      </c>
      <c r="J412" s="31" t="s">
        <v>967</v>
      </c>
      <c r="K412" s="33" t="s">
        <v>1474</v>
      </c>
      <c r="L412" s="31" t="s">
        <v>202</v>
      </c>
      <c r="N412" s="31" t="s">
        <v>220</v>
      </c>
      <c r="S412" s="31" t="s">
        <v>59</v>
      </c>
    </row>
    <row r="413">
      <c r="A413" s="29">
        <v>45909.50274862269</v>
      </c>
      <c r="B413" s="30">
        <v>45909.0</v>
      </c>
      <c r="C413" s="31" t="s">
        <v>1475</v>
      </c>
      <c r="D413" s="32" t="s">
        <v>1476</v>
      </c>
      <c r="E413" s="31" t="s">
        <v>43</v>
      </c>
      <c r="F413" s="31">
        <v>4600000.0</v>
      </c>
      <c r="G413" s="31" t="s">
        <v>23</v>
      </c>
      <c r="H413" s="31">
        <v>3000000.0</v>
      </c>
      <c r="I413" s="26" t="s">
        <v>413</v>
      </c>
      <c r="K413" s="33" t="s">
        <v>1477</v>
      </c>
      <c r="L413" s="31" t="s">
        <v>202</v>
      </c>
      <c r="M413" s="31" t="s">
        <v>203</v>
      </c>
      <c r="N413" s="31" t="s">
        <v>313</v>
      </c>
      <c r="T413" s="31" t="s">
        <v>329</v>
      </c>
    </row>
    <row r="414">
      <c r="A414" s="29">
        <v>45909.511193171296</v>
      </c>
      <c r="B414" s="30">
        <v>45909.0</v>
      </c>
      <c r="C414" s="31" t="s">
        <v>1478</v>
      </c>
      <c r="D414" s="32" t="s">
        <v>1479</v>
      </c>
      <c r="E414" s="31" t="s">
        <v>199</v>
      </c>
      <c r="F414" s="31">
        <v>4500000.0</v>
      </c>
      <c r="G414" s="31" t="s">
        <v>23</v>
      </c>
      <c r="I414" s="31" t="s">
        <v>229</v>
      </c>
      <c r="J414" s="31" t="s">
        <v>967</v>
      </c>
      <c r="K414" s="33" t="s">
        <v>1480</v>
      </c>
      <c r="L414" s="31" t="s">
        <v>202</v>
      </c>
      <c r="N414" s="31" t="s">
        <v>313</v>
      </c>
      <c r="T414" s="31" t="s">
        <v>314</v>
      </c>
    </row>
    <row r="415">
      <c r="A415" s="29">
        <v>45909.518218275465</v>
      </c>
      <c r="B415" s="30">
        <v>45909.0</v>
      </c>
      <c r="C415" s="31" t="s">
        <v>1481</v>
      </c>
      <c r="D415" s="32" t="s">
        <v>1482</v>
      </c>
      <c r="E415" s="31" t="s">
        <v>43</v>
      </c>
      <c r="F415" s="31">
        <v>4000000.0</v>
      </c>
      <c r="G415" s="31" t="s">
        <v>23</v>
      </c>
      <c r="I415" s="31" t="s">
        <v>229</v>
      </c>
      <c r="J415" s="31" t="s">
        <v>967</v>
      </c>
      <c r="K415" s="33" t="s">
        <v>1483</v>
      </c>
      <c r="L415" s="31" t="s">
        <v>202</v>
      </c>
      <c r="N415" s="31" t="s">
        <v>220</v>
      </c>
      <c r="S415" s="31" t="s">
        <v>59</v>
      </c>
    </row>
    <row r="416">
      <c r="A416" s="29">
        <v>45909.52885710648</v>
      </c>
      <c r="B416" s="30">
        <v>45909.0</v>
      </c>
      <c r="C416" s="31" t="s">
        <v>1484</v>
      </c>
      <c r="D416" s="31" t="s">
        <v>1485</v>
      </c>
      <c r="E416" s="31" t="s">
        <v>288</v>
      </c>
      <c r="F416" s="31">
        <v>3200000.0</v>
      </c>
      <c r="G416" s="31" t="s">
        <v>23</v>
      </c>
      <c r="H416" s="31">
        <v>3000000.0</v>
      </c>
      <c r="I416" s="31" t="s">
        <v>200</v>
      </c>
      <c r="K416" s="33" t="s">
        <v>1486</v>
      </c>
      <c r="L416" s="31" t="s">
        <v>202</v>
      </c>
      <c r="M416" s="31" t="s">
        <v>203</v>
      </c>
      <c r="N416" s="31" t="s">
        <v>204</v>
      </c>
      <c r="R416" s="31" t="s">
        <v>892</v>
      </c>
    </row>
    <row r="417">
      <c r="A417" s="29">
        <v>45909.53592917824</v>
      </c>
      <c r="B417" s="30">
        <v>45909.0</v>
      </c>
      <c r="C417" s="31" t="s">
        <v>1487</v>
      </c>
      <c r="D417" s="32" t="s">
        <v>1488</v>
      </c>
      <c r="E417" s="31" t="s">
        <v>43</v>
      </c>
      <c r="F417" s="31">
        <v>4000000.0</v>
      </c>
      <c r="G417" s="31" t="s">
        <v>45</v>
      </c>
      <c r="I417" s="31" t="s">
        <v>229</v>
      </c>
      <c r="J417" s="31" t="s">
        <v>967</v>
      </c>
      <c r="K417" s="33" t="s">
        <v>1489</v>
      </c>
      <c r="L417" s="31" t="s">
        <v>202</v>
      </c>
      <c r="N417" s="31" t="s">
        <v>204</v>
      </c>
      <c r="R417" s="31" t="s">
        <v>207</v>
      </c>
    </row>
    <row r="418">
      <c r="A418" s="29">
        <v>45909.546296064815</v>
      </c>
      <c r="B418" s="30">
        <v>45909.0</v>
      </c>
      <c r="C418" s="31" t="s">
        <v>1490</v>
      </c>
      <c r="D418" s="32" t="s">
        <v>1491</v>
      </c>
      <c r="E418" s="31" t="s">
        <v>43</v>
      </c>
      <c r="F418" s="31">
        <v>3000000.0</v>
      </c>
      <c r="G418" s="31" t="s">
        <v>23</v>
      </c>
      <c r="I418" s="31" t="s">
        <v>229</v>
      </c>
      <c r="J418" s="31" t="s">
        <v>967</v>
      </c>
      <c r="K418" s="33" t="s">
        <v>1492</v>
      </c>
      <c r="L418" s="31" t="s">
        <v>252</v>
      </c>
      <c r="O418" s="31" t="s">
        <v>257</v>
      </c>
      <c r="P418" s="31" t="s">
        <v>206</v>
      </c>
    </row>
    <row r="419">
      <c r="A419" s="29">
        <v>45909.55776134259</v>
      </c>
      <c r="B419" s="30">
        <v>45909.0</v>
      </c>
      <c r="C419" s="31" t="s">
        <v>1493</v>
      </c>
      <c r="D419" s="32" t="s">
        <v>1494</v>
      </c>
      <c r="E419" s="31" t="s">
        <v>239</v>
      </c>
      <c r="F419" s="34">
        <v>3200.0</v>
      </c>
      <c r="G419" s="31" t="s">
        <v>23</v>
      </c>
      <c r="I419" s="31" t="s">
        <v>229</v>
      </c>
      <c r="J419" s="31" t="s">
        <v>967</v>
      </c>
      <c r="K419" s="33" t="s">
        <v>1495</v>
      </c>
      <c r="L419" s="31" t="s">
        <v>252</v>
      </c>
      <c r="O419" s="31" t="s">
        <v>257</v>
      </c>
      <c r="P419" s="31" t="s">
        <v>992</v>
      </c>
    </row>
    <row r="420">
      <c r="A420" s="29">
        <v>45909.558676562505</v>
      </c>
      <c r="B420" s="30">
        <v>45909.0</v>
      </c>
      <c r="C420" s="31" t="s">
        <v>1496</v>
      </c>
      <c r="D420" s="31" t="s">
        <v>1497</v>
      </c>
      <c r="E420" s="31" t="s">
        <v>31</v>
      </c>
      <c r="F420" s="31">
        <v>3500000.0</v>
      </c>
      <c r="G420" s="31" t="s">
        <v>23</v>
      </c>
      <c r="I420" s="31" t="s">
        <v>229</v>
      </c>
      <c r="J420" s="31" t="s">
        <v>967</v>
      </c>
      <c r="K420" s="33" t="s">
        <v>1498</v>
      </c>
      <c r="L420" s="31" t="s">
        <v>202</v>
      </c>
      <c r="N420" s="31" t="s">
        <v>204</v>
      </c>
      <c r="R420" s="31" t="s">
        <v>207</v>
      </c>
    </row>
    <row r="421">
      <c r="A421" s="29">
        <v>45909.584212754635</v>
      </c>
      <c r="B421" s="30">
        <v>45909.0</v>
      </c>
      <c r="C421" s="31" t="s">
        <v>1499</v>
      </c>
      <c r="D421" s="32" t="s">
        <v>1500</v>
      </c>
      <c r="E421" s="31" t="s">
        <v>31</v>
      </c>
      <c r="F421" s="31">
        <v>6.6E7</v>
      </c>
      <c r="G421" s="31" t="s">
        <v>23</v>
      </c>
      <c r="I421" s="31" t="s">
        <v>229</v>
      </c>
      <c r="J421" s="31" t="s">
        <v>967</v>
      </c>
      <c r="K421" s="33" t="s">
        <v>1501</v>
      </c>
      <c r="L421" s="31" t="s">
        <v>202</v>
      </c>
      <c r="N421" s="31" t="s">
        <v>313</v>
      </c>
      <c r="T421" s="31" t="s">
        <v>329</v>
      </c>
    </row>
    <row r="422">
      <c r="A422" s="29">
        <v>45909.60152737268</v>
      </c>
      <c r="B422" s="30">
        <v>45909.0</v>
      </c>
      <c r="C422" s="31" t="s">
        <v>1502</v>
      </c>
      <c r="D422" s="32" t="s">
        <v>1503</v>
      </c>
      <c r="E422" s="31" t="s">
        <v>288</v>
      </c>
      <c r="F422" s="34">
        <v>2500.0</v>
      </c>
      <c r="G422" s="31" t="s">
        <v>23</v>
      </c>
      <c r="I422" s="31" t="s">
        <v>229</v>
      </c>
      <c r="J422" s="31" t="s">
        <v>165</v>
      </c>
      <c r="K422" s="33" t="s">
        <v>1504</v>
      </c>
      <c r="L422" s="31" t="s">
        <v>202</v>
      </c>
      <c r="N422" s="31" t="s">
        <v>204</v>
      </c>
      <c r="R422" s="31" t="s">
        <v>167</v>
      </c>
    </row>
    <row r="423">
      <c r="A423" s="29">
        <v>45909.62396403935</v>
      </c>
      <c r="B423" s="30">
        <v>45909.0</v>
      </c>
      <c r="C423" s="31" t="s">
        <v>1505</v>
      </c>
      <c r="D423" s="32" t="s">
        <v>1506</v>
      </c>
      <c r="E423" s="31" t="s">
        <v>43</v>
      </c>
      <c r="F423" s="31">
        <v>3400000.0</v>
      </c>
      <c r="G423" s="31" t="s">
        <v>23</v>
      </c>
      <c r="H423" s="31">
        <v>3000000.0</v>
      </c>
      <c r="I423" s="31" t="s">
        <v>200</v>
      </c>
      <c r="K423" s="31" t="s">
        <v>1507</v>
      </c>
      <c r="L423" s="31" t="s">
        <v>202</v>
      </c>
      <c r="M423" s="31" t="s">
        <v>203</v>
      </c>
      <c r="N423" s="31" t="s">
        <v>215</v>
      </c>
      <c r="W423" s="31" t="s">
        <v>389</v>
      </c>
    </row>
    <row r="424">
      <c r="A424" s="29">
        <v>45909.62445152778</v>
      </c>
      <c r="B424" s="30">
        <v>45909.0</v>
      </c>
      <c r="C424" s="31" t="s">
        <v>1508</v>
      </c>
      <c r="D424" s="32" t="s">
        <v>1509</v>
      </c>
      <c r="E424" s="31" t="s">
        <v>31</v>
      </c>
      <c r="F424" s="31">
        <v>3400000.0</v>
      </c>
      <c r="G424" s="31" t="s">
        <v>23</v>
      </c>
      <c r="I424" s="31" t="s">
        <v>229</v>
      </c>
      <c r="J424" s="31" t="s">
        <v>967</v>
      </c>
      <c r="K424" s="33" t="s">
        <v>1510</v>
      </c>
      <c r="L424" s="31" t="s">
        <v>252</v>
      </c>
      <c r="O424" s="31" t="s">
        <v>205</v>
      </c>
      <c r="X424" s="31" t="s">
        <v>452</v>
      </c>
    </row>
    <row r="425">
      <c r="A425" s="29">
        <v>45909.63810976852</v>
      </c>
      <c r="B425" s="30">
        <v>45909.0</v>
      </c>
      <c r="C425" s="31" t="s">
        <v>1511</v>
      </c>
      <c r="D425" s="32" t="s">
        <v>1512</v>
      </c>
      <c r="E425" s="31" t="s">
        <v>31</v>
      </c>
      <c r="F425" s="31">
        <v>5500000.0</v>
      </c>
      <c r="G425" s="31" t="s">
        <v>23</v>
      </c>
      <c r="I425" s="31" t="s">
        <v>229</v>
      </c>
      <c r="J425" s="31" t="s">
        <v>967</v>
      </c>
      <c r="K425" s="33" t="s">
        <v>1513</v>
      </c>
      <c r="L425" s="31" t="s">
        <v>202</v>
      </c>
      <c r="N425" s="31" t="s">
        <v>313</v>
      </c>
      <c r="T425" s="31" t="s">
        <v>329</v>
      </c>
    </row>
    <row r="426">
      <c r="A426" s="29">
        <v>45909.63915076389</v>
      </c>
      <c r="B426" s="30">
        <v>45909.0</v>
      </c>
      <c r="C426" s="31" t="s">
        <v>1514</v>
      </c>
      <c r="D426" s="32" t="s">
        <v>1515</v>
      </c>
      <c r="E426" s="31" t="s">
        <v>43</v>
      </c>
      <c r="F426" s="31">
        <v>3500000.0</v>
      </c>
      <c r="G426" s="31" t="s">
        <v>23</v>
      </c>
      <c r="H426" s="31">
        <v>3000009.0</v>
      </c>
      <c r="I426" s="26" t="s">
        <v>413</v>
      </c>
      <c r="K426" s="33" t="s">
        <v>1516</v>
      </c>
      <c r="L426" s="31" t="s">
        <v>202</v>
      </c>
      <c r="M426" s="31" t="s">
        <v>203</v>
      </c>
      <c r="N426" s="31" t="s">
        <v>215</v>
      </c>
      <c r="W426" s="31" t="s">
        <v>389</v>
      </c>
    </row>
    <row r="427">
      <c r="A427" s="29">
        <v>45909.67380240741</v>
      </c>
      <c r="B427" s="30">
        <v>45909.0</v>
      </c>
      <c r="C427" s="31" t="s">
        <v>1517</v>
      </c>
      <c r="D427" s="32" t="s">
        <v>1518</v>
      </c>
      <c r="E427" s="31" t="s">
        <v>43</v>
      </c>
      <c r="F427" s="31">
        <v>3500000.0</v>
      </c>
      <c r="G427" s="31" t="s">
        <v>45</v>
      </c>
      <c r="H427" s="31">
        <v>7000000.0</v>
      </c>
      <c r="I427" s="31" t="s">
        <v>200</v>
      </c>
      <c r="K427" s="33" t="s">
        <v>1519</v>
      </c>
      <c r="L427" s="31" t="s">
        <v>252</v>
      </c>
      <c r="M427" s="31" t="s">
        <v>383</v>
      </c>
      <c r="O427" s="31" t="s">
        <v>205</v>
      </c>
      <c r="X427" s="31" t="s">
        <v>549</v>
      </c>
    </row>
    <row r="428">
      <c r="A428" s="29">
        <v>45909.675273229164</v>
      </c>
      <c r="B428" s="30">
        <v>45909.0</v>
      </c>
      <c r="C428" s="31" t="s">
        <v>1520</v>
      </c>
      <c r="D428" s="32" t="s">
        <v>1521</v>
      </c>
      <c r="E428" s="31" t="s">
        <v>1522</v>
      </c>
      <c r="F428" s="31">
        <v>8000000.0</v>
      </c>
      <c r="G428" s="31" t="s">
        <v>23</v>
      </c>
      <c r="I428" s="31" t="s">
        <v>229</v>
      </c>
      <c r="J428" s="31" t="s">
        <v>967</v>
      </c>
      <c r="K428" s="33" t="s">
        <v>1523</v>
      </c>
      <c r="L428" s="31" t="s">
        <v>202</v>
      </c>
      <c r="N428" s="31" t="s">
        <v>220</v>
      </c>
      <c r="S428" s="31" t="s">
        <v>466</v>
      </c>
    </row>
    <row r="429">
      <c r="A429" s="29">
        <v>45909.68097270833</v>
      </c>
      <c r="B429" s="30">
        <v>45909.0</v>
      </c>
      <c r="C429" s="31" t="s">
        <v>1524</v>
      </c>
      <c r="D429" s="32" t="s">
        <v>1525</v>
      </c>
      <c r="E429" s="31" t="s">
        <v>43</v>
      </c>
      <c r="F429" s="31">
        <v>6400000.0</v>
      </c>
      <c r="G429" s="31" t="s">
        <v>45</v>
      </c>
      <c r="I429" s="31" t="s">
        <v>229</v>
      </c>
      <c r="J429" s="31" t="s">
        <v>967</v>
      </c>
      <c r="K429" s="33" t="s">
        <v>1526</v>
      </c>
      <c r="L429" s="31" t="s">
        <v>202</v>
      </c>
      <c r="N429" s="31" t="s">
        <v>220</v>
      </c>
      <c r="S429" s="31" t="s">
        <v>124</v>
      </c>
    </row>
    <row r="430">
      <c r="A430" s="29">
        <v>45909.69932605324</v>
      </c>
      <c r="B430" s="30">
        <v>45909.0</v>
      </c>
      <c r="C430" s="31" t="s">
        <v>1527</v>
      </c>
      <c r="D430" s="32" t="s">
        <v>1528</v>
      </c>
      <c r="E430" s="31" t="s">
        <v>43</v>
      </c>
      <c r="F430" s="31">
        <v>4000000.0</v>
      </c>
      <c r="G430" s="31" t="s">
        <v>23</v>
      </c>
      <c r="I430" s="31" t="s">
        <v>229</v>
      </c>
      <c r="J430" s="31" t="s">
        <v>387</v>
      </c>
      <c r="K430" s="33" t="s">
        <v>1529</v>
      </c>
      <c r="L430" s="31" t="s">
        <v>202</v>
      </c>
      <c r="N430" s="31" t="s">
        <v>215</v>
      </c>
      <c r="W430" s="31" t="s">
        <v>389</v>
      </c>
    </row>
    <row r="431">
      <c r="A431" s="29">
        <v>45909.70387733796</v>
      </c>
      <c r="B431" s="30">
        <v>45909.0</v>
      </c>
      <c r="C431" s="31" t="s">
        <v>1530</v>
      </c>
      <c r="D431" s="32" t="s">
        <v>1531</v>
      </c>
      <c r="E431" s="31" t="s">
        <v>43</v>
      </c>
      <c r="F431" s="31">
        <v>4700000.0</v>
      </c>
      <c r="G431" s="31" t="s">
        <v>23</v>
      </c>
      <c r="H431" s="31">
        <v>7000000.0</v>
      </c>
      <c r="I431" s="26" t="s">
        <v>413</v>
      </c>
      <c r="K431" s="33" t="s">
        <v>1532</v>
      </c>
      <c r="L431" s="31" t="s">
        <v>202</v>
      </c>
      <c r="M431" s="31" t="s">
        <v>435</v>
      </c>
      <c r="N431" s="31" t="s">
        <v>220</v>
      </c>
      <c r="S431" s="31" t="s">
        <v>124</v>
      </c>
    </row>
    <row r="432">
      <c r="A432" s="29">
        <v>45909.71159322916</v>
      </c>
      <c r="B432" s="30">
        <v>45909.0</v>
      </c>
      <c r="C432" s="31" t="s">
        <v>1533</v>
      </c>
      <c r="D432" s="32" t="s">
        <v>1534</v>
      </c>
      <c r="E432" s="31" t="s">
        <v>43</v>
      </c>
      <c r="F432" s="31">
        <v>6500000.0</v>
      </c>
      <c r="G432" s="31" t="s">
        <v>23</v>
      </c>
      <c r="H432" s="31">
        <v>1.2E7</v>
      </c>
      <c r="I432" s="26" t="s">
        <v>413</v>
      </c>
      <c r="K432" s="33" t="s">
        <v>1535</v>
      </c>
      <c r="L432" s="31" t="s">
        <v>202</v>
      </c>
      <c r="M432" s="31" t="s">
        <v>605</v>
      </c>
      <c r="N432" s="31" t="s">
        <v>220</v>
      </c>
      <c r="S432" s="31" t="s">
        <v>466</v>
      </c>
    </row>
    <row r="433">
      <c r="A433" s="29">
        <v>45909.72438413194</v>
      </c>
      <c r="B433" s="30">
        <v>45909.0</v>
      </c>
      <c r="C433" s="31" t="s">
        <v>1536</v>
      </c>
      <c r="D433" s="32" t="s">
        <v>1537</v>
      </c>
      <c r="E433" s="31" t="s">
        <v>31</v>
      </c>
      <c r="F433" s="31">
        <v>6600000.0</v>
      </c>
      <c r="G433" s="31" t="s">
        <v>23</v>
      </c>
      <c r="I433" s="31" t="s">
        <v>229</v>
      </c>
      <c r="J433" s="31" t="s">
        <v>967</v>
      </c>
      <c r="K433" s="33" t="s">
        <v>1538</v>
      </c>
      <c r="L433" s="31" t="s">
        <v>202</v>
      </c>
      <c r="N433" s="31" t="s">
        <v>313</v>
      </c>
      <c r="T433" s="31" t="s">
        <v>329</v>
      </c>
    </row>
    <row r="434">
      <c r="A434" s="29">
        <v>45909.725779733795</v>
      </c>
      <c r="B434" s="30">
        <v>45909.0</v>
      </c>
      <c r="C434" s="31" t="s">
        <v>1539</v>
      </c>
      <c r="D434" s="32" t="s">
        <v>1540</v>
      </c>
      <c r="E434" s="31" t="s">
        <v>132</v>
      </c>
      <c r="F434" s="31">
        <v>5500000.0</v>
      </c>
      <c r="G434" s="31" t="s">
        <v>23</v>
      </c>
      <c r="I434" s="31" t="s">
        <v>229</v>
      </c>
      <c r="J434" s="31" t="s">
        <v>967</v>
      </c>
      <c r="K434" s="33" t="s">
        <v>1541</v>
      </c>
      <c r="L434" s="31" t="s">
        <v>202</v>
      </c>
      <c r="N434" s="31" t="s">
        <v>313</v>
      </c>
      <c r="T434" s="31" t="s">
        <v>329</v>
      </c>
    </row>
    <row r="435">
      <c r="A435" s="29">
        <v>45909.729614282405</v>
      </c>
      <c r="B435" s="30">
        <v>45909.0</v>
      </c>
      <c r="C435" s="31" t="s">
        <v>1542</v>
      </c>
      <c r="D435" s="32" t="s">
        <v>1543</v>
      </c>
      <c r="E435" s="31" t="s">
        <v>199</v>
      </c>
      <c r="F435" s="31">
        <v>3400000.0</v>
      </c>
      <c r="G435" s="31" t="s">
        <v>23</v>
      </c>
      <c r="I435" s="31" t="s">
        <v>229</v>
      </c>
      <c r="J435" s="31" t="s">
        <v>967</v>
      </c>
      <c r="K435" s="33" t="s">
        <v>1544</v>
      </c>
      <c r="L435" s="31" t="s">
        <v>202</v>
      </c>
      <c r="N435" s="31" t="s">
        <v>313</v>
      </c>
      <c r="T435" s="31" t="s">
        <v>314</v>
      </c>
    </row>
    <row r="436">
      <c r="A436" s="29">
        <v>45909.73376122685</v>
      </c>
      <c r="B436" s="30">
        <v>45909.0</v>
      </c>
      <c r="C436" s="31" t="s">
        <v>1545</v>
      </c>
      <c r="D436" s="32" t="s">
        <v>1546</v>
      </c>
      <c r="E436" s="31" t="s">
        <v>43</v>
      </c>
      <c r="F436" s="31">
        <v>3000000.0</v>
      </c>
      <c r="G436" s="31" t="s">
        <v>23</v>
      </c>
      <c r="I436" s="31" t="s">
        <v>229</v>
      </c>
      <c r="J436" s="31" t="s">
        <v>967</v>
      </c>
      <c r="K436" s="33" t="s">
        <v>1547</v>
      </c>
      <c r="L436" s="31" t="s">
        <v>202</v>
      </c>
      <c r="N436" s="31" t="s">
        <v>313</v>
      </c>
      <c r="T436" s="31" t="s">
        <v>384</v>
      </c>
    </row>
    <row r="437">
      <c r="A437" s="29">
        <v>45909.735162638885</v>
      </c>
      <c r="B437" s="30">
        <v>45909.0</v>
      </c>
      <c r="C437" s="31" t="s">
        <v>1548</v>
      </c>
      <c r="D437" s="32" t="s">
        <v>1549</v>
      </c>
      <c r="E437" s="31" t="s">
        <v>31</v>
      </c>
      <c r="F437" s="31">
        <v>3200000.0</v>
      </c>
      <c r="G437" s="31" t="s">
        <v>23</v>
      </c>
      <c r="I437" s="31" t="s">
        <v>229</v>
      </c>
      <c r="J437" s="31" t="s">
        <v>967</v>
      </c>
      <c r="K437" s="33" t="s">
        <v>1550</v>
      </c>
      <c r="L437" s="31" t="s">
        <v>202</v>
      </c>
      <c r="N437" s="31" t="s">
        <v>204</v>
      </c>
      <c r="R437" s="31" t="s">
        <v>207</v>
      </c>
    </row>
    <row r="438">
      <c r="A438" s="29">
        <v>45909.7389266088</v>
      </c>
      <c r="B438" s="30">
        <v>45909.0</v>
      </c>
      <c r="C438" s="31" t="s">
        <v>1551</v>
      </c>
      <c r="D438" s="32" t="s">
        <v>1552</v>
      </c>
      <c r="E438" s="31" t="s">
        <v>1553</v>
      </c>
      <c r="F438" s="31">
        <v>3500000.0</v>
      </c>
      <c r="G438" s="31" t="s">
        <v>23</v>
      </c>
      <c r="I438" s="31" t="s">
        <v>229</v>
      </c>
      <c r="J438" s="31" t="s">
        <v>967</v>
      </c>
      <c r="K438" s="33" t="s">
        <v>1554</v>
      </c>
      <c r="L438" s="31" t="s">
        <v>252</v>
      </c>
      <c r="O438" s="31" t="s">
        <v>257</v>
      </c>
      <c r="P438" s="31" t="s">
        <v>1555</v>
      </c>
    </row>
    <row r="439">
      <c r="A439" s="29">
        <v>45909.742484918985</v>
      </c>
      <c r="B439" s="30">
        <v>45909.0</v>
      </c>
      <c r="C439" s="31" t="s">
        <v>1556</v>
      </c>
      <c r="D439" s="32" t="s">
        <v>1557</v>
      </c>
      <c r="E439" s="31" t="s">
        <v>43</v>
      </c>
      <c r="F439" s="31">
        <v>5100000.0</v>
      </c>
      <c r="G439" s="31" t="s">
        <v>45</v>
      </c>
      <c r="H439" s="31">
        <v>3000000.0</v>
      </c>
      <c r="I439" s="31" t="s">
        <v>200</v>
      </c>
      <c r="K439" s="33" t="s">
        <v>1558</v>
      </c>
      <c r="L439" s="31" t="s">
        <v>252</v>
      </c>
      <c r="M439" s="31" t="s">
        <v>203</v>
      </c>
      <c r="O439" s="31" t="s">
        <v>257</v>
      </c>
      <c r="P439" s="31" t="s">
        <v>272</v>
      </c>
    </row>
    <row r="440">
      <c r="A440" s="29">
        <v>45909.74420857639</v>
      </c>
      <c r="B440" s="30">
        <v>45909.0</v>
      </c>
      <c r="C440" s="31" t="s">
        <v>1559</v>
      </c>
      <c r="D440" s="32" t="s">
        <v>1560</v>
      </c>
      <c r="E440" s="31" t="s">
        <v>43</v>
      </c>
      <c r="F440" s="31">
        <v>3100000.0</v>
      </c>
      <c r="G440" s="31" t="s">
        <v>23</v>
      </c>
      <c r="H440" s="31">
        <v>3000000.0</v>
      </c>
      <c r="I440" s="26" t="s">
        <v>413</v>
      </c>
      <c r="K440" s="33" t="s">
        <v>1561</v>
      </c>
      <c r="L440" s="31" t="s">
        <v>202</v>
      </c>
      <c r="M440" s="31" t="s">
        <v>203</v>
      </c>
      <c r="N440" s="31" t="s">
        <v>871</v>
      </c>
      <c r="Q440" s="31" t="s">
        <v>1021</v>
      </c>
    </row>
    <row r="441">
      <c r="A441" s="29">
        <v>45909.75591368055</v>
      </c>
      <c r="B441" s="30">
        <v>45909.0</v>
      </c>
      <c r="C441" s="31" t="s">
        <v>1562</v>
      </c>
      <c r="D441" s="31" t="s">
        <v>1485</v>
      </c>
      <c r="E441" s="31" t="s">
        <v>288</v>
      </c>
      <c r="F441" s="31">
        <v>5200000.0</v>
      </c>
      <c r="G441" s="31" t="s">
        <v>23</v>
      </c>
      <c r="H441" s="31">
        <v>7000000.0</v>
      </c>
      <c r="I441" s="31" t="s">
        <v>200</v>
      </c>
      <c r="K441" s="33" t="s">
        <v>1563</v>
      </c>
      <c r="L441" s="31" t="s">
        <v>202</v>
      </c>
      <c r="M441" s="31" t="s">
        <v>203</v>
      </c>
      <c r="N441" s="31" t="s">
        <v>204</v>
      </c>
      <c r="R441" s="31" t="s">
        <v>892</v>
      </c>
    </row>
    <row r="442">
      <c r="A442" s="29">
        <v>45909.75595027777</v>
      </c>
      <c r="B442" s="30">
        <v>45909.0</v>
      </c>
      <c r="C442" s="31" t="s">
        <v>1564</v>
      </c>
      <c r="D442" s="32" t="s">
        <v>1565</v>
      </c>
      <c r="E442" s="31" t="s">
        <v>199</v>
      </c>
      <c r="F442" s="31">
        <v>4000000.0</v>
      </c>
      <c r="G442" s="31" t="s">
        <v>23</v>
      </c>
      <c r="H442" s="31">
        <v>3000000.0</v>
      </c>
      <c r="I442" s="31" t="s">
        <v>200</v>
      </c>
      <c r="K442" s="33" t="s">
        <v>1566</v>
      </c>
      <c r="L442" s="31" t="s">
        <v>202</v>
      </c>
      <c r="M442" s="31" t="s">
        <v>383</v>
      </c>
      <c r="N442" s="31" t="s">
        <v>215</v>
      </c>
      <c r="W442" s="31" t="s">
        <v>216</v>
      </c>
    </row>
    <row r="443">
      <c r="A443" s="29">
        <v>45909.76631623843</v>
      </c>
      <c r="B443" s="30">
        <v>45909.0</v>
      </c>
      <c r="C443" s="31" t="s">
        <v>1567</v>
      </c>
      <c r="D443" s="32" t="s">
        <v>1568</v>
      </c>
      <c r="E443" s="31" t="s">
        <v>559</v>
      </c>
      <c r="F443" s="31">
        <v>4300000.0</v>
      </c>
      <c r="G443" s="31" t="s">
        <v>23</v>
      </c>
      <c r="H443" s="31">
        <v>3000000.0</v>
      </c>
      <c r="I443" s="26" t="s">
        <v>413</v>
      </c>
      <c r="K443" s="33" t="s">
        <v>1569</v>
      </c>
      <c r="L443" s="31" t="s">
        <v>202</v>
      </c>
      <c r="M443" s="31" t="s">
        <v>203</v>
      </c>
      <c r="N443" s="31" t="s">
        <v>220</v>
      </c>
      <c r="S443" s="31" t="s">
        <v>59</v>
      </c>
    </row>
    <row r="444">
      <c r="A444" s="29">
        <v>45909.76716125</v>
      </c>
      <c r="B444" s="30">
        <v>45909.0</v>
      </c>
      <c r="C444" s="31" t="s">
        <v>1570</v>
      </c>
      <c r="D444" s="32" t="s">
        <v>1571</v>
      </c>
      <c r="E444" s="31" t="s">
        <v>1572</v>
      </c>
      <c r="F444" s="31">
        <v>5000000.0</v>
      </c>
      <c r="G444" s="31" t="s">
        <v>45</v>
      </c>
      <c r="H444" s="31">
        <v>3000000.0</v>
      </c>
      <c r="I444" s="26" t="s">
        <v>413</v>
      </c>
      <c r="K444" s="33" t="s">
        <v>1573</v>
      </c>
      <c r="L444" s="31" t="s">
        <v>252</v>
      </c>
      <c r="M444" s="31" t="s">
        <v>435</v>
      </c>
      <c r="O444" s="31" t="s">
        <v>205</v>
      </c>
      <c r="X444" s="31" t="s">
        <v>253</v>
      </c>
    </row>
    <row r="445">
      <c r="A445" s="29">
        <v>45909.77362797454</v>
      </c>
      <c r="B445" s="30">
        <v>45909.0</v>
      </c>
      <c r="C445" s="31" t="s">
        <v>1574</v>
      </c>
      <c r="D445" s="32" t="s">
        <v>1575</v>
      </c>
      <c r="E445" s="31" t="s">
        <v>1576</v>
      </c>
      <c r="F445" s="31">
        <v>3299000.0</v>
      </c>
      <c r="G445" s="31" t="s">
        <v>23</v>
      </c>
      <c r="H445" s="31">
        <v>3000000.0</v>
      </c>
      <c r="I445" s="26" t="s">
        <v>413</v>
      </c>
      <c r="K445" s="33" t="s">
        <v>1577</v>
      </c>
      <c r="L445" s="31" t="s">
        <v>202</v>
      </c>
      <c r="M445" s="31" t="s">
        <v>203</v>
      </c>
      <c r="N445" s="31" t="s">
        <v>313</v>
      </c>
      <c r="T445" s="31" t="s">
        <v>314</v>
      </c>
    </row>
    <row r="446">
      <c r="A446" s="29">
        <v>45909.775215960646</v>
      </c>
      <c r="B446" s="30">
        <v>45909.0</v>
      </c>
      <c r="C446" s="31" t="s">
        <v>1578</v>
      </c>
      <c r="D446" s="32" t="s">
        <v>1552</v>
      </c>
      <c r="E446" s="31" t="s">
        <v>288</v>
      </c>
      <c r="F446" s="31">
        <v>4000000.0</v>
      </c>
      <c r="G446" s="31" t="s">
        <v>45</v>
      </c>
      <c r="I446" s="31" t="s">
        <v>229</v>
      </c>
      <c r="J446" s="31" t="s">
        <v>967</v>
      </c>
      <c r="K446" s="33" t="s">
        <v>1579</v>
      </c>
      <c r="L446" s="31" t="s">
        <v>252</v>
      </c>
      <c r="O446" s="31" t="s">
        <v>257</v>
      </c>
      <c r="P446" s="31" t="s">
        <v>285</v>
      </c>
    </row>
    <row r="447">
      <c r="A447" s="29">
        <v>45909.78498509259</v>
      </c>
      <c r="B447" s="30">
        <v>45909.0</v>
      </c>
      <c r="C447" s="31" t="s">
        <v>1580</v>
      </c>
      <c r="D447" s="32" t="s">
        <v>1581</v>
      </c>
      <c r="E447" s="31" t="s">
        <v>43</v>
      </c>
      <c r="F447" s="31">
        <v>3500000.0</v>
      </c>
      <c r="G447" s="31" t="s">
        <v>23</v>
      </c>
      <c r="I447" s="31" t="s">
        <v>229</v>
      </c>
      <c r="J447" s="31" t="s">
        <v>164</v>
      </c>
      <c r="K447" s="33" t="s">
        <v>1582</v>
      </c>
      <c r="L447" s="31" t="s">
        <v>202</v>
      </c>
      <c r="N447" s="31" t="s">
        <v>220</v>
      </c>
      <c r="S447" s="31" t="s">
        <v>83</v>
      </c>
    </row>
    <row r="448">
      <c r="A448" s="29">
        <v>45909.78669145833</v>
      </c>
      <c r="B448" s="30">
        <v>45909.0</v>
      </c>
      <c r="C448" s="31" t="s">
        <v>1583</v>
      </c>
      <c r="D448" s="32" t="s">
        <v>1584</v>
      </c>
      <c r="E448" s="31" t="s">
        <v>43</v>
      </c>
      <c r="F448" s="31">
        <v>7600000.0</v>
      </c>
      <c r="G448" s="31" t="s">
        <v>23</v>
      </c>
      <c r="H448" s="31">
        <v>1.2E7</v>
      </c>
      <c r="I448" s="31" t="s">
        <v>413</v>
      </c>
      <c r="K448" s="33" t="s">
        <v>1585</v>
      </c>
      <c r="L448" s="31" t="s">
        <v>202</v>
      </c>
      <c r="M448" s="31" t="s">
        <v>203</v>
      </c>
      <c r="N448" s="31" t="s">
        <v>220</v>
      </c>
      <c r="S448" s="31" t="s">
        <v>83</v>
      </c>
    </row>
    <row r="449">
      <c r="A449" s="29">
        <v>45909.78860771991</v>
      </c>
      <c r="B449" s="30">
        <v>45909.0</v>
      </c>
      <c r="C449" s="31" t="s">
        <v>1586</v>
      </c>
      <c r="D449" s="32" t="s">
        <v>1587</v>
      </c>
      <c r="E449" s="31" t="s">
        <v>1588</v>
      </c>
      <c r="F449" s="31">
        <v>2000000.0</v>
      </c>
      <c r="G449" s="31" t="s">
        <v>23</v>
      </c>
      <c r="H449" s="31">
        <v>5000000.0</v>
      </c>
      <c r="I449" s="31" t="s">
        <v>200</v>
      </c>
      <c r="K449" s="33" t="s">
        <v>1589</v>
      </c>
      <c r="L449" s="31" t="s">
        <v>202</v>
      </c>
      <c r="M449" s="31" t="s">
        <v>203</v>
      </c>
      <c r="N449" s="31" t="s">
        <v>215</v>
      </c>
      <c r="W449" s="31" t="s">
        <v>532</v>
      </c>
    </row>
    <row r="450">
      <c r="A450" s="29">
        <v>45909.789093217594</v>
      </c>
      <c r="B450" s="30">
        <v>45909.0</v>
      </c>
      <c r="C450" s="31" t="s">
        <v>1590</v>
      </c>
      <c r="D450" s="31" t="s">
        <v>1591</v>
      </c>
      <c r="E450" s="31" t="s">
        <v>31</v>
      </c>
      <c r="F450" s="31">
        <v>3800000.0</v>
      </c>
      <c r="G450" s="31" t="s">
        <v>23</v>
      </c>
      <c r="I450" s="31" t="s">
        <v>229</v>
      </c>
      <c r="J450" s="31" t="s">
        <v>327</v>
      </c>
      <c r="K450" s="33" t="s">
        <v>1592</v>
      </c>
      <c r="L450" s="31" t="s">
        <v>202</v>
      </c>
      <c r="N450" s="31" t="s">
        <v>215</v>
      </c>
      <c r="W450" s="31" t="s">
        <v>355</v>
      </c>
    </row>
    <row r="451">
      <c r="A451" s="29">
        <v>45909.79081986111</v>
      </c>
      <c r="B451" s="30">
        <v>45909.0</v>
      </c>
      <c r="C451" s="31" t="s">
        <v>1593</v>
      </c>
      <c r="D451" s="32" t="s">
        <v>907</v>
      </c>
      <c r="E451" s="31" t="s">
        <v>43</v>
      </c>
      <c r="F451" s="31">
        <v>5000000.0</v>
      </c>
      <c r="G451" s="31" t="s">
        <v>45</v>
      </c>
      <c r="H451" s="31">
        <v>7000000.0</v>
      </c>
      <c r="I451" s="31" t="s">
        <v>200</v>
      </c>
      <c r="K451" s="33" t="s">
        <v>1594</v>
      </c>
      <c r="L451" s="31" t="s">
        <v>202</v>
      </c>
      <c r="M451" s="31" t="s">
        <v>203</v>
      </c>
      <c r="N451" s="31" t="s">
        <v>215</v>
      </c>
      <c r="W451" s="31" t="s">
        <v>532</v>
      </c>
    </row>
    <row r="452">
      <c r="A452" s="29">
        <v>45909.79173291667</v>
      </c>
      <c r="B452" s="30">
        <v>45909.0</v>
      </c>
      <c r="C452" s="31" t="s">
        <v>1595</v>
      </c>
      <c r="D452" s="32" t="s">
        <v>1596</v>
      </c>
      <c r="E452" s="31" t="s">
        <v>43</v>
      </c>
      <c r="F452" s="31">
        <v>3500000.0</v>
      </c>
      <c r="G452" s="31" t="s">
        <v>23</v>
      </c>
      <c r="H452" s="31">
        <v>5000000.0</v>
      </c>
      <c r="I452" s="31" t="s">
        <v>200</v>
      </c>
      <c r="K452" s="33" t="s">
        <v>1597</v>
      </c>
      <c r="L452" s="31" t="s">
        <v>252</v>
      </c>
      <c r="M452" s="31" t="s">
        <v>203</v>
      </c>
      <c r="O452" s="31" t="s">
        <v>205</v>
      </c>
      <c r="X452" s="31" t="s">
        <v>549</v>
      </c>
    </row>
    <row r="453">
      <c r="A453" s="29">
        <v>45909.79767922453</v>
      </c>
      <c r="B453" s="30">
        <v>45909.0</v>
      </c>
      <c r="C453" s="31" t="s">
        <v>1598</v>
      </c>
      <c r="D453" s="31" t="s">
        <v>1599</v>
      </c>
      <c r="E453" s="31" t="s">
        <v>572</v>
      </c>
      <c r="F453" s="31">
        <v>700000.0</v>
      </c>
      <c r="G453" s="31" t="s">
        <v>23</v>
      </c>
      <c r="I453" s="31" t="s">
        <v>229</v>
      </c>
      <c r="J453" s="31" t="s">
        <v>967</v>
      </c>
      <c r="K453" s="33" t="s">
        <v>1600</v>
      </c>
      <c r="L453" s="31" t="s">
        <v>202</v>
      </c>
      <c r="N453" s="31" t="s">
        <v>220</v>
      </c>
      <c r="S453" s="31" t="s">
        <v>536</v>
      </c>
    </row>
    <row r="454">
      <c r="A454" s="29">
        <v>45909.803822534726</v>
      </c>
      <c r="B454" s="30">
        <v>45909.0</v>
      </c>
      <c r="C454" s="31" t="s">
        <v>1601</v>
      </c>
      <c r="D454" s="32" t="s">
        <v>1602</v>
      </c>
      <c r="E454" s="31" t="s">
        <v>199</v>
      </c>
      <c r="F454" s="31">
        <v>8000000.0</v>
      </c>
      <c r="G454" s="31" t="s">
        <v>23</v>
      </c>
      <c r="I454" s="31" t="s">
        <v>229</v>
      </c>
      <c r="J454" s="31" t="s">
        <v>967</v>
      </c>
      <c r="K454" s="33" t="s">
        <v>1603</v>
      </c>
      <c r="L454" s="31" t="s">
        <v>202</v>
      </c>
      <c r="N454" s="31" t="s">
        <v>220</v>
      </c>
      <c r="S454" s="31" t="s">
        <v>536</v>
      </c>
    </row>
    <row r="455">
      <c r="A455" s="29">
        <v>45909.821614120374</v>
      </c>
      <c r="B455" s="30">
        <v>45909.0</v>
      </c>
      <c r="C455" s="31" t="s">
        <v>1604</v>
      </c>
      <c r="D455" s="32" t="s">
        <v>1605</v>
      </c>
      <c r="E455" s="31" t="s">
        <v>43</v>
      </c>
      <c r="F455" s="31">
        <v>1.0E7</v>
      </c>
      <c r="G455" s="31" t="s">
        <v>23</v>
      </c>
      <c r="I455" s="31" t="s">
        <v>229</v>
      </c>
      <c r="J455" s="31" t="s">
        <v>967</v>
      </c>
      <c r="K455" s="33" t="s">
        <v>1606</v>
      </c>
      <c r="L455" s="31" t="s">
        <v>202</v>
      </c>
      <c r="N455" s="31" t="s">
        <v>220</v>
      </c>
      <c r="S455" s="31" t="s">
        <v>466</v>
      </c>
    </row>
    <row r="456">
      <c r="A456" s="29">
        <v>45909.82285328704</v>
      </c>
      <c r="B456" s="30">
        <v>45909.0</v>
      </c>
      <c r="C456" s="31" t="s">
        <v>1607</v>
      </c>
      <c r="D456" s="31" t="s">
        <v>1591</v>
      </c>
      <c r="E456" s="31" t="s">
        <v>31</v>
      </c>
      <c r="F456" s="31">
        <v>7000000.0</v>
      </c>
      <c r="G456" s="31" t="s">
        <v>23</v>
      </c>
      <c r="I456" s="31" t="s">
        <v>229</v>
      </c>
      <c r="J456" s="31" t="s">
        <v>327</v>
      </c>
      <c r="K456" s="33" t="s">
        <v>1608</v>
      </c>
      <c r="L456" s="31" t="s">
        <v>202</v>
      </c>
      <c r="N456" s="31" t="s">
        <v>215</v>
      </c>
      <c r="W456" s="31" t="s">
        <v>355</v>
      </c>
    </row>
    <row r="457">
      <c r="A457" s="29">
        <v>45909.82882325232</v>
      </c>
      <c r="B457" s="30">
        <v>45909.0</v>
      </c>
      <c r="C457" s="31" t="s">
        <v>1609</v>
      </c>
      <c r="D457" s="32" t="s">
        <v>1610</v>
      </c>
      <c r="E457" s="31" t="s">
        <v>199</v>
      </c>
      <c r="F457" s="31">
        <v>6500000.0</v>
      </c>
      <c r="G457" s="31" t="s">
        <v>45</v>
      </c>
      <c r="H457" s="31">
        <v>1.1351E7</v>
      </c>
      <c r="I457" s="31" t="s">
        <v>413</v>
      </c>
      <c r="K457" s="33" t="s">
        <v>1611</v>
      </c>
      <c r="L457" s="31" t="s">
        <v>202</v>
      </c>
      <c r="M457" s="31" t="s">
        <v>605</v>
      </c>
      <c r="N457" s="31" t="s">
        <v>204</v>
      </c>
      <c r="R457" s="31" t="s">
        <v>53</v>
      </c>
    </row>
    <row r="458">
      <c r="A458" s="29">
        <v>45909.830439791665</v>
      </c>
      <c r="B458" s="30">
        <v>45909.0</v>
      </c>
      <c r="C458" s="31" t="s">
        <v>1612</v>
      </c>
      <c r="D458" s="32" t="s">
        <v>1613</v>
      </c>
      <c r="E458" s="31" t="s">
        <v>31</v>
      </c>
      <c r="F458" s="31">
        <v>3500000.0</v>
      </c>
      <c r="G458" s="31" t="s">
        <v>23</v>
      </c>
      <c r="H458" s="31">
        <v>3000000.0</v>
      </c>
      <c r="I458" s="31" t="s">
        <v>413</v>
      </c>
      <c r="K458" s="33" t="s">
        <v>1614</v>
      </c>
      <c r="L458" s="31" t="s">
        <v>202</v>
      </c>
      <c r="M458" s="31" t="s">
        <v>203</v>
      </c>
      <c r="N458" s="31" t="s">
        <v>204</v>
      </c>
      <c r="R458" s="31" t="s">
        <v>207</v>
      </c>
    </row>
    <row r="459">
      <c r="A459" s="29">
        <v>45909.8316649537</v>
      </c>
      <c r="B459" s="30">
        <v>45909.0</v>
      </c>
      <c r="C459" s="31" t="s">
        <v>1615</v>
      </c>
      <c r="D459" s="32" t="s">
        <v>1616</v>
      </c>
      <c r="E459" s="31" t="s">
        <v>199</v>
      </c>
      <c r="F459" s="31">
        <v>4500000.0</v>
      </c>
      <c r="G459" s="31" t="s">
        <v>23</v>
      </c>
      <c r="H459" s="31">
        <v>3000000.0</v>
      </c>
      <c r="I459" s="31" t="s">
        <v>200</v>
      </c>
      <c r="K459" s="33" t="s">
        <v>1617</v>
      </c>
      <c r="L459" s="31" t="s">
        <v>252</v>
      </c>
      <c r="M459" s="31" t="s">
        <v>203</v>
      </c>
      <c r="O459" s="31" t="s">
        <v>257</v>
      </c>
      <c r="P459" s="31" t="s">
        <v>258</v>
      </c>
    </row>
    <row r="460">
      <c r="A460" s="29">
        <v>45909.83317997685</v>
      </c>
      <c r="B460" s="30">
        <v>45909.0</v>
      </c>
      <c r="C460" s="31" t="s">
        <v>1618</v>
      </c>
      <c r="D460" s="31">
        <v>4000000.0</v>
      </c>
      <c r="E460" s="31" t="s">
        <v>43</v>
      </c>
      <c r="F460" s="31">
        <v>3000000.0</v>
      </c>
      <c r="G460" s="31" t="s">
        <v>23</v>
      </c>
      <c r="H460" s="31">
        <v>3000000.0</v>
      </c>
      <c r="I460" s="31" t="s">
        <v>200</v>
      </c>
      <c r="K460" s="33" t="s">
        <v>1619</v>
      </c>
      <c r="L460" s="31" t="s">
        <v>252</v>
      </c>
      <c r="M460" s="31" t="s">
        <v>203</v>
      </c>
      <c r="O460" s="31" t="s">
        <v>257</v>
      </c>
      <c r="P460" s="31" t="s">
        <v>258</v>
      </c>
    </row>
    <row r="461">
      <c r="A461" s="29">
        <v>45909.860342245374</v>
      </c>
      <c r="B461" s="30">
        <v>45909.0</v>
      </c>
      <c r="C461" s="31" t="s">
        <v>1620</v>
      </c>
      <c r="D461" s="32" t="s">
        <v>1621</v>
      </c>
      <c r="E461" s="31" t="s">
        <v>261</v>
      </c>
      <c r="F461" s="31">
        <v>2500.0</v>
      </c>
      <c r="G461" s="31" t="s">
        <v>23</v>
      </c>
      <c r="I461" s="31" t="s">
        <v>229</v>
      </c>
      <c r="J461" s="31" t="s">
        <v>270</v>
      </c>
      <c r="K461" s="33" t="s">
        <v>1622</v>
      </c>
      <c r="L461" s="31" t="s">
        <v>202</v>
      </c>
      <c r="N461" s="31" t="s">
        <v>204</v>
      </c>
      <c r="R461" s="31" t="s">
        <v>192</v>
      </c>
    </row>
    <row r="462">
      <c r="A462" s="29">
        <v>45909.88777094908</v>
      </c>
      <c r="B462" s="30">
        <v>45909.0</v>
      </c>
      <c r="C462" s="31" t="s">
        <v>1623</v>
      </c>
      <c r="D462" s="32" t="s">
        <v>1624</v>
      </c>
      <c r="E462" s="31" t="s">
        <v>228</v>
      </c>
      <c r="F462" s="31">
        <v>2500999.0</v>
      </c>
      <c r="G462" s="31" t="s">
        <v>23</v>
      </c>
      <c r="I462" s="31" t="s">
        <v>229</v>
      </c>
      <c r="J462" s="31" t="s">
        <v>967</v>
      </c>
      <c r="K462" s="33" t="s">
        <v>1625</v>
      </c>
      <c r="L462" s="31" t="s">
        <v>202</v>
      </c>
      <c r="N462" s="31" t="s">
        <v>204</v>
      </c>
      <c r="R462" s="31" t="s">
        <v>148</v>
      </c>
    </row>
    <row r="463">
      <c r="A463" s="29">
        <v>45909.89310253473</v>
      </c>
      <c r="B463" s="30">
        <v>45909.0</v>
      </c>
      <c r="C463" s="31" t="s">
        <v>1626</v>
      </c>
      <c r="D463" s="32" t="s">
        <v>1627</v>
      </c>
      <c r="E463" s="31" t="s">
        <v>261</v>
      </c>
      <c r="F463" s="31">
        <v>1000000.0</v>
      </c>
      <c r="G463" s="31" t="s">
        <v>23</v>
      </c>
      <c r="I463" s="31" t="s">
        <v>229</v>
      </c>
      <c r="J463" s="31" t="s">
        <v>967</v>
      </c>
      <c r="K463" s="33" t="s">
        <v>1628</v>
      </c>
      <c r="L463" s="31" t="s">
        <v>202</v>
      </c>
      <c r="N463" s="31" t="s">
        <v>220</v>
      </c>
      <c r="S463" s="31" t="s">
        <v>913</v>
      </c>
    </row>
    <row r="464">
      <c r="A464" s="29">
        <v>45909.910588576386</v>
      </c>
      <c r="B464" s="30">
        <v>45909.0</v>
      </c>
      <c r="C464" s="31" t="s">
        <v>1629</v>
      </c>
      <c r="D464" s="32" t="s">
        <v>1630</v>
      </c>
      <c r="E464" s="31" t="s">
        <v>199</v>
      </c>
      <c r="F464" s="31">
        <v>3000000.0</v>
      </c>
      <c r="G464" s="31" t="s">
        <v>45</v>
      </c>
      <c r="H464" s="31">
        <v>3000000.0</v>
      </c>
      <c r="I464" s="31" t="s">
        <v>200</v>
      </c>
      <c r="K464" s="33" t="s">
        <v>1631</v>
      </c>
      <c r="L464" s="31" t="s">
        <v>202</v>
      </c>
      <c r="M464" s="31" t="s">
        <v>203</v>
      </c>
      <c r="N464" s="31" t="s">
        <v>215</v>
      </c>
      <c r="W464" s="31" t="s">
        <v>216</v>
      </c>
    </row>
    <row r="465">
      <c r="A465" s="29">
        <v>45910.41198484953</v>
      </c>
      <c r="B465" s="30">
        <v>45910.0</v>
      </c>
      <c r="C465" s="31" t="s">
        <v>1632</v>
      </c>
      <c r="D465" s="32" t="s">
        <v>1633</v>
      </c>
      <c r="E465" s="31" t="s">
        <v>228</v>
      </c>
      <c r="F465" s="31">
        <v>5000000.0</v>
      </c>
      <c r="G465" s="31" t="s">
        <v>23</v>
      </c>
      <c r="I465" s="31" t="s">
        <v>229</v>
      </c>
      <c r="J465" s="31" t="s">
        <v>967</v>
      </c>
      <c r="K465" s="33" t="s">
        <v>1634</v>
      </c>
      <c r="L465" s="31" t="s">
        <v>202</v>
      </c>
      <c r="N465" s="31" t="s">
        <v>204</v>
      </c>
      <c r="R465" s="31" t="s">
        <v>98</v>
      </c>
    </row>
    <row r="466">
      <c r="A466" s="29">
        <v>45910.41323547454</v>
      </c>
      <c r="B466" s="30">
        <v>45910.0</v>
      </c>
      <c r="C466" s="31" t="s">
        <v>1635</v>
      </c>
      <c r="D466" s="32" t="s">
        <v>1636</v>
      </c>
      <c r="E466" s="31" t="s">
        <v>228</v>
      </c>
      <c r="F466" s="31">
        <v>5000000.0</v>
      </c>
      <c r="G466" s="31" t="s">
        <v>23</v>
      </c>
      <c r="I466" s="31" t="s">
        <v>229</v>
      </c>
      <c r="J466" s="31" t="s">
        <v>967</v>
      </c>
      <c r="K466" s="33" t="s">
        <v>1637</v>
      </c>
      <c r="L466" s="31" t="s">
        <v>202</v>
      </c>
      <c r="N466" s="31" t="s">
        <v>204</v>
      </c>
      <c r="R466" s="31" t="s">
        <v>98</v>
      </c>
    </row>
    <row r="467">
      <c r="A467" s="29">
        <v>45910.41894618055</v>
      </c>
      <c r="B467" s="30">
        <v>45910.0</v>
      </c>
      <c r="C467" s="31" t="s">
        <v>1638</v>
      </c>
      <c r="D467" s="31" t="s">
        <v>1639</v>
      </c>
      <c r="E467" s="31" t="s">
        <v>261</v>
      </c>
      <c r="F467" s="31">
        <v>4100000.0</v>
      </c>
      <c r="G467" s="31" t="s">
        <v>23</v>
      </c>
      <c r="I467" s="31" t="s">
        <v>229</v>
      </c>
      <c r="J467" s="31" t="s">
        <v>405</v>
      </c>
      <c r="K467" s="33" t="s">
        <v>1640</v>
      </c>
      <c r="L467" s="31" t="s">
        <v>202</v>
      </c>
      <c r="N467" s="31" t="s">
        <v>204</v>
      </c>
      <c r="R467" s="31" t="s">
        <v>90</v>
      </c>
    </row>
    <row r="468">
      <c r="A468" s="29">
        <v>45910.422266134265</v>
      </c>
      <c r="B468" s="30">
        <v>45910.0</v>
      </c>
      <c r="C468" s="31" t="s">
        <v>1641</v>
      </c>
      <c r="D468" s="32" t="s">
        <v>1642</v>
      </c>
      <c r="E468" s="31" t="s">
        <v>288</v>
      </c>
      <c r="F468" s="31">
        <v>3600000.0</v>
      </c>
      <c r="G468" s="31" t="s">
        <v>23</v>
      </c>
      <c r="I468" s="31" t="s">
        <v>229</v>
      </c>
      <c r="J468" s="31" t="s">
        <v>405</v>
      </c>
      <c r="K468" s="33" t="s">
        <v>1643</v>
      </c>
      <c r="L468" s="31" t="s">
        <v>202</v>
      </c>
      <c r="N468" s="31" t="s">
        <v>204</v>
      </c>
      <c r="R468" s="31" t="s">
        <v>90</v>
      </c>
    </row>
    <row r="469">
      <c r="A469" s="29">
        <v>45910.430949409725</v>
      </c>
      <c r="B469" s="30">
        <v>45910.0</v>
      </c>
      <c r="C469" s="31" t="s">
        <v>1644</v>
      </c>
      <c r="D469" s="32" t="s">
        <v>1645</v>
      </c>
      <c r="E469" s="31" t="s">
        <v>239</v>
      </c>
      <c r="F469" s="31">
        <v>3700000.0</v>
      </c>
      <c r="G469" s="31" t="s">
        <v>23</v>
      </c>
      <c r="I469" s="31" t="s">
        <v>229</v>
      </c>
      <c r="J469" s="31" t="s">
        <v>967</v>
      </c>
      <c r="K469" s="33" t="s">
        <v>1646</v>
      </c>
      <c r="L469" s="31" t="s">
        <v>202</v>
      </c>
      <c r="N469" s="31" t="s">
        <v>313</v>
      </c>
      <c r="T469" s="31" t="s">
        <v>384</v>
      </c>
    </row>
    <row r="470">
      <c r="A470" s="29">
        <v>45910.43125068287</v>
      </c>
      <c r="B470" s="30">
        <v>45910.0</v>
      </c>
      <c r="C470" s="31" t="s">
        <v>1647</v>
      </c>
      <c r="D470" s="32" t="s">
        <v>1648</v>
      </c>
      <c r="E470" s="31" t="s">
        <v>784</v>
      </c>
      <c r="F470" s="31">
        <v>4600000.0</v>
      </c>
      <c r="G470" s="31" t="s">
        <v>23</v>
      </c>
      <c r="I470" s="31" t="s">
        <v>229</v>
      </c>
      <c r="J470" s="31" t="s">
        <v>967</v>
      </c>
      <c r="K470" s="33" t="s">
        <v>1649</v>
      </c>
      <c r="L470" s="31" t="s">
        <v>202</v>
      </c>
      <c r="N470" s="31" t="s">
        <v>204</v>
      </c>
      <c r="R470" s="31" t="s">
        <v>90</v>
      </c>
    </row>
    <row r="471">
      <c r="A471" s="29">
        <v>45910.478924537034</v>
      </c>
      <c r="B471" s="30">
        <v>45910.0</v>
      </c>
      <c r="C471" s="31" t="s">
        <v>1650</v>
      </c>
      <c r="D471" s="32" t="s">
        <v>1651</v>
      </c>
      <c r="E471" s="31" t="s">
        <v>31</v>
      </c>
      <c r="F471" s="31">
        <v>3500000.0</v>
      </c>
      <c r="G471" s="31" t="s">
        <v>23</v>
      </c>
      <c r="I471" s="31" t="s">
        <v>229</v>
      </c>
      <c r="J471" s="31" t="s">
        <v>967</v>
      </c>
      <c r="K471" s="33" t="s">
        <v>1652</v>
      </c>
      <c r="L471" s="31" t="s">
        <v>202</v>
      </c>
      <c r="N471" s="31" t="s">
        <v>204</v>
      </c>
      <c r="R471" s="31" t="s">
        <v>207</v>
      </c>
    </row>
    <row r="472">
      <c r="A472" s="29">
        <v>45910.501766284724</v>
      </c>
      <c r="B472" s="30">
        <v>45910.0</v>
      </c>
      <c r="C472" s="31" t="s">
        <v>1653</v>
      </c>
      <c r="D472" s="32" t="s">
        <v>1654</v>
      </c>
      <c r="E472" s="31" t="s">
        <v>43</v>
      </c>
      <c r="F472" s="31">
        <v>3000000.0</v>
      </c>
      <c r="G472" s="31" t="s">
        <v>23</v>
      </c>
      <c r="I472" s="31" t="s">
        <v>229</v>
      </c>
      <c r="J472" s="31" t="s">
        <v>967</v>
      </c>
      <c r="K472" s="33" t="s">
        <v>1655</v>
      </c>
      <c r="L472" s="31" t="s">
        <v>252</v>
      </c>
      <c r="O472" s="31" t="s">
        <v>257</v>
      </c>
      <c r="P472" s="31" t="s">
        <v>206</v>
      </c>
    </row>
    <row r="473">
      <c r="A473" s="29">
        <v>45910.50288684027</v>
      </c>
      <c r="B473" s="30">
        <v>45910.0</v>
      </c>
      <c r="C473" s="31" t="s">
        <v>1656</v>
      </c>
      <c r="D473" s="32" t="s">
        <v>1657</v>
      </c>
      <c r="E473" s="31" t="s">
        <v>199</v>
      </c>
      <c r="F473" s="31">
        <v>4300000.0</v>
      </c>
      <c r="G473" s="31" t="s">
        <v>23</v>
      </c>
      <c r="I473" s="31" t="s">
        <v>229</v>
      </c>
      <c r="J473" s="31" t="s">
        <v>967</v>
      </c>
      <c r="K473" s="33" t="s">
        <v>1658</v>
      </c>
      <c r="L473" s="31" t="s">
        <v>202</v>
      </c>
      <c r="N473" s="31" t="s">
        <v>313</v>
      </c>
      <c r="T473" s="31" t="s">
        <v>314</v>
      </c>
    </row>
    <row r="474">
      <c r="A474" s="29">
        <v>45910.50606980324</v>
      </c>
      <c r="B474" s="30">
        <v>45910.0</v>
      </c>
      <c r="C474" s="31" t="s">
        <v>1659</v>
      </c>
      <c r="D474" s="32" t="s">
        <v>1660</v>
      </c>
      <c r="E474" s="31" t="s">
        <v>1432</v>
      </c>
      <c r="F474" s="34">
        <v>4500.0</v>
      </c>
      <c r="G474" s="31" t="s">
        <v>23</v>
      </c>
      <c r="I474" s="31" t="s">
        <v>229</v>
      </c>
      <c r="J474" s="31" t="s">
        <v>967</v>
      </c>
      <c r="K474" s="33" t="s">
        <v>1661</v>
      </c>
      <c r="L474" s="31" t="s">
        <v>252</v>
      </c>
      <c r="O474" s="31" t="s">
        <v>257</v>
      </c>
      <c r="P474" s="31" t="s">
        <v>992</v>
      </c>
    </row>
    <row r="475">
      <c r="A475" s="29">
        <v>45910.519922928244</v>
      </c>
      <c r="B475" s="30">
        <v>45910.0</v>
      </c>
      <c r="C475" s="31" t="s">
        <v>1662</v>
      </c>
      <c r="D475" s="32" t="s">
        <v>1663</v>
      </c>
      <c r="E475" s="31" t="s">
        <v>261</v>
      </c>
      <c r="F475" s="31">
        <v>1500.0</v>
      </c>
      <c r="G475" s="31" t="s">
        <v>45</v>
      </c>
      <c r="I475" s="31" t="s">
        <v>229</v>
      </c>
      <c r="J475" s="31" t="s">
        <v>270</v>
      </c>
      <c r="K475" s="33" t="s">
        <v>1664</v>
      </c>
      <c r="L475" s="31" t="s">
        <v>202</v>
      </c>
      <c r="N475" s="31" t="s">
        <v>204</v>
      </c>
      <c r="R475" s="31" t="s">
        <v>192</v>
      </c>
    </row>
    <row r="476">
      <c r="A476" s="29">
        <v>45910.53772353009</v>
      </c>
      <c r="B476" s="30">
        <v>45910.0</v>
      </c>
      <c r="C476" s="31" t="s">
        <v>1665</v>
      </c>
      <c r="D476" s="32" t="s">
        <v>1666</v>
      </c>
      <c r="E476" s="31" t="s">
        <v>43</v>
      </c>
      <c r="F476" s="31">
        <v>5000000.0</v>
      </c>
      <c r="G476" s="31" t="s">
        <v>23</v>
      </c>
      <c r="I476" s="31" t="s">
        <v>229</v>
      </c>
      <c r="J476" s="31" t="s">
        <v>967</v>
      </c>
      <c r="K476" s="33" t="s">
        <v>1667</v>
      </c>
      <c r="L476" s="31" t="s">
        <v>202</v>
      </c>
      <c r="N476" s="31" t="s">
        <v>220</v>
      </c>
      <c r="S476" s="31" t="s">
        <v>124</v>
      </c>
    </row>
    <row r="477">
      <c r="A477" s="29">
        <v>45910.53802496528</v>
      </c>
      <c r="B477" s="30">
        <v>45910.0</v>
      </c>
      <c r="C477" s="31" t="s">
        <v>1668</v>
      </c>
      <c r="D477" s="32" t="s">
        <v>1669</v>
      </c>
      <c r="E477" s="31" t="s">
        <v>43</v>
      </c>
      <c r="F477" s="31">
        <v>6000000.0</v>
      </c>
      <c r="G477" s="31" t="s">
        <v>23</v>
      </c>
      <c r="I477" s="31" t="s">
        <v>229</v>
      </c>
      <c r="J477" s="31" t="s">
        <v>967</v>
      </c>
      <c r="K477" s="33" t="s">
        <v>1670</v>
      </c>
      <c r="L477" s="31" t="s">
        <v>202</v>
      </c>
      <c r="N477" s="31" t="s">
        <v>204</v>
      </c>
      <c r="R477" s="31" t="s">
        <v>47</v>
      </c>
    </row>
    <row r="478">
      <c r="A478" s="29">
        <v>45910.54906952546</v>
      </c>
      <c r="B478" s="30">
        <v>45910.0</v>
      </c>
      <c r="C478" s="31" t="s">
        <v>1671</v>
      </c>
      <c r="D478" s="32" t="s">
        <v>1672</v>
      </c>
      <c r="E478" s="31" t="s">
        <v>121</v>
      </c>
      <c r="F478" s="31">
        <v>7000000.0</v>
      </c>
      <c r="G478" s="31" t="s">
        <v>23</v>
      </c>
      <c r="I478" s="31" t="s">
        <v>229</v>
      </c>
      <c r="J478" s="31" t="s">
        <v>165</v>
      </c>
      <c r="K478" s="33" t="s">
        <v>1673</v>
      </c>
      <c r="L478" s="31" t="s">
        <v>252</v>
      </c>
      <c r="O478" s="31" t="s">
        <v>257</v>
      </c>
      <c r="P478" s="31" t="s">
        <v>272</v>
      </c>
    </row>
    <row r="479">
      <c r="A479" s="29">
        <v>45910.55073372685</v>
      </c>
      <c r="B479" s="30">
        <v>45910.0</v>
      </c>
      <c r="C479" s="31" t="s">
        <v>1674</v>
      </c>
      <c r="D479" s="32" t="s">
        <v>1675</v>
      </c>
      <c r="E479" s="31" t="s">
        <v>43</v>
      </c>
      <c r="F479" s="31">
        <v>3000000.0</v>
      </c>
      <c r="G479" s="31" t="s">
        <v>23</v>
      </c>
      <c r="I479" s="31" t="s">
        <v>229</v>
      </c>
      <c r="J479" s="31" t="s">
        <v>967</v>
      </c>
      <c r="K479" s="33" t="s">
        <v>1676</v>
      </c>
      <c r="L479" s="31" t="s">
        <v>202</v>
      </c>
      <c r="N479" s="31" t="s">
        <v>204</v>
      </c>
      <c r="R479" s="31" t="s">
        <v>28</v>
      </c>
    </row>
    <row r="480">
      <c r="A480" s="29">
        <v>45910.551286828704</v>
      </c>
      <c r="B480" s="30">
        <v>45910.0</v>
      </c>
      <c r="C480" s="31" t="s">
        <v>1677</v>
      </c>
      <c r="D480" s="32" t="s">
        <v>1678</v>
      </c>
      <c r="E480" s="31" t="s">
        <v>1679</v>
      </c>
      <c r="F480" s="31">
        <v>4500000.0</v>
      </c>
      <c r="G480" s="31" t="s">
        <v>23</v>
      </c>
      <c r="H480" s="31">
        <v>3000000.0</v>
      </c>
      <c r="I480" s="31" t="s">
        <v>200</v>
      </c>
      <c r="K480" s="33" t="s">
        <v>1680</v>
      </c>
      <c r="L480" s="31" t="s">
        <v>202</v>
      </c>
      <c r="M480" s="31" t="s">
        <v>203</v>
      </c>
      <c r="N480" s="31" t="s">
        <v>220</v>
      </c>
      <c r="S480" s="31" t="s">
        <v>59</v>
      </c>
    </row>
    <row r="481">
      <c r="A481" s="29">
        <v>45910.58865847222</v>
      </c>
      <c r="B481" s="30">
        <v>45910.0</v>
      </c>
      <c r="C481" s="31" t="s">
        <v>1681</v>
      </c>
      <c r="D481" s="32" t="s">
        <v>1682</v>
      </c>
      <c r="E481" s="31" t="s">
        <v>43</v>
      </c>
      <c r="F481" s="31">
        <v>5000000.0</v>
      </c>
      <c r="G481" s="31" t="s">
        <v>45</v>
      </c>
      <c r="I481" s="31" t="s">
        <v>229</v>
      </c>
      <c r="J481" s="31" t="s">
        <v>1445</v>
      </c>
      <c r="K481" s="33" t="s">
        <v>1683</v>
      </c>
      <c r="L481" s="31" t="s">
        <v>252</v>
      </c>
      <c r="O481" s="31" t="s">
        <v>205</v>
      </c>
      <c r="X481" s="31" t="s">
        <v>569</v>
      </c>
    </row>
    <row r="482">
      <c r="A482" s="29">
        <v>45910.591020555556</v>
      </c>
      <c r="B482" s="30">
        <v>45910.0</v>
      </c>
      <c r="C482" s="31" t="s">
        <v>1684</v>
      </c>
      <c r="D482" s="32" t="s">
        <v>1685</v>
      </c>
      <c r="E482" s="31" t="s">
        <v>43</v>
      </c>
      <c r="F482" s="31">
        <v>3000000.0</v>
      </c>
      <c r="G482" s="31" t="s">
        <v>23</v>
      </c>
      <c r="H482" s="31">
        <v>3000000.0</v>
      </c>
      <c r="I482" s="31" t="s">
        <v>200</v>
      </c>
      <c r="K482" s="33" t="s">
        <v>1686</v>
      </c>
      <c r="L482" s="31" t="s">
        <v>202</v>
      </c>
      <c r="M482" s="31" t="s">
        <v>203</v>
      </c>
      <c r="N482" s="31" t="s">
        <v>215</v>
      </c>
      <c r="W482" s="31" t="s">
        <v>216</v>
      </c>
    </row>
    <row r="483">
      <c r="A483" s="29">
        <v>45910.59170114584</v>
      </c>
      <c r="B483" s="30">
        <v>45910.0</v>
      </c>
      <c r="C483" s="31" t="s">
        <v>1687</v>
      </c>
      <c r="D483" s="32" t="s">
        <v>1688</v>
      </c>
      <c r="E483" s="31" t="s">
        <v>43</v>
      </c>
      <c r="F483" s="31">
        <v>3000000.0</v>
      </c>
      <c r="G483" s="31" t="s">
        <v>23</v>
      </c>
      <c r="I483" s="31" t="s">
        <v>229</v>
      </c>
      <c r="J483" s="31" t="s">
        <v>1445</v>
      </c>
      <c r="K483" s="33" t="s">
        <v>1689</v>
      </c>
      <c r="L483" s="31" t="s">
        <v>252</v>
      </c>
      <c r="O483" s="31" t="s">
        <v>205</v>
      </c>
      <c r="X483" s="31" t="s">
        <v>569</v>
      </c>
    </row>
    <row r="484">
      <c r="A484" s="29">
        <v>45910.5952084375</v>
      </c>
      <c r="B484" s="30">
        <v>45910.0</v>
      </c>
      <c r="C484" s="31" t="s">
        <v>1690</v>
      </c>
      <c r="D484" s="32" t="s">
        <v>1691</v>
      </c>
      <c r="E484" s="31" t="s">
        <v>283</v>
      </c>
      <c r="F484" s="34">
        <v>2600.0</v>
      </c>
      <c r="G484" s="31" t="s">
        <v>23</v>
      </c>
      <c r="I484" s="31" t="s">
        <v>229</v>
      </c>
      <c r="J484" s="31" t="s">
        <v>967</v>
      </c>
      <c r="K484" s="33" t="s">
        <v>1692</v>
      </c>
      <c r="L484" s="31" t="s">
        <v>202</v>
      </c>
      <c r="N484" s="31" t="s">
        <v>204</v>
      </c>
      <c r="R484" s="31" t="s">
        <v>167</v>
      </c>
    </row>
    <row r="485">
      <c r="A485" s="29">
        <v>45910.60415013889</v>
      </c>
      <c r="B485" s="30">
        <v>45910.0</v>
      </c>
      <c r="C485" s="31" t="s">
        <v>1693</v>
      </c>
      <c r="D485" s="32" t="s">
        <v>1694</v>
      </c>
      <c r="E485" s="31" t="s">
        <v>261</v>
      </c>
      <c r="F485" s="34">
        <v>1.1E7</v>
      </c>
      <c r="G485" s="31" t="s">
        <v>23</v>
      </c>
      <c r="I485" s="31" t="s">
        <v>229</v>
      </c>
      <c r="J485" s="31" t="s">
        <v>967</v>
      </c>
      <c r="K485" s="33" t="s">
        <v>1695</v>
      </c>
      <c r="L485" s="31" t="s">
        <v>202</v>
      </c>
      <c r="N485" s="31" t="s">
        <v>204</v>
      </c>
      <c r="R485" s="31" t="s">
        <v>471</v>
      </c>
    </row>
    <row r="486">
      <c r="A486" s="29">
        <v>45910.60589261574</v>
      </c>
      <c r="B486" s="30">
        <v>45910.0</v>
      </c>
      <c r="C486" s="31" t="s">
        <v>1696</v>
      </c>
      <c r="D486" s="32" t="s">
        <v>1697</v>
      </c>
      <c r="E486" s="31" t="s">
        <v>261</v>
      </c>
      <c r="F486" s="34">
        <v>1.0E7</v>
      </c>
      <c r="G486" s="31" t="s">
        <v>23</v>
      </c>
      <c r="I486" s="31" t="s">
        <v>229</v>
      </c>
      <c r="J486" s="31" t="s">
        <v>967</v>
      </c>
      <c r="K486" s="33" t="s">
        <v>1698</v>
      </c>
      <c r="L486" s="31" t="s">
        <v>202</v>
      </c>
      <c r="N486" s="31" t="s">
        <v>204</v>
      </c>
      <c r="R486" s="31" t="s">
        <v>471</v>
      </c>
    </row>
    <row r="487">
      <c r="A487" s="29">
        <v>45910.623909699076</v>
      </c>
      <c r="B487" s="30">
        <v>45910.0</v>
      </c>
      <c r="C487" s="31" t="s">
        <v>1699</v>
      </c>
      <c r="D487" s="32" t="s">
        <v>1700</v>
      </c>
      <c r="E487" s="31" t="s">
        <v>288</v>
      </c>
      <c r="F487" s="34">
        <v>8000000.0</v>
      </c>
      <c r="G487" s="31" t="s">
        <v>23</v>
      </c>
      <c r="I487" s="31" t="s">
        <v>229</v>
      </c>
      <c r="J487" s="31" t="s">
        <v>967</v>
      </c>
      <c r="K487" s="33" t="s">
        <v>1701</v>
      </c>
      <c r="L487" s="31" t="s">
        <v>202</v>
      </c>
      <c r="N487" s="31" t="s">
        <v>204</v>
      </c>
      <c r="R487" s="31" t="s">
        <v>471</v>
      </c>
    </row>
    <row r="488">
      <c r="A488" s="29">
        <v>45910.71296391204</v>
      </c>
      <c r="B488" s="30">
        <v>45910.0</v>
      </c>
      <c r="C488" s="31" t="s">
        <v>1702</v>
      </c>
      <c r="D488" s="32" t="s">
        <v>1703</v>
      </c>
      <c r="E488" s="31" t="s">
        <v>43</v>
      </c>
      <c r="F488" s="31">
        <v>2600000.0</v>
      </c>
      <c r="G488" s="31" t="s">
        <v>23</v>
      </c>
      <c r="I488" s="31" t="s">
        <v>229</v>
      </c>
      <c r="J488" s="31" t="s">
        <v>967</v>
      </c>
      <c r="K488" s="33" t="s">
        <v>1704</v>
      </c>
      <c r="L488" s="31" t="s">
        <v>202</v>
      </c>
      <c r="N488" s="31" t="s">
        <v>871</v>
      </c>
      <c r="Q488" s="31" t="s">
        <v>1021</v>
      </c>
    </row>
    <row r="489">
      <c r="A489" s="29">
        <v>45910.72288149306</v>
      </c>
      <c r="B489" s="30">
        <v>45910.0</v>
      </c>
      <c r="C489" s="31" t="s">
        <v>1705</v>
      </c>
      <c r="D489" s="32" t="s">
        <v>1706</v>
      </c>
      <c r="E489" s="31" t="s">
        <v>572</v>
      </c>
      <c r="F489" s="31">
        <v>6000000.0</v>
      </c>
      <c r="G489" s="31" t="s">
        <v>23</v>
      </c>
      <c r="I489" s="31" t="s">
        <v>229</v>
      </c>
      <c r="J489" s="31" t="s">
        <v>967</v>
      </c>
      <c r="K489" s="33" t="s">
        <v>1707</v>
      </c>
      <c r="L489" s="31" t="s">
        <v>202</v>
      </c>
      <c r="N489" s="31" t="s">
        <v>220</v>
      </c>
      <c r="S489" s="31" t="s">
        <v>466</v>
      </c>
    </row>
    <row r="490">
      <c r="A490" s="29">
        <v>45910.722967800924</v>
      </c>
      <c r="B490" s="30">
        <v>45910.0</v>
      </c>
      <c r="C490" s="31" t="s">
        <v>1708</v>
      </c>
      <c r="D490" s="32" t="s">
        <v>1709</v>
      </c>
      <c r="E490" s="31" t="s">
        <v>31</v>
      </c>
      <c r="F490" s="31">
        <v>3500000.0</v>
      </c>
      <c r="G490" s="31" t="s">
        <v>23</v>
      </c>
      <c r="H490" s="31">
        <v>5000000.0</v>
      </c>
      <c r="I490" s="31" t="s">
        <v>200</v>
      </c>
      <c r="K490" s="33" t="s">
        <v>1710</v>
      </c>
      <c r="L490" s="31" t="s">
        <v>202</v>
      </c>
      <c r="M490" s="31" t="s">
        <v>203</v>
      </c>
      <c r="N490" s="31" t="s">
        <v>204</v>
      </c>
      <c r="R490" s="31" t="s">
        <v>207</v>
      </c>
    </row>
    <row r="491">
      <c r="A491" s="29">
        <v>45910.724478310185</v>
      </c>
      <c r="B491" s="30">
        <v>45910.0</v>
      </c>
      <c r="C491" s="31" t="s">
        <v>1711</v>
      </c>
      <c r="D491" s="32" t="s">
        <v>1613</v>
      </c>
      <c r="E491" s="31" t="s">
        <v>31</v>
      </c>
      <c r="F491" s="31">
        <v>3500000.0</v>
      </c>
      <c r="G491" s="31" t="s">
        <v>23</v>
      </c>
      <c r="H491" s="31">
        <v>3000000.0</v>
      </c>
      <c r="I491" s="31" t="s">
        <v>200</v>
      </c>
      <c r="K491" s="33" t="s">
        <v>1712</v>
      </c>
      <c r="L491" s="31" t="s">
        <v>202</v>
      </c>
      <c r="M491" s="31" t="s">
        <v>203</v>
      </c>
      <c r="N491" s="31" t="s">
        <v>204</v>
      </c>
      <c r="R491" s="31" t="s">
        <v>207</v>
      </c>
    </row>
    <row r="492">
      <c r="A492" s="29">
        <v>45910.725193391205</v>
      </c>
      <c r="B492" s="30">
        <v>45910.0</v>
      </c>
      <c r="C492" s="31" t="s">
        <v>1713</v>
      </c>
      <c r="D492" s="32" t="s">
        <v>1714</v>
      </c>
      <c r="E492" s="31" t="s">
        <v>43</v>
      </c>
      <c r="F492" s="31">
        <v>3700000.0</v>
      </c>
      <c r="G492" s="31" t="s">
        <v>23</v>
      </c>
      <c r="I492" s="31" t="s">
        <v>229</v>
      </c>
      <c r="J492" s="31" t="s">
        <v>967</v>
      </c>
      <c r="K492" s="33" t="s">
        <v>1715</v>
      </c>
      <c r="L492" s="31" t="s">
        <v>202</v>
      </c>
      <c r="N492" s="31" t="s">
        <v>220</v>
      </c>
      <c r="S492" s="31" t="s">
        <v>83</v>
      </c>
    </row>
    <row r="493">
      <c r="A493" s="29">
        <v>45910.7345672338</v>
      </c>
      <c r="B493" s="30">
        <v>45910.0</v>
      </c>
      <c r="C493" s="31" t="s">
        <v>1716</v>
      </c>
      <c r="D493" s="32" t="s">
        <v>1717</v>
      </c>
      <c r="E493" s="31" t="s">
        <v>239</v>
      </c>
      <c r="F493" s="31">
        <v>5200000.0</v>
      </c>
      <c r="G493" s="31" t="s">
        <v>23</v>
      </c>
      <c r="I493" s="31" t="s">
        <v>229</v>
      </c>
      <c r="J493" s="31" t="s">
        <v>967</v>
      </c>
      <c r="K493" s="33" t="s">
        <v>1718</v>
      </c>
      <c r="L493" s="31" t="s">
        <v>202</v>
      </c>
      <c r="N493" s="31" t="s">
        <v>204</v>
      </c>
      <c r="R493" s="31" t="s">
        <v>90</v>
      </c>
    </row>
    <row r="494">
      <c r="A494" s="29">
        <v>45910.73776369213</v>
      </c>
      <c r="B494" s="30">
        <v>45910.0</v>
      </c>
      <c r="C494" s="31" t="s">
        <v>1719</v>
      </c>
      <c r="D494" s="32" t="s">
        <v>1720</v>
      </c>
      <c r="E494" s="31" t="s">
        <v>43</v>
      </c>
      <c r="F494" s="31">
        <v>7000000.0</v>
      </c>
      <c r="G494" s="31" t="s">
        <v>23</v>
      </c>
      <c r="I494" s="31" t="s">
        <v>229</v>
      </c>
      <c r="J494" s="31" t="s">
        <v>967</v>
      </c>
      <c r="K494" s="33" t="s">
        <v>1721</v>
      </c>
      <c r="L494" s="31" t="s">
        <v>202</v>
      </c>
      <c r="N494" s="31" t="s">
        <v>220</v>
      </c>
      <c r="S494" s="31" t="s">
        <v>1406</v>
      </c>
    </row>
    <row r="495">
      <c r="A495" s="29">
        <v>45910.747179976854</v>
      </c>
      <c r="B495" s="30">
        <v>45910.0</v>
      </c>
      <c r="C495" s="31" t="s">
        <v>1722</v>
      </c>
      <c r="D495" s="32" t="s">
        <v>1723</v>
      </c>
      <c r="E495" s="31" t="s">
        <v>283</v>
      </c>
      <c r="F495" s="31">
        <v>1.0E7</v>
      </c>
      <c r="G495" s="31" t="s">
        <v>23</v>
      </c>
      <c r="I495" s="31" t="s">
        <v>229</v>
      </c>
      <c r="J495" s="31" t="s">
        <v>967</v>
      </c>
      <c r="K495" s="33" t="s">
        <v>1724</v>
      </c>
      <c r="L495" s="31" t="s">
        <v>252</v>
      </c>
      <c r="O495" s="31" t="s">
        <v>257</v>
      </c>
      <c r="P495" s="31" t="s">
        <v>285</v>
      </c>
    </row>
    <row r="496">
      <c r="A496" s="29">
        <v>45910.74730059028</v>
      </c>
      <c r="B496" s="30">
        <v>45910.0</v>
      </c>
      <c r="C496" s="31" t="s">
        <v>1725</v>
      </c>
      <c r="D496" s="32" t="s">
        <v>1726</v>
      </c>
      <c r="E496" s="31" t="s">
        <v>31</v>
      </c>
      <c r="F496" s="31">
        <v>7000000.0</v>
      </c>
      <c r="G496" s="31" t="s">
        <v>23</v>
      </c>
      <c r="I496" s="31" t="s">
        <v>229</v>
      </c>
      <c r="J496" s="31" t="s">
        <v>967</v>
      </c>
      <c r="K496" s="33" t="s">
        <v>1727</v>
      </c>
      <c r="L496" s="31" t="s">
        <v>202</v>
      </c>
      <c r="N496" s="31" t="s">
        <v>313</v>
      </c>
      <c r="T496" s="31" t="s">
        <v>329</v>
      </c>
    </row>
    <row r="497">
      <c r="A497" s="29">
        <v>45910.77342868056</v>
      </c>
      <c r="B497" s="30">
        <v>45910.0</v>
      </c>
      <c r="C497" s="31" t="s">
        <v>1728</v>
      </c>
      <c r="D497" s="32" t="s">
        <v>1729</v>
      </c>
      <c r="E497" s="31" t="s">
        <v>228</v>
      </c>
      <c r="F497" s="31">
        <v>4600000.0</v>
      </c>
      <c r="G497" s="31" t="s">
        <v>23</v>
      </c>
      <c r="I497" s="31" t="s">
        <v>229</v>
      </c>
      <c r="J497" s="31" t="s">
        <v>967</v>
      </c>
      <c r="K497" s="33" t="s">
        <v>1730</v>
      </c>
      <c r="L497" s="31" t="s">
        <v>202</v>
      </c>
      <c r="N497" s="31" t="s">
        <v>204</v>
      </c>
      <c r="R497" s="31" t="s">
        <v>98</v>
      </c>
    </row>
    <row r="498">
      <c r="A498" s="29">
        <v>45910.776386956015</v>
      </c>
      <c r="B498" s="30">
        <v>45910.0</v>
      </c>
      <c r="C498" s="31" t="s">
        <v>1731</v>
      </c>
      <c r="D498" s="32" t="s">
        <v>1732</v>
      </c>
      <c r="E498" s="31" t="s">
        <v>288</v>
      </c>
      <c r="F498" s="31">
        <v>6500000.0</v>
      </c>
      <c r="G498" s="31" t="s">
        <v>23</v>
      </c>
      <c r="I498" s="31" t="s">
        <v>229</v>
      </c>
      <c r="J498" s="31" t="s">
        <v>165</v>
      </c>
      <c r="K498" s="33" t="s">
        <v>1733</v>
      </c>
      <c r="L498" s="31" t="s">
        <v>202</v>
      </c>
      <c r="N498" s="31" t="s">
        <v>667</v>
      </c>
      <c r="U498" s="31" t="s">
        <v>668</v>
      </c>
    </row>
    <row r="499">
      <c r="A499" s="29">
        <v>45910.78186854167</v>
      </c>
      <c r="B499" s="30">
        <v>45910.0</v>
      </c>
      <c r="C499" s="31" t="s">
        <v>1734</v>
      </c>
      <c r="D499" s="32" t="s">
        <v>1735</v>
      </c>
      <c r="E499" s="31" t="s">
        <v>31</v>
      </c>
      <c r="F499" s="31">
        <v>2400000.0</v>
      </c>
      <c r="G499" s="31" t="s">
        <v>23</v>
      </c>
      <c r="H499" s="31">
        <v>3000000.0</v>
      </c>
      <c r="I499" s="31" t="s">
        <v>413</v>
      </c>
      <c r="K499" s="33" t="s">
        <v>1736</v>
      </c>
      <c r="L499" s="31" t="s">
        <v>202</v>
      </c>
      <c r="M499" s="31" t="s">
        <v>203</v>
      </c>
      <c r="N499" s="31" t="s">
        <v>220</v>
      </c>
      <c r="S499" s="31" t="s">
        <v>83</v>
      </c>
    </row>
    <row r="500">
      <c r="A500" s="29">
        <v>45910.79651165509</v>
      </c>
      <c r="B500" s="30">
        <v>45910.0</v>
      </c>
      <c r="C500" s="31" t="s">
        <v>1737</v>
      </c>
      <c r="D500" s="32" t="s">
        <v>1738</v>
      </c>
      <c r="E500" s="31" t="s">
        <v>199</v>
      </c>
      <c r="F500" s="31">
        <v>3400000.0</v>
      </c>
      <c r="G500" s="31" t="s">
        <v>23</v>
      </c>
      <c r="H500" s="31">
        <v>5000000.0</v>
      </c>
      <c r="I500" s="31" t="s">
        <v>200</v>
      </c>
      <c r="K500" s="33" t="s">
        <v>1739</v>
      </c>
      <c r="L500" s="31" t="s">
        <v>252</v>
      </c>
      <c r="M500" s="31" t="s">
        <v>383</v>
      </c>
      <c r="O500" s="31" t="s">
        <v>257</v>
      </c>
      <c r="P500" s="31" t="s">
        <v>258</v>
      </c>
    </row>
    <row r="501">
      <c r="A501" s="29">
        <v>45910.79840886574</v>
      </c>
      <c r="B501" s="30">
        <v>45910.0</v>
      </c>
      <c r="C501" s="31" t="s">
        <v>1740</v>
      </c>
      <c r="D501" s="32" t="s">
        <v>1741</v>
      </c>
      <c r="E501" s="31" t="s">
        <v>43</v>
      </c>
      <c r="F501" s="31">
        <v>4000000.0</v>
      </c>
      <c r="G501" s="31" t="s">
        <v>23</v>
      </c>
      <c r="I501" s="31" t="s">
        <v>229</v>
      </c>
      <c r="J501" s="31" t="s">
        <v>967</v>
      </c>
      <c r="K501" s="33" t="s">
        <v>1742</v>
      </c>
      <c r="L501" s="31" t="s">
        <v>202</v>
      </c>
      <c r="N501" s="31" t="s">
        <v>204</v>
      </c>
      <c r="R501" s="31" t="s">
        <v>28</v>
      </c>
    </row>
    <row r="502">
      <c r="A502" s="29">
        <v>45910.80426929398</v>
      </c>
      <c r="B502" s="30">
        <v>45910.0</v>
      </c>
      <c r="C502" s="31" t="s">
        <v>1743</v>
      </c>
      <c r="D502" s="32" t="s">
        <v>1744</v>
      </c>
      <c r="E502" s="31" t="s">
        <v>288</v>
      </c>
      <c r="F502" s="31">
        <v>2500000.0</v>
      </c>
      <c r="G502" s="31" t="s">
        <v>23</v>
      </c>
      <c r="H502" s="31">
        <v>3000000.0</v>
      </c>
      <c r="I502" s="31" t="s">
        <v>413</v>
      </c>
      <c r="K502" s="33" t="s">
        <v>1745</v>
      </c>
      <c r="L502" s="31" t="s">
        <v>202</v>
      </c>
      <c r="M502" s="31" t="s">
        <v>203</v>
      </c>
      <c r="N502" s="31" t="s">
        <v>204</v>
      </c>
      <c r="R502" s="31" t="s">
        <v>892</v>
      </c>
    </row>
    <row r="503">
      <c r="A503" s="29">
        <v>45910.818565231486</v>
      </c>
      <c r="B503" s="30">
        <v>45910.0</v>
      </c>
      <c r="C503" s="31" t="s">
        <v>1746</v>
      </c>
      <c r="D503" s="32" t="s">
        <v>1747</v>
      </c>
      <c r="E503" s="31" t="s">
        <v>31</v>
      </c>
      <c r="F503" s="31">
        <v>3500000.0</v>
      </c>
      <c r="G503" s="31" t="s">
        <v>23</v>
      </c>
      <c r="H503" s="31">
        <v>1000.0</v>
      </c>
      <c r="I503" s="31" t="s">
        <v>413</v>
      </c>
      <c r="K503" s="33" t="s">
        <v>1748</v>
      </c>
      <c r="L503" s="31" t="s">
        <v>202</v>
      </c>
      <c r="M503" s="31" t="s">
        <v>203</v>
      </c>
      <c r="N503" s="31" t="s">
        <v>204</v>
      </c>
      <c r="R503" s="31" t="s">
        <v>207</v>
      </c>
    </row>
    <row r="504">
      <c r="A504" s="29">
        <v>45910.821327453705</v>
      </c>
      <c r="B504" s="30">
        <v>45910.0</v>
      </c>
      <c r="C504" s="31" t="s">
        <v>1749</v>
      </c>
      <c r="D504" s="32" t="s">
        <v>1750</v>
      </c>
      <c r="E504" s="31" t="s">
        <v>43</v>
      </c>
      <c r="F504" s="31">
        <v>2000000.0</v>
      </c>
      <c r="G504" s="31" t="s">
        <v>23</v>
      </c>
      <c r="I504" s="31" t="s">
        <v>229</v>
      </c>
      <c r="J504" s="31" t="s">
        <v>967</v>
      </c>
      <c r="K504" s="33" t="s">
        <v>1751</v>
      </c>
      <c r="L504" s="31" t="s">
        <v>202</v>
      </c>
      <c r="N504" s="31" t="s">
        <v>204</v>
      </c>
      <c r="R504" s="31" t="s">
        <v>28</v>
      </c>
    </row>
    <row r="505">
      <c r="A505" s="29">
        <v>45910.82169819444</v>
      </c>
      <c r="B505" s="30">
        <v>45910.0</v>
      </c>
      <c r="C505" s="31" t="s">
        <v>1752</v>
      </c>
      <c r="D505" s="32" t="s">
        <v>1753</v>
      </c>
      <c r="E505" s="31" t="s">
        <v>239</v>
      </c>
      <c r="F505" s="31">
        <v>3000000.0</v>
      </c>
      <c r="G505" s="31" t="s">
        <v>23</v>
      </c>
      <c r="I505" s="31" t="s">
        <v>229</v>
      </c>
      <c r="J505" s="31" t="s">
        <v>967</v>
      </c>
      <c r="K505" s="33" t="s">
        <v>1754</v>
      </c>
      <c r="L505" s="31" t="s">
        <v>202</v>
      </c>
      <c r="N505" s="31" t="s">
        <v>871</v>
      </c>
      <c r="Q505" s="31" t="s">
        <v>872</v>
      </c>
    </row>
    <row r="506">
      <c r="A506" s="29">
        <v>45910.82522814815</v>
      </c>
      <c r="B506" s="30">
        <v>45910.0</v>
      </c>
      <c r="C506" s="31" t="s">
        <v>1755</v>
      </c>
      <c r="D506" s="32" t="s">
        <v>1756</v>
      </c>
      <c r="E506" s="31" t="s">
        <v>43</v>
      </c>
      <c r="F506" s="31">
        <v>4000000.0</v>
      </c>
      <c r="G506" s="31" t="s">
        <v>23</v>
      </c>
      <c r="I506" s="31" t="s">
        <v>229</v>
      </c>
      <c r="J506" s="31" t="s">
        <v>967</v>
      </c>
      <c r="K506" s="33" t="s">
        <v>1757</v>
      </c>
      <c r="L506" s="31" t="s">
        <v>252</v>
      </c>
      <c r="O506" s="31" t="s">
        <v>205</v>
      </c>
      <c r="X506" s="31" t="s">
        <v>452</v>
      </c>
    </row>
    <row r="507">
      <c r="A507" s="29">
        <v>45910.85079627315</v>
      </c>
      <c r="B507" s="30">
        <v>45910.0</v>
      </c>
      <c r="C507" s="31" t="s">
        <v>1758</v>
      </c>
      <c r="D507" s="32" t="s">
        <v>1759</v>
      </c>
      <c r="E507" s="31" t="s">
        <v>288</v>
      </c>
      <c r="F507" s="31">
        <v>1000000.0</v>
      </c>
      <c r="G507" s="31" t="s">
        <v>23</v>
      </c>
      <c r="H507" s="31">
        <v>7000000.0</v>
      </c>
      <c r="I507" s="31" t="s">
        <v>413</v>
      </c>
      <c r="K507" s="33" t="s">
        <v>1760</v>
      </c>
      <c r="L507" s="31" t="s">
        <v>202</v>
      </c>
      <c r="M507" s="31" t="s">
        <v>435</v>
      </c>
      <c r="N507" s="31" t="s">
        <v>204</v>
      </c>
      <c r="R507" s="31" t="s">
        <v>360</v>
      </c>
    </row>
    <row r="508">
      <c r="A508" s="29">
        <v>45910.85388416667</v>
      </c>
      <c r="B508" s="30">
        <v>45910.0</v>
      </c>
      <c r="C508" s="31" t="s">
        <v>1761</v>
      </c>
      <c r="D508" s="32" t="s">
        <v>1762</v>
      </c>
      <c r="E508" s="31" t="s">
        <v>228</v>
      </c>
      <c r="F508" s="31">
        <v>3000000.0</v>
      </c>
      <c r="G508" s="31" t="s">
        <v>23</v>
      </c>
      <c r="H508" s="31">
        <v>3000000.0</v>
      </c>
      <c r="I508" s="31" t="s">
        <v>413</v>
      </c>
      <c r="K508" s="33" t="s">
        <v>1763</v>
      </c>
      <c r="L508" s="31" t="s">
        <v>202</v>
      </c>
      <c r="M508" s="31" t="s">
        <v>435</v>
      </c>
      <c r="N508" s="31" t="s">
        <v>204</v>
      </c>
      <c r="R508" s="31" t="s">
        <v>360</v>
      </c>
    </row>
    <row r="509">
      <c r="A509" s="29">
        <v>45910.85806949074</v>
      </c>
      <c r="B509" s="30">
        <v>45910.0</v>
      </c>
      <c r="C509" s="31" t="s">
        <v>1764</v>
      </c>
      <c r="D509" s="31" t="s">
        <v>1765</v>
      </c>
      <c r="E509" s="31" t="s">
        <v>1223</v>
      </c>
      <c r="F509" s="31">
        <v>3800000.0</v>
      </c>
      <c r="G509" s="31" t="s">
        <v>23</v>
      </c>
      <c r="H509" s="31">
        <v>3000000.0</v>
      </c>
      <c r="I509" s="31" t="s">
        <v>413</v>
      </c>
      <c r="K509" s="33" t="s">
        <v>1766</v>
      </c>
      <c r="L509" s="31" t="s">
        <v>202</v>
      </c>
      <c r="M509" s="31" t="s">
        <v>203</v>
      </c>
      <c r="N509" s="31" t="s">
        <v>215</v>
      </c>
      <c r="W509" s="31" t="s">
        <v>355</v>
      </c>
    </row>
    <row r="510">
      <c r="A510" s="29">
        <v>45910.86989667824</v>
      </c>
      <c r="B510" s="30">
        <v>45910.0</v>
      </c>
      <c r="C510" s="31" t="s">
        <v>1767</v>
      </c>
      <c r="D510" s="32" t="s">
        <v>1438</v>
      </c>
      <c r="E510" s="31" t="s">
        <v>43</v>
      </c>
      <c r="F510" s="31">
        <v>4800000.0</v>
      </c>
      <c r="G510" s="31" t="s">
        <v>23</v>
      </c>
      <c r="I510" s="31" t="s">
        <v>229</v>
      </c>
      <c r="J510" s="31" t="s">
        <v>967</v>
      </c>
      <c r="K510" s="33" t="s">
        <v>1768</v>
      </c>
      <c r="L510" s="31" t="s">
        <v>202</v>
      </c>
      <c r="N510" s="31" t="s">
        <v>220</v>
      </c>
      <c r="S510" s="31" t="s">
        <v>124</v>
      </c>
    </row>
    <row r="511">
      <c r="A511" s="29">
        <v>45910.87542662037</v>
      </c>
      <c r="B511" s="30">
        <v>45910.0</v>
      </c>
      <c r="C511" s="31" t="s">
        <v>1769</v>
      </c>
      <c r="D511" s="32" t="s">
        <v>1770</v>
      </c>
      <c r="E511" s="31" t="s">
        <v>43</v>
      </c>
      <c r="F511" s="31">
        <v>3000000.0</v>
      </c>
      <c r="G511" s="31" t="s">
        <v>23</v>
      </c>
      <c r="H511" s="31">
        <v>7000000.0</v>
      </c>
      <c r="I511" s="31" t="s">
        <v>413</v>
      </c>
      <c r="K511" s="33" t="s">
        <v>1771</v>
      </c>
      <c r="L511" s="31" t="s">
        <v>202</v>
      </c>
      <c r="M511" s="31" t="s">
        <v>203</v>
      </c>
      <c r="N511" s="31" t="s">
        <v>204</v>
      </c>
      <c r="R511" s="31" t="s">
        <v>28</v>
      </c>
    </row>
    <row r="512">
      <c r="A512" s="29">
        <v>45910.920308553235</v>
      </c>
      <c r="B512" s="30">
        <v>45910.0</v>
      </c>
      <c r="C512" s="31" t="s">
        <v>1772</v>
      </c>
      <c r="D512" s="32" t="s">
        <v>1773</v>
      </c>
      <c r="E512" s="31" t="s">
        <v>31</v>
      </c>
      <c r="F512" s="31">
        <v>3700000.0</v>
      </c>
      <c r="G512" s="31" t="s">
        <v>23</v>
      </c>
      <c r="I512" s="31" t="s">
        <v>229</v>
      </c>
      <c r="J512" s="31" t="s">
        <v>967</v>
      </c>
      <c r="K512" s="33" t="s">
        <v>1774</v>
      </c>
      <c r="L512" s="31" t="s">
        <v>202</v>
      </c>
      <c r="N512" s="31" t="s">
        <v>204</v>
      </c>
      <c r="R512" s="31" t="s">
        <v>207</v>
      </c>
    </row>
    <row r="513">
      <c r="A513" s="29">
        <v>45910.953312025464</v>
      </c>
      <c r="B513" s="30">
        <v>45910.0</v>
      </c>
      <c r="C513" s="31" t="s">
        <v>1775</v>
      </c>
      <c r="D513" s="32" t="s">
        <v>1776</v>
      </c>
      <c r="E513" s="31" t="s">
        <v>199</v>
      </c>
      <c r="F513" s="34">
        <v>6000000.0</v>
      </c>
      <c r="G513" s="31" t="s">
        <v>45</v>
      </c>
      <c r="H513" s="34">
        <v>7000.0</v>
      </c>
      <c r="I513" s="31" t="s">
        <v>200</v>
      </c>
      <c r="K513" s="33" t="s">
        <v>1777</v>
      </c>
      <c r="L513" s="31" t="s">
        <v>202</v>
      </c>
      <c r="M513" s="31" t="s">
        <v>605</v>
      </c>
      <c r="N513" s="31" t="s">
        <v>204</v>
      </c>
      <c r="R513" s="31" t="s">
        <v>171</v>
      </c>
    </row>
    <row r="514">
      <c r="A514" s="29">
        <v>45910.95539015046</v>
      </c>
      <c r="B514" s="30">
        <v>45910.0</v>
      </c>
      <c r="C514" s="31" t="s">
        <v>1778</v>
      </c>
      <c r="D514" s="31">
        <v>0.0</v>
      </c>
      <c r="E514" s="31" t="s">
        <v>93</v>
      </c>
      <c r="F514" s="34">
        <v>2000.0</v>
      </c>
      <c r="G514" s="31" t="s">
        <v>23</v>
      </c>
      <c r="I514" s="31" t="s">
        <v>229</v>
      </c>
      <c r="J514" s="31" t="s">
        <v>967</v>
      </c>
      <c r="K514" s="33" t="s">
        <v>1779</v>
      </c>
      <c r="L514" s="31" t="s">
        <v>202</v>
      </c>
      <c r="N514" s="31" t="s">
        <v>204</v>
      </c>
      <c r="R514" s="31" t="s">
        <v>171</v>
      </c>
    </row>
    <row r="515">
      <c r="A515" s="29">
        <v>45911.40550216435</v>
      </c>
      <c r="B515" s="30">
        <v>45911.0</v>
      </c>
      <c r="C515" s="31" t="s">
        <v>1780</v>
      </c>
      <c r="D515" s="32" t="s">
        <v>1781</v>
      </c>
      <c r="E515" s="31" t="s">
        <v>43</v>
      </c>
      <c r="F515" s="31">
        <v>3000000.0</v>
      </c>
      <c r="G515" s="31" t="s">
        <v>23</v>
      </c>
      <c r="I515" s="31" t="s">
        <v>229</v>
      </c>
      <c r="J515" s="31" t="s">
        <v>967</v>
      </c>
      <c r="K515" s="33" t="s">
        <v>1782</v>
      </c>
      <c r="L515" s="31" t="s">
        <v>202</v>
      </c>
      <c r="N515" s="31" t="s">
        <v>871</v>
      </c>
      <c r="Q515" s="31" t="s">
        <v>872</v>
      </c>
    </row>
    <row r="516">
      <c r="A516" s="29">
        <v>45911.42037931713</v>
      </c>
      <c r="B516" s="30">
        <v>45911.0</v>
      </c>
      <c r="C516" s="31" t="s">
        <v>1783</v>
      </c>
      <c r="D516" s="32" t="s">
        <v>1784</v>
      </c>
      <c r="E516" s="31" t="s">
        <v>1785</v>
      </c>
      <c r="F516" s="31">
        <v>3000000.0</v>
      </c>
      <c r="G516" s="31" t="s">
        <v>23</v>
      </c>
      <c r="I516" s="31" t="s">
        <v>229</v>
      </c>
      <c r="J516" s="31" t="s">
        <v>967</v>
      </c>
      <c r="K516" s="33" t="s">
        <v>1786</v>
      </c>
      <c r="L516" s="31" t="s">
        <v>202</v>
      </c>
      <c r="N516" s="31" t="s">
        <v>313</v>
      </c>
      <c r="T516" s="31" t="s">
        <v>384</v>
      </c>
    </row>
    <row r="517">
      <c r="A517" s="29">
        <v>45911.427934050924</v>
      </c>
      <c r="B517" s="30">
        <v>45911.0</v>
      </c>
      <c r="C517" s="31" t="s">
        <v>1787</v>
      </c>
      <c r="D517" s="32" t="s">
        <v>1788</v>
      </c>
      <c r="E517" s="31" t="s">
        <v>228</v>
      </c>
      <c r="F517" s="31">
        <v>6000000.0</v>
      </c>
      <c r="G517" s="31" t="s">
        <v>23</v>
      </c>
      <c r="H517" s="31">
        <v>3000000.0</v>
      </c>
      <c r="I517" s="31" t="s">
        <v>413</v>
      </c>
      <c r="K517" s="33" t="s">
        <v>1789</v>
      </c>
      <c r="L517" s="31" t="s">
        <v>202</v>
      </c>
      <c r="M517" s="31" t="s">
        <v>203</v>
      </c>
      <c r="N517" s="31" t="s">
        <v>220</v>
      </c>
      <c r="S517" s="31" t="s">
        <v>1406</v>
      </c>
    </row>
    <row r="518">
      <c r="A518" s="29">
        <v>45911.42810089121</v>
      </c>
      <c r="B518" s="30">
        <v>45911.0</v>
      </c>
      <c r="C518" s="31" t="s">
        <v>1790</v>
      </c>
      <c r="D518" s="32" t="s">
        <v>1791</v>
      </c>
      <c r="E518" s="31" t="s">
        <v>199</v>
      </c>
      <c r="F518" s="31">
        <v>3400000.0</v>
      </c>
      <c r="G518" s="31" t="s">
        <v>23</v>
      </c>
      <c r="I518" s="31" t="s">
        <v>229</v>
      </c>
      <c r="J518" s="31" t="s">
        <v>967</v>
      </c>
      <c r="K518" s="33" t="s">
        <v>1792</v>
      </c>
      <c r="L518" s="31" t="s">
        <v>202</v>
      </c>
      <c r="N518" s="31" t="s">
        <v>313</v>
      </c>
      <c r="T518" s="31" t="s">
        <v>314</v>
      </c>
    </row>
    <row r="519">
      <c r="A519" s="29">
        <v>45911.43008074074</v>
      </c>
      <c r="B519" s="30">
        <v>45911.0</v>
      </c>
      <c r="C519" s="31" t="s">
        <v>1793</v>
      </c>
      <c r="D519" s="32" t="s">
        <v>1794</v>
      </c>
      <c r="E519" s="31" t="s">
        <v>199</v>
      </c>
      <c r="F519" s="31">
        <v>3400000.0</v>
      </c>
      <c r="G519" s="31" t="s">
        <v>23</v>
      </c>
      <c r="I519" s="31" t="s">
        <v>229</v>
      </c>
      <c r="J519" s="31" t="s">
        <v>967</v>
      </c>
      <c r="K519" s="33" t="s">
        <v>1795</v>
      </c>
      <c r="L519" s="31" t="s">
        <v>202</v>
      </c>
      <c r="N519" s="31" t="s">
        <v>313</v>
      </c>
      <c r="T519" s="31" t="s">
        <v>314</v>
      </c>
    </row>
    <row r="520">
      <c r="A520" s="29">
        <v>45911.430951041664</v>
      </c>
      <c r="B520" s="30">
        <v>45911.0</v>
      </c>
      <c r="C520" s="31" t="s">
        <v>1796</v>
      </c>
      <c r="D520" s="32" t="s">
        <v>1797</v>
      </c>
      <c r="E520" s="31" t="s">
        <v>239</v>
      </c>
      <c r="F520" s="31">
        <v>3000000.0</v>
      </c>
      <c r="G520" s="31" t="s">
        <v>23</v>
      </c>
      <c r="I520" s="31" t="s">
        <v>229</v>
      </c>
      <c r="J520" s="31" t="s">
        <v>967</v>
      </c>
      <c r="K520" s="33" t="s">
        <v>1798</v>
      </c>
      <c r="L520" s="31" t="s">
        <v>202</v>
      </c>
      <c r="N520" s="31" t="s">
        <v>871</v>
      </c>
      <c r="Q520" s="31" t="s">
        <v>872</v>
      </c>
    </row>
    <row r="521">
      <c r="A521" s="29">
        <v>45911.43799</v>
      </c>
      <c r="B521" s="30">
        <v>45911.0</v>
      </c>
      <c r="C521" s="31" t="s">
        <v>1799</v>
      </c>
      <c r="D521" s="32" t="s">
        <v>1800</v>
      </c>
      <c r="E521" s="31" t="s">
        <v>228</v>
      </c>
      <c r="F521" s="31">
        <v>5000000.0</v>
      </c>
      <c r="G521" s="31" t="s">
        <v>23</v>
      </c>
      <c r="I521" s="31" t="s">
        <v>229</v>
      </c>
      <c r="J521" s="31" t="s">
        <v>967</v>
      </c>
      <c r="K521" s="33" t="s">
        <v>1801</v>
      </c>
      <c r="L521" s="31" t="s">
        <v>202</v>
      </c>
      <c r="N521" s="31" t="s">
        <v>220</v>
      </c>
      <c r="S521" s="31" t="s">
        <v>1406</v>
      </c>
    </row>
    <row r="522">
      <c r="A522" s="29">
        <v>45911.46203858797</v>
      </c>
      <c r="B522" s="30">
        <v>45911.0</v>
      </c>
      <c r="C522" s="31" t="s">
        <v>1802</v>
      </c>
      <c r="D522" s="32" t="s">
        <v>1803</v>
      </c>
      <c r="E522" s="31" t="s">
        <v>283</v>
      </c>
      <c r="F522" s="31">
        <v>4000000.0</v>
      </c>
      <c r="G522" s="31" t="s">
        <v>45</v>
      </c>
      <c r="H522" s="31">
        <v>3000000.0</v>
      </c>
      <c r="I522" s="31" t="s">
        <v>413</v>
      </c>
      <c r="K522" s="33" t="s">
        <v>1804</v>
      </c>
      <c r="L522" s="31" t="s">
        <v>252</v>
      </c>
      <c r="M522" s="31" t="s">
        <v>203</v>
      </c>
      <c r="O522" s="31" t="s">
        <v>257</v>
      </c>
      <c r="P522" s="31" t="s">
        <v>285</v>
      </c>
    </row>
    <row r="523">
      <c r="A523" s="29">
        <v>45911.482861331024</v>
      </c>
      <c r="B523" s="30">
        <v>45911.0</v>
      </c>
      <c r="C523" s="31" t="s">
        <v>1805</v>
      </c>
      <c r="D523" s="32" t="s">
        <v>1806</v>
      </c>
      <c r="E523" s="31" t="s">
        <v>31</v>
      </c>
      <c r="F523" s="34">
        <v>1.5E7</v>
      </c>
      <c r="G523" s="31" t="s">
        <v>23</v>
      </c>
      <c r="I523" s="31" t="s">
        <v>229</v>
      </c>
      <c r="J523" s="31" t="s">
        <v>967</v>
      </c>
      <c r="K523" s="33" t="s">
        <v>1807</v>
      </c>
      <c r="L523" s="31" t="s">
        <v>202</v>
      </c>
      <c r="N523" s="31" t="s">
        <v>204</v>
      </c>
      <c r="R523" s="31" t="s">
        <v>471</v>
      </c>
    </row>
    <row r="524">
      <c r="A524" s="29">
        <v>45911.4855403125</v>
      </c>
      <c r="B524" s="30">
        <v>45911.0</v>
      </c>
      <c r="C524" s="31" t="s">
        <v>1808</v>
      </c>
      <c r="D524" s="32" t="s">
        <v>1809</v>
      </c>
      <c r="E524" s="31" t="s">
        <v>43</v>
      </c>
      <c r="F524" s="34">
        <v>2199999.0</v>
      </c>
      <c r="G524" s="31" t="s">
        <v>23</v>
      </c>
      <c r="I524" s="31" t="s">
        <v>229</v>
      </c>
      <c r="J524" s="31" t="s">
        <v>967</v>
      </c>
      <c r="K524" s="33" t="s">
        <v>1810</v>
      </c>
      <c r="L524" s="31" t="s">
        <v>252</v>
      </c>
      <c r="O524" s="31" t="s">
        <v>205</v>
      </c>
      <c r="X524" s="31" t="s">
        <v>716</v>
      </c>
    </row>
    <row r="525">
      <c r="A525" s="29">
        <v>45911.49743290509</v>
      </c>
      <c r="B525" s="30">
        <v>45911.0</v>
      </c>
      <c r="C525" s="31" t="s">
        <v>1811</v>
      </c>
      <c r="D525" s="32" t="s">
        <v>1812</v>
      </c>
      <c r="E525" s="31" t="s">
        <v>1813</v>
      </c>
      <c r="F525" s="31">
        <v>3000000.0</v>
      </c>
      <c r="G525" s="31" t="s">
        <v>23</v>
      </c>
      <c r="I525" s="31" t="s">
        <v>229</v>
      </c>
      <c r="J525" s="31" t="s">
        <v>967</v>
      </c>
      <c r="K525" s="33" t="s">
        <v>1814</v>
      </c>
      <c r="L525" s="31" t="s">
        <v>202</v>
      </c>
      <c r="N525" s="31" t="s">
        <v>313</v>
      </c>
      <c r="T525" s="31" t="s">
        <v>384</v>
      </c>
    </row>
    <row r="526">
      <c r="A526" s="29">
        <v>45911.500107175925</v>
      </c>
      <c r="B526" s="30">
        <v>45911.0</v>
      </c>
      <c r="C526" s="31" t="s">
        <v>1815</v>
      </c>
      <c r="D526" s="32" t="s">
        <v>1816</v>
      </c>
      <c r="E526" s="31" t="s">
        <v>1817</v>
      </c>
      <c r="F526" s="31">
        <v>5100000.0</v>
      </c>
      <c r="G526" s="31" t="s">
        <v>23</v>
      </c>
      <c r="H526" s="31">
        <v>3000000.0</v>
      </c>
      <c r="I526" s="31" t="s">
        <v>200</v>
      </c>
      <c r="K526" s="33" t="s">
        <v>1818</v>
      </c>
      <c r="L526" s="31" t="s">
        <v>252</v>
      </c>
      <c r="M526" s="31" t="s">
        <v>203</v>
      </c>
      <c r="O526" s="31" t="s">
        <v>205</v>
      </c>
      <c r="X526" s="31" t="s">
        <v>569</v>
      </c>
    </row>
    <row r="527">
      <c r="A527" s="29">
        <v>45911.50617001158</v>
      </c>
      <c r="B527" s="30">
        <v>45911.0</v>
      </c>
      <c r="C527" s="31" t="s">
        <v>1819</v>
      </c>
      <c r="D527" s="32" t="s">
        <v>1820</v>
      </c>
      <c r="E527" s="31" t="s">
        <v>43</v>
      </c>
      <c r="F527" s="31">
        <v>4600000.0</v>
      </c>
      <c r="G527" s="31" t="s">
        <v>23</v>
      </c>
      <c r="I527" s="31" t="s">
        <v>229</v>
      </c>
      <c r="J527" s="31" t="s">
        <v>967</v>
      </c>
      <c r="K527" s="33" t="s">
        <v>1821</v>
      </c>
      <c r="L527" s="31" t="s">
        <v>202</v>
      </c>
      <c r="N527" s="31" t="s">
        <v>220</v>
      </c>
      <c r="S527" s="31" t="s">
        <v>83</v>
      </c>
    </row>
    <row r="528">
      <c r="A528" s="29">
        <v>45911.51723899305</v>
      </c>
      <c r="B528" s="30">
        <v>45911.0</v>
      </c>
      <c r="C528" s="31" t="s">
        <v>1822</v>
      </c>
      <c r="D528" s="32" t="s">
        <v>1823</v>
      </c>
      <c r="E528" s="31" t="s">
        <v>31</v>
      </c>
      <c r="F528" s="31">
        <v>5500000.0</v>
      </c>
      <c r="G528" s="31" t="s">
        <v>23</v>
      </c>
      <c r="H528" s="31">
        <v>7000000.0</v>
      </c>
      <c r="I528" s="31" t="s">
        <v>413</v>
      </c>
      <c r="K528" s="33" t="s">
        <v>1824</v>
      </c>
      <c r="L528" s="31" t="s">
        <v>202</v>
      </c>
      <c r="M528" s="31" t="s">
        <v>435</v>
      </c>
      <c r="N528" s="31" t="s">
        <v>204</v>
      </c>
      <c r="R528" s="31" t="s">
        <v>53</v>
      </c>
    </row>
    <row r="529">
      <c r="A529" s="29">
        <v>45911.52284201389</v>
      </c>
      <c r="B529" s="30">
        <v>45911.0</v>
      </c>
      <c r="C529" s="31" t="s">
        <v>1825</v>
      </c>
      <c r="D529" s="32" t="s">
        <v>1826</v>
      </c>
      <c r="E529" s="31" t="s">
        <v>31</v>
      </c>
      <c r="F529" s="31">
        <v>5000000.0</v>
      </c>
      <c r="G529" s="31" t="s">
        <v>23</v>
      </c>
      <c r="I529" s="31" t="s">
        <v>229</v>
      </c>
      <c r="J529" s="31" t="s">
        <v>967</v>
      </c>
      <c r="K529" s="33" t="s">
        <v>1827</v>
      </c>
      <c r="L529" s="31" t="s">
        <v>202</v>
      </c>
      <c r="N529" s="31" t="s">
        <v>313</v>
      </c>
      <c r="T529" s="31" t="s">
        <v>329</v>
      </c>
    </row>
    <row r="530">
      <c r="A530" s="29">
        <v>45911.553497824076</v>
      </c>
      <c r="B530" s="30">
        <v>45911.0</v>
      </c>
      <c r="C530" s="31" t="s">
        <v>1828</v>
      </c>
      <c r="D530" s="32" t="s">
        <v>1829</v>
      </c>
      <c r="E530" s="31" t="s">
        <v>199</v>
      </c>
      <c r="F530" s="31">
        <v>6100000.0</v>
      </c>
      <c r="G530" s="31" t="s">
        <v>45</v>
      </c>
      <c r="I530" s="31" t="s">
        <v>229</v>
      </c>
      <c r="J530" s="31" t="s">
        <v>1445</v>
      </c>
      <c r="K530" s="33" t="s">
        <v>1830</v>
      </c>
      <c r="L530" s="31" t="s">
        <v>252</v>
      </c>
      <c r="O530" s="31" t="s">
        <v>205</v>
      </c>
      <c r="X530" s="31" t="s">
        <v>569</v>
      </c>
    </row>
    <row r="531">
      <c r="A531" s="29">
        <v>45911.56510648148</v>
      </c>
      <c r="B531" s="30">
        <v>45911.0</v>
      </c>
      <c r="C531" s="31" t="s">
        <v>1831</v>
      </c>
      <c r="D531" s="32" t="s">
        <v>1832</v>
      </c>
      <c r="E531" s="31" t="s">
        <v>199</v>
      </c>
      <c r="F531" s="31">
        <v>3000000.0</v>
      </c>
      <c r="G531" s="31" t="s">
        <v>45</v>
      </c>
      <c r="I531" s="31" t="s">
        <v>229</v>
      </c>
      <c r="J531" s="31" t="s">
        <v>600</v>
      </c>
      <c r="K531" s="33" t="s">
        <v>1833</v>
      </c>
      <c r="L531" s="31" t="s">
        <v>202</v>
      </c>
      <c r="N531" s="31" t="s">
        <v>215</v>
      </c>
      <c r="W531" s="31" t="s">
        <v>216</v>
      </c>
    </row>
    <row r="532">
      <c r="A532" s="29">
        <v>45911.56684974537</v>
      </c>
      <c r="B532" s="30">
        <v>45911.0</v>
      </c>
      <c r="C532" s="31" t="s">
        <v>1834</v>
      </c>
      <c r="D532" s="32" t="s">
        <v>907</v>
      </c>
      <c r="E532" s="31" t="s">
        <v>957</v>
      </c>
      <c r="F532" s="31">
        <v>2000000.0</v>
      </c>
      <c r="G532" s="31" t="s">
        <v>23</v>
      </c>
      <c r="I532" s="31" t="s">
        <v>229</v>
      </c>
      <c r="J532" s="31" t="s">
        <v>967</v>
      </c>
      <c r="K532" s="33" t="s">
        <v>1835</v>
      </c>
      <c r="L532" s="31" t="s">
        <v>202</v>
      </c>
      <c r="N532" s="31" t="s">
        <v>215</v>
      </c>
      <c r="W532" s="31" t="s">
        <v>532</v>
      </c>
    </row>
    <row r="533">
      <c r="A533" s="29">
        <v>45911.56748349537</v>
      </c>
      <c r="B533" s="30">
        <v>45911.0</v>
      </c>
      <c r="C533" s="31" t="s">
        <v>1836</v>
      </c>
      <c r="D533" s="32" t="s">
        <v>1809</v>
      </c>
      <c r="E533" s="31" t="s">
        <v>43</v>
      </c>
      <c r="F533" s="31">
        <v>1299000.0</v>
      </c>
      <c r="G533" s="31" t="s">
        <v>23</v>
      </c>
      <c r="H533" s="31">
        <v>5000000.0</v>
      </c>
      <c r="I533" s="31" t="s">
        <v>200</v>
      </c>
      <c r="K533" s="33" t="s">
        <v>1837</v>
      </c>
      <c r="L533" s="31" t="s">
        <v>252</v>
      </c>
      <c r="M533" s="31" t="s">
        <v>203</v>
      </c>
      <c r="O533" s="31" t="s">
        <v>205</v>
      </c>
      <c r="X533" s="31" t="s">
        <v>716</v>
      </c>
    </row>
    <row r="534">
      <c r="A534" s="29">
        <v>45911.56782700232</v>
      </c>
      <c r="B534" s="30">
        <v>45911.0</v>
      </c>
      <c r="C534" s="31" t="s">
        <v>1838</v>
      </c>
      <c r="D534" s="32" t="s">
        <v>1839</v>
      </c>
      <c r="E534" s="31" t="s">
        <v>311</v>
      </c>
      <c r="F534" s="31">
        <v>4300000.0</v>
      </c>
      <c r="G534" s="31" t="s">
        <v>23</v>
      </c>
      <c r="I534" s="31" t="s">
        <v>229</v>
      </c>
      <c r="J534" s="31" t="s">
        <v>967</v>
      </c>
      <c r="K534" s="33" t="s">
        <v>1840</v>
      </c>
      <c r="L534" s="31" t="s">
        <v>202</v>
      </c>
      <c r="N534" s="31" t="s">
        <v>313</v>
      </c>
      <c r="T534" s="31" t="s">
        <v>314</v>
      </c>
    </row>
    <row r="535">
      <c r="A535" s="29">
        <v>45911.568002326385</v>
      </c>
      <c r="B535" s="30">
        <v>45911.0</v>
      </c>
      <c r="C535" s="31" t="s">
        <v>1841</v>
      </c>
      <c r="D535" s="32" t="s">
        <v>1842</v>
      </c>
      <c r="E535" s="31" t="s">
        <v>199</v>
      </c>
      <c r="F535" s="31">
        <v>3000000.0</v>
      </c>
      <c r="G535" s="31" t="s">
        <v>45</v>
      </c>
      <c r="I535" s="31" t="s">
        <v>229</v>
      </c>
      <c r="J535" s="31" t="s">
        <v>165</v>
      </c>
      <c r="K535" s="33" t="s">
        <v>1843</v>
      </c>
      <c r="L535" s="31" t="s">
        <v>202</v>
      </c>
      <c r="N535" s="31" t="s">
        <v>215</v>
      </c>
      <c r="W535" s="31" t="s">
        <v>216</v>
      </c>
    </row>
    <row r="536">
      <c r="A536" s="29">
        <v>45911.599588599536</v>
      </c>
      <c r="B536" s="30">
        <v>45911.0</v>
      </c>
      <c r="C536" s="31" t="s">
        <v>1844</v>
      </c>
      <c r="D536" s="32" t="s">
        <v>1845</v>
      </c>
      <c r="E536" s="31" t="s">
        <v>43</v>
      </c>
      <c r="F536" s="31">
        <v>4500000.0</v>
      </c>
      <c r="G536" s="31" t="s">
        <v>23</v>
      </c>
      <c r="I536" s="31" t="s">
        <v>229</v>
      </c>
      <c r="J536" s="31" t="s">
        <v>967</v>
      </c>
      <c r="K536" s="33" t="s">
        <v>1846</v>
      </c>
      <c r="L536" s="31" t="s">
        <v>202</v>
      </c>
      <c r="N536" s="31" t="s">
        <v>220</v>
      </c>
      <c r="S536" s="31" t="s">
        <v>59</v>
      </c>
    </row>
    <row r="537">
      <c r="A537" s="29">
        <v>45911.61031783565</v>
      </c>
      <c r="B537" s="30">
        <v>45911.0</v>
      </c>
      <c r="C537" s="31" t="s">
        <v>1847</v>
      </c>
      <c r="D537" s="32" t="s">
        <v>1848</v>
      </c>
      <c r="E537" s="31" t="s">
        <v>228</v>
      </c>
      <c r="F537" s="31">
        <v>5000000.0</v>
      </c>
      <c r="G537" s="31" t="s">
        <v>23</v>
      </c>
      <c r="I537" s="31" t="s">
        <v>229</v>
      </c>
      <c r="J537" s="31" t="s">
        <v>967</v>
      </c>
      <c r="K537" s="33" t="s">
        <v>1849</v>
      </c>
      <c r="L537" s="31" t="s">
        <v>202</v>
      </c>
      <c r="N537" s="31" t="s">
        <v>204</v>
      </c>
      <c r="R537" s="31" t="s">
        <v>98</v>
      </c>
    </row>
    <row r="538">
      <c r="A538" s="29">
        <v>45911.61364802084</v>
      </c>
      <c r="B538" s="30">
        <v>45911.0</v>
      </c>
      <c r="C538" s="31" t="s">
        <v>1850</v>
      </c>
      <c r="D538" s="32" t="s">
        <v>1851</v>
      </c>
      <c r="E538" s="31" t="s">
        <v>228</v>
      </c>
      <c r="F538" s="31">
        <v>6500000.0</v>
      </c>
      <c r="G538" s="31" t="s">
        <v>23</v>
      </c>
      <c r="I538" s="31" t="s">
        <v>229</v>
      </c>
      <c r="J538" s="31" t="s">
        <v>967</v>
      </c>
      <c r="K538" s="33" t="s">
        <v>1852</v>
      </c>
      <c r="L538" s="31" t="s">
        <v>202</v>
      </c>
      <c r="N538" s="31" t="s">
        <v>204</v>
      </c>
      <c r="R538" s="31" t="s">
        <v>98</v>
      </c>
    </row>
    <row r="539">
      <c r="A539" s="29">
        <v>45911.615635381946</v>
      </c>
      <c r="B539" s="30">
        <v>45911.0</v>
      </c>
      <c r="C539" s="31" t="s">
        <v>1853</v>
      </c>
      <c r="D539" s="32" t="s">
        <v>1854</v>
      </c>
      <c r="E539" s="31" t="s">
        <v>881</v>
      </c>
      <c r="F539" s="31">
        <v>4200000.0</v>
      </c>
      <c r="G539" s="31" t="s">
        <v>23</v>
      </c>
      <c r="I539" s="31" t="s">
        <v>229</v>
      </c>
      <c r="J539" s="31" t="s">
        <v>967</v>
      </c>
      <c r="K539" s="33" t="s">
        <v>1855</v>
      </c>
      <c r="L539" s="31" t="s">
        <v>202</v>
      </c>
      <c r="N539" s="31" t="s">
        <v>220</v>
      </c>
      <c r="S539" s="31" t="s">
        <v>59</v>
      </c>
    </row>
    <row r="540">
      <c r="A540" s="29">
        <v>45911.68308179398</v>
      </c>
      <c r="B540" s="30">
        <v>45911.0</v>
      </c>
      <c r="C540" s="31" t="s">
        <v>1856</v>
      </c>
      <c r="D540" s="32" t="s">
        <v>1857</v>
      </c>
      <c r="E540" s="31" t="s">
        <v>43</v>
      </c>
      <c r="F540" s="31">
        <v>5600000.0</v>
      </c>
      <c r="G540" s="31" t="s">
        <v>23</v>
      </c>
      <c r="I540" s="31" t="s">
        <v>229</v>
      </c>
      <c r="J540" s="31" t="s">
        <v>967</v>
      </c>
      <c r="K540" s="33" t="s">
        <v>1858</v>
      </c>
      <c r="L540" s="31" t="s">
        <v>202</v>
      </c>
      <c r="N540" s="31" t="s">
        <v>220</v>
      </c>
      <c r="S540" s="31" t="s">
        <v>36</v>
      </c>
    </row>
    <row r="541">
      <c r="A541" s="29">
        <v>45911.68833618055</v>
      </c>
      <c r="B541" s="30">
        <v>45911.0</v>
      </c>
      <c r="C541" s="31" t="s">
        <v>1859</v>
      </c>
      <c r="D541" s="32" t="s">
        <v>1860</v>
      </c>
      <c r="E541" s="31" t="s">
        <v>261</v>
      </c>
      <c r="F541" s="31">
        <v>1000000.0</v>
      </c>
      <c r="G541" s="31" t="s">
        <v>23</v>
      </c>
      <c r="I541" s="31" t="s">
        <v>229</v>
      </c>
      <c r="J541" s="31" t="s">
        <v>967</v>
      </c>
      <c r="K541" s="33" t="s">
        <v>1861</v>
      </c>
      <c r="L541" s="31" t="s">
        <v>202</v>
      </c>
      <c r="N541" s="31" t="s">
        <v>220</v>
      </c>
      <c r="S541" s="31" t="s">
        <v>536</v>
      </c>
    </row>
    <row r="542">
      <c r="A542" s="29">
        <v>45911.69940597222</v>
      </c>
      <c r="B542" s="30">
        <v>45911.0</v>
      </c>
      <c r="C542" s="31" t="s">
        <v>1862</v>
      </c>
      <c r="D542" s="32" t="s">
        <v>1863</v>
      </c>
      <c r="E542" s="31" t="s">
        <v>43</v>
      </c>
      <c r="F542" s="31">
        <v>5100000.0</v>
      </c>
      <c r="G542" s="31" t="s">
        <v>45</v>
      </c>
      <c r="H542" s="31">
        <v>5000000.0</v>
      </c>
      <c r="I542" s="31" t="s">
        <v>200</v>
      </c>
      <c r="K542" s="33" t="s">
        <v>1864</v>
      </c>
      <c r="L542" s="31" t="s">
        <v>252</v>
      </c>
      <c r="M542" s="31" t="s">
        <v>203</v>
      </c>
      <c r="O542" s="31" t="s">
        <v>257</v>
      </c>
      <c r="P542" s="31" t="s">
        <v>272</v>
      </c>
    </row>
    <row r="543">
      <c r="A543" s="29">
        <v>45911.74823841435</v>
      </c>
      <c r="B543" s="30">
        <v>45911.0</v>
      </c>
      <c r="C543" s="31" t="s">
        <v>1865</v>
      </c>
      <c r="D543" s="32" t="s">
        <v>1866</v>
      </c>
      <c r="E543" s="31" t="s">
        <v>43</v>
      </c>
      <c r="F543" s="31">
        <v>5000000.0</v>
      </c>
      <c r="G543" s="31" t="s">
        <v>23</v>
      </c>
      <c r="H543" s="31">
        <v>1.2E7</v>
      </c>
      <c r="I543" s="31" t="s">
        <v>413</v>
      </c>
      <c r="K543" s="33" t="s">
        <v>1867</v>
      </c>
      <c r="L543" s="31" t="s">
        <v>202</v>
      </c>
      <c r="M543" s="31" t="s">
        <v>605</v>
      </c>
      <c r="N543" s="31" t="s">
        <v>220</v>
      </c>
      <c r="S543" s="31" t="s">
        <v>466</v>
      </c>
    </row>
    <row r="544">
      <c r="A544" s="29">
        <v>45911.74969540509</v>
      </c>
      <c r="B544" s="30">
        <v>45911.0</v>
      </c>
      <c r="C544" s="31" t="s">
        <v>1868</v>
      </c>
      <c r="D544" s="32" t="s">
        <v>1869</v>
      </c>
      <c r="E544" s="31" t="s">
        <v>199</v>
      </c>
      <c r="F544" s="31">
        <v>9000000.0</v>
      </c>
      <c r="G544" s="31" t="s">
        <v>23</v>
      </c>
      <c r="H544" s="31">
        <v>5000000.0</v>
      </c>
      <c r="I544" s="31" t="s">
        <v>413</v>
      </c>
      <c r="K544" s="33" t="s">
        <v>1870</v>
      </c>
      <c r="L544" s="31" t="s">
        <v>202</v>
      </c>
      <c r="M544" s="31" t="s">
        <v>203</v>
      </c>
      <c r="N544" s="31" t="s">
        <v>220</v>
      </c>
      <c r="S544" s="31" t="s">
        <v>466</v>
      </c>
    </row>
    <row r="545">
      <c r="A545" s="29">
        <v>45911.75199659722</v>
      </c>
      <c r="B545" s="30">
        <v>45911.0</v>
      </c>
      <c r="C545" s="31" t="s">
        <v>1871</v>
      </c>
      <c r="D545" s="32" t="s">
        <v>1872</v>
      </c>
      <c r="E545" s="31" t="s">
        <v>288</v>
      </c>
      <c r="F545" s="31">
        <v>1000000.0</v>
      </c>
      <c r="G545" s="31" t="s">
        <v>23</v>
      </c>
      <c r="I545" s="31" t="s">
        <v>229</v>
      </c>
      <c r="J545" s="31" t="s">
        <v>967</v>
      </c>
      <c r="K545" s="33" t="s">
        <v>1873</v>
      </c>
      <c r="L545" s="31" t="s">
        <v>202</v>
      </c>
      <c r="N545" s="31" t="s">
        <v>204</v>
      </c>
      <c r="R545" s="31" t="s">
        <v>360</v>
      </c>
    </row>
    <row r="546">
      <c r="A546" s="29">
        <v>45911.75496121528</v>
      </c>
      <c r="B546" s="30">
        <v>45911.0</v>
      </c>
      <c r="C546" s="31" t="s">
        <v>1874</v>
      </c>
      <c r="D546" s="32" t="s">
        <v>1875</v>
      </c>
      <c r="E546" s="31" t="s">
        <v>43</v>
      </c>
      <c r="F546" s="31">
        <v>3500000.0</v>
      </c>
      <c r="G546" s="31" t="s">
        <v>23</v>
      </c>
      <c r="H546" s="31">
        <v>7000000.0</v>
      </c>
      <c r="I546" s="31" t="s">
        <v>200</v>
      </c>
      <c r="K546" s="33" t="s">
        <v>1876</v>
      </c>
      <c r="L546" s="31" t="s">
        <v>202</v>
      </c>
      <c r="M546" s="31" t="s">
        <v>203</v>
      </c>
      <c r="N546" s="31" t="s">
        <v>204</v>
      </c>
      <c r="R546" s="31" t="s">
        <v>360</v>
      </c>
    </row>
    <row r="547">
      <c r="A547" s="29">
        <v>45911.755243472224</v>
      </c>
      <c r="B547" s="30">
        <v>45911.0</v>
      </c>
      <c r="C547" s="31" t="s">
        <v>1877</v>
      </c>
      <c r="D547" s="32" t="s">
        <v>1878</v>
      </c>
      <c r="E547" s="31" t="s">
        <v>228</v>
      </c>
      <c r="F547" s="31">
        <v>2500000.0</v>
      </c>
      <c r="G547" s="31" t="s">
        <v>23</v>
      </c>
      <c r="I547" s="31" t="s">
        <v>229</v>
      </c>
      <c r="J547" s="31" t="s">
        <v>967</v>
      </c>
      <c r="K547" s="33" t="s">
        <v>1879</v>
      </c>
      <c r="L547" s="31" t="s">
        <v>202</v>
      </c>
      <c r="N547" s="31" t="s">
        <v>220</v>
      </c>
      <c r="S547" s="31" t="s">
        <v>913</v>
      </c>
    </row>
    <row r="548">
      <c r="A548" s="29">
        <v>45911.76148538194</v>
      </c>
      <c r="B548" s="30">
        <v>45911.0</v>
      </c>
      <c r="C548" s="31" t="s">
        <v>1880</v>
      </c>
      <c r="D548" s="32" t="s">
        <v>1881</v>
      </c>
      <c r="E548" s="31" t="s">
        <v>1882</v>
      </c>
      <c r="F548" s="31">
        <v>4000000.0</v>
      </c>
      <c r="G548" s="31" t="s">
        <v>23</v>
      </c>
      <c r="I548" s="31" t="s">
        <v>229</v>
      </c>
      <c r="J548" s="31" t="s">
        <v>967</v>
      </c>
      <c r="K548" s="33" t="s">
        <v>1883</v>
      </c>
      <c r="L548" s="31" t="s">
        <v>202</v>
      </c>
      <c r="N548" s="31" t="s">
        <v>220</v>
      </c>
      <c r="S548" s="31" t="s">
        <v>466</v>
      </c>
    </row>
    <row r="549">
      <c r="A549" s="29">
        <v>45911.76155916667</v>
      </c>
      <c r="B549" s="30">
        <v>45911.0</v>
      </c>
      <c r="C549" s="31" t="s">
        <v>1884</v>
      </c>
      <c r="D549" s="32" t="s">
        <v>1885</v>
      </c>
      <c r="E549" s="31" t="s">
        <v>288</v>
      </c>
      <c r="F549" s="34">
        <v>1500.0</v>
      </c>
      <c r="G549" s="31" t="s">
        <v>23</v>
      </c>
      <c r="I549" s="31" t="s">
        <v>229</v>
      </c>
      <c r="J549" s="31" t="s">
        <v>967</v>
      </c>
      <c r="K549" s="33" t="s">
        <v>1886</v>
      </c>
      <c r="L549" s="31" t="s">
        <v>202</v>
      </c>
      <c r="N549" s="31" t="s">
        <v>204</v>
      </c>
      <c r="R549" s="31" t="s">
        <v>167</v>
      </c>
    </row>
    <row r="550">
      <c r="A550" s="29">
        <v>45911.76266782408</v>
      </c>
      <c r="B550" s="30">
        <v>45911.0</v>
      </c>
      <c r="C550" s="31" t="s">
        <v>1887</v>
      </c>
      <c r="D550" s="32" t="s">
        <v>1888</v>
      </c>
      <c r="E550" s="31" t="s">
        <v>199</v>
      </c>
      <c r="F550" s="31">
        <v>3000000.0</v>
      </c>
      <c r="G550" s="31" t="s">
        <v>45</v>
      </c>
      <c r="H550" s="31">
        <v>3000000.0</v>
      </c>
      <c r="I550" s="31" t="s">
        <v>200</v>
      </c>
      <c r="K550" s="33" t="s">
        <v>1889</v>
      </c>
      <c r="L550" s="31" t="s">
        <v>252</v>
      </c>
      <c r="M550" s="31" t="s">
        <v>203</v>
      </c>
      <c r="O550" s="31" t="s">
        <v>257</v>
      </c>
      <c r="P550" s="31" t="s">
        <v>206</v>
      </c>
    </row>
    <row r="551">
      <c r="A551" s="29">
        <v>45911.77971377315</v>
      </c>
      <c r="B551" s="30">
        <v>45911.0</v>
      </c>
      <c r="C551" s="31" t="s">
        <v>1890</v>
      </c>
      <c r="D551" s="32" t="s">
        <v>1891</v>
      </c>
      <c r="E551" s="31" t="s">
        <v>43</v>
      </c>
      <c r="F551" s="32" t="s">
        <v>1892</v>
      </c>
      <c r="G551" s="31" t="s">
        <v>23</v>
      </c>
      <c r="I551" s="31" t="s">
        <v>229</v>
      </c>
      <c r="J551" s="31" t="s">
        <v>270</v>
      </c>
      <c r="K551" s="33" t="s">
        <v>1893</v>
      </c>
      <c r="L551" s="31" t="s">
        <v>202</v>
      </c>
      <c r="N551" s="31" t="s">
        <v>204</v>
      </c>
      <c r="R551" s="31" t="s">
        <v>192</v>
      </c>
    </row>
    <row r="552">
      <c r="A552" s="29">
        <v>45911.78901931713</v>
      </c>
      <c r="B552" s="30">
        <v>45911.0</v>
      </c>
      <c r="C552" s="31" t="s">
        <v>1894</v>
      </c>
      <c r="D552" s="32" t="s">
        <v>1895</v>
      </c>
      <c r="E552" s="31" t="s">
        <v>288</v>
      </c>
      <c r="F552" s="34">
        <v>1500.0</v>
      </c>
      <c r="G552" s="31" t="s">
        <v>23</v>
      </c>
      <c r="I552" s="31" t="s">
        <v>229</v>
      </c>
      <c r="J552" s="31" t="s">
        <v>967</v>
      </c>
      <c r="K552" s="33" t="s">
        <v>1896</v>
      </c>
      <c r="L552" s="31" t="s">
        <v>202</v>
      </c>
      <c r="N552" s="31" t="s">
        <v>204</v>
      </c>
      <c r="R552" s="31" t="s">
        <v>167</v>
      </c>
    </row>
    <row r="553">
      <c r="A553" s="29">
        <v>45911.79037851852</v>
      </c>
      <c r="B553" s="30">
        <v>45911.0</v>
      </c>
      <c r="C553" s="31" t="s">
        <v>1897</v>
      </c>
      <c r="D553" s="32" t="s">
        <v>1898</v>
      </c>
      <c r="E553" s="31" t="s">
        <v>43</v>
      </c>
      <c r="F553" s="31">
        <v>3600000.0</v>
      </c>
      <c r="G553" s="31" t="s">
        <v>45</v>
      </c>
      <c r="I553" s="31" t="s">
        <v>229</v>
      </c>
      <c r="J553" s="31" t="s">
        <v>967</v>
      </c>
      <c r="K553" s="33" t="s">
        <v>1899</v>
      </c>
      <c r="L553" s="31" t="s">
        <v>202</v>
      </c>
      <c r="N553" s="31" t="s">
        <v>204</v>
      </c>
      <c r="R553" s="31" t="s">
        <v>148</v>
      </c>
    </row>
    <row r="554">
      <c r="A554" s="29">
        <v>45911.79114686343</v>
      </c>
      <c r="B554" s="30">
        <v>45911.0</v>
      </c>
      <c r="C554" s="31" t="s">
        <v>1900</v>
      </c>
      <c r="D554" s="32" t="s">
        <v>1901</v>
      </c>
      <c r="E554" s="31" t="s">
        <v>43</v>
      </c>
      <c r="F554" s="31">
        <v>3000000.0</v>
      </c>
      <c r="G554" s="31" t="s">
        <v>23</v>
      </c>
      <c r="I554" s="31" t="s">
        <v>229</v>
      </c>
      <c r="J554" s="31" t="s">
        <v>967</v>
      </c>
      <c r="K554" s="33" t="s">
        <v>1902</v>
      </c>
      <c r="L554" s="31" t="s">
        <v>252</v>
      </c>
      <c r="O554" s="31" t="s">
        <v>257</v>
      </c>
      <c r="P554" s="31" t="s">
        <v>1555</v>
      </c>
    </row>
    <row r="555">
      <c r="A555" s="29">
        <v>45911.79450780092</v>
      </c>
      <c r="B555" s="30">
        <v>45911.0</v>
      </c>
      <c r="C555" s="31" t="s">
        <v>1903</v>
      </c>
      <c r="D555" s="32" t="s">
        <v>1904</v>
      </c>
      <c r="E555" s="31" t="s">
        <v>43</v>
      </c>
      <c r="F555" s="31">
        <v>2500000.0</v>
      </c>
      <c r="G555" s="31" t="s">
        <v>23</v>
      </c>
      <c r="I555" s="31" t="s">
        <v>229</v>
      </c>
      <c r="J555" s="31" t="s">
        <v>967</v>
      </c>
      <c r="K555" s="33" t="s">
        <v>1905</v>
      </c>
      <c r="L555" s="31" t="s">
        <v>252</v>
      </c>
      <c r="O555" s="31" t="s">
        <v>257</v>
      </c>
      <c r="P555" s="31" t="s">
        <v>992</v>
      </c>
    </row>
    <row r="556">
      <c r="A556" s="29">
        <v>45911.801123425925</v>
      </c>
      <c r="B556" s="30">
        <v>45911.0</v>
      </c>
      <c r="C556" s="31" t="s">
        <v>1906</v>
      </c>
      <c r="D556" s="32" t="s">
        <v>1907</v>
      </c>
      <c r="E556" s="31" t="s">
        <v>43</v>
      </c>
      <c r="F556" s="31">
        <v>2900000.0</v>
      </c>
      <c r="G556" s="31" t="s">
        <v>23</v>
      </c>
      <c r="I556" s="31" t="s">
        <v>229</v>
      </c>
      <c r="J556" s="31" t="s">
        <v>270</v>
      </c>
      <c r="K556" s="33" t="s">
        <v>1908</v>
      </c>
      <c r="L556" s="31" t="s">
        <v>202</v>
      </c>
      <c r="N556" s="31" t="s">
        <v>220</v>
      </c>
      <c r="S556" s="31" t="s">
        <v>896</v>
      </c>
    </row>
    <row r="557">
      <c r="A557" s="29">
        <v>45911.80820734953</v>
      </c>
      <c r="B557" s="30">
        <v>45911.0</v>
      </c>
      <c r="C557" s="31" t="s">
        <v>1909</v>
      </c>
      <c r="D557" s="32" t="s">
        <v>1910</v>
      </c>
      <c r="E557" s="31" t="s">
        <v>283</v>
      </c>
      <c r="F557" s="31">
        <v>5000000.0</v>
      </c>
      <c r="G557" s="31" t="s">
        <v>45</v>
      </c>
      <c r="I557" s="31" t="s">
        <v>229</v>
      </c>
      <c r="J557" s="31" t="s">
        <v>967</v>
      </c>
      <c r="K557" s="33" t="s">
        <v>1911</v>
      </c>
      <c r="L557" s="31" t="s">
        <v>252</v>
      </c>
      <c r="O557" s="31" t="s">
        <v>257</v>
      </c>
      <c r="P557" s="31" t="s">
        <v>285</v>
      </c>
    </row>
    <row r="558">
      <c r="A558" s="29">
        <v>45911.817692048615</v>
      </c>
      <c r="B558" s="30">
        <v>45911.0</v>
      </c>
      <c r="C558" s="31" t="s">
        <v>1912</v>
      </c>
      <c r="D558" s="32" t="s">
        <v>1913</v>
      </c>
      <c r="E558" s="31" t="s">
        <v>228</v>
      </c>
      <c r="F558" s="31">
        <v>4000000.0</v>
      </c>
      <c r="G558" s="31" t="s">
        <v>23</v>
      </c>
      <c r="I558" s="31" t="s">
        <v>229</v>
      </c>
      <c r="J558" s="31" t="s">
        <v>967</v>
      </c>
      <c r="K558" s="33" t="s">
        <v>1914</v>
      </c>
      <c r="L558" s="31" t="s">
        <v>202</v>
      </c>
      <c r="N558" s="31" t="s">
        <v>220</v>
      </c>
      <c r="S558" s="31" t="s">
        <v>59</v>
      </c>
    </row>
    <row r="559">
      <c r="A559" s="29">
        <v>45911.81899413194</v>
      </c>
      <c r="B559" s="30">
        <v>45911.0</v>
      </c>
      <c r="C559" s="31" t="s">
        <v>1915</v>
      </c>
      <c r="D559" s="32" t="s">
        <v>1916</v>
      </c>
      <c r="E559" s="31" t="s">
        <v>43</v>
      </c>
      <c r="F559" s="31">
        <v>5200000.0</v>
      </c>
      <c r="G559" s="31" t="s">
        <v>23</v>
      </c>
      <c r="I559" s="31" t="s">
        <v>229</v>
      </c>
      <c r="J559" s="31" t="s">
        <v>967</v>
      </c>
      <c r="K559" s="33" t="s">
        <v>1917</v>
      </c>
      <c r="L559" s="31" t="s">
        <v>202</v>
      </c>
      <c r="N559" s="31" t="s">
        <v>220</v>
      </c>
      <c r="S559" s="31" t="s">
        <v>124</v>
      </c>
    </row>
    <row r="560">
      <c r="A560" s="29">
        <v>45911.820680254634</v>
      </c>
      <c r="B560" s="30">
        <v>45911.0</v>
      </c>
      <c r="C560" s="31" t="s">
        <v>1918</v>
      </c>
      <c r="D560" s="32" t="s">
        <v>1919</v>
      </c>
      <c r="E560" s="31" t="s">
        <v>288</v>
      </c>
      <c r="F560" s="31">
        <v>1000000.0</v>
      </c>
      <c r="G560" s="31" t="s">
        <v>23</v>
      </c>
      <c r="I560" s="31" t="s">
        <v>229</v>
      </c>
      <c r="J560" s="31" t="s">
        <v>967</v>
      </c>
      <c r="K560" s="33" t="s">
        <v>1920</v>
      </c>
      <c r="L560" s="31" t="s">
        <v>202</v>
      </c>
      <c r="N560" s="31" t="s">
        <v>220</v>
      </c>
      <c r="S560" s="31" t="s">
        <v>913</v>
      </c>
    </row>
    <row r="561">
      <c r="A561" s="29">
        <v>45911.82246090278</v>
      </c>
      <c r="B561" s="30">
        <v>45911.0</v>
      </c>
      <c r="C561" s="31" t="s">
        <v>1921</v>
      </c>
      <c r="D561" s="32" t="s">
        <v>1922</v>
      </c>
      <c r="E561" s="31" t="s">
        <v>228</v>
      </c>
      <c r="F561" s="31">
        <v>2500000.0</v>
      </c>
      <c r="G561" s="31" t="s">
        <v>23</v>
      </c>
      <c r="I561" s="31" t="s">
        <v>229</v>
      </c>
      <c r="J561" s="31" t="s">
        <v>270</v>
      </c>
      <c r="K561" s="33" t="s">
        <v>1923</v>
      </c>
      <c r="L561" s="31" t="s">
        <v>202</v>
      </c>
      <c r="N561" s="31" t="s">
        <v>204</v>
      </c>
      <c r="R561" s="31" t="s">
        <v>192</v>
      </c>
    </row>
    <row r="562">
      <c r="A562" s="29">
        <v>45911.82702078704</v>
      </c>
      <c r="B562" s="30">
        <v>45911.0</v>
      </c>
      <c r="C562" s="31" t="s">
        <v>1924</v>
      </c>
      <c r="D562" s="32" t="s">
        <v>1925</v>
      </c>
      <c r="E562" s="31" t="s">
        <v>43</v>
      </c>
      <c r="F562" s="31">
        <v>2350000.0</v>
      </c>
      <c r="G562" s="31" t="s">
        <v>45</v>
      </c>
      <c r="H562" s="31">
        <v>1.2E7</v>
      </c>
      <c r="I562" s="31" t="s">
        <v>413</v>
      </c>
      <c r="K562" s="33" t="s">
        <v>1926</v>
      </c>
      <c r="L562" s="31" t="s">
        <v>202</v>
      </c>
      <c r="M562" s="31" t="s">
        <v>203</v>
      </c>
      <c r="N562" s="31" t="s">
        <v>220</v>
      </c>
      <c r="S562" s="31" t="s">
        <v>896</v>
      </c>
    </row>
    <row r="563">
      <c r="A563" s="29">
        <v>45911.8332130787</v>
      </c>
      <c r="B563" s="30">
        <v>45911.0</v>
      </c>
      <c r="C563" s="31" t="s">
        <v>1927</v>
      </c>
      <c r="D563" s="31">
        <v>8.1239171925E10</v>
      </c>
      <c r="E563" s="31" t="s">
        <v>31</v>
      </c>
      <c r="F563" s="31">
        <v>7500000.0</v>
      </c>
      <c r="G563" s="31" t="s">
        <v>45</v>
      </c>
      <c r="I563" s="31" t="s">
        <v>229</v>
      </c>
      <c r="J563" s="31" t="s">
        <v>967</v>
      </c>
      <c r="K563" s="33" t="s">
        <v>1928</v>
      </c>
      <c r="L563" s="31" t="s">
        <v>202</v>
      </c>
      <c r="N563" s="31" t="s">
        <v>220</v>
      </c>
      <c r="S563" s="31" t="s">
        <v>124</v>
      </c>
    </row>
    <row r="564">
      <c r="A564" s="29">
        <v>45911.836954375</v>
      </c>
      <c r="B564" s="30">
        <v>45911.0</v>
      </c>
      <c r="C564" s="31" t="s">
        <v>1929</v>
      </c>
      <c r="D564" s="32" t="s">
        <v>1930</v>
      </c>
      <c r="E564" s="31" t="s">
        <v>283</v>
      </c>
      <c r="F564" s="31">
        <v>3000000.0</v>
      </c>
      <c r="G564" s="31" t="s">
        <v>23</v>
      </c>
      <c r="I564" s="31" t="s">
        <v>229</v>
      </c>
      <c r="J564" s="31" t="s">
        <v>250</v>
      </c>
      <c r="K564" s="33" t="s">
        <v>1931</v>
      </c>
      <c r="L564" s="31" t="s">
        <v>252</v>
      </c>
      <c r="O564" s="31" t="s">
        <v>205</v>
      </c>
      <c r="X564" s="31" t="s">
        <v>253</v>
      </c>
    </row>
    <row r="565">
      <c r="A565" s="29">
        <v>45911.839876909726</v>
      </c>
      <c r="B565" s="30">
        <v>45911.0</v>
      </c>
      <c r="C565" s="31" t="s">
        <v>1932</v>
      </c>
      <c r="D565" s="32" t="s">
        <v>1933</v>
      </c>
      <c r="E565" s="31" t="s">
        <v>31</v>
      </c>
      <c r="F565" s="31">
        <v>6600000.0</v>
      </c>
      <c r="G565" s="31" t="s">
        <v>23</v>
      </c>
      <c r="H565" s="31">
        <v>5000000.0</v>
      </c>
      <c r="I565" s="31" t="s">
        <v>413</v>
      </c>
      <c r="K565" s="33" t="s">
        <v>1934</v>
      </c>
      <c r="L565" s="31" t="s">
        <v>202</v>
      </c>
      <c r="M565" s="31" t="s">
        <v>203</v>
      </c>
      <c r="N565" s="31" t="s">
        <v>313</v>
      </c>
      <c r="T565" s="31" t="s">
        <v>329</v>
      </c>
    </row>
    <row r="566">
      <c r="A566" s="29">
        <v>45911.87191230324</v>
      </c>
      <c r="B566" s="30">
        <v>45911.0</v>
      </c>
      <c r="C566" s="31" t="s">
        <v>1935</v>
      </c>
      <c r="D566" s="32" t="s">
        <v>1936</v>
      </c>
      <c r="E566" s="31" t="s">
        <v>43</v>
      </c>
      <c r="F566" s="31">
        <v>3700000.0</v>
      </c>
      <c r="G566" s="31" t="s">
        <v>23</v>
      </c>
      <c r="I566" s="31" t="s">
        <v>229</v>
      </c>
      <c r="J566" s="31" t="s">
        <v>967</v>
      </c>
      <c r="K566" s="33" t="s">
        <v>1937</v>
      </c>
      <c r="L566" s="31" t="s">
        <v>202</v>
      </c>
      <c r="N566" s="31" t="s">
        <v>220</v>
      </c>
      <c r="S566" s="31" t="s">
        <v>83</v>
      </c>
    </row>
    <row r="567">
      <c r="A567" s="29">
        <v>45911.87571699074</v>
      </c>
      <c r="B567" s="30">
        <v>45911.0</v>
      </c>
      <c r="C567" s="31" t="s">
        <v>1938</v>
      </c>
      <c r="D567" s="32" t="s">
        <v>1939</v>
      </c>
      <c r="E567" s="31" t="s">
        <v>31</v>
      </c>
      <c r="F567" s="31">
        <v>5600000.0</v>
      </c>
      <c r="G567" s="31" t="s">
        <v>23</v>
      </c>
      <c r="I567" s="31" t="s">
        <v>229</v>
      </c>
      <c r="J567" s="31" t="s">
        <v>967</v>
      </c>
      <c r="K567" s="33" t="s">
        <v>1940</v>
      </c>
      <c r="L567" s="31" t="s">
        <v>202</v>
      </c>
      <c r="N567" s="31" t="s">
        <v>220</v>
      </c>
      <c r="S567" s="31" t="s">
        <v>83</v>
      </c>
    </row>
    <row r="568">
      <c r="A568" s="29">
        <v>45911.87877185185</v>
      </c>
      <c r="B568" s="30">
        <v>45911.0</v>
      </c>
      <c r="C568" s="31" t="s">
        <v>1941</v>
      </c>
      <c r="D568" s="32" t="s">
        <v>1942</v>
      </c>
      <c r="E568" s="31" t="s">
        <v>31</v>
      </c>
      <c r="F568" s="31">
        <v>5300000.0</v>
      </c>
      <c r="G568" s="31" t="s">
        <v>23</v>
      </c>
      <c r="I568" s="31" t="s">
        <v>229</v>
      </c>
      <c r="J568" s="31" t="s">
        <v>967</v>
      </c>
      <c r="K568" s="33" t="s">
        <v>1943</v>
      </c>
      <c r="L568" s="31" t="s">
        <v>202</v>
      </c>
      <c r="N568" s="31" t="s">
        <v>220</v>
      </c>
      <c r="S568" s="31" t="s">
        <v>83</v>
      </c>
    </row>
    <row r="569">
      <c r="A569" s="29">
        <v>45911.949169375</v>
      </c>
      <c r="B569" s="30">
        <v>45911.0</v>
      </c>
      <c r="C569" s="31" t="s">
        <v>1944</v>
      </c>
      <c r="D569" s="32" t="s">
        <v>1945</v>
      </c>
      <c r="E569" s="31" t="s">
        <v>43</v>
      </c>
      <c r="F569" s="31">
        <v>2000000.0</v>
      </c>
      <c r="G569" s="31" t="s">
        <v>23</v>
      </c>
      <c r="H569" s="31">
        <v>1600000.0</v>
      </c>
      <c r="I569" s="31" t="s">
        <v>413</v>
      </c>
      <c r="K569" s="33" t="s">
        <v>1946</v>
      </c>
      <c r="L569" s="31" t="s">
        <v>252</v>
      </c>
      <c r="M569" s="31" t="s">
        <v>203</v>
      </c>
      <c r="O569" s="31" t="s">
        <v>205</v>
      </c>
      <c r="X569" s="31" t="s">
        <v>1471</v>
      </c>
    </row>
    <row r="570">
      <c r="A570" s="29">
        <v>45912.47494127315</v>
      </c>
      <c r="B570" s="30">
        <v>45912.0</v>
      </c>
      <c r="C570" s="31" t="s">
        <v>1947</v>
      </c>
      <c r="D570" s="31">
        <v>8.1246440272E10</v>
      </c>
      <c r="E570" s="31" t="s">
        <v>228</v>
      </c>
      <c r="F570" s="31">
        <v>3000000.0</v>
      </c>
      <c r="G570" s="31" t="s">
        <v>23</v>
      </c>
      <c r="I570" s="31" t="s">
        <v>229</v>
      </c>
      <c r="J570" s="31" t="s">
        <v>165</v>
      </c>
      <c r="K570" s="33" t="s">
        <v>1948</v>
      </c>
      <c r="L570" s="31" t="s">
        <v>252</v>
      </c>
      <c r="O570" s="31" t="s">
        <v>205</v>
      </c>
      <c r="X570" s="31" t="s">
        <v>253</v>
      </c>
    </row>
    <row r="571">
      <c r="A571" s="29">
        <v>45912.47767877315</v>
      </c>
      <c r="B571" s="30">
        <v>45912.0</v>
      </c>
      <c r="C571" s="31" t="s">
        <v>1949</v>
      </c>
      <c r="D571" s="31" t="s">
        <v>1950</v>
      </c>
      <c r="E571" s="31" t="s">
        <v>43</v>
      </c>
      <c r="F571" s="31">
        <v>4500000.0</v>
      </c>
      <c r="G571" s="31" t="s">
        <v>23</v>
      </c>
      <c r="I571" s="31" t="s">
        <v>229</v>
      </c>
      <c r="J571" s="31" t="s">
        <v>1951</v>
      </c>
      <c r="K571" s="33" t="s">
        <v>1952</v>
      </c>
      <c r="L571" s="31" t="s">
        <v>202</v>
      </c>
      <c r="N571" s="31" t="s">
        <v>204</v>
      </c>
      <c r="R571" s="31" t="s">
        <v>892</v>
      </c>
    </row>
    <row r="572">
      <c r="A572" s="29">
        <v>45912.50755354167</v>
      </c>
      <c r="B572" s="30">
        <v>45912.0</v>
      </c>
      <c r="C572" s="31" t="s">
        <v>1953</v>
      </c>
      <c r="D572" s="32" t="s">
        <v>1954</v>
      </c>
      <c r="E572" s="31" t="s">
        <v>288</v>
      </c>
      <c r="F572" s="34">
        <v>3500.0</v>
      </c>
      <c r="G572" s="31" t="s">
        <v>23</v>
      </c>
      <c r="I572" s="31" t="s">
        <v>229</v>
      </c>
      <c r="J572" s="31" t="s">
        <v>967</v>
      </c>
      <c r="K572" s="33" t="s">
        <v>1955</v>
      </c>
      <c r="L572" s="31" t="s">
        <v>202</v>
      </c>
      <c r="N572" s="31" t="s">
        <v>204</v>
      </c>
      <c r="R572" s="31" t="s">
        <v>167</v>
      </c>
    </row>
    <row r="573">
      <c r="A573" s="29">
        <v>45912.524919375</v>
      </c>
      <c r="B573" s="30">
        <v>45912.0</v>
      </c>
      <c r="C573" s="31" t="s">
        <v>1956</v>
      </c>
      <c r="D573" s="32" t="s">
        <v>1957</v>
      </c>
      <c r="E573" s="31" t="s">
        <v>228</v>
      </c>
      <c r="F573" s="31">
        <v>3500000.0</v>
      </c>
      <c r="G573" s="31" t="s">
        <v>23</v>
      </c>
      <c r="I573" s="31" t="s">
        <v>229</v>
      </c>
      <c r="J573" s="31" t="s">
        <v>967</v>
      </c>
      <c r="K573" s="33" t="s">
        <v>1958</v>
      </c>
      <c r="L573" s="31" t="s">
        <v>202</v>
      </c>
      <c r="N573" s="31" t="s">
        <v>220</v>
      </c>
      <c r="S573" s="31" t="s">
        <v>59</v>
      </c>
    </row>
    <row r="574">
      <c r="A574" s="29">
        <v>45912.536240891204</v>
      </c>
      <c r="B574" s="30">
        <v>45912.0</v>
      </c>
      <c r="C574" s="31" t="s">
        <v>1959</v>
      </c>
      <c r="D574" s="32" t="s">
        <v>1960</v>
      </c>
      <c r="E574" s="31" t="s">
        <v>1961</v>
      </c>
      <c r="F574" s="31">
        <v>3500000.0</v>
      </c>
      <c r="G574" s="31" t="s">
        <v>23</v>
      </c>
      <c r="I574" s="31" t="s">
        <v>229</v>
      </c>
      <c r="J574" s="31" t="s">
        <v>967</v>
      </c>
      <c r="K574" s="33" t="s">
        <v>1962</v>
      </c>
      <c r="L574" s="31" t="s">
        <v>202</v>
      </c>
      <c r="N574" s="31" t="s">
        <v>220</v>
      </c>
      <c r="S574" s="31" t="s">
        <v>59</v>
      </c>
    </row>
    <row r="575">
      <c r="A575" s="29">
        <v>45912.54019434028</v>
      </c>
      <c r="B575" s="30">
        <v>45912.0</v>
      </c>
      <c r="C575" s="31" t="s">
        <v>1963</v>
      </c>
      <c r="D575" s="31">
        <v>8.9526017097E10</v>
      </c>
      <c r="E575" s="31" t="s">
        <v>239</v>
      </c>
      <c r="F575" s="31">
        <v>370000.0</v>
      </c>
      <c r="G575" s="31" t="s">
        <v>23</v>
      </c>
      <c r="I575" s="31" t="s">
        <v>229</v>
      </c>
      <c r="J575" s="31" t="s">
        <v>967</v>
      </c>
      <c r="K575" s="33" t="s">
        <v>1964</v>
      </c>
      <c r="L575" s="31" t="s">
        <v>202</v>
      </c>
      <c r="N575" s="31" t="s">
        <v>220</v>
      </c>
      <c r="S575" s="31" t="s">
        <v>896</v>
      </c>
    </row>
    <row r="576">
      <c r="A576" s="29">
        <v>45912.55305633102</v>
      </c>
      <c r="B576" s="30">
        <v>45912.0</v>
      </c>
      <c r="C576" s="31" t="s">
        <v>1965</v>
      </c>
      <c r="D576" s="32" t="s">
        <v>1966</v>
      </c>
      <c r="E576" s="31" t="s">
        <v>43</v>
      </c>
      <c r="F576" s="31">
        <v>3800000.0</v>
      </c>
      <c r="G576" s="31" t="s">
        <v>23</v>
      </c>
      <c r="H576" s="31">
        <v>5000000.0</v>
      </c>
      <c r="I576" s="31" t="s">
        <v>200</v>
      </c>
      <c r="K576" s="33" t="s">
        <v>1967</v>
      </c>
      <c r="L576" s="31" t="s">
        <v>252</v>
      </c>
      <c r="M576" s="31" t="s">
        <v>383</v>
      </c>
      <c r="O576" s="31" t="s">
        <v>257</v>
      </c>
      <c r="P576" s="31" t="s">
        <v>258</v>
      </c>
    </row>
    <row r="577">
      <c r="A577" s="29">
        <v>45912.60728306713</v>
      </c>
      <c r="B577" s="30">
        <v>45912.0</v>
      </c>
      <c r="C577" s="31" t="s">
        <v>1968</v>
      </c>
      <c r="D577" s="32" t="s">
        <v>1969</v>
      </c>
      <c r="E577" s="31" t="s">
        <v>43</v>
      </c>
      <c r="F577" s="31">
        <v>3000000.0</v>
      </c>
      <c r="G577" s="31" t="s">
        <v>45</v>
      </c>
      <c r="I577" s="31" t="s">
        <v>229</v>
      </c>
      <c r="J577" s="31" t="s">
        <v>967</v>
      </c>
      <c r="K577" s="33" t="s">
        <v>1970</v>
      </c>
      <c r="L577" s="31" t="s">
        <v>252</v>
      </c>
      <c r="O577" s="31" t="s">
        <v>257</v>
      </c>
      <c r="P577" s="31" t="s">
        <v>206</v>
      </c>
    </row>
    <row r="578">
      <c r="A578" s="29">
        <v>45912.61778148148</v>
      </c>
      <c r="B578" s="30">
        <v>45912.0</v>
      </c>
      <c r="C578" s="31" t="s">
        <v>1971</v>
      </c>
      <c r="D578" s="32" t="s">
        <v>1972</v>
      </c>
      <c r="E578" s="31" t="s">
        <v>31</v>
      </c>
      <c r="F578" s="31">
        <v>5400000.0</v>
      </c>
      <c r="G578" s="31" t="s">
        <v>23</v>
      </c>
      <c r="I578" s="31" t="s">
        <v>229</v>
      </c>
      <c r="J578" s="31" t="s">
        <v>967</v>
      </c>
      <c r="K578" s="33" t="s">
        <v>1973</v>
      </c>
      <c r="L578" s="31" t="s">
        <v>202</v>
      </c>
      <c r="N578" s="31" t="s">
        <v>204</v>
      </c>
      <c r="R578" s="31" t="s">
        <v>207</v>
      </c>
    </row>
    <row r="579">
      <c r="A579" s="29">
        <v>45912.61915366898</v>
      </c>
      <c r="B579" s="30">
        <v>45912.0</v>
      </c>
      <c r="C579" s="31" t="s">
        <v>1974</v>
      </c>
      <c r="D579" s="32" t="s">
        <v>1975</v>
      </c>
      <c r="E579" s="31" t="s">
        <v>31</v>
      </c>
      <c r="F579" s="31">
        <v>4500000.0</v>
      </c>
      <c r="G579" s="31" t="s">
        <v>23</v>
      </c>
      <c r="I579" s="31" t="s">
        <v>229</v>
      </c>
      <c r="J579" s="31" t="s">
        <v>967</v>
      </c>
      <c r="K579" s="33" t="s">
        <v>1976</v>
      </c>
      <c r="L579" s="31" t="s">
        <v>202</v>
      </c>
      <c r="N579" s="31" t="s">
        <v>204</v>
      </c>
      <c r="R579" s="31" t="s">
        <v>207</v>
      </c>
    </row>
    <row r="580">
      <c r="A580" s="29">
        <v>45912.62924207176</v>
      </c>
      <c r="B580" s="30">
        <v>45912.0</v>
      </c>
      <c r="C580" s="31" t="s">
        <v>1977</v>
      </c>
      <c r="D580" s="32" t="s">
        <v>1978</v>
      </c>
      <c r="E580" s="31" t="s">
        <v>31</v>
      </c>
      <c r="F580" s="31">
        <v>6000000.0</v>
      </c>
      <c r="G580" s="31" t="s">
        <v>23</v>
      </c>
      <c r="I580" s="31" t="s">
        <v>229</v>
      </c>
      <c r="J580" s="31" t="s">
        <v>967</v>
      </c>
      <c r="K580" s="33" t="s">
        <v>1979</v>
      </c>
      <c r="L580" s="31" t="s">
        <v>202</v>
      </c>
      <c r="N580" s="31" t="s">
        <v>220</v>
      </c>
      <c r="S580" s="31" t="s">
        <v>83</v>
      </c>
    </row>
    <row r="581">
      <c r="A581" s="29">
        <v>45912.63295398148</v>
      </c>
      <c r="B581" s="30">
        <v>45912.0</v>
      </c>
      <c r="C581" s="31" t="s">
        <v>1980</v>
      </c>
      <c r="D581" s="32" t="s">
        <v>1981</v>
      </c>
      <c r="E581" s="31" t="s">
        <v>288</v>
      </c>
      <c r="F581" s="31">
        <v>2500000.0</v>
      </c>
      <c r="G581" s="31" t="s">
        <v>23</v>
      </c>
      <c r="I581" s="31" t="s">
        <v>229</v>
      </c>
      <c r="J581" s="31" t="s">
        <v>967</v>
      </c>
      <c r="K581" s="33" t="s">
        <v>1982</v>
      </c>
      <c r="L581" s="31" t="s">
        <v>202</v>
      </c>
      <c r="N581" s="31" t="s">
        <v>204</v>
      </c>
      <c r="R581" s="31" t="s">
        <v>148</v>
      </c>
    </row>
    <row r="582">
      <c r="A582" s="29">
        <v>45912.634600011574</v>
      </c>
      <c r="B582" s="30">
        <v>45912.0</v>
      </c>
      <c r="C582" s="31" t="s">
        <v>1983</v>
      </c>
      <c r="D582" s="32" t="s">
        <v>1984</v>
      </c>
      <c r="E582" s="31" t="s">
        <v>43</v>
      </c>
      <c r="F582" s="31">
        <v>9000000.0</v>
      </c>
      <c r="G582" s="31" t="s">
        <v>23</v>
      </c>
      <c r="H582" s="31">
        <v>1.0E7</v>
      </c>
      <c r="I582" s="31" t="s">
        <v>413</v>
      </c>
      <c r="K582" s="33" t="s">
        <v>1985</v>
      </c>
      <c r="L582" s="31" t="s">
        <v>202</v>
      </c>
      <c r="M582" s="31" t="s">
        <v>605</v>
      </c>
      <c r="N582" s="31" t="s">
        <v>215</v>
      </c>
      <c r="W582" s="31" t="s">
        <v>355</v>
      </c>
    </row>
    <row r="583">
      <c r="A583" s="29">
        <v>45912.649158125</v>
      </c>
      <c r="B583" s="30">
        <v>45912.0</v>
      </c>
      <c r="C583" s="31" t="s">
        <v>1986</v>
      </c>
      <c r="D583" s="32" t="s">
        <v>1987</v>
      </c>
      <c r="E583" s="31" t="s">
        <v>43</v>
      </c>
      <c r="F583" s="31">
        <v>3000000.0</v>
      </c>
      <c r="G583" s="31" t="s">
        <v>23</v>
      </c>
      <c r="I583" s="31" t="s">
        <v>229</v>
      </c>
      <c r="J583" s="31" t="s">
        <v>967</v>
      </c>
      <c r="K583" s="33" t="s">
        <v>1988</v>
      </c>
      <c r="L583" s="31" t="s">
        <v>202</v>
      </c>
      <c r="N583" s="31" t="s">
        <v>871</v>
      </c>
      <c r="Q583" s="31" t="s">
        <v>872</v>
      </c>
    </row>
    <row r="584">
      <c r="A584" s="29">
        <v>45912.694737777776</v>
      </c>
      <c r="B584" s="30">
        <v>45912.0</v>
      </c>
      <c r="C584" s="31" t="s">
        <v>1989</v>
      </c>
      <c r="D584" s="32" t="s">
        <v>1990</v>
      </c>
      <c r="E584" s="31" t="s">
        <v>43</v>
      </c>
      <c r="F584" s="31">
        <v>5500000.0</v>
      </c>
      <c r="G584" s="31" t="s">
        <v>23</v>
      </c>
      <c r="I584" s="31" t="s">
        <v>229</v>
      </c>
      <c r="J584" s="31" t="s">
        <v>967</v>
      </c>
      <c r="K584" s="33" t="s">
        <v>1991</v>
      </c>
      <c r="L584" s="31" t="s">
        <v>202</v>
      </c>
      <c r="N584" s="31" t="s">
        <v>220</v>
      </c>
      <c r="S584" s="31" t="s">
        <v>59</v>
      </c>
    </row>
    <row r="585">
      <c r="A585" s="29">
        <v>45912.73544813658</v>
      </c>
      <c r="B585" s="30">
        <v>45912.0</v>
      </c>
      <c r="C585" s="31" t="s">
        <v>1992</v>
      </c>
      <c r="D585" s="32" t="s">
        <v>1993</v>
      </c>
      <c r="E585" s="31" t="s">
        <v>43</v>
      </c>
      <c r="F585" s="31">
        <v>3500000.0</v>
      </c>
      <c r="G585" s="31" t="s">
        <v>23</v>
      </c>
      <c r="I585" s="31" t="s">
        <v>229</v>
      </c>
      <c r="J585" s="31" t="s">
        <v>967</v>
      </c>
      <c r="K585" s="33" t="s">
        <v>1994</v>
      </c>
      <c r="L585" s="31" t="s">
        <v>202</v>
      </c>
      <c r="N585" s="31" t="s">
        <v>871</v>
      </c>
      <c r="Q585" s="31" t="s">
        <v>1021</v>
      </c>
    </row>
    <row r="586">
      <c r="A586" s="29">
        <v>45912.739101875</v>
      </c>
      <c r="B586" s="30">
        <v>45912.0</v>
      </c>
      <c r="C586" s="31" t="s">
        <v>1995</v>
      </c>
      <c r="D586" s="32" t="s">
        <v>1996</v>
      </c>
      <c r="E586" s="31" t="s">
        <v>1997</v>
      </c>
      <c r="F586" s="31">
        <v>3800000.0</v>
      </c>
      <c r="G586" s="31" t="s">
        <v>23</v>
      </c>
      <c r="H586" s="31">
        <v>3000000.0</v>
      </c>
      <c r="I586" s="31" t="s">
        <v>413</v>
      </c>
      <c r="K586" s="33" t="s">
        <v>1998</v>
      </c>
      <c r="L586" s="31" t="s">
        <v>202</v>
      </c>
      <c r="M586" s="31" t="s">
        <v>203</v>
      </c>
      <c r="N586" s="31" t="s">
        <v>871</v>
      </c>
      <c r="Q586" s="31" t="s">
        <v>1021</v>
      </c>
    </row>
    <row r="587">
      <c r="A587" s="29">
        <v>45912.74182751158</v>
      </c>
      <c r="B587" s="30">
        <v>45912.0</v>
      </c>
      <c r="C587" s="31" t="s">
        <v>1999</v>
      </c>
      <c r="D587" s="32" t="s">
        <v>2000</v>
      </c>
      <c r="E587" s="31" t="s">
        <v>1522</v>
      </c>
      <c r="F587" s="31">
        <v>5000000.0</v>
      </c>
      <c r="G587" s="31" t="s">
        <v>23</v>
      </c>
      <c r="I587" s="31" t="s">
        <v>229</v>
      </c>
      <c r="J587" s="31" t="s">
        <v>967</v>
      </c>
      <c r="K587" s="33" t="s">
        <v>2001</v>
      </c>
      <c r="L587" s="31" t="s">
        <v>202</v>
      </c>
      <c r="N587" s="31" t="s">
        <v>220</v>
      </c>
      <c r="S587" s="31" t="s">
        <v>466</v>
      </c>
    </row>
    <row r="588">
      <c r="A588" s="29">
        <v>45912.749005300924</v>
      </c>
      <c r="B588" s="30">
        <v>45912.0</v>
      </c>
      <c r="C588" s="31" t="s">
        <v>2002</v>
      </c>
      <c r="D588" s="32" t="s">
        <v>2003</v>
      </c>
      <c r="E588" s="31" t="s">
        <v>2004</v>
      </c>
      <c r="F588" s="31">
        <v>5600000.0</v>
      </c>
      <c r="G588" s="31" t="s">
        <v>23</v>
      </c>
      <c r="I588" s="31" t="s">
        <v>229</v>
      </c>
      <c r="J588" s="31" t="s">
        <v>967</v>
      </c>
      <c r="K588" s="33" t="s">
        <v>2005</v>
      </c>
      <c r="L588" s="31" t="s">
        <v>202</v>
      </c>
      <c r="N588" s="31" t="s">
        <v>220</v>
      </c>
      <c r="S588" s="31" t="s">
        <v>83</v>
      </c>
    </row>
    <row r="589">
      <c r="A589" s="29">
        <v>45912.74906326389</v>
      </c>
      <c r="B589" s="30">
        <v>45912.0</v>
      </c>
      <c r="C589" s="31" t="s">
        <v>2006</v>
      </c>
      <c r="D589" s="32" t="s">
        <v>2007</v>
      </c>
      <c r="E589" s="31" t="s">
        <v>43</v>
      </c>
      <c r="F589" s="31">
        <v>5400000.0</v>
      </c>
      <c r="G589" s="31" t="s">
        <v>45</v>
      </c>
      <c r="I589" s="31" t="s">
        <v>229</v>
      </c>
      <c r="J589" s="31" t="s">
        <v>967</v>
      </c>
      <c r="K589" s="33" t="s">
        <v>2008</v>
      </c>
      <c r="L589" s="31" t="s">
        <v>202</v>
      </c>
      <c r="N589" s="31" t="s">
        <v>204</v>
      </c>
      <c r="R589" s="31" t="s">
        <v>207</v>
      </c>
    </row>
    <row r="590">
      <c r="A590" s="29">
        <v>45912.750868055555</v>
      </c>
      <c r="B590" s="30">
        <v>45912.0</v>
      </c>
      <c r="C590" s="31" t="s">
        <v>2009</v>
      </c>
      <c r="D590" s="32" t="s">
        <v>2010</v>
      </c>
      <c r="E590" s="31" t="s">
        <v>2011</v>
      </c>
      <c r="F590" s="31">
        <v>3500000.0</v>
      </c>
      <c r="G590" s="31" t="s">
        <v>23</v>
      </c>
      <c r="I590" s="31" t="s">
        <v>229</v>
      </c>
      <c r="J590" s="31" t="s">
        <v>967</v>
      </c>
      <c r="K590" s="33" t="s">
        <v>2012</v>
      </c>
      <c r="L590" s="31" t="s">
        <v>202</v>
      </c>
      <c r="N590" s="31" t="s">
        <v>204</v>
      </c>
      <c r="R590" s="31" t="s">
        <v>98</v>
      </c>
    </row>
    <row r="591">
      <c r="A591" s="29">
        <v>45912.767617777776</v>
      </c>
      <c r="B591" s="30">
        <v>45912.0</v>
      </c>
      <c r="C591" s="31" t="s">
        <v>2013</v>
      </c>
      <c r="D591" s="32" t="s">
        <v>2014</v>
      </c>
      <c r="E591" s="31" t="s">
        <v>43</v>
      </c>
      <c r="F591" s="31">
        <v>5600000.0</v>
      </c>
      <c r="G591" s="31" t="s">
        <v>23</v>
      </c>
      <c r="I591" s="31" t="s">
        <v>229</v>
      </c>
      <c r="J591" s="31" t="s">
        <v>967</v>
      </c>
      <c r="K591" s="33" t="s">
        <v>2015</v>
      </c>
      <c r="L591" s="31" t="s">
        <v>202</v>
      </c>
      <c r="N591" s="31" t="s">
        <v>220</v>
      </c>
      <c r="S591" s="31" t="s">
        <v>466</v>
      </c>
    </row>
    <row r="592">
      <c r="A592" s="29">
        <v>45912.791487291666</v>
      </c>
      <c r="B592" s="30">
        <v>45912.0</v>
      </c>
      <c r="C592" s="31" t="s">
        <v>2016</v>
      </c>
      <c r="D592" s="32" t="s">
        <v>2017</v>
      </c>
      <c r="E592" s="31" t="s">
        <v>239</v>
      </c>
      <c r="F592" s="31">
        <v>3500000.0</v>
      </c>
      <c r="G592" s="31" t="s">
        <v>23</v>
      </c>
      <c r="H592" s="31">
        <v>3000000.0</v>
      </c>
      <c r="I592" s="31" t="s">
        <v>413</v>
      </c>
      <c r="K592" s="33" t="s">
        <v>2018</v>
      </c>
      <c r="L592" s="31" t="s">
        <v>202</v>
      </c>
      <c r="M592" s="31" t="s">
        <v>203</v>
      </c>
      <c r="N592" s="31" t="s">
        <v>204</v>
      </c>
      <c r="R592" s="31" t="s">
        <v>90</v>
      </c>
    </row>
    <row r="593">
      <c r="A593" s="29">
        <v>45912.8109640162</v>
      </c>
      <c r="B593" s="30">
        <v>45912.0</v>
      </c>
      <c r="C593" s="31" t="s">
        <v>2019</v>
      </c>
      <c r="D593" s="32" t="s">
        <v>2020</v>
      </c>
      <c r="E593" s="31" t="s">
        <v>239</v>
      </c>
      <c r="F593" s="32" t="s">
        <v>2021</v>
      </c>
      <c r="G593" s="31" t="s">
        <v>23</v>
      </c>
      <c r="I593" s="31" t="s">
        <v>229</v>
      </c>
      <c r="J593" s="31" t="s">
        <v>967</v>
      </c>
      <c r="K593" s="33" t="s">
        <v>2022</v>
      </c>
      <c r="L593" s="31" t="s">
        <v>252</v>
      </c>
      <c r="O593" s="31" t="s">
        <v>257</v>
      </c>
      <c r="P593" s="31" t="s">
        <v>992</v>
      </c>
    </row>
    <row r="594">
      <c r="A594" s="29">
        <v>45912.81934898148</v>
      </c>
      <c r="B594" s="30">
        <v>45912.0</v>
      </c>
      <c r="C594" s="31" t="s">
        <v>2023</v>
      </c>
      <c r="D594" s="31">
        <v>8.2147145602E10</v>
      </c>
      <c r="E594" s="31" t="s">
        <v>199</v>
      </c>
      <c r="F594" s="31">
        <v>3500000.0</v>
      </c>
      <c r="G594" s="31" t="s">
        <v>23</v>
      </c>
      <c r="H594" s="31">
        <v>3000000.0</v>
      </c>
      <c r="I594" s="31" t="s">
        <v>200</v>
      </c>
      <c r="K594" s="33" t="s">
        <v>2024</v>
      </c>
      <c r="L594" s="31" t="s">
        <v>252</v>
      </c>
      <c r="M594" s="31" t="s">
        <v>203</v>
      </c>
      <c r="O594" s="31" t="s">
        <v>257</v>
      </c>
      <c r="P594" s="31" t="s">
        <v>258</v>
      </c>
    </row>
    <row r="595">
      <c r="A595" s="29">
        <v>45912.83921056713</v>
      </c>
      <c r="B595" s="30">
        <v>45912.0</v>
      </c>
      <c r="C595" s="31" t="s">
        <v>2025</v>
      </c>
      <c r="D595" s="32" t="s">
        <v>2026</v>
      </c>
      <c r="E595" s="31" t="s">
        <v>288</v>
      </c>
      <c r="F595" s="31">
        <v>1000000.0</v>
      </c>
      <c r="G595" s="31" t="s">
        <v>23</v>
      </c>
      <c r="I595" s="31" t="s">
        <v>229</v>
      </c>
      <c r="J595" s="31" t="s">
        <v>967</v>
      </c>
      <c r="K595" s="33" t="s">
        <v>2027</v>
      </c>
      <c r="L595" s="31" t="s">
        <v>202</v>
      </c>
      <c r="N595" s="31" t="s">
        <v>204</v>
      </c>
      <c r="R595" s="31" t="s">
        <v>360</v>
      </c>
    </row>
    <row r="596">
      <c r="A596" s="29">
        <v>45912.85901395833</v>
      </c>
      <c r="B596" s="30">
        <v>45912.0</v>
      </c>
      <c r="C596" s="31" t="s">
        <v>2028</v>
      </c>
      <c r="D596" s="32" t="s">
        <v>2029</v>
      </c>
      <c r="E596" s="31" t="s">
        <v>228</v>
      </c>
      <c r="F596" s="31">
        <v>2300000.0</v>
      </c>
      <c r="G596" s="31" t="s">
        <v>23</v>
      </c>
      <c r="I596" s="31" t="s">
        <v>229</v>
      </c>
      <c r="J596" s="31" t="s">
        <v>270</v>
      </c>
      <c r="K596" s="33" t="s">
        <v>2030</v>
      </c>
      <c r="L596" s="31" t="s">
        <v>202</v>
      </c>
      <c r="N596" s="31" t="s">
        <v>204</v>
      </c>
      <c r="R596" s="31" t="s">
        <v>192</v>
      </c>
    </row>
    <row r="597">
      <c r="A597" s="29">
        <v>45912.860117118056</v>
      </c>
      <c r="B597" s="30">
        <v>45912.0</v>
      </c>
      <c r="C597" s="31" t="s">
        <v>2031</v>
      </c>
      <c r="D597" s="32" t="s">
        <v>2032</v>
      </c>
      <c r="E597" s="31" t="s">
        <v>228</v>
      </c>
      <c r="F597" s="31">
        <v>1500000.0</v>
      </c>
      <c r="G597" s="31" t="s">
        <v>23</v>
      </c>
      <c r="I597" s="31" t="s">
        <v>229</v>
      </c>
      <c r="J597" s="31" t="s">
        <v>270</v>
      </c>
      <c r="K597" s="33" t="s">
        <v>2033</v>
      </c>
      <c r="L597" s="31" t="s">
        <v>202</v>
      </c>
      <c r="N597" s="31" t="s">
        <v>204</v>
      </c>
      <c r="R597" s="31" t="s">
        <v>192</v>
      </c>
    </row>
    <row r="598">
      <c r="A598" s="29">
        <v>45912.86153645834</v>
      </c>
      <c r="B598" s="30">
        <v>45912.0</v>
      </c>
      <c r="C598" s="31" t="s">
        <v>2034</v>
      </c>
      <c r="D598" s="32" t="s">
        <v>2035</v>
      </c>
      <c r="E598" s="31" t="s">
        <v>228</v>
      </c>
      <c r="F598" s="31">
        <v>3200000.0</v>
      </c>
      <c r="G598" s="31" t="s">
        <v>23</v>
      </c>
      <c r="I598" s="31" t="s">
        <v>229</v>
      </c>
      <c r="J598" s="31" t="s">
        <v>270</v>
      </c>
      <c r="K598" s="33" t="s">
        <v>2036</v>
      </c>
      <c r="L598" s="31" t="s">
        <v>202</v>
      </c>
      <c r="N598" s="31" t="s">
        <v>204</v>
      </c>
      <c r="R598" s="31" t="s">
        <v>192</v>
      </c>
    </row>
    <row r="599">
      <c r="A599" s="29">
        <v>45912.867097581024</v>
      </c>
      <c r="B599" s="30">
        <v>45912.0</v>
      </c>
      <c r="C599" s="31" t="s">
        <v>2037</v>
      </c>
      <c r="D599" s="32" t="s">
        <v>2038</v>
      </c>
      <c r="E599" s="31" t="s">
        <v>43</v>
      </c>
      <c r="F599" s="31">
        <v>3000000.0</v>
      </c>
      <c r="G599" s="31" t="s">
        <v>23</v>
      </c>
      <c r="I599" s="31" t="s">
        <v>229</v>
      </c>
      <c r="J599" s="31" t="s">
        <v>967</v>
      </c>
      <c r="K599" s="33" t="s">
        <v>2039</v>
      </c>
      <c r="L599" s="31" t="s">
        <v>252</v>
      </c>
      <c r="O599" s="31" t="s">
        <v>205</v>
      </c>
      <c r="X599" s="31" t="s">
        <v>549</v>
      </c>
    </row>
    <row r="600">
      <c r="A600" s="29">
        <v>45913.4010987037</v>
      </c>
      <c r="B600" s="30">
        <v>45913.0</v>
      </c>
      <c r="C600" s="31" t="s">
        <v>2040</v>
      </c>
      <c r="D600" s="32" t="s">
        <v>2041</v>
      </c>
      <c r="E600" s="31" t="s">
        <v>43</v>
      </c>
      <c r="F600" s="31">
        <v>4700000.0</v>
      </c>
      <c r="G600" s="31" t="s">
        <v>23</v>
      </c>
      <c r="I600" s="31" t="s">
        <v>229</v>
      </c>
      <c r="J600" s="31" t="s">
        <v>967</v>
      </c>
      <c r="K600" s="33" t="s">
        <v>2042</v>
      </c>
      <c r="L600" s="31" t="s">
        <v>202</v>
      </c>
      <c r="N600" s="31" t="s">
        <v>313</v>
      </c>
      <c r="T600" s="31" t="s">
        <v>314</v>
      </c>
    </row>
    <row r="601">
      <c r="A601" s="29">
        <v>45913.40353258102</v>
      </c>
      <c r="B601" s="30">
        <v>45913.0</v>
      </c>
      <c r="C601" s="31" t="s">
        <v>2043</v>
      </c>
      <c r="D601" s="32" t="s">
        <v>2044</v>
      </c>
      <c r="E601" s="31" t="s">
        <v>43</v>
      </c>
      <c r="F601" s="31">
        <v>4500000.0</v>
      </c>
      <c r="G601" s="31" t="s">
        <v>23</v>
      </c>
      <c r="I601" s="31" t="s">
        <v>229</v>
      </c>
      <c r="J601" s="31" t="s">
        <v>498</v>
      </c>
      <c r="K601" s="33" t="s">
        <v>2045</v>
      </c>
      <c r="L601" s="31" t="s">
        <v>202</v>
      </c>
      <c r="N601" s="31" t="s">
        <v>500</v>
      </c>
      <c r="V601" s="31" t="s">
        <v>501</v>
      </c>
    </row>
    <row r="602">
      <c r="A602" s="29">
        <v>45913.43524245371</v>
      </c>
      <c r="B602" s="30">
        <v>45913.0</v>
      </c>
      <c r="C602" s="31" t="s">
        <v>2046</v>
      </c>
      <c r="D602" s="32" t="s">
        <v>2047</v>
      </c>
      <c r="E602" s="31" t="s">
        <v>43</v>
      </c>
      <c r="F602" s="31">
        <v>3000000.0</v>
      </c>
      <c r="G602" s="31" t="s">
        <v>23</v>
      </c>
      <c r="I602" s="31" t="s">
        <v>229</v>
      </c>
      <c r="J602" s="31" t="s">
        <v>229</v>
      </c>
      <c r="K602" s="33" t="s">
        <v>2048</v>
      </c>
      <c r="L602" s="31" t="s">
        <v>202</v>
      </c>
      <c r="N602" s="31" t="s">
        <v>215</v>
      </c>
      <c r="W602" s="31" t="s">
        <v>389</v>
      </c>
    </row>
    <row r="603">
      <c r="A603" s="29">
        <v>45913.455087939816</v>
      </c>
      <c r="B603" s="30">
        <v>45913.0</v>
      </c>
      <c r="C603" s="31" t="s">
        <v>2049</v>
      </c>
      <c r="D603" s="32" t="s">
        <v>2050</v>
      </c>
      <c r="E603" s="31" t="s">
        <v>199</v>
      </c>
      <c r="F603" s="31">
        <v>4600000.0</v>
      </c>
      <c r="G603" s="31" t="s">
        <v>45</v>
      </c>
      <c r="H603" s="31">
        <v>7000000.0</v>
      </c>
      <c r="I603" s="31" t="s">
        <v>413</v>
      </c>
      <c r="K603" s="33" t="s">
        <v>2051</v>
      </c>
      <c r="L603" s="31" t="s">
        <v>202</v>
      </c>
      <c r="M603" s="31" t="s">
        <v>203</v>
      </c>
      <c r="N603" s="31" t="s">
        <v>204</v>
      </c>
      <c r="R603" s="31" t="s">
        <v>148</v>
      </c>
    </row>
    <row r="604">
      <c r="A604" s="29">
        <v>45913.47157371527</v>
      </c>
      <c r="B604" s="30">
        <v>45913.0</v>
      </c>
      <c r="C604" s="31" t="s">
        <v>2052</v>
      </c>
      <c r="D604" s="32" t="s">
        <v>2053</v>
      </c>
      <c r="E604" s="31" t="s">
        <v>2054</v>
      </c>
      <c r="F604" s="31">
        <v>3000000.0</v>
      </c>
      <c r="G604" s="31" t="s">
        <v>45</v>
      </c>
      <c r="I604" s="31" t="s">
        <v>229</v>
      </c>
      <c r="J604" s="31" t="s">
        <v>262</v>
      </c>
      <c r="K604" s="33" t="s">
        <v>2055</v>
      </c>
      <c r="L604" s="31" t="s">
        <v>202</v>
      </c>
      <c r="N604" s="31" t="s">
        <v>215</v>
      </c>
      <c r="W604" s="31" t="s">
        <v>216</v>
      </c>
    </row>
    <row r="605">
      <c r="A605" s="29">
        <v>45913.49666527778</v>
      </c>
      <c r="B605" s="30">
        <v>45913.0</v>
      </c>
      <c r="C605" s="31" t="s">
        <v>2056</v>
      </c>
      <c r="D605" s="32" t="s">
        <v>2057</v>
      </c>
      <c r="E605" s="31" t="s">
        <v>239</v>
      </c>
      <c r="F605" s="31">
        <v>4000000.0</v>
      </c>
      <c r="G605" s="31" t="s">
        <v>23</v>
      </c>
      <c r="I605" s="31" t="s">
        <v>229</v>
      </c>
      <c r="J605" s="31" t="s">
        <v>967</v>
      </c>
      <c r="K605" s="33" t="s">
        <v>2058</v>
      </c>
      <c r="L605" s="31" t="s">
        <v>252</v>
      </c>
      <c r="O605" s="31" t="s">
        <v>257</v>
      </c>
      <c r="P605" s="31" t="s">
        <v>285</v>
      </c>
    </row>
    <row r="606">
      <c r="A606" s="29">
        <v>45913.501416122686</v>
      </c>
      <c r="B606" s="30">
        <v>45913.0</v>
      </c>
      <c r="C606" s="31" t="s">
        <v>2059</v>
      </c>
      <c r="D606" s="32" t="s">
        <v>2060</v>
      </c>
      <c r="E606" s="31" t="s">
        <v>31</v>
      </c>
      <c r="F606" s="31">
        <v>3200000.0</v>
      </c>
      <c r="G606" s="31" t="s">
        <v>23</v>
      </c>
      <c r="H606" s="31">
        <v>3000000.0</v>
      </c>
      <c r="I606" s="31" t="s">
        <v>413</v>
      </c>
      <c r="K606" s="33" t="s">
        <v>2061</v>
      </c>
      <c r="L606" s="31" t="s">
        <v>202</v>
      </c>
      <c r="M606" s="31" t="s">
        <v>203</v>
      </c>
      <c r="N606" s="31" t="s">
        <v>204</v>
      </c>
      <c r="R606" s="31" t="s">
        <v>148</v>
      </c>
    </row>
    <row r="607">
      <c r="A607" s="29">
        <v>45913.51347326388</v>
      </c>
      <c r="B607" s="30">
        <v>45913.0</v>
      </c>
      <c r="C607" s="31" t="s">
        <v>2062</v>
      </c>
      <c r="D607" s="32" t="s">
        <v>2063</v>
      </c>
      <c r="E607" s="31" t="s">
        <v>288</v>
      </c>
      <c r="F607" s="34">
        <v>1800.0</v>
      </c>
      <c r="G607" s="31" t="s">
        <v>23</v>
      </c>
      <c r="I607" s="31" t="s">
        <v>229</v>
      </c>
      <c r="J607" s="31" t="s">
        <v>967</v>
      </c>
      <c r="K607" s="33" t="s">
        <v>2064</v>
      </c>
      <c r="L607" s="31" t="s">
        <v>202</v>
      </c>
      <c r="N607" s="31" t="s">
        <v>204</v>
      </c>
      <c r="R607" s="31" t="s">
        <v>167</v>
      </c>
    </row>
    <row r="608">
      <c r="A608" s="29">
        <v>45913.51937570602</v>
      </c>
      <c r="B608" s="30">
        <v>45913.0</v>
      </c>
      <c r="C608" s="31" t="s">
        <v>2065</v>
      </c>
      <c r="D608" s="32" t="s">
        <v>2066</v>
      </c>
      <c r="E608" s="31" t="s">
        <v>2067</v>
      </c>
      <c r="F608" s="31">
        <v>3200000.0</v>
      </c>
      <c r="G608" s="31" t="s">
        <v>23</v>
      </c>
      <c r="H608" s="31">
        <v>3000000.0</v>
      </c>
      <c r="I608" s="31" t="s">
        <v>413</v>
      </c>
      <c r="K608" s="33" t="s">
        <v>2068</v>
      </c>
      <c r="L608" s="31" t="s">
        <v>202</v>
      </c>
      <c r="M608" s="31" t="s">
        <v>203</v>
      </c>
      <c r="N608" s="31" t="s">
        <v>204</v>
      </c>
      <c r="R608" s="31" t="s">
        <v>148</v>
      </c>
    </row>
    <row r="609">
      <c r="A609" s="29">
        <v>45913.527790416665</v>
      </c>
      <c r="B609" s="30">
        <v>45913.0</v>
      </c>
      <c r="C609" s="31" t="s">
        <v>2069</v>
      </c>
      <c r="D609" s="32" t="s">
        <v>2070</v>
      </c>
      <c r="E609" s="31" t="s">
        <v>2071</v>
      </c>
      <c r="F609" s="31">
        <v>3000000.0</v>
      </c>
      <c r="G609" s="31" t="s">
        <v>23</v>
      </c>
      <c r="I609" s="31" t="s">
        <v>229</v>
      </c>
      <c r="J609" s="31" t="s">
        <v>250</v>
      </c>
      <c r="K609" s="33" t="s">
        <v>2072</v>
      </c>
      <c r="L609" s="31" t="s">
        <v>252</v>
      </c>
      <c r="O609" s="31" t="s">
        <v>205</v>
      </c>
      <c r="X609" s="31" t="s">
        <v>253</v>
      </c>
    </row>
    <row r="610">
      <c r="A610" s="29">
        <v>45913.52814178241</v>
      </c>
      <c r="B610" s="30">
        <v>45913.0</v>
      </c>
      <c r="C610" s="31" t="s">
        <v>2073</v>
      </c>
      <c r="D610" s="32" t="s">
        <v>2074</v>
      </c>
      <c r="E610" s="31" t="s">
        <v>261</v>
      </c>
      <c r="F610" s="31">
        <v>2000000.0</v>
      </c>
      <c r="G610" s="31" t="s">
        <v>23</v>
      </c>
      <c r="I610" s="31" t="s">
        <v>229</v>
      </c>
      <c r="J610" s="31" t="s">
        <v>967</v>
      </c>
      <c r="K610" s="33" t="s">
        <v>2075</v>
      </c>
      <c r="L610" s="31" t="s">
        <v>252</v>
      </c>
      <c r="O610" s="31" t="s">
        <v>205</v>
      </c>
      <c r="X610" s="31" t="s">
        <v>1471</v>
      </c>
    </row>
    <row r="611">
      <c r="A611" s="29">
        <v>45913.545785462964</v>
      </c>
      <c r="B611" s="30">
        <v>45913.0</v>
      </c>
      <c r="C611" s="31" t="s">
        <v>2076</v>
      </c>
      <c r="D611" s="32" t="s">
        <v>2077</v>
      </c>
      <c r="E611" s="31" t="s">
        <v>43</v>
      </c>
      <c r="F611" s="31">
        <v>2500000.0</v>
      </c>
      <c r="G611" s="31" t="s">
        <v>23</v>
      </c>
      <c r="I611" s="31" t="s">
        <v>229</v>
      </c>
      <c r="J611" s="31" t="s">
        <v>262</v>
      </c>
      <c r="K611" s="33" t="s">
        <v>2078</v>
      </c>
      <c r="L611" s="31" t="s">
        <v>202</v>
      </c>
      <c r="N611" s="31" t="s">
        <v>215</v>
      </c>
      <c r="W611" s="31" t="s">
        <v>216</v>
      </c>
    </row>
    <row r="612">
      <c r="A612" s="29">
        <v>45913.563181377314</v>
      </c>
      <c r="B612" s="30">
        <v>45913.0</v>
      </c>
      <c r="C612" s="31" t="s">
        <v>2079</v>
      </c>
      <c r="D612" s="32" t="s">
        <v>2080</v>
      </c>
      <c r="E612" s="31" t="s">
        <v>43</v>
      </c>
      <c r="F612" s="31">
        <v>4900000.0</v>
      </c>
      <c r="G612" s="31" t="s">
        <v>23</v>
      </c>
      <c r="I612" s="31" t="s">
        <v>229</v>
      </c>
      <c r="J612" s="31" t="s">
        <v>165</v>
      </c>
      <c r="K612" s="33" t="s">
        <v>2081</v>
      </c>
      <c r="L612" s="31" t="s">
        <v>202</v>
      </c>
      <c r="N612" s="31" t="s">
        <v>667</v>
      </c>
      <c r="U612" s="31" t="s">
        <v>668</v>
      </c>
    </row>
    <row r="613">
      <c r="A613" s="29">
        <v>45913.573245266205</v>
      </c>
      <c r="B613" s="30">
        <v>45913.0</v>
      </c>
      <c r="C613" s="31" t="s">
        <v>2082</v>
      </c>
      <c r="D613" s="32" t="s">
        <v>2083</v>
      </c>
      <c r="E613" s="31" t="s">
        <v>43</v>
      </c>
      <c r="F613" s="31">
        <v>4500000.0</v>
      </c>
      <c r="G613" s="31" t="s">
        <v>23</v>
      </c>
      <c r="H613" s="31">
        <v>3000000.0</v>
      </c>
      <c r="I613" s="31" t="s">
        <v>200</v>
      </c>
      <c r="K613" s="33" t="s">
        <v>2084</v>
      </c>
      <c r="L613" s="31" t="s">
        <v>202</v>
      </c>
      <c r="M613" s="31" t="s">
        <v>383</v>
      </c>
      <c r="N613" s="31" t="s">
        <v>220</v>
      </c>
      <c r="S613" s="31" t="s">
        <v>36</v>
      </c>
    </row>
    <row r="614">
      <c r="A614" s="29">
        <v>45913.60929659722</v>
      </c>
      <c r="B614" s="30">
        <v>45913.0</v>
      </c>
      <c r="C614" s="31" t="s">
        <v>2085</v>
      </c>
      <c r="D614" s="32" t="s">
        <v>2086</v>
      </c>
      <c r="E614" s="31" t="s">
        <v>228</v>
      </c>
      <c r="F614" s="31">
        <v>7000000.0</v>
      </c>
      <c r="G614" s="31" t="s">
        <v>23</v>
      </c>
      <c r="I614" s="31" t="s">
        <v>229</v>
      </c>
      <c r="J614" s="31" t="s">
        <v>967</v>
      </c>
      <c r="K614" s="33" t="s">
        <v>2087</v>
      </c>
      <c r="L614" s="31" t="s">
        <v>202</v>
      </c>
      <c r="N614" s="31" t="s">
        <v>220</v>
      </c>
      <c r="S614" s="31" t="s">
        <v>1406</v>
      </c>
    </row>
    <row r="615">
      <c r="A615" s="29">
        <v>45913.62308472222</v>
      </c>
      <c r="B615" s="30">
        <v>45913.0</v>
      </c>
      <c r="C615" s="31" t="s">
        <v>2088</v>
      </c>
      <c r="D615" s="32" t="s">
        <v>2089</v>
      </c>
      <c r="E615" s="31" t="s">
        <v>288</v>
      </c>
      <c r="F615" s="31">
        <v>3000000.0</v>
      </c>
      <c r="G615" s="31" t="s">
        <v>23</v>
      </c>
      <c r="H615" s="31">
        <v>1.2E7</v>
      </c>
      <c r="I615" s="31" t="s">
        <v>413</v>
      </c>
      <c r="K615" s="33" t="s">
        <v>2090</v>
      </c>
      <c r="L615" s="31" t="s">
        <v>202</v>
      </c>
      <c r="M615" s="31" t="s">
        <v>605</v>
      </c>
      <c r="N615" s="31" t="s">
        <v>220</v>
      </c>
      <c r="S615" s="31" t="s">
        <v>913</v>
      </c>
    </row>
    <row r="616">
      <c r="A616" s="29">
        <v>45913.62317421296</v>
      </c>
      <c r="B616" s="30">
        <v>45913.0</v>
      </c>
      <c r="C616" s="31" t="s">
        <v>2091</v>
      </c>
      <c r="D616" s="32" t="s">
        <v>2092</v>
      </c>
      <c r="E616" s="31" t="s">
        <v>43</v>
      </c>
      <c r="F616" s="31">
        <v>5000000.0</v>
      </c>
      <c r="G616" s="31" t="s">
        <v>23</v>
      </c>
      <c r="I616" s="31" t="s">
        <v>229</v>
      </c>
      <c r="J616" s="31" t="s">
        <v>165</v>
      </c>
      <c r="K616" s="33" t="s">
        <v>2093</v>
      </c>
      <c r="L616" s="31" t="s">
        <v>202</v>
      </c>
      <c r="N616" s="31" t="s">
        <v>220</v>
      </c>
      <c r="S616" s="31" t="s">
        <v>124</v>
      </c>
    </row>
    <row r="617">
      <c r="A617" s="29">
        <v>45913.658325509256</v>
      </c>
      <c r="B617" s="30">
        <v>45913.0</v>
      </c>
      <c r="C617" s="31" t="s">
        <v>2094</v>
      </c>
      <c r="D617" s="32" t="s">
        <v>2095</v>
      </c>
      <c r="E617" s="31" t="s">
        <v>2096</v>
      </c>
      <c r="F617" s="31">
        <v>8000000.0</v>
      </c>
      <c r="G617" s="31" t="s">
        <v>23</v>
      </c>
      <c r="I617" s="31" t="s">
        <v>229</v>
      </c>
      <c r="J617" s="31" t="s">
        <v>967</v>
      </c>
      <c r="K617" s="33" t="s">
        <v>2097</v>
      </c>
      <c r="L617" s="31" t="s">
        <v>202</v>
      </c>
      <c r="N617" s="31" t="s">
        <v>220</v>
      </c>
      <c r="S617" s="31" t="s">
        <v>1406</v>
      </c>
    </row>
    <row r="618">
      <c r="A618" s="29">
        <v>45913.66762995371</v>
      </c>
      <c r="B618" s="30">
        <v>45913.0</v>
      </c>
      <c r="C618" s="31" t="s">
        <v>2098</v>
      </c>
      <c r="D618" s="32" t="s">
        <v>2099</v>
      </c>
      <c r="E618" s="31" t="s">
        <v>43</v>
      </c>
      <c r="F618" s="31">
        <v>5100000.0</v>
      </c>
      <c r="G618" s="31" t="s">
        <v>23</v>
      </c>
      <c r="H618" s="31">
        <v>3000000.0</v>
      </c>
      <c r="I618" s="31" t="s">
        <v>200</v>
      </c>
      <c r="K618" s="33" t="s">
        <v>2100</v>
      </c>
      <c r="L618" s="31" t="s">
        <v>252</v>
      </c>
      <c r="M618" s="31" t="s">
        <v>203</v>
      </c>
      <c r="O618" s="31" t="s">
        <v>205</v>
      </c>
      <c r="X618" s="31" t="s">
        <v>569</v>
      </c>
    </row>
    <row r="619">
      <c r="A619" s="29">
        <v>45913.668576805554</v>
      </c>
      <c r="B619" s="30">
        <v>45913.0</v>
      </c>
      <c r="C619" s="31" t="s">
        <v>2101</v>
      </c>
      <c r="D619" s="32" t="s">
        <v>2102</v>
      </c>
      <c r="E619" s="31" t="s">
        <v>31</v>
      </c>
      <c r="F619" s="31">
        <v>4500000.0</v>
      </c>
      <c r="G619" s="31" t="s">
        <v>23</v>
      </c>
      <c r="I619" s="31" t="s">
        <v>229</v>
      </c>
      <c r="J619" s="31" t="s">
        <v>967</v>
      </c>
      <c r="K619" s="33" t="s">
        <v>2103</v>
      </c>
      <c r="L619" s="31" t="s">
        <v>202</v>
      </c>
      <c r="N619" s="31" t="s">
        <v>220</v>
      </c>
      <c r="S619" s="31" t="s">
        <v>83</v>
      </c>
    </row>
    <row r="620">
      <c r="A620" s="29">
        <v>45913.673187175926</v>
      </c>
      <c r="B620" s="30">
        <v>45913.0</v>
      </c>
      <c r="C620" s="31" t="s">
        <v>2104</v>
      </c>
      <c r="D620" s="32" t="s">
        <v>2105</v>
      </c>
      <c r="E620" s="31" t="s">
        <v>43</v>
      </c>
      <c r="F620" s="31">
        <v>5600000.0</v>
      </c>
      <c r="G620" s="31" t="s">
        <v>23</v>
      </c>
      <c r="H620" s="31">
        <v>3000000.0</v>
      </c>
      <c r="I620" s="31" t="s">
        <v>413</v>
      </c>
      <c r="K620" s="33" t="s">
        <v>2106</v>
      </c>
      <c r="L620" s="31" t="s">
        <v>202</v>
      </c>
      <c r="M620" s="31" t="s">
        <v>203</v>
      </c>
      <c r="N620" s="31" t="s">
        <v>313</v>
      </c>
      <c r="T620" s="31" t="s">
        <v>329</v>
      </c>
    </row>
    <row r="621">
      <c r="A621" s="29">
        <v>45913.67396859954</v>
      </c>
      <c r="B621" s="30">
        <v>45913.0</v>
      </c>
      <c r="C621" s="31" t="s">
        <v>2107</v>
      </c>
      <c r="D621" s="32" t="s">
        <v>2108</v>
      </c>
      <c r="E621" s="31" t="s">
        <v>43</v>
      </c>
      <c r="F621" s="31">
        <v>6100000.0</v>
      </c>
      <c r="G621" s="31" t="s">
        <v>23</v>
      </c>
      <c r="I621" s="31" t="s">
        <v>229</v>
      </c>
      <c r="J621" s="31" t="s">
        <v>1445</v>
      </c>
      <c r="K621" s="33" t="s">
        <v>2109</v>
      </c>
      <c r="L621" s="31" t="s">
        <v>252</v>
      </c>
      <c r="O621" s="31" t="s">
        <v>205</v>
      </c>
      <c r="X621" s="31" t="s">
        <v>569</v>
      </c>
    </row>
    <row r="622">
      <c r="A622" s="29">
        <v>45913.678827384254</v>
      </c>
      <c r="B622" s="30">
        <v>45913.0</v>
      </c>
      <c r="C622" s="31" t="s">
        <v>2110</v>
      </c>
      <c r="D622" s="32" t="s">
        <v>2111</v>
      </c>
      <c r="E622" s="31" t="s">
        <v>228</v>
      </c>
      <c r="F622" s="31">
        <v>4000000.0</v>
      </c>
      <c r="G622" s="31" t="s">
        <v>23</v>
      </c>
      <c r="I622" s="31" t="s">
        <v>229</v>
      </c>
      <c r="J622" s="31" t="s">
        <v>967</v>
      </c>
      <c r="K622" s="33" t="s">
        <v>2112</v>
      </c>
      <c r="L622" s="31" t="s">
        <v>202</v>
      </c>
      <c r="N622" s="31" t="s">
        <v>220</v>
      </c>
      <c r="S622" s="31" t="s">
        <v>1406</v>
      </c>
    </row>
    <row r="623">
      <c r="A623" s="29">
        <v>45913.67997027778</v>
      </c>
      <c r="B623" s="30">
        <v>45913.0</v>
      </c>
      <c r="C623" s="31" t="s">
        <v>2113</v>
      </c>
      <c r="D623" s="32" t="s">
        <v>2114</v>
      </c>
      <c r="E623" s="31" t="s">
        <v>2115</v>
      </c>
      <c r="F623" s="34">
        <v>3000.0</v>
      </c>
      <c r="G623" s="31" t="s">
        <v>23</v>
      </c>
      <c r="I623" s="31" t="s">
        <v>229</v>
      </c>
      <c r="J623" s="31" t="s">
        <v>967</v>
      </c>
      <c r="K623" s="33" t="s">
        <v>2116</v>
      </c>
      <c r="L623" s="31" t="s">
        <v>202</v>
      </c>
      <c r="N623" s="31" t="s">
        <v>204</v>
      </c>
      <c r="R623" s="31" t="s">
        <v>167</v>
      </c>
    </row>
    <row r="624">
      <c r="A624" s="29">
        <v>45913.68276626157</v>
      </c>
      <c r="B624" s="30">
        <v>45913.0</v>
      </c>
      <c r="C624" s="31" t="s">
        <v>2117</v>
      </c>
      <c r="D624" s="32" t="s">
        <v>2118</v>
      </c>
      <c r="E624" s="31" t="s">
        <v>288</v>
      </c>
      <c r="F624" s="34">
        <v>3000.0</v>
      </c>
      <c r="G624" s="31" t="s">
        <v>23</v>
      </c>
      <c r="I624" s="31" t="s">
        <v>229</v>
      </c>
      <c r="J624" s="31" t="s">
        <v>967</v>
      </c>
      <c r="K624" s="33" t="s">
        <v>2119</v>
      </c>
      <c r="L624" s="31" t="s">
        <v>202</v>
      </c>
      <c r="N624" s="31" t="s">
        <v>204</v>
      </c>
      <c r="R624" s="31" t="s">
        <v>167</v>
      </c>
    </row>
    <row r="625">
      <c r="A625" s="29">
        <v>45913.696031134255</v>
      </c>
      <c r="B625" s="30">
        <v>45913.0</v>
      </c>
      <c r="C625" s="31" t="s">
        <v>2120</v>
      </c>
      <c r="D625" s="32" t="s">
        <v>2121</v>
      </c>
      <c r="E625" s="31" t="s">
        <v>43</v>
      </c>
      <c r="F625" s="31">
        <v>6500000.0</v>
      </c>
      <c r="G625" s="31" t="s">
        <v>23</v>
      </c>
      <c r="H625" s="31">
        <v>3000000.0</v>
      </c>
      <c r="I625" s="31" t="s">
        <v>413</v>
      </c>
      <c r="K625" s="33" t="s">
        <v>2122</v>
      </c>
      <c r="L625" s="31" t="s">
        <v>252</v>
      </c>
      <c r="M625" s="31" t="s">
        <v>203</v>
      </c>
      <c r="O625" s="31" t="s">
        <v>257</v>
      </c>
      <c r="P625" s="31" t="s">
        <v>258</v>
      </c>
    </row>
    <row r="626">
      <c r="A626" s="29">
        <v>45913.697040439816</v>
      </c>
      <c r="B626" s="30">
        <v>45913.0</v>
      </c>
      <c r="C626" s="31" t="s">
        <v>2123</v>
      </c>
      <c r="D626" s="32" t="s">
        <v>2124</v>
      </c>
      <c r="E626" s="31" t="s">
        <v>43</v>
      </c>
      <c r="F626" s="31">
        <v>3000000.0</v>
      </c>
      <c r="G626" s="31" t="s">
        <v>23</v>
      </c>
      <c r="I626" s="31" t="s">
        <v>229</v>
      </c>
      <c r="J626" s="31" t="s">
        <v>967</v>
      </c>
      <c r="K626" s="33" t="s">
        <v>2125</v>
      </c>
      <c r="L626" s="31" t="s">
        <v>202</v>
      </c>
      <c r="N626" s="31" t="s">
        <v>220</v>
      </c>
      <c r="S626" s="31" t="s">
        <v>466</v>
      </c>
    </row>
    <row r="627">
      <c r="A627" s="29">
        <v>45913.697590138894</v>
      </c>
      <c r="B627" s="30">
        <v>45913.0</v>
      </c>
      <c r="C627" s="31" t="s">
        <v>2126</v>
      </c>
      <c r="D627" s="32" t="s">
        <v>2127</v>
      </c>
      <c r="E627" s="31" t="s">
        <v>43</v>
      </c>
      <c r="F627" s="31">
        <v>5000000.0</v>
      </c>
      <c r="G627" s="31" t="s">
        <v>23</v>
      </c>
      <c r="I627" s="31" t="s">
        <v>229</v>
      </c>
      <c r="J627" s="31" t="s">
        <v>967</v>
      </c>
      <c r="K627" s="33" t="s">
        <v>2128</v>
      </c>
      <c r="L627" s="31" t="s">
        <v>252</v>
      </c>
      <c r="O627" s="31" t="s">
        <v>257</v>
      </c>
      <c r="P627" s="31" t="s">
        <v>258</v>
      </c>
    </row>
    <row r="628">
      <c r="A628" s="29">
        <v>45913.722949629635</v>
      </c>
      <c r="B628" s="30">
        <v>45913.0</v>
      </c>
      <c r="C628" s="31" t="s">
        <v>2129</v>
      </c>
      <c r="D628" s="32" t="s">
        <v>2130</v>
      </c>
      <c r="E628" s="31" t="s">
        <v>31</v>
      </c>
      <c r="F628" s="31">
        <v>5800000.0</v>
      </c>
      <c r="G628" s="31" t="s">
        <v>23</v>
      </c>
      <c r="H628" s="31">
        <v>5000000.0</v>
      </c>
      <c r="I628" s="31" t="s">
        <v>413</v>
      </c>
      <c r="K628" s="33" t="s">
        <v>2131</v>
      </c>
      <c r="L628" s="31" t="s">
        <v>202</v>
      </c>
      <c r="M628" s="31" t="s">
        <v>203</v>
      </c>
      <c r="N628" s="31" t="s">
        <v>500</v>
      </c>
      <c r="V628" s="31" t="s">
        <v>501</v>
      </c>
    </row>
    <row r="629">
      <c r="A629" s="29">
        <v>45913.726524375</v>
      </c>
      <c r="B629" s="30">
        <v>45913.0</v>
      </c>
      <c r="C629" s="31" t="s">
        <v>2132</v>
      </c>
      <c r="D629" s="32" t="s">
        <v>2133</v>
      </c>
      <c r="E629" s="31" t="s">
        <v>228</v>
      </c>
      <c r="F629" s="31">
        <v>3500000.0</v>
      </c>
      <c r="G629" s="31" t="s">
        <v>23</v>
      </c>
      <c r="I629" s="31" t="s">
        <v>229</v>
      </c>
      <c r="J629" s="31" t="s">
        <v>967</v>
      </c>
      <c r="K629" s="33" t="s">
        <v>2134</v>
      </c>
      <c r="L629" s="31" t="s">
        <v>202</v>
      </c>
      <c r="N629" s="31" t="s">
        <v>220</v>
      </c>
      <c r="S629" s="31" t="s">
        <v>59</v>
      </c>
    </row>
    <row r="630">
      <c r="A630" s="29">
        <v>45913.73682247685</v>
      </c>
      <c r="B630" s="30">
        <v>45913.0</v>
      </c>
      <c r="C630" s="31" t="s">
        <v>2135</v>
      </c>
      <c r="D630" s="32" t="s">
        <v>2136</v>
      </c>
      <c r="E630" s="31" t="s">
        <v>199</v>
      </c>
      <c r="F630" s="31">
        <v>3000000.0</v>
      </c>
      <c r="G630" s="31" t="s">
        <v>45</v>
      </c>
      <c r="H630" s="31">
        <v>5000000.0</v>
      </c>
      <c r="I630" s="31" t="s">
        <v>200</v>
      </c>
      <c r="K630" s="33" t="s">
        <v>2137</v>
      </c>
      <c r="L630" s="31" t="s">
        <v>202</v>
      </c>
      <c r="M630" s="31" t="s">
        <v>383</v>
      </c>
      <c r="N630" s="31" t="s">
        <v>215</v>
      </c>
      <c r="W630" s="31" t="s">
        <v>216</v>
      </c>
    </row>
    <row r="631">
      <c r="A631" s="29">
        <v>45913.753996423606</v>
      </c>
      <c r="B631" s="30">
        <v>45913.0</v>
      </c>
      <c r="C631" s="31" t="s">
        <v>2138</v>
      </c>
      <c r="D631" s="32" t="s">
        <v>2139</v>
      </c>
      <c r="E631" s="31" t="s">
        <v>2140</v>
      </c>
      <c r="F631" s="31">
        <v>1100000.0</v>
      </c>
      <c r="G631" s="31" t="s">
        <v>23</v>
      </c>
      <c r="I631" s="31" t="s">
        <v>229</v>
      </c>
      <c r="J631" s="31" t="s">
        <v>967</v>
      </c>
      <c r="K631" s="33" t="s">
        <v>2141</v>
      </c>
      <c r="L631" s="31" t="s">
        <v>202</v>
      </c>
      <c r="N631" s="31" t="s">
        <v>220</v>
      </c>
      <c r="S631" s="31" t="s">
        <v>536</v>
      </c>
    </row>
    <row r="632">
      <c r="A632" s="29">
        <v>45913.77397846065</v>
      </c>
      <c r="B632" s="30">
        <v>45913.0</v>
      </c>
      <c r="C632" s="31" t="s">
        <v>2142</v>
      </c>
      <c r="D632" s="32" t="s">
        <v>2143</v>
      </c>
      <c r="E632" s="31" t="s">
        <v>31</v>
      </c>
      <c r="F632" s="31">
        <v>5600000.0</v>
      </c>
      <c r="G632" s="31" t="s">
        <v>23</v>
      </c>
      <c r="I632" s="31" t="s">
        <v>229</v>
      </c>
      <c r="J632" s="31" t="s">
        <v>498</v>
      </c>
      <c r="K632" s="33" t="s">
        <v>2144</v>
      </c>
      <c r="L632" s="31" t="s">
        <v>202</v>
      </c>
      <c r="N632" s="31" t="s">
        <v>500</v>
      </c>
      <c r="V632" s="31" t="s">
        <v>501</v>
      </c>
    </row>
    <row r="633">
      <c r="A633" s="29">
        <v>45913.78225363426</v>
      </c>
      <c r="B633" s="30">
        <v>45913.0</v>
      </c>
      <c r="C633" s="31" t="s">
        <v>2145</v>
      </c>
      <c r="D633" s="32" t="s">
        <v>2146</v>
      </c>
      <c r="E633" s="31" t="s">
        <v>43</v>
      </c>
      <c r="F633" s="31">
        <v>5400000.0</v>
      </c>
      <c r="G633" s="31" t="s">
        <v>45</v>
      </c>
      <c r="H633" s="31">
        <v>5000000.0</v>
      </c>
      <c r="I633" s="31" t="s">
        <v>200</v>
      </c>
      <c r="K633" s="33" t="s">
        <v>2147</v>
      </c>
      <c r="L633" s="31" t="s">
        <v>202</v>
      </c>
      <c r="M633" s="31" t="s">
        <v>605</v>
      </c>
      <c r="N633" s="31" t="s">
        <v>204</v>
      </c>
      <c r="R633" s="31" t="s">
        <v>207</v>
      </c>
    </row>
    <row r="634">
      <c r="A634" s="29">
        <v>45913.78351709491</v>
      </c>
      <c r="B634" s="30">
        <v>45913.0</v>
      </c>
      <c r="C634" s="31" t="s">
        <v>2148</v>
      </c>
      <c r="D634" s="31" t="s">
        <v>2149</v>
      </c>
      <c r="E634" s="31" t="s">
        <v>31</v>
      </c>
      <c r="F634" s="31">
        <v>4500000.0</v>
      </c>
      <c r="G634" s="31" t="s">
        <v>23</v>
      </c>
      <c r="H634" s="31">
        <v>7000000.0</v>
      </c>
      <c r="I634" s="31" t="s">
        <v>413</v>
      </c>
      <c r="K634" s="33" t="s">
        <v>2150</v>
      </c>
      <c r="L634" s="31" t="s">
        <v>202</v>
      </c>
      <c r="M634" s="31" t="s">
        <v>605</v>
      </c>
      <c r="N634" s="31" t="s">
        <v>204</v>
      </c>
      <c r="R634" s="31" t="s">
        <v>207</v>
      </c>
    </row>
    <row r="635">
      <c r="A635" s="29">
        <v>45913.80005725694</v>
      </c>
      <c r="B635" s="30">
        <v>45913.0</v>
      </c>
      <c r="C635" s="31" t="s">
        <v>2151</v>
      </c>
      <c r="D635" s="32" t="s">
        <v>2152</v>
      </c>
      <c r="E635" s="31" t="s">
        <v>43</v>
      </c>
      <c r="F635" s="31">
        <v>2600000.0</v>
      </c>
      <c r="G635" s="31" t="s">
        <v>23</v>
      </c>
      <c r="I635" s="31" t="s">
        <v>229</v>
      </c>
      <c r="J635" s="31" t="s">
        <v>967</v>
      </c>
      <c r="K635" s="33" t="s">
        <v>2153</v>
      </c>
      <c r="L635" s="31" t="s">
        <v>252</v>
      </c>
      <c r="O635" s="31" t="s">
        <v>205</v>
      </c>
      <c r="X635" s="31" t="s">
        <v>452</v>
      </c>
    </row>
    <row r="636">
      <c r="A636" s="29">
        <v>45913.804108564815</v>
      </c>
      <c r="B636" s="30">
        <v>45913.0</v>
      </c>
      <c r="C636" s="31" t="s">
        <v>2154</v>
      </c>
      <c r="D636" s="31" t="s">
        <v>2155</v>
      </c>
      <c r="E636" s="31" t="s">
        <v>288</v>
      </c>
      <c r="F636" s="31">
        <v>2500000.0</v>
      </c>
      <c r="G636" s="31" t="s">
        <v>23</v>
      </c>
      <c r="I636" s="31" t="s">
        <v>229</v>
      </c>
      <c r="J636" s="31" t="s">
        <v>293</v>
      </c>
      <c r="K636" s="33" t="s">
        <v>2156</v>
      </c>
      <c r="L636" s="31" t="s">
        <v>202</v>
      </c>
      <c r="N636" s="31" t="s">
        <v>204</v>
      </c>
      <c r="R636" s="31" t="s">
        <v>892</v>
      </c>
    </row>
    <row r="637">
      <c r="A637" s="29">
        <v>45913.81330285879</v>
      </c>
      <c r="B637" s="30">
        <v>45913.0</v>
      </c>
      <c r="C637" s="31" t="s">
        <v>2157</v>
      </c>
      <c r="D637" s="32" t="s">
        <v>2158</v>
      </c>
      <c r="E637" s="31" t="s">
        <v>199</v>
      </c>
      <c r="F637" s="31">
        <v>3500000.0</v>
      </c>
      <c r="G637" s="31" t="s">
        <v>23</v>
      </c>
      <c r="H637" s="31">
        <v>3000000.0</v>
      </c>
      <c r="I637" s="31" t="s">
        <v>413</v>
      </c>
      <c r="K637" s="33" t="s">
        <v>2159</v>
      </c>
      <c r="L637" s="31" t="s">
        <v>252</v>
      </c>
      <c r="M637" s="31" t="s">
        <v>203</v>
      </c>
      <c r="O637" s="31" t="s">
        <v>205</v>
      </c>
      <c r="X637" s="31" t="s">
        <v>487</v>
      </c>
    </row>
    <row r="638">
      <c r="A638" s="29">
        <v>45913.81590637732</v>
      </c>
      <c r="B638" s="30">
        <v>45913.0</v>
      </c>
      <c r="C638" s="31" t="s">
        <v>2160</v>
      </c>
      <c r="D638" s="32" t="s">
        <v>2161</v>
      </c>
      <c r="E638" s="31" t="s">
        <v>43</v>
      </c>
      <c r="F638" s="31">
        <v>3000000.0</v>
      </c>
      <c r="G638" s="31" t="s">
        <v>23</v>
      </c>
      <c r="I638" s="31" t="s">
        <v>229</v>
      </c>
      <c r="J638" s="31" t="s">
        <v>165</v>
      </c>
      <c r="K638" s="33" t="s">
        <v>2162</v>
      </c>
      <c r="L638" s="31" t="s">
        <v>202</v>
      </c>
      <c r="N638" s="31" t="s">
        <v>215</v>
      </c>
      <c r="W638" s="31" t="s">
        <v>389</v>
      </c>
    </row>
    <row r="639">
      <c r="A639" s="29">
        <v>45913.81663342593</v>
      </c>
      <c r="B639" s="30">
        <v>45913.0</v>
      </c>
      <c r="C639" s="31" t="s">
        <v>2163</v>
      </c>
      <c r="D639" s="32" t="s">
        <v>2164</v>
      </c>
      <c r="E639" s="31" t="s">
        <v>43</v>
      </c>
      <c r="F639" s="31">
        <v>3000000.0</v>
      </c>
      <c r="G639" s="31" t="s">
        <v>23</v>
      </c>
      <c r="I639" s="31" t="s">
        <v>229</v>
      </c>
      <c r="J639" s="31" t="s">
        <v>967</v>
      </c>
      <c r="K639" s="33" t="s">
        <v>2165</v>
      </c>
      <c r="L639" s="31" t="s">
        <v>252</v>
      </c>
      <c r="O639" s="31" t="s">
        <v>205</v>
      </c>
      <c r="X639" s="31" t="s">
        <v>549</v>
      </c>
    </row>
    <row r="640">
      <c r="A640" s="29">
        <v>45913.85110940972</v>
      </c>
      <c r="B640" s="30">
        <v>45913.0</v>
      </c>
      <c r="C640" s="31" t="s">
        <v>2166</v>
      </c>
      <c r="D640" s="32" t="s">
        <v>2167</v>
      </c>
      <c r="E640" s="31" t="s">
        <v>43</v>
      </c>
      <c r="F640" s="31">
        <v>1100000.0</v>
      </c>
      <c r="G640" s="31" t="s">
        <v>23</v>
      </c>
      <c r="H640" s="31">
        <v>1.1E7</v>
      </c>
      <c r="I640" s="31" t="s">
        <v>413</v>
      </c>
      <c r="K640" s="33" t="s">
        <v>2168</v>
      </c>
      <c r="L640" s="31" t="s">
        <v>202</v>
      </c>
      <c r="M640" s="31" t="s">
        <v>605</v>
      </c>
      <c r="N640" s="31" t="s">
        <v>220</v>
      </c>
      <c r="S640" s="31" t="s">
        <v>536</v>
      </c>
    </row>
    <row r="641">
      <c r="A641" s="29">
        <v>45913.85795009259</v>
      </c>
      <c r="B641" s="30">
        <v>45913.0</v>
      </c>
      <c r="C641" s="31" t="s">
        <v>2169</v>
      </c>
      <c r="D641" s="32" t="s">
        <v>2170</v>
      </c>
      <c r="E641" s="31" t="s">
        <v>228</v>
      </c>
      <c r="F641" s="31">
        <v>2400000.0</v>
      </c>
      <c r="G641" s="31" t="s">
        <v>23</v>
      </c>
      <c r="I641" s="31" t="s">
        <v>229</v>
      </c>
      <c r="J641" s="31" t="s">
        <v>967</v>
      </c>
      <c r="K641" s="33" t="s">
        <v>2171</v>
      </c>
      <c r="L641" s="31" t="s">
        <v>202</v>
      </c>
      <c r="N641" s="31" t="s">
        <v>204</v>
      </c>
      <c r="R641" s="31" t="s">
        <v>148</v>
      </c>
    </row>
    <row r="642">
      <c r="A642" s="29">
        <v>45913.895653252315</v>
      </c>
      <c r="B642" s="30">
        <v>45913.0</v>
      </c>
      <c r="C642" s="31" t="s">
        <v>2172</v>
      </c>
      <c r="D642" s="32" t="s">
        <v>1438</v>
      </c>
      <c r="E642" s="31" t="s">
        <v>43</v>
      </c>
      <c r="F642" s="31">
        <v>4500000.0</v>
      </c>
      <c r="G642" s="31" t="s">
        <v>23</v>
      </c>
      <c r="I642" s="31" t="s">
        <v>229</v>
      </c>
      <c r="J642" s="31" t="s">
        <v>967</v>
      </c>
      <c r="K642" s="33" t="s">
        <v>2173</v>
      </c>
      <c r="L642" s="31" t="s">
        <v>202</v>
      </c>
      <c r="N642" s="31" t="s">
        <v>220</v>
      </c>
      <c r="S642" s="31" t="s">
        <v>124</v>
      </c>
    </row>
    <row r="643">
      <c r="A643" s="29">
        <v>45913.8963108912</v>
      </c>
      <c r="B643" s="30">
        <v>45913.0</v>
      </c>
      <c r="C643" s="31" t="s">
        <v>2174</v>
      </c>
      <c r="D643" s="32" t="s">
        <v>2175</v>
      </c>
      <c r="E643" s="31" t="s">
        <v>43</v>
      </c>
      <c r="F643" s="31">
        <v>3000000.0</v>
      </c>
      <c r="G643" s="31" t="s">
        <v>23</v>
      </c>
      <c r="H643" s="31">
        <v>3000000.0</v>
      </c>
      <c r="I643" s="31" t="s">
        <v>200</v>
      </c>
      <c r="K643" s="33" t="s">
        <v>2176</v>
      </c>
      <c r="L643" s="31" t="s">
        <v>252</v>
      </c>
      <c r="M643" s="31" t="s">
        <v>203</v>
      </c>
      <c r="O643" s="31" t="s">
        <v>205</v>
      </c>
      <c r="X643" s="31" t="s">
        <v>549</v>
      </c>
    </row>
    <row r="644">
      <c r="A644" s="29">
        <v>45913.89654472222</v>
      </c>
      <c r="B644" s="30">
        <v>45913.0</v>
      </c>
      <c r="C644" s="31" t="s">
        <v>2177</v>
      </c>
      <c r="D644" s="32" t="s">
        <v>2178</v>
      </c>
      <c r="E644" s="31" t="s">
        <v>493</v>
      </c>
      <c r="F644" s="31">
        <v>3000000.0</v>
      </c>
      <c r="G644" s="31" t="s">
        <v>23</v>
      </c>
      <c r="I644" s="31" t="s">
        <v>229</v>
      </c>
      <c r="J644" s="31" t="s">
        <v>165</v>
      </c>
      <c r="K644" s="33" t="s">
        <v>2179</v>
      </c>
      <c r="L644" s="31" t="s">
        <v>202</v>
      </c>
      <c r="N644" s="31" t="s">
        <v>204</v>
      </c>
      <c r="R644" s="31" t="s">
        <v>28</v>
      </c>
    </row>
    <row r="645">
      <c r="A645" s="29">
        <v>45913.89756081019</v>
      </c>
      <c r="B645" s="30">
        <v>45913.0</v>
      </c>
      <c r="C645" s="31" t="s">
        <v>2180</v>
      </c>
      <c r="D645" s="32" t="s">
        <v>2181</v>
      </c>
      <c r="E645" s="31" t="s">
        <v>43</v>
      </c>
      <c r="F645" s="31">
        <v>5000000.0</v>
      </c>
      <c r="G645" s="31" t="s">
        <v>23</v>
      </c>
      <c r="H645" s="31">
        <v>7000000.0</v>
      </c>
      <c r="I645" s="31" t="s">
        <v>413</v>
      </c>
      <c r="K645" s="33" t="s">
        <v>2182</v>
      </c>
      <c r="L645" s="31" t="s">
        <v>202</v>
      </c>
      <c r="M645" s="31" t="s">
        <v>203</v>
      </c>
      <c r="N645" s="31" t="s">
        <v>220</v>
      </c>
      <c r="S645" s="31" t="s">
        <v>124</v>
      </c>
    </row>
    <row r="646">
      <c r="A646" s="29">
        <v>45914.48987158565</v>
      </c>
      <c r="B646" s="30">
        <v>45914.0</v>
      </c>
      <c r="C646" s="31" t="s">
        <v>2183</v>
      </c>
      <c r="D646" s="32" t="s">
        <v>2111</v>
      </c>
      <c r="E646" s="31" t="s">
        <v>228</v>
      </c>
      <c r="F646" s="31">
        <v>5000000.0</v>
      </c>
      <c r="G646" s="31" t="s">
        <v>23</v>
      </c>
      <c r="I646" s="31" t="s">
        <v>229</v>
      </c>
      <c r="J646" s="31" t="s">
        <v>967</v>
      </c>
      <c r="K646" s="33" t="s">
        <v>2184</v>
      </c>
      <c r="L646" s="31" t="s">
        <v>202</v>
      </c>
      <c r="N646" s="31" t="s">
        <v>220</v>
      </c>
      <c r="S646" s="31" t="s">
        <v>1406</v>
      </c>
    </row>
    <row r="647">
      <c r="A647" s="29">
        <v>45914.54405494213</v>
      </c>
      <c r="B647" s="30">
        <v>45914.0</v>
      </c>
      <c r="C647" s="31" t="s">
        <v>2185</v>
      </c>
      <c r="D647" s="32" t="s">
        <v>2186</v>
      </c>
      <c r="E647" s="31" t="s">
        <v>199</v>
      </c>
      <c r="F647" s="31">
        <v>3500000.0</v>
      </c>
      <c r="G647" s="31" t="s">
        <v>45</v>
      </c>
      <c r="I647" s="31" t="s">
        <v>229</v>
      </c>
      <c r="J647" s="31" t="s">
        <v>270</v>
      </c>
      <c r="K647" s="33" t="s">
        <v>2187</v>
      </c>
      <c r="L647" s="31" t="s">
        <v>202</v>
      </c>
      <c r="N647" s="31" t="s">
        <v>204</v>
      </c>
      <c r="R647" s="31" t="s">
        <v>192</v>
      </c>
    </row>
    <row r="648">
      <c r="A648" s="29">
        <v>45914.54733822917</v>
      </c>
      <c r="B648" s="30">
        <v>45914.0</v>
      </c>
      <c r="C648" s="31" t="s">
        <v>2188</v>
      </c>
      <c r="D648" s="32" t="s">
        <v>2189</v>
      </c>
      <c r="E648" s="31" t="s">
        <v>288</v>
      </c>
      <c r="F648" s="31">
        <v>2500000.0</v>
      </c>
      <c r="G648" s="31" t="s">
        <v>23</v>
      </c>
      <c r="I648" s="31" t="s">
        <v>229</v>
      </c>
      <c r="J648" s="31" t="s">
        <v>967</v>
      </c>
      <c r="K648" s="33" t="s">
        <v>2190</v>
      </c>
      <c r="L648" s="31" t="s">
        <v>202</v>
      </c>
      <c r="N648" s="31" t="s">
        <v>204</v>
      </c>
      <c r="R648" s="31" t="s">
        <v>148</v>
      </c>
    </row>
    <row r="649">
      <c r="A649" s="29">
        <v>45914.55762927083</v>
      </c>
      <c r="B649" s="30">
        <v>45914.0</v>
      </c>
      <c r="C649" s="31" t="s">
        <v>2191</v>
      </c>
      <c r="D649" s="32" t="s">
        <v>2186</v>
      </c>
      <c r="E649" s="31" t="s">
        <v>199</v>
      </c>
      <c r="F649" s="31">
        <v>3500000.0</v>
      </c>
      <c r="G649" s="31" t="s">
        <v>45</v>
      </c>
      <c r="H649" s="31">
        <v>7000000.0</v>
      </c>
      <c r="I649" s="31" t="s">
        <v>413</v>
      </c>
      <c r="K649" s="33" t="s">
        <v>2192</v>
      </c>
      <c r="L649" s="31" t="s">
        <v>202</v>
      </c>
      <c r="M649" s="31" t="s">
        <v>383</v>
      </c>
      <c r="N649" s="31" t="s">
        <v>204</v>
      </c>
      <c r="R649" s="31" t="s">
        <v>192</v>
      </c>
    </row>
    <row r="650">
      <c r="A650" s="29">
        <v>45914.644137256946</v>
      </c>
      <c r="B650" s="30">
        <v>45914.0</v>
      </c>
      <c r="C650" s="31" t="s">
        <v>2193</v>
      </c>
      <c r="D650" s="32" t="s">
        <v>2194</v>
      </c>
      <c r="E650" s="31" t="s">
        <v>43</v>
      </c>
      <c r="F650" s="31">
        <v>2500000.0</v>
      </c>
      <c r="G650" s="31" t="s">
        <v>23</v>
      </c>
      <c r="I650" s="31" t="s">
        <v>229</v>
      </c>
      <c r="J650" s="31" t="s">
        <v>967</v>
      </c>
      <c r="K650" s="33" t="s">
        <v>2195</v>
      </c>
      <c r="L650" s="31" t="s">
        <v>202</v>
      </c>
      <c r="N650" s="31" t="s">
        <v>204</v>
      </c>
      <c r="R650" s="31" t="s">
        <v>148</v>
      </c>
    </row>
    <row r="651">
      <c r="A651" s="29">
        <v>45914.707331921294</v>
      </c>
      <c r="B651" s="30">
        <v>45914.0</v>
      </c>
      <c r="C651" s="31" t="s">
        <v>2196</v>
      </c>
      <c r="D651" s="31">
        <v>6.281353992805E12</v>
      </c>
      <c r="E651" s="31" t="s">
        <v>43</v>
      </c>
      <c r="F651" s="31">
        <v>5800000.0</v>
      </c>
      <c r="G651" s="31" t="s">
        <v>23</v>
      </c>
      <c r="I651" s="31" t="s">
        <v>229</v>
      </c>
      <c r="J651" s="31" t="s">
        <v>967</v>
      </c>
      <c r="K651" s="33" t="s">
        <v>2197</v>
      </c>
      <c r="L651" s="31" t="s">
        <v>202</v>
      </c>
      <c r="N651" s="31" t="s">
        <v>220</v>
      </c>
      <c r="S651" s="31" t="s">
        <v>124</v>
      </c>
    </row>
    <row r="652">
      <c r="A652" s="29">
        <v>45914.71533334491</v>
      </c>
      <c r="B652" s="30">
        <v>45914.0</v>
      </c>
      <c r="C652" s="31" t="s">
        <v>2198</v>
      </c>
      <c r="D652" s="32" t="s">
        <v>2199</v>
      </c>
      <c r="E652" s="31" t="s">
        <v>43</v>
      </c>
      <c r="F652" s="31">
        <v>4000000.0</v>
      </c>
      <c r="G652" s="31" t="s">
        <v>23</v>
      </c>
      <c r="I652" s="31" t="s">
        <v>229</v>
      </c>
      <c r="J652" s="31" t="s">
        <v>967</v>
      </c>
      <c r="K652" s="33" t="s">
        <v>2200</v>
      </c>
      <c r="L652" s="31" t="s">
        <v>202</v>
      </c>
      <c r="N652" s="31" t="s">
        <v>220</v>
      </c>
      <c r="S652" s="31" t="s">
        <v>124</v>
      </c>
    </row>
    <row r="653">
      <c r="A653" s="29">
        <v>45914.716433090274</v>
      </c>
      <c r="B653" s="30">
        <v>45914.0</v>
      </c>
      <c r="C653" s="31" t="s">
        <v>2201</v>
      </c>
      <c r="D653" s="32" t="s">
        <v>2202</v>
      </c>
      <c r="E653" s="31" t="s">
        <v>199</v>
      </c>
      <c r="F653" s="31">
        <v>6500000.0</v>
      </c>
      <c r="G653" s="31" t="s">
        <v>23</v>
      </c>
      <c r="I653" s="31" t="s">
        <v>229</v>
      </c>
      <c r="J653" s="31" t="s">
        <v>967</v>
      </c>
      <c r="K653" s="33" t="s">
        <v>2203</v>
      </c>
      <c r="L653" s="31" t="s">
        <v>202</v>
      </c>
      <c r="N653" s="31" t="s">
        <v>220</v>
      </c>
      <c r="S653" s="31" t="s">
        <v>124</v>
      </c>
    </row>
    <row r="654">
      <c r="A654" s="29">
        <v>45914.739558518515</v>
      </c>
      <c r="B654" s="30">
        <v>45914.0</v>
      </c>
      <c r="C654" s="31" t="s">
        <v>2204</v>
      </c>
      <c r="D654" s="32" t="s">
        <v>2205</v>
      </c>
      <c r="E654" s="31" t="s">
        <v>228</v>
      </c>
      <c r="F654" s="31">
        <v>5000000.0</v>
      </c>
      <c r="G654" s="31" t="s">
        <v>23</v>
      </c>
      <c r="I654" s="31" t="s">
        <v>229</v>
      </c>
      <c r="J654" s="31" t="s">
        <v>967</v>
      </c>
      <c r="K654" s="33" t="s">
        <v>2206</v>
      </c>
      <c r="L654" s="31" t="s">
        <v>202</v>
      </c>
      <c r="N654" s="31" t="s">
        <v>220</v>
      </c>
      <c r="S654" s="31" t="s">
        <v>1406</v>
      </c>
    </row>
    <row r="655">
      <c r="A655" s="29">
        <v>45914.745687511575</v>
      </c>
      <c r="B655" s="30">
        <v>45914.0</v>
      </c>
      <c r="C655" s="31" t="s">
        <v>2207</v>
      </c>
      <c r="D655" s="32" t="s">
        <v>2208</v>
      </c>
      <c r="E655" s="31" t="s">
        <v>2209</v>
      </c>
      <c r="F655" s="34">
        <v>3000.0</v>
      </c>
      <c r="G655" s="31" t="s">
        <v>23</v>
      </c>
      <c r="I655" s="31" t="s">
        <v>229</v>
      </c>
      <c r="J655" s="31" t="s">
        <v>967</v>
      </c>
      <c r="K655" s="33" t="s">
        <v>2210</v>
      </c>
      <c r="L655" s="31" t="s">
        <v>202</v>
      </c>
      <c r="N655" s="31" t="s">
        <v>204</v>
      </c>
      <c r="R655" s="31" t="s">
        <v>167</v>
      </c>
    </row>
    <row r="656">
      <c r="A656" s="29">
        <v>45914.74722923611</v>
      </c>
      <c r="B656" s="30">
        <v>45914.0</v>
      </c>
      <c r="C656" s="31" t="s">
        <v>2211</v>
      </c>
      <c r="D656" s="32" t="s">
        <v>2212</v>
      </c>
      <c r="E656" s="31" t="s">
        <v>288</v>
      </c>
      <c r="F656" s="34">
        <v>6000.0</v>
      </c>
      <c r="G656" s="31" t="s">
        <v>23</v>
      </c>
      <c r="I656" s="31" t="s">
        <v>229</v>
      </c>
      <c r="J656" s="31" t="s">
        <v>967</v>
      </c>
      <c r="K656" s="33" t="s">
        <v>2213</v>
      </c>
      <c r="L656" s="31" t="s">
        <v>202</v>
      </c>
      <c r="N656" s="31" t="s">
        <v>204</v>
      </c>
      <c r="R656" s="31" t="s">
        <v>167</v>
      </c>
    </row>
    <row r="657">
      <c r="A657" s="29">
        <v>45914.75061195602</v>
      </c>
      <c r="B657" s="30">
        <v>45914.0</v>
      </c>
      <c r="C657" s="31" t="s">
        <v>2214</v>
      </c>
      <c r="D657" s="32" t="s">
        <v>2205</v>
      </c>
      <c r="E657" s="31" t="s">
        <v>228</v>
      </c>
      <c r="F657" s="31">
        <v>4500000.0</v>
      </c>
      <c r="G657" s="31" t="s">
        <v>23</v>
      </c>
      <c r="I657" s="31" t="s">
        <v>229</v>
      </c>
      <c r="J657" s="31" t="s">
        <v>967</v>
      </c>
      <c r="K657" s="33" t="s">
        <v>2215</v>
      </c>
      <c r="L657" s="31" t="s">
        <v>202</v>
      </c>
      <c r="N657" s="31" t="s">
        <v>220</v>
      </c>
      <c r="S657" s="31" t="s">
        <v>1406</v>
      </c>
    </row>
    <row r="658">
      <c r="A658" s="29">
        <v>45914.75884789352</v>
      </c>
      <c r="B658" s="30">
        <v>45914.0</v>
      </c>
      <c r="C658" s="31" t="s">
        <v>2216</v>
      </c>
      <c r="D658" s="32" t="s">
        <v>2217</v>
      </c>
      <c r="E658" s="31" t="s">
        <v>199</v>
      </c>
      <c r="F658" s="31">
        <v>4800000.0</v>
      </c>
      <c r="G658" s="31" t="s">
        <v>45</v>
      </c>
      <c r="H658" s="31">
        <v>3000000.0</v>
      </c>
      <c r="I658" s="31" t="s">
        <v>413</v>
      </c>
      <c r="K658" s="33" t="s">
        <v>2218</v>
      </c>
      <c r="L658" s="31" t="s">
        <v>202</v>
      </c>
      <c r="M658" s="31" t="s">
        <v>203</v>
      </c>
      <c r="N658" s="31" t="s">
        <v>204</v>
      </c>
      <c r="R658" s="31" t="s">
        <v>148</v>
      </c>
    </row>
    <row r="659">
      <c r="A659" s="29">
        <v>45914.79483300926</v>
      </c>
      <c r="B659" s="30">
        <v>45914.0</v>
      </c>
      <c r="C659" s="31" t="s">
        <v>2219</v>
      </c>
      <c r="D659" s="32" t="s">
        <v>2220</v>
      </c>
      <c r="E659" s="31" t="s">
        <v>239</v>
      </c>
      <c r="F659" s="34">
        <v>2000.0</v>
      </c>
      <c r="G659" s="31" t="s">
        <v>23</v>
      </c>
      <c r="I659" s="31" t="s">
        <v>229</v>
      </c>
      <c r="J659" s="31" t="s">
        <v>967</v>
      </c>
      <c r="K659" s="33" t="s">
        <v>2221</v>
      </c>
      <c r="L659" s="31" t="s">
        <v>202</v>
      </c>
      <c r="N659" s="31" t="s">
        <v>204</v>
      </c>
      <c r="R659" s="31" t="s">
        <v>167</v>
      </c>
    </row>
    <row r="660">
      <c r="A660" s="29">
        <v>45914.80469769676</v>
      </c>
      <c r="B660" s="30">
        <v>45914.0</v>
      </c>
      <c r="C660" s="31" t="s">
        <v>2222</v>
      </c>
      <c r="D660" s="32" t="s">
        <v>2223</v>
      </c>
      <c r="E660" s="31" t="s">
        <v>43</v>
      </c>
      <c r="F660" s="31">
        <v>3800000.0</v>
      </c>
      <c r="G660" s="31" t="s">
        <v>23</v>
      </c>
      <c r="I660" s="31" t="s">
        <v>229</v>
      </c>
      <c r="J660" s="31" t="s">
        <v>967</v>
      </c>
      <c r="K660" s="33" t="s">
        <v>2224</v>
      </c>
      <c r="L660" s="31" t="s">
        <v>252</v>
      </c>
      <c r="O660" s="31" t="s">
        <v>205</v>
      </c>
      <c r="X660" s="31" t="s">
        <v>452</v>
      </c>
    </row>
    <row r="661">
      <c r="A661" s="29">
        <v>45914.81513072917</v>
      </c>
      <c r="B661" s="30">
        <v>45914.0</v>
      </c>
      <c r="C661" s="31" t="s">
        <v>2225</v>
      </c>
      <c r="D661" s="32" t="s">
        <v>2226</v>
      </c>
      <c r="E661" s="31" t="s">
        <v>288</v>
      </c>
      <c r="F661" s="31">
        <v>1.1E7</v>
      </c>
      <c r="G661" s="31" t="s">
        <v>23</v>
      </c>
      <c r="I661" s="31" t="s">
        <v>229</v>
      </c>
      <c r="J661" s="31" t="s">
        <v>967</v>
      </c>
      <c r="K661" s="33" t="s">
        <v>2227</v>
      </c>
      <c r="L661" s="31" t="s">
        <v>202</v>
      </c>
      <c r="N661" s="31" t="s">
        <v>220</v>
      </c>
      <c r="S661" s="31" t="s">
        <v>536</v>
      </c>
    </row>
    <row r="662">
      <c r="A662" s="29">
        <v>45914.82146034722</v>
      </c>
      <c r="B662" s="30">
        <v>45914.0</v>
      </c>
      <c r="C662" s="31" t="s">
        <v>2228</v>
      </c>
      <c r="D662" s="32" t="s">
        <v>2229</v>
      </c>
      <c r="E662" s="31" t="s">
        <v>43</v>
      </c>
      <c r="F662" s="31">
        <v>8500000.0</v>
      </c>
      <c r="G662" s="31" t="s">
        <v>23</v>
      </c>
      <c r="I662" s="31" t="s">
        <v>229</v>
      </c>
      <c r="J662" s="31" t="s">
        <v>262</v>
      </c>
      <c r="K662" s="33" t="s">
        <v>2230</v>
      </c>
      <c r="L662" s="31" t="s">
        <v>252</v>
      </c>
      <c r="O662" s="31" t="s">
        <v>257</v>
      </c>
      <c r="P662" s="31" t="s">
        <v>258</v>
      </c>
    </row>
    <row r="663">
      <c r="A663" s="29">
        <v>45914.830176435185</v>
      </c>
      <c r="B663" s="30">
        <v>45914.0</v>
      </c>
      <c r="C663" s="31" t="s">
        <v>2231</v>
      </c>
      <c r="D663" s="32" t="s">
        <v>2232</v>
      </c>
      <c r="E663" s="31" t="s">
        <v>43</v>
      </c>
      <c r="F663" s="31">
        <v>7000000.0</v>
      </c>
      <c r="G663" s="31" t="s">
        <v>23</v>
      </c>
      <c r="H663" s="31">
        <v>3000000.0</v>
      </c>
      <c r="I663" s="31" t="s">
        <v>413</v>
      </c>
      <c r="K663" s="33" t="s">
        <v>2233</v>
      </c>
      <c r="L663" s="31" t="s">
        <v>202</v>
      </c>
      <c r="M663" s="31" t="s">
        <v>203</v>
      </c>
      <c r="N663" s="31" t="s">
        <v>220</v>
      </c>
      <c r="S663" s="31" t="s">
        <v>1406</v>
      </c>
    </row>
    <row r="664">
      <c r="A664" s="29">
        <v>45914.86712011574</v>
      </c>
      <c r="B664" s="30">
        <v>45914.0</v>
      </c>
      <c r="C664" s="31" t="s">
        <v>2234</v>
      </c>
      <c r="D664" s="32" t="s">
        <v>2235</v>
      </c>
      <c r="E664" s="31" t="s">
        <v>43</v>
      </c>
      <c r="F664" s="31">
        <v>700000.0</v>
      </c>
      <c r="G664" s="31" t="s">
        <v>23</v>
      </c>
      <c r="I664" s="31" t="s">
        <v>229</v>
      </c>
      <c r="J664" s="31" t="s">
        <v>967</v>
      </c>
      <c r="K664" s="33" t="s">
        <v>2236</v>
      </c>
      <c r="L664" s="31" t="s">
        <v>202</v>
      </c>
      <c r="N664" s="31" t="s">
        <v>220</v>
      </c>
      <c r="S664" s="31" t="s">
        <v>536</v>
      </c>
    </row>
    <row r="665">
      <c r="A665" s="29">
        <v>45914.868590266204</v>
      </c>
      <c r="B665" s="30">
        <v>45914.0</v>
      </c>
      <c r="C665" s="31" t="s">
        <v>2237</v>
      </c>
      <c r="D665" s="32" t="s">
        <v>2238</v>
      </c>
      <c r="E665" s="31" t="s">
        <v>43</v>
      </c>
      <c r="F665" s="31">
        <v>2500000.0</v>
      </c>
      <c r="G665" s="31" t="s">
        <v>23</v>
      </c>
      <c r="I665" s="31" t="s">
        <v>229</v>
      </c>
      <c r="J665" s="31" t="s">
        <v>967</v>
      </c>
      <c r="K665" s="33" t="s">
        <v>2239</v>
      </c>
      <c r="L665" s="31" t="s">
        <v>202</v>
      </c>
      <c r="N665" s="31" t="s">
        <v>220</v>
      </c>
      <c r="S665" s="31" t="s">
        <v>536</v>
      </c>
    </row>
    <row r="666">
      <c r="A666" s="29">
        <v>45914.875663125</v>
      </c>
      <c r="B666" s="30">
        <v>45914.0</v>
      </c>
      <c r="C666" s="31" t="s">
        <v>2240</v>
      </c>
      <c r="D666" s="31">
        <v>0.0</v>
      </c>
      <c r="E666" s="31" t="s">
        <v>2241</v>
      </c>
      <c r="F666" s="34">
        <v>1900.0</v>
      </c>
      <c r="G666" s="31" t="s">
        <v>23</v>
      </c>
      <c r="I666" s="31" t="s">
        <v>229</v>
      </c>
      <c r="J666" s="31" t="s">
        <v>967</v>
      </c>
      <c r="K666" s="33" t="s">
        <v>2242</v>
      </c>
      <c r="L666" s="31" t="s">
        <v>202</v>
      </c>
      <c r="N666" s="31" t="s">
        <v>204</v>
      </c>
      <c r="R666" s="31" t="s">
        <v>171</v>
      </c>
    </row>
    <row r="667">
      <c r="A667" s="29">
        <v>45914.876440277774</v>
      </c>
      <c r="B667" s="30">
        <v>45914.0</v>
      </c>
      <c r="C667" s="31" t="s">
        <v>2243</v>
      </c>
      <c r="D667" s="32" t="s">
        <v>2244</v>
      </c>
      <c r="E667" s="31" t="s">
        <v>288</v>
      </c>
      <c r="F667" s="34">
        <v>2000.0</v>
      </c>
      <c r="G667" s="31" t="s">
        <v>23</v>
      </c>
      <c r="I667" s="31" t="s">
        <v>229</v>
      </c>
      <c r="J667" s="31" t="s">
        <v>967</v>
      </c>
      <c r="K667" s="33" t="s">
        <v>2245</v>
      </c>
      <c r="L667" s="31" t="s">
        <v>202</v>
      </c>
      <c r="N667" s="31" t="s">
        <v>204</v>
      </c>
      <c r="R667" s="31" t="s">
        <v>167</v>
      </c>
    </row>
    <row r="668">
      <c r="A668" s="29">
        <v>45914.87846399305</v>
      </c>
      <c r="B668" s="30">
        <v>45914.0</v>
      </c>
      <c r="C668" s="31" t="s">
        <v>2246</v>
      </c>
      <c r="D668" s="31">
        <v>0.0</v>
      </c>
      <c r="E668" s="31" t="s">
        <v>2247</v>
      </c>
      <c r="F668" s="34">
        <v>2400.0</v>
      </c>
      <c r="G668" s="31" t="s">
        <v>23</v>
      </c>
      <c r="I668" s="31" t="s">
        <v>229</v>
      </c>
      <c r="J668" s="31" t="s">
        <v>967</v>
      </c>
      <c r="K668" s="33" t="s">
        <v>2248</v>
      </c>
      <c r="L668" s="31" t="s">
        <v>202</v>
      </c>
      <c r="N668" s="31" t="s">
        <v>204</v>
      </c>
      <c r="R668" s="31" t="s">
        <v>171</v>
      </c>
    </row>
    <row r="669">
      <c r="A669" s="29">
        <v>45914.87990103009</v>
      </c>
      <c r="B669" s="30">
        <v>45914.0</v>
      </c>
      <c r="C669" s="31" t="s">
        <v>2249</v>
      </c>
      <c r="D669" s="31">
        <v>0.0</v>
      </c>
      <c r="E669" s="31" t="s">
        <v>199</v>
      </c>
      <c r="F669" s="31">
        <v>800000.0</v>
      </c>
      <c r="G669" s="31" t="s">
        <v>45</v>
      </c>
      <c r="I669" s="31" t="s">
        <v>229</v>
      </c>
      <c r="J669" s="31" t="s">
        <v>967</v>
      </c>
      <c r="K669" s="33" t="s">
        <v>2250</v>
      </c>
      <c r="L669" s="31" t="s">
        <v>202</v>
      </c>
      <c r="N669" s="31" t="s">
        <v>204</v>
      </c>
      <c r="R669" s="31" t="s">
        <v>171</v>
      </c>
    </row>
    <row r="670">
      <c r="A670" s="29">
        <v>45914.88149847223</v>
      </c>
      <c r="B670" s="30">
        <v>45914.0</v>
      </c>
      <c r="C670" s="31" t="s">
        <v>2251</v>
      </c>
      <c r="D670" s="31">
        <v>0.0</v>
      </c>
      <c r="E670" s="31" t="s">
        <v>228</v>
      </c>
      <c r="F670" s="32" t="s">
        <v>2252</v>
      </c>
      <c r="G670" s="31" t="s">
        <v>23</v>
      </c>
      <c r="I670" s="31" t="s">
        <v>229</v>
      </c>
      <c r="J670" s="31" t="s">
        <v>967</v>
      </c>
      <c r="K670" s="33" t="s">
        <v>2253</v>
      </c>
      <c r="L670" s="31" t="s">
        <v>202</v>
      </c>
      <c r="N670" s="31" t="s">
        <v>204</v>
      </c>
      <c r="R670" s="31" t="s">
        <v>171</v>
      </c>
    </row>
    <row r="671">
      <c r="A671" s="29">
        <v>45914.881980046295</v>
      </c>
      <c r="B671" s="30">
        <v>45914.0</v>
      </c>
      <c r="C671" s="31" t="s">
        <v>2254</v>
      </c>
      <c r="D671" s="32" t="s">
        <v>776</v>
      </c>
      <c r="E671" s="31" t="s">
        <v>43</v>
      </c>
      <c r="F671" s="31">
        <v>7000000.0</v>
      </c>
      <c r="G671" s="31" t="s">
        <v>23</v>
      </c>
      <c r="I671" s="31" t="s">
        <v>229</v>
      </c>
      <c r="J671" s="31" t="s">
        <v>967</v>
      </c>
      <c r="K671" s="33" t="s">
        <v>2255</v>
      </c>
      <c r="L671" s="31" t="s">
        <v>202</v>
      </c>
      <c r="N671" s="31" t="s">
        <v>220</v>
      </c>
      <c r="S671" s="31" t="s">
        <v>536</v>
      </c>
    </row>
    <row r="672">
      <c r="A672" s="29">
        <v>45914.88335827546</v>
      </c>
      <c r="B672" s="30">
        <v>45914.0</v>
      </c>
      <c r="C672" s="31" t="s">
        <v>1778</v>
      </c>
      <c r="D672" s="31">
        <v>0.0</v>
      </c>
      <c r="E672" s="31" t="s">
        <v>2256</v>
      </c>
      <c r="F672" s="31">
        <v>1800.0</v>
      </c>
      <c r="G672" s="31" t="s">
        <v>45</v>
      </c>
      <c r="I672" s="31" t="s">
        <v>229</v>
      </c>
      <c r="J672" s="31" t="s">
        <v>967</v>
      </c>
      <c r="K672" s="33" t="s">
        <v>2257</v>
      </c>
      <c r="L672" s="31" t="s">
        <v>202</v>
      </c>
      <c r="N672" s="31" t="s">
        <v>204</v>
      </c>
      <c r="R672" s="31" t="s">
        <v>171</v>
      </c>
    </row>
    <row r="673">
      <c r="A673" s="29">
        <v>45914.88660195602</v>
      </c>
      <c r="B673" s="30">
        <v>45914.0</v>
      </c>
      <c r="C673" s="31" t="s">
        <v>2258</v>
      </c>
      <c r="D673" s="32" t="s">
        <v>2259</v>
      </c>
      <c r="E673" s="31" t="s">
        <v>228</v>
      </c>
      <c r="F673" s="31">
        <v>4000000.0</v>
      </c>
      <c r="G673" s="31" t="s">
        <v>23</v>
      </c>
      <c r="H673" s="31">
        <v>3000000.0</v>
      </c>
      <c r="I673" s="31" t="s">
        <v>413</v>
      </c>
      <c r="K673" s="33" t="s">
        <v>2260</v>
      </c>
      <c r="L673" s="31" t="s">
        <v>202</v>
      </c>
      <c r="M673" s="31" t="s">
        <v>383</v>
      </c>
      <c r="N673" s="31" t="s">
        <v>204</v>
      </c>
      <c r="R673" s="31" t="s">
        <v>192</v>
      </c>
    </row>
    <row r="674">
      <c r="A674" s="29">
        <v>45914.88770649306</v>
      </c>
      <c r="B674" s="30">
        <v>45914.0</v>
      </c>
      <c r="C674" s="31" t="s">
        <v>2258</v>
      </c>
      <c r="D674" s="32" t="s">
        <v>2259</v>
      </c>
      <c r="E674" s="31" t="s">
        <v>228</v>
      </c>
      <c r="F674" s="31">
        <v>4000000.0</v>
      </c>
      <c r="G674" s="31" t="s">
        <v>23</v>
      </c>
      <c r="H674" s="31">
        <v>3000000.0</v>
      </c>
      <c r="I674" s="31" t="s">
        <v>413</v>
      </c>
      <c r="K674" s="33" t="s">
        <v>2261</v>
      </c>
      <c r="L674" s="31" t="s">
        <v>202</v>
      </c>
      <c r="M674" s="31" t="s">
        <v>383</v>
      </c>
      <c r="N674" s="31" t="s">
        <v>204</v>
      </c>
      <c r="R674" s="31" t="s">
        <v>192</v>
      </c>
    </row>
    <row r="675">
      <c r="A675" s="29">
        <v>45914.88954521991</v>
      </c>
      <c r="B675" s="30">
        <v>45914.0</v>
      </c>
      <c r="C675" s="31" t="s">
        <v>2262</v>
      </c>
      <c r="D675" s="31">
        <v>0.0</v>
      </c>
      <c r="E675" s="31" t="s">
        <v>1522</v>
      </c>
      <c r="F675" s="34">
        <v>2300.0</v>
      </c>
      <c r="G675" s="31" t="s">
        <v>23</v>
      </c>
      <c r="I675" s="31" t="s">
        <v>229</v>
      </c>
      <c r="J675" s="31" t="s">
        <v>967</v>
      </c>
      <c r="K675" s="33" t="s">
        <v>2263</v>
      </c>
      <c r="L675" s="31" t="s">
        <v>202</v>
      </c>
      <c r="N675" s="31" t="s">
        <v>204</v>
      </c>
      <c r="R675" s="31" t="s">
        <v>171</v>
      </c>
    </row>
    <row r="676">
      <c r="A676" s="29">
        <v>45914.91297464121</v>
      </c>
      <c r="B676" s="30">
        <v>45914.0</v>
      </c>
      <c r="C676" s="31" t="s">
        <v>2264</v>
      </c>
      <c r="D676" s="32" t="s">
        <v>2265</v>
      </c>
      <c r="E676" s="31" t="s">
        <v>43</v>
      </c>
      <c r="F676" s="31">
        <v>300000.0</v>
      </c>
      <c r="G676" s="31" t="s">
        <v>23</v>
      </c>
      <c r="I676" s="31" t="s">
        <v>229</v>
      </c>
      <c r="J676" s="31" t="s">
        <v>967</v>
      </c>
      <c r="K676" s="33" t="s">
        <v>2266</v>
      </c>
      <c r="L676" s="31" t="s">
        <v>202</v>
      </c>
      <c r="N676" s="31" t="s">
        <v>220</v>
      </c>
      <c r="S676" s="31" t="s">
        <v>536</v>
      </c>
    </row>
    <row r="677">
      <c r="A677" s="29">
        <v>45915.088978796295</v>
      </c>
      <c r="B677" s="30">
        <v>45914.0</v>
      </c>
      <c r="C677" s="31" t="s">
        <v>2267</v>
      </c>
      <c r="D677" s="31" t="s">
        <v>2268</v>
      </c>
      <c r="E677" s="31" t="s">
        <v>288</v>
      </c>
      <c r="F677" s="31">
        <v>1500000.0</v>
      </c>
      <c r="G677" s="31" t="s">
        <v>23</v>
      </c>
      <c r="I677" s="31" t="s">
        <v>229</v>
      </c>
      <c r="J677" s="31" t="s">
        <v>967</v>
      </c>
      <c r="K677" s="33" t="s">
        <v>2269</v>
      </c>
      <c r="L677" s="31" t="s">
        <v>202</v>
      </c>
      <c r="N677" s="31" t="s">
        <v>204</v>
      </c>
      <c r="R677" s="31" t="s">
        <v>892</v>
      </c>
    </row>
    <row r="678">
      <c r="A678" s="29">
        <v>45915.385408449074</v>
      </c>
      <c r="B678" s="30">
        <v>45915.0</v>
      </c>
      <c r="C678" s="31" t="s">
        <v>2270</v>
      </c>
      <c r="D678" s="32" t="s">
        <v>2271</v>
      </c>
      <c r="E678" s="31" t="s">
        <v>43</v>
      </c>
      <c r="F678" s="31">
        <v>2500000.0</v>
      </c>
      <c r="G678" s="31" t="s">
        <v>23</v>
      </c>
      <c r="I678" s="31" t="s">
        <v>229</v>
      </c>
      <c r="J678" s="31" t="s">
        <v>967</v>
      </c>
      <c r="K678" s="33" t="s">
        <v>2272</v>
      </c>
      <c r="L678" s="31" t="s">
        <v>252</v>
      </c>
      <c r="O678" s="31" t="s">
        <v>257</v>
      </c>
      <c r="P678" s="31" t="s">
        <v>206</v>
      </c>
    </row>
    <row r="679">
      <c r="A679" s="29">
        <v>45915.39703945602</v>
      </c>
      <c r="B679" s="30">
        <v>45915.0</v>
      </c>
      <c r="C679" s="31" t="s">
        <v>2273</v>
      </c>
      <c r="D679" s="32" t="s">
        <v>2274</v>
      </c>
      <c r="E679" s="31" t="s">
        <v>261</v>
      </c>
      <c r="F679" s="31">
        <v>3600000.0</v>
      </c>
      <c r="G679" s="31" t="s">
        <v>23</v>
      </c>
      <c r="H679" s="31">
        <v>3000000.0</v>
      </c>
      <c r="I679" s="31" t="s">
        <v>413</v>
      </c>
      <c r="K679" s="33" t="s">
        <v>2275</v>
      </c>
      <c r="L679" s="31" t="s">
        <v>202</v>
      </c>
      <c r="M679" s="31" t="s">
        <v>203</v>
      </c>
      <c r="N679" s="31" t="s">
        <v>204</v>
      </c>
      <c r="R679" s="31" t="s">
        <v>90</v>
      </c>
    </row>
    <row r="680">
      <c r="A680" s="29">
        <v>45915.44729398148</v>
      </c>
      <c r="B680" s="30">
        <v>45915.0</v>
      </c>
      <c r="C680" s="31" t="s">
        <v>2276</v>
      </c>
      <c r="D680" s="32" t="s">
        <v>2277</v>
      </c>
      <c r="E680" s="31" t="s">
        <v>2278</v>
      </c>
      <c r="F680" s="31">
        <v>5600000.0</v>
      </c>
      <c r="G680" s="31" t="s">
        <v>45</v>
      </c>
      <c r="I680" s="31" t="s">
        <v>229</v>
      </c>
      <c r="J680" s="31" t="s">
        <v>967</v>
      </c>
      <c r="K680" s="33" t="s">
        <v>2279</v>
      </c>
      <c r="L680" s="31" t="s">
        <v>252</v>
      </c>
      <c r="O680" s="31" t="s">
        <v>205</v>
      </c>
      <c r="X680" s="31" t="s">
        <v>2280</v>
      </c>
    </row>
    <row r="681">
      <c r="A681" s="29">
        <v>45915.44987354167</v>
      </c>
      <c r="B681" s="30">
        <v>45915.0</v>
      </c>
      <c r="C681" s="31" t="s">
        <v>2281</v>
      </c>
      <c r="D681" s="32" t="s">
        <v>2282</v>
      </c>
      <c r="E681" s="31" t="s">
        <v>43</v>
      </c>
      <c r="F681" s="31">
        <v>3000000.0</v>
      </c>
      <c r="G681" s="31" t="s">
        <v>23</v>
      </c>
      <c r="I681" s="31" t="s">
        <v>229</v>
      </c>
      <c r="J681" s="31" t="s">
        <v>387</v>
      </c>
      <c r="K681" s="33" t="s">
        <v>2283</v>
      </c>
      <c r="L681" s="31" t="s">
        <v>202</v>
      </c>
      <c r="N681" s="31" t="s">
        <v>215</v>
      </c>
      <c r="W681" s="31" t="s">
        <v>389</v>
      </c>
    </row>
    <row r="682">
      <c r="A682" s="29">
        <v>45915.450716817126</v>
      </c>
      <c r="B682" s="30">
        <v>45914.0</v>
      </c>
      <c r="C682" s="31" t="s">
        <v>2284</v>
      </c>
      <c r="D682" s="32" t="s">
        <v>2285</v>
      </c>
      <c r="E682" s="31" t="s">
        <v>43</v>
      </c>
      <c r="F682" s="31">
        <v>3300000.0</v>
      </c>
      <c r="G682" s="31" t="s">
        <v>23</v>
      </c>
      <c r="H682" s="31">
        <v>3000000.0</v>
      </c>
      <c r="I682" s="31" t="s">
        <v>200</v>
      </c>
      <c r="K682" s="33" t="s">
        <v>2286</v>
      </c>
      <c r="L682" s="31" t="s">
        <v>202</v>
      </c>
      <c r="M682" s="31" t="s">
        <v>203</v>
      </c>
      <c r="N682" s="31" t="s">
        <v>871</v>
      </c>
      <c r="Q682" s="31" t="s">
        <v>1021</v>
      </c>
    </row>
    <row r="683">
      <c r="A683" s="29">
        <v>45915.452480567124</v>
      </c>
      <c r="B683" s="30">
        <v>45915.0</v>
      </c>
      <c r="C683" s="31" t="s">
        <v>2287</v>
      </c>
      <c r="D683" s="32" t="s">
        <v>2288</v>
      </c>
      <c r="E683" s="31" t="s">
        <v>43</v>
      </c>
      <c r="F683" s="31">
        <v>9500000.0</v>
      </c>
      <c r="G683" s="31" t="s">
        <v>23</v>
      </c>
      <c r="H683" s="31">
        <v>1.1E7</v>
      </c>
      <c r="I683" s="31" t="s">
        <v>200</v>
      </c>
      <c r="K683" s="33" t="s">
        <v>2289</v>
      </c>
      <c r="L683" s="31" t="s">
        <v>202</v>
      </c>
      <c r="M683" s="31" t="s">
        <v>203</v>
      </c>
      <c r="N683" s="31" t="s">
        <v>204</v>
      </c>
      <c r="R683" s="31" t="s">
        <v>47</v>
      </c>
    </row>
    <row r="684">
      <c r="A684" s="29">
        <v>45915.454751111116</v>
      </c>
      <c r="B684" s="30">
        <v>45915.0</v>
      </c>
      <c r="C684" s="31" t="s">
        <v>2290</v>
      </c>
      <c r="D684" s="32" t="s">
        <v>2291</v>
      </c>
      <c r="E684" s="31" t="s">
        <v>43</v>
      </c>
      <c r="F684" s="31">
        <v>5000000.0</v>
      </c>
      <c r="G684" s="31" t="s">
        <v>45</v>
      </c>
      <c r="I684" s="31" t="s">
        <v>229</v>
      </c>
      <c r="J684" s="31" t="s">
        <v>2292</v>
      </c>
      <c r="K684" s="33" t="s">
        <v>2293</v>
      </c>
      <c r="L684" s="31" t="s">
        <v>202</v>
      </c>
      <c r="N684" s="31" t="s">
        <v>204</v>
      </c>
      <c r="R684" s="31" t="s">
        <v>98</v>
      </c>
    </row>
    <row r="685">
      <c r="A685" s="29">
        <v>45915.464480497685</v>
      </c>
      <c r="B685" s="30">
        <v>45915.0</v>
      </c>
      <c r="C685" s="31" t="s">
        <v>2294</v>
      </c>
      <c r="D685" s="32" t="s">
        <v>2295</v>
      </c>
      <c r="E685" s="31" t="s">
        <v>43</v>
      </c>
      <c r="F685" s="31">
        <v>3500000.0</v>
      </c>
      <c r="G685" s="31" t="s">
        <v>23</v>
      </c>
      <c r="I685" s="31" t="s">
        <v>229</v>
      </c>
      <c r="J685" s="31" t="s">
        <v>967</v>
      </c>
      <c r="K685" s="33" t="s">
        <v>2296</v>
      </c>
      <c r="L685" s="31" t="s">
        <v>202</v>
      </c>
      <c r="N685" s="31" t="s">
        <v>220</v>
      </c>
      <c r="S685" s="31" t="s">
        <v>59</v>
      </c>
    </row>
    <row r="686">
      <c r="A686" s="29">
        <v>45915.466410891204</v>
      </c>
      <c r="B686" s="30">
        <v>45915.0</v>
      </c>
      <c r="C686" s="31" t="s">
        <v>2297</v>
      </c>
      <c r="D686" s="32" t="s">
        <v>2298</v>
      </c>
      <c r="E686" s="31" t="s">
        <v>43</v>
      </c>
      <c r="F686" s="31">
        <v>4200000.0</v>
      </c>
      <c r="G686" s="31" t="s">
        <v>23</v>
      </c>
      <c r="H686" s="31">
        <v>3000000.0</v>
      </c>
      <c r="I686" s="31" t="s">
        <v>413</v>
      </c>
      <c r="K686" s="33" t="s">
        <v>2299</v>
      </c>
      <c r="L686" s="31" t="s">
        <v>202</v>
      </c>
      <c r="M686" s="31" t="s">
        <v>203</v>
      </c>
      <c r="N686" s="31" t="s">
        <v>220</v>
      </c>
      <c r="S686" s="31" t="s">
        <v>59</v>
      </c>
    </row>
    <row r="687">
      <c r="A687" s="29">
        <v>45915.46840665509</v>
      </c>
      <c r="B687" s="30">
        <v>45915.0</v>
      </c>
      <c r="C687" s="31" t="s">
        <v>2300</v>
      </c>
      <c r="D687" s="32" t="s">
        <v>2301</v>
      </c>
      <c r="E687" s="31" t="s">
        <v>559</v>
      </c>
      <c r="F687" s="31">
        <v>4000000.0</v>
      </c>
      <c r="G687" s="31" t="s">
        <v>23</v>
      </c>
      <c r="I687" s="31" t="s">
        <v>229</v>
      </c>
      <c r="J687" s="31" t="s">
        <v>967</v>
      </c>
      <c r="K687" s="33" t="s">
        <v>2302</v>
      </c>
      <c r="L687" s="31" t="s">
        <v>202</v>
      </c>
      <c r="N687" s="31" t="s">
        <v>220</v>
      </c>
      <c r="S687" s="31" t="s">
        <v>59</v>
      </c>
    </row>
    <row r="688">
      <c r="A688" s="29">
        <v>45915.47063739583</v>
      </c>
      <c r="B688" s="30">
        <v>45915.0</v>
      </c>
      <c r="C688" s="31" t="s">
        <v>2303</v>
      </c>
      <c r="D688" s="32" t="s">
        <v>2304</v>
      </c>
      <c r="E688" s="31" t="s">
        <v>2305</v>
      </c>
      <c r="F688" s="31">
        <v>3500000.0</v>
      </c>
      <c r="G688" s="31" t="s">
        <v>23</v>
      </c>
      <c r="H688" s="31">
        <v>3000000.0</v>
      </c>
      <c r="I688" s="31" t="s">
        <v>413</v>
      </c>
      <c r="K688" s="33" t="s">
        <v>2306</v>
      </c>
      <c r="L688" s="31" t="s">
        <v>202</v>
      </c>
      <c r="M688" s="31" t="s">
        <v>203</v>
      </c>
      <c r="N688" s="31" t="s">
        <v>220</v>
      </c>
      <c r="S688" s="31" t="s">
        <v>59</v>
      </c>
    </row>
    <row r="689">
      <c r="A689" s="29">
        <v>45915.47478164352</v>
      </c>
      <c r="B689" s="30">
        <v>45915.0</v>
      </c>
      <c r="C689" s="31" t="s">
        <v>2307</v>
      </c>
      <c r="D689" s="31" t="s">
        <v>2308</v>
      </c>
      <c r="E689" s="31" t="s">
        <v>31</v>
      </c>
      <c r="F689" s="31">
        <v>5400000.0</v>
      </c>
      <c r="G689" s="31" t="s">
        <v>23</v>
      </c>
      <c r="I689" s="31" t="s">
        <v>229</v>
      </c>
      <c r="J689" s="31" t="s">
        <v>967</v>
      </c>
      <c r="K689" s="33" t="s">
        <v>2309</v>
      </c>
      <c r="L689" s="31" t="s">
        <v>202</v>
      </c>
      <c r="N689" s="31" t="s">
        <v>204</v>
      </c>
      <c r="R689" s="31" t="s">
        <v>207</v>
      </c>
    </row>
    <row r="690">
      <c r="A690" s="29">
        <v>45915.476269074075</v>
      </c>
      <c r="B690" s="30">
        <v>45915.0</v>
      </c>
      <c r="C690" s="31" t="s">
        <v>2310</v>
      </c>
      <c r="D690" s="31" t="s">
        <v>2311</v>
      </c>
      <c r="E690" s="31" t="s">
        <v>31</v>
      </c>
      <c r="F690" s="31">
        <v>5400000.0</v>
      </c>
      <c r="G690" s="31" t="s">
        <v>23</v>
      </c>
      <c r="I690" s="31" t="s">
        <v>229</v>
      </c>
      <c r="J690" s="31" t="s">
        <v>967</v>
      </c>
      <c r="K690" s="33" t="s">
        <v>2312</v>
      </c>
      <c r="L690" s="31" t="s">
        <v>202</v>
      </c>
      <c r="N690" s="31" t="s">
        <v>204</v>
      </c>
      <c r="R690" s="31" t="s">
        <v>207</v>
      </c>
    </row>
    <row r="691">
      <c r="A691" s="29">
        <v>45915.48510053241</v>
      </c>
      <c r="B691" s="30">
        <v>45915.0</v>
      </c>
      <c r="C691" s="31" t="s">
        <v>2313</v>
      </c>
      <c r="D691" s="32" t="s">
        <v>2314</v>
      </c>
      <c r="E691" s="31" t="s">
        <v>2315</v>
      </c>
      <c r="F691" s="31">
        <v>4000000.0</v>
      </c>
      <c r="G691" s="31" t="s">
        <v>45</v>
      </c>
      <c r="H691" s="31">
        <v>3000000.0</v>
      </c>
      <c r="I691" s="31" t="s">
        <v>413</v>
      </c>
      <c r="K691" s="33" t="s">
        <v>2316</v>
      </c>
      <c r="L691" s="31" t="s">
        <v>252</v>
      </c>
      <c r="M691" s="31" t="s">
        <v>203</v>
      </c>
      <c r="O691" s="31" t="s">
        <v>257</v>
      </c>
      <c r="P691" s="31" t="s">
        <v>285</v>
      </c>
    </row>
    <row r="692">
      <c r="A692" s="29">
        <v>45915.5055222338</v>
      </c>
      <c r="B692" s="30">
        <v>45915.0</v>
      </c>
      <c r="C692" s="31" t="s">
        <v>2317</v>
      </c>
      <c r="D692" s="32" t="s">
        <v>2318</v>
      </c>
      <c r="E692" s="31" t="s">
        <v>199</v>
      </c>
      <c r="F692" s="31">
        <v>4000000.0</v>
      </c>
      <c r="G692" s="31" t="s">
        <v>45</v>
      </c>
      <c r="I692" s="31" t="s">
        <v>229</v>
      </c>
      <c r="J692" s="31" t="s">
        <v>165</v>
      </c>
      <c r="K692" s="33" t="s">
        <v>2319</v>
      </c>
      <c r="L692" s="31" t="s">
        <v>252</v>
      </c>
      <c r="O692" s="31" t="s">
        <v>257</v>
      </c>
      <c r="P692" s="31" t="s">
        <v>2320</v>
      </c>
    </row>
    <row r="693">
      <c r="A693" s="29">
        <v>45915.508409594906</v>
      </c>
      <c r="B693" s="30">
        <v>45915.0</v>
      </c>
      <c r="C693" s="31" t="s">
        <v>2321</v>
      </c>
      <c r="D693" s="31">
        <v>0.0</v>
      </c>
      <c r="E693" s="31" t="s">
        <v>199</v>
      </c>
      <c r="F693" s="31">
        <v>2000000.0</v>
      </c>
      <c r="G693" s="31" t="s">
        <v>45</v>
      </c>
      <c r="I693" s="31" t="s">
        <v>229</v>
      </c>
      <c r="J693" s="31" t="s">
        <v>967</v>
      </c>
      <c r="K693" s="33" t="s">
        <v>2322</v>
      </c>
      <c r="L693" s="31" t="s">
        <v>252</v>
      </c>
      <c r="O693" s="31" t="s">
        <v>257</v>
      </c>
      <c r="P693" s="31" t="s">
        <v>992</v>
      </c>
    </row>
    <row r="694">
      <c r="A694" s="29">
        <v>45915.52466347222</v>
      </c>
      <c r="B694" s="30">
        <v>45915.0</v>
      </c>
      <c r="C694" s="31" t="s">
        <v>2323</v>
      </c>
      <c r="D694" s="32" t="s">
        <v>2324</v>
      </c>
      <c r="E694" s="31" t="s">
        <v>43</v>
      </c>
      <c r="F694" s="31">
        <v>3000000.0</v>
      </c>
      <c r="G694" s="31" t="s">
        <v>23</v>
      </c>
      <c r="H694" s="31">
        <v>3000000.0</v>
      </c>
      <c r="I694" s="31" t="s">
        <v>413</v>
      </c>
      <c r="K694" s="33" t="s">
        <v>2325</v>
      </c>
      <c r="L694" s="31" t="s">
        <v>202</v>
      </c>
      <c r="M694" s="31" t="s">
        <v>435</v>
      </c>
      <c r="N694" s="31" t="s">
        <v>204</v>
      </c>
      <c r="R694" s="31" t="s">
        <v>360</v>
      </c>
    </row>
    <row r="695">
      <c r="A695" s="29">
        <v>45915.528097013885</v>
      </c>
      <c r="B695" s="30">
        <v>45915.0</v>
      </c>
      <c r="C695" s="31" t="s">
        <v>2326</v>
      </c>
      <c r="D695" s="32" t="s">
        <v>2327</v>
      </c>
      <c r="E695" s="31" t="s">
        <v>31</v>
      </c>
      <c r="F695" s="31">
        <v>6000000.0</v>
      </c>
      <c r="G695" s="31" t="s">
        <v>23</v>
      </c>
      <c r="I695" s="31" t="s">
        <v>229</v>
      </c>
      <c r="J695" s="31" t="s">
        <v>967</v>
      </c>
      <c r="K695" s="33" t="s">
        <v>2328</v>
      </c>
      <c r="L695" s="31" t="s">
        <v>202</v>
      </c>
      <c r="N695" s="31" t="s">
        <v>313</v>
      </c>
      <c r="T695" s="31" t="s">
        <v>329</v>
      </c>
    </row>
    <row r="696">
      <c r="A696" s="29">
        <v>45915.52869358796</v>
      </c>
      <c r="B696" s="30">
        <v>45915.0</v>
      </c>
      <c r="C696" s="31" t="s">
        <v>2329</v>
      </c>
      <c r="D696" s="32" t="s">
        <v>2330</v>
      </c>
      <c r="E696" s="31" t="s">
        <v>199</v>
      </c>
      <c r="F696" s="31">
        <v>4100000.0</v>
      </c>
      <c r="G696" s="31" t="s">
        <v>23</v>
      </c>
      <c r="H696" s="31">
        <v>3000000.0</v>
      </c>
      <c r="I696" s="31" t="s">
        <v>200</v>
      </c>
      <c r="K696" s="33" t="s">
        <v>2331</v>
      </c>
      <c r="L696" s="31" t="s">
        <v>252</v>
      </c>
      <c r="M696" s="31" t="s">
        <v>203</v>
      </c>
      <c r="O696" s="31" t="s">
        <v>257</v>
      </c>
      <c r="P696" s="31" t="s">
        <v>258</v>
      </c>
    </row>
    <row r="697">
      <c r="A697" s="29">
        <v>45915.544122453706</v>
      </c>
      <c r="B697" s="30">
        <v>45915.0</v>
      </c>
      <c r="C697" s="31" t="s">
        <v>2332</v>
      </c>
      <c r="D697" s="32" t="s">
        <v>2333</v>
      </c>
      <c r="E697" s="31" t="s">
        <v>199</v>
      </c>
      <c r="F697" s="31">
        <v>6000000.0</v>
      </c>
      <c r="G697" s="31" t="s">
        <v>45</v>
      </c>
      <c r="I697" s="31" t="s">
        <v>229</v>
      </c>
      <c r="J697" s="31" t="s">
        <v>967</v>
      </c>
      <c r="K697" s="33" t="s">
        <v>2334</v>
      </c>
      <c r="L697" s="31" t="s">
        <v>252</v>
      </c>
      <c r="O697" s="31" t="s">
        <v>205</v>
      </c>
      <c r="X697" s="31" t="s">
        <v>2335</v>
      </c>
    </row>
    <row r="698">
      <c r="A698" s="29">
        <v>45915.57398770833</v>
      </c>
      <c r="B698" s="30">
        <v>45915.0</v>
      </c>
      <c r="C698" s="31" t="s">
        <v>2336</v>
      </c>
      <c r="D698" s="32" t="s">
        <v>2337</v>
      </c>
      <c r="E698" s="31" t="s">
        <v>493</v>
      </c>
      <c r="F698" s="31">
        <v>300000.0</v>
      </c>
      <c r="G698" s="31" t="s">
        <v>23</v>
      </c>
      <c r="H698" s="31">
        <v>3000000.0</v>
      </c>
      <c r="I698" s="31" t="s">
        <v>200</v>
      </c>
      <c r="K698" s="33" t="s">
        <v>2338</v>
      </c>
      <c r="L698" s="31" t="s">
        <v>202</v>
      </c>
      <c r="M698" s="31" t="s">
        <v>203</v>
      </c>
      <c r="N698" s="31" t="s">
        <v>204</v>
      </c>
      <c r="R698" s="31" t="s">
        <v>28</v>
      </c>
    </row>
    <row r="699">
      <c r="A699" s="29">
        <v>45915.58588895833</v>
      </c>
      <c r="B699" s="30">
        <v>45915.0</v>
      </c>
      <c r="C699" s="31" t="s">
        <v>2339</v>
      </c>
      <c r="D699" s="32" t="s">
        <v>2340</v>
      </c>
      <c r="E699" s="31" t="s">
        <v>239</v>
      </c>
      <c r="F699" s="31">
        <v>6500000.0</v>
      </c>
      <c r="G699" s="31" t="s">
        <v>23</v>
      </c>
      <c r="H699" s="31">
        <v>3000000.0</v>
      </c>
      <c r="I699" s="31" t="s">
        <v>200</v>
      </c>
      <c r="K699" s="33" t="s">
        <v>2341</v>
      </c>
      <c r="L699" s="31" t="s">
        <v>202</v>
      </c>
      <c r="M699" s="31" t="s">
        <v>203</v>
      </c>
      <c r="N699" s="31" t="s">
        <v>667</v>
      </c>
      <c r="U699" s="31" t="s">
        <v>668</v>
      </c>
    </row>
    <row r="700">
      <c r="A700" s="29">
        <v>45915.58615105324</v>
      </c>
      <c r="B700" s="30">
        <v>45915.0</v>
      </c>
      <c r="C700" s="31" t="s">
        <v>2342</v>
      </c>
      <c r="D700" s="32" t="s">
        <v>2343</v>
      </c>
      <c r="E700" s="31" t="s">
        <v>2344</v>
      </c>
      <c r="F700" s="31">
        <v>1.0E7</v>
      </c>
      <c r="G700" s="31" t="s">
        <v>45</v>
      </c>
      <c r="H700" s="31">
        <v>2.0E7</v>
      </c>
      <c r="I700" s="31" t="s">
        <v>200</v>
      </c>
      <c r="K700" s="33" t="s">
        <v>2345</v>
      </c>
      <c r="L700" s="31" t="s">
        <v>202</v>
      </c>
      <c r="M700" s="31" t="s">
        <v>605</v>
      </c>
      <c r="N700" s="31" t="s">
        <v>220</v>
      </c>
      <c r="S700" s="31" t="s">
        <v>466</v>
      </c>
    </row>
    <row r="701">
      <c r="A701" s="29">
        <v>45915.58727174769</v>
      </c>
      <c r="B701" s="30">
        <v>45915.0</v>
      </c>
      <c r="C701" s="31" t="s">
        <v>2346</v>
      </c>
      <c r="D701" s="32" t="s">
        <v>2347</v>
      </c>
      <c r="E701" s="31" t="s">
        <v>43</v>
      </c>
      <c r="F701" s="31">
        <v>2500000.0</v>
      </c>
      <c r="G701" s="31" t="s">
        <v>23</v>
      </c>
      <c r="I701" s="31" t="s">
        <v>229</v>
      </c>
      <c r="J701" s="31" t="s">
        <v>967</v>
      </c>
      <c r="K701" s="33" t="s">
        <v>2348</v>
      </c>
      <c r="L701" s="31" t="s">
        <v>202</v>
      </c>
      <c r="N701" s="31" t="s">
        <v>204</v>
      </c>
      <c r="R701" s="31" t="s">
        <v>148</v>
      </c>
    </row>
    <row r="702">
      <c r="A702" s="29">
        <v>45915.66136825232</v>
      </c>
      <c r="B702" s="30">
        <v>45915.0</v>
      </c>
      <c r="C702" s="31" t="s">
        <v>2349</v>
      </c>
      <c r="D702" s="32" t="s">
        <v>2350</v>
      </c>
      <c r="E702" s="31" t="s">
        <v>31</v>
      </c>
      <c r="F702" s="31">
        <v>3600000.0</v>
      </c>
      <c r="G702" s="31" t="s">
        <v>23</v>
      </c>
      <c r="I702" s="31" t="s">
        <v>229</v>
      </c>
      <c r="J702" s="31" t="s">
        <v>498</v>
      </c>
      <c r="K702" s="33" t="s">
        <v>2351</v>
      </c>
      <c r="L702" s="31" t="s">
        <v>202</v>
      </c>
      <c r="N702" s="31" t="s">
        <v>500</v>
      </c>
      <c r="V702" s="31" t="s">
        <v>501</v>
      </c>
    </row>
    <row r="703">
      <c r="A703" s="29">
        <v>45915.66932501158</v>
      </c>
      <c r="B703" s="30">
        <v>45915.0</v>
      </c>
      <c r="C703" s="31" t="s">
        <v>2352</v>
      </c>
      <c r="D703" s="32" t="s">
        <v>2353</v>
      </c>
      <c r="E703" s="31" t="s">
        <v>199</v>
      </c>
      <c r="F703" s="31">
        <v>6000000.0</v>
      </c>
      <c r="G703" s="31" t="s">
        <v>23</v>
      </c>
      <c r="I703" s="31" t="s">
        <v>229</v>
      </c>
      <c r="J703" s="31" t="s">
        <v>967</v>
      </c>
      <c r="K703" s="33" t="s">
        <v>2354</v>
      </c>
      <c r="L703" s="31" t="s">
        <v>252</v>
      </c>
      <c r="O703" s="31" t="s">
        <v>257</v>
      </c>
      <c r="P703" s="31" t="s">
        <v>258</v>
      </c>
    </row>
    <row r="704">
      <c r="A704" s="29">
        <v>45915.69063008102</v>
      </c>
      <c r="B704" s="30">
        <v>45915.0</v>
      </c>
      <c r="C704" s="31" t="s">
        <v>2355</v>
      </c>
      <c r="D704" s="32" t="s">
        <v>2356</v>
      </c>
      <c r="E704" s="31" t="s">
        <v>239</v>
      </c>
      <c r="F704" s="31">
        <v>5600000.0</v>
      </c>
      <c r="G704" s="31" t="s">
        <v>23</v>
      </c>
      <c r="I704" s="31" t="s">
        <v>229</v>
      </c>
      <c r="J704" s="31" t="s">
        <v>165</v>
      </c>
      <c r="K704" s="33" t="s">
        <v>2357</v>
      </c>
      <c r="L704" s="31" t="s">
        <v>202</v>
      </c>
      <c r="N704" s="31" t="s">
        <v>667</v>
      </c>
      <c r="U704" s="31" t="s">
        <v>668</v>
      </c>
    </row>
    <row r="705">
      <c r="A705" s="29">
        <v>45915.69460923611</v>
      </c>
      <c r="B705" s="30">
        <v>45915.0</v>
      </c>
      <c r="C705" s="31" t="s">
        <v>2358</v>
      </c>
      <c r="D705" s="32" t="s">
        <v>2359</v>
      </c>
      <c r="E705" s="31" t="s">
        <v>43</v>
      </c>
      <c r="F705" s="31">
        <v>3000000.0</v>
      </c>
      <c r="G705" s="31" t="s">
        <v>23</v>
      </c>
      <c r="I705" s="31" t="s">
        <v>229</v>
      </c>
      <c r="J705" s="31" t="s">
        <v>967</v>
      </c>
      <c r="K705" s="33" t="s">
        <v>2360</v>
      </c>
      <c r="L705" s="31" t="s">
        <v>252</v>
      </c>
      <c r="O705" s="31" t="s">
        <v>257</v>
      </c>
      <c r="P705" s="31" t="s">
        <v>1555</v>
      </c>
    </row>
    <row r="706">
      <c r="A706" s="29">
        <v>45915.69576725694</v>
      </c>
      <c r="B706" s="30">
        <v>45915.0</v>
      </c>
      <c r="C706" s="31" t="s">
        <v>2361</v>
      </c>
      <c r="D706" s="32" t="s">
        <v>2362</v>
      </c>
      <c r="E706" s="31" t="s">
        <v>283</v>
      </c>
      <c r="F706" s="31">
        <v>1.0E7</v>
      </c>
      <c r="G706" s="31" t="s">
        <v>23</v>
      </c>
      <c r="I706" s="31" t="s">
        <v>229</v>
      </c>
      <c r="J706" s="31" t="s">
        <v>967</v>
      </c>
      <c r="K706" s="33" t="s">
        <v>2363</v>
      </c>
      <c r="L706" s="31" t="s">
        <v>252</v>
      </c>
      <c r="O706" s="31" t="s">
        <v>257</v>
      </c>
      <c r="P706" s="31" t="s">
        <v>272</v>
      </c>
    </row>
    <row r="707">
      <c r="A707" s="29">
        <v>45915.69688412037</v>
      </c>
      <c r="B707" s="30">
        <v>45915.0</v>
      </c>
      <c r="C707" s="31" t="s">
        <v>2364</v>
      </c>
      <c r="D707" s="32" t="s">
        <v>2365</v>
      </c>
      <c r="E707" s="31" t="s">
        <v>283</v>
      </c>
      <c r="F707" s="31">
        <v>1.01E7</v>
      </c>
      <c r="G707" s="31" t="s">
        <v>23</v>
      </c>
      <c r="I707" s="31" t="s">
        <v>229</v>
      </c>
      <c r="J707" s="31" t="s">
        <v>967</v>
      </c>
      <c r="K707" s="33" t="s">
        <v>2366</v>
      </c>
      <c r="L707" s="31" t="s">
        <v>252</v>
      </c>
      <c r="O707" s="31" t="s">
        <v>257</v>
      </c>
      <c r="P707" s="31" t="s">
        <v>272</v>
      </c>
    </row>
    <row r="708">
      <c r="A708" s="29">
        <v>45915.72092689815</v>
      </c>
      <c r="B708" s="30">
        <v>45915.0</v>
      </c>
      <c r="C708" s="31" t="s">
        <v>2367</v>
      </c>
      <c r="D708" s="32" t="s">
        <v>2074</v>
      </c>
      <c r="E708" s="31" t="s">
        <v>239</v>
      </c>
      <c r="F708" s="31">
        <v>1000000.0</v>
      </c>
      <c r="G708" s="31" t="s">
        <v>23</v>
      </c>
      <c r="I708" s="31" t="s">
        <v>229</v>
      </c>
      <c r="J708" s="31" t="s">
        <v>967</v>
      </c>
      <c r="K708" s="33" t="s">
        <v>2368</v>
      </c>
      <c r="L708" s="31" t="s">
        <v>252</v>
      </c>
      <c r="O708" s="31" t="s">
        <v>205</v>
      </c>
      <c r="X708" s="31" t="s">
        <v>1471</v>
      </c>
    </row>
    <row r="709">
      <c r="A709" s="29">
        <v>45915.73271497685</v>
      </c>
      <c r="B709" s="30">
        <v>45915.0</v>
      </c>
      <c r="C709" s="31" t="s">
        <v>2369</v>
      </c>
      <c r="D709" s="32" t="s">
        <v>2370</v>
      </c>
      <c r="E709" s="31" t="s">
        <v>43</v>
      </c>
      <c r="F709" s="31">
        <v>3000000.0</v>
      </c>
      <c r="G709" s="31" t="s">
        <v>23</v>
      </c>
      <c r="I709" s="31" t="s">
        <v>229</v>
      </c>
      <c r="J709" s="31" t="s">
        <v>967</v>
      </c>
      <c r="K709" s="33" t="s">
        <v>2371</v>
      </c>
      <c r="L709" s="31" t="s">
        <v>252</v>
      </c>
      <c r="O709" s="31" t="s">
        <v>205</v>
      </c>
      <c r="X709" s="31" t="s">
        <v>549</v>
      </c>
    </row>
    <row r="710">
      <c r="A710" s="29">
        <v>45915.73865568287</v>
      </c>
      <c r="B710" s="30">
        <v>45915.0</v>
      </c>
      <c r="C710" s="31" t="s">
        <v>2372</v>
      </c>
      <c r="D710" s="32" t="s">
        <v>2373</v>
      </c>
      <c r="E710" s="31" t="s">
        <v>311</v>
      </c>
      <c r="F710" s="31">
        <v>5600000.0</v>
      </c>
      <c r="G710" s="31" t="s">
        <v>23</v>
      </c>
      <c r="I710" s="31" t="s">
        <v>229</v>
      </c>
      <c r="J710" s="31" t="s">
        <v>967</v>
      </c>
      <c r="K710" s="33" t="s">
        <v>2374</v>
      </c>
      <c r="L710" s="31" t="s">
        <v>202</v>
      </c>
      <c r="N710" s="31" t="s">
        <v>313</v>
      </c>
      <c r="T710" s="31" t="s">
        <v>314</v>
      </c>
    </row>
    <row r="711">
      <c r="A711" s="29">
        <v>45915.7394384375</v>
      </c>
      <c r="B711" s="30">
        <v>45915.0</v>
      </c>
      <c r="C711" s="31" t="s">
        <v>2375</v>
      </c>
      <c r="D711" s="32" t="s">
        <v>2376</v>
      </c>
      <c r="E711" s="31" t="s">
        <v>199</v>
      </c>
      <c r="F711" s="31">
        <v>7400000.0</v>
      </c>
      <c r="G711" s="31" t="s">
        <v>23</v>
      </c>
      <c r="H711" s="31">
        <v>5000000.0</v>
      </c>
      <c r="I711" s="31" t="s">
        <v>413</v>
      </c>
      <c r="K711" s="33" t="s">
        <v>2377</v>
      </c>
      <c r="L711" s="31" t="s">
        <v>202</v>
      </c>
      <c r="M711" s="31" t="s">
        <v>203</v>
      </c>
      <c r="N711" s="31" t="s">
        <v>313</v>
      </c>
      <c r="T711" s="31" t="s">
        <v>329</v>
      </c>
    </row>
    <row r="712">
      <c r="A712" s="29">
        <v>45915.74146608796</v>
      </c>
      <c r="B712" s="30">
        <v>45915.0</v>
      </c>
      <c r="C712" s="31" t="s">
        <v>2378</v>
      </c>
      <c r="D712" s="32" t="s">
        <v>2373</v>
      </c>
      <c r="E712" s="31" t="s">
        <v>311</v>
      </c>
      <c r="F712" s="31">
        <v>5600000.0</v>
      </c>
      <c r="G712" s="31" t="s">
        <v>23</v>
      </c>
      <c r="I712" s="31" t="s">
        <v>229</v>
      </c>
      <c r="J712" s="31" t="s">
        <v>165</v>
      </c>
      <c r="K712" s="33" t="s">
        <v>2379</v>
      </c>
      <c r="L712" s="31" t="s">
        <v>202</v>
      </c>
      <c r="N712" s="31" t="s">
        <v>313</v>
      </c>
      <c r="T712" s="31" t="s">
        <v>314</v>
      </c>
    </row>
    <row r="713">
      <c r="A713" s="29">
        <v>45915.74457123842</v>
      </c>
      <c r="B713" s="30">
        <v>45915.0</v>
      </c>
      <c r="C713" s="31" t="s">
        <v>2380</v>
      </c>
      <c r="D713" s="32" t="s">
        <v>2381</v>
      </c>
      <c r="E713" s="31" t="s">
        <v>43</v>
      </c>
      <c r="F713" s="31">
        <v>6000000.0</v>
      </c>
      <c r="G713" s="31" t="s">
        <v>23</v>
      </c>
      <c r="I713" s="31" t="s">
        <v>229</v>
      </c>
      <c r="J713" s="31" t="s">
        <v>262</v>
      </c>
      <c r="K713" s="33" t="s">
        <v>2382</v>
      </c>
      <c r="L713" s="31" t="s">
        <v>252</v>
      </c>
      <c r="O713" s="31" t="s">
        <v>257</v>
      </c>
      <c r="P713" s="31" t="s">
        <v>258</v>
      </c>
    </row>
    <row r="714">
      <c r="A714" s="29">
        <v>45915.76425302083</v>
      </c>
      <c r="B714" s="30">
        <v>45915.0</v>
      </c>
      <c r="C714" s="31" t="s">
        <v>2383</v>
      </c>
      <c r="D714" s="32" t="s">
        <v>907</v>
      </c>
      <c r="E714" s="31" t="s">
        <v>43</v>
      </c>
      <c r="F714" s="31">
        <v>2000000.0</v>
      </c>
      <c r="G714" s="31" t="s">
        <v>23</v>
      </c>
      <c r="I714" s="31" t="s">
        <v>229</v>
      </c>
      <c r="J714" s="31" t="s">
        <v>270</v>
      </c>
      <c r="K714" s="33" t="s">
        <v>2384</v>
      </c>
      <c r="L714" s="31" t="s">
        <v>202</v>
      </c>
      <c r="N714" s="31" t="s">
        <v>215</v>
      </c>
      <c r="W714" s="31" t="s">
        <v>532</v>
      </c>
    </row>
    <row r="715">
      <c r="A715" s="29">
        <v>45915.776020624995</v>
      </c>
      <c r="B715" s="30">
        <v>45915.0</v>
      </c>
      <c r="C715" s="31" t="s">
        <v>2385</v>
      </c>
      <c r="D715" s="32" t="s">
        <v>2386</v>
      </c>
      <c r="E715" s="31" t="s">
        <v>2387</v>
      </c>
      <c r="F715" s="31">
        <v>3100000.0</v>
      </c>
      <c r="G715" s="31" t="s">
        <v>23</v>
      </c>
      <c r="I715" s="31" t="s">
        <v>229</v>
      </c>
      <c r="J715" s="31" t="s">
        <v>967</v>
      </c>
      <c r="K715" s="33" t="s">
        <v>2388</v>
      </c>
      <c r="L715" s="31" t="s">
        <v>202</v>
      </c>
      <c r="N715" s="31" t="s">
        <v>313</v>
      </c>
      <c r="T715" s="31" t="s">
        <v>384</v>
      </c>
    </row>
    <row r="716">
      <c r="A716" s="29">
        <v>45915.78253460648</v>
      </c>
      <c r="B716" s="30">
        <v>45915.0</v>
      </c>
      <c r="C716" s="31" t="s">
        <v>2389</v>
      </c>
      <c r="D716" s="32" t="s">
        <v>2390</v>
      </c>
      <c r="E716" s="31" t="s">
        <v>43</v>
      </c>
      <c r="F716" s="31">
        <v>3000000.0</v>
      </c>
      <c r="G716" s="31" t="s">
        <v>23</v>
      </c>
      <c r="I716" s="31" t="s">
        <v>229</v>
      </c>
      <c r="J716" s="31" t="s">
        <v>250</v>
      </c>
      <c r="K716" s="33" t="s">
        <v>2391</v>
      </c>
      <c r="L716" s="31" t="s">
        <v>202</v>
      </c>
      <c r="N716" s="31" t="s">
        <v>215</v>
      </c>
      <c r="W716" s="31" t="s">
        <v>216</v>
      </c>
    </row>
    <row r="717">
      <c r="A717" s="29">
        <v>45915.78264356482</v>
      </c>
      <c r="B717" s="30">
        <v>45915.0</v>
      </c>
      <c r="C717" s="31" t="s">
        <v>2392</v>
      </c>
      <c r="D717" s="32" t="s">
        <v>2393</v>
      </c>
      <c r="E717" s="31" t="s">
        <v>228</v>
      </c>
      <c r="F717" s="31">
        <v>6500000.0</v>
      </c>
      <c r="G717" s="31" t="s">
        <v>23</v>
      </c>
      <c r="I717" s="31" t="s">
        <v>229</v>
      </c>
      <c r="J717" s="31" t="s">
        <v>967</v>
      </c>
      <c r="K717" s="33" t="s">
        <v>2394</v>
      </c>
      <c r="L717" s="31" t="s">
        <v>202</v>
      </c>
      <c r="N717" s="31" t="s">
        <v>220</v>
      </c>
      <c r="S717" s="31" t="s">
        <v>1406</v>
      </c>
    </row>
    <row r="718">
      <c r="A718" s="29">
        <v>45915.79372755787</v>
      </c>
      <c r="B718" s="30">
        <v>45915.0</v>
      </c>
      <c r="C718" s="31" t="s">
        <v>2395</v>
      </c>
      <c r="D718" s="31">
        <v>8.5800698704E10</v>
      </c>
      <c r="E718" s="31" t="s">
        <v>228</v>
      </c>
      <c r="F718" s="31">
        <v>3500000.0</v>
      </c>
      <c r="G718" s="31" t="s">
        <v>23</v>
      </c>
      <c r="I718" s="31" t="s">
        <v>229</v>
      </c>
      <c r="J718" s="31" t="s">
        <v>967</v>
      </c>
      <c r="K718" s="33" t="s">
        <v>2396</v>
      </c>
      <c r="L718" s="31" t="s">
        <v>202</v>
      </c>
      <c r="N718" s="31" t="s">
        <v>204</v>
      </c>
      <c r="R718" s="31" t="s">
        <v>98</v>
      </c>
    </row>
    <row r="719">
      <c r="A719" s="29">
        <v>45915.794859236106</v>
      </c>
      <c r="B719" s="30">
        <v>45915.0</v>
      </c>
      <c r="C719" s="31" t="s">
        <v>2397</v>
      </c>
      <c r="D719" s="32" t="s">
        <v>2398</v>
      </c>
      <c r="E719" s="31" t="s">
        <v>228</v>
      </c>
      <c r="F719" s="31">
        <v>3500000.0</v>
      </c>
      <c r="G719" s="31" t="s">
        <v>23</v>
      </c>
      <c r="I719" s="31" t="s">
        <v>229</v>
      </c>
      <c r="J719" s="31" t="s">
        <v>967</v>
      </c>
      <c r="K719" s="33" t="s">
        <v>2399</v>
      </c>
      <c r="L719" s="31" t="s">
        <v>202</v>
      </c>
      <c r="N719" s="31" t="s">
        <v>204</v>
      </c>
      <c r="R719" s="31" t="s">
        <v>98</v>
      </c>
    </row>
    <row r="720">
      <c r="A720" s="29">
        <v>45915.797562418986</v>
      </c>
      <c r="B720" s="30">
        <v>45915.0</v>
      </c>
      <c r="C720" s="31" t="s">
        <v>2400</v>
      </c>
      <c r="D720" s="32" t="s">
        <v>2401</v>
      </c>
      <c r="E720" s="31" t="s">
        <v>43</v>
      </c>
      <c r="F720" s="34">
        <v>4300.0</v>
      </c>
      <c r="G720" s="31" t="s">
        <v>23</v>
      </c>
      <c r="H720" s="31">
        <v>7000000.0</v>
      </c>
      <c r="I720" s="31" t="s">
        <v>413</v>
      </c>
      <c r="K720" s="33" t="s">
        <v>2402</v>
      </c>
      <c r="L720" s="31" t="s">
        <v>202</v>
      </c>
      <c r="M720" s="31" t="s">
        <v>383</v>
      </c>
      <c r="N720" s="31" t="s">
        <v>871</v>
      </c>
      <c r="Q720" s="31" t="s">
        <v>2403</v>
      </c>
    </row>
    <row r="721">
      <c r="A721" s="29">
        <v>45915.79780194444</v>
      </c>
      <c r="B721" s="30">
        <v>45915.0</v>
      </c>
      <c r="C721" s="31" t="s">
        <v>2148</v>
      </c>
      <c r="D721" s="32" t="s">
        <v>482</v>
      </c>
      <c r="E721" s="31" t="s">
        <v>31</v>
      </c>
      <c r="F721" s="31">
        <v>5400000.0</v>
      </c>
      <c r="G721" s="31" t="s">
        <v>23</v>
      </c>
      <c r="H721" s="31">
        <v>7000000.0</v>
      </c>
      <c r="I721" s="31" t="s">
        <v>200</v>
      </c>
      <c r="K721" s="33" t="s">
        <v>2404</v>
      </c>
      <c r="L721" s="31" t="s">
        <v>202</v>
      </c>
      <c r="M721" s="31" t="s">
        <v>605</v>
      </c>
      <c r="N721" s="31" t="s">
        <v>204</v>
      </c>
      <c r="R721" s="31" t="s">
        <v>207</v>
      </c>
    </row>
    <row r="722">
      <c r="A722" s="29">
        <v>45915.80133997685</v>
      </c>
      <c r="B722" s="30">
        <v>45915.0</v>
      </c>
      <c r="C722" s="31" t="s">
        <v>2405</v>
      </c>
      <c r="D722" s="32" t="s">
        <v>2406</v>
      </c>
      <c r="E722" s="31" t="s">
        <v>43</v>
      </c>
      <c r="F722" s="31">
        <v>7000000.0</v>
      </c>
      <c r="G722" s="31" t="s">
        <v>23</v>
      </c>
      <c r="H722" s="31">
        <v>5000000.0</v>
      </c>
      <c r="I722" s="31" t="s">
        <v>413</v>
      </c>
      <c r="K722" s="33" t="s">
        <v>2407</v>
      </c>
      <c r="L722" s="31" t="s">
        <v>202</v>
      </c>
      <c r="M722" s="31" t="s">
        <v>605</v>
      </c>
      <c r="N722" s="31" t="s">
        <v>220</v>
      </c>
      <c r="S722" s="31" t="s">
        <v>536</v>
      </c>
    </row>
    <row r="723">
      <c r="A723" s="29">
        <v>45915.80183548611</v>
      </c>
      <c r="B723" s="30">
        <v>45915.0</v>
      </c>
      <c r="C723" s="31" t="s">
        <v>2408</v>
      </c>
      <c r="D723" s="32" t="s">
        <v>2409</v>
      </c>
      <c r="E723" s="31" t="s">
        <v>335</v>
      </c>
      <c r="F723" s="31">
        <v>7000000.0</v>
      </c>
      <c r="G723" s="31" t="s">
        <v>23</v>
      </c>
      <c r="H723" s="31">
        <v>7000000.0</v>
      </c>
      <c r="I723" s="31" t="s">
        <v>200</v>
      </c>
      <c r="K723" s="33" t="s">
        <v>2410</v>
      </c>
      <c r="L723" s="31" t="s">
        <v>202</v>
      </c>
      <c r="M723" s="31" t="s">
        <v>203</v>
      </c>
      <c r="N723" s="31" t="s">
        <v>204</v>
      </c>
      <c r="R723" s="31" t="s">
        <v>471</v>
      </c>
    </row>
    <row r="724">
      <c r="A724" s="29">
        <v>45915.810939953706</v>
      </c>
      <c r="B724" s="30">
        <v>45915.0</v>
      </c>
      <c r="C724" s="31" t="s">
        <v>2411</v>
      </c>
      <c r="D724" s="32" t="s">
        <v>2412</v>
      </c>
      <c r="E724" s="31" t="s">
        <v>228</v>
      </c>
      <c r="F724" s="31">
        <v>2500000.0</v>
      </c>
      <c r="G724" s="31" t="s">
        <v>23</v>
      </c>
      <c r="I724" s="31" t="s">
        <v>229</v>
      </c>
      <c r="J724" s="31" t="s">
        <v>967</v>
      </c>
      <c r="K724" s="33" t="s">
        <v>2413</v>
      </c>
      <c r="L724" s="31" t="s">
        <v>202</v>
      </c>
      <c r="N724" s="31" t="s">
        <v>204</v>
      </c>
      <c r="R724" s="31" t="s">
        <v>148</v>
      </c>
    </row>
    <row r="725">
      <c r="A725" s="29">
        <v>45915.81855681713</v>
      </c>
      <c r="B725" s="30">
        <v>45915.0</v>
      </c>
      <c r="C725" s="31" t="s">
        <v>2414</v>
      </c>
      <c r="D725" s="32" t="s">
        <v>2415</v>
      </c>
      <c r="E725" s="31" t="s">
        <v>43</v>
      </c>
      <c r="F725" s="31">
        <v>5000000.0</v>
      </c>
      <c r="G725" s="31" t="s">
        <v>23</v>
      </c>
      <c r="I725" s="31" t="s">
        <v>229</v>
      </c>
      <c r="J725" s="31" t="s">
        <v>967</v>
      </c>
      <c r="K725" s="33" t="s">
        <v>2416</v>
      </c>
      <c r="L725" s="31" t="s">
        <v>252</v>
      </c>
      <c r="O725" s="31" t="s">
        <v>257</v>
      </c>
      <c r="P725" s="31" t="s">
        <v>258</v>
      </c>
    </row>
    <row r="726">
      <c r="A726" s="29">
        <v>45915.82651994213</v>
      </c>
      <c r="B726" s="30">
        <v>45915.0</v>
      </c>
      <c r="C726" s="31" t="s">
        <v>2417</v>
      </c>
      <c r="D726" s="31" t="s">
        <v>2418</v>
      </c>
      <c r="E726" s="31" t="s">
        <v>2419</v>
      </c>
      <c r="F726" s="31">
        <v>3600000.0</v>
      </c>
      <c r="G726" s="31" t="s">
        <v>23</v>
      </c>
      <c r="I726" s="31" t="s">
        <v>229</v>
      </c>
      <c r="J726" s="31" t="s">
        <v>2420</v>
      </c>
      <c r="K726" s="33" t="s">
        <v>2421</v>
      </c>
      <c r="L726" s="31" t="s">
        <v>202</v>
      </c>
      <c r="N726" s="31" t="s">
        <v>215</v>
      </c>
      <c r="W726" s="31" t="s">
        <v>355</v>
      </c>
    </row>
    <row r="727">
      <c r="A727" s="29">
        <v>45915.836026053235</v>
      </c>
      <c r="B727" s="30">
        <v>45915.0</v>
      </c>
      <c r="C727" s="31" t="s">
        <v>2422</v>
      </c>
      <c r="D727" s="32" t="s">
        <v>2423</v>
      </c>
      <c r="E727" s="31" t="s">
        <v>288</v>
      </c>
      <c r="F727" s="31">
        <v>1000000.0</v>
      </c>
      <c r="G727" s="31" t="s">
        <v>23</v>
      </c>
      <c r="I727" s="31" t="s">
        <v>229</v>
      </c>
      <c r="J727" s="31" t="s">
        <v>967</v>
      </c>
      <c r="K727" s="33" t="s">
        <v>2424</v>
      </c>
      <c r="L727" s="31" t="s">
        <v>202</v>
      </c>
      <c r="N727" s="31" t="s">
        <v>220</v>
      </c>
      <c r="S727" s="31" t="s">
        <v>913</v>
      </c>
    </row>
    <row r="728">
      <c r="A728" s="29">
        <v>45915.837677476855</v>
      </c>
      <c r="B728" s="30">
        <v>45915.0</v>
      </c>
      <c r="C728" s="31" t="s">
        <v>2425</v>
      </c>
      <c r="D728" s="32" t="s">
        <v>2426</v>
      </c>
      <c r="E728" s="31" t="s">
        <v>288</v>
      </c>
      <c r="F728" s="31">
        <v>2000000.0</v>
      </c>
      <c r="G728" s="31" t="s">
        <v>23</v>
      </c>
      <c r="I728" s="31" t="s">
        <v>229</v>
      </c>
      <c r="J728" s="31" t="s">
        <v>967</v>
      </c>
      <c r="K728" s="33" t="s">
        <v>2427</v>
      </c>
      <c r="L728" s="31" t="s">
        <v>202</v>
      </c>
      <c r="N728" s="31" t="s">
        <v>220</v>
      </c>
      <c r="S728" s="31" t="s">
        <v>913</v>
      </c>
    </row>
    <row r="729">
      <c r="A729" s="29">
        <v>45915.839390277775</v>
      </c>
      <c r="B729" s="30">
        <v>45915.0</v>
      </c>
      <c r="C729" s="31" t="s">
        <v>2428</v>
      </c>
      <c r="D729" s="32" t="s">
        <v>2429</v>
      </c>
      <c r="E729" s="31" t="s">
        <v>43</v>
      </c>
      <c r="F729" s="31">
        <v>5000000.0</v>
      </c>
      <c r="G729" s="31" t="s">
        <v>23</v>
      </c>
      <c r="I729" s="31" t="s">
        <v>229</v>
      </c>
      <c r="J729" s="31" t="s">
        <v>967</v>
      </c>
      <c r="K729" s="33" t="s">
        <v>2430</v>
      </c>
      <c r="L729" s="31" t="s">
        <v>202</v>
      </c>
      <c r="N729" s="31" t="s">
        <v>220</v>
      </c>
      <c r="S729" s="31" t="s">
        <v>536</v>
      </c>
    </row>
    <row r="730">
      <c r="A730" s="29">
        <v>45915.85058755787</v>
      </c>
      <c r="B730" s="30">
        <v>45915.0</v>
      </c>
      <c r="C730" s="31" t="s">
        <v>2431</v>
      </c>
      <c r="D730" s="31" t="s">
        <v>2432</v>
      </c>
      <c r="E730" s="31" t="s">
        <v>43</v>
      </c>
      <c r="F730" s="31">
        <v>1.0E7</v>
      </c>
      <c r="G730" s="31" t="s">
        <v>45</v>
      </c>
      <c r="H730" s="31">
        <v>5000000.0</v>
      </c>
      <c r="I730" s="31" t="s">
        <v>413</v>
      </c>
      <c r="K730" s="33" t="s">
        <v>2433</v>
      </c>
      <c r="L730" s="31" t="s">
        <v>202</v>
      </c>
      <c r="M730" s="31" t="s">
        <v>605</v>
      </c>
      <c r="N730" s="31" t="s">
        <v>215</v>
      </c>
      <c r="W730" s="31" t="s">
        <v>355</v>
      </c>
    </row>
    <row r="731">
      <c r="A731" s="29">
        <v>45915.853358981476</v>
      </c>
      <c r="B731" s="30">
        <v>45915.0</v>
      </c>
      <c r="C731" s="31" t="s">
        <v>2434</v>
      </c>
      <c r="D731" s="32" t="s">
        <v>2435</v>
      </c>
      <c r="E731" s="31" t="s">
        <v>43</v>
      </c>
      <c r="F731" s="31">
        <v>6000000.0</v>
      </c>
      <c r="G731" s="31" t="s">
        <v>23</v>
      </c>
      <c r="I731" s="31" t="s">
        <v>229</v>
      </c>
      <c r="J731" s="31" t="s">
        <v>2420</v>
      </c>
      <c r="K731" s="33" t="s">
        <v>2436</v>
      </c>
      <c r="L731" s="31" t="s">
        <v>202</v>
      </c>
      <c r="N731" s="31" t="s">
        <v>215</v>
      </c>
      <c r="W731" s="31" t="s">
        <v>355</v>
      </c>
    </row>
    <row r="732">
      <c r="A732" s="29">
        <v>45915.86718652778</v>
      </c>
      <c r="B732" s="30">
        <v>45915.0</v>
      </c>
      <c r="C732" s="31" t="s">
        <v>2437</v>
      </c>
      <c r="D732" s="32" t="s">
        <v>2438</v>
      </c>
      <c r="E732" s="31" t="s">
        <v>2439</v>
      </c>
      <c r="F732" s="31">
        <v>2600000.0</v>
      </c>
      <c r="G732" s="31" t="s">
        <v>23</v>
      </c>
      <c r="H732" s="31">
        <v>3000000.0</v>
      </c>
      <c r="I732" s="31" t="s">
        <v>413</v>
      </c>
      <c r="K732" s="33" t="s">
        <v>2440</v>
      </c>
      <c r="L732" s="31" t="s">
        <v>252</v>
      </c>
      <c r="M732" s="31" t="s">
        <v>203</v>
      </c>
      <c r="O732" s="31" t="s">
        <v>205</v>
      </c>
      <c r="X732" s="31" t="s">
        <v>716</v>
      </c>
    </row>
    <row r="733">
      <c r="A733" s="29">
        <v>45915.920575185184</v>
      </c>
      <c r="B733" s="30">
        <v>45915.0</v>
      </c>
      <c r="C733" s="31" t="s">
        <v>2441</v>
      </c>
      <c r="D733" s="32" t="s">
        <v>2442</v>
      </c>
      <c r="E733" s="31" t="s">
        <v>239</v>
      </c>
      <c r="F733" s="31">
        <v>1600000.0</v>
      </c>
      <c r="G733" s="31" t="s">
        <v>23</v>
      </c>
      <c r="I733" s="31" t="s">
        <v>229</v>
      </c>
      <c r="J733" s="31" t="s">
        <v>967</v>
      </c>
      <c r="K733" s="33" t="s">
        <v>2443</v>
      </c>
      <c r="L733" s="31" t="s">
        <v>252</v>
      </c>
      <c r="O733" s="31" t="s">
        <v>205</v>
      </c>
      <c r="X733" s="31" t="s">
        <v>1471</v>
      </c>
    </row>
    <row r="734">
      <c r="A734" s="29">
        <v>45916.38919258102</v>
      </c>
      <c r="B734" s="30">
        <v>45916.0</v>
      </c>
      <c r="C734" s="31" t="s">
        <v>2444</v>
      </c>
      <c r="D734" s="32" t="s">
        <v>2445</v>
      </c>
      <c r="E734" s="31" t="s">
        <v>283</v>
      </c>
      <c r="F734" s="31">
        <v>8100000.0</v>
      </c>
      <c r="G734" s="31" t="s">
        <v>23</v>
      </c>
      <c r="I734" s="31" t="s">
        <v>229</v>
      </c>
      <c r="J734" s="31" t="s">
        <v>967</v>
      </c>
      <c r="K734" s="33" t="s">
        <v>2446</v>
      </c>
      <c r="L734" s="31" t="s">
        <v>252</v>
      </c>
      <c r="O734" s="31" t="s">
        <v>257</v>
      </c>
      <c r="P734" s="31" t="s">
        <v>272</v>
      </c>
    </row>
    <row r="735">
      <c r="A735" s="29">
        <v>45916.48039872685</v>
      </c>
      <c r="B735" s="30">
        <v>45916.0</v>
      </c>
      <c r="C735" s="31" t="s">
        <v>2447</v>
      </c>
      <c r="D735" s="32" t="s">
        <v>2448</v>
      </c>
      <c r="E735" s="31" t="s">
        <v>228</v>
      </c>
      <c r="F735" s="31">
        <v>1700000.0</v>
      </c>
      <c r="G735" s="31" t="s">
        <v>23</v>
      </c>
      <c r="I735" s="31" t="s">
        <v>229</v>
      </c>
      <c r="J735" s="31" t="s">
        <v>967</v>
      </c>
      <c r="K735" s="33" t="s">
        <v>2449</v>
      </c>
      <c r="L735" s="31" t="s">
        <v>252</v>
      </c>
      <c r="O735" s="31" t="s">
        <v>205</v>
      </c>
      <c r="X735" s="31" t="s">
        <v>1471</v>
      </c>
    </row>
    <row r="736">
      <c r="A736" s="29">
        <v>45916.50441222222</v>
      </c>
      <c r="B736" s="30">
        <v>45916.0</v>
      </c>
      <c r="C736" s="31" t="s">
        <v>2450</v>
      </c>
      <c r="D736" s="32" t="s">
        <v>2451</v>
      </c>
      <c r="E736" s="31" t="s">
        <v>43</v>
      </c>
      <c r="F736" s="31">
        <v>4000000.0</v>
      </c>
      <c r="G736" s="31" t="s">
        <v>23</v>
      </c>
      <c r="H736" s="31">
        <v>3000000.0</v>
      </c>
      <c r="I736" s="31" t="s">
        <v>413</v>
      </c>
      <c r="K736" s="33" t="s">
        <v>2452</v>
      </c>
      <c r="L736" s="31" t="s">
        <v>252</v>
      </c>
      <c r="M736" s="31" t="s">
        <v>203</v>
      </c>
      <c r="O736" s="31" t="s">
        <v>257</v>
      </c>
      <c r="P736" s="31" t="s">
        <v>2453</v>
      </c>
    </row>
    <row r="737">
      <c r="A737" s="29">
        <v>45916.52148846065</v>
      </c>
      <c r="B737" s="30">
        <v>45916.0</v>
      </c>
      <c r="C737" s="31" t="s">
        <v>2454</v>
      </c>
      <c r="D737" s="32" t="s">
        <v>2455</v>
      </c>
      <c r="E737" s="31" t="s">
        <v>239</v>
      </c>
      <c r="F737" s="31">
        <v>3000000.0</v>
      </c>
      <c r="G737" s="31" t="s">
        <v>23</v>
      </c>
      <c r="H737" s="31">
        <v>3000000.0</v>
      </c>
      <c r="I737" s="31" t="s">
        <v>413</v>
      </c>
      <c r="K737" s="33" t="s">
        <v>2456</v>
      </c>
      <c r="L737" s="31" t="s">
        <v>202</v>
      </c>
      <c r="M737" s="31" t="s">
        <v>203</v>
      </c>
      <c r="N737" s="31" t="s">
        <v>204</v>
      </c>
      <c r="R737" s="31" t="s">
        <v>892</v>
      </c>
    </row>
    <row r="738">
      <c r="A738" s="29">
        <v>45916.55599289352</v>
      </c>
      <c r="B738" s="30">
        <v>45916.0</v>
      </c>
      <c r="C738" s="31" t="s">
        <v>2457</v>
      </c>
      <c r="D738" s="32" t="s">
        <v>2458</v>
      </c>
      <c r="E738" s="31" t="s">
        <v>43</v>
      </c>
      <c r="F738" s="31">
        <v>5000000.0</v>
      </c>
      <c r="G738" s="31" t="s">
        <v>23</v>
      </c>
      <c r="I738" s="31" t="s">
        <v>229</v>
      </c>
      <c r="J738" s="31" t="s">
        <v>967</v>
      </c>
      <c r="K738" s="33" t="s">
        <v>2459</v>
      </c>
      <c r="L738" s="31" t="s">
        <v>252</v>
      </c>
      <c r="O738" s="31" t="s">
        <v>257</v>
      </c>
      <c r="P738" s="31" t="s">
        <v>258</v>
      </c>
    </row>
    <row r="739">
      <c r="A739" s="29">
        <v>45916.5611249537</v>
      </c>
      <c r="B739" s="30">
        <v>45916.0</v>
      </c>
      <c r="C739" s="31" t="s">
        <v>2460</v>
      </c>
      <c r="D739" s="32" t="s">
        <v>2461</v>
      </c>
      <c r="E739" s="31" t="s">
        <v>288</v>
      </c>
      <c r="F739" s="34">
        <v>4000.0</v>
      </c>
      <c r="G739" s="31" t="s">
        <v>23</v>
      </c>
      <c r="I739" s="31" t="s">
        <v>229</v>
      </c>
      <c r="J739" s="31" t="s">
        <v>967</v>
      </c>
      <c r="K739" s="33" t="s">
        <v>2462</v>
      </c>
      <c r="L739" s="31" t="s">
        <v>202</v>
      </c>
      <c r="N739" s="31" t="s">
        <v>204</v>
      </c>
      <c r="R739" s="31" t="s">
        <v>167</v>
      </c>
    </row>
    <row r="740">
      <c r="A740" s="29">
        <v>45916.57015472223</v>
      </c>
      <c r="B740" s="30">
        <v>45916.0</v>
      </c>
      <c r="C740" s="31" t="s">
        <v>2463</v>
      </c>
      <c r="D740" s="32" t="s">
        <v>2464</v>
      </c>
      <c r="E740" s="31" t="s">
        <v>43</v>
      </c>
      <c r="F740" s="31">
        <v>3000000.0</v>
      </c>
      <c r="G740" s="31" t="s">
        <v>23</v>
      </c>
      <c r="H740" s="31">
        <v>3000000.0</v>
      </c>
      <c r="I740" s="31" t="s">
        <v>200</v>
      </c>
      <c r="K740" s="33" t="s">
        <v>2465</v>
      </c>
      <c r="L740" s="31" t="s">
        <v>252</v>
      </c>
      <c r="M740" s="31" t="s">
        <v>203</v>
      </c>
      <c r="O740" s="31" t="s">
        <v>257</v>
      </c>
      <c r="P740" s="31" t="s">
        <v>206</v>
      </c>
    </row>
    <row r="741">
      <c r="A741" s="29">
        <v>45916.59417306713</v>
      </c>
      <c r="B741" s="30">
        <v>45916.0</v>
      </c>
      <c r="C741" s="31" t="s">
        <v>2466</v>
      </c>
      <c r="D741" s="32" t="s">
        <v>2467</v>
      </c>
      <c r="E741" s="31" t="s">
        <v>43</v>
      </c>
      <c r="F741" s="31">
        <v>4400000.0</v>
      </c>
      <c r="G741" s="31" t="s">
        <v>23</v>
      </c>
      <c r="I741" s="31" t="s">
        <v>229</v>
      </c>
      <c r="J741" s="31" t="s">
        <v>967</v>
      </c>
      <c r="K741" s="33" t="s">
        <v>2468</v>
      </c>
      <c r="L741" s="31" t="s">
        <v>202</v>
      </c>
      <c r="N741" s="31" t="s">
        <v>204</v>
      </c>
      <c r="R741" s="31" t="s">
        <v>53</v>
      </c>
    </row>
    <row r="742">
      <c r="A742" s="29">
        <v>45916.62784755787</v>
      </c>
      <c r="B742" s="30">
        <v>45916.0</v>
      </c>
      <c r="C742" s="31" t="s">
        <v>452</v>
      </c>
      <c r="D742" s="32" t="s">
        <v>2469</v>
      </c>
      <c r="E742" s="31" t="s">
        <v>43</v>
      </c>
      <c r="F742" s="31">
        <v>3000000.0</v>
      </c>
      <c r="G742" s="31" t="s">
        <v>23</v>
      </c>
      <c r="H742" s="31">
        <v>1.0E7</v>
      </c>
      <c r="I742" s="31" t="s">
        <v>200</v>
      </c>
      <c r="K742" s="33" t="s">
        <v>2470</v>
      </c>
      <c r="L742" s="31" t="s">
        <v>252</v>
      </c>
      <c r="M742" s="31" t="s">
        <v>383</v>
      </c>
      <c r="O742" s="31" t="s">
        <v>205</v>
      </c>
      <c r="X742" s="31" t="s">
        <v>452</v>
      </c>
    </row>
    <row r="743">
      <c r="A743" s="29">
        <v>45916.66419038194</v>
      </c>
      <c r="B743" s="30">
        <v>45916.0</v>
      </c>
      <c r="C743" s="31" t="s">
        <v>2471</v>
      </c>
      <c r="D743" s="32" t="s">
        <v>2472</v>
      </c>
      <c r="E743" s="31" t="s">
        <v>43</v>
      </c>
      <c r="F743" s="31">
        <v>5600000.0</v>
      </c>
      <c r="G743" s="31" t="s">
        <v>45</v>
      </c>
      <c r="I743" s="31" t="s">
        <v>229</v>
      </c>
      <c r="J743" s="31" t="s">
        <v>967</v>
      </c>
      <c r="K743" s="33" t="s">
        <v>2473</v>
      </c>
      <c r="L743" s="31" t="s">
        <v>202</v>
      </c>
      <c r="N743" s="31" t="s">
        <v>667</v>
      </c>
      <c r="U743" s="31" t="s">
        <v>668</v>
      </c>
    </row>
    <row r="744">
      <c r="A744" s="29">
        <v>45916.66478299769</v>
      </c>
      <c r="B744" s="30">
        <v>45916.0</v>
      </c>
      <c r="C744" s="31" t="s">
        <v>2474</v>
      </c>
      <c r="D744" s="32" t="s">
        <v>2475</v>
      </c>
      <c r="E744" s="31" t="s">
        <v>43</v>
      </c>
      <c r="F744" s="31">
        <v>3500000.0</v>
      </c>
      <c r="G744" s="31" t="s">
        <v>23</v>
      </c>
      <c r="I744" s="31" t="s">
        <v>229</v>
      </c>
      <c r="J744" s="31" t="s">
        <v>967</v>
      </c>
      <c r="K744" s="33" t="s">
        <v>2476</v>
      </c>
      <c r="L744" s="31" t="s">
        <v>202</v>
      </c>
      <c r="N744" s="31" t="s">
        <v>220</v>
      </c>
      <c r="S744" s="31" t="s">
        <v>83</v>
      </c>
    </row>
    <row r="745">
      <c r="A745" s="29">
        <v>45916.680108252316</v>
      </c>
      <c r="B745" s="30">
        <v>45916.0</v>
      </c>
      <c r="C745" s="31" t="s">
        <v>2477</v>
      </c>
      <c r="D745" s="32" t="s">
        <v>2478</v>
      </c>
      <c r="E745" s="31" t="s">
        <v>228</v>
      </c>
      <c r="F745" s="31">
        <v>4000000.0</v>
      </c>
      <c r="G745" s="31" t="s">
        <v>23</v>
      </c>
      <c r="I745" s="31" t="s">
        <v>229</v>
      </c>
      <c r="J745" s="31" t="s">
        <v>967</v>
      </c>
      <c r="K745" s="33" t="s">
        <v>2479</v>
      </c>
      <c r="L745" s="31" t="s">
        <v>202</v>
      </c>
      <c r="N745" s="31" t="s">
        <v>220</v>
      </c>
      <c r="S745" s="31" t="s">
        <v>59</v>
      </c>
    </row>
    <row r="746">
      <c r="A746" s="29">
        <v>45916.69950503472</v>
      </c>
      <c r="B746" s="30">
        <v>45916.0</v>
      </c>
      <c r="C746" s="31" t="s">
        <v>2480</v>
      </c>
      <c r="D746" s="32" t="s">
        <v>2481</v>
      </c>
      <c r="E746" s="31" t="s">
        <v>43</v>
      </c>
      <c r="F746" s="31">
        <v>4500000.0</v>
      </c>
      <c r="G746" s="31" t="s">
        <v>23</v>
      </c>
      <c r="I746" s="31" t="s">
        <v>229</v>
      </c>
      <c r="J746" s="31" t="s">
        <v>967</v>
      </c>
      <c r="K746" s="33" t="s">
        <v>2482</v>
      </c>
      <c r="L746" s="31" t="s">
        <v>202</v>
      </c>
      <c r="N746" s="31" t="s">
        <v>220</v>
      </c>
      <c r="S746" s="31" t="s">
        <v>59</v>
      </c>
    </row>
    <row r="747">
      <c r="A747" s="29">
        <v>45916.73281422454</v>
      </c>
      <c r="B747" s="30">
        <v>45916.0</v>
      </c>
      <c r="C747" s="31" t="s">
        <v>2483</v>
      </c>
      <c r="D747" s="32" t="s">
        <v>2484</v>
      </c>
      <c r="E747" s="31" t="s">
        <v>43</v>
      </c>
      <c r="F747" s="31">
        <v>5000000.0</v>
      </c>
      <c r="G747" s="31" t="s">
        <v>45</v>
      </c>
      <c r="H747" s="31">
        <v>3000000.0</v>
      </c>
      <c r="I747" s="31" t="s">
        <v>413</v>
      </c>
      <c r="K747" s="33" t="s">
        <v>2485</v>
      </c>
      <c r="L747" s="31" t="s">
        <v>252</v>
      </c>
      <c r="M747" s="31" t="s">
        <v>203</v>
      </c>
      <c r="O747" s="31" t="s">
        <v>257</v>
      </c>
      <c r="P747" s="31" t="s">
        <v>272</v>
      </c>
    </row>
    <row r="748">
      <c r="A748" s="29">
        <v>45916.73552943287</v>
      </c>
      <c r="B748" s="30">
        <v>45916.0</v>
      </c>
      <c r="C748" s="31" t="s">
        <v>2486</v>
      </c>
      <c r="D748" s="32" t="s">
        <v>2487</v>
      </c>
      <c r="E748" s="31" t="s">
        <v>213</v>
      </c>
      <c r="F748" s="31">
        <v>3000000.0</v>
      </c>
      <c r="G748" s="31" t="s">
        <v>23</v>
      </c>
      <c r="I748" s="31" t="s">
        <v>229</v>
      </c>
      <c r="J748" s="31" t="s">
        <v>967</v>
      </c>
      <c r="K748" s="33" t="s">
        <v>2488</v>
      </c>
      <c r="L748" s="31" t="s">
        <v>202</v>
      </c>
      <c r="N748" s="31" t="s">
        <v>204</v>
      </c>
      <c r="R748" s="31" t="s">
        <v>28</v>
      </c>
    </row>
    <row r="749">
      <c r="A749" s="29">
        <v>45916.738212048615</v>
      </c>
      <c r="B749" s="30">
        <v>45916.0</v>
      </c>
      <c r="C749" s="31" t="s">
        <v>2489</v>
      </c>
      <c r="D749" s="32" t="s">
        <v>2490</v>
      </c>
      <c r="E749" s="31" t="s">
        <v>2491</v>
      </c>
      <c r="F749" s="31">
        <v>4600000.0</v>
      </c>
      <c r="G749" s="31" t="s">
        <v>23</v>
      </c>
      <c r="H749" s="31">
        <v>7000000.0</v>
      </c>
      <c r="I749" s="31" t="s">
        <v>413</v>
      </c>
      <c r="K749" s="33" t="s">
        <v>2492</v>
      </c>
      <c r="L749" s="31" t="s">
        <v>202</v>
      </c>
      <c r="M749" s="31" t="s">
        <v>605</v>
      </c>
      <c r="N749" s="31" t="s">
        <v>220</v>
      </c>
      <c r="S749" s="31" t="s">
        <v>466</v>
      </c>
    </row>
    <row r="750">
      <c r="A750" s="29">
        <v>45916.7394866088</v>
      </c>
      <c r="B750" s="30">
        <v>45916.0</v>
      </c>
      <c r="C750" s="31" t="s">
        <v>2493</v>
      </c>
      <c r="D750" s="32" t="s">
        <v>2494</v>
      </c>
      <c r="E750" s="31" t="s">
        <v>31</v>
      </c>
      <c r="F750" s="31">
        <v>1.1E7</v>
      </c>
      <c r="G750" s="31" t="s">
        <v>23</v>
      </c>
      <c r="I750" s="31" t="s">
        <v>229</v>
      </c>
      <c r="J750" s="31" t="s">
        <v>967</v>
      </c>
      <c r="K750" s="33" t="s">
        <v>2495</v>
      </c>
      <c r="L750" s="31" t="s">
        <v>202</v>
      </c>
      <c r="N750" s="31" t="s">
        <v>204</v>
      </c>
      <c r="R750" s="31" t="s">
        <v>471</v>
      </c>
    </row>
    <row r="751">
      <c r="A751" s="29">
        <v>45916.74118681713</v>
      </c>
      <c r="B751" s="30">
        <v>45916.0</v>
      </c>
      <c r="C751" s="31" t="s">
        <v>2496</v>
      </c>
      <c r="D751" s="32" t="s">
        <v>2497</v>
      </c>
      <c r="E751" s="31" t="s">
        <v>31</v>
      </c>
      <c r="F751" s="31">
        <v>1.0E7</v>
      </c>
      <c r="G751" s="31" t="s">
        <v>23</v>
      </c>
      <c r="I751" s="31" t="s">
        <v>229</v>
      </c>
      <c r="J751" s="31" t="s">
        <v>967</v>
      </c>
      <c r="K751" s="33" t="s">
        <v>2498</v>
      </c>
      <c r="L751" s="31" t="s">
        <v>202</v>
      </c>
      <c r="N751" s="31" t="s">
        <v>204</v>
      </c>
      <c r="R751" s="31" t="s">
        <v>471</v>
      </c>
    </row>
    <row r="752">
      <c r="A752" s="29">
        <v>45916.74177570602</v>
      </c>
      <c r="B752" s="30">
        <v>45916.0</v>
      </c>
      <c r="C752" s="31" t="s">
        <v>2499</v>
      </c>
      <c r="D752" s="32" t="s">
        <v>2500</v>
      </c>
      <c r="E752" s="31" t="s">
        <v>43</v>
      </c>
      <c r="F752" s="31">
        <v>5000000.0</v>
      </c>
      <c r="G752" s="31" t="s">
        <v>23</v>
      </c>
      <c r="I752" s="31" t="s">
        <v>229</v>
      </c>
      <c r="J752" s="31" t="s">
        <v>967</v>
      </c>
      <c r="K752" s="33" t="s">
        <v>2501</v>
      </c>
      <c r="L752" s="31" t="s">
        <v>202</v>
      </c>
      <c r="N752" s="31" t="s">
        <v>313</v>
      </c>
      <c r="T752" s="31" t="s">
        <v>329</v>
      </c>
    </row>
    <row r="753">
      <c r="A753" s="29">
        <v>45916.75144743056</v>
      </c>
      <c r="B753" s="30">
        <v>45916.0</v>
      </c>
      <c r="C753" s="31" t="s">
        <v>2502</v>
      </c>
      <c r="D753" s="32" t="s">
        <v>2503</v>
      </c>
      <c r="E753" s="31" t="s">
        <v>43</v>
      </c>
      <c r="F753" s="31">
        <v>3500000.0</v>
      </c>
      <c r="G753" s="31" t="s">
        <v>23</v>
      </c>
      <c r="I753" s="31" t="s">
        <v>229</v>
      </c>
      <c r="J753" s="31" t="s">
        <v>967</v>
      </c>
      <c r="K753" s="33" t="s">
        <v>2504</v>
      </c>
      <c r="L753" s="31" t="s">
        <v>202</v>
      </c>
      <c r="N753" s="31" t="s">
        <v>220</v>
      </c>
      <c r="S753" s="31" t="s">
        <v>896</v>
      </c>
    </row>
    <row r="754">
      <c r="A754" s="29">
        <v>45916.75376255787</v>
      </c>
      <c r="B754" s="30">
        <v>45916.0</v>
      </c>
      <c r="C754" s="31" t="s">
        <v>2505</v>
      </c>
      <c r="D754" s="32" t="s">
        <v>2506</v>
      </c>
      <c r="E754" s="31" t="s">
        <v>199</v>
      </c>
      <c r="F754" s="31">
        <v>7100000.0</v>
      </c>
      <c r="G754" s="31" t="s">
        <v>45</v>
      </c>
      <c r="I754" s="31" t="s">
        <v>229</v>
      </c>
      <c r="J754" s="31" t="s">
        <v>967</v>
      </c>
      <c r="K754" s="33" t="s">
        <v>2507</v>
      </c>
      <c r="L754" s="31" t="s">
        <v>202</v>
      </c>
      <c r="N754" s="31" t="s">
        <v>313</v>
      </c>
      <c r="T754" s="31" t="s">
        <v>329</v>
      </c>
    </row>
    <row r="755">
      <c r="A755" s="29">
        <v>45916.755916712966</v>
      </c>
      <c r="B755" s="30">
        <v>45916.0</v>
      </c>
      <c r="C755" s="31" t="s">
        <v>2508</v>
      </c>
      <c r="D755" s="32" t="s">
        <v>2509</v>
      </c>
      <c r="E755" s="31" t="s">
        <v>31</v>
      </c>
      <c r="F755" s="31">
        <v>5000000.0</v>
      </c>
      <c r="G755" s="31" t="s">
        <v>23</v>
      </c>
      <c r="I755" s="31" t="s">
        <v>229</v>
      </c>
      <c r="J755" s="31" t="s">
        <v>967</v>
      </c>
      <c r="K755" s="33" t="s">
        <v>2510</v>
      </c>
      <c r="L755" s="31" t="s">
        <v>202</v>
      </c>
      <c r="N755" s="31" t="s">
        <v>313</v>
      </c>
      <c r="T755" s="31" t="s">
        <v>329</v>
      </c>
    </row>
    <row r="756">
      <c r="A756" s="29">
        <v>45916.75760121528</v>
      </c>
      <c r="B756" s="30">
        <v>45916.0</v>
      </c>
      <c r="C756" s="31" t="s">
        <v>2511</v>
      </c>
      <c r="D756" s="32" t="s">
        <v>2512</v>
      </c>
      <c r="E756" s="31" t="s">
        <v>31</v>
      </c>
      <c r="F756" s="31">
        <v>5000000.0</v>
      </c>
      <c r="G756" s="31" t="s">
        <v>23</v>
      </c>
      <c r="I756" s="31" t="s">
        <v>229</v>
      </c>
      <c r="J756" s="31" t="s">
        <v>967</v>
      </c>
      <c r="K756" s="33" t="s">
        <v>2513</v>
      </c>
      <c r="L756" s="31" t="s">
        <v>202</v>
      </c>
      <c r="N756" s="31" t="s">
        <v>313</v>
      </c>
      <c r="T756" s="31" t="s">
        <v>329</v>
      </c>
    </row>
    <row r="757">
      <c r="A757" s="29">
        <v>45916.75940582176</v>
      </c>
      <c r="B757" s="30">
        <v>45916.0</v>
      </c>
      <c r="C757" s="31" t="s">
        <v>2514</v>
      </c>
      <c r="D757" s="32" t="s">
        <v>2515</v>
      </c>
      <c r="E757" s="31" t="s">
        <v>31</v>
      </c>
      <c r="F757" s="31">
        <v>7100000.0</v>
      </c>
      <c r="G757" s="31" t="s">
        <v>23</v>
      </c>
      <c r="H757" s="31">
        <v>3000000.0</v>
      </c>
      <c r="I757" s="31" t="s">
        <v>413</v>
      </c>
      <c r="K757" s="33" t="s">
        <v>2516</v>
      </c>
      <c r="L757" s="31" t="s">
        <v>202</v>
      </c>
      <c r="M757" s="31" t="s">
        <v>203</v>
      </c>
      <c r="N757" s="31" t="s">
        <v>313</v>
      </c>
      <c r="T757" s="31" t="s">
        <v>329</v>
      </c>
    </row>
    <row r="758">
      <c r="A758" s="29">
        <v>45916.76445862268</v>
      </c>
      <c r="B758" s="30">
        <v>45916.0</v>
      </c>
      <c r="C758" s="31" t="s">
        <v>2517</v>
      </c>
      <c r="D758" s="32" t="s">
        <v>2518</v>
      </c>
      <c r="E758" s="31" t="s">
        <v>43</v>
      </c>
      <c r="F758" s="31">
        <v>9000000.0</v>
      </c>
      <c r="G758" s="31" t="s">
        <v>23</v>
      </c>
      <c r="H758" s="31">
        <v>3000000.0</v>
      </c>
      <c r="I758" s="31" t="s">
        <v>200</v>
      </c>
      <c r="K758" s="33" t="s">
        <v>2519</v>
      </c>
      <c r="L758" s="31" t="s">
        <v>252</v>
      </c>
      <c r="M758" s="31" t="s">
        <v>203</v>
      </c>
      <c r="O758" s="31" t="s">
        <v>257</v>
      </c>
      <c r="P758" s="31" t="s">
        <v>258</v>
      </c>
    </row>
    <row r="759">
      <c r="A759" s="29">
        <v>45916.77292559028</v>
      </c>
      <c r="B759" s="30">
        <v>45916.0</v>
      </c>
      <c r="C759" s="31" t="s">
        <v>2520</v>
      </c>
      <c r="D759" s="32" t="s">
        <v>907</v>
      </c>
      <c r="E759" s="31" t="s">
        <v>288</v>
      </c>
      <c r="F759" s="31">
        <v>2000000.0</v>
      </c>
      <c r="G759" s="31" t="s">
        <v>23</v>
      </c>
      <c r="I759" s="31" t="s">
        <v>229</v>
      </c>
      <c r="J759" s="31" t="s">
        <v>270</v>
      </c>
      <c r="K759" s="33" t="s">
        <v>2521</v>
      </c>
      <c r="L759" s="31" t="s">
        <v>202</v>
      </c>
      <c r="N759" s="31" t="s">
        <v>215</v>
      </c>
      <c r="W759" s="31" t="s">
        <v>532</v>
      </c>
    </row>
    <row r="760">
      <c r="A760" s="29">
        <v>45916.77938101852</v>
      </c>
      <c r="B760" s="30">
        <v>45916.0</v>
      </c>
      <c r="C760" s="31" t="s">
        <v>2522</v>
      </c>
      <c r="D760" s="32" t="s">
        <v>2523</v>
      </c>
      <c r="E760" s="31" t="s">
        <v>31</v>
      </c>
      <c r="F760" s="31">
        <v>5500000.0</v>
      </c>
      <c r="G760" s="31" t="s">
        <v>23</v>
      </c>
      <c r="H760" s="31">
        <v>7000000.0</v>
      </c>
      <c r="I760" s="31" t="s">
        <v>413</v>
      </c>
      <c r="K760" s="33" t="s">
        <v>2524</v>
      </c>
      <c r="L760" s="31" t="s">
        <v>202</v>
      </c>
      <c r="M760" s="31" t="s">
        <v>203</v>
      </c>
      <c r="N760" s="31" t="s">
        <v>220</v>
      </c>
      <c r="S760" s="31" t="s">
        <v>83</v>
      </c>
    </row>
    <row r="761">
      <c r="A761" s="29">
        <v>45916.78445021991</v>
      </c>
      <c r="B761" s="30">
        <v>45916.0</v>
      </c>
      <c r="C761" s="31" t="s">
        <v>2525</v>
      </c>
      <c r="D761" s="32" t="s">
        <v>2526</v>
      </c>
      <c r="E761" s="31" t="s">
        <v>2004</v>
      </c>
      <c r="F761" s="31">
        <v>4200000.0</v>
      </c>
      <c r="G761" s="31" t="s">
        <v>23</v>
      </c>
      <c r="I761" s="31" t="s">
        <v>229</v>
      </c>
      <c r="J761" s="31" t="s">
        <v>967</v>
      </c>
      <c r="K761" s="33" t="s">
        <v>2527</v>
      </c>
      <c r="L761" s="31" t="s">
        <v>202</v>
      </c>
      <c r="N761" s="31" t="s">
        <v>220</v>
      </c>
      <c r="S761" s="31" t="s">
        <v>83</v>
      </c>
    </row>
    <row r="762">
      <c r="A762" s="29">
        <v>45916.79451472222</v>
      </c>
      <c r="B762" s="30">
        <v>45916.0</v>
      </c>
      <c r="C762" s="31" t="s">
        <v>2528</v>
      </c>
      <c r="D762" s="32" t="s">
        <v>2529</v>
      </c>
      <c r="E762" s="31" t="s">
        <v>199</v>
      </c>
      <c r="F762" s="31">
        <v>5600000.0</v>
      </c>
      <c r="G762" s="31" t="s">
        <v>23</v>
      </c>
      <c r="H762" s="31">
        <v>5000000.0</v>
      </c>
      <c r="I762" s="31" t="s">
        <v>413</v>
      </c>
      <c r="K762" s="33" t="s">
        <v>2530</v>
      </c>
      <c r="L762" s="31" t="s">
        <v>202</v>
      </c>
      <c r="M762" s="31" t="s">
        <v>203</v>
      </c>
      <c r="N762" s="31" t="s">
        <v>313</v>
      </c>
      <c r="T762" s="31" t="s">
        <v>314</v>
      </c>
    </row>
    <row r="763">
      <c r="A763" s="29">
        <v>45916.796120011575</v>
      </c>
      <c r="B763" s="30">
        <v>45916.0</v>
      </c>
      <c r="C763" s="31" t="s">
        <v>2531</v>
      </c>
      <c r="D763" s="32" t="s">
        <v>2041</v>
      </c>
      <c r="E763" s="31" t="s">
        <v>311</v>
      </c>
      <c r="F763" s="31">
        <v>5600000.0</v>
      </c>
      <c r="G763" s="31" t="s">
        <v>23</v>
      </c>
      <c r="I763" s="31" t="s">
        <v>229</v>
      </c>
      <c r="J763" s="31" t="s">
        <v>967</v>
      </c>
      <c r="K763" s="33" t="s">
        <v>2532</v>
      </c>
      <c r="L763" s="31" t="s">
        <v>202</v>
      </c>
      <c r="N763" s="31" t="s">
        <v>313</v>
      </c>
      <c r="T763" s="31" t="s">
        <v>314</v>
      </c>
    </row>
    <row r="764">
      <c r="A764" s="29">
        <v>45916.801492060185</v>
      </c>
      <c r="B764" s="30">
        <v>45916.0</v>
      </c>
      <c r="C764" s="31" t="s">
        <v>2533</v>
      </c>
      <c r="D764" s="31" t="s">
        <v>2534</v>
      </c>
      <c r="E764" s="31" t="s">
        <v>2535</v>
      </c>
      <c r="F764" s="31">
        <v>3100000.0</v>
      </c>
      <c r="G764" s="31" t="s">
        <v>23</v>
      </c>
      <c r="I764" s="31" t="s">
        <v>229</v>
      </c>
      <c r="J764" s="31" t="s">
        <v>2420</v>
      </c>
      <c r="K764" s="33" t="s">
        <v>2536</v>
      </c>
      <c r="L764" s="31" t="s">
        <v>202</v>
      </c>
      <c r="N764" s="31" t="s">
        <v>215</v>
      </c>
      <c r="W764" s="31" t="s">
        <v>355</v>
      </c>
    </row>
    <row r="765">
      <c r="A765" s="29">
        <v>45916.807333171295</v>
      </c>
      <c r="B765" s="30">
        <v>45916.0</v>
      </c>
      <c r="C765" s="31" t="s">
        <v>2537</v>
      </c>
      <c r="D765" s="32" t="s">
        <v>2538</v>
      </c>
      <c r="E765" s="31" t="s">
        <v>43</v>
      </c>
      <c r="F765" s="34">
        <v>3500.0</v>
      </c>
      <c r="G765" s="31" t="s">
        <v>23</v>
      </c>
      <c r="I765" s="31" t="s">
        <v>229</v>
      </c>
      <c r="J765" s="31" t="s">
        <v>967</v>
      </c>
      <c r="K765" s="33" t="s">
        <v>2539</v>
      </c>
      <c r="L765" s="31" t="s">
        <v>202</v>
      </c>
      <c r="N765" s="31" t="s">
        <v>871</v>
      </c>
      <c r="Q765" s="31" t="s">
        <v>2403</v>
      </c>
    </row>
    <row r="766">
      <c r="A766" s="29">
        <v>45916.80952700232</v>
      </c>
      <c r="B766" s="30">
        <v>45916.0</v>
      </c>
      <c r="C766" s="31" t="s">
        <v>2540</v>
      </c>
      <c r="D766" s="32" t="s">
        <v>2541</v>
      </c>
      <c r="E766" s="31" t="s">
        <v>493</v>
      </c>
      <c r="F766" s="31">
        <v>7000000.0</v>
      </c>
      <c r="G766" s="31" t="s">
        <v>23</v>
      </c>
      <c r="I766" s="31" t="s">
        <v>229</v>
      </c>
      <c r="J766" s="31" t="s">
        <v>2420</v>
      </c>
      <c r="K766" s="33" t="s">
        <v>2542</v>
      </c>
      <c r="L766" s="31" t="s">
        <v>202</v>
      </c>
      <c r="N766" s="31" t="s">
        <v>215</v>
      </c>
      <c r="W766" s="31" t="s">
        <v>355</v>
      </c>
    </row>
    <row r="767">
      <c r="A767" s="29">
        <v>45916.83643976852</v>
      </c>
      <c r="B767" s="30">
        <v>45916.0</v>
      </c>
      <c r="C767" s="31" t="s">
        <v>2543</v>
      </c>
      <c r="D767" s="32" t="s">
        <v>2544</v>
      </c>
      <c r="E767" s="31" t="s">
        <v>2545</v>
      </c>
      <c r="F767" s="31">
        <v>3000000.0</v>
      </c>
      <c r="G767" s="31" t="s">
        <v>23</v>
      </c>
      <c r="I767" s="31" t="s">
        <v>229</v>
      </c>
      <c r="J767" s="31" t="s">
        <v>2420</v>
      </c>
      <c r="K767" s="33" t="s">
        <v>2546</v>
      </c>
      <c r="L767" s="31" t="s">
        <v>202</v>
      </c>
      <c r="N767" s="31" t="s">
        <v>215</v>
      </c>
      <c r="W767" s="31" t="s">
        <v>355</v>
      </c>
    </row>
    <row r="768">
      <c r="A768" s="29">
        <v>45916.83965725695</v>
      </c>
      <c r="B768" s="30">
        <v>45916.0</v>
      </c>
      <c r="C768" s="31" t="s">
        <v>2547</v>
      </c>
      <c r="D768" s="31">
        <v>8.1246541108E10</v>
      </c>
      <c r="E768" s="31" t="s">
        <v>43</v>
      </c>
      <c r="F768" s="31">
        <v>1.1E7</v>
      </c>
      <c r="G768" s="31" t="s">
        <v>23</v>
      </c>
      <c r="H768" s="31">
        <v>3000000.0</v>
      </c>
      <c r="I768" s="31" t="s">
        <v>200</v>
      </c>
      <c r="K768" s="33" t="s">
        <v>2548</v>
      </c>
      <c r="L768" s="31" t="s">
        <v>202</v>
      </c>
      <c r="M768" s="31" t="s">
        <v>203</v>
      </c>
      <c r="N768" s="31" t="s">
        <v>204</v>
      </c>
      <c r="R768" s="31" t="s">
        <v>471</v>
      </c>
    </row>
    <row r="769">
      <c r="A769" s="29">
        <v>45916.86016855324</v>
      </c>
      <c r="B769" s="30">
        <v>45916.0</v>
      </c>
      <c r="C769" s="31" t="s">
        <v>2549</v>
      </c>
      <c r="D769" s="32" t="s">
        <v>2550</v>
      </c>
      <c r="E769" s="31" t="s">
        <v>43</v>
      </c>
      <c r="F769" s="34">
        <v>4700.0</v>
      </c>
      <c r="G769" s="31" t="s">
        <v>45</v>
      </c>
      <c r="I769" s="31" t="s">
        <v>229</v>
      </c>
      <c r="J769" s="31" t="s">
        <v>270</v>
      </c>
      <c r="K769" s="33" t="s">
        <v>2551</v>
      </c>
      <c r="L769" s="31" t="s">
        <v>202</v>
      </c>
      <c r="N769" s="31" t="s">
        <v>871</v>
      </c>
      <c r="Q769" s="31" t="s">
        <v>2403</v>
      </c>
    </row>
    <row r="770">
      <c r="A770" s="29">
        <v>45916.86301730324</v>
      </c>
      <c r="B770" s="30">
        <v>45916.0</v>
      </c>
      <c r="C770" s="31" t="s">
        <v>2552</v>
      </c>
      <c r="D770" s="32" t="s">
        <v>2553</v>
      </c>
      <c r="E770" s="31" t="s">
        <v>43</v>
      </c>
      <c r="F770" s="31">
        <v>4500000.0</v>
      </c>
      <c r="G770" s="31" t="s">
        <v>23</v>
      </c>
      <c r="I770" s="31" t="s">
        <v>229</v>
      </c>
      <c r="J770" s="31" t="s">
        <v>967</v>
      </c>
      <c r="K770" s="33" t="s">
        <v>2554</v>
      </c>
      <c r="L770" s="31" t="s">
        <v>202</v>
      </c>
      <c r="N770" s="31" t="s">
        <v>220</v>
      </c>
      <c r="S770" s="31" t="s">
        <v>59</v>
      </c>
    </row>
    <row r="771">
      <c r="A771" s="29">
        <v>45916.86371527778</v>
      </c>
      <c r="B771" s="30">
        <v>45916.0</v>
      </c>
      <c r="C771" s="31" t="s">
        <v>2555</v>
      </c>
      <c r="D771" s="32" t="s">
        <v>2556</v>
      </c>
      <c r="E771" s="31" t="s">
        <v>43</v>
      </c>
      <c r="F771" s="31">
        <v>3200000.0</v>
      </c>
      <c r="G771" s="31" t="s">
        <v>23</v>
      </c>
      <c r="I771" s="31" t="s">
        <v>229</v>
      </c>
      <c r="J771" s="31" t="s">
        <v>967</v>
      </c>
      <c r="K771" s="33" t="s">
        <v>2557</v>
      </c>
      <c r="L771" s="31" t="s">
        <v>202</v>
      </c>
      <c r="N771" s="31" t="s">
        <v>220</v>
      </c>
      <c r="S771" s="31" t="s">
        <v>83</v>
      </c>
    </row>
    <row r="772">
      <c r="A772" s="29">
        <v>45916.870112986115</v>
      </c>
      <c r="B772" s="30">
        <v>45916.0</v>
      </c>
      <c r="C772" s="31" t="s">
        <v>2558</v>
      </c>
      <c r="D772" s="32" t="s">
        <v>2559</v>
      </c>
      <c r="E772" s="31" t="s">
        <v>43</v>
      </c>
      <c r="F772" s="31">
        <v>3000000.0</v>
      </c>
      <c r="G772" s="31" t="s">
        <v>23</v>
      </c>
      <c r="H772" s="31">
        <v>3000000.0</v>
      </c>
      <c r="I772" s="31" t="s">
        <v>200</v>
      </c>
      <c r="K772" s="33" t="s">
        <v>2560</v>
      </c>
      <c r="L772" s="31" t="s">
        <v>252</v>
      </c>
      <c r="M772" s="31" t="s">
        <v>203</v>
      </c>
      <c r="O772" s="31" t="s">
        <v>205</v>
      </c>
      <c r="X772" s="31" t="s">
        <v>549</v>
      </c>
    </row>
    <row r="773">
      <c r="A773" s="29">
        <v>45916.87229</v>
      </c>
      <c r="B773" s="30">
        <v>45916.0</v>
      </c>
      <c r="C773" s="31" t="s">
        <v>2561</v>
      </c>
      <c r="D773" s="32" t="s">
        <v>1401</v>
      </c>
      <c r="E773" s="31" t="s">
        <v>31</v>
      </c>
      <c r="F773" s="31">
        <v>4500000.0</v>
      </c>
      <c r="G773" s="31" t="s">
        <v>23</v>
      </c>
      <c r="I773" s="31" t="s">
        <v>229</v>
      </c>
      <c r="J773" s="31" t="s">
        <v>967</v>
      </c>
      <c r="K773" s="33" t="s">
        <v>2562</v>
      </c>
      <c r="L773" s="31" t="s">
        <v>202</v>
      </c>
      <c r="N773" s="31" t="s">
        <v>220</v>
      </c>
      <c r="S773" s="31" t="s">
        <v>83</v>
      </c>
    </row>
    <row r="774">
      <c r="A774" s="29">
        <v>45917.40864060185</v>
      </c>
      <c r="B774" s="30">
        <v>45917.0</v>
      </c>
      <c r="C774" s="31" t="s">
        <v>2563</v>
      </c>
      <c r="D774" s="32" t="s">
        <v>2564</v>
      </c>
      <c r="E774" s="31" t="s">
        <v>283</v>
      </c>
      <c r="F774" s="31">
        <v>5500000.0</v>
      </c>
      <c r="G774" s="31" t="s">
        <v>23</v>
      </c>
      <c r="I774" s="31" t="s">
        <v>229</v>
      </c>
      <c r="J774" s="31" t="s">
        <v>967</v>
      </c>
      <c r="K774" s="33" t="s">
        <v>2565</v>
      </c>
      <c r="L774" s="31" t="s">
        <v>202</v>
      </c>
      <c r="N774" s="31" t="s">
        <v>204</v>
      </c>
      <c r="R774" s="31" t="s">
        <v>207</v>
      </c>
    </row>
    <row r="775">
      <c r="A775" s="29">
        <v>45917.4800209838</v>
      </c>
      <c r="B775" s="30">
        <v>45917.0</v>
      </c>
      <c r="C775" s="31" t="s">
        <v>2566</v>
      </c>
      <c r="D775" s="32" t="s">
        <v>2567</v>
      </c>
      <c r="E775" s="31" t="s">
        <v>2568</v>
      </c>
      <c r="F775" s="31">
        <v>5200000.0</v>
      </c>
      <c r="G775" s="31" t="s">
        <v>45</v>
      </c>
      <c r="H775" s="31">
        <v>5000000.0</v>
      </c>
      <c r="I775" s="31" t="s">
        <v>413</v>
      </c>
      <c r="K775" s="33" t="s">
        <v>2569</v>
      </c>
      <c r="L775" s="31" t="s">
        <v>202</v>
      </c>
      <c r="M775" s="31" t="s">
        <v>383</v>
      </c>
      <c r="N775" s="31" t="s">
        <v>215</v>
      </c>
      <c r="W775" s="31" t="s">
        <v>355</v>
      </c>
    </row>
    <row r="776">
      <c r="A776" s="29">
        <v>45917.49438188657</v>
      </c>
      <c r="B776" s="30">
        <v>45917.0</v>
      </c>
      <c r="C776" s="31" t="s">
        <v>2570</v>
      </c>
      <c r="D776" s="32" t="s">
        <v>2571</v>
      </c>
      <c r="E776" s="31" t="s">
        <v>2572</v>
      </c>
      <c r="F776" s="31">
        <v>3600000.0</v>
      </c>
      <c r="G776" s="31" t="s">
        <v>23</v>
      </c>
      <c r="I776" s="31" t="s">
        <v>229</v>
      </c>
      <c r="J776" s="31" t="s">
        <v>967</v>
      </c>
      <c r="K776" s="33" t="s">
        <v>2573</v>
      </c>
      <c r="L776" s="31" t="s">
        <v>202</v>
      </c>
      <c r="N776" s="31" t="s">
        <v>204</v>
      </c>
      <c r="R776" s="31" t="s">
        <v>53</v>
      </c>
    </row>
    <row r="777">
      <c r="A777" s="29">
        <v>45917.499525127314</v>
      </c>
      <c r="B777" s="30">
        <v>45917.0</v>
      </c>
      <c r="C777" s="31" t="s">
        <v>2574</v>
      </c>
      <c r="D777" s="32" t="s">
        <v>2575</v>
      </c>
      <c r="E777" s="31" t="s">
        <v>31</v>
      </c>
      <c r="F777" s="31">
        <v>3500000.0</v>
      </c>
      <c r="G777" s="31" t="s">
        <v>23</v>
      </c>
      <c r="I777" s="31" t="s">
        <v>229</v>
      </c>
      <c r="J777" s="31" t="s">
        <v>498</v>
      </c>
      <c r="K777" s="33" t="s">
        <v>2576</v>
      </c>
      <c r="L777" s="31" t="s">
        <v>202</v>
      </c>
      <c r="N777" s="31" t="s">
        <v>500</v>
      </c>
      <c r="V777" s="31" t="s">
        <v>501</v>
      </c>
    </row>
    <row r="778">
      <c r="A778" s="29">
        <v>45917.50315878472</v>
      </c>
      <c r="B778" s="30">
        <v>45917.0</v>
      </c>
      <c r="C778" s="31" t="s">
        <v>2577</v>
      </c>
      <c r="D778" s="32" t="s">
        <v>2578</v>
      </c>
      <c r="E778" s="31" t="s">
        <v>43</v>
      </c>
      <c r="F778" s="31">
        <v>5000000.0</v>
      </c>
      <c r="G778" s="31" t="s">
        <v>23</v>
      </c>
      <c r="I778" s="31" t="s">
        <v>229</v>
      </c>
      <c r="J778" s="31" t="s">
        <v>250</v>
      </c>
      <c r="K778" s="33" t="s">
        <v>2579</v>
      </c>
      <c r="L778" s="31" t="s">
        <v>252</v>
      </c>
      <c r="O778" s="31" t="s">
        <v>205</v>
      </c>
      <c r="X778" s="31" t="s">
        <v>253</v>
      </c>
    </row>
    <row r="779">
      <c r="A779" s="29">
        <v>45917.50816841435</v>
      </c>
      <c r="B779" s="30">
        <v>45917.0</v>
      </c>
      <c r="C779" s="31" t="s">
        <v>2580</v>
      </c>
      <c r="D779" s="32" t="s">
        <v>2581</v>
      </c>
      <c r="E779" s="31" t="s">
        <v>31</v>
      </c>
      <c r="F779" s="31">
        <v>6100000.0</v>
      </c>
      <c r="G779" s="31" t="s">
        <v>23</v>
      </c>
      <c r="I779" s="31" t="s">
        <v>229</v>
      </c>
      <c r="J779" s="31" t="s">
        <v>967</v>
      </c>
      <c r="K779" s="33" t="s">
        <v>2582</v>
      </c>
      <c r="L779" s="31" t="s">
        <v>202</v>
      </c>
      <c r="N779" s="31" t="s">
        <v>313</v>
      </c>
      <c r="T779" s="31" t="s">
        <v>329</v>
      </c>
    </row>
    <row r="780">
      <c r="A780" s="29">
        <v>45917.51111359954</v>
      </c>
      <c r="B780" s="30">
        <v>45917.0</v>
      </c>
      <c r="C780" s="31" t="s">
        <v>2583</v>
      </c>
      <c r="D780" s="32" t="s">
        <v>2584</v>
      </c>
      <c r="E780" s="31" t="s">
        <v>31</v>
      </c>
      <c r="F780" s="31">
        <v>6000000.0</v>
      </c>
      <c r="G780" s="31" t="s">
        <v>23</v>
      </c>
      <c r="I780" s="31" t="s">
        <v>229</v>
      </c>
      <c r="J780" s="31" t="s">
        <v>967</v>
      </c>
      <c r="K780" s="33" t="s">
        <v>2585</v>
      </c>
      <c r="L780" s="31" t="s">
        <v>202</v>
      </c>
      <c r="N780" s="31" t="s">
        <v>313</v>
      </c>
      <c r="T780" s="31" t="s">
        <v>329</v>
      </c>
    </row>
    <row r="781">
      <c r="A781" s="29">
        <v>45917.518704166665</v>
      </c>
      <c r="B781" s="30">
        <v>45917.0</v>
      </c>
      <c r="C781" s="31" t="s">
        <v>2586</v>
      </c>
      <c r="D781" s="32" t="s">
        <v>2587</v>
      </c>
      <c r="E781" s="31" t="s">
        <v>31</v>
      </c>
      <c r="F781" s="31">
        <v>5000000.0</v>
      </c>
      <c r="G781" s="31" t="s">
        <v>23</v>
      </c>
      <c r="I781" s="31" t="s">
        <v>229</v>
      </c>
      <c r="J781" s="31" t="s">
        <v>967</v>
      </c>
      <c r="K781" s="33" t="s">
        <v>2588</v>
      </c>
      <c r="L781" s="31" t="s">
        <v>202</v>
      </c>
      <c r="N781" s="31" t="s">
        <v>313</v>
      </c>
      <c r="T781" s="31" t="s">
        <v>329</v>
      </c>
    </row>
    <row r="782">
      <c r="A782" s="29">
        <v>45917.536819375004</v>
      </c>
      <c r="B782" s="30">
        <v>45917.0</v>
      </c>
      <c r="C782" s="31" t="s">
        <v>2589</v>
      </c>
      <c r="D782" s="32" t="s">
        <v>2590</v>
      </c>
      <c r="E782" s="31" t="s">
        <v>43</v>
      </c>
      <c r="F782" s="31">
        <v>5000000.0</v>
      </c>
      <c r="G782" s="31" t="s">
        <v>23</v>
      </c>
      <c r="I782" s="31" t="s">
        <v>229</v>
      </c>
      <c r="J782" s="31" t="s">
        <v>967</v>
      </c>
      <c r="K782" s="33" t="s">
        <v>2591</v>
      </c>
      <c r="L782" s="31" t="s">
        <v>202</v>
      </c>
      <c r="N782" s="31" t="s">
        <v>220</v>
      </c>
      <c r="S782" s="31" t="s">
        <v>83</v>
      </c>
    </row>
    <row r="783">
      <c r="A783" s="29">
        <v>45917.54074167824</v>
      </c>
      <c r="B783" s="30">
        <v>45917.0</v>
      </c>
      <c r="C783" s="31" t="s">
        <v>2592</v>
      </c>
      <c r="D783" s="32" t="s">
        <v>2593</v>
      </c>
      <c r="E783" s="31" t="s">
        <v>2594</v>
      </c>
      <c r="F783" s="31">
        <v>4000000.0</v>
      </c>
      <c r="G783" s="31" t="s">
        <v>23</v>
      </c>
      <c r="I783" s="31" t="s">
        <v>229</v>
      </c>
      <c r="J783" s="31" t="s">
        <v>967</v>
      </c>
      <c r="K783" s="33" t="s">
        <v>2595</v>
      </c>
      <c r="L783" s="31" t="s">
        <v>202</v>
      </c>
      <c r="N783" s="31" t="s">
        <v>220</v>
      </c>
      <c r="S783" s="31" t="s">
        <v>59</v>
      </c>
    </row>
    <row r="784">
      <c r="A784" s="29">
        <v>45917.54279681713</v>
      </c>
      <c r="B784" s="30">
        <v>45917.0</v>
      </c>
      <c r="C784" s="31" t="s">
        <v>2596</v>
      </c>
      <c r="D784" s="32" t="s">
        <v>2597</v>
      </c>
      <c r="E784" s="31" t="s">
        <v>2598</v>
      </c>
      <c r="F784" s="31">
        <v>3000000.0</v>
      </c>
      <c r="G784" s="31" t="s">
        <v>23</v>
      </c>
      <c r="I784" s="31" t="s">
        <v>229</v>
      </c>
      <c r="J784" s="31" t="s">
        <v>967</v>
      </c>
      <c r="K784" s="33" t="s">
        <v>2599</v>
      </c>
      <c r="L784" s="31" t="s">
        <v>202</v>
      </c>
      <c r="N784" s="31" t="s">
        <v>204</v>
      </c>
      <c r="R784" s="31" t="s">
        <v>28</v>
      </c>
    </row>
    <row r="785">
      <c r="A785" s="29">
        <v>45917.543771944445</v>
      </c>
      <c r="B785" s="30">
        <v>45917.0</v>
      </c>
      <c r="C785" s="31" t="s">
        <v>2600</v>
      </c>
      <c r="D785" s="32" t="s">
        <v>2601</v>
      </c>
      <c r="E785" s="31" t="s">
        <v>43</v>
      </c>
      <c r="F785" s="31">
        <v>4000000.0</v>
      </c>
      <c r="G785" s="31" t="s">
        <v>23</v>
      </c>
      <c r="I785" s="31" t="s">
        <v>229</v>
      </c>
      <c r="J785" s="31" t="s">
        <v>967</v>
      </c>
      <c r="K785" s="33" t="s">
        <v>2602</v>
      </c>
      <c r="L785" s="31" t="s">
        <v>202</v>
      </c>
      <c r="N785" s="31" t="s">
        <v>204</v>
      </c>
      <c r="R785" s="31" t="s">
        <v>47</v>
      </c>
    </row>
    <row r="786">
      <c r="A786" s="29">
        <v>45917.6276827199</v>
      </c>
      <c r="B786" s="30">
        <v>45917.0</v>
      </c>
      <c r="C786" s="31" t="s">
        <v>2603</v>
      </c>
      <c r="D786" s="31">
        <v>0.0</v>
      </c>
      <c r="E786" s="31" t="s">
        <v>43</v>
      </c>
      <c r="F786" s="31">
        <v>2000000.0</v>
      </c>
      <c r="G786" s="31" t="s">
        <v>45</v>
      </c>
      <c r="H786" s="31">
        <v>3000000.0</v>
      </c>
      <c r="I786" s="31" t="s">
        <v>200</v>
      </c>
      <c r="K786" s="33" t="s">
        <v>2604</v>
      </c>
      <c r="L786" s="31" t="s">
        <v>252</v>
      </c>
      <c r="M786" s="31" t="s">
        <v>203</v>
      </c>
      <c r="O786" s="31" t="s">
        <v>257</v>
      </c>
      <c r="P786" s="31" t="s">
        <v>992</v>
      </c>
    </row>
    <row r="787">
      <c r="A787" s="29">
        <v>45917.67350950232</v>
      </c>
      <c r="B787" s="30">
        <v>45917.0</v>
      </c>
      <c r="C787" s="31" t="s">
        <v>2605</v>
      </c>
      <c r="D787" s="32" t="s">
        <v>2606</v>
      </c>
      <c r="E787" s="31" t="s">
        <v>43</v>
      </c>
      <c r="F787" s="31">
        <v>2900000.0</v>
      </c>
      <c r="G787" s="31" t="s">
        <v>45</v>
      </c>
      <c r="H787" s="31">
        <v>3000000.0</v>
      </c>
      <c r="I787" s="31" t="s">
        <v>200</v>
      </c>
      <c r="K787" s="33" t="s">
        <v>2607</v>
      </c>
      <c r="L787" s="31" t="s">
        <v>252</v>
      </c>
      <c r="M787" s="31" t="s">
        <v>203</v>
      </c>
      <c r="O787" s="31" t="s">
        <v>205</v>
      </c>
      <c r="X787" s="31" t="s">
        <v>452</v>
      </c>
    </row>
    <row r="788">
      <c r="A788" s="29">
        <v>45917.68768108796</v>
      </c>
      <c r="B788" s="30">
        <v>45917.0</v>
      </c>
      <c r="C788" s="31" t="s">
        <v>2608</v>
      </c>
      <c r="D788" s="32" t="s">
        <v>2609</v>
      </c>
      <c r="E788" s="31" t="s">
        <v>2610</v>
      </c>
      <c r="F788" s="34">
        <v>7500.0</v>
      </c>
      <c r="G788" s="31" t="s">
        <v>23</v>
      </c>
      <c r="I788" s="31" t="s">
        <v>229</v>
      </c>
      <c r="J788" s="31" t="s">
        <v>967</v>
      </c>
      <c r="K788" s="33" t="s">
        <v>2611</v>
      </c>
      <c r="L788" s="31" t="s">
        <v>202</v>
      </c>
      <c r="N788" s="31" t="s">
        <v>871</v>
      </c>
      <c r="Q788" s="31" t="s">
        <v>2403</v>
      </c>
    </row>
    <row r="789">
      <c r="A789" s="29">
        <v>45917.69096715278</v>
      </c>
      <c r="B789" s="30">
        <v>45917.0</v>
      </c>
      <c r="C789" s="31" t="s">
        <v>2612</v>
      </c>
      <c r="D789" s="32" t="s">
        <v>2613</v>
      </c>
      <c r="E789" s="31" t="s">
        <v>43</v>
      </c>
      <c r="F789" s="31">
        <v>8000.0</v>
      </c>
      <c r="G789" s="31" t="s">
        <v>23</v>
      </c>
      <c r="H789" s="34">
        <v>5000.0</v>
      </c>
      <c r="I789" s="31" t="s">
        <v>200</v>
      </c>
      <c r="K789" s="33" t="s">
        <v>2614</v>
      </c>
      <c r="L789" s="31" t="s">
        <v>202</v>
      </c>
      <c r="M789" s="31" t="s">
        <v>203</v>
      </c>
      <c r="N789" s="31" t="s">
        <v>871</v>
      </c>
      <c r="Q789" s="31" t="s">
        <v>2403</v>
      </c>
    </row>
    <row r="790">
      <c r="A790" s="29">
        <v>45917.69508090278</v>
      </c>
      <c r="B790" s="30">
        <v>45917.0</v>
      </c>
      <c r="C790" s="31" t="s">
        <v>2615</v>
      </c>
      <c r="D790" s="32" t="s">
        <v>2616</v>
      </c>
      <c r="E790" s="31" t="s">
        <v>239</v>
      </c>
      <c r="F790" s="31">
        <v>3000000.0</v>
      </c>
      <c r="G790" s="31" t="s">
        <v>23</v>
      </c>
      <c r="I790" s="31" t="s">
        <v>229</v>
      </c>
      <c r="J790" s="31" t="s">
        <v>967</v>
      </c>
      <c r="K790" s="33" t="s">
        <v>2617</v>
      </c>
      <c r="L790" s="31" t="s">
        <v>202</v>
      </c>
      <c r="N790" s="31" t="s">
        <v>871</v>
      </c>
      <c r="Q790" s="31" t="s">
        <v>872</v>
      </c>
    </row>
    <row r="791">
      <c r="A791" s="29">
        <v>45917.70737293981</v>
      </c>
      <c r="B791" s="30">
        <v>45917.0</v>
      </c>
      <c r="C791" s="31" t="s">
        <v>2618</v>
      </c>
      <c r="D791" s="32" t="s">
        <v>2619</v>
      </c>
      <c r="E791" s="31" t="s">
        <v>31</v>
      </c>
      <c r="F791" s="31">
        <v>2000000.0</v>
      </c>
      <c r="G791" s="31" t="s">
        <v>45</v>
      </c>
      <c r="I791" s="31" t="s">
        <v>229</v>
      </c>
      <c r="J791" s="31" t="s">
        <v>229</v>
      </c>
      <c r="K791" s="33" t="s">
        <v>2620</v>
      </c>
      <c r="L791" s="31" t="s">
        <v>202</v>
      </c>
      <c r="N791" s="31" t="s">
        <v>215</v>
      </c>
      <c r="W791" s="31" t="s">
        <v>216</v>
      </c>
    </row>
    <row r="792">
      <c r="A792" s="29">
        <v>45917.71711543982</v>
      </c>
      <c r="B792" s="30">
        <v>45917.0</v>
      </c>
      <c r="C792" s="31" t="s">
        <v>2621</v>
      </c>
      <c r="D792" s="32" t="s">
        <v>2373</v>
      </c>
      <c r="E792" s="31" t="s">
        <v>199</v>
      </c>
      <c r="F792" s="31">
        <v>3400000.0</v>
      </c>
      <c r="G792" s="31" t="s">
        <v>23</v>
      </c>
      <c r="I792" s="31" t="s">
        <v>229</v>
      </c>
      <c r="J792" s="31" t="s">
        <v>967</v>
      </c>
      <c r="K792" s="33" t="s">
        <v>2622</v>
      </c>
      <c r="L792" s="31" t="s">
        <v>202</v>
      </c>
      <c r="N792" s="31" t="s">
        <v>313</v>
      </c>
      <c r="T792" s="31" t="s">
        <v>314</v>
      </c>
    </row>
    <row r="793">
      <c r="A793" s="29">
        <v>45917.718646064815</v>
      </c>
      <c r="B793" s="30">
        <v>45917.0</v>
      </c>
      <c r="C793" s="31" t="s">
        <v>2623</v>
      </c>
      <c r="D793" s="32" t="s">
        <v>2624</v>
      </c>
      <c r="E793" s="31" t="s">
        <v>2625</v>
      </c>
      <c r="F793" s="31">
        <v>3000000.0</v>
      </c>
      <c r="G793" s="31" t="s">
        <v>23</v>
      </c>
      <c r="I793" s="31" t="s">
        <v>229</v>
      </c>
      <c r="J793" s="31" t="s">
        <v>967</v>
      </c>
      <c r="K793" s="33" t="s">
        <v>2626</v>
      </c>
      <c r="L793" s="31" t="s">
        <v>202</v>
      </c>
      <c r="N793" s="31" t="s">
        <v>313</v>
      </c>
      <c r="T793" s="31" t="s">
        <v>384</v>
      </c>
    </row>
    <row r="794">
      <c r="A794" s="29">
        <v>45917.722362141205</v>
      </c>
      <c r="B794" s="30">
        <v>45917.0</v>
      </c>
      <c r="C794" s="31" t="s">
        <v>2627</v>
      </c>
      <c r="D794" s="32" t="s">
        <v>2628</v>
      </c>
      <c r="E794" s="31" t="s">
        <v>199</v>
      </c>
      <c r="F794" s="31">
        <v>3400000.0</v>
      </c>
      <c r="G794" s="31" t="s">
        <v>23</v>
      </c>
      <c r="I794" s="31" t="s">
        <v>229</v>
      </c>
      <c r="J794" s="31" t="s">
        <v>967</v>
      </c>
      <c r="K794" s="33" t="s">
        <v>2629</v>
      </c>
      <c r="L794" s="31" t="s">
        <v>202</v>
      </c>
      <c r="N794" s="31" t="s">
        <v>313</v>
      </c>
      <c r="T794" s="31" t="s">
        <v>314</v>
      </c>
    </row>
    <row r="795">
      <c r="A795" s="29">
        <v>45917.72758990741</v>
      </c>
      <c r="B795" s="30">
        <v>45917.0</v>
      </c>
      <c r="C795" s="31" t="s">
        <v>2630</v>
      </c>
      <c r="D795" s="31">
        <v>8.1236100124E10</v>
      </c>
      <c r="E795" s="31" t="s">
        <v>228</v>
      </c>
      <c r="F795" s="34">
        <v>4300.0</v>
      </c>
      <c r="G795" s="31" t="s">
        <v>23</v>
      </c>
      <c r="I795" s="31" t="s">
        <v>229</v>
      </c>
      <c r="J795" s="31" t="s">
        <v>967</v>
      </c>
      <c r="K795" s="33" t="s">
        <v>2631</v>
      </c>
      <c r="L795" s="31" t="s">
        <v>202</v>
      </c>
      <c r="N795" s="31" t="s">
        <v>871</v>
      </c>
      <c r="Q795" s="31" t="s">
        <v>2403</v>
      </c>
    </row>
    <row r="796">
      <c r="A796" s="29">
        <v>45917.74897854167</v>
      </c>
      <c r="B796" s="30">
        <v>45917.0</v>
      </c>
      <c r="C796" s="31" t="s">
        <v>2632</v>
      </c>
      <c r="D796" s="32" t="s">
        <v>907</v>
      </c>
      <c r="E796" s="31" t="s">
        <v>957</v>
      </c>
      <c r="F796" s="31">
        <v>2000000.0</v>
      </c>
      <c r="G796" s="31" t="s">
        <v>23</v>
      </c>
      <c r="H796" s="31">
        <v>3000000.0</v>
      </c>
      <c r="I796" s="31" t="s">
        <v>413</v>
      </c>
      <c r="K796" s="33" t="s">
        <v>2633</v>
      </c>
      <c r="L796" s="31" t="s">
        <v>202</v>
      </c>
      <c r="M796" s="31" t="s">
        <v>383</v>
      </c>
      <c r="N796" s="31" t="s">
        <v>215</v>
      </c>
      <c r="W796" s="31" t="s">
        <v>532</v>
      </c>
    </row>
    <row r="797">
      <c r="A797" s="29">
        <v>45917.74973565972</v>
      </c>
      <c r="B797" s="30">
        <v>45917.0</v>
      </c>
      <c r="C797" s="31" t="s">
        <v>2634</v>
      </c>
      <c r="D797" s="32" t="s">
        <v>2635</v>
      </c>
      <c r="E797" s="31" t="s">
        <v>43</v>
      </c>
      <c r="F797" s="31">
        <v>1000000.0</v>
      </c>
      <c r="G797" s="31" t="s">
        <v>23</v>
      </c>
      <c r="I797" s="31" t="s">
        <v>229</v>
      </c>
      <c r="J797" s="31" t="s">
        <v>967</v>
      </c>
      <c r="K797" s="33" t="s">
        <v>2636</v>
      </c>
      <c r="L797" s="31" t="s">
        <v>252</v>
      </c>
      <c r="O797" s="31" t="s">
        <v>205</v>
      </c>
      <c r="X797" s="31" t="s">
        <v>1471</v>
      </c>
    </row>
    <row r="798">
      <c r="A798" s="29">
        <v>45917.76783631944</v>
      </c>
      <c r="B798" s="30">
        <v>45917.0</v>
      </c>
      <c r="C798" s="31" t="s">
        <v>2637</v>
      </c>
      <c r="D798" s="32" t="s">
        <v>904</v>
      </c>
      <c r="E798" s="31" t="s">
        <v>43</v>
      </c>
      <c r="F798" s="31">
        <v>3500000.0</v>
      </c>
      <c r="G798" s="31" t="s">
        <v>23</v>
      </c>
      <c r="I798" s="31" t="s">
        <v>229</v>
      </c>
      <c r="J798" s="31" t="s">
        <v>387</v>
      </c>
      <c r="K798" s="33" t="s">
        <v>2638</v>
      </c>
      <c r="L798" s="31" t="s">
        <v>202</v>
      </c>
      <c r="N798" s="31" t="s">
        <v>215</v>
      </c>
      <c r="W798" s="31" t="s">
        <v>389</v>
      </c>
    </row>
    <row r="799">
      <c r="A799" s="29">
        <v>45917.7730290162</v>
      </c>
      <c r="B799" s="30">
        <v>45917.0</v>
      </c>
      <c r="C799" s="31" t="s">
        <v>2639</v>
      </c>
      <c r="D799" s="32" t="s">
        <v>2640</v>
      </c>
      <c r="E799" s="31" t="s">
        <v>43</v>
      </c>
      <c r="F799" s="31">
        <v>5000.0</v>
      </c>
      <c r="G799" s="31" t="s">
        <v>23</v>
      </c>
      <c r="H799" s="31">
        <v>5000.0</v>
      </c>
      <c r="I799" s="31" t="s">
        <v>413</v>
      </c>
      <c r="K799" s="33" t="s">
        <v>2641</v>
      </c>
      <c r="L799" s="31" t="s">
        <v>202</v>
      </c>
      <c r="M799" s="31" t="s">
        <v>383</v>
      </c>
      <c r="N799" s="31" t="s">
        <v>871</v>
      </c>
      <c r="Q799" s="31" t="s">
        <v>2403</v>
      </c>
    </row>
    <row r="800">
      <c r="A800" s="29">
        <v>45917.78013328704</v>
      </c>
      <c r="B800" s="30">
        <v>45917.0</v>
      </c>
      <c r="C800" s="31" t="s">
        <v>2642</v>
      </c>
      <c r="D800" s="32" t="s">
        <v>2643</v>
      </c>
      <c r="E800" s="31" t="s">
        <v>228</v>
      </c>
      <c r="F800" s="31">
        <v>6000000.0</v>
      </c>
      <c r="G800" s="31" t="s">
        <v>23</v>
      </c>
      <c r="I800" s="31" t="s">
        <v>229</v>
      </c>
      <c r="J800" s="31" t="s">
        <v>967</v>
      </c>
      <c r="K800" s="33" t="s">
        <v>2644</v>
      </c>
      <c r="L800" s="31" t="s">
        <v>202</v>
      </c>
      <c r="N800" s="31" t="s">
        <v>220</v>
      </c>
      <c r="S800" s="31" t="s">
        <v>1406</v>
      </c>
    </row>
    <row r="801">
      <c r="A801" s="29">
        <v>45917.78524300926</v>
      </c>
      <c r="B801" s="30">
        <v>45917.0</v>
      </c>
      <c r="C801" s="31" t="s">
        <v>2645</v>
      </c>
      <c r="D801" s="32" t="s">
        <v>2646</v>
      </c>
      <c r="E801" s="31" t="s">
        <v>43</v>
      </c>
      <c r="F801" s="31">
        <v>1.1E7</v>
      </c>
      <c r="G801" s="31" t="s">
        <v>23</v>
      </c>
      <c r="H801" s="31">
        <v>7000000.0</v>
      </c>
      <c r="I801" s="31" t="s">
        <v>200</v>
      </c>
      <c r="K801" s="33" t="s">
        <v>2647</v>
      </c>
      <c r="L801" s="31" t="s">
        <v>202</v>
      </c>
      <c r="M801" s="31" t="s">
        <v>203</v>
      </c>
      <c r="N801" s="31" t="s">
        <v>204</v>
      </c>
      <c r="R801" s="31" t="s">
        <v>471</v>
      </c>
    </row>
    <row r="802">
      <c r="A802" s="29">
        <v>45917.82424190972</v>
      </c>
      <c r="B802" s="30">
        <v>45917.0</v>
      </c>
      <c r="C802" s="31" t="s">
        <v>2648</v>
      </c>
      <c r="D802" s="32" t="s">
        <v>2649</v>
      </c>
      <c r="E802" s="31" t="s">
        <v>43</v>
      </c>
      <c r="F802" s="31">
        <v>1700000.0</v>
      </c>
      <c r="G802" s="31" t="s">
        <v>23</v>
      </c>
      <c r="I802" s="31" t="s">
        <v>229</v>
      </c>
      <c r="J802" s="31" t="s">
        <v>967</v>
      </c>
      <c r="K802" s="33" t="s">
        <v>2650</v>
      </c>
      <c r="L802" s="31" t="s">
        <v>252</v>
      </c>
      <c r="O802" s="31" t="s">
        <v>205</v>
      </c>
      <c r="X802" s="31" t="s">
        <v>452</v>
      </c>
    </row>
    <row r="803">
      <c r="A803" s="29">
        <v>45917.84819815972</v>
      </c>
      <c r="B803" s="30">
        <v>45917.0</v>
      </c>
      <c r="C803" s="31" t="s">
        <v>2651</v>
      </c>
      <c r="D803" s="32" t="s">
        <v>2652</v>
      </c>
      <c r="E803" s="31" t="s">
        <v>43</v>
      </c>
      <c r="F803" s="31">
        <v>2500000.0</v>
      </c>
      <c r="G803" s="31" t="s">
        <v>23</v>
      </c>
      <c r="I803" s="31" t="s">
        <v>229</v>
      </c>
      <c r="J803" s="31" t="s">
        <v>967</v>
      </c>
      <c r="K803" s="33" t="s">
        <v>2653</v>
      </c>
      <c r="L803" s="31" t="s">
        <v>252</v>
      </c>
      <c r="O803" s="31" t="s">
        <v>205</v>
      </c>
      <c r="X803" s="31" t="s">
        <v>549</v>
      </c>
    </row>
    <row r="804">
      <c r="A804" s="29">
        <v>45917.861877731484</v>
      </c>
      <c r="B804" s="30">
        <v>45917.0</v>
      </c>
      <c r="C804" s="31" t="s">
        <v>2654</v>
      </c>
      <c r="D804" s="32" t="s">
        <v>2655</v>
      </c>
      <c r="E804" s="31" t="s">
        <v>43</v>
      </c>
      <c r="F804" s="31">
        <v>3200000.0</v>
      </c>
      <c r="G804" s="31" t="s">
        <v>23</v>
      </c>
      <c r="I804" s="31" t="s">
        <v>229</v>
      </c>
      <c r="J804" s="31" t="s">
        <v>967</v>
      </c>
      <c r="K804" s="33" t="s">
        <v>2656</v>
      </c>
      <c r="L804" s="31" t="s">
        <v>202</v>
      </c>
      <c r="N804" s="31" t="s">
        <v>220</v>
      </c>
      <c r="S804" s="31" t="s">
        <v>83</v>
      </c>
    </row>
    <row r="805">
      <c r="A805" s="29">
        <v>45917.865074814814</v>
      </c>
      <c r="B805" s="30">
        <v>45917.0</v>
      </c>
      <c r="C805" s="31" t="s">
        <v>2657</v>
      </c>
      <c r="D805" s="32" t="s">
        <v>2658</v>
      </c>
      <c r="E805" s="31" t="s">
        <v>199</v>
      </c>
      <c r="F805" s="31">
        <v>3500000.0</v>
      </c>
      <c r="G805" s="31" t="s">
        <v>45</v>
      </c>
      <c r="H805" s="31">
        <v>5000000.0</v>
      </c>
      <c r="I805" s="31" t="s">
        <v>413</v>
      </c>
      <c r="K805" s="33" t="s">
        <v>2659</v>
      </c>
      <c r="L805" s="31" t="s">
        <v>202</v>
      </c>
      <c r="M805" s="31" t="s">
        <v>203</v>
      </c>
      <c r="N805" s="31" t="s">
        <v>215</v>
      </c>
      <c r="W805" s="31" t="s">
        <v>389</v>
      </c>
    </row>
    <row r="806">
      <c r="A806" s="29">
        <v>45917.86714422454</v>
      </c>
      <c r="B806" s="30">
        <v>45917.0</v>
      </c>
      <c r="C806" s="31" t="s">
        <v>2660</v>
      </c>
      <c r="D806" s="32" t="s">
        <v>2661</v>
      </c>
      <c r="E806" s="31" t="s">
        <v>31</v>
      </c>
      <c r="F806" s="31">
        <v>5200000.0</v>
      </c>
      <c r="G806" s="31" t="s">
        <v>45</v>
      </c>
      <c r="H806" s="31">
        <v>7000000.0</v>
      </c>
      <c r="I806" s="31" t="s">
        <v>200</v>
      </c>
      <c r="K806" s="33" t="s">
        <v>2662</v>
      </c>
      <c r="L806" s="31" t="s">
        <v>252</v>
      </c>
      <c r="M806" s="31" t="s">
        <v>383</v>
      </c>
      <c r="O806" s="31" t="s">
        <v>205</v>
      </c>
      <c r="X806" s="31" t="s">
        <v>2335</v>
      </c>
    </row>
    <row r="807">
      <c r="A807" s="29">
        <v>45918.45317422454</v>
      </c>
      <c r="B807" s="30">
        <v>45918.0</v>
      </c>
      <c r="C807" s="31" t="s">
        <v>2663</v>
      </c>
      <c r="D807" s="32" t="s">
        <v>2664</v>
      </c>
      <c r="E807" s="31" t="s">
        <v>43</v>
      </c>
      <c r="F807" s="31">
        <v>6000000.0</v>
      </c>
      <c r="G807" s="31" t="s">
        <v>45</v>
      </c>
      <c r="I807" s="31" t="s">
        <v>229</v>
      </c>
      <c r="J807" s="31" t="s">
        <v>600</v>
      </c>
      <c r="K807" s="33" t="s">
        <v>2665</v>
      </c>
      <c r="L807" s="31" t="s">
        <v>252</v>
      </c>
      <c r="O807" s="31" t="s">
        <v>257</v>
      </c>
      <c r="P807" s="31" t="s">
        <v>2453</v>
      </c>
    </row>
    <row r="808">
      <c r="A808" s="29">
        <v>45918.47552798611</v>
      </c>
      <c r="B808" s="30">
        <v>45918.0</v>
      </c>
      <c r="C808" s="31" t="s">
        <v>2666</v>
      </c>
      <c r="D808" s="32" t="s">
        <v>2667</v>
      </c>
      <c r="E808" s="31" t="s">
        <v>2668</v>
      </c>
      <c r="F808" s="31">
        <v>4500000.0</v>
      </c>
      <c r="G808" s="31" t="s">
        <v>23</v>
      </c>
      <c r="I808" s="31" t="s">
        <v>229</v>
      </c>
      <c r="J808" s="31" t="s">
        <v>967</v>
      </c>
      <c r="K808" s="33" t="s">
        <v>2669</v>
      </c>
      <c r="L808" s="31" t="s">
        <v>202</v>
      </c>
      <c r="N808" s="31" t="s">
        <v>220</v>
      </c>
      <c r="S808" s="31" t="s">
        <v>59</v>
      </c>
    </row>
    <row r="809">
      <c r="A809" s="29">
        <v>45918.483468067134</v>
      </c>
      <c r="B809" s="30">
        <v>45918.0</v>
      </c>
      <c r="C809" s="31" t="s">
        <v>2670</v>
      </c>
      <c r="D809" s="32" t="s">
        <v>2671</v>
      </c>
      <c r="E809" s="31" t="s">
        <v>43</v>
      </c>
      <c r="F809" s="31">
        <v>4800000.0</v>
      </c>
      <c r="G809" s="31" t="s">
        <v>23</v>
      </c>
      <c r="H809" s="31">
        <v>3000000.0</v>
      </c>
      <c r="I809" s="31" t="s">
        <v>413</v>
      </c>
      <c r="K809" s="33" t="s">
        <v>2672</v>
      </c>
      <c r="L809" s="31" t="s">
        <v>202</v>
      </c>
      <c r="M809" s="31" t="s">
        <v>203</v>
      </c>
      <c r="N809" s="31" t="s">
        <v>204</v>
      </c>
      <c r="R809" s="31" t="s">
        <v>98</v>
      </c>
    </row>
    <row r="810">
      <c r="A810" s="29">
        <v>45918.50118260417</v>
      </c>
      <c r="B810" s="30">
        <v>45918.0</v>
      </c>
      <c r="C810" s="31" t="s">
        <v>2673</v>
      </c>
      <c r="D810" s="32" t="s">
        <v>2674</v>
      </c>
      <c r="E810" s="31" t="s">
        <v>228</v>
      </c>
      <c r="F810" s="31">
        <v>4500000.0</v>
      </c>
      <c r="G810" s="31" t="s">
        <v>23</v>
      </c>
      <c r="I810" s="31" t="s">
        <v>229</v>
      </c>
      <c r="J810" s="31" t="s">
        <v>967</v>
      </c>
      <c r="K810" s="33" t="s">
        <v>2675</v>
      </c>
      <c r="L810" s="31" t="s">
        <v>202</v>
      </c>
      <c r="N810" s="31" t="s">
        <v>220</v>
      </c>
      <c r="S810" s="31" t="s">
        <v>59</v>
      </c>
    </row>
    <row r="811">
      <c r="A811" s="29">
        <v>45918.507953912034</v>
      </c>
      <c r="B811" s="30">
        <v>45918.0</v>
      </c>
      <c r="C811" s="31" t="s">
        <v>2676</v>
      </c>
      <c r="D811" s="32" t="s">
        <v>2677</v>
      </c>
      <c r="E811" s="31" t="s">
        <v>43</v>
      </c>
      <c r="F811" s="31">
        <v>6000000.0</v>
      </c>
      <c r="G811" s="31" t="s">
        <v>23</v>
      </c>
      <c r="I811" s="31" t="s">
        <v>229</v>
      </c>
      <c r="J811" s="31" t="s">
        <v>967</v>
      </c>
      <c r="K811" s="33" t="s">
        <v>2678</v>
      </c>
      <c r="L811" s="31" t="s">
        <v>252</v>
      </c>
      <c r="O811" s="31" t="s">
        <v>205</v>
      </c>
      <c r="X811" s="31" t="s">
        <v>716</v>
      </c>
    </row>
    <row r="812">
      <c r="A812" s="29">
        <v>45918.518255821764</v>
      </c>
      <c r="B812" s="30">
        <v>45918.0</v>
      </c>
      <c r="C812" s="31" t="s">
        <v>2679</v>
      </c>
      <c r="D812" s="32" t="s">
        <v>2680</v>
      </c>
      <c r="E812" s="31" t="s">
        <v>199</v>
      </c>
      <c r="F812" s="31">
        <v>3700000.0</v>
      </c>
      <c r="G812" s="31" t="s">
        <v>45</v>
      </c>
      <c r="H812" s="31">
        <v>7000000.0</v>
      </c>
      <c r="I812" s="31" t="s">
        <v>413</v>
      </c>
      <c r="K812" s="33" t="s">
        <v>2681</v>
      </c>
      <c r="L812" s="31" t="s">
        <v>252</v>
      </c>
      <c r="M812" s="31" t="s">
        <v>383</v>
      </c>
      <c r="O812" s="31" t="s">
        <v>205</v>
      </c>
      <c r="X812" s="31" t="s">
        <v>2280</v>
      </c>
    </row>
    <row r="813">
      <c r="A813" s="29">
        <v>45918.51956533565</v>
      </c>
      <c r="B813" s="30">
        <v>45918.0</v>
      </c>
      <c r="C813" s="31" t="s">
        <v>2682</v>
      </c>
      <c r="D813" s="32" t="s">
        <v>2683</v>
      </c>
      <c r="E813" s="31" t="s">
        <v>43</v>
      </c>
      <c r="F813" s="31">
        <v>6000000.0</v>
      </c>
      <c r="G813" s="31" t="s">
        <v>23</v>
      </c>
      <c r="I813" s="31" t="s">
        <v>229</v>
      </c>
      <c r="J813" s="31" t="s">
        <v>967</v>
      </c>
      <c r="K813" s="33" t="s">
        <v>2684</v>
      </c>
      <c r="L813" s="31" t="s">
        <v>252</v>
      </c>
      <c r="O813" s="31" t="s">
        <v>257</v>
      </c>
      <c r="P813" s="31" t="s">
        <v>1555</v>
      </c>
    </row>
    <row r="814">
      <c r="A814" s="29">
        <v>45918.536329803246</v>
      </c>
      <c r="B814" s="30">
        <v>45918.0</v>
      </c>
      <c r="C814" s="31" t="s">
        <v>2685</v>
      </c>
      <c r="D814" s="31" t="s">
        <v>2686</v>
      </c>
      <c r="E814" s="31" t="s">
        <v>199</v>
      </c>
      <c r="F814" s="31">
        <v>5500000.0</v>
      </c>
      <c r="G814" s="31" t="s">
        <v>45</v>
      </c>
      <c r="H814" s="31">
        <v>5000000.0</v>
      </c>
      <c r="I814" s="31" t="s">
        <v>413</v>
      </c>
      <c r="K814" s="33" t="s">
        <v>2687</v>
      </c>
      <c r="L814" s="31" t="s">
        <v>202</v>
      </c>
      <c r="M814" s="31" t="s">
        <v>203</v>
      </c>
      <c r="N814" s="31" t="s">
        <v>204</v>
      </c>
      <c r="R814" s="31" t="s">
        <v>207</v>
      </c>
    </row>
    <row r="815">
      <c r="A815" s="29">
        <v>45918.53896590278</v>
      </c>
      <c r="B815" s="30">
        <v>45918.0</v>
      </c>
      <c r="C815" s="31" t="s">
        <v>2688</v>
      </c>
      <c r="D815" s="32" t="s">
        <v>2689</v>
      </c>
      <c r="E815" s="31" t="s">
        <v>31</v>
      </c>
      <c r="F815" s="31">
        <v>3000000.0</v>
      </c>
      <c r="G815" s="31" t="s">
        <v>23</v>
      </c>
      <c r="H815" s="31">
        <v>3000000.0</v>
      </c>
      <c r="I815" s="31" t="s">
        <v>200</v>
      </c>
      <c r="K815" s="33" t="s">
        <v>2690</v>
      </c>
      <c r="L815" s="31" t="s">
        <v>202</v>
      </c>
      <c r="M815" s="31" t="s">
        <v>203</v>
      </c>
      <c r="N815" s="31" t="s">
        <v>215</v>
      </c>
      <c r="W815" s="31" t="s">
        <v>216</v>
      </c>
    </row>
    <row r="816">
      <c r="A816" s="29">
        <v>45918.551712430555</v>
      </c>
      <c r="B816" s="30">
        <v>45918.0</v>
      </c>
      <c r="C816" s="31" t="s">
        <v>2691</v>
      </c>
      <c r="D816" s="32" t="s">
        <v>2692</v>
      </c>
      <c r="E816" s="31" t="s">
        <v>1576</v>
      </c>
      <c r="F816" s="31">
        <v>6800000.0</v>
      </c>
      <c r="G816" s="31" t="s">
        <v>23</v>
      </c>
      <c r="H816" s="31">
        <v>3000000.0</v>
      </c>
      <c r="I816" s="31" t="s">
        <v>413</v>
      </c>
      <c r="K816" s="33" t="s">
        <v>2693</v>
      </c>
      <c r="L816" s="31" t="s">
        <v>202</v>
      </c>
      <c r="M816" s="31" t="s">
        <v>203</v>
      </c>
      <c r="N816" s="31" t="s">
        <v>313</v>
      </c>
      <c r="T816" s="31" t="s">
        <v>314</v>
      </c>
    </row>
    <row r="817">
      <c r="A817" s="29">
        <v>45918.57883068287</v>
      </c>
      <c r="B817" s="30">
        <v>45918.0</v>
      </c>
      <c r="C817" s="31" t="s">
        <v>2694</v>
      </c>
      <c r="D817" s="32" t="s">
        <v>2550</v>
      </c>
      <c r="E817" s="31" t="s">
        <v>43</v>
      </c>
      <c r="F817" s="31">
        <v>5000.0</v>
      </c>
      <c r="G817" s="31" t="s">
        <v>23</v>
      </c>
      <c r="I817" s="31" t="s">
        <v>229</v>
      </c>
      <c r="J817" s="31" t="s">
        <v>967</v>
      </c>
      <c r="K817" s="33" t="s">
        <v>2695</v>
      </c>
      <c r="L817" s="31" t="s">
        <v>202</v>
      </c>
      <c r="N817" s="31" t="s">
        <v>871</v>
      </c>
      <c r="Q817" s="31" t="s">
        <v>2403</v>
      </c>
    </row>
    <row r="818">
      <c r="A818" s="29">
        <v>45918.58219077546</v>
      </c>
      <c r="B818" s="30">
        <v>45918.0</v>
      </c>
      <c r="C818" s="31" t="s">
        <v>2696</v>
      </c>
      <c r="D818" s="32" t="s">
        <v>2697</v>
      </c>
      <c r="E818" s="31" t="s">
        <v>283</v>
      </c>
      <c r="F818" s="31">
        <v>1.0E7</v>
      </c>
      <c r="G818" s="31" t="s">
        <v>23</v>
      </c>
      <c r="I818" s="31" t="s">
        <v>229</v>
      </c>
      <c r="J818" s="31" t="s">
        <v>967</v>
      </c>
      <c r="K818" s="33" t="s">
        <v>2698</v>
      </c>
      <c r="L818" s="31" t="s">
        <v>252</v>
      </c>
      <c r="O818" s="31" t="s">
        <v>257</v>
      </c>
      <c r="P818" s="31" t="s">
        <v>272</v>
      </c>
    </row>
    <row r="819">
      <c r="A819" s="29">
        <v>45918.586044236115</v>
      </c>
      <c r="B819" s="30">
        <v>45918.0</v>
      </c>
      <c r="C819" s="31" t="s">
        <v>2699</v>
      </c>
      <c r="D819" s="32" t="s">
        <v>2700</v>
      </c>
      <c r="E819" s="31" t="s">
        <v>199</v>
      </c>
      <c r="F819" s="31">
        <v>7700000.0</v>
      </c>
      <c r="G819" s="31" t="s">
        <v>45</v>
      </c>
      <c r="I819" s="31" t="s">
        <v>229</v>
      </c>
      <c r="J819" s="31" t="s">
        <v>2701</v>
      </c>
      <c r="K819" s="33" t="s">
        <v>2702</v>
      </c>
      <c r="L819" s="31" t="s">
        <v>252</v>
      </c>
      <c r="O819" s="31" t="s">
        <v>205</v>
      </c>
      <c r="X819" s="31" t="s">
        <v>569</v>
      </c>
    </row>
    <row r="820">
      <c r="A820" s="29">
        <v>45918.58790212963</v>
      </c>
      <c r="B820" s="30">
        <v>45918.0</v>
      </c>
      <c r="C820" s="31" t="s">
        <v>2703</v>
      </c>
      <c r="D820" s="32" t="s">
        <v>2373</v>
      </c>
      <c r="E820" s="31" t="s">
        <v>311</v>
      </c>
      <c r="F820" s="31">
        <v>7800000.0</v>
      </c>
      <c r="G820" s="31" t="s">
        <v>23</v>
      </c>
      <c r="I820" s="31" t="s">
        <v>229</v>
      </c>
      <c r="J820" s="31" t="s">
        <v>967</v>
      </c>
      <c r="K820" s="33" t="s">
        <v>2704</v>
      </c>
      <c r="L820" s="31" t="s">
        <v>202</v>
      </c>
      <c r="N820" s="31" t="s">
        <v>313</v>
      </c>
      <c r="T820" s="31" t="s">
        <v>314</v>
      </c>
    </row>
    <row r="821">
      <c r="A821" s="29">
        <v>45918.59412289352</v>
      </c>
      <c r="B821" s="30">
        <v>45918.0</v>
      </c>
      <c r="C821" s="31" t="s">
        <v>2705</v>
      </c>
      <c r="D821" s="31">
        <v>0.0</v>
      </c>
      <c r="E821" s="31" t="s">
        <v>43</v>
      </c>
      <c r="F821" s="31">
        <v>2000000.0</v>
      </c>
      <c r="G821" s="31" t="s">
        <v>45</v>
      </c>
      <c r="I821" s="31" t="s">
        <v>229</v>
      </c>
      <c r="J821" s="31" t="s">
        <v>967</v>
      </c>
      <c r="K821" s="33" t="s">
        <v>2706</v>
      </c>
      <c r="L821" s="31" t="s">
        <v>252</v>
      </c>
      <c r="O821" s="31" t="s">
        <v>257</v>
      </c>
      <c r="P821" s="31" t="s">
        <v>2320</v>
      </c>
    </row>
    <row r="822">
      <c r="A822" s="29">
        <v>45918.626643564814</v>
      </c>
      <c r="B822" s="30">
        <v>45918.0</v>
      </c>
      <c r="C822" s="31" t="s">
        <v>2707</v>
      </c>
      <c r="D822" s="32" t="s">
        <v>2708</v>
      </c>
      <c r="E822" s="31" t="s">
        <v>43</v>
      </c>
      <c r="F822" s="31">
        <v>1.51E7</v>
      </c>
      <c r="G822" s="31" t="s">
        <v>45</v>
      </c>
      <c r="H822" s="31">
        <v>3000000.0</v>
      </c>
      <c r="I822" s="31" t="s">
        <v>413</v>
      </c>
      <c r="K822" s="33" t="s">
        <v>2709</v>
      </c>
      <c r="L822" s="31" t="s">
        <v>252</v>
      </c>
      <c r="M822" s="31" t="s">
        <v>203</v>
      </c>
      <c r="O822" s="31" t="s">
        <v>257</v>
      </c>
      <c r="P822" s="31" t="s">
        <v>272</v>
      </c>
    </row>
    <row r="823">
      <c r="A823" s="29">
        <v>45918.643870706015</v>
      </c>
      <c r="B823" s="30">
        <v>45918.0</v>
      </c>
      <c r="C823" s="31" t="s">
        <v>2710</v>
      </c>
      <c r="D823" s="32" t="s">
        <v>2711</v>
      </c>
      <c r="E823" s="31" t="s">
        <v>363</v>
      </c>
      <c r="F823" s="31">
        <v>4000000.0</v>
      </c>
      <c r="G823" s="31" t="s">
        <v>23</v>
      </c>
      <c r="I823" s="31" t="s">
        <v>229</v>
      </c>
      <c r="J823" s="31" t="s">
        <v>967</v>
      </c>
      <c r="K823" s="33" t="s">
        <v>2712</v>
      </c>
      <c r="L823" s="31" t="s">
        <v>252</v>
      </c>
      <c r="O823" s="31" t="s">
        <v>205</v>
      </c>
      <c r="X823" s="31" t="s">
        <v>487</v>
      </c>
    </row>
    <row r="824">
      <c r="A824" s="29">
        <v>45918.66880142361</v>
      </c>
      <c r="B824" s="30">
        <v>45918.0</v>
      </c>
      <c r="C824" s="31" t="s">
        <v>2713</v>
      </c>
      <c r="D824" s="32" t="s">
        <v>2714</v>
      </c>
      <c r="E824" s="31" t="s">
        <v>31</v>
      </c>
      <c r="F824" s="31">
        <v>5500000.0</v>
      </c>
      <c r="G824" s="31" t="s">
        <v>23</v>
      </c>
      <c r="I824" s="31" t="s">
        <v>229</v>
      </c>
      <c r="J824" s="31" t="s">
        <v>967</v>
      </c>
      <c r="K824" s="33" t="s">
        <v>2715</v>
      </c>
      <c r="L824" s="31" t="s">
        <v>202</v>
      </c>
      <c r="N824" s="31" t="s">
        <v>204</v>
      </c>
      <c r="R824" s="31" t="s">
        <v>207</v>
      </c>
    </row>
    <row r="825">
      <c r="A825" s="29">
        <v>45918.72237633102</v>
      </c>
      <c r="B825" s="30">
        <v>45918.0</v>
      </c>
      <c r="C825" s="31" t="s">
        <v>2716</v>
      </c>
      <c r="D825" s="32" t="s">
        <v>2717</v>
      </c>
      <c r="E825" s="31" t="s">
        <v>228</v>
      </c>
      <c r="F825" s="34">
        <v>4000.0</v>
      </c>
      <c r="G825" s="31" t="s">
        <v>23</v>
      </c>
      <c r="I825" s="31" t="s">
        <v>229</v>
      </c>
      <c r="J825" s="31" t="s">
        <v>967</v>
      </c>
      <c r="K825" s="33" t="s">
        <v>2718</v>
      </c>
      <c r="L825" s="31" t="s">
        <v>202</v>
      </c>
      <c r="N825" s="31" t="s">
        <v>871</v>
      </c>
      <c r="Q825" s="31" t="s">
        <v>2403</v>
      </c>
    </row>
    <row r="826">
      <c r="A826" s="29">
        <v>45918.750617048616</v>
      </c>
      <c r="B826" s="30">
        <v>45918.0</v>
      </c>
      <c r="C826" s="31" t="s">
        <v>2719</v>
      </c>
      <c r="D826" s="32" t="s">
        <v>2720</v>
      </c>
      <c r="E826" s="31" t="s">
        <v>2721</v>
      </c>
      <c r="F826" s="31">
        <v>5200000.0</v>
      </c>
      <c r="G826" s="31" t="s">
        <v>23</v>
      </c>
      <c r="I826" s="31" t="s">
        <v>229</v>
      </c>
      <c r="J826" s="31" t="s">
        <v>165</v>
      </c>
      <c r="K826" s="33" t="s">
        <v>2722</v>
      </c>
      <c r="L826" s="31" t="s">
        <v>202</v>
      </c>
      <c r="N826" s="31" t="s">
        <v>220</v>
      </c>
      <c r="S826" s="31" t="s">
        <v>83</v>
      </c>
    </row>
    <row r="827">
      <c r="A827" s="29">
        <v>45918.75728248843</v>
      </c>
      <c r="B827" s="30">
        <v>45918.0</v>
      </c>
      <c r="C827" s="31" t="s">
        <v>2723</v>
      </c>
      <c r="D827" s="32" t="s">
        <v>2724</v>
      </c>
      <c r="E827" s="31" t="s">
        <v>31</v>
      </c>
      <c r="F827" s="31">
        <v>6100000.0</v>
      </c>
      <c r="G827" s="31" t="s">
        <v>23</v>
      </c>
      <c r="I827" s="31" t="s">
        <v>229</v>
      </c>
      <c r="J827" s="31" t="s">
        <v>967</v>
      </c>
      <c r="K827" s="33" t="s">
        <v>2725</v>
      </c>
      <c r="L827" s="31" t="s">
        <v>202</v>
      </c>
      <c r="N827" s="31" t="s">
        <v>313</v>
      </c>
      <c r="T827" s="31" t="s">
        <v>329</v>
      </c>
    </row>
    <row r="828">
      <c r="A828" s="29">
        <v>45918.75961625</v>
      </c>
      <c r="B828" s="30">
        <v>45918.0</v>
      </c>
      <c r="C828" s="31" t="s">
        <v>2726</v>
      </c>
      <c r="D828" s="32" t="s">
        <v>2727</v>
      </c>
      <c r="E828" s="31" t="s">
        <v>43</v>
      </c>
      <c r="F828" s="31">
        <v>6000000.0</v>
      </c>
      <c r="G828" s="31" t="s">
        <v>23</v>
      </c>
      <c r="I828" s="31" t="s">
        <v>229</v>
      </c>
      <c r="J828" s="31" t="s">
        <v>967</v>
      </c>
      <c r="K828" s="33" t="s">
        <v>2728</v>
      </c>
      <c r="L828" s="31" t="s">
        <v>202</v>
      </c>
      <c r="N828" s="31" t="s">
        <v>313</v>
      </c>
      <c r="T828" s="31" t="s">
        <v>329</v>
      </c>
    </row>
    <row r="829">
      <c r="A829" s="29">
        <v>45918.772091701394</v>
      </c>
      <c r="B829" s="30">
        <v>45918.0</v>
      </c>
      <c r="C829" s="31" t="s">
        <v>2729</v>
      </c>
      <c r="D829" s="32" t="s">
        <v>2730</v>
      </c>
      <c r="E829" s="31" t="s">
        <v>199</v>
      </c>
      <c r="F829" s="31">
        <v>3600000.0</v>
      </c>
      <c r="G829" s="31" t="s">
        <v>23</v>
      </c>
      <c r="H829" s="31">
        <v>7000000.0</v>
      </c>
      <c r="I829" s="31" t="s">
        <v>200</v>
      </c>
      <c r="K829" s="33" t="s">
        <v>2731</v>
      </c>
      <c r="L829" s="31" t="s">
        <v>252</v>
      </c>
      <c r="M829" s="31" t="s">
        <v>605</v>
      </c>
      <c r="O829" s="31" t="s">
        <v>257</v>
      </c>
      <c r="P829" s="31" t="s">
        <v>258</v>
      </c>
    </row>
    <row r="830">
      <c r="A830" s="29">
        <v>45918.78998594907</v>
      </c>
      <c r="B830" s="30">
        <v>45918.0</v>
      </c>
      <c r="C830" s="31" t="s">
        <v>2732</v>
      </c>
      <c r="D830" s="32" t="s">
        <v>2733</v>
      </c>
      <c r="E830" s="31" t="s">
        <v>43</v>
      </c>
      <c r="F830" s="31">
        <v>2500000.0</v>
      </c>
      <c r="G830" s="31" t="s">
        <v>23</v>
      </c>
      <c r="I830" s="31" t="s">
        <v>229</v>
      </c>
      <c r="J830" s="31" t="s">
        <v>967</v>
      </c>
      <c r="K830" s="33" t="s">
        <v>2734</v>
      </c>
      <c r="L830" s="31" t="s">
        <v>202</v>
      </c>
      <c r="N830" s="31" t="s">
        <v>204</v>
      </c>
      <c r="R830" s="31" t="s">
        <v>148</v>
      </c>
    </row>
    <row r="831">
      <c r="A831" s="29">
        <v>45918.79100207176</v>
      </c>
      <c r="B831" s="30">
        <v>45918.0</v>
      </c>
      <c r="C831" s="31" t="s">
        <v>2735</v>
      </c>
      <c r="D831" s="32" t="s">
        <v>2733</v>
      </c>
      <c r="E831" s="31" t="s">
        <v>43</v>
      </c>
      <c r="F831" s="31">
        <v>2600000.0</v>
      </c>
      <c r="G831" s="31" t="s">
        <v>23</v>
      </c>
      <c r="I831" s="31" t="s">
        <v>229</v>
      </c>
      <c r="J831" s="31" t="s">
        <v>967</v>
      </c>
      <c r="K831" s="33" t="s">
        <v>2736</v>
      </c>
      <c r="L831" s="31" t="s">
        <v>202</v>
      </c>
      <c r="N831" s="31" t="s">
        <v>204</v>
      </c>
      <c r="R831" s="31" t="s">
        <v>148</v>
      </c>
    </row>
    <row r="832">
      <c r="A832" s="29">
        <v>45918.792345231486</v>
      </c>
      <c r="B832" s="30">
        <v>45918.0</v>
      </c>
      <c r="C832" s="31" t="s">
        <v>2737</v>
      </c>
      <c r="D832" s="32" t="s">
        <v>2738</v>
      </c>
      <c r="E832" s="31" t="s">
        <v>43</v>
      </c>
      <c r="F832" s="31">
        <v>2700000.0</v>
      </c>
      <c r="G832" s="31" t="s">
        <v>23</v>
      </c>
      <c r="I832" s="31" t="s">
        <v>229</v>
      </c>
      <c r="J832" s="31" t="s">
        <v>967</v>
      </c>
      <c r="K832" s="33" t="s">
        <v>2739</v>
      </c>
      <c r="L832" s="31" t="s">
        <v>202</v>
      </c>
      <c r="N832" s="31" t="s">
        <v>204</v>
      </c>
      <c r="R832" s="31" t="s">
        <v>148</v>
      </c>
    </row>
    <row r="833">
      <c r="A833" s="29">
        <v>45918.79675008102</v>
      </c>
      <c r="B833" s="30">
        <v>45918.0</v>
      </c>
      <c r="C833" s="31" t="s">
        <v>2740</v>
      </c>
      <c r="D833" s="32" t="s">
        <v>2741</v>
      </c>
      <c r="E833" s="31" t="s">
        <v>43</v>
      </c>
      <c r="F833" s="31">
        <v>5200000.0</v>
      </c>
      <c r="G833" s="31" t="s">
        <v>45</v>
      </c>
      <c r="H833" s="31">
        <v>3000000.0</v>
      </c>
      <c r="I833" s="31" t="s">
        <v>413</v>
      </c>
      <c r="K833" s="33" t="s">
        <v>2742</v>
      </c>
      <c r="L833" s="31" t="s">
        <v>202</v>
      </c>
      <c r="M833" s="31" t="s">
        <v>203</v>
      </c>
      <c r="N833" s="31" t="s">
        <v>220</v>
      </c>
      <c r="S833" s="31" t="s">
        <v>83</v>
      </c>
    </row>
    <row r="834">
      <c r="A834" s="29">
        <v>45918.81788820602</v>
      </c>
      <c r="B834" s="30">
        <v>45918.0</v>
      </c>
      <c r="C834" s="31" t="s">
        <v>2743</v>
      </c>
      <c r="D834" s="32" t="s">
        <v>2744</v>
      </c>
      <c r="E834" s="31" t="s">
        <v>31</v>
      </c>
      <c r="F834" s="31">
        <v>4500000.0</v>
      </c>
      <c r="G834" s="31" t="s">
        <v>23</v>
      </c>
      <c r="I834" s="31" t="s">
        <v>229</v>
      </c>
      <c r="J834" s="31" t="s">
        <v>967</v>
      </c>
      <c r="K834" s="33" t="s">
        <v>2745</v>
      </c>
      <c r="L834" s="31" t="s">
        <v>202</v>
      </c>
      <c r="N834" s="31" t="s">
        <v>204</v>
      </c>
      <c r="R834" s="31" t="s">
        <v>207</v>
      </c>
    </row>
    <row r="835">
      <c r="A835" s="29">
        <v>45918.82634644676</v>
      </c>
      <c r="B835" s="30">
        <v>45918.0</v>
      </c>
      <c r="C835" s="31" t="s">
        <v>2746</v>
      </c>
      <c r="D835" s="32" t="s">
        <v>2747</v>
      </c>
      <c r="E835" s="31" t="s">
        <v>31</v>
      </c>
      <c r="F835" s="31">
        <v>5500000.0</v>
      </c>
      <c r="G835" s="31" t="s">
        <v>23</v>
      </c>
      <c r="I835" s="31" t="s">
        <v>229</v>
      </c>
      <c r="J835" s="31" t="s">
        <v>967</v>
      </c>
      <c r="K835" s="33" t="s">
        <v>2748</v>
      </c>
      <c r="L835" s="31" t="s">
        <v>202</v>
      </c>
      <c r="N835" s="31" t="s">
        <v>204</v>
      </c>
      <c r="R835" s="31" t="s">
        <v>207</v>
      </c>
    </row>
    <row r="836">
      <c r="A836" s="29">
        <v>45918.82898657407</v>
      </c>
      <c r="B836" s="30">
        <v>45918.0</v>
      </c>
      <c r="C836" s="31" t="s">
        <v>2749</v>
      </c>
      <c r="D836" s="32" t="s">
        <v>2750</v>
      </c>
      <c r="E836" s="31" t="s">
        <v>43</v>
      </c>
      <c r="F836" s="31">
        <v>2500000.0</v>
      </c>
      <c r="G836" s="31" t="s">
        <v>23</v>
      </c>
      <c r="H836" s="31">
        <v>3000000.0</v>
      </c>
      <c r="I836" s="31" t="s">
        <v>413</v>
      </c>
      <c r="K836" s="33" t="s">
        <v>2751</v>
      </c>
      <c r="L836" s="31" t="s">
        <v>202</v>
      </c>
      <c r="M836" s="31" t="s">
        <v>383</v>
      </c>
      <c r="N836" s="31" t="s">
        <v>215</v>
      </c>
      <c r="W836" s="31" t="s">
        <v>216</v>
      </c>
    </row>
    <row r="837">
      <c r="A837" s="29">
        <v>45918.829363530094</v>
      </c>
      <c r="B837" s="30">
        <v>45918.0</v>
      </c>
      <c r="C837" s="31" t="s">
        <v>2752</v>
      </c>
      <c r="D837" s="32" t="s">
        <v>2753</v>
      </c>
      <c r="E837" s="31" t="s">
        <v>43</v>
      </c>
      <c r="F837" s="31">
        <v>4500000.0</v>
      </c>
      <c r="G837" s="31" t="s">
        <v>23</v>
      </c>
      <c r="H837" s="31">
        <v>3000000.0</v>
      </c>
      <c r="I837" s="31" t="s">
        <v>413</v>
      </c>
      <c r="K837" s="33" t="s">
        <v>2754</v>
      </c>
      <c r="L837" s="31" t="s">
        <v>202</v>
      </c>
      <c r="M837" s="31" t="s">
        <v>203</v>
      </c>
      <c r="N837" s="31" t="s">
        <v>204</v>
      </c>
      <c r="R837" s="31" t="s">
        <v>47</v>
      </c>
    </row>
    <row r="838">
      <c r="A838" s="29">
        <v>45918.833238900464</v>
      </c>
      <c r="B838" s="30">
        <v>45918.0</v>
      </c>
      <c r="C838" s="31" t="s">
        <v>2755</v>
      </c>
      <c r="D838" s="32" t="s">
        <v>2756</v>
      </c>
      <c r="E838" s="31" t="s">
        <v>43</v>
      </c>
      <c r="F838" s="31">
        <v>3000000.0</v>
      </c>
      <c r="G838" s="31" t="s">
        <v>23</v>
      </c>
      <c r="H838" s="31">
        <v>5000000.0</v>
      </c>
      <c r="I838" s="31" t="s">
        <v>413</v>
      </c>
      <c r="K838" s="33" t="s">
        <v>2757</v>
      </c>
      <c r="L838" s="31" t="s">
        <v>202</v>
      </c>
      <c r="M838" s="31" t="s">
        <v>383</v>
      </c>
      <c r="N838" s="31" t="s">
        <v>215</v>
      </c>
      <c r="W838" s="31" t="s">
        <v>216</v>
      </c>
    </row>
    <row r="839">
      <c r="A839" s="29">
        <v>45918.83710520834</v>
      </c>
      <c r="B839" s="30">
        <v>45918.0</v>
      </c>
      <c r="C839" s="31" t="s">
        <v>2758</v>
      </c>
      <c r="D839" s="32" t="s">
        <v>2759</v>
      </c>
      <c r="E839" s="31" t="s">
        <v>43</v>
      </c>
      <c r="F839" s="31">
        <v>3200000.0</v>
      </c>
      <c r="G839" s="31" t="s">
        <v>23</v>
      </c>
      <c r="I839" s="31" t="s">
        <v>229</v>
      </c>
      <c r="J839" s="31" t="s">
        <v>967</v>
      </c>
      <c r="K839" s="33" t="s">
        <v>2760</v>
      </c>
      <c r="L839" s="31" t="s">
        <v>202</v>
      </c>
      <c r="N839" s="31" t="s">
        <v>204</v>
      </c>
      <c r="R839" s="31" t="s">
        <v>148</v>
      </c>
    </row>
    <row r="840">
      <c r="A840" s="29">
        <v>45918.870923194445</v>
      </c>
      <c r="B840" s="30">
        <v>45918.0</v>
      </c>
      <c r="C840" s="31" t="s">
        <v>2761</v>
      </c>
      <c r="D840" s="32" t="s">
        <v>2762</v>
      </c>
      <c r="E840" s="31" t="s">
        <v>2763</v>
      </c>
      <c r="F840" s="31">
        <v>3500000.0</v>
      </c>
      <c r="G840" s="31" t="s">
        <v>23</v>
      </c>
      <c r="I840" s="31" t="s">
        <v>229</v>
      </c>
      <c r="J840" s="31" t="s">
        <v>967</v>
      </c>
      <c r="K840" s="33" t="s">
        <v>2764</v>
      </c>
      <c r="L840" s="31" t="s">
        <v>202</v>
      </c>
      <c r="N840" s="31" t="s">
        <v>204</v>
      </c>
      <c r="R840" s="31" t="s">
        <v>98</v>
      </c>
    </row>
    <row r="841">
      <c r="A841" s="29">
        <v>45918.88836868056</v>
      </c>
      <c r="B841" s="30">
        <v>45918.0</v>
      </c>
      <c r="C841" s="31" t="s">
        <v>2765</v>
      </c>
      <c r="D841" s="32" t="s">
        <v>2766</v>
      </c>
      <c r="E841" s="31" t="s">
        <v>43</v>
      </c>
      <c r="F841" s="31">
        <v>9500000.0</v>
      </c>
      <c r="G841" s="31" t="s">
        <v>23</v>
      </c>
      <c r="I841" s="31" t="s">
        <v>229</v>
      </c>
      <c r="J841" s="31" t="s">
        <v>967</v>
      </c>
      <c r="K841" s="33" t="s">
        <v>2767</v>
      </c>
      <c r="L841" s="31" t="s">
        <v>202</v>
      </c>
      <c r="N841" s="31" t="s">
        <v>204</v>
      </c>
      <c r="R841" s="31" t="s">
        <v>47</v>
      </c>
    </row>
    <row r="842">
      <c r="A842" s="29">
        <v>45919.36837391204</v>
      </c>
      <c r="B842" s="30">
        <v>45919.0</v>
      </c>
      <c r="C842" s="31" t="s">
        <v>2768</v>
      </c>
      <c r="D842" s="32" t="s">
        <v>2769</v>
      </c>
      <c r="E842" s="31" t="s">
        <v>43</v>
      </c>
      <c r="F842" s="31">
        <v>3600000.0</v>
      </c>
      <c r="G842" s="31" t="s">
        <v>23</v>
      </c>
      <c r="I842" s="31" t="s">
        <v>229</v>
      </c>
      <c r="J842" s="31" t="s">
        <v>967</v>
      </c>
      <c r="K842" s="33" t="s">
        <v>2770</v>
      </c>
      <c r="L842" s="31" t="s">
        <v>252</v>
      </c>
      <c r="O842" s="31" t="s">
        <v>257</v>
      </c>
      <c r="P842" s="31" t="s">
        <v>258</v>
      </c>
    </row>
    <row r="843">
      <c r="A843" s="29">
        <v>45919.385099583335</v>
      </c>
      <c r="B843" s="30">
        <v>45919.0</v>
      </c>
      <c r="C843" s="31" t="s">
        <v>2771</v>
      </c>
      <c r="D843" s="32" t="s">
        <v>2772</v>
      </c>
      <c r="E843" s="31" t="s">
        <v>239</v>
      </c>
      <c r="F843" s="31">
        <v>2500000.0</v>
      </c>
      <c r="G843" s="31" t="s">
        <v>23</v>
      </c>
      <c r="I843" s="31" t="s">
        <v>229</v>
      </c>
      <c r="J843" s="31" t="s">
        <v>967</v>
      </c>
      <c r="K843" s="33" t="s">
        <v>2773</v>
      </c>
      <c r="L843" s="31" t="s">
        <v>252</v>
      </c>
      <c r="O843" s="31" t="s">
        <v>257</v>
      </c>
      <c r="P843" s="31" t="s">
        <v>206</v>
      </c>
    </row>
    <row r="844">
      <c r="A844" s="29">
        <v>45919.42219621528</v>
      </c>
      <c r="B844" s="30">
        <v>45919.0</v>
      </c>
      <c r="C844" s="31" t="s">
        <v>2774</v>
      </c>
      <c r="D844" s="31" t="s">
        <v>2775</v>
      </c>
      <c r="E844" s="31" t="s">
        <v>288</v>
      </c>
      <c r="F844" s="31">
        <v>3500000.0</v>
      </c>
      <c r="G844" s="31" t="s">
        <v>23</v>
      </c>
      <c r="H844" s="31">
        <v>3000000.0</v>
      </c>
      <c r="I844" s="31" t="s">
        <v>413</v>
      </c>
      <c r="K844" s="33" t="s">
        <v>2776</v>
      </c>
      <c r="L844" s="31" t="s">
        <v>202</v>
      </c>
      <c r="M844" s="31" t="s">
        <v>203</v>
      </c>
      <c r="N844" s="31" t="s">
        <v>204</v>
      </c>
      <c r="R844" s="31" t="s">
        <v>90</v>
      </c>
    </row>
    <row r="845">
      <c r="A845" s="29">
        <v>45919.44605726852</v>
      </c>
      <c r="B845" s="30">
        <v>45919.0</v>
      </c>
      <c r="C845" s="31" t="s">
        <v>2777</v>
      </c>
      <c r="D845" s="32" t="s">
        <v>2778</v>
      </c>
      <c r="E845" s="31" t="s">
        <v>228</v>
      </c>
      <c r="F845" s="31">
        <v>5000000.0</v>
      </c>
      <c r="G845" s="31" t="s">
        <v>23</v>
      </c>
      <c r="I845" s="31" t="s">
        <v>229</v>
      </c>
      <c r="J845" s="31" t="s">
        <v>967</v>
      </c>
      <c r="K845" s="33" t="s">
        <v>2779</v>
      </c>
      <c r="L845" s="31" t="s">
        <v>252</v>
      </c>
      <c r="O845" s="31" t="s">
        <v>257</v>
      </c>
      <c r="P845" s="31" t="s">
        <v>2453</v>
      </c>
    </row>
    <row r="846">
      <c r="A846" s="29">
        <v>45919.446972997684</v>
      </c>
      <c r="B846" s="30">
        <v>45919.0</v>
      </c>
      <c r="C846" s="31" t="s">
        <v>2780</v>
      </c>
      <c r="D846" s="32" t="s">
        <v>2781</v>
      </c>
      <c r="E846" s="31" t="s">
        <v>31</v>
      </c>
      <c r="F846" s="31">
        <v>3000000.0</v>
      </c>
      <c r="G846" s="31" t="s">
        <v>45</v>
      </c>
      <c r="H846" s="31">
        <v>5000000.0</v>
      </c>
      <c r="I846" s="31" t="s">
        <v>413</v>
      </c>
      <c r="K846" s="33" t="s">
        <v>2782</v>
      </c>
      <c r="L846" s="31" t="s">
        <v>202</v>
      </c>
      <c r="M846" s="31" t="s">
        <v>383</v>
      </c>
      <c r="N846" s="31" t="s">
        <v>215</v>
      </c>
      <c r="W846" s="31" t="s">
        <v>216</v>
      </c>
    </row>
    <row r="847">
      <c r="A847" s="29">
        <v>45919.48846143519</v>
      </c>
      <c r="B847" s="30">
        <v>45919.0</v>
      </c>
      <c r="C847" s="31" t="s">
        <v>2783</v>
      </c>
      <c r="D847" s="32" t="s">
        <v>2784</v>
      </c>
      <c r="E847" s="31" t="s">
        <v>43</v>
      </c>
      <c r="F847" s="31">
        <v>3000000.0</v>
      </c>
      <c r="G847" s="31" t="s">
        <v>23</v>
      </c>
      <c r="H847" s="31">
        <v>3000000.0</v>
      </c>
      <c r="I847" s="31" t="s">
        <v>413</v>
      </c>
      <c r="K847" s="33" t="s">
        <v>2785</v>
      </c>
      <c r="L847" s="31" t="s">
        <v>202</v>
      </c>
      <c r="M847" s="31" t="s">
        <v>203</v>
      </c>
      <c r="N847" s="31" t="s">
        <v>204</v>
      </c>
      <c r="R847" s="31" t="s">
        <v>28</v>
      </c>
    </row>
    <row r="848">
      <c r="A848" s="29">
        <v>45919.48927939815</v>
      </c>
      <c r="B848" s="30">
        <v>45919.0</v>
      </c>
      <c r="C848" s="31" t="s">
        <v>2685</v>
      </c>
      <c r="D848" s="31" t="s">
        <v>2686</v>
      </c>
      <c r="E848" s="31" t="s">
        <v>199</v>
      </c>
      <c r="F848" s="31">
        <v>5500000.0</v>
      </c>
      <c r="G848" s="31" t="s">
        <v>45</v>
      </c>
      <c r="H848" s="31">
        <v>5000000.0</v>
      </c>
      <c r="I848" s="31" t="s">
        <v>200</v>
      </c>
      <c r="K848" s="33" t="s">
        <v>2786</v>
      </c>
      <c r="L848" s="31" t="s">
        <v>202</v>
      </c>
      <c r="M848" s="31" t="s">
        <v>203</v>
      </c>
      <c r="N848" s="31" t="s">
        <v>204</v>
      </c>
      <c r="R848" s="31" t="s">
        <v>207</v>
      </c>
    </row>
    <row r="849">
      <c r="A849" s="29">
        <v>45919.49501702546</v>
      </c>
      <c r="B849" s="30">
        <v>45919.0</v>
      </c>
      <c r="C849" s="31" t="s">
        <v>2787</v>
      </c>
      <c r="D849" s="32" t="s">
        <v>2788</v>
      </c>
      <c r="E849" s="31" t="s">
        <v>199</v>
      </c>
      <c r="F849" s="31">
        <v>7000000.0</v>
      </c>
      <c r="G849" s="31" t="s">
        <v>23</v>
      </c>
      <c r="I849" s="31" t="s">
        <v>229</v>
      </c>
      <c r="J849" s="31" t="s">
        <v>1445</v>
      </c>
      <c r="K849" s="33" t="s">
        <v>2789</v>
      </c>
      <c r="L849" s="31" t="s">
        <v>252</v>
      </c>
      <c r="O849" s="31" t="s">
        <v>205</v>
      </c>
      <c r="X849" s="31" t="s">
        <v>569</v>
      </c>
    </row>
    <row r="850">
      <c r="A850" s="29">
        <v>45919.499025428246</v>
      </c>
      <c r="B850" s="30">
        <v>45919.0</v>
      </c>
      <c r="C850" s="31" t="s">
        <v>2790</v>
      </c>
      <c r="D850" s="31">
        <v>0.0</v>
      </c>
      <c r="E850" s="31" t="s">
        <v>228</v>
      </c>
      <c r="F850" s="31">
        <v>1000000.0</v>
      </c>
      <c r="G850" s="31" t="s">
        <v>45</v>
      </c>
      <c r="I850" s="31" t="s">
        <v>229</v>
      </c>
      <c r="J850" s="31" t="s">
        <v>967</v>
      </c>
      <c r="K850" s="33" t="s">
        <v>2791</v>
      </c>
      <c r="L850" s="31" t="s">
        <v>252</v>
      </c>
      <c r="O850" s="31" t="s">
        <v>257</v>
      </c>
      <c r="P850" s="31" t="s">
        <v>992</v>
      </c>
    </row>
    <row r="851">
      <c r="A851" s="29">
        <v>45919.503362766205</v>
      </c>
      <c r="B851" s="30">
        <v>45919.0</v>
      </c>
      <c r="C851" s="31" t="s">
        <v>2792</v>
      </c>
      <c r="D851" s="32" t="s">
        <v>2793</v>
      </c>
      <c r="E851" s="31" t="s">
        <v>2794</v>
      </c>
      <c r="F851" s="31">
        <v>5100000.0</v>
      </c>
      <c r="G851" s="31" t="s">
        <v>23</v>
      </c>
      <c r="I851" s="31" t="s">
        <v>229</v>
      </c>
      <c r="J851" s="31" t="s">
        <v>967</v>
      </c>
      <c r="K851" s="33" t="s">
        <v>2795</v>
      </c>
      <c r="L851" s="31" t="s">
        <v>202</v>
      </c>
      <c r="N851" s="31" t="s">
        <v>204</v>
      </c>
      <c r="R851" s="31" t="s">
        <v>98</v>
      </c>
    </row>
    <row r="852">
      <c r="A852" s="29">
        <v>45919.52046849537</v>
      </c>
      <c r="B852" s="30">
        <v>45919.0</v>
      </c>
      <c r="C852" s="31" t="s">
        <v>2796</v>
      </c>
      <c r="D852" s="32" t="s">
        <v>2797</v>
      </c>
      <c r="E852" s="31" t="s">
        <v>43</v>
      </c>
      <c r="F852" s="31">
        <v>4600000.0</v>
      </c>
      <c r="G852" s="31" t="s">
        <v>23</v>
      </c>
      <c r="H852" s="31">
        <v>3000000.0</v>
      </c>
      <c r="I852" s="31" t="s">
        <v>200</v>
      </c>
      <c r="K852" s="33" t="s">
        <v>2798</v>
      </c>
      <c r="L852" s="31" t="s">
        <v>252</v>
      </c>
      <c r="M852" s="31" t="s">
        <v>203</v>
      </c>
      <c r="O852" s="31" t="s">
        <v>257</v>
      </c>
      <c r="P852" s="31" t="s">
        <v>258</v>
      </c>
    </row>
    <row r="853">
      <c r="A853" s="29">
        <v>45919.54985675926</v>
      </c>
      <c r="B853" s="30">
        <v>45919.0</v>
      </c>
      <c r="C853" s="31" t="s">
        <v>2799</v>
      </c>
      <c r="D853" s="32" t="s">
        <v>2800</v>
      </c>
      <c r="E853" s="31" t="s">
        <v>288</v>
      </c>
      <c r="F853" s="31">
        <v>2500000.0</v>
      </c>
      <c r="G853" s="31" t="s">
        <v>23</v>
      </c>
      <c r="I853" s="31" t="s">
        <v>229</v>
      </c>
      <c r="J853" s="31" t="s">
        <v>967</v>
      </c>
      <c r="K853" s="33" t="s">
        <v>2801</v>
      </c>
      <c r="L853" s="31" t="s">
        <v>252</v>
      </c>
      <c r="O853" s="31" t="s">
        <v>257</v>
      </c>
      <c r="P853" s="31" t="s">
        <v>2453</v>
      </c>
    </row>
    <row r="854">
      <c r="A854" s="29">
        <v>45919.56136600694</v>
      </c>
      <c r="B854" s="30">
        <v>45919.0</v>
      </c>
      <c r="C854" s="31" t="s">
        <v>2802</v>
      </c>
      <c r="D854" s="32" t="s">
        <v>2803</v>
      </c>
      <c r="E854" s="31" t="s">
        <v>43</v>
      </c>
      <c r="F854" s="31">
        <v>5000000.0</v>
      </c>
      <c r="G854" s="31" t="s">
        <v>23</v>
      </c>
      <c r="I854" s="31" t="s">
        <v>229</v>
      </c>
      <c r="J854" s="31" t="s">
        <v>967</v>
      </c>
      <c r="K854" s="33" t="s">
        <v>2804</v>
      </c>
      <c r="L854" s="31" t="s">
        <v>252</v>
      </c>
      <c r="O854" s="31" t="s">
        <v>257</v>
      </c>
      <c r="P854" s="31" t="s">
        <v>2453</v>
      </c>
    </row>
    <row r="855">
      <c r="A855" s="29">
        <v>45919.572826284726</v>
      </c>
      <c r="B855" s="30">
        <v>45919.0</v>
      </c>
      <c r="C855" s="31" t="s">
        <v>2805</v>
      </c>
      <c r="D855" s="32" t="s">
        <v>2806</v>
      </c>
      <c r="E855" s="31" t="s">
        <v>662</v>
      </c>
      <c r="F855" s="31">
        <v>6100000.0</v>
      </c>
      <c r="G855" s="31" t="s">
        <v>23</v>
      </c>
      <c r="I855" s="31" t="s">
        <v>229</v>
      </c>
      <c r="J855" s="31" t="s">
        <v>1445</v>
      </c>
      <c r="K855" s="33" t="s">
        <v>2807</v>
      </c>
      <c r="L855" s="31" t="s">
        <v>252</v>
      </c>
      <c r="O855" s="31" t="s">
        <v>205</v>
      </c>
      <c r="X855" s="31" t="s">
        <v>569</v>
      </c>
    </row>
    <row r="856">
      <c r="A856" s="29">
        <v>45919.57482771991</v>
      </c>
      <c r="B856" s="30">
        <v>45919.0</v>
      </c>
      <c r="C856" s="31" t="s">
        <v>2808</v>
      </c>
      <c r="D856" s="32" t="s">
        <v>2809</v>
      </c>
      <c r="E856" s="31" t="s">
        <v>662</v>
      </c>
      <c r="F856" s="31">
        <v>5000000.0</v>
      </c>
      <c r="G856" s="31" t="s">
        <v>45</v>
      </c>
      <c r="I856" s="31" t="s">
        <v>229</v>
      </c>
      <c r="J856" s="31" t="s">
        <v>1445</v>
      </c>
      <c r="K856" s="33" t="s">
        <v>2810</v>
      </c>
      <c r="L856" s="31" t="s">
        <v>252</v>
      </c>
      <c r="O856" s="31" t="s">
        <v>205</v>
      </c>
      <c r="X856" s="31" t="s">
        <v>569</v>
      </c>
    </row>
    <row r="857">
      <c r="A857" s="29">
        <v>45919.578904317124</v>
      </c>
      <c r="B857" s="30">
        <v>45919.0</v>
      </c>
      <c r="C857" s="31" t="s">
        <v>2811</v>
      </c>
      <c r="D857" s="32" t="s">
        <v>2812</v>
      </c>
      <c r="E857" s="31" t="s">
        <v>31</v>
      </c>
      <c r="F857" s="31">
        <v>3500000.0</v>
      </c>
      <c r="G857" s="31" t="s">
        <v>23</v>
      </c>
      <c r="H857" s="31">
        <v>6486000.0</v>
      </c>
      <c r="I857" s="31" t="s">
        <v>413</v>
      </c>
      <c r="K857" s="33" t="s">
        <v>2813</v>
      </c>
      <c r="L857" s="31" t="s">
        <v>202</v>
      </c>
      <c r="M857" s="31" t="s">
        <v>203</v>
      </c>
      <c r="N857" s="31" t="s">
        <v>220</v>
      </c>
      <c r="S857" s="31" t="s">
        <v>83</v>
      </c>
    </row>
    <row r="858">
      <c r="A858" s="29">
        <v>45919.58519021991</v>
      </c>
      <c r="B858" s="30">
        <v>45919.0</v>
      </c>
      <c r="C858" s="31" t="s">
        <v>2814</v>
      </c>
      <c r="D858" s="32" t="s">
        <v>2815</v>
      </c>
      <c r="E858" s="31" t="s">
        <v>228</v>
      </c>
      <c r="F858" s="31">
        <v>5000000.0</v>
      </c>
      <c r="G858" s="31" t="s">
        <v>23</v>
      </c>
      <c r="I858" s="31" t="s">
        <v>229</v>
      </c>
      <c r="J858" s="31" t="s">
        <v>967</v>
      </c>
      <c r="K858" s="33" t="s">
        <v>2816</v>
      </c>
      <c r="L858" s="31" t="s">
        <v>252</v>
      </c>
      <c r="O858" s="31" t="s">
        <v>257</v>
      </c>
      <c r="P858" s="31" t="s">
        <v>2453</v>
      </c>
    </row>
    <row r="859">
      <c r="A859" s="29">
        <v>45919.65840825232</v>
      </c>
      <c r="B859" s="30">
        <v>45919.0</v>
      </c>
      <c r="C859" s="31" t="s">
        <v>2817</v>
      </c>
      <c r="D859" s="32" t="s">
        <v>2818</v>
      </c>
      <c r="E859" s="31" t="s">
        <v>228</v>
      </c>
      <c r="F859" s="31">
        <v>3.5E7</v>
      </c>
      <c r="G859" s="31" t="s">
        <v>23</v>
      </c>
      <c r="I859" s="31" t="s">
        <v>229</v>
      </c>
      <c r="J859" s="31" t="s">
        <v>270</v>
      </c>
      <c r="K859" s="33" t="s">
        <v>2819</v>
      </c>
      <c r="L859" s="31" t="s">
        <v>202</v>
      </c>
      <c r="N859" s="31" t="s">
        <v>204</v>
      </c>
      <c r="R859" s="31" t="s">
        <v>192</v>
      </c>
    </row>
    <row r="860">
      <c r="A860" s="29">
        <v>45919.68009393518</v>
      </c>
      <c r="B860" s="30">
        <v>45919.0</v>
      </c>
      <c r="C860" s="31" t="s">
        <v>2820</v>
      </c>
      <c r="D860" s="32" t="s">
        <v>2475</v>
      </c>
      <c r="E860" s="31" t="s">
        <v>43</v>
      </c>
      <c r="F860" s="31">
        <v>3000000.0</v>
      </c>
      <c r="G860" s="31" t="s">
        <v>23</v>
      </c>
      <c r="I860" s="31" t="s">
        <v>229</v>
      </c>
      <c r="J860" s="31" t="s">
        <v>967</v>
      </c>
      <c r="K860" s="33" t="s">
        <v>2821</v>
      </c>
      <c r="L860" s="31" t="s">
        <v>202</v>
      </c>
      <c r="N860" s="31" t="s">
        <v>220</v>
      </c>
      <c r="S860" s="31" t="s">
        <v>83</v>
      </c>
    </row>
    <row r="861">
      <c r="A861" s="29">
        <v>45919.68411234954</v>
      </c>
      <c r="B861" s="30">
        <v>45919.0</v>
      </c>
      <c r="C861" s="31" t="s">
        <v>2822</v>
      </c>
      <c r="D861" s="32" t="s">
        <v>2823</v>
      </c>
      <c r="E861" s="31" t="s">
        <v>43</v>
      </c>
      <c r="F861" s="31">
        <v>3000000.0</v>
      </c>
      <c r="G861" s="31" t="s">
        <v>23</v>
      </c>
      <c r="I861" s="31" t="s">
        <v>229</v>
      </c>
      <c r="J861" s="31" t="s">
        <v>600</v>
      </c>
      <c r="K861" s="33" t="s">
        <v>2824</v>
      </c>
      <c r="L861" s="31" t="s">
        <v>202</v>
      </c>
      <c r="N861" s="31" t="s">
        <v>215</v>
      </c>
      <c r="W861" s="31" t="s">
        <v>216</v>
      </c>
    </row>
    <row r="862">
      <c r="A862" s="29">
        <v>45919.684624050926</v>
      </c>
      <c r="B862" s="30">
        <v>45919.0</v>
      </c>
      <c r="C862" s="31" t="s">
        <v>2825</v>
      </c>
      <c r="D862" s="32" t="s">
        <v>2826</v>
      </c>
      <c r="E862" s="31" t="s">
        <v>288</v>
      </c>
      <c r="F862" s="31">
        <v>6000000.0</v>
      </c>
      <c r="G862" s="31" t="s">
        <v>45</v>
      </c>
      <c r="I862" s="31" t="s">
        <v>229</v>
      </c>
      <c r="J862" s="31" t="s">
        <v>967</v>
      </c>
      <c r="K862" s="33" t="s">
        <v>2827</v>
      </c>
      <c r="L862" s="31" t="s">
        <v>252</v>
      </c>
      <c r="O862" s="31" t="s">
        <v>257</v>
      </c>
      <c r="P862" s="31" t="s">
        <v>285</v>
      </c>
    </row>
    <row r="863">
      <c r="A863" s="29">
        <v>45919.68886231481</v>
      </c>
      <c r="B863" s="30">
        <v>45919.0</v>
      </c>
      <c r="C863" s="31" t="s">
        <v>2828</v>
      </c>
      <c r="D863" s="32" t="s">
        <v>2829</v>
      </c>
      <c r="E863" s="31" t="s">
        <v>31</v>
      </c>
      <c r="F863" s="31">
        <v>6100000.0</v>
      </c>
      <c r="G863" s="31" t="s">
        <v>23</v>
      </c>
      <c r="I863" s="31" t="s">
        <v>229</v>
      </c>
      <c r="J863" s="31" t="s">
        <v>967</v>
      </c>
      <c r="K863" s="33" t="s">
        <v>2830</v>
      </c>
      <c r="L863" s="31" t="s">
        <v>202</v>
      </c>
      <c r="N863" s="31" t="s">
        <v>313</v>
      </c>
      <c r="T863" s="31" t="s">
        <v>329</v>
      </c>
    </row>
    <row r="864">
      <c r="A864" s="29">
        <v>45919.696479861115</v>
      </c>
      <c r="B864" s="30">
        <v>45919.0</v>
      </c>
      <c r="C864" s="31" t="s">
        <v>2831</v>
      </c>
      <c r="D864" s="31" t="s">
        <v>2832</v>
      </c>
      <c r="E864" s="31" t="s">
        <v>2833</v>
      </c>
      <c r="F864" s="31">
        <v>9000000.0</v>
      </c>
      <c r="G864" s="31" t="s">
        <v>45</v>
      </c>
      <c r="I864" s="31" t="s">
        <v>229</v>
      </c>
      <c r="J864" s="31" t="s">
        <v>2420</v>
      </c>
      <c r="K864" s="33" t="s">
        <v>2834</v>
      </c>
      <c r="L864" s="31" t="s">
        <v>202</v>
      </c>
      <c r="N864" s="31" t="s">
        <v>215</v>
      </c>
      <c r="W864" s="31" t="s">
        <v>355</v>
      </c>
    </row>
    <row r="865">
      <c r="A865" s="29">
        <v>45919.725399641204</v>
      </c>
      <c r="B865" s="30">
        <v>45919.0</v>
      </c>
      <c r="C865" s="31" t="s">
        <v>2835</v>
      </c>
      <c r="D865" s="32" t="s">
        <v>2836</v>
      </c>
      <c r="E865" s="31" t="s">
        <v>2837</v>
      </c>
      <c r="F865" s="31">
        <v>6800000.0</v>
      </c>
      <c r="G865" s="31" t="s">
        <v>23</v>
      </c>
      <c r="I865" s="31" t="s">
        <v>229</v>
      </c>
      <c r="J865" s="31" t="s">
        <v>967</v>
      </c>
      <c r="K865" s="33" t="s">
        <v>2838</v>
      </c>
      <c r="L865" s="31" t="s">
        <v>202</v>
      </c>
      <c r="N865" s="31" t="s">
        <v>204</v>
      </c>
      <c r="R865" s="31" t="s">
        <v>98</v>
      </c>
    </row>
    <row r="866">
      <c r="A866" s="29">
        <v>45919.73618061343</v>
      </c>
      <c r="B866" s="30">
        <v>45919.0</v>
      </c>
      <c r="C866" s="31" t="s">
        <v>2839</v>
      </c>
      <c r="D866" s="32" t="s">
        <v>2840</v>
      </c>
      <c r="E866" s="31" t="s">
        <v>43</v>
      </c>
      <c r="F866" s="31">
        <v>4400000.0</v>
      </c>
      <c r="G866" s="31" t="s">
        <v>23</v>
      </c>
      <c r="I866" s="31" t="s">
        <v>229</v>
      </c>
      <c r="J866" s="31" t="s">
        <v>967</v>
      </c>
      <c r="K866" s="33" t="s">
        <v>2841</v>
      </c>
      <c r="L866" s="31" t="s">
        <v>202</v>
      </c>
      <c r="N866" s="31" t="s">
        <v>204</v>
      </c>
      <c r="R866" s="31" t="s">
        <v>47</v>
      </c>
    </row>
    <row r="867">
      <c r="A867" s="29">
        <v>45919.755198495375</v>
      </c>
      <c r="B867" s="30">
        <v>45919.0</v>
      </c>
      <c r="C867" s="31" t="s">
        <v>2842</v>
      </c>
      <c r="D867" s="32" t="s">
        <v>2843</v>
      </c>
      <c r="E867" s="31" t="s">
        <v>2844</v>
      </c>
      <c r="F867" s="31">
        <v>3000000.0</v>
      </c>
      <c r="G867" s="31" t="s">
        <v>23</v>
      </c>
      <c r="I867" s="31" t="s">
        <v>229</v>
      </c>
      <c r="J867" s="31" t="s">
        <v>229</v>
      </c>
      <c r="K867" s="33" t="s">
        <v>2845</v>
      </c>
      <c r="L867" s="31" t="s">
        <v>252</v>
      </c>
      <c r="O867" s="31" t="s">
        <v>205</v>
      </c>
      <c r="X867" s="31" t="s">
        <v>253</v>
      </c>
    </row>
    <row r="868">
      <c r="A868" s="29">
        <v>45919.7662570949</v>
      </c>
      <c r="B868" s="30">
        <v>45919.0</v>
      </c>
      <c r="C868" s="31" t="s">
        <v>2846</v>
      </c>
      <c r="D868" s="32" t="s">
        <v>2847</v>
      </c>
      <c r="E868" s="31" t="s">
        <v>43</v>
      </c>
      <c r="F868" s="31">
        <v>2500000.0</v>
      </c>
      <c r="G868" s="31" t="s">
        <v>23</v>
      </c>
      <c r="I868" s="31" t="s">
        <v>229</v>
      </c>
      <c r="J868" s="31" t="s">
        <v>967</v>
      </c>
      <c r="K868" s="33" t="s">
        <v>2848</v>
      </c>
      <c r="L868" s="31" t="s">
        <v>202</v>
      </c>
      <c r="N868" s="31" t="s">
        <v>871</v>
      </c>
      <c r="Q868" s="31" t="s">
        <v>1021</v>
      </c>
    </row>
    <row r="869">
      <c r="A869" s="29">
        <v>45919.774101435185</v>
      </c>
      <c r="B869" s="30">
        <v>45919.0</v>
      </c>
      <c r="C869" s="31" t="s">
        <v>2849</v>
      </c>
      <c r="D869" s="32" t="s">
        <v>2850</v>
      </c>
      <c r="E869" s="31" t="s">
        <v>2851</v>
      </c>
      <c r="F869" s="31">
        <v>4000000.0</v>
      </c>
      <c r="G869" s="31" t="s">
        <v>23</v>
      </c>
      <c r="I869" s="31" t="s">
        <v>229</v>
      </c>
      <c r="J869" s="31" t="s">
        <v>967</v>
      </c>
      <c r="K869" s="33" t="s">
        <v>2852</v>
      </c>
      <c r="L869" s="31" t="s">
        <v>202</v>
      </c>
      <c r="N869" s="31" t="s">
        <v>313</v>
      </c>
      <c r="T869" s="31" t="s">
        <v>384</v>
      </c>
    </row>
    <row r="870">
      <c r="A870" s="29">
        <v>45919.79765622685</v>
      </c>
      <c r="B870" s="30">
        <v>45919.0</v>
      </c>
      <c r="C870" s="31" t="s">
        <v>2853</v>
      </c>
      <c r="D870" s="32" t="s">
        <v>2854</v>
      </c>
      <c r="E870" s="31" t="s">
        <v>43</v>
      </c>
      <c r="F870" s="31">
        <v>5200000.0</v>
      </c>
      <c r="G870" s="31" t="s">
        <v>23</v>
      </c>
      <c r="H870" s="31">
        <v>7000000.0</v>
      </c>
      <c r="I870" s="31" t="s">
        <v>413</v>
      </c>
      <c r="K870" s="33" t="s">
        <v>2855</v>
      </c>
      <c r="L870" s="31" t="s">
        <v>202</v>
      </c>
      <c r="M870" s="31" t="s">
        <v>383</v>
      </c>
      <c r="N870" s="31" t="s">
        <v>220</v>
      </c>
      <c r="S870" s="31" t="s">
        <v>83</v>
      </c>
    </row>
    <row r="871">
      <c r="A871" s="29">
        <v>45919.8054425463</v>
      </c>
      <c r="B871" s="30">
        <v>45919.0</v>
      </c>
      <c r="C871" s="31" t="s">
        <v>2856</v>
      </c>
      <c r="D871" s="32" t="s">
        <v>2857</v>
      </c>
      <c r="E871" s="31" t="s">
        <v>288</v>
      </c>
      <c r="F871" s="31">
        <v>2100000.0</v>
      </c>
      <c r="G871" s="31" t="s">
        <v>23</v>
      </c>
      <c r="I871" s="31" t="s">
        <v>229</v>
      </c>
      <c r="J871" s="31" t="s">
        <v>967</v>
      </c>
      <c r="K871" s="33" t="s">
        <v>2858</v>
      </c>
      <c r="L871" s="31" t="s">
        <v>202</v>
      </c>
      <c r="N871" s="31" t="s">
        <v>204</v>
      </c>
      <c r="R871" s="31" t="s">
        <v>148</v>
      </c>
    </row>
    <row r="872">
      <c r="A872" s="29">
        <v>45919.809067476854</v>
      </c>
      <c r="B872" s="30">
        <v>45919.0</v>
      </c>
      <c r="C872" s="31" t="s">
        <v>2859</v>
      </c>
      <c r="D872" s="32" t="s">
        <v>2860</v>
      </c>
      <c r="E872" s="31" t="s">
        <v>199</v>
      </c>
      <c r="F872" s="31">
        <v>6350000.0</v>
      </c>
      <c r="G872" s="31" t="s">
        <v>45</v>
      </c>
      <c r="I872" s="31" t="s">
        <v>229</v>
      </c>
      <c r="J872" s="31" t="s">
        <v>967</v>
      </c>
      <c r="K872" s="33" t="s">
        <v>2861</v>
      </c>
      <c r="L872" s="31" t="s">
        <v>202</v>
      </c>
      <c r="N872" s="31" t="s">
        <v>204</v>
      </c>
      <c r="R872" s="31" t="s">
        <v>53</v>
      </c>
    </row>
    <row r="873">
      <c r="A873" s="29">
        <v>45919.818207222226</v>
      </c>
      <c r="B873" s="30">
        <v>45919.0</v>
      </c>
      <c r="C873" s="31" t="s">
        <v>2862</v>
      </c>
      <c r="D873" s="32" t="s">
        <v>2863</v>
      </c>
      <c r="E873" s="31" t="s">
        <v>43</v>
      </c>
      <c r="F873" s="31">
        <v>2400000.0</v>
      </c>
      <c r="G873" s="31" t="s">
        <v>23</v>
      </c>
      <c r="I873" s="31" t="s">
        <v>229</v>
      </c>
      <c r="J873" s="31" t="s">
        <v>967</v>
      </c>
      <c r="K873" s="33" t="s">
        <v>2864</v>
      </c>
      <c r="L873" s="31" t="s">
        <v>252</v>
      </c>
      <c r="O873" s="31" t="s">
        <v>205</v>
      </c>
      <c r="X873" s="31" t="s">
        <v>452</v>
      </c>
    </row>
    <row r="874">
      <c r="A874" s="29">
        <v>45919.84593865741</v>
      </c>
      <c r="B874" s="30">
        <v>45919.0</v>
      </c>
      <c r="C874" s="31" t="s">
        <v>2865</v>
      </c>
      <c r="D874" s="32" t="s">
        <v>2866</v>
      </c>
      <c r="E874" s="31" t="s">
        <v>31</v>
      </c>
      <c r="F874" s="31">
        <v>1.7E7</v>
      </c>
      <c r="G874" s="31" t="s">
        <v>23</v>
      </c>
      <c r="I874" s="31" t="s">
        <v>229</v>
      </c>
      <c r="J874" s="31" t="s">
        <v>967</v>
      </c>
      <c r="K874" s="33" t="s">
        <v>2867</v>
      </c>
      <c r="L874" s="31" t="s">
        <v>202</v>
      </c>
      <c r="N874" s="31" t="s">
        <v>204</v>
      </c>
      <c r="R874" s="31" t="s">
        <v>471</v>
      </c>
    </row>
    <row r="875">
      <c r="A875" s="29">
        <v>45919.86632782407</v>
      </c>
      <c r="B875" s="30">
        <v>45919.0</v>
      </c>
      <c r="C875" s="31" t="s">
        <v>2868</v>
      </c>
      <c r="D875" s="32" t="s">
        <v>2869</v>
      </c>
      <c r="E875" s="31" t="s">
        <v>228</v>
      </c>
      <c r="F875" s="31">
        <v>5000000.0</v>
      </c>
      <c r="G875" s="31" t="s">
        <v>23</v>
      </c>
      <c r="I875" s="31" t="s">
        <v>229</v>
      </c>
      <c r="J875" s="31" t="s">
        <v>967</v>
      </c>
      <c r="K875" s="33" t="s">
        <v>2870</v>
      </c>
      <c r="L875" s="31" t="s">
        <v>202</v>
      </c>
      <c r="N875" s="31" t="s">
        <v>204</v>
      </c>
      <c r="R875" s="31" t="s">
        <v>28</v>
      </c>
    </row>
    <row r="876">
      <c r="A876" s="29">
        <v>45920.420760636574</v>
      </c>
      <c r="B876" s="30">
        <v>45920.0</v>
      </c>
      <c r="C876" s="31" t="s">
        <v>2871</v>
      </c>
      <c r="D876" s="32" t="s">
        <v>2872</v>
      </c>
      <c r="E876" s="31" t="s">
        <v>31</v>
      </c>
      <c r="F876" s="31">
        <v>5500000.0</v>
      </c>
      <c r="G876" s="31" t="s">
        <v>23</v>
      </c>
      <c r="I876" s="31" t="s">
        <v>229</v>
      </c>
      <c r="J876" s="31" t="s">
        <v>967</v>
      </c>
      <c r="K876" s="33" t="s">
        <v>2873</v>
      </c>
      <c r="L876" s="31" t="s">
        <v>202</v>
      </c>
      <c r="N876" s="31" t="s">
        <v>204</v>
      </c>
      <c r="R876" s="31" t="s">
        <v>207</v>
      </c>
    </row>
    <row r="877">
      <c r="A877" s="29">
        <v>45920.44198746528</v>
      </c>
      <c r="B877" s="30">
        <v>45920.0</v>
      </c>
      <c r="C877" s="31" t="s">
        <v>2874</v>
      </c>
      <c r="D877" s="32" t="s">
        <v>2875</v>
      </c>
      <c r="E877" s="31" t="s">
        <v>2876</v>
      </c>
      <c r="F877" s="31">
        <v>5000000.0</v>
      </c>
      <c r="G877" s="31" t="s">
        <v>23</v>
      </c>
      <c r="I877" s="31" t="s">
        <v>229</v>
      </c>
      <c r="J877" s="31" t="s">
        <v>967</v>
      </c>
      <c r="K877" s="33" t="s">
        <v>2877</v>
      </c>
      <c r="L877" s="31" t="s">
        <v>202</v>
      </c>
      <c r="N877" s="31" t="s">
        <v>313</v>
      </c>
      <c r="T877" s="31" t="s">
        <v>384</v>
      </c>
    </row>
    <row r="878">
      <c r="A878" s="29">
        <v>45920.498794444444</v>
      </c>
      <c r="B878" s="30">
        <v>45920.0</v>
      </c>
      <c r="C878" s="31" t="s">
        <v>2878</v>
      </c>
      <c r="D878" s="32" t="s">
        <v>2879</v>
      </c>
      <c r="E878" s="31" t="s">
        <v>2880</v>
      </c>
      <c r="F878" s="31">
        <v>3000000.0</v>
      </c>
      <c r="G878" s="31" t="s">
        <v>23</v>
      </c>
      <c r="I878" s="31" t="s">
        <v>229</v>
      </c>
      <c r="J878" s="31" t="s">
        <v>967</v>
      </c>
      <c r="K878" s="33" t="s">
        <v>2881</v>
      </c>
      <c r="L878" s="31" t="s">
        <v>202</v>
      </c>
      <c r="N878" s="31" t="s">
        <v>313</v>
      </c>
      <c r="T878" s="31" t="s">
        <v>384</v>
      </c>
    </row>
    <row r="879">
      <c r="A879" s="29">
        <v>45920.50370693287</v>
      </c>
      <c r="B879" s="30">
        <v>45920.0</v>
      </c>
      <c r="C879" s="31" t="s">
        <v>2882</v>
      </c>
      <c r="D879" s="32" t="s">
        <v>2883</v>
      </c>
      <c r="E879" s="31" t="s">
        <v>93</v>
      </c>
      <c r="F879" s="31">
        <v>6000000.0</v>
      </c>
      <c r="G879" s="31" t="s">
        <v>23</v>
      </c>
      <c r="I879" s="31" t="s">
        <v>229</v>
      </c>
      <c r="J879" s="31" t="s">
        <v>967</v>
      </c>
      <c r="K879" s="33" t="s">
        <v>2884</v>
      </c>
      <c r="L879" s="31" t="s">
        <v>202</v>
      </c>
      <c r="N879" s="31" t="s">
        <v>204</v>
      </c>
      <c r="R879" s="31" t="s">
        <v>98</v>
      </c>
    </row>
    <row r="880">
      <c r="A880" s="29">
        <v>45920.5794443287</v>
      </c>
      <c r="B880" s="30">
        <v>45919.0</v>
      </c>
      <c r="C880" s="31" t="s">
        <v>2885</v>
      </c>
      <c r="D880" s="32" t="s">
        <v>2886</v>
      </c>
      <c r="E880" s="31" t="s">
        <v>228</v>
      </c>
      <c r="F880" s="31">
        <v>6000000.0</v>
      </c>
      <c r="G880" s="31" t="s">
        <v>23</v>
      </c>
      <c r="I880" s="31" t="s">
        <v>229</v>
      </c>
      <c r="J880" s="31" t="s">
        <v>967</v>
      </c>
      <c r="K880" s="33" t="s">
        <v>2887</v>
      </c>
      <c r="L880" s="31" t="s">
        <v>202</v>
      </c>
      <c r="N880" s="31" t="s">
        <v>220</v>
      </c>
      <c r="S880" s="31" t="s">
        <v>1406</v>
      </c>
    </row>
    <row r="881">
      <c r="A881" s="29">
        <v>45920.58139395833</v>
      </c>
      <c r="B881" s="30">
        <v>45920.0</v>
      </c>
      <c r="C881" s="31" t="s">
        <v>2888</v>
      </c>
      <c r="D881" s="32" t="s">
        <v>2889</v>
      </c>
      <c r="E881" s="31" t="s">
        <v>2315</v>
      </c>
      <c r="F881" s="31">
        <v>6000000.0</v>
      </c>
      <c r="G881" s="31" t="s">
        <v>23</v>
      </c>
      <c r="I881" s="31" t="s">
        <v>229</v>
      </c>
      <c r="J881" s="31" t="s">
        <v>967</v>
      </c>
      <c r="K881" s="33" t="s">
        <v>2890</v>
      </c>
      <c r="L881" s="31" t="s">
        <v>202</v>
      </c>
      <c r="N881" s="31" t="s">
        <v>220</v>
      </c>
      <c r="S881" s="31" t="s">
        <v>1406</v>
      </c>
    </row>
    <row r="882">
      <c r="A882" s="29">
        <v>45920.60554071759</v>
      </c>
      <c r="B882" s="30">
        <v>45920.0</v>
      </c>
      <c r="C882" s="31" t="s">
        <v>2891</v>
      </c>
      <c r="D882" s="32" t="s">
        <v>2892</v>
      </c>
      <c r="E882" s="31" t="s">
        <v>31</v>
      </c>
      <c r="F882" s="31">
        <v>3000000.0</v>
      </c>
      <c r="G882" s="31" t="s">
        <v>23</v>
      </c>
      <c r="H882" s="31">
        <v>3000000.0</v>
      </c>
      <c r="I882" s="31" t="s">
        <v>200</v>
      </c>
      <c r="K882" s="33" t="s">
        <v>2893</v>
      </c>
      <c r="L882" s="31" t="s">
        <v>202</v>
      </c>
      <c r="M882" s="31" t="s">
        <v>203</v>
      </c>
      <c r="N882" s="31" t="s">
        <v>215</v>
      </c>
      <c r="W882" s="31" t="s">
        <v>216</v>
      </c>
    </row>
    <row r="883">
      <c r="A883" s="29">
        <v>45920.61951150463</v>
      </c>
      <c r="B883" s="30">
        <v>45920.0</v>
      </c>
      <c r="C883" s="31" t="s">
        <v>2894</v>
      </c>
      <c r="D883" s="32" t="s">
        <v>2895</v>
      </c>
      <c r="E883" s="31" t="s">
        <v>228</v>
      </c>
      <c r="F883" s="31">
        <v>7000000.0</v>
      </c>
      <c r="G883" s="31" t="s">
        <v>23</v>
      </c>
      <c r="I883" s="31" t="s">
        <v>229</v>
      </c>
      <c r="J883" s="31" t="s">
        <v>967</v>
      </c>
      <c r="K883" s="33" t="s">
        <v>2896</v>
      </c>
      <c r="L883" s="31" t="s">
        <v>202</v>
      </c>
      <c r="N883" s="31" t="s">
        <v>220</v>
      </c>
      <c r="S883" s="31" t="s">
        <v>1406</v>
      </c>
    </row>
    <row r="884">
      <c r="A884" s="29">
        <v>45920.65652125</v>
      </c>
      <c r="B884" s="30">
        <v>45920.0</v>
      </c>
      <c r="C884" s="31" t="s">
        <v>2897</v>
      </c>
      <c r="D884" s="32" t="s">
        <v>2898</v>
      </c>
      <c r="E884" s="31" t="s">
        <v>43</v>
      </c>
      <c r="F884" s="31">
        <v>4900000.0</v>
      </c>
      <c r="G884" s="31" t="s">
        <v>23</v>
      </c>
      <c r="I884" s="31" t="s">
        <v>229</v>
      </c>
      <c r="J884" s="31" t="s">
        <v>967</v>
      </c>
      <c r="K884" s="33" t="s">
        <v>2899</v>
      </c>
      <c r="L884" s="31" t="s">
        <v>202</v>
      </c>
      <c r="N884" s="31" t="s">
        <v>220</v>
      </c>
      <c r="S884" s="31" t="s">
        <v>59</v>
      </c>
    </row>
    <row r="885">
      <c r="A885" s="29">
        <v>45920.66731739583</v>
      </c>
      <c r="B885" s="30">
        <v>45920.0</v>
      </c>
      <c r="C885" s="31" t="s">
        <v>2900</v>
      </c>
      <c r="D885" s="32" t="s">
        <v>2901</v>
      </c>
      <c r="E885" s="31" t="s">
        <v>2902</v>
      </c>
      <c r="F885" s="31">
        <v>5100000.0</v>
      </c>
      <c r="G885" s="31" t="s">
        <v>23</v>
      </c>
      <c r="I885" s="31" t="s">
        <v>229</v>
      </c>
      <c r="J885" s="31" t="s">
        <v>967</v>
      </c>
      <c r="K885" s="33" t="s">
        <v>2903</v>
      </c>
      <c r="L885" s="31" t="s">
        <v>202</v>
      </c>
      <c r="N885" s="31" t="s">
        <v>220</v>
      </c>
      <c r="S885" s="31" t="s">
        <v>36</v>
      </c>
    </row>
    <row r="886">
      <c r="A886" s="29">
        <v>45920.70218881944</v>
      </c>
      <c r="B886" s="30">
        <v>45920.0</v>
      </c>
      <c r="C886" s="31" t="s">
        <v>2882</v>
      </c>
      <c r="D886" s="32" t="s">
        <v>2883</v>
      </c>
      <c r="E886" s="31" t="s">
        <v>31</v>
      </c>
      <c r="F886" s="31">
        <v>2500000.0</v>
      </c>
      <c r="G886" s="31" t="s">
        <v>23</v>
      </c>
      <c r="I886" s="31" t="s">
        <v>229</v>
      </c>
      <c r="J886" s="31" t="s">
        <v>967</v>
      </c>
      <c r="K886" s="33" t="s">
        <v>2904</v>
      </c>
      <c r="L886" s="31" t="s">
        <v>202</v>
      </c>
      <c r="N886" s="31" t="s">
        <v>204</v>
      </c>
      <c r="R886" s="31" t="s">
        <v>148</v>
      </c>
    </row>
    <row r="887">
      <c r="A887" s="29">
        <v>45920.7035471875</v>
      </c>
      <c r="B887" s="30">
        <v>45920.0</v>
      </c>
      <c r="C887" s="31" t="s">
        <v>2905</v>
      </c>
      <c r="D887" s="32" t="s">
        <v>2906</v>
      </c>
      <c r="E887" s="31" t="s">
        <v>31</v>
      </c>
      <c r="F887" s="31">
        <v>2500000.0</v>
      </c>
      <c r="G887" s="31" t="s">
        <v>23</v>
      </c>
      <c r="I887" s="31" t="s">
        <v>229</v>
      </c>
      <c r="J887" s="31" t="s">
        <v>967</v>
      </c>
      <c r="K887" s="33" t="s">
        <v>2907</v>
      </c>
      <c r="L887" s="31" t="s">
        <v>202</v>
      </c>
      <c r="N887" s="31" t="s">
        <v>204</v>
      </c>
      <c r="R887" s="31" t="s">
        <v>148</v>
      </c>
    </row>
    <row r="888">
      <c r="A888" s="29">
        <v>45920.72322248842</v>
      </c>
      <c r="B888" s="30">
        <v>45920.0</v>
      </c>
      <c r="C888" s="31" t="s">
        <v>2908</v>
      </c>
      <c r="D888" s="32" t="s">
        <v>2909</v>
      </c>
      <c r="E888" s="31" t="s">
        <v>43</v>
      </c>
      <c r="F888" s="31">
        <v>2100000.0</v>
      </c>
      <c r="G888" s="31" t="s">
        <v>23</v>
      </c>
      <c r="I888" s="31" t="s">
        <v>229</v>
      </c>
      <c r="J888" s="31" t="s">
        <v>967</v>
      </c>
      <c r="K888" s="33" t="s">
        <v>2910</v>
      </c>
      <c r="L888" s="31" t="s">
        <v>202</v>
      </c>
      <c r="N888" s="31" t="s">
        <v>871</v>
      </c>
      <c r="Q888" s="31" t="s">
        <v>1021</v>
      </c>
    </row>
    <row r="889">
      <c r="A889" s="29">
        <v>45920.76648060185</v>
      </c>
      <c r="B889" s="30">
        <v>45920.0</v>
      </c>
      <c r="C889" s="31" t="s">
        <v>2911</v>
      </c>
      <c r="D889" s="32" t="s">
        <v>2912</v>
      </c>
      <c r="E889" s="31" t="s">
        <v>31</v>
      </c>
      <c r="F889" s="31">
        <v>3200000.0</v>
      </c>
      <c r="G889" s="31" t="s">
        <v>23</v>
      </c>
      <c r="I889" s="31" t="s">
        <v>229</v>
      </c>
      <c r="J889" s="31" t="s">
        <v>967</v>
      </c>
      <c r="K889" s="33" t="s">
        <v>2913</v>
      </c>
      <c r="L889" s="31" t="s">
        <v>202</v>
      </c>
      <c r="N889" s="31" t="s">
        <v>204</v>
      </c>
      <c r="R889" s="31" t="s">
        <v>148</v>
      </c>
    </row>
    <row r="890">
      <c r="A890" s="29">
        <v>45920.79096940972</v>
      </c>
      <c r="B890" s="30">
        <v>45920.0</v>
      </c>
      <c r="C890" s="31" t="s">
        <v>2914</v>
      </c>
      <c r="D890" s="31">
        <v>0.0</v>
      </c>
      <c r="E890" s="31" t="s">
        <v>228</v>
      </c>
      <c r="F890" s="31">
        <v>1000000.0</v>
      </c>
      <c r="G890" s="31" t="s">
        <v>23</v>
      </c>
      <c r="H890" s="31">
        <v>3000000.0</v>
      </c>
      <c r="I890" s="31" t="s">
        <v>200</v>
      </c>
      <c r="K890" s="33" t="s">
        <v>2915</v>
      </c>
      <c r="L890" s="31" t="s">
        <v>252</v>
      </c>
      <c r="M890" s="31" t="s">
        <v>203</v>
      </c>
      <c r="O890" s="31" t="s">
        <v>257</v>
      </c>
      <c r="P890" s="31" t="s">
        <v>992</v>
      </c>
    </row>
    <row r="891">
      <c r="A891" s="29">
        <v>45920.81334172454</v>
      </c>
      <c r="B891" s="30">
        <v>45920.0</v>
      </c>
      <c r="C891" s="31" t="s">
        <v>2916</v>
      </c>
      <c r="D891" s="32" t="s">
        <v>2917</v>
      </c>
      <c r="E891" s="31" t="s">
        <v>239</v>
      </c>
      <c r="F891" s="31">
        <v>3000000.0</v>
      </c>
      <c r="G891" s="31" t="s">
        <v>23</v>
      </c>
      <c r="I891" s="31" t="s">
        <v>229</v>
      </c>
      <c r="J891" s="31" t="s">
        <v>387</v>
      </c>
      <c r="K891" s="33" t="s">
        <v>2918</v>
      </c>
      <c r="L891" s="31" t="s">
        <v>202</v>
      </c>
      <c r="N891" s="31" t="s">
        <v>215</v>
      </c>
      <c r="W891" s="31" t="s">
        <v>389</v>
      </c>
    </row>
    <row r="892">
      <c r="A892" s="29">
        <v>45920.81724373843</v>
      </c>
      <c r="B892" s="30">
        <v>45920.0</v>
      </c>
      <c r="C892" s="31" t="s">
        <v>2919</v>
      </c>
      <c r="D892" s="32" t="s">
        <v>2920</v>
      </c>
      <c r="E892" s="31" t="s">
        <v>43</v>
      </c>
      <c r="F892" s="31">
        <v>4000000.0</v>
      </c>
      <c r="G892" s="31" t="s">
        <v>23</v>
      </c>
      <c r="H892" s="31">
        <v>3000000.0</v>
      </c>
      <c r="I892" s="31" t="s">
        <v>413</v>
      </c>
      <c r="K892" s="33" t="s">
        <v>2921</v>
      </c>
      <c r="L892" s="31" t="s">
        <v>202</v>
      </c>
      <c r="M892" s="31" t="s">
        <v>203</v>
      </c>
      <c r="N892" s="31" t="s">
        <v>871</v>
      </c>
      <c r="Q892" s="31" t="s">
        <v>1021</v>
      </c>
    </row>
    <row r="893">
      <c r="A893" s="29">
        <v>45920.82464994213</v>
      </c>
      <c r="B893" s="30">
        <v>45920.0</v>
      </c>
      <c r="C893" s="31" t="s">
        <v>2922</v>
      </c>
      <c r="D893" s="32" t="s">
        <v>2923</v>
      </c>
      <c r="E893" s="31" t="s">
        <v>43</v>
      </c>
      <c r="F893" s="31">
        <v>4700000.0</v>
      </c>
      <c r="G893" s="31" t="s">
        <v>23</v>
      </c>
      <c r="H893" s="31">
        <v>3000000.0</v>
      </c>
      <c r="I893" s="31" t="s">
        <v>200</v>
      </c>
      <c r="K893" s="33" t="s">
        <v>2924</v>
      </c>
      <c r="L893" s="31" t="s">
        <v>202</v>
      </c>
      <c r="M893" s="31" t="s">
        <v>203</v>
      </c>
      <c r="N893" s="31" t="s">
        <v>667</v>
      </c>
      <c r="U893" s="31" t="s">
        <v>668</v>
      </c>
    </row>
    <row r="894">
      <c r="A894" s="29">
        <v>45920.84448484954</v>
      </c>
      <c r="B894" s="30">
        <v>45920.0</v>
      </c>
      <c r="C894" s="31" t="s">
        <v>2925</v>
      </c>
      <c r="D894" s="32" t="s">
        <v>907</v>
      </c>
      <c r="E894" s="31" t="s">
        <v>957</v>
      </c>
      <c r="F894" s="31">
        <v>2000000.0</v>
      </c>
      <c r="G894" s="31" t="s">
        <v>23</v>
      </c>
      <c r="I894" s="31" t="s">
        <v>229</v>
      </c>
      <c r="J894" s="31" t="s">
        <v>967</v>
      </c>
      <c r="K894" s="33" t="s">
        <v>2926</v>
      </c>
      <c r="L894" s="31" t="s">
        <v>202</v>
      </c>
      <c r="N894" s="31" t="s">
        <v>215</v>
      </c>
      <c r="W894" s="31" t="s">
        <v>532</v>
      </c>
    </row>
    <row r="895">
      <c r="A895" s="29">
        <v>45920.84511672454</v>
      </c>
      <c r="B895" s="30">
        <v>45920.0</v>
      </c>
      <c r="C895" s="31" t="s">
        <v>2927</v>
      </c>
      <c r="D895" s="32" t="s">
        <v>2928</v>
      </c>
      <c r="E895" s="31" t="s">
        <v>31</v>
      </c>
      <c r="F895" s="31">
        <v>6200000.0</v>
      </c>
      <c r="G895" s="31" t="s">
        <v>23</v>
      </c>
      <c r="I895" s="31" t="s">
        <v>229</v>
      </c>
      <c r="J895" s="31" t="s">
        <v>967</v>
      </c>
      <c r="K895" s="33" t="s">
        <v>2929</v>
      </c>
      <c r="L895" s="31" t="s">
        <v>202</v>
      </c>
      <c r="N895" s="31" t="s">
        <v>204</v>
      </c>
      <c r="R895" s="31" t="s">
        <v>53</v>
      </c>
    </row>
    <row r="896">
      <c r="A896" s="29">
        <v>45920.858363761574</v>
      </c>
      <c r="B896" s="30">
        <v>45920.0</v>
      </c>
      <c r="C896" s="31" t="s">
        <v>2930</v>
      </c>
      <c r="D896" s="32" t="s">
        <v>2931</v>
      </c>
      <c r="E896" s="31" t="s">
        <v>283</v>
      </c>
      <c r="F896" s="31">
        <v>1500000.0</v>
      </c>
      <c r="G896" s="31" t="s">
        <v>23</v>
      </c>
      <c r="I896" s="31" t="s">
        <v>229</v>
      </c>
      <c r="J896" s="31" t="s">
        <v>165</v>
      </c>
      <c r="K896" s="33" t="s">
        <v>2932</v>
      </c>
      <c r="L896" s="31" t="s">
        <v>202</v>
      </c>
      <c r="N896" s="31" t="s">
        <v>220</v>
      </c>
      <c r="S896" s="31" t="s">
        <v>913</v>
      </c>
    </row>
    <row r="897">
      <c r="A897" s="29">
        <v>45920.86117715278</v>
      </c>
      <c r="B897" s="30">
        <v>45920.0</v>
      </c>
      <c r="C897" s="31" t="s">
        <v>2933</v>
      </c>
      <c r="D897" s="32" t="s">
        <v>2934</v>
      </c>
      <c r="E897" s="31" t="s">
        <v>43</v>
      </c>
      <c r="F897" s="31">
        <v>2500000.0</v>
      </c>
      <c r="G897" s="31" t="s">
        <v>23</v>
      </c>
      <c r="I897" s="31" t="s">
        <v>229</v>
      </c>
      <c r="J897" s="31" t="s">
        <v>967</v>
      </c>
      <c r="K897" s="33" t="s">
        <v>2935</v>
      </c>
      <c r="L897" s="31" t="s">
        <v>202</v>
      </c>
      <c r="N897" s="31" t="s">
        <v>204</v>
      </c>
      <c r="R897" s="31" t="s">
        <v>148</v>
      </c>
    </row>
    <row r="898">
      <c r="A898" s="29">
        <v>45920.86181650463</v>
      </c>
      <c r="B898" s="30">
        <v>45920.0</v>
      </c>
      <c r="C898" s="31" t="s">
        <v>2936</v>
      </c>
      <c r="D898" s="32" t="s">
        <v>2937</v>
      </c>
      <c r="E898" s="31" t="s">
        <v>493</v>
      </c>
      <c r="F898" s="31">
        <v>3000000.0</v>
      </c>
      <c r="G898" s="31" t="s">
        <v>23</v>
      </c>
      <c r="I898" s="31" t="s">
        <v>229</v>
      </c>
      <c r="J898" s="31" t="s">
        <v>967</v>
      </c>
      <c r="K898" s="33" t="s">
        <v>2938</v>
      </c>
      <c r="L898" s="31" t="s">
        <v>202</v>
      </c>
      <c r="N898" s="31" t="s">
        <v>204</v>
      </c>
      <c r="R898" s="31" t="s">
        <v>28</v>
      </c>
    </row>
    <row r="899">
      <c r="A899" s="29">
        <v>45921.4503507176</v>
      </c>
      <c r="B899" s="30">
        <v>45921.0</v>
      </c>
      <c r="C899" s="31" t="s">
        <v>2939</v>
      </c>
      <c r="D899" s="32" t="s">
        <v>162</v>
      </c>
      <c r="E899" s="31" t="s">
        <v>288</v>
      </c>
      <c r="F899" s="34">
        <v>9000.0</v>
      </c>
      <c r="G899" s="31" t="s">
        <v>23</v>
      </c>
      <c r="I899" s="31" t="s">
        <v>229</v>
      </c>
      <c r="J899" s="31" t="s">
        <v>967</v>
      </c>
      <c r="K899" s="33" t="s">
        <v>2940</v>
      </c>
      <c r="L899" s="31" t="s">
        <v>202</v>
      </c>
      <c r="N899" s="31" t="s">
        <v>204</v>
      </c>
      <c r="R899" s="31" t="s">
        <v>167</v>
      </c>
    </row>
    <row r="900">
      <c r="A900" s="29">
        <v>45921.55621809028</v>
      </c>
      <c r="B900" s="30">
        <v>45921.0</v>
      </c>
      <c r="C900" s="31" t="s">
        <v>2941</v>
      </c>
      <c r="D900" s="32" t="s">
        <v>2942</v>
      </c>
      <c r="E900" s="31" t="s">
        <v>43</v>
      </c>
      <c r="F900" s="31">
        <v>3200000.0</v>
      </c>
      <c r="G900" s="31" t="s">
        <v>23</v>
      </c>
      <c r="I900" s="31" t="s">
        <v>229</v>
      </c>
      <c r="J900" s="31" t="s">
        <v>967</v>
      </c>
      <c r="K900" s="33" t="s">
        <v>2943</v>
      </c>
      <c r="L900" s="31" t="s">
        <v>252</v>
      </c>
      <c r="O900" s="31" t="s">
        <v>205</v>
      </c>
      <c r="X900" s="31" t="s">
        <v>452</v>
      </c>
    </row>
    <row r="901">
      <c r="A901" s="29">
        <v>45921.5883871875</v>
      </c>
      <c r="B901" s="30">
        <v>45921.0</v>
      </c>
      <c r="C901" s="31" t="s">
        <v>2944</v>
      </c>
      <c r="D901" s="32" t="s">
        <v>2945</v>
      </c>
      <c r="E901" s="31" t="s">
        <v>199</v>
      </c>
      <c r="F901" s="31">
        <v>4200000.0</v>
      </c>
      <c r="G901" s="31" t="s">
        <v>45</v>
      </c>
      <c r="H901" s="31">
        <v>5000000.0</v>
      </c>
      <c r="I901" s="31" t="s">
        <v>200</v>
      </c>
      <c r="K901" s="33" t="s">
        <v>2946</v>
      </c>
      <c r="L901" s="31" t="s">
        <v>252</v>
      </c>
      <c r="M901" s="31" t="s">
        <v>203</v>
      </c>
      <c r="O901" s="31" t="s">
        <v>205</v>
      </c>
      <c r="X901" s="31" t="s">
        <v>452</v>
      </c>
    </row>
    <row r="902">
      <c r="A902" s="29">
        <v>45921.664887604165</v>
      </c>
      <c r="B902" s="30">
        <v>45921.0</v>
      </c>
      <c r="C902" s="31" t="s">
        <v>2947</v>
      </c>
      <c r="D902" s="32" t="s">
        <v>2948</v>
      </c>
      <c r="E902" s="31" t="s">
        <v>43</v>
      </c>
      <c r="F902" s="31">
        <v>5500000.0</v>
      </c>
      <c r="G902" s="31" t="s">
        <v>23</v>
      </c>
      <c r="I902" s="31" t="s">
        <v>229</v>
      </c>
      <c r="J902" s="31" t="s">
        <v>967</v>
      </c>
      <c r="K902" s="33" t="s">
        <v>2949</v>
      </c>
      <c r="L902" s="31" t="s">
        <v>202</v>
      </c>
      <c r="N902" s="31" t="s">
        <v>313</v>
      </c>
      <c r="T902" s="31" t="s">
        <v>329</v>
      </c>
    </row>
    <row r="903">
      <c r="A903" s="29">
        <v>45921.69277194444</v>
      </c>
      <c r="B903" s="30">
        <v>45921.0</v>
      </c>
      <c r="C903" s="31" t="s">
        <v>2950</v>
      </c>
      <c r="D903" s="32" t="s">
        <v>2951</v>
      </c>
      <c r="E903" s="31" t="s">
        <v>43</v>
      </c>
      <c r="F903" s="31">
        <v>2100000.0</v>
      </c>
      <c r="G903" s="31" t="s">
        <v>23</v>
      </c>
      <c r="I903" s="31" t="s">
        <v>229</v>
      </c>
      <c r="J903" s="31" t="s">
        <v>967</v>
      </c>
      <c r="K903" s="33" t="s">
        <v>2952</v>
      </c>
      <c r="L903" s="31" t="s">
        <v>252</v>
      </c>
      <c r="O903" s="31" t="s">
        <v>205</v>
      </c>
      <c r="X903" s="31" t="s">
        <v>452</v>
      </c>
    </row>
    <row r="904">
      <c r="A904" s="29">
        <v>45921.728007384256</v>
      </c>
      <c r="B904" s="30">
        <v>45921.0</v>
      </c>
      <c r="C904" s="31" t="s">
        <v>2953</v>
      </c>
      <c r="D904" s="31">
        <v>0.0</v>
      </c>
      <c r="E904" s="31" t="s">
        <v>239</v>
      </c>
      <c r="F904" s="31">
        <v>1000000.0</v>
      </c>
      <c r="G904" s="31" t="s">
        <v>23</v>
      </c>
      <c r="I904" s="31" t="s">
        <v>229</v>
      </c>
      <c r="J904" s="31" t="s">
        <v>967</v>
      </c>
      <c r="K904" s="33" t="s">
        <v>2954</v>
      </c>
      <c r="L904" s="31" t="s">
        <v>252</v>
      </c>
      <c r="O904" s="31" t="s">
        <v>257</v>
      </c>
      <c r="P904" s="31" t="s">
        <v>992</v>
      </c>
    </row>
    <row r="905">
      <c r="A905" s="29">
        <v>45921.73159983796</v>
      </c>
      <c r="B905" s="30">
        <v>45921.0</v>
      </c>
      <c r="C905" s="31" t="s">
        <v>2955</v>
      </c>
      <c r="D905" s="32" t="s">
        <v>2956</v>
      </c>
      <c r="E905" s="31" t="s">
        <v>283</v>
      </c>
      <c r="F905" s="31">
        <v>8000000.0</v>
      </c>
      <c r="G905" s="31" t="s">
        <v>23</v>
      </c>
      <c r="I905" s="31" t="s">
        <v>229</v>
      </c>
      <c r="J905" s="31" t="s">
        <v>967</v>
      </c>
      <c r="K905" s="33" t="s">
        <v>2957</v>
      </c>
      <c r="L905" s="31" t="s">
        <v>252</v>
      </c>
      <c r="O905" s="31" t="s">
        <v>257</v>
      </c>
      <c r="P905" s="31" t="s">
        <v>272</v>
      </c>
    </row>
    <row r="906">
      <c r="A906" s="29">
        <v>45921.78445614583</v>
      </c>
      <c r="B906" s="30">
        <v>45921.0</v>
      </c>
      <c r="C906" s="31" t="s">
        <v>2958</v>
      </c>
      <c r="D906" s="32" t="s">
        <v>2959</v>
      </c>
      <c r="E906" s="31" t="s">
        <v>43</v>
      </c>
      <c r="F906" s="31">
        <v>4300000.0</v>
      </c>
      <c r="G906" s="31" t="s">
        <v>23</v>
      </c>
      <c r="I906" s="31" t="s">
        <v>229</v>
      </c>
      <c r="J906" s="31" t="s">
        <v>967</v>
      </c>
      <c r="K906" s="33" t="s">
        <v>2960</v>
      </c>
      <c r="L906" s="31" t="s">
        <v>202</v>
      </c>
      <c r="N906" s="31" t="s">
        <v>204</v>
      </c>
      <c r="R906" s="31" t="s">
        <v>148</v>
      </c>
    </row>
    <row r="907">
      <c r="A907" s="29">
        <v>45921.788633414355</v>
      </c>
      <c r="B907" s="30">
        <v>45921.0</v>
      </c>
      <c r="C907" s="31" t="s">
        <v>2961</v>
      </c>
      <c r="D907" s="32" t="s">
        <v>2962</v>
      </c>
      <c r="E907" s="31" t="s">
        <v>239</v>
      </c>
      <c r="F907" s="31">
        <v>2500000.0</v>
      </c>
      <c r="G907" s="31" t="s">
        <v>23</v>
      </c>
      <c r="I907" s="31" t="s">
        <v>229</v>
      </c>
      <c r="J907" s="31" t="s">
        <v>967</v>
      </c>
      <c r="K907" s="33" t="s">
        <v>2963</v>
      </c>
      <c r="L907" s="31" t="s">
        <v>202</v>
      </c>
      <c r="N907" s="31" t="s">
        <v>204</v>
      </c>
      <c r="R907" s="31" t="s">
        <v>892</v>
      </c>
    </row>
    <row r="908">
      <c r="A908" s="29">
        <v>45921.88309456018</v>
      </c>
      <c r="B908" s="30">
        <v>45921.0</v>
      </c>
      <c r="C908" s="31" t="s">
        <v>2964</v>
      </c>
      <c r="D908" s="32" t="s">
        <v>2965</v>
      </c>
      <c r="E908" s="31" t="s">
        <v>43</v>
      </c>
      <c r="F908" s="31">
        <v>7000000.0</v>
      </c>
      <c r="G908" s="31" t="s">
        <v>23</v>
      </c>
      <c r="I908" s="31" t="s">
        <v>229</v>
      </c>
      <c r="J908" s="31" t="s">
        <v>967</v>
      </c>
      <c r="K908" s="33" t="s">
        <v>2966</v>
      </c>
      <c r="L908" s="31" t="s">
        <v>202</v>
      </c>
      <c r="N908" s="31" t="s">
        <v>220</v>
      </c>
      <c r="S908" s="31" t="s">
        <v>1406</v>
      </c>
    </row>
    <row r="909">
      <c r="A909" s="29">
        <v>45921.90648525463</v>
      </c>
      <c r="B909" s="30">
        <v>45921.0</v>
      </c>
      <c r="C909" s="31" t="s">
        <v>2967</v>
      </c>
      <c r="D909" s="31" t="s">
        <v>2968</v>
      </c>
      <c r="E909" s="31" t="s">
        <v>43</v>
      </c>
      <c r="F909" s="31">
        <v>2500000.0</v>
      </c>
      <c r="G909" s="31" t="s">
        <v>23</v>
      </c>
      <c r="H909" s="31">
        <v>3000000.0</v>
      </c>
      <c r="I909" s="31" t="s">
        <v>413</v>
      </c>
      <c r="K909" s="33" t="s">
        <v>2969</v>
      </c>
      <c r="L909" s="31" t="s">
        <v>202</v>
      </c>
      <c r="M909" s="31" t="s">
        <v>203</v>
      </c>
      <c r="N909" s="31" t="s">
        <v>204</v>
      </c>
      <c r="R909" s="31" t="s">
        <v>892</v>
      </c>
    </row>
    <row r="910">
      <c r="A910" s="29">
        <v>45921.92053310185</v>
      </c>
      <c r="B910" s="30">
        <v>45921.0</v>
      </c>
      <c r="C910" s="31" t="s">
        <v>2970</v>
      </c>
      <c r="D910" s="32" t="s">
        <v>2971</v>
      </c>
      <c r="E910" s="31" t="s">
        <v>288</v>
      </c>
      <c r="F910" s="34">
        <v>5000.0</v>
      </c>
      <c r="G910" s="31" t="s">
        <v>23</v>
      </c>
      <c r="I910" s="31" t="s">
        <v>229</v>
      </c>
      <c r="J910" s="31" t="s">
        <v>967</v>
      </c>
      <c r="K910" s="33" t="s">
        <v>2972</v>
      </c>
      <c r="L910" s="31" t="s">
        <v>202</v>
      </c>
      <c r="N910" s="31" t="s">
        <v>204</v>
      </c>
      <c r="R910" s="31" t="s">
        <v>167</v>
      </c>
    </row>
    <row r="911">
      <c r="A911" s="29">
        <v>45921.924303148146</v>
      </c>
      <c r="B911" s="30">
        <v>45921.0</v>
      </c>
      <c r="C911" s="31" t="s">
        <v>2973</v>
      </c>
      <c r="D911" s="32" t="s">
        <v>2974</v>
      </c>
      <c r="E911" s="31" t="s">
        <v>43</v>
      </c>
      <c r="F911" s="31">
        <v>3500000.0</v>
      </c>
      <c r="G911" s="31" t="s">
        <v>23</v>
      </c>
      <c r="I911" s="31" t="s">
        <v>229</v>
      </c>
      <c r="J911" s="31" t="s">
        <v>967</v>
      </c>
      <c r="K911" s="33" t="s">
        <v>2975</v>
      </c>
      <c r="L911" s="31" t="s">
        <v>202</v>
      </c>
      <c r="N911" s="31" t="s">
        <v>220</v>
      </c>
      <c r="S911" s="31" t="s">
        <v>59</v>
      </c>
    </row>
    <row r="912">
      <c r="A912" s="29">
        <v>45921.93341912037</v>
      </c>
      <c r="B912" s="30">
        <v>45921.0</v>
      </c>
      <c r="C912" s="31" t="s">
        <v>2976</v>
      </c>
      <c r="D912" s="31">
        <v>0.0</v>
      </c>
      <c r="E912" s="31" t="s">
        <v>2977</v>
      </c>
      <c r="F912" s="34">
        <v>2800.0</v>
      </c>
      <c r="G912" s="31" t="s">
        <v>23</v>
      </c>
      <c r="I912" s="31" t="s">
        <v>229</v>
      </c>
      <c r="J912" s="31" t="s">
        <v>967</v>
      </c>
      <c r="K912" s="33" t="s">
        <v>2978</v>
      </c>
      <c r="L912" s="31" t="s">
        <v>202</v>
      </c>
      <c r="N912" s="31" t="s">
        <v>204</v>
      </c>
      <c r="R912" s="31" t="s">
        <v>171</v>
      </c>
    </row>
    <row r="913">
      <c r="A913" s="29">
        <v>45921.93591222222</v>
      </c>
      <c r="B913" s="30">
        <v>45921.0</v>
      </c>
      <c r="C913" s="31" t="s">
        <v>2979</v>
      </c>
      <c r="D913" s="31">
        <v>0.0</v>
      </c>
      <c r="E913" s="31" t="s">
        <v>199</v>
      </c>
      <c r="F913" s="34">
        <v>4200.0</v>
      </c>
      <c r="G913" s="31" t="s">
        <v>45</v>
      </c>
      <c r="I913" s="31" t="s">
        <v>229</v>
      </c>
      <c r="J913" s="31" t="s">
        <v>967</v>
      </c>
      <c r="K913" s="33" t="s">
        <v>2980</v>
      </c>
      <c r="L913" s="31" t="s">
        <v>202</v>
      </c>
      <c r="N913" s="31" t="s">
        <v>204</v>
      </c>
      <c r="R913" s="31" t="s">
        <v>171</v>
      </c>
    </row>
    <row r="914">
      <c r="A914" s="29">
        <v>45921.978094363425</v>
      </c>
      <c r="B914" s="30">
        <v>45921.0</v>
      </c>
      <c r="C914" s="31" t="s">
        <v>2981</v>
      </c>
      <c r="D914" s="32" t="s">
        <v>2982</v>
      </c>
      <c r="E914" s="31" t="s">
        <v>228</v>
      </c>
      <c r="F914" s="31">
        <v>7000000.0</v>
      </c>
      <c r="G914" s="31" t="s">
        <v>23</v>
      </c>
      <c r="I914" s="31" t="s">
        <v>229</v>
      </c>
      <c r="J914" s="31" t="s">
        <v>967</v>
      </c>
      <c r="K914" s="33" t="s">
        <v>2983</v>
      </c>
      <c r="L914" s="31" t="s">
        <v>202</v>
      </c>
      <c r="N914" s="31" t="s">
        <v>220</v>
      </c>
      <c r="S914" s="31" t="s">
        <v>1406</v>
      </c>
    </row>
    <row r="915">
      <c r="A915" s="29">
        <v>45922.429762685184</v>
      </c>
      <c r="B915" s="30">
        <v>45922.0</v>
      </c>
      <c r="C915" s="31" t="s">
        <v>2984</v>
      </c>
      <c r="D915" s="32" t="s">
        <v>2985</v>
      </c>
      <c r="E915" s="31" t="s">
        <v>1445</v>
      </c>
      <c r="F915" s="31">
        <v>6000000.0</v>
      </c>
      <c r="G915" s="31" t="s">
        <v>45</v>
      </c>
      <c r="I915" s="31" t="s">
        <v>229</v>
      </c>
      <c r="J915" s="31" t="s">
        <v>1445</v>
      </c>
      <c r="K915" s="33" t="s">
        <v>2986</v>
      </c>
      <c r="L915" s="31" t="s">
        <v>252</v>
      </c>
      <c r="O915" s="31" t="s">
        <v>205</v>
      </c>
      <c r="X915" s="31" t="s">
        <v>569</v>
      </c>
    </row>
    <row r="916">
      <c r="A916" s="29">
        <v>45922.436720682876</v>
      </c>
      <c r="B916" s="30">
        <v>45922.0</v>
      </c>
      <c r="C916" s="31" t="s">
        <v>2987</v>
      </c>
      <c r="D916" s="32" t="s">
        <v>2988</v>
      </c>
      <c r="E916" s="31" t="s">
        <v>43</v>
      </c>
      <c r="F916" s="31">
        <v>6500000.0</v>
      </c>
      <c r="G916" s="31" t="s">
        <v>23</v>
      </c>
      <c r="H916" s="31">
        <v>3000000.0</v>
      </c>
      <c r="I916" s="31" t="s">
        <v>413</v>
      </c>
      <c r="K916" s="33" t="s">
        <v>2989</v>
      </c>
      <c r="L916" s="31" t="s">
        <v>252</v>
      </c>
      <c r="M916" s="31" t="s">
        <v>544</v>
      </c>
      <c r="O916" s="31" t="s">
        <v>257</v>
      </c>
      <c r="P916" s="31" t="s">
        <v>258</v>
      </c>
    </row>
    <row r="917">
      <c r="A917" s="29">
        <v>45922.452886307874</v>
      </c>
      <c r="B917" s="30">
        <v>45922.0</v>
      </c>
      <c r="C917" s="31" t="s">
        <v>2990</v>
      </c>
      <c r="D917" s="32" t="s">
        <v>2991</v>
      </c>
      <c r="E917" s="31" t="s">
        <v>239</v>
      </c>
      <c r="F917" s="31">
        <v>7900000.0</v>
      </c>
      <c r="G917" s="31" t="s">
        <v>23</v>
      </c>
      <c r="I917" s="31" t="s">
        <v>229</v>
      </c>
      <c r="J917" s="31" t="s">
        <v>165</v>
      </c>
      <c r="K917" s="33" t="s">
        <v>2992</v>
      </c>
      <c r="L917" s="31" t="s">
        <v>202</v>
      </c>
      <c r="N917" s="31" t="s">
        <v>667</v>
      </c>
      <c r="U917" s="31" t="s">
        <v>668</v>
      </c>
    </row>
    <row r="918">
      <c r="A918" s="29">
        <v>45922.49100991898</v>
      </c>
      <c r="B918" s="30">
        <v>45922.0</v>
      </c>
      <c r="C918" s="31" t="s">
        <v>2993</v>
      </c>
      <c r="D918" s="32" t="s">
        <v>2994</v>
      </c>
      <c r="E918" s="31" t="s">
        <v>31</v>
      </c>
      <c r="F918" s="31">
        <v>5000000.0</v>
      </c>
      <c r="G918" s="31" t="s">
        <v>23</v>
      </c>
      <c r="I918" s="31" t="s">
        <v>229</v>
      </c>
      <c r="J918" s="31" t="s">
        <v>967</v>
      </c>
      <c r="K918" s="33" t="s">
        <v>2995</v>
      </c>
      <c r="L918" s="31" t="s">
        <v>202</v>
      </c>
      <c r="N918" s="31" t="s">
        <v>204</v>
      </c>
      <c r="R918" s="31" t="s">
        <v>98</v>
      </c>
    </row>
    <row r="919">
      <c r="A919" s="29">
        <v>45922.49948388889</v>
      </c>
      <c r="B919" s="30">
        <v>45922.0</v>
      </c>
      <c r="C919" s="31" t="s">
        <v>2996</v>
      </c>
      <c r="D919" s="32" t="s">
        <v>2997</v>
      </c>
      <c r="E919" s="31" t="s">
        <v>199</v>
      </c>
      <c r="F919" s="31">
        <v>3000000.0</v>
      </c>
      <c r="G919" s="31" t="s">
        <v>45</v>
      </c>
      <c r="H919" s="31">
        <v>5000000.0</v>
      </c>
      <c r="I919" s="31" t="s">
        <v>413</v>
      </c>
      <c r="K919" s="33" t="s">
        <v>2998</v>
      </c>
      <c r="L919" s="31" t="s">
        <v>202</v>
      </c>
      <c r="M919" s="31" t="s">
        <v>383</v>
      </c>
      <c r="N919" s="31" t="s">
        <v>215</v>
      </c>
      <c r="W919" s="31" t="s">
        <v>216</v>
      </c>
    </row>
    <row r="920">
      <c r="A920" s="29">
        <v>45922.51392881945</v>
      </c>
      <c r="B920" s="30">
        <v>45922.0</v>
      </c>
      <c r="C920" s="31" t="s">
        <v>2999</v>
      </c>
      <c r="D920" s="31">
        <v>0.0</v>
      </c>
      <c r="E920" s="31" t="s">
        <v>228</v>
      </c>
      <c r="F920" s="31">
        <v>500000.0</v>
      </c>
      <c r="G920" s="31" t="s">
        <v>23</v>
      </c>
      <c r="I920" s="31" t="s">
        <v>229</v>
      </c>
      <c r="J920" s="31" t="s">
        <v>967</v>
      </c>
      <c r="K920" s="33" t="s">
        <v>3000</v>
      </c>
      <c r="L920" s="31" t="s">
        <v>252</v>
      </c>
      <c r="O920" s="31" t="s">
        <v>257</v>
      </c>
      <c r="P920" s="31" t="s">
        <v>992</v>
      </c>
    </row>
    <row r="921">
      <c r="A921" s="29">
        <v>45922.52581172454</v>
      </c>
      <c r="B921" s="30">
        <v>45922.0</v>
      </c>
      <c r="C921" s="31" t="s">
        <v>3001</v>
      </c>
      <c r="D921" s="32" t="s">
        <v>3002</v>
      </c>
      <c r="E921" s="31" t="s">
        <v>31</v>
      </c>
      <c r="F921" s="31">
        <v>2500000.0</v>
      </c>
      <c r="G921" s="31" t="s">
        <v>23</v>
      </c>
      <c r="H921" s="31">
        <v>3000000.0</v>
      </c>
      <c r="I921" s="31" t="s">
        <v>200</v>
      </c>
      <c r="K921" s="33" t="s">
        <v>3003</v>
      </c>
      <c r="L921" s="31" t="s">
        <v>202</v>
      </c>
      <c r="M921" s="31" t="s">
        <v>203</v>
      </c>
      <c r="N921" s="31" t="s">
        <v>215</v>
      </c>
      <c r="W921" s="31" t="s">
        <v>216</v>
      </c>
    </row>
    <row r="922">
      <c r="A922" s="29">
        <v>45922.54016025463</v>
      </c>
      <c r="B922" s="30">
        <v>45922.0</v>
      </c>
      <c r="C922" s="31" t="s">
        <v>3004</v>
      </c>
      <c r="D922" s="32" t="s">
        <v>3005</v>
      </c>
      <c r="E922" s="31" t="s">
        <v>239</v>
      </c>
      <c r="F922" s="31">
        <v>2000000.0</v>
      </c>
      <c r="G922" s="31" t="s">
        <v>23</v>
      </c>
      <c r="I922" s="31" t="s">
        <v>229</v>
      </c>
      <c r="J922" s="31" t="s">
        <v>967</v>
      </c>
      <c r="K922" s="33" t="s">
        <v>3006</v>
      </c>
      <c r="L922" s="31" t="s">
        <v>252</v>
      </c>
      <c r="O922" s="31" t="s">
        <v>257</v>
      </c>
      <c r="P922" s="31" t="s">
        <v>206</v>
      </c>
    </row>
    <row r="923">
      <c r="A923" s="29">
        <v>45922.57198798611</v>
      </c>
      <c r="B923" s="30">
        <v>45922.0</v>
      </c>
      <c r="C923" s="31" t="s">
        <v>3007</v>
      </c>
      <c r="D923" s="32" t="s">
        <v>3008</v>
      </c>
      <c r="E923" s="31" t="s">
        <v>3009</v>
      </c>
      <c r="F923" s="31">
        <v>4000000.0</v>
      </c>
      <c r="G923" s="31" t="s">
        <v>23</v>
      </c>
      <c r="I923" s="31" t="s">
        <v>229</v>
      </c>
      <c r="J923" s="31" t="s">
        <v>967</v>
      </c>
      <c r="K923" s="33" t="s">
        <v>3010</v>
      </c>
      <c r="L923" s="31" t="s">
        <v>202</v>
      </c>
      <c r="N923" s="31" t="s">
        <v>313</v>
      </c>
      <c r="T923" s="31" t="s">
        <v>384</v>
      </c>
    </row>
    <row r="924">
      <c r="A924" s="29">
        <v>45922.58399164352</v>
      </c>
      <c r="B924" s="30">
        <v>45922.0</v>
      </c>
      <c r="C924" s="31" t="s">
        <v>3011</v>
      </c>
      <c r="D924" s="32" t="s">
        <v>3012</v>
      </c>
      <c r="E924" s="31" t="s">
        <v>43</v>
      </c>
      <c r="F924" s="31">
        <v>4350000.0</v>
      </c>
      <c r="G924" s="31" t="s">
        <v>23</v>
      </c>
      <c r="I924" s="31" t="s">
        <v>229</v>
      </c>
      <c r="J924" s="31" t="s">
        <v>967</v>
      </c>
      <c r="K924" s="33" t="s">
        <v>3013</v>
      </c>
      <c r="L924" s="31" t="s">
        <v>202</v>
      </c>
      <c r="N924" s="31" t="s">
        <v>204</v>
      </c>
      <c r="R924" s="31" t="s">
        <v>53</v>
      </c>
    </row>
    <row r="925">
      <c r="A925" s="29">
        <v>45922.58539599537</v>
      </c>
      <c r="B925" s="30">
        <v>45922.0</v>
      </c>
      <c r="C925" s="31" t="s">
        <v>3014</v>
      </c>
      <c r="D925" s="32" t="s">
        <v>3015</v>
      </c>
      <c r="E925" s="31" t="s">
        <v>31</v>
      </c>
      <c r="F925" s="31">
        <v>6900000.0</v>
      </c>
      <c r="G925" s="31" t="s">
        <v>23</v>
      </c>
      <c r="I925" s="31" t="s">
        <v>229</v>
      </c>
      <c r="J925" s="31" t="s">
        <v>967</v>
      </c>
      <c r="K925" s="33" t="s">
        <v>3016</v>
      </c>
      <c r="L925" s="31" t="s">
        <v>202</v>
      </c>
      <c r="N925" s="31" t="s">
        <v>313</v>
      </c>
      <c r="T925" s="31" t="s">
        <v>329</v>
      </c>
    </row>
    <row r="926">
      <c r="A926" s="29">
        <v>45922.58741989583</v>
      </c>
      <c r="B926" s="30">
        <v>45922.0</v>
      </c>
      <c r="C926" s="31" t="s">
        <v>3017</v>
      </c>
      <c r="D926" s="32" t="s">
        <v>3018</v>
      </c>
      <c r="E926" s="31" t="s">
        <v>43</v>
      </c>
      <c r="F926" s="31">
        <v>4600000.0</v>
      </c>
      <c r="G926" s="31" t="s">
        <v>23</v>
      </c>
      <c r="I926" s="31" t="s">
        <v>229</v>
      </c>
      <c r="J926" s="31" t="s">
        <v>3019</v>
      </c>
      <c r="K926" s="33" t="s">
        <v>3020</v>
      </c>
      <c r="L926" s="31" t="s">
        <v>202</v>
      </c>
      <c r="N926" s="31" t="s">
        <v>220</v>
      </c>
      <c r="S926" s="31" t="s">
        <v>36</v>
      </c>
    </row>
    <row r="927">
      <c r="A927" s="29">
        <v>45922.642264525464</v>
      </c>
      <c r="B927" s="30">
        <v>45922.0</v>
      </c>
      <c r="C927" s="31" t="s">
        <v>3021</v>
      </c>
      <c r="D927" s="32" t="s">
        <v>3022</v>
      </c>
      <c r="E927" s="31" t="s">
        <v>228</v>
      </c>
      <c r="F927" s="31">
        <v>3000000.0</v>
      </c>
      <c r="G927" s="31" t="s">
        <v>23</v>
      </c>
      <c r="I927" s="31" t="s">
        <v>229</v>
      </c>
      <c r="J927" s="31" t="s">
        <v>967</v>
      </c>
      <c r="K927" s="33" t="s">
        <v>3023</v>
      </c>
      <c r="L927" s="31" t="s">
        <v>202</v>
      </c>
      <c r="N927" s="31" t="s">
        <v>220</v>
      </c>
      <c r="S927" s="31" t="s">
        <v>59</v>
      </c>
    </row>
    <row r="928">
      <c r="A928" s="29">
        <v>45922.65418482639</v>
      </c>
      <c r="B928" s="30">
        <v>45922.0</v>
      </c>
      <c r="C928" s="31" t="s">
        <v>3024</v>
      </c>
      <c r="D928" s="32" t="s">
        <v>3025</v>
      </c>
      <c r="E928" s="31" t="s">
        <v>288</v>
      </c>
      <c r="F928" s="31">
        <v>1000000.0</v>
      </c>
      <c r="G928" s="31" t="s">
        <v>23</v>
      </c>
      <c r="I928" s="31" t="s">
        <v>229</v>
      </c>
      <c r="J928" s="31" t="s">
        <v>967</v>
      </c>
      <c r="K928" s="33" t="s">
        <v>3026</v>
      </c>
      <c r="L928" s="31" t="s">
        <v>202</v>
      </c>
      <c r="N928" s="31" t="s">
        <v>204</v>
      </c>
      <c r="R928" s="31" t="s">
        <v>360</v>
      </c>
    </row>
    <row r="929">
      <c r="A929" s="29">
        <v>45922.65865053241</v>
      </c>
      <c r="B929" s="30">
        <v>45922.0</v>
      </c>
      <c r="C929" s="31" t="s">
        <v>3027</v>
      </c>
      <c r="D929" s="32" t="s">
        <v>3028</v>
      </c>
      <c r="E929" s="31" t="s">
        <v>228</v>
      </c>
      <c r="F929" s="31">
        <v>5.0E7</v>
      </c>
      <c r="G929" s="31" t="s">
        <v>23</v>
      </c>
      <c r="I929" s="31" t="s">
        <v>229</v>
      </c>
      <c r="J929" s="31" t="s">
        <v>967</v>
      </c>
      <c r="K929" s="33" t="s">
        <v>3029</v>
      </c>
      <c r="L929" s="31" t="s">
        <v>202</v>
      </c>
      <c r="N929" s="31" t="s">
        <v>220</v>
      </c>
      <c r="S929" s="31" t="s">
        <v>1406</v>
      </c>
    </row>
    <row r="930">
      <c r="A930" s="29">
        <v>45922.68606395833</v>
      </c>
      <c r="B930" s="30">
        <v>45922.0</v>
      </c>
      <c r="C930" s="31" t="s">
        <v>3030</v>
      </c>
      <c r="D930" s="32" t="s">
        <v>3031</v>
      </c>
      <c r="E930" s="31" t="s">
        <v>283</v>
      </c>
      <c r="F930" s="31">
        <v>6000000.0</v>
      </c>
      <c r="G930" s="31" t="s">
        <v>45</v>
      </c>
      <c r="H930" s="31">
        <v>3000000.0</v>
      </c>
      <c r="I930" s="31" t="s">
        <v>200</v>
      </c>
      <c r="K930" s="33" t="s">
        <v>3032</v>
      </c>
      <c r="L930" s="31" t="s">
        <v>252</v>
      </c>
      <c r="M930" s="31" t="s">
        <v>203</v>
      </c>
      <c r="O930" s="31" t="s">
        <v>257</v>
      </c>
      <c r="P930" s="31" t="s">
        <v>285</v>
      </c>
    </row>
    <row r="931">
      <c r="A931" s="29">
        <v>45922.70914196759</v>
      </c>
      <c r="B931" s="30">
        <v>45922.0</v>
      </c>
      <c r="C931" s="31" t="s">
        <v>3033</v>
      </c>
      <c r="D931" s="32" t="s">
        <v>3034</v>
      </c>
      <c r="E931" s="31" t="s">
        <v>43</v>
      </c>
      <c r="F931" s="31">
        <v>7000000.0</v>
      </c>
      <c r="G931" s="31" t="s">
        <v>23</v>
      </c>
      <c r="H931" s="31">
        <v>3000000.0</v>
      </c>
      <c r="I931" s="31" t="s">
        <v>413</v>
      </c>
      <c r="K931" s="33" t="s">
        <v>3035</v>
      </c>
      <c r="L931" s="31" t="s">
        <v>202</v>
      </c>
      <c r="M931" s="31" t="s">
        <v>605</v>
      </c>
      <c r="N931" s="31" t="s">
        <v>220</v>
      </c>
      <c r="S931" s="31" t="s">
        <v>1406</v>
      </c>
    </row>
    <row r="932">
      <c r="A932" s="29">
        <v>45922.71021631944</v>
      </c>
      <c r="B932" s="30">
        <v>45922.0</v>
      </c>
      <c r="C932" s="31" t="s">
        <v>3036</v>
      </c>
      <c r="D932" s="32" t="s">
        <v>3037</v>
      </c>
      <c r="E932" s="31" t="s">
        <v>288</v>
      </c>
      <c r="F932" s="31">
        <v>3100000.0</v>
      </c>
      <c r="G932" s="31" t="s">
        <v>23</v>
      </c>
      <c r="I932" s="31" t="s">
        <v>229</v>
      </c>
      <c r="J932" s="31" t="s">
        <v>1445</v>
      </c>
      <c r="K932" s="33" t="s">
        <v>3038</v>
      </c>
      <c r="L932" s="31" t="s">
        <v>252</v>
      </c>
      <c r="O932" s="31" t="s">
        <v>205</v>
      </c>
      <c r="X932" s="31" t="s">
        <v>569</v>
      </c>
    </row>
    <row r="933">
      <c r="A933" s="29">
        <v>45922.71505600694</v>
      </c>
      <c r="B933" s="30">
        <v>45922.0</v>
      </c>
      <c r="C933" s="31" t="s">
        <v>3039</v>
      </c>
      <c r="D933" s="32" t="s">
        <v>3040</v>
      </c>
      <c r="E933" s="31" t="s">
        <v>43</v>
      </c>
      <c r="F933" s="31">
        <v>2400000.0</v>
      </c>
      <c r="G933" s="31" t="s">
        <v>23</v>
      </c>
      <c r="H933" s="31">
        <v>1600000.0</v>
      </c>
      <c r="I933" s="31" t="s">
        <v>413</v>
      </c>
      <c r="K933" s="33" t="s">
        <v>3041</v>
      </c>
      <c r="L933" s="31" t="s">
        <v>252</v>
      </c>
      <c r="M933" s="31" t="s">
        <v>203</v>
      </c>
      <c r="O933" s="31" t="s">
        <v>205</v>
      </c>
      <c r="X933" s="31" t="s">
        <v>452</v>
      </c>
    </row>
    <row r="934">
      <c r="A934" s="29">
        <v>45922.71718559028</v>
      </c>
      <c r="B934" s="30">
        <v>45922.0</v>
      </c>
      <c r="C934" s="31" t="s">
        <v>3042</v>
      </c>
      <c r="D934" s="32" t="s">
        <v>3043</v>
      </c>
      <c r="E934" s="31" t="s">
        <v>261</v>
      </c>
      <c r="F934" s="31">
        <v>2000000.0</v>
      </c>
      <c r="G934" s="31" t="s">
        <v>23</v>
      </c>
      <c r="I934" s="31" t="s">
        <v>229</v>
      </c>
      <c r="J934" s="31" t="s">
        <v>967</v>
      </c>
      <c r="K934" s="33" t="s">
        <v>3044</v>
      </c>
      <c r="L934" s="31" t="s">
        <v>252</v>
      </c>
      <c r="O934" s="31" t="s">
        <v>205</v>
      </c>
      <c r="X934" s="31" t="s">
        <v>1471</v>
      </c>
    </row>
    <row r="935">
      <c r="A935" s="29">
        <v>45922.74761049768</v>
      </c>
      <c r="B935" s="30">
        <v>45922.0</v>
      </c>
      <c r="C935" s="31" t="s">
        <v>3045</v>
      </c>
      <c r="D935" s="32" t="s">
        <v>3046</v>
      </c>
      <c r="E935" s="31" t="s">
        <v>31</v>
      </c>
      <c r="F935" s="31">
        <v>5699000.0</v>
      </c>
      <c r="G935" s="31" t="s">
        <v>23</v>
      </c>
      <c r="I935" s="31" t="s">
        <v>229</v>
      </c>
      <c r="J935" s="31" t="s">
        <v>967</v>
      </c>
      <c r="K935" s="33" t="s">
        <v>3047</v>
      </c>
      <c r="L935" s="31" t="s">
        <v>202</v>
      </c>
      <c r="N935" s="31" t="s">
        <v>204</v>
      </c>
      <c r="R935" s="31" t="s">
        <v>207</v>
      </c>
    </row>
    <row r="936">
      <c r="A936" s="29">
        <v>45922.75465931713</v>
      </c>
      <c r="B936" s="30">
        <v>45922.0</v>
      </c>
      <c r="C936" s="31" t="s">
        <v>3048</v>
      </c>
      <c r="D936" s="32" t="s">
        <v>2373</v>
      </c>
      <c r="E936" s="31" t="s">
        <v>311</v>
      </c>
      <c r="F936" s="31">
        <v>5400000.0</v>
      </c>
      <c r="G936" s="31" t="s">
        <v>23</v>
      </c>
      <c r="I936" s="31" t="s">
        <v>229</v>
      </c>
      <c r="J936" s="31" t="s">
        <v>967</v>
      </c>
      <c r="K936" s="33" t="s">
        <v>3049</v>
      </c>
      <c r="L936" s="31" t="s">
        <v>202</v>
      </c>
      <c r="N936" s="31" t="s">
        <v>313</v>
      </c>
      <c r="T936" s="31" t="s">
        <v>314</v>
      </c>
    </row>
    <row r="937">
      <c r="A937" s="29">
        <v>45922.75653835648</v>
      </c>
      <c r="B937" s="30">
        <v>45922.0</v>
      </c>
      <c r="C937" s="31" t="s">
        <v>2987</v>
      </c>
      <c r="D937" s="32" t="s">
        <v>2988</v>
      </c>
      <c r="E937" s="31" t="s">
        <v>43</v>
      </c>
      <c r="F937" s="31">
        <v>6500000.0</v>
      </c>
      <c r="G937" s="31" t="s">
        <v>23</v>
      </c>
      <c r="H937" s="31">
        <v>3000000.0</v>
      </c>
      <c r="I937" s="31" t="s">
        <v>200</v>
      </c>
      <c r="K937" s="33" t="s">
        <v>3050</v>
      </c>
      <c r="L937" s="31" t="s">
        <v>252</v>
      </c>
      <c r="M937" s="31" t="s">
        <v>383</v>
      </c>
      <c r="O937" s="31" t="s">
        <v>257</v>
      </c>
      <c r="P937" s="31" t="s">
        <v>258</v>
      </c>
    </row>
    <row r="938">
      <c r="A938" s="29">
        <v>45922.757899375</v>
      </c>
      <c r="B938" s="30">
        <v>45922.0</v>
      </c>
      <c r="C938" s="31" t="s">
        <v>3051</v>
      </c>
      <c r="D938" s="32" t="s">
        <v>3052</v>
      </c>
      <c r="E938" s="31" t="s">
        <v>43</v>
      </c>
      <c r="F938" s="31">
        <v>3200000.0</v>
      </c>
      <c r="G938" s="31" t="s">
        <v>23</v>
      </c>
      <c r="I938" s="31" t="s">
        <v>229</v>
      </c>
      <c r="J938" s="31" t="s">
        <v>967</v>
      </c>
      <c r="K938" s="33" t="s">
        <v>3053</v>
      </c>
      <c r="L938" s="31" t="s">
        <v>252</v>
      </c>
      <c r="O938" s="31" t="s">
        <v>257</v>
      </c>
      <c r="P938" s="31" t="s">
        <v>258</v>
      </c>
    </row>
    <row r="939">
      <c r="A939" s="29">
        <v>45922.802946435186</v>
      </c>
      <c r="B939" s="30">
        <v>45922.0</v>
      </c>
      <c r="C939" s="31" t="s">
        <v>3054</v>
      </c>
      <c r="D939" s="32" t="s">
        <v>1454</v>
      </c>
      <c r="E939" s="31" t="s">
        <v>228</v>
      </c>
      <c r="F939" s="31">
        <v>3700000.0</v>
      </c>
      <c r="G939" s="31" t="s">
        <v>23</v>
      </c>
      <c r="I939" s="31" t="s">
        <v>229</v>
      </c>
      <c r="J939" s="31" t="s">
        <v>967</v>
      </c>
      <c r="K939" s="33" t="s">
        <v>3055</v>
      </c>
      <c r="L939" s="31" t="s">
        <v>202</v>
      </c>
      <c r="N939" s="31" t="s">
        <v>220</v>
      </c>
      <c r="S939" s="31" t="s">
        <v>59</v>
      </c>
    </row>
    <row r="940">
      <c r="A940" s="29">
        <v>45922.81362162037</v>
      </c>
      <c r="B940" s="30">
        <v>45922.0</v>
      </c>
      <c r="C940" s="31" t="s">
        <v>3056</v>
      </c>
      <c r="D940" s="32" t="s">
        <v>3057</v>
      </c>
      <c r="E940" s="31" t="s">
        <v>43</v>
      </c>
      <c r="F940" s="31">
        <v>3000000.0</v>
      </c>
      <c r="G940" s="31" t="s">
        <v>23</v>
      </c>
      <c r="I940" s="31" t="s">
        <v>229</v>
      </c>
      <c r="J940" s="31" t="s">
        <v>967</v>
      </c>
      <c r="K940" s="33" t="s">
        <v>3058</v>
      </c>
      <c r="L940" s="31" t="s">
        <v>202</v>
      </c>
      <c r="N940" s="31" t="s">
        <v>204</v>
      </c>
      <c r="R940" s="31" t="s">
        <v>28</v>
      </c>
    </row>
    <row r="941">
      <c r="A941" s="29">
        <v>45922.81648638889</v>
      </c>
      <c r="B941" s="30">
        <v>45922.0</v>
      </c>
      <c r="C941" s="31" t="s">
        <v>3059</v>
      </c>
      <c r="D941" s="32" t="s">
        <v>2962</v>
      </c>
      <c r="E941" s="31" t="s">
        <v>288</v>
      </c>
      <c r="F941" s="31">
        <v>2500000.0</v>
      </c>
      <c r="G941" s="31" t="s">
        <v>23</v>
      </c>
      <c r="H941" s="31">
        <v>3000000.0</v>
      </c>
      <c r="I941" s="31" t="s">
        <v>413</v>
      </c>
      <c r="K941" s="33" t="s">
        <v>3060</v>
      </c>
      <c r="L941" s="31" t="s">
        <v>202</v>
      </c>
      <c r="M941" s="31" t="s">
        <v>203</v>
      </c>
      <c r="N941" s="31" t="s">
        <v>204</v>
      </c>
      <c r="R941" s="31" t="s">
        <v>892</v>
      </c>
    </row>
    <row r="942">
      <c r="A942" s="29">
        <v>45922.8441725</v>
      </c>
      <c r="B942" s="30">
        <v>45922.0</v>
      </c>
      <c r="C942" s="31" t="s">
        <v>3061</v>
      </c>
      <c r="D942" s="32" t="s">
        <v>3062</v>
      </c>
      <c r="E942" s="31" t="s">
        <v>3063</v>
      </c>
      <c r="F942" s="31">
        <v>2500000.0</v>
      </c>
      <c r="G942" s="31" t="s">
        <v>23</v>
      </c>
      <c r="H942" s="31">
        <v>3000000.0</v>
      </c>
      <c r="I942" s="31" t="s">
        <v>413</v>
      </c>
      <c r="K942" s="33" t="s">
        <v>3064</v>
      </c>
      <c r="L942" s="31" t="s">
        <v>202</v>
      </c>
      <c r="M942" s="31" t="s">
        <v>383</v>
      </c>
      <c r="N942" s="31" t="s">
        <v>204</v>
      </c>
      <c r="R942" s="31" t="s">
        <v>892</v>
      </c>
    </row>
    <row r="943">
      <c r="A943" s="29">
        <v>45922.85575278936</v>
      </c>
      <c r="B943" s="30">
        <v>45922.0</v>
      </c>
      <c r="C943" s="31" t="s">
        <v>3065</v>
      </c>
      <c r="D943" s="32" t="s">
        <v>3066</v>
      </c>
      <c r="E943" s="31" t="s">
        <v>31</v>
      </c>
      <c r="F943" s="31">
        <v>6000000.0</v>
      </c>
      <c r="G943" s="31" t="s">
        <v>23</v>
      </c>
      <c r="I943" s="31" t="s">
        <v>229</v>
      </c>
      <c r="J943" s="31" t="s">
        <v>967</v>
      </c>
      <c r="K943" s="33" t="s">
        <v>3067</v>
      </c>
      <c r="L943" s="31" t="s">
        <v>252</v>
      </c>
      <c r="O943" s="31" t="s">
        <v>205</v>
      </c>
      <c r="X943" s="31" t="s">
        <v>452</v>
      </c>
    </row>
    <row r="944">
      <c r="A944" s="29">
        <v>45922.863056608796</v>
      </c>
      <c r="B944" s="30">
        <v>45922.0</v>
      </c>
      <c r="C944" s="31" t="s">
        <v>3068</v>
      </c>
      <c r="D944" s="32" t="s">
        <v>3040</v>
      </c>
      <c r="E944" s="31" t="s">
        <v>3069</v>
      </c>
      <c r="F944" s="31">
        <v>5000000.0</v>
      </c>
      <c r="G944" s="31" t="s">
        <v>23</v>
      </c>
      <c r="I944" s="31" t="s">
        <v>229</v>
      </c>
      <c r="J944" s="31" t="s">
        <v>967</v>
      </c>
      <c r="K944" s="33" t="s">
        <v>3070</v>
      </c>
      <c r="L944" s="31" t="s">
        <v>252</v>
      </c>
      <c r="O944" s="31" t="s">
        <v>205</v>
      </c>
      <c r="X944" s="31" t="s">
        <v>2280</v>
      </c>
    </row>
    <row r="945">
      <c r="A945" s="29">
        <v>45922.877283622685</v>
      </c>
      <c r="B945" s="30">
        <v>45922.0</v>
      </c>
      <c r="C945" s="31" t="s">
        <v>3071</v>
      </c>
      <c r="D945" s="32" t="s">
        <v>3072</v>
      </c>
      <c r="E945" s="31" t="s">
        <v>31</v>
      </c>
      <c r="F945" s="31">
        <v>5000000.0</v>
      </c>
      <c r="G945" s="31" t="s">
        <v>23</v>
      </c>
      <c r="I945" s="31" t="s">
        <v>229</v>
      </c>
      <c r="J945" s="31" t="s">
        <v>967</v>
      </c>
      <c r="K945" s="33" t="s">
        <v>3073</v>
      </c>
      <c r="L945" s="31" t="s">
        <v>202</v>
      </c>
      <c r="N945" s="31" t="s">
        <v>204</v>
      </c>
      <c r="R945" s="31" t="s">
        <v>98</v>
      </c>
    </row>
    <row r="946">
      <c r="A946" s="29">
        <v>45922.88258240741</v>
      </c>
      <c r="B946" s="30">
        <v>45922.0</v>
      </c>
      <c r="C946" s="31" t="s">
        <v>3074</v>
      </c>
      <c r="D946" s="32" t="s">
        <v>3075</v>
      </c>
      <c r="E946" s="31" t="s">
        <v>288</v>
      </c>
      <c r="F946" s="31">
        <v>1000000.0</v>
      </c>
      <c r="G946" s="31" t="s">
        <v>23</v>
      </c>
      <c r="I946" s="31" t="s">
        <v>229</v>
      </c>
      <c r="J946" s="31" t="s">
        <v>967</v>
      </c>
      <c r="K946" s="33" t="s">
        <v>3076</v>
      </c>
      <c r="L946" s="31" t="s">
        <v>252</v>
      </c>
      <c r="O946" s="31" t="s">
        <v>205</v>
      </c>
      <c r="X946" s="31" t="s">
        <v>1471</v>
      </c>
    </row>
    <row r="947">
      <c r="A947" s="29">
        <v>45922.910715034726</v>
      </c>
      <c r="B947" s="30">
        <v>45922.0</v>
      </c>
      <c r="C947" s="31" t="s">
        <v>3077</v>
      </c>
      <c r="D947" s="32" t="s">
        <v>3078</v>
      </c>
      <c r="E947" s="31" t="s">
        <v>31</v>
      </c>
      <c r="F947" s="31">
        <v>5600000.0</v>
      </c>
      <c r="G947" s="31" t="s">
        <v>23</v>
      </c>
      <c r="H947" s="31">
        <v>5600000.0</v>
      </c>
      <c r="I947" s="31" t="s">
        <v>413</v>
      </c>
      <c r="K947" s="33" t="s">
        <v>3079</v>
      </c>
      <c r="L947" s="31" t="s">
        <v>202</v>
      </c>
      <c r="M947" s="31" t="s">
        <v>203</v>
      </c>
      <c r="N947" s="31" t="s">
        <v>220</v>
      </c>
      <c r="S947" s="31" t="s">
        <v>83</v>
      </c>
    </row>
    <row r="948">
      <c r="A948" s="29">
        <v>45923.37855141204</v>
      </c>
      <c r="B948" s="30">
        <v>45923.0</v>
      </c>
      <c r="C948" s="31" t="s">
        <v>3080</v>
      </c>
      <c r="D948" s="32" t="s">
        <v>3081</v>
      </c>
      <c r="E948" s="31" t="s">
        <v>261</v>
      </c>
      <c r="F948" s="31">
        <v>1800000.0</v>
      </c>
      <c r="G948" s="31" t="s">
        <v>23</v>
      </c>
      <c r="I948" s="31" t="s">
        <v>229</v>
      </c>
      <c r="J948" s="31" t="s">
        <v>967</v>
      </c>
      <c r="K948" s="33" t="s">
        <v>3082</v>
      </c>
      <c r="L948" s="31" t="s">
        <v>252</v>
      </c>
      <c r="O948" s="31" t="s">
        <v>205</v>
      </c>
      <c r="X948" s="31" t="s">
        <v>1471</v>
      </c>
    </row>
    <row r="949">
      <c r="A949" s="29">
        <v>45923.409940428246</v>
      </c>
      <c r="B949" s="30">
        <v>45923.0</v>
      </c>
      <c r="C949" s="31" t="s">
        <v>3083</v>
      </c>
      <c r="D949" s="32" t="s">
        <v>3084</v>
      </c>
      <c r="E949" s="31" t="s">
        <v>43</v>
      </c>
      <c r="F949" s="31">
        <v>4200000.0</v>
      </c>
      <c r="G949" s="31" t="s">
        <v>23</v>
      </c>
      <c r="H949" s="31">
        <v>3000000.0</v>
      </c>
      <c r="I949" s="31" t="s">
        <v>413</v>
      </c>
      <c r="K949" s="33" t="s">
        <v>3085</v>
      </c>
      <c r="L949" s="31" t="s">
        <v>252</v>
      </c>
      <c r="M949" s="31" t="s">
        <v>203</v>
      </c>
      <c r="O949" s="31" t="s">
        <v>257</v>
      </c>
      <c r="P949" s="31" t="s">
        <v>258</v>
      </c>
    </row>
    <row r="950">
      <c r="A950" s="29">
        <v>45923.50280412037</v>
      </c>
      <c r="B950" s="30">
        <v>45923.0</v>
      </c>
      <c r="C950" s="31" t="s">
        <v>3086</v>
      </c>
      <c r="D950" s="32" t="s">
        <v>3087</v>
      </c>
      <c r="E950" s="31" t="s">
        <v>43</v>
      </c>
      <c r="F950" s="31">
        <v>3200000.0</v>
      </c>
      <c r="G950" s="31" t="s">
        <v>23</v>
      </c>
      <c r="I950" s="31" t="s">
        <v>229</v>
      </c>
      <c r="J950" s="31" t="s">
        <v>967</v>
      </c>
      <c r="K950" s="33" t="s">
        <v>3088</v>
      </c>
      <c r="L950" s="31" t="s">
        <v>252</v>
      </c>
      <c r="O950" s="31" t="s">
        <v>205</v>
      </c>
      <c r="X950" s="31" t="s">
        <v>569</v>
      </c>
    </row>
    <row r="951">
      <c r="A951" s="29">
        <v>45923.50641469908</v>
      </c>
      <c r="B951" s="30">
        <v>45923.0</v>
      </c>
      <c r="C951" s="31" t="s">
        <v>3089</v>
      </c>
      <c r="D951" s="31">
        <v>0.0</v>
      </c>
      <c r="E951" s="31" t="s">
        <v>43</v>
      </c>
      <c r="F951" s="31">
        <v>2000000.0</v>
      </c>
      <c r="G951" s="31" t="s">
        <v>45</v>
      </c>
      <c r="H951" s="31">
        <v>3000000.0</v>
      </c>
      <c r="I951" s="31" t="s">
        <v>413</v>
      </c>
      <c r="K951" s="33" t="s">
        <v>3090</v>
      </c>
      <c r="L951" s="31" t="s">
        <v>252</v>
      </c>
      <c r="M951" s="31" t="s">
        <v>203</v>
      </c>
      <c r="O951" s="31" t="s">
        <v>257</v>
      </c>
      <c r="P951" s="31" t="s">
        <v>992</v>
      </c>
    </row>
    <row r="952">
      <c r="A952" s="29">
        <v>45923.52032480324</v>
      </c>
      <c r="B952" s="30">
        <v>45923.0</v>
      </c>
      <c r="C952" s="31" t="s">
        <v>3091</v>
      </c>
      <c r="D952" s="32" t="s">
        <v>3092</v>
      </c>
      <c r="E952" s="31" t="s">
        <v>43</v>
      </c>
      <c r="F952" s="31">
        <v>3000000.0</v>
      </c>
      <c r="G952" s="31" t="s">
        <v>23</v>
      </c>
      <c r="H952" s="31">
        <v>5000000.0</v>
      </c>
      <c r="I952" s="31" t="s">
        <v>413</v>
      </c>
      <c r="K952" s="33" t="s">
        <v>3093</v>
      </c>
      <c r="L952" s="31" t="s">
        <v>202</v>
      </c>
      <c r="M952" s="31" t="s">
        <v>383</v>
      </c>
      <c r="N952" s="31" t="s">
        <v>215</v>
      </c>
      <c r="W952" s="31" t="s">
        <v>216</v>
      </c>
    </row>
    <row r="953">
      <c r="A953" s="29">
        <v>45923.52674819445</v>
      </c>
      <c r="B953" s="30">
        <v>45923.0</v>
      </c>
      <c r="C953" s="31" t="s">
        <v>3094</v>
      </c>
      <c r="D953" s="32" t="s">
        <v>3095</v>
      </c>
      <c r="E953" s="31" t="s">
        <v>31</v>
      </c>
      <c r="F953" s="31">
        <v>5000000.0</v>
      </c>
      <c r="G953" s="31" t="s">
        <v>23</v>
      </c>
      <c r="I953" s="31" t="s">
        <v>229</v>
      </c>
      <c r="J953" s="31" t="s">
        <v>967</v>
      </c>
      <c r="K953" s="33" t="s">
        <v>3096</v>
      </c>
      <c r="L953" s="31" t="s">
        <v>202</v>
      </c>
      <c r="N953" s="31" t="s">
        <v>220</v>
      </c>
      <c r="S953" s="31" t="s">
        <v>124</v>
      </c>
    </row>
    <row r="954">
      <c r="A954" s="29">
        <v>45923.533145925925</v>
      </c>
      <c r="B954" s="30">
        <v>45923.0</v>
      </c>
      <c r="C954" s="31" t="s">
        <v>3097</v>
      </c>
      <c r="D954" s="32" t="s">
        <v>3098</v>
      </c>
      <c r="E954" s="31" t="s">
        <v>43</v>
      </c>
      <c r="F954" s="31">
        <v>4200000.0</v>
      </c>
      <c r="G954" s="31" t="s">
        <v>23</v>
      </c>
      <c r="H954" s="31">
        <v>5000000.0</v>
      </c>
      <c r="I954" s="31" t="s">
        <v>200</v>
      </c>
      <c r="K954" s="33" t="s">
        <v>3099</v>
      </c>
      <c r="L954" s="31" t="s">
        <v>252</v>
      </c>
      <c r="M954" s="31" t="s">
        <v>383</v>
      </c>
      <c r="O954" s="31" t="s">
        <v>257</v>
      </c>
      <c r="P954" s="31" t="s">
        <v>2453</v>
      </c>
    </row>
    <row r="955">
      <c r="A955" s="29">
        <v>45923.57777988426</v>
      </c>
      <c r="B955" s="30">
        <v>45923.0</v>
      </c>
      <c r="C955" s="31" t="s">
        <v>3100</v>
      </c>
      <c r="D955" s="32" t="s">
        <v>3101</v>
      </c>
      <c r="E955" s="31" t="s">
        <v>199</v>
      </c>
      <c r="F955" s="31">
        <v>7000000.0</v>
      </c>
      <c r="G955" s="31" t="s">
        <v>23</v>
      </c>
      <c r="H955" s="31">
        <v>7000000.0</v>
      </c>
      <c r="I955" s="31" t="s">
        <v>413</v>
      </c>
      <c r="K955" s="33" t="s">
        <v>3102</v>
      </c>
      <c r="L955" s="31" t="s">
        <v>202</v>
      </c>
      <c r="M955" s="31" t="s">
        <v>383</v>
      </c>
      <c r="N955" s="31" t="s">
        <v>500</v>
      </c>
      <c r="V955" s="31" t="s">
        <v>501</v>
      </c>
    </row>
    <row r="956">
      <c r="A956" s="29">
        <v>45923.615746192125</v>
      </c>
      <c r="B956" s="30">
        <v>45923.0</v>
      </c>
      <c r="C956" s="31" t="s">
        <v>3103</v>
      </c>
      <c r="D956" s="32" t="s">
        <v>3104</v>
      </c>
      <c r="E956" s="31" t="s">
        <v>43</v>
      </c>
      <c r="F956" s="31">
        <v>4000000.0</v>
      </c>
      <c r="G956" s="31" t="s">
        <v>23</v>
      </c>
      <c r="I956" s="31" t="s">
        <v>229</v>
      </c>
      <c r="J956" s="31" t="s">
        <v>3105</v>
      </c>
      <c r="K956" s="33" t="s">
        <v>3106</v>
      </c>
      <c r="L956" s="31" t="s">
        <v>202</v>
      </c>
      <c r="N956" s="31" t="s">
        <v>500</v>
      </c>
      <c r="V956" s="31" t="s">
        <v>501</v>
      </c>
    </row>
    <row r="957">
      <c r="A957" s="29">
        <v>45923.61712040509</v>
      </c>
      <c r="B957" s="30">
        <v>45923.0</v>
      </c>
      <c r="C957" s="31" t="s">
        <v>3107</v>
      </c>
      <c r="D957" s="32" t="s">
        <v>3108</v>
      </c>
      <c r="E957" s="31" t="s">
        <v>31</v>
      </c>
      <c r="F957" s="31">
        <v>4000000.0</v>
      </c>
      <c r="G957" s="31" t="s">
        <v>23</v>
      </c>
      <c r="I957" s="31" t="s">
        <v>229</v>
      </c>
      <c r="J957" s="31" t="s">
        <v>498</v>
      </c>
      <c r="K957" s="33" t="s">
        <v>3109</v>
      </c>
      <c r="L957" s="31" t="s">
        <v>202</v>
      </c>
      <c r="N957" s="31" t="s">
        <v>500</v>
      </c>
      <c r="V957" s="31" t="s">
        <v>501</v>
      </c>
    </row>
    <row r="958">
      <c r="A958" s="29">
        <v>45923.62617101852</v>
      </c>
      <c r="B958" s="30">
        <v>45923.0</v>
      </c>
      <c r="C958" s="31" t="s">
        <v>3110</v>
      </c>
      <c r="D958" s="32" t="s">
        <v>3111</v>
      </c>
      <c r="E958" s="31" t="s">
        <v>199</v>
      </c>
      <c r="F958" s="31">
        <v>3000000.0</v>
      </c>
      <c r="G958" s="31" t="s">
        <v>45</v>
      </c>
      <c r="H958" s="31">
        <v>5000000.0</v>
      </c>
      <c r="I958" s="31" t="s">
        <v>413</v>
      </c>
      <c r="K958" s="33" t="s">
        <v>3112</v>
      </c>
      <c r="L958" s="31" t="s">
        <v>202</v>
      </c>
      <c r="M958" s="31" t="s">
        <v>605</v>
      </c>
      <c r="N958" s="31" t="s">
        <v>215</v>
      </c>
      <c r="W958" s="31" t="s">
        <v>216</v>
      </c>
    </row>
    <row r="959">
      <c r="A959" s="29">
        <v>45923.63446364584</v>
      </c>
      <c r="B959" s="30">
        <v>45923.0</v>
      </c>
      <c r="C959" s="31" t="s">
        <v>3113</v>
      </c>
      <c r="D959" s="32" t="s">
        <v>3114</v>
      </c>
      <c r="E959" s="31" t="s">
        <v>43</v>
      </c>
      <c r="F959" s="31">
        <v>3700000.0</v>
      </c>
      <c r="G959" s="31" t="s">
        <v>23</v>
      </c>
      <c r="I959" s="31" t="s">
        <v>229</v>
      </c>
      <c r="J959" s="31" t="s">
        <v>967</v>
      </c>
      <c r="K959" s="33" t="s">
        <v>3115</v>
      </c>
      <c r="L959" s="31" t="s">
        <v>252</v>
      </c>
      <c r="O959" s="31" t="s">
        <v>257</v>
      </c>
      <c r="P959" s="31" t="s">
        <v>258</v>
      </c>
    </row>
    <row r="960">
      <c r="A960" s="29">
        <v>45923.637931018515</v>
      </c>
      <c r="B960" s="30">
        <v>45923.0</v>
      </c>
      <c r="C960" s="31" t="s">
        <v>3116</v>
      </c>
      <c r="D960" s="32" t="s">
        <v>3117</v>
      </c>
      <c r="E960" s="31" t="s">
        <v>3118</v>
      </c>
      <c r="F960" s="31">
        <v>4700000.0</v>
      </c>
      <c r="G960" s="31" t="s">
        <v>23</v>
      </c>
      <c r="I960" s="31" t="s">
        <v>229</v>
      </c>
      <c r="J960" s="31" t="s">
        <v>967</v>
      </c>
      <c r="K960" s="33" t="s">
        <v>3119</v>
      </c>
      <c r="L960" s="31" t="s">
        <v>252</v>
      </c>
      <c r="O960" s="31" t="s">
        <v>205</v>
      </c>
      <c r="X960" s="31" t="s">
        <v>569</v>
      </c>
    </row>
    <row r="961">
      <c r="A961" s="29">
        <v>45923.64060456018</v>
      </c>
      <c r="B961" s="30">
        <v>45923.0</v>
      </c>
      <c r="C961" s="31" t="s">
        <v>3120</v>
      </c>
      <c r="D961" s="32" t="s">
        <v>3121</v>
      </c>
      <c r="E961" s="31" t="s">
        <v>43</v>
      </c>
      <c r="F961" s="31">
        <v>2500000.0</v>
      </c>
      <c r="G961" s="31" t="s">
        <v>23</v>
      </c>
      <c r="I961" s="31" t="s">
        <v>229</v>
      </c>
      <c r="J961" s="31" t="s">
        <v>967</v>
      </c>
      <c r="K961" s="33" t="s">
        <v>3122</v>
      </c>
      <c r="L961" s="31" t="s">
        <v>252</v>
      </c>
      <c r="O961" s="31" t="s">
        <v>257</v>
      </c>
      <c r="P961" s="31" t="s">
        <v>206</v>
      </c>
    </row>
    <row r="962">
      <c r="A962" s="29">
        <v>45923.642215266205</v>
      </c>
      <c r="B962" s="30">
        <v>45923.0</v>
      </c>
      <c r="C962" s="31" t="s">
        <v>3123</v>
      </c>
      <c r="D962" s="32" t="s">
        <v>3124</v>
      </c>
      <c r="E962" s="31" t="s">
        <v>239</v>
      </c>
      <c r="F962" s="31">
        <v>3800000.0</v>
      </c>
      <c r="G962" s="31" t="s">
        <v>23</v>
      </c>
      <c r="I962" s="31" t="s">
        <v>229</v>
      </c>
      <c r="J962" s="31" t="s">
        <v>967</v>
      </c>
      <c r="K962" s="33" t="s">
        <v>3125</v>
      </c>
      <c r="L962" s="31" t="s">
        <v>202</v>
      </c>
      <c r="N962" s="31" t="s">
        <v>220</v>
      </c>
      <c r="S962" s="31" t="s">
        <v>59</v>
      </c>
    </row>
    <row r="963">
      <c r="A963" s="29">
        <v>45923.651276296296</v>
      </c>
      <c r="B963" s="30">
        <v>45923.0</v>
      </c>
      <c r="C963" s="31" t="s">
        <v>3126</v>
      </c>
      <c r="D963" s="32" t="s">
        <v>3127</v>
      </c>
      <c r="E963" s="31" t="s">
        <v>43</v>
      </c>
      <c r="F963" s="31">
        <v>5000000.0</v>
      </c>
      <c r="G963" s="31" t="s">
        <v>23</v>
      </c>
      <c r="I963" s="31" t="s">
        <v>229</v>
      </c>
      <c r="J963" s="31" t="s">
        <v>967</v>
      </c>
      <c r="K963" s="33" t="s">
        <v>3128</v>
      </c>
      <c r="L963" s="31" t="s">
        <v>202</v>
      </c>
      <c r="N963" s="31" t="s">
        <v>220</v>
      </c>
      <c r="S963" s="31" t="s">
        <v>124</v>
      </c>
    </row>
    <row r="964">
      <c r="A964" s="29">
        <v>45923.69927064815</v>
      </c>
      <c r="B964" s="30">
        <v>45923.0</v>
      </c>
      <c r="C964" s="31" t="s">
        <v>3129</v>
      </c>
      <c r="D964" s="32" t="s">
        <v>3130</v>
      </c>
      <c r="E964" s="31" t="s">
        <v>43</v>
      </c>
      <c r="F964" s="31">
        <v>5100000.0</v>
      </c>
      <c r="G964" s="31" t="s">
        <v>45</v>
      </c>
      <c r="I964" s="31" t="s">
        <v>229</v>
      </c>
      <c r="J964" s="31" t="s">
        <v>967</v>
      </c>
      <c r="K964" s="33" t="s">
        <v>3131</v>
      </c>
      <c r="L964" s="31" t="s">
        <v>252</v>
      </c>
      <c r="O964" s="31" t="s">
        <v>205</v>
      </c>
      <c r="X964" s="31" t="s">
        <v>2335</v>
      </c>
    </row>
    <row r="965">
      <c r="A965" s="29">
        <v>45923.72132641204</v>
      </c>
      <c r="B965" s="30">
        <v>45923.0</v>
      </c>
      <c r="C965" s="31" t="s">
        <v>3132</v>
      </c>
      <c r="D965" s="32" t="s">
        <v>3133</v>
      </c>
      <c r="E965" s="31" t="s">
        <v>31</v>
      </c>
      <c r="F965" s="31">
        <v>6700000.0</v>
      </c>
      <c r="G965" s="31" t="s">
        <v>23</v>
      </c>
      <c r="I965" s="31" t="s">
        <v>229</v>
      </c>
      <c r="J965" s="31" t="s">
        <v>967</v>
      </c>
      <c r="K965" s="33" t="s">
        <v>3134</v>
      </c>
      <c r="L965" s="31" t="s">
        <v>202</v>
      </c>
      <c r="N965" s="31" t="s">
        <v>313</v>
      </c>
      <c r="T965" s="31" t="s">
        <v>329</v>
      </c>
    </row>
    <row r="966">
      <c r="A966" s="29">
        <v>45923.76423127315</v>
      </c>
      <c r="B966" s="30">
        <v>45923.0</v>
      </c>
      <c r="C966" s="31" t="s">
        <v>3135</v>
      </c>
      <c r="D966" s="32" t="s">
        <v>3136</v>
      </c>
      <c r="E966" s="31" t="s">
        <v>288</v>
      </c>
      <c r="F966" s="31">
        <v>2700000.0</v>
      </c>
      <c r="G966" s="31" t="s">
        <v>23</v>
      </c>
      <c r="H966" s="31">
        <v>1600000.0</v>
      </c>
      <c r="I966" s="31" t="s">
        <v>413</v>
      </c>
      <c r="K966" s="33" t="s">
        <v>3137</v>
      </c>
      <c r="L966" s="31" t="s">
        <v>202</v>
      </c>
      <c r="M966" s="31" t="s">
        <v>203</v>
      </c>
      <c r="N966" s="31" t="s">
        <v>204</v>
      </c>
      <c r="R966" s="31" t="s">
        <v>90</v>
      </c>
    </row>
    <row r="967">
      <c r="A967" s="29">
        <v>45923.780444421296</v>
      </c>
      <c r="B967" s="30">
        <v>45923.0</v>
      </c>
      <c r="C967" s="31" t="s">
        <v>3138</v>
      </c>
      <c r="D967" s="32" t="s">
        <v>3139</v>
      </c>
      <c r="E967" s="31" t="s">
        <v>31</v>
      </c>
      <c r="F967" s="31">
        <v>3100000.0</v>
      </c>
      <c r="G967" s="31" t="s">
        <v>23</v>
      </c>
      <c r="H967" s="31">
        <v>3000000.0</v>
      </c>
      <c r="I967" s="31" t="s">
        <v>413</v>
      </c>
      <c r="K967" s="33" t="s">
        <v>3140</v>
      </c>
      <c r="L967" s="31" t="s">
        <v>202</v>
      </c>
      <c r="M967" s="31" t="s">
        <v>203</v>
      </c>
      <c r="N967" s="31" t="s">
        <v>871</v>
      </c>
      <c r="Q967" s="31" t="s">
        <v>1021</v>
      </c>
    </row>
    <row r="968">
      <c r="A968" s="29">
        <v>45923.80839586805</v>
      </c>
      <c r="B968" s="30">
        <v>45923.0</v>
      </c>
      <c r="C968" s="31" t="s">
        <v>3141</v>
      </c>
      <c r="D968" s="32" t="s">
        <v>3142</v>
      </c>
      <c r="E968" s="31" t="s">
        <v>2568</v>
      </c>
      <c r="F968" s="31">
        <v>5500000.0</v>
      </c>
      <c r="G968" s="31" t="s">
        <v>23</v>
      </c>
      <c r="I968" s="31" t="s">
        <v>229</v>
      </c>
      <c r="J968" s="31" t="s">
        <v>2420</v>
      </c>
      <c r="K968" s="33" t="s">
        <v>3143</v>
      </c>
      <c r="L968" s="31" t="s">
        <v>202</v>
      </c>
      <c r="N968" s="31" t="s">
        <v>215</v>
      </c>
      <c r="W968" s="31" t="s">
        <v>355</v>
      </c>
    </row>
    <row r="969">
      <c r="A969" s="29">
        <v>45923.81127387732</v>
      </c>
      <c r="B969" s="30">
        <v>45923.0</v>
      </c>
      <c r="C969" s="31" t="s">
        <v>3144</v>
      </c>
      <c r="D969" s="31" t="s">
        <v>3145</v>
      </c>
      <c r="E969" s="31" t="s">
        <v>3146</v>
      </c>
      <c r="F969" s="31">
        <v>5900000.0</v>
      </c>
      <c r="G969" s="31" t="s">
        <v>45</v>
      </c>
      <c r="I969" s="31" t="s">
        <v>229</v>
      </c>
      <c r="J969" s="31" t="s">
        <v>2420</v>
      </c>
      <c r="K969" s="33" t="s">
        <v>3147</v>
      </c>
      <c r="L969" s="31" t="s">
        <v>202</v>
      </c>
      <c r="N969" s="31" t="s">
        <v>215</v>
      </c>
      <c r="W969" s="31" t="s">
        <v>355</v>
      </c>
    </row>
    <row r="970">
      <c r="A970" s="29">
        <v>45923.813738310186</v>
      </c>
      <c r="B970" s="30">
        <v>45923.0</v>
      </c>
      <c r="C970" s="31" t="s">
        <v>3148</v>
      </c>
      <c r="D970" s="32" t="s">
        <v>3149</v>
      </c>
      <c r="E970" s="31" t="s">
        <v>2535</v>
      </c>
      <c r="F970" s="31">
        <v>5500000.0</v>
      </c>
      <c r="G970" s="31" t="s">
        <v>23</v>
      </c>
      <c r="H970" s="31">
        <v>3000000.0</v>
      </c>
      <c r="I970" s="31" t="s">
        <v>413</v>
      </c>
      <c r="K970" s="33" t="s">
        <v>3150</v>
      </c>
      <c r="L970" s="31" t="s">
        <v>202</v>
      </c>
      <c r="M970" s="31" t="s">
        <v>203</v>
      </c>
      <c r="N970" s="31" t="s">
        <v>215</v>
      </c>
      <c r="W970" s="31" t="s">
        <v>355</v>
      </c>
    </row>
    <row r="971">
      <c r="A971" s="29">
        <v>45923.8203305787</v>
      </c>
      <c r="B971" s="30">
        <v>45923.0</v>
      </c>
      <c r="C971" s="31" t="s">
        <v>3151</v>
      </c>
      <c r="D971" s="32" t="s">
        <v>3152</v>
      </c>
      <c r="E971" s="31" t="s">
        <v>43</v>
      </c>
      <c r="F971" s="31">
        <v>3800000.0</v>
      </c>
      <c r="G971" s="31" t="s">
        <v>23</v>
      </c>
      <c r="H971" s="31">
        <v>3000000.0</v>
      </c>
      <c r="I971" s="31" t="s">
        <v>200</v>
      </c>
      <c r="K971" s="33" t="s">
        <v>3153</v>
      </c>
      <c r="L971" s="31" t="s">
        <v>252</v>
      </c>
      <c r="M971" s="31" t="s">
        <v>203</v>
      </c>
      <c r="O971" s="31" t="s">
        <v>257</v>
      </c>
      <c r="P971" s="31" t="s">
        <v>258</v>
      </c>
    </row>
    <row r="972">
      <c r="A972" s="29">
        <v>45923.82233283565</v>
      </c>
      <c r="B972" s="30">
        <v>45923.0</v>
      </c>
      <c r="C972" s="31" t="s">
        <v>3154</v>
      </c>
      <c r="D972" s="32" t="s">
        <v>3155</v>
      </c>
      <c r="E972" s="31" t="s">
        <v>43</v>
      </c>
      <c r="F972" s="31">
        <v>3200000.0</v>
      </c>
      <c r="G972" s="31" t="s">
        <v>23</v>
      </c>
      <c r="H972" s="31">
        <v>3000000.0</v>
      </c>
      <c r="I972" s="31" t="s">
        <v>413</v>
      </c>
      <c r="K972" s="33" t="s">
        <v>3156</v>
      </c>
      <c r="L972" s="31" t="s">
        <v>252</v>
      </c>
      <c r="M972" s="31" t="s">
        <v>203</v>
      </c>
      <c r="O972" s="31" t="s">
        <v>257</v>
      </c>
      <c r="P972" s="31" t="s">
        <v>258</v>
      </c>
    </row>
    <row r="973">
      <c r="A973" s="29">
        <v>45923.82488649305</v>
      </c>
      <c r="B973" s="30">
        <v>45923.0</v>
      </c>
      <c r="C973" s="31" t="s">
        <v>3157</v>
      </c>
      <c r="D973" s="32" t="s">
        <v>3158</v>
      </c>
      <c r="E973" s="31" t="s">
        <v>239</v>
      </c>
      <c r="F973" s="31">
        <v>2700000.0</v>
      </c>
      <c r="G973" s="31" t="s">
        <v>23</v>
      </c>
      <c r="I973" s="31" t="s">
        <v>229</v>
      </c>
      <c r="J973" s="31" t="s">
        <v>967</v>
      </c>
      <c r="K973" s="33" t="s">
        <v>3159</v>
      </c>
      <c r="L973" s="31" t="s">
        <v>202</v>
      </c>
      <c r="N973" s="31" t="s">
        <v>204</v>
      </c>
      <c r="R973" s="31" t="s">
        <v>90</v>
      </c>
    </row>
    <row r="974">
      <c r="A974" s="29">
        <v>45923.83641105324</v>
      </c>
      <c r="B974" s="30">
        <v>45923.0</v>
      </c>
      <c r="C974" s="31" t="s">
        <v>3160</v>
      </c>
      <c r="D974" s="32" t="s">
        <v>3161</v>
      </c>
      <c r="E974" s="31" t="s">
        <v>121</v>
      </c>
      <c r="F974" s="31">
        <v>2900000.0</v>
      </c>
      <c r="G974" s="31" t="s">
        <v>45</v>
      </c>
      <c r="I974" s="31" t="s">
        <v>229</v>
      </c>
      <c r="J974" s="31" t="s">
        <v>967</v>
      </c>
      <c r="K974" s="33" t="s">
        <v>3162</v>
      </c>
      <c r="L974" s="31" t="s">
        <v>202</v>
      </c>
      <c r="N974" s="31" t="s">
        <v>204</v>
      </c>
      <c r="R974" s="31" t="s">
        <v>90</v>
      </c>
    </row>
    <row r="975">
      <c r="A975" s="29">
        <v>45923.84078903935</v>
      </c>
      <c r="B975" s="30">
        <v>45923.0</v>
      </c>
      <c r="C975" s="31" t="s">
        <v>3163</v>
      </c>
      <c r="D975" s="32" t="s">
        <v>3164</v>
      </c>
      <c r="E975" s="31" t="s">
        <v>3165</v>
      </c>
      <c r="F975" s="31">
        <v>6300000.0</v>
      </c>
      <c r="G975" s="31" t="s">
        <v>23</v>
      </c>
      <c r="I975" s="31" t="s">
        <v>229</v>
      </c>
      <c r="J975" s="31" t="s">
        <v>967</v>
      </c>
      <c r="K975" s="33" t="s">
        <v>3166</v>
      </c>
      <c r="L975" s="31" t="s">
        <v>202</v>
      </c>
      <c r="N975" s="31" t="s">
        <v>220</v>
      </c>
      <c r="S975" s="31" t="s">
        <v>83</v>
      </c>
    </row>
    <row r="976">
      <c r="A976" s="29">
        <v>45923.878602013894</v>
      </c>
      <c r="B976" s="30">
        <v>45923.0</v>
      </c>
      <c r="C976" s="31" t="s">
        <v>3167</v>
      </c>
      <c r="D976" s="32" t="s">
        <v>3168</v>
      </c>
      <c r="E976" s="31" t="s">
        <v>239</v>
      </c>
      <c r="F976" s="31">
        <v>2000000.0</v>
      </c>
      <c r="G976" s="31" t="s">
        <v>23</v>
      </c>
      <c r="I976" s="31" t="s">
        <v>229</v>
      </c>
      <c r="J976" s="31" t="s">
        <v>967</v>
      </c>
      <c r="K976" s="33" t="s">
        <v>3169</v>
      </c>
      <c r="L976" s="31" t="s">
        <v>252</v>
      </c>
      <c r="O976" s="31" t="s">
        <v>205</v>
      </c>
      <c r="X976" s="31" t="s">
        <v>1471</v>
      </c>
    </row>
    <row r="977">
      <c r="A977" s="29">
        <v>45923.91523138889</v>
      </c>
      <c r="B977" s="30">
        <v>45923.0</v>
      </c>
      <c r="C977" s="31" t="s">
        <v>3170</v>
      </c>
      <c r="D977" s="32" t="s">
        <v>3171</v>
      </c>
      <c r="E977" s="31" t="s">
        <v>43</v>
      </c>
      <c r="F977" s="31">
        <v>4500000.0</v>
      </c>
      <c r="G977" s="31" t="s">
        <v>23</v>
      </c>
      <c r="I977" s="31" t="s">
        <v>229</v>
      </c>
      <c r="J977" s="31" t="s">
        <v>967</v>
      </c>
      <c r="K977" s="33" t="s">
        <v>3172</v>
      </c>
      <c r="L977" s="31" t="s">
        <v>252</v>
      </c>
      <c r="O977" s="31" t="s">
        <v>205</v>
      </c>
      <c r="X977" s="31" t="s">
        <v>487</v>
      </c>
    </row>
    <row r="978">
      <c r="A978" s="29">
        <v>45924.441710335646</v>
      </c>
      <c r="B978" s="30">
        <v>45924.0</v>
      </c>
      <c r="C978" s="31" t="s">
        <v>3173</v>
      </c>
      <c r="D978" s="32" t="s">
        <v>3174</v>
      </c>
      <c r="E978" s="31" t="s">
        <v>31</v>
      </c>
      <c r="F978" s="31">
        <v>1.7E7</v>
      </c>
      <c r="G978" s="31" t="s">
        <v>23</v>
      </c>
      <c r="I978" s="31" t="s">
        <v>229</v>
      </c>
      <c r="J978" s="31" t="s">
        <v>967</v>
      </c>
      <c r="K978" s="33" t="s">
        <v>3175</v>
      </c>
      <c r="L978" s="31" t="s">
        <v>202</v>
      </c>
      <c r="N978" s="31" t="s">
        <v>204</v>
      </c>
      <c r="R978" s="31" t="s">
        <v>471</v>
      </c>
    </row>
    <row r="979">
      <c r="A979" s="29">
        <v>45924.449311041666</v>
      </c>
      <c r="B979" s="30">
        <v>45924.0</v>
      </c>
      <c r="C979" s="31" t="s">
        <v>3176</v>
      </c>
      <c r="D979" s="32" t="s">
        <v>3177</v>
      </c>
      <c r="E979" s="31" t="s">
        <v>3178</v>
      </c>
      <c r="F979" s="31">
        <v>7000000.0</v>
      </c>
      <c r="G979" s="31" t="s">
        <v>23</v>
      </c>
      <c r="I979" s="31" t="s">
        <v>229</v>
      </c>
      <c r="J979" s="31" t="s">
        <v>967</v>
      </c>
      <c r="K979" s="33" t="s">
        <v>3179</v>
      </c>
      <c r="L979" s="31" t="s">
        <v>202</v>
      </c>
      <c r="N979" s="31" t="s">
        <v>220</v>
      </c>
      <c r="S979" s="31" t="s">
        <v>1406</v>
      </c>
    </row>
    <row r="980">
      <c r="A980" s="29">
        <v>45924.45169019676</v>
      </c>
      <c r="B980" s="30">
        <v>45924.0</v>
      </c>
      <c r="C980" s="31" t="s">
        <v>3180</v>
      </c>
      <c r="D980" s="32" t="s">
        <v>3181</v>
      </c>
      <c r="E980" s="31" t="s">
        <v>3182</v>
      </c>
      <c r="F980" s="31">
        <v>2700000.0</v>
      </c>
      <c r="G980" s="31" t="s">
        <v>23</v>
      </c>
      <c r="I980" s="31" t="s">
        <v>229</v>
      </c>
      <c r="J980" s="31" t="s">
        <v>967</v>
      </c>
      <c r="K980" s="33" t="s">
        <v>3183</v>
      </c>
      <c r="L980" s="31" t="s">
        <v>252</v>
      </c>
      <c r="O980" s="31" t="s">
        <v>205</v>
      </c>
      <c r="X980" s="31" t="s">
        <v>2335</v>
      </c>
    </row>
    <row r="981">
      <c r="A981" s="29">
        <v>45924.46617009259</v>
      </c>
      <c r="B981" s="30">
        <v>45924.0</v>
      </c>
      <c r="C981" s="31" t="s">
        <v>3184</v>
      </c>
      <c r="D981" s="32" t="s">
        <v>3185</v>
      </c>
      <c r="E981" s="31" t="s">
        <v>31</v>
      </c>
      <c r="F981" s="31">
        <v>4000000.0</v>
      </c>
      <c r="G981" s="31" t="s">
        <v>23</v>
      </c>
      <c r="H981" s="31">
        <v>3000000.0</v>
      </c>
      <c r="I981" s="31" t="s">
        <v>413</v>
      </c>
      <c r="K981" s="33" t="s">
        <v>3186</v>
      </c>
      <c r="L981" s="31" t="s">
        <v>202</v>
      </c>
      <c r="M981" s="31" t="s">
        <v>203</v>
      </c>
      <c r="N981" s="31" t="s">
        <v>871</v>
      </c>
      <c r="Q981" s="31" t="s">
        <v>872</v>
      </c>
    </row>
    <row r="982">
      <c r="A982" s="29">
        <v>45924.469165891205</v>
      </c>
      <c r="B982" s="30">
        <v>45924.0</v>
      </c>
      <c r="C982" s="31" t="s">
        <v>3187</v>
      </c>
      <c r="D982" s="32" t="s">
        <v>3188</v>
      </c>
      <c r="E982" s="31" t="s">
        <v>213</v>
      </c>
      <c r="F982" s="31">
        <v>3100000.0</v>
      </c>
      <c r="G982" s="31" t="s">
        <v>23</v>
      </c>
      <c r="I982" s="31" t="s">
        <v>229</v>
      </c>
      <c r="J982" s="31" t="s">
        <v>967</v>
      </c>
      <c r="K982" s="33" t="s">
        <v>3189</v>
      </c>
      <c r="L982" s="31" t="s">
        <v>202</v>
      </c>
      <c r="N982" s="31" t="s">
        <v>204</v>
      </c>
      <c r="R982" s="31" t="s">
        <v>98</v>
      </c>
    </row>
    <row r="983">
      <c r="A983" s="29">
        <v>45924.48365317129</v>
      </c>
      <c r="B983" s="30">
        <v>45924.0</v>
      </c>
      <c r="C983" s="31" t="s">
        <v>3190</v>
      </c>
      <c r="D983" s="32" t="s">
        <v>3191</v>
      </c>
      <c r="E983" s="31" t="s">
        <v>3192</v>
      </c>
      <c r="F983" s="31">
        <v>1.0E7</v>
      </c>
      <c r="G983" s="31" t="s">
        <v>23</v>
      </c>
      <c r="H983" s="31">
        <v>3000000.0</v>
      </c>
      <c r="I983" s="31" t="s">
        <v>413</v>
      </c>
      <c r="K983" s="31" t="s">
        <v>3193</v>
      </c>
      <c r="L983" s="31" t="s">
        <v>252</v>
      </c>
      <c r="M983" s="31" t="s">
        <v>203</v>
      </c>
      <c r="O983" s="31" t="s">
        <v>257</v>
      </c>
      <c r="P983" s="31" t="s">
        <v>3194</v>
      </c>
    </row>
    <row r="984">
      <c r="A984" s="29">
        <v>45924.52707150463</v>
      </c>
      <c r="B984" s="30">
        <v>45924.0</v>
      </c>
      <c r="C984" s="31" t="s">
        <v>3195</v>
      </c>
      <c r="D984" s="32" t="s">
        <v>3196</v>
      </c>
      <c r="E984" s="31" t="s">
        <v>288</v>
      </c>
      <c r="F984" s="31">
        <v>4200000.0</v>
      </c>
      <c r="G984" s="31" t="s">
        <v>23</v>
      </c>
      <c r="H984" s="31">
        <v>10.0</v>
      </c>
      <c r="I984" s="31" t="s">
        <v>413</v>
      </c>
      <c r="K984" s="33" t="s">
        <v>3197</v>
      </c>
      <c r="L984" s="31" t="s">
        <v>202</v>
      </c>
      <c r="M984" s="31" t="s">
        <v>203</v>
      </c>
      <c r="N984" s="31" t="s">
        <v>204</v>
      </c>
      <c r="R984" s="31" t="s">
        <v>90</v>
      </c>
    </row>
    <row r="985">
      <c r="A985" s="29">
        <v>45924.527827384256</v>
      </c>
      <c r="B985" s="30">
        <v>45924.0</v>
      </c>
      <c r="C985" s="31" t="s">
        <v>3198</v>
      </c>
      <c r="D985" s="32" t="s">
        <v>3199</v>
      </c>
      <c r="E985" s="31" t="s">
        <v>121</v>
      </c>
      <c r="F985" s="31">
        <v>8100000.0</v>
      </c>
      <c r="G985" s="31" t="s">
        <v>23</v>
      </c>
      <c r="H985" s="31">
        <v>5000000.0</v>
      </c>
      <c r="I985" s="31" t="s">
        <v>413</v>
      </c>
      <c r="K985" s="33" t="s">
        <v>3200</v>
      </c>
      <c r="L985" s="31" t="s">
        <v>252</v>
      </c>
      <c r="M985" s="31" t="s">
        <v>926</v>
      </c>
      <c r="O985" s="31" t="s">
        <v>257</v>
      </c>
      <c r="P985" s="31" t="s">
        <v>272</v>
      </c>
    </row>
    <row r="986">
      <c r="A986" s="29">
        <v>45924.52963125</v>
      </c>
      <c r="B986" s="30">
        <v>45924.0</v>
      </c>
      <c r="C986" s="31" t="s">
        <v>3201</v>
      </c>
      <c r="D986" s="32" t="s">
        <v>3202</v>
      </c>
      <c r="E986" s="31" t="s">
        <v>43</v>
      </c>
      <c r="F986" s="31">
        <v>3700000.0</v>
      </c>
      <c r="G986" s="31" t="s">
        <v>23</v>
      </c>
      <c r="I986" s="31" t="s">
        <v>229</v>
      </c>
      <c r="J986" s="31" t="s">
        <v>967</v>
      </c>
      <c r="K986" s="33" t="s">
        <v>3203</v>
      </c>
      <c r="L986" s="31" t="s">
        <v>252</v>
      </c>
      <c r="O986" s="31" t="s">
        <v>257</v>
      </c>
      <c r="P986" s="31" t="s">
        <v>258</v>
      </c>
    </row>
    <row r="987">
      <c r="A987" s="29">
        <v>45924.61163105324</v>
      </c>
      <c r="B987" s="30">
        <v>45924.0</v>
      </c>
      <c r="C987" s="31" t="s">
        <v>3204</v>
      </c>
      <c r="D987" s="32" t="s">
        <v>3205</v>
      </c>
      <c r="E987" s="31" t="s">
        <v>283</v>
      </c>
      <c r="F987" s="31">
        <v>1.0E7</v>
      </c>
      <c r="G987" s="31" t="s">
        <v>23</v>
      </c>
      <c r="I987" s="31" t="s">
        <v>229</v>
      </c>
      <c r="J987" s="31" t="s">
        <v>967</v>
      </c>
      <c r="K987" s="33" t="s">
        <v>3206</v>
      </c>
      <c r="L987" s="31" t="s">
        <v>252</v>
      </c>
      <c r="O987" s="31" t="s">
        <v>257</v>
      </c>
      <c r="P987" s="31" t="s">
        <v>3194</v>
      </c>
    </row>
    <row r="988">
      <c r="A988" s="29">
        <v>45924.626599131945</v>
      </c>
      <c r="B988" s="30">
        <v>45924.0</v>
      </c>
      <c r="C988" s="31" t="s">
        <v>3207</v>
      </c>
      <c r="D988" s="32" t="s">
        <v>3208</v>
      </c>
      <c r="E988" s="31" t="s">
        <v>199</v>
      </c>
      <c r="F988" s="31">
        <v>6000000.0</v>
      </c>
      <c r="G988" s="31" t="s">
        <v>23</v>
      </c>
      <c r="I988" s="31" t="s">
        <v>229</v>
      </c>
      <c r="J988" s="31" t="s">
        <v>967</v>
      </c>
      <c r="K988" s="33" t="s">
        <v>3209</v>
      </c>
      <c r="L988" s="31" t="s">
        <v>252</v>
      </c>
      <c r="O988" s="31" t="s">
        <v>257</v>
      </c>
      <c r="P988" s="31" t="s">
        <v>258</v>
      </c>
    </row>
    <row r="989">
      <c r="A989" s="29">
        <v>45924.62892905093</v>
      </c>
      <c r="B989" s="30">
        <v>45924.0</v>
      </c>
      <c r="C989" s="31" t="s">
        <v>3210</v>
      </c>
      <c r="D989" s="32" t="s">
        <v>3211</v>
      </c>
      <c r="E989" s="31" t="s">
        <v>43</v>
      </c>
      <c r="F989" s="31">
        <v>3500000.0</v>
      </c>
      <c r="G989" s="31" t="s">
        <v>23</v>
      </c>
      <c r="I989" s="31" t="s">
        <v>229</v>
      </c>
      <c r="J989" s="31" t="s">
        <v>967</v>
      </c>
      <c r="K989" s="33" t="s">
        <v>3212</v>
      </c>
      <c r="L989" s="31" t="s">
        <v>252</v>
      </c>
      <c r="O989" s="31" t="s">
        <v>257</v>
      </c>
      <c r="P989" s="31" t="s">
        <v>258</v>
      </c>
    </row>
    <row r="990">
      <c r="A990" s="29">
        <v>45924.66475707176</v>
      </c>
      <c r="B990" s="30">
        <v>45924.0</v>
      </c>
      <c r="C990" s="31" t="s">
        <v>3213</v>
      </c>
      <c r="D990" s="32" t="s">
        <v>3214</v>
      </c>
      <c r="E990" s="31" t="s">
        <v>43</v>
      </c>
      <c r="F990" s="31">
        <v>4700000.0</v>
      </c>
      <c r="G990" s="31" t="s">
        <v>23</v>
      </c>
      <c r="I990" s="31" t="s">
        <v>229</v>
      </c>
      <c r="J990" s="31" t="s">
        <v>967</v>
      </c>
      <c r="K990" s="33" t="s">
        <v>3215</v>
      </c>
      <c r="L990" s="31" t="s">
        <v>252</v>
      </c>
      <c r="O990" s="31" t="s">
        <v>205</v>
      </c>
      <c r="X990" s="31" t="s">
        <v>569</v>
      </c>
    </row>
    <row r="991">
      <c r="A991" s="29">
        <v>45924.69542099537</v>
      </c>
      <c r="B991" s="30">
        <v>45924.0</v>
      </c>
      <c r="C991" s="31" t="s">
        <v>3216</v>
      </c>
      <c r="D991" s="32" t="s">
        <v>3217</v>
      </c>
      <c r="E991" s="31" t="s">
        <v>199</v>
      </c>
      <c r="F991" s="31">
        <v>4000000.0</v>
      </c>
      <c r="G991" s="31" t="s">
        <v>23</v>
      </c>
      <c r="H991" s="31">
        <v>5000000.0</v>
      </c>
      <c r="I991" s="31" t="s">
        <v>200</v>
      </c>
      <c r="K991" s="33" t="s">
        <v>3218</v>
      </c>
      <c r="L991" s="31" t="s">
        <v>252</v>
      </c>
      <c r="M991" s="31" t="s">
        <v>203</v>
      </c>
      <c r="O991" s="31" t="s">
        <v>205</v>
      </c>
      <c r="X991" s="31" t="s">
        <v>549</v>
      </c>
    </row>
    <row r="992">
      <c r="A992" s="29">
        <v>45924.69663925926</v>
      </c>
      <c r="B992" s="30">
        <v>45924.0</v>
      </c>
      <c r="C992" s="31" t="s">
        <v>3219</v>
      </c>
      <c r="D992" s="32" t="s">
        <v>3220</v>
      </c>
      <c r="E992" s="31" t="s">
        <v>43</v>
      </c>
      <c r="F992" s="31">
        <v>2500000.0</v>
      </c>
      <c r="G992" s="31" t="s">
        <v>23</v>
      </c>
      <c r="I992" s="31" t="s">
        <v>229</v>
      </c>
      <c r="J992" s="31" t="s">
        <v>967</v>
      </c>
      <c r="K992" s="33" t="s">
        <v>3221</v>
      </c>
      <c r="L992" s="31" t="s">
        <v>202</v>
      </c>
      <c r="N992" s="31" t="s">
        <v>871</v>
      </c>
      <c r="Q992" s="31" t="s">
        <v>1021</v>
      </c>
    </row>
    <row r="993">
      <c r="A993" s="29">
        <v>45924.76323391203</v>
      </c>
      <c r="B993" s="30">
        <v>45924.0</v>
      </c>
      <c r="C993" s="31" t="s">
        <v>3222</v>
      </c>
      <c r="D993" s="32" t="s">
        <v>3223</v>
      </c>
      <c r="E993" s="31" t="s">
        <v>43</v>
      </c>
      <c r="F993" s="34">
        <v>5000.0</v>
      </c>
      <c r="G993" s="31" t="s">
        <v>23</v>
      </c>
      <c r="I993" s="31" t="s">
        <v>229</v>
      </c>
      <c r="J993" s="31" t="s">
        <v>967</v>
      </c>
      <c r="K993" s="33" t="s">
        <v>3224</v>
      </c>
      <c r="L993" s="31" t="s">
        <v>202</v>
      </c>
      <c r="N993" s="31" t="s">
        <v>871</v>
      </c>
      <c r="Q993" s="31" t="s">
        <v>2403</v>
      </c>
    </row>
    <row r="994">
      <c r="A994" s="29">
        <v>45924.79845778935</v>
      </c>
      <c r="B994" s="30">
        <v>45924.0</v>
      </c>
      <c r="C994" s="31" t="s">
        <v>3225</v>
      </c>
      <c r="D994" s="32" t="s">
        <v>3226</v>
      </c>
      <c r="E994" s="31" t="s">
        <v>43</v>
      </c>
      <c r="F994" s="31">
        <v>4400000.0</v>
      </c>
      <c r="G994" s="31" t="s">
        <v>23</v>
      </c>
      <c r="I994" s="31" t="s">
        <v>229</v>
      </c>
      <c r="J994" s="31" t="s">
        <v>967</v>
      </c>
      <c r="K994" s="33" t="s">
        <v>3227</v>
      </c>
      <c r="L994" s="31" t="s">
        <v>252</v>
      </c>
      <c r="O994" s="31" t="s">
        <v>257</v>
      </c>
      <c r="P994" s="31" t="s">
        <v>258</v>
      </c>
    </row>
    <row r="995">
      <c r="A995" s="29">
        <v>45924.82987126157</v>
      </c>
      <c r="B995" s="30">
        <v>45924.0</v>
      </c>
      <c r="C995" s="31" t="s">
        <v>3228</v>
      </c>
      <c r="D995" s="32" t="s">
        <v>3229</v>
      </c>
      <c r="E995" s="31" t="s">
        <v>199</v>
      </c>
      <c r="F995" s="31">
        <v>3000000.0</v>
      </c>
      <c r="G995" s="31" t="s">
        <v>23</v>
      </c>
      <c r="H995" s="31">
        <v>3000000.0</v>
      </c>
      <c r="I995" s="31" t="s">
        <v>200</v>
      </c>
      <c r="K995" s="33" t="s">
        <v>3230</v>
      </c>
      <c r="L995" s="31" t="s">
        <v>252</v>
      </c>
      <c r="M995" s="31" t="s">
        <v>203</v>
      </c>
      <c r="O995" s="31" t="s">
        <v>205</v>
      </c>
      <c r="X995" s="31" t="s">
        <v>549</v>
      </c>
    </row>
    <row r="996">
      <c r="A996" s="29">
        <v>45924.835734594904</v>
      </c>
      <c r="B996" s="30">
        <v>45924.0</v>
      </c>
      <c r="C996" s="31" t="s">
        <v>3231</v>
      </c>
      <c r="D996" s="32" t="s">
        <v>3232</v>
      </c>
      <c r="E996" s="31" t="s">
        <v>1093</v>
      </c>
      <c r="F996" s="31">
        <v>3000000.0</v>
      </c>
      <c r="G996" s="31" t="s">
        <v>23</v>
      </c>
      <c r="H996" s="31">
        <v>3000000.0</v>
      </c>
      <c r="I996" s="31" t="s">
        <v>200</v>
      </c>
      <c r="K996" s="33" t="s">
        <v>3233</v>
      </c>
      <c r="L996" s="31" t="s">
        <v>252</v>
      </c>
      <c r="M996" s="31" t="s">
        <v>203</v>
      </c>
      <c r="O996" s="31" t="s">
        <v>205</v>
      </c>
      <c r="X996" s="31" t="s">
        <v>549</v>
      </c>
    </row>
    <row r="997">
      <c r="A997" s="29">
        <v>45924.839107499996</v>
      </c>
      <c r="B997" s="30">
        <v>45924.0</v>
      </c>
      <c r="C997" s="31" t="s">
        <v>3234</v>
      </c>
      <c r="D997" s="32" t="s">
        <v>3235</v>
      </c>
      <c r="E997" s="31" t="s">
        <v>43</v>
      </c>
      <c r="F997" s="31">
        <v>4900000.0</v>
      </c>
      <c r="G997" s="31" t="s">
        <v>23</v>
      </c>
      <c r="I997" s="31" t="s">
        <v>229</v>
      </c>
      <c r="J997" s="31" t="s">
        <v>967</v>
      </c>
      <c r="K997" s="33" t="s">
        <v>3236</v>
      </c>
      <c r="L997" s="31" t="s">
        <v>202</v>
      </c>
      <c r="N997" s="31" t="s">
        <v>220</v>
      </c>
      <c r="S997" s="31" t="s">
        <v>59</v>
      </c>
    </row>
    <row r="998">
      <c r="A998" s="29">
        <v>45924.86000533565</v>
      </c>
      <c r="B998" s="30">
        <v>45924.0</v>
      </c>
      <c r="C998" s="31" t="s">
        <v>3237</v>
      </c>
      <c r="D998" s="32" t="s">
        <v>3238</v>
      </c>
      <c r="E998" s="31" t="s">
        <v>43</v>
      </c>
      <c r="F998" s="31">
        <v>3000000.0</v>
      </c>
      <c r="G998" s="31" t="s">
        <v>23</v>
      </c>
      <c r="I998" s="31" t="s">
        <v>229</v>
      </c>
      <c r="J998" s="31" t="s">
        <v>967</v>
      </c>
      <c r="K998" s="33" t="s">
        <v>3239</v>
      </c>
      <c r="L998" s="31" t="s">
        <v>202</v>
      </c>
      <c r="N998" s="31" t="s">
        <v>204</v>
      </c>
      <c r="R998" s="31" t="s">
        <v>53</v>
      </c>
    </row>
    <row r="999">
      <c r="A999" s="29">
        <v>45924.86808541667</v>
      </c>
      <c r="B999" s="30">
        <v>45924.0</v>
      </c>
      <c r="C999" s="31" t="s">
        <v>3240</v>
      </c>
      <c r="D999" s="32" t="s">
        <v>3241</v>
      </c>
      <c r="E999" s="31" t="s">
        <v>43</v>
      </c>
      <c r="F999" s="31">
        <v>4600000.0</v>
      </c>
      <c r="G999" s="31" t="s">
        <v>23</v>
      </c>
      <c r="I999" s="31" t="s">
        <v>229</v>
      </c>
      <c r="J999" s="31" t="s">
        <v>967</v>
      </c>
      <c r="K999" s="33" t="s">
        <v>3242</v>
      </c>
      <c r="L999" s="31" t="s">
        <v>202</v>
      </c>
      <c r="N999" s="31" t="s">
        <v>220</v>
      </c>
      <c r="S999" s="31" t="s">
        <v>83</v>
      </c>
    </row>
    <row r="1000">
      <c r="A1000" s="29">
        <v>45924.87031709491</v>
      </c>
      <c r="B1000" s="30">
        <v>45924.0</v>
      </c>
      <c r="C1000" s="31" t="s">
        <v>3243</v>
      </c>
      <c r="D1000" s="32" t="s">
        <v>3244</v>
      </c>
      <c r="E1000" s="31" t="s">
        <v>31</v>
      </c>
      <c r="F1000" s="31">
        <v>5600000.0</v>
      </c>
      <c r="G1000" s="31" t="s">
        <v>23</v>
      </c>
      <c r="I1000" s="31" t="s">
        <v>229</v>
      </c>
      <c r="J1000" s="31" t="s">
        <v>967</v>
      </c>
      <c r="K1000" s="33" t="s">
        <v>3245</v>
      </c>
      <c r="L1000" s="31" t="s">
        <v>202</v>
      </c>
      <c r="N1000" s="31" t="s">
        <v>220</v>
      </c>
      <c r="S1000" s="31" t="s">
        <v>83</v>
      </c>
    </row>
    <row r="1001">
      <c r="A1001" s="29">
        <v>45924.8717466088</v>
      </c>
      <c r="B1001" s="30">
        <v>45924.0</v>
      </c>
      <c r="C1001" s="31" t="s">
        <v>3246</v>
      </c>
      <c r="D1001" s="32" t="s">
        <v>3247</v>
      </c>
      <c r="E1001" s="31" t="s">
        <v>31</v>
      </c>
      <c r="F1001" s="31">
        <v>4000000.0</v>
      </c>
      <c r="G1001" s="31" t="s">
        <v>23</v>
      </c>
      <c r="H1001" s="31">
        <v>3000000.0</v>
      </c>
      <c r="I1001" s="31" t="s">
        <v>413</v>
      </c>
      <c r="K1001" s="33" t="s">
        <v>3248</v>
      </c>
      <c r="L1001" s="31" t="s">
        <v>202</v>
      </c>
      <c r="M1001" s="31" t="s">
        <v>435</v>
      </c>
      <c r="N1001" s="31" t="s">
        <v>204</v>
      </c>
      <c r="R1001" s="31" t="s">
        <v>53</v>
      </c>
    </row>
    <row r="1002">
      <c r="A1002" s="29">
        <v>45924.89301020833</v>
      </c>
      <c r="B1002" s="30">
        <v>45924.0</v>
      </c>
      <c r="C1002" s="31" t="s">
        <v>3249</v>
      </c>
      <c r="D1002" s="32" t="s">
        <v>2475</v>
      </c>
      <c r="E1002" s="31" t="s">
        <v>43</v>
      </c>
      <c r="F1002" s="31">
        <v>3400000.0</v>
      </c>
      <c r="G1002" s="31" t="s">
        <v>23</v>
      </c>
      <c r="I1002" s="31" t="s">
        <v>229</v>
      </c>
      <c r="J1002" s="31" t="s">
        <v>967</v>
      </c>
      <c r="K1002" s="33" t="s">
        <v>3250</v>
      </c>
      <c r="L1002" s="31" t="s">
        <v>202</v>
      </c>
      <c r="N1002" s="31" t="s">
        <v>220</v>
      </c>
      <c r="S1002" s="31" t="s">
        <v>83</v>
      </c>
    </row>
    <row r="1003">
      <c r="A1003" s="29">
        <v>45924.919720694445</v>
      </c>
      <c r="B1003" s="30">
        <v>45924.0</v>
      </c>
      <c r="C1003" s="31" t="s">
        <v>3251</v>
      </c>
      <c r="D1003" s="32" t="s">
        <v>3252</v>
      </c>
      <c r="E1003" s="31" t="s">
        <v>784</v>
      </c>
      <c r="F1003" s="31">
        <v>6000000.0</v>
      </c>
      <c r="G1003" s="31" t="s">
        <v>23</v>
      </c>
      <c r="I1003" s="31" t="s">
        <v>229</v>
      </c>
      <c r="J1003" s="31" t="s">
        <v>967</v>
      </c>
      <c r="K1003" s="33" t="s">
        <v>3253</v>
      </c>
      <c r="L1003" s="31" t="s">
        <v>202</v>
      </c>
      <c r="N1003" s="31" t="s">
        <v>204</v>
      </c>
      <c r="R1003" s="31" t="s">
        <v>47</v>
      </c>
    </row>
    <row r="1004">
      <c r="A1004" s="29">
        <v>45925.425054039355</v>
      </c>
      <c r="B1004" s="30">
        <v>45925.0</v>
      </c>
      <c r="C1004" s="31" t="s">
        <v>3254</v>
      </c>
      <c r="D1004" s="32" t="s">
        <v>3255</v>
      </c>
      <c r="E1004" s="31" t="s">
        <v>3256</v>
      </c>
      <c r="F1004" s="31">
        <v>5000000.0</v>
      </c>
      <c r="G1004" s="31" t="s">
        <v>23</v>
      </c>
      <c r="I1004" s="31" t="s">
        <v>229</v>
      </c>
      <c r="J1004" s="31" t="s">
        <v>967</v>
      </c>
      <c r="K1004" s="33" t="s">
        <v>3257</v>
      </c>
      <c r="L1004" s="31" t="s">
        <v>202</v>
      </c>
      <c r="N1004" s="31" t="s">
        <v>313</v>
      </c>
      <c r="T1004" s="31" t="s">
        <v>384</v>
      </c>
    </row>
    <row r="1005">
      <c r="A1005" s="29">
        <v>45925.447293668985</v>
      </c>
      <c r="B1005" s="30">
        <v>45925.0</v>
      </c>
      <c r="C1005" s="31" t="s">
        <v>3258</v>
      </c>
      <c r="D1005" s="32" t="s">
        <v>3259</v>
      </c>
      <c r="E1005" s="31" t="s">
        <v>3063</v>
      </c>
      <c r="F1005" s="31">
        <v>3500000.0</v>
      </c>
      <c r="G1005" s="31" t="s">
        <v>23</v>
      </c>
      <c r="I1005" s="31" t="s">
        <v>229</v>
      </c>
      <c r="J1005" s="31" t="s">
        <v>967</v>
      </c>
      <c r="K1005" s="33" t="s">
        <v>3260</v>
      </c>
      <c r="L1005" s="31" t="s">
        <v>202</v>
      </c>
      <c r="N1005" s="31" t="s">
        <v>204</v>
      </c>
      <c r="R1005" s="31" t="s">
        <v>98</v>
      </c>
    </row>
    <row r="1006">
      <c r="A1006" s="29">
        <v>45925.48133765046</v>
      </c>
      <c r="B1006" s="30">
        <v>45925.0</v>
      </c>
      <c r="C1006" s="31" t="s">
        <v>3261</v>
      </c>
      <c r="D1006" s="32" t="s">
        <v>3262</v>
      </c>
      <c r="E1006" s="31" t="s">
        <v>31</v>
      </c>
      <c r="F1006" s="31">
        <v>5500000.0</v>
      </c>
      <c r="G1006" s="31" t="s">
        <v>23</v>
      </c>
      <c r="H1006" s="31">
        <v>3000000.0</v>
      </c>
      <c r="I1006" s="31" t="s">
        <v>413</v>
      </c>
      <c r="K1006" s="33" t="s">
        <v>3263</v>
      </c>
      <c r="L1006" s="31" t="s">
        <v>202</v>
      </c>
      <c r="M1006" s="31" t="s">
        <v>203</v>
      </c>
      <c r="N1006" s="31" t="s">
        <v>204</v>
      </c>
      <c r="R1006" s="31" t="s">
        <v>207</v>
      </c>
    </row>
    <row r="1007">
      <c r="A1007" s="29">
        <v>45925.51385081018</v>
      </c>
      <c r="B1007" s="30">
        <v>45925.0</v>
      </c>
      <c r="C1007" s="31" t="s">
        <v>3264</v>
      </c>
      <c r="D1007" s="32" t="s">
        <v>3265</v>
      </c>
      <c r="E1007" s="31" t="s">
        <v>31</v>
      </c>
      <c r="F1007" s="31">
        <v>3600000.0</v>
      </c>
      <c r="G1007" s="31" t="s">
        <v>23</v>
      </c>
      <c r="I1007" s="31" t="s">
        <v>229</v>
      </c>
      <c r="J1007" s="31" t="s">
        <v>967</v>
      </c>
      <c r="K1007" s="33" t="s">
        <v>3266</v>
      </c>
      <c r="L1007" s="31" t="s">
        <v>252</v>
      </c>
      <c r="O1007" s="31" t="s">
        <v>205</v>
      </c>
      <c r="X1007" s="31" t="s">
        <v>452</v>
      </c>
    </row>
    <row r="1008">
      <c r="A1008" s="29">
        <v>45925.57869332176</v>
      </c>
      <c r="B1008" s="30">
        <v>45925.0</v>
      </c>
      <c r="C1008" s="31" t="s">
        <v>3267</v>
      </c>
      <c r="D1008" s="32" t="s">
        <v>3268</v>
      </c>
      <c r="E1008" s="31" t="s">
        <v>43</v>
      </c>
      <c r="F1008" s="31">
        <v>1.4E7</v>
      </c>
      <c r="G1008" s="31" t="s">
        <v>23</v>
      </c>
      <c r="I1008" s="31" t="s">
        <v>229</v>
      </c>
      <c r="J1008" s="31" t="s">
        <v>967</v>
      </c>
      <c r="K1008" s="33" t="s">
        <v>3269</v>
      </c>
      <c r="L1008" s="31" t="s">
        <v>202</v>
      </c>
      <c r="N1008" s="31" t="s">
        <v>204</v>
      </c>
      <c r="R1008" s="31" t="s">
        <v>471</v>
      </c>
    </row>
    <row r="1009">
      <c r="A1009" s="29">
        <v>45925.63775375</v>
      </c>
      <c r="B1009" s="30">
        <v>45925.0</v>
      </c>
      <c r="C1009" s="31" t="s">
        <v>3270</v>
      </c>
      <c r="D1009" s="32" t="s">
        <v>3271</v>
      </c>
      <c r="E1009" s="31" t="s">
        <v>317</v>
      </c>
      <c r="F1009" s="31">
        <v>2000000.0</v>
      </c>
      <c r="G1009" s="31" t="s">
        <v>23</v>
      </c>
      <c r="I1009" s="31" t="s">
        <v>229</v>
      </c>
      <c r="J1009" s="31" t="s">
        <v>165</v>
      </c>
      <c r="K1009" s="33" t="s">
        <v>3272</v>
      </c>
      <c r="L1009" s="31" t="s">
        <v>202</v>
      </c>
      <c r="N1009" s="31" t="s">
        <v>215</v>
      </c>
      <c r="W1009" s="31" t="s">
        <v>216</v>
      </c>
    </row>
    <row r="1010">
      <c r="A1010" s="29">
        <v>45925.64225888889</v>
      </c>
      <c r="B1010" s="30">
        <v>45925.0</v>
      </c>
      <c r="C1010" s="31" t="s">
        <v>3273</v>
      </c>
      <c r="D1010" s="32" t="s">
        <v>3274</v>
      </c>
      <c r="E1010" s="31" t="s">
        <v>199</v>
      </c>
      <c r="F1010" s="31">
        <v>3700000.0</v>
      </c>
      <c r="G1010" s="31" t="s">
        <v>23</v>
      </c>
      <c r="I1010" s="31" t="s">
        <v>229</v>
      </c>
      <c r="J1010" s="31" t="s">
        <v>967</v>
      </c>
      <c r="K1010" s="33" t="s">
        <v>3275</v>
      </c>
      <c r="L1010" s="31" t="s">
        <v>252</v>
      </c>
      <c r="O1010" s="31" t="s">
        <v>257</v>
      </c>
      <c r="P1010" s="31" t="s">
        <v>258</v>
      </c>
    </row>
    <row r="1011">
      <c r="A1011" s="29">
        <v>45925.66192042824</v>
      </c>
      <c r="B1011" s="30">
        <v>45925.0</v>
      </c>
      <c r="C1011" s="31" t="s">
        <v>3276</v>
      </c>
      <c r="D1011" s="32" t="s">
        <v>3277</v>
      </c>
      <c r="E1011" s="31" t="s">
        <v>199</v>
      </c>
      <c r="F1011" s="31">
        <v>4000000.0</v>
      </c>
      <c r="G1011" s="31" t="s">
        <v>23</v>
      </c>
      <c r="H1011" s="31">
        <v>5000000.0</v>
      </c>
      <c r="I1011" s="31" t="s">
        <v>200</v>
      </c>
      <c r="K1011" s="33" t="s">
        <v>3278</v>
      </c>
      <c r="L1011" s="31" t="s">
        <v>202</v>
      </c>
      <c r="M1011" s="31" t="s">
        <v>383</v>
      </c>
      <c r="N1011" s="31" t="s">
        <v>500</v>
      </c>
      <c r="V1011" s="31" t="s">
        <v>501</v>
      </c>
    </row>
    <row r="1012">
      <c r="A1012" s="29">
        <v>45925.693296770834</v>
      </c>
      <c r="B1012" s="30">
        <v>45925.0</v>
      </c>
      <c r="C1012" s="31" t="s">
        <v>3279</v>
      </c>
      <c r="D1012" s="32" t="s">
        <v>3280</v>
      </c>
      <c r="E1012" s="31" t="s">
        <v>1093</v>
      </c>
      <c r="F1012" s="31">
        <v>3000000.0</v>
      </c>
      <c r="G1012" s="31" t="s">
        <v>23</v>
      </c>
      <c r="H1012" s="31">
        <v>3000000.0</v>
      </c>
      <c r="I1012" s="31" t="s">
        <v>200</v>
      </c>
      <c r="K1012" s="33" t="s">
        <v>3281</v>
      </c>
      <c r="L1012" s="31" t="s">
        <v>252</v>
      </c>
      <c r="M1012" s="31" t="s">
        <v>203</v>
      </c>
      <c r="O1012" s="31" t="s">
        <v>205</v>
      </c>
      <c r="X1012" s="31" t="s">
        <v>549</v>
      </c>
    </row>
    <row r="1013">
      <c r="A1013" s="29">
        <v>45925.71185225694</v>
      </c>
      <c r="B1013" s="30">
        <v>45925.0</v>
      </c>
      <c r="C1013" s="31" t="s">
        <v>3282</v>
      </c>
      <c r="D1013" s="32" t="s">
        <v>3283</v>
      </c>
      <c r="E1013" s="31" t="s">
        <v>43</v>
      </c>
      <c r="F1013" s="31">
        <v>5600000.0</v>
      </c>
      <c r="G1013" s="31" t="s">
        <v>45</v>
      </c>
      <c r="I1013" s="31" t="s">
        <v>229</v>
      </c>
      <c r="J1013" s="31" t="s">
        <v>967</v>
      </c>
      <c r="K1013" s="33" t="s">
        <v>3284</v>
      </c>
      <c r="L1013" s="31" t="s">
        <v>202</v>
      </c>
      <c r="N1013" s="31" t="s">
        <v>204</v>
      </c>
      <c r="R1013" s="31" t="s">
        <v>98</v>
      </c>
    </row>
    <row r="1014">
      <c r="A1014" s="29">
        <v>45925.76973800926</v>
      </c>
      <c r="B1014" s="30">
        <v>45925.0</v>
      </c>
      <c r="C1014" s="31" t="s">
        <v>3285</v>
      </c>
      <c r="D1014" s="32" t="s">
        <v>3286</v>
      </c>
      <c r="E1014" s="31" t="s">
        <v>288</v>
      </c>
      <c r="F1014" s="31">
        <v>2300000.0</v>
      </c>
      <c r="G1014" s="31" t="s">
        <v>23</v>
      </c>
      <c r="I1014" s="31" t="s">
        <v>229</v>
      </c>
      <c r="J1014" s="31" t="s">
        <v>967</v>
      </c>
      <c r="K1014" s="33" t="s">
        <v>3287</v>
      </c>
      <c r="L1014" s="31" t="s">
        <v>202</v>
      </c>
      <c r="N1014" s="31" t="s">
        <v>204</v>
      </c>
      <c r="R1014" s="31" t="s">
        <v>148</v>
      </c>
    </row>
    <row r="1015">
      <c r="A1015" s="29">
        <v>45925.770920462965</v>
      </c>
      <c r="B1015" s="30">
        <v>45925.0</v>
      </c>
      <c r="C1015" s="31" t="s">
        <v>3288</v>
      </c>
      <c r="D1015" s="32" t="s">
        <v>3289</v>
      </c>
      <c r="E1015" s="31" t="s">
        <v>43</v>
      </c>
      <c r="F1015" s="31">
        <v>3200000.0</v>
      </c>
      <c r="G1015" s="31" t="s">
        <v>23</v>
      </c>
      <c r="I1015" s="31" t="s">
        <v>229</v>
      </c>
      <c r="J1015" s="31" t="s">
        <v>967</v>
      </c>
      <c r="K1015" s="33" t="s">
        <v>3290</v>
      </c>
      <c r="L1015" s="31" t="s">
        <v>202</v>
      </c>
      <c r="N1015" s="31" t="s">
        <v>204</v>
      </c>
      <c r="R1015" s="31" t="s">
        <v>148</v>
      </c>
    </row>
    <row r="1016">
      <c r="A1016" s="29">
        <v>45925.80675703703</v>
      </c>
      <c r="B1016" s="30">
        <v>45925.0</v>
      </c>
      <c r="C1016" s="31" t="s">
        <v>3291</v>
      </c>
      <c r="D1016" s="32" t="s">
        <v>3292</v>
      </c>
      <c r="E1016" s="31" t="s">
        <v>31</v>
      </c>
      <c r="F1016" s="31">
        <v>2800000.0</v>
      </c>
      <c r="G1016" s="31" t="s">
        <v>23</v>
      </c>
      <c r="I1016" s="31" t="s">
        <v>229</v>
      </c>
      <c r="J1016" s="31" t="s">
        <v>967</v>
      </c>
      <c r="K1016" s="33" t="s">
        <v>3293</v>
      </c>
      <c r="L1016" s="31" t="s">
        <v>202</v>
      </c>
      <c r="N1016" s="31" t="s">
        <v>204</v>
      </c>
      <c r="R1016" s="31" t="s">
        <v>148</v>
      </c>
    </row>
    <row r="1017">
      <c r="A1017" s="29">
        <v>45925.8076321875</v>
      </c>
      <c r="B1017" s="30">
        <v>45925.0</v>
      </c>
      <c r="C1017" s="31" t="s">
        <v>3294</v>
      </c>
      <c r="D1017" s="32" t="s">
        <v>3295</v>
      </c>
      <c r="E1017" s="31" t="s">
        <v>31</v>
      </c>
      <c r="F1017" s="31">
        <v>3200000.0</v>
      </c>
      <c r="G1017" s="31" t="s">
        <v>23</v>
      </c>
      <c r="I1017" s="31" t="s">
        <v>229</v>
      </c>
      <c r="J1017" s="31" t="s">
        <v>967</v>
      </c>
      <c r="K1017" s="33" t="s">
        <v>3296</v>
      </c>
      <c r="L1017" s="31" t="s">
        <v>202</v>
      </c>
      <c r="N1017" s="31" t="s">
        <v>204</v>
      </c>
      <c r="R1017" s="31" t="s">
        <v>148</v>
      </c>
    </row>
    <row r="1018">
      <c r="A1018" s="29">
        <v>45925.81917231482</v>
      </c>
      <c r="B1018" s="30">
        <v>45925.0</v>
      </c>
      <c r="C1018" s="31" t="s">
        <v>3297</v>
      </c>
      <c r="D1018" s="32" t="s">
        <v>3298</v>
      </c>
      <c r="E1018" s="31" t="s">
        <v>43</v>
      </c>
      <c r="F1018" s="31">
        <v>1.01E7</v>
      </c>
      <c r="G1018" s="31" t="s">
        <v>45</v>
      </c>
      <c r="H1018" s="31">
        <v>3000000.0</v>
      </c>
      <c r="I1018" s="31" t="s">
        <v>413</v>
      </c>
      <c r="K1018" s="33" t="s">
        <v>3299</v>
      </c>
      <c r="L1018" s="31" t="s">
        <v>252</v>
      </c>
      <c r="M1018" s="31" t="s">
        <v>203</v>
      </c>
      <c r="O1018" s="31" t="s">
        <v>257</v>
      </c>
      <c r="P1018" s="31" t="s">
        <v>272</v>
      </c>
    </row>
    <row r="1019">
      <c r="A1019" s="29">
        <v>45925.81950693287</v>
      </c>
      <c r="B1019" s="30">
        <v>45925.0</v>
      </c>
      <c r="C1019" s="31" t="s">
        <v>3300</v>
      </c>
      <c r="D1019" s="32" t="s">
        <v>3301</v>
      </c>
      <c r="E1019" s="31" t="s">
        <v>43</v>
      </c>
      <c r="F1019" s="31">
        <v>3100000.0</v>
      </c>
      <c r="G1019" s="31" t="s">
        <v>23</v>
      </c>
      <c r="H1019" s="31">
        <v>3000000.0</v>
      </c>
      <c r="I1019" s="31" t="s">
        <v>200</v>
      </c>
      <c r="K1019" s="33" t="s">
        <v>3302</v>
      </c>
      <c r="L1019" s="31" t="s">
        <v>252</v>
      </c>
      <c r="M1019" s="31" t="s">
        <v>383</v>
      </c>
      <c r="O1019" s="31" t="s">
        <v>205</v>
      </c>
      <c r="X1019" s="31" t="s">
        <v>452</v>
      </c>
    </row>
    <row r="1020">
      <c r="A1020" s="29">
        <v>45925.82308526621</v>
      </c>
      <c r="B1020" s="30">
        <v>45925.0</v>
      </c>
      <c r="C1020" s="31" t="s">
        <v>3303</v>
      </c>
      <c r="D1020" s="32" t="s">
        <v>3304</v>
      </c>
      <c r="E1020" s="31" t="s">
        <v>199</v>
      </c>
      <c r="F1020" s="31">
        <v>5500000.0</v>
      </c>
      <c r="G1020" s="31" t="s">
        <v>45</v>
      </c>
      <c r="I1020" s="31" t="s">
        <v>229</v>
      </c>
      <c r="J1020" s="31" t="s">
        <v>967</v>
      </c>
      <c r="K1020" s="33" t="s">
        <v>3305</v>
      </c>
      <c r="L1020" s="31" t="s">
        <v>252</v>
      </c>
      <c r="O1020" s="31" t="s">
        <v>205</v>
      </c>
      <c r="X1020" s="31" t="s">
        <v>2335</v>
      </c>
    </row>
    <row r="1021">
      <c r="A1021" s="29">
        <v>45925.91977519676</v>
      </c>
      <c r="B1021" s="30">
        <v>45925.0</v>
      </c>
      <c r="C1021" s="31" t="s">
        <v>3306</v>
      </c>
      <c r="D1021" s="32" t="s">
        <v>1401</v>
      </c>
      <c r="E1021" s="31" t="s">
        <v>43</v>
      </c>
      <c r="F1021" s="31">
        <v>3500000.0</v>
      </c>
      <c r="G1021" s="31" t="s">
        <v>23</v>
      </c>
      <c r="I1021" s="31" t="s">
        <v>229</v>
      </c>
      <c r="J1021" s="31" t="s">
        <v>967</v>
      </c>
      <c r="K1021" s="33" t="s">
        <v>3307</v>
      </c>
      <c r="L1021" s="31" t="s">
        <v>202</v>
      </c>
      <c r="N1021" s="31" t="s">
        <v>220</v>
      </c>
      <c r="S1021" s="31" t="s">
        <v>83</v>
      </c>
    </row>
    <row r="1022">
      <c r="A1022" s="29">
        <v>45925.92199824074</v>
      </c>
      <c r="B1022" s="30">
        <v>45925.0</v>
      </c>
      <c r="C1022" s="31" t="s">
        <v>3308</v>
      </c>
      <c r="D1022" s="32" t="s">
        <v>3309</v>
      </c>
      <c r="E1022" s="31" t="s">
        <v>43</v>
      </c>
      <c r="F1022" s="31">
        <v>3000000.0</v>
      </c>
      <c r="G1022" s="31" t="s">
        <v>45</v>
      </c>
      <c r="I1022" s="31" t="s">
        <v>229</v>
      </c>
      <c r="J1022" s="31" t="s">
        <v>967</v>
      </c>
      <c r="K1022" s="33" t="s">
        <v>3310</v>
      </c>
      <c r="L1022" s="31" t="s">
        <v>202</v>
      </c>
      <c r="N1022" s="31" t="s">
        <v>204</v>
      </c>
      <c r="R1022" s="31" t="s">
        <v>28</v>
      </c>
    </row>
    <row r="1023">
      <c r="A1023" s="29">
        <v>45926.50393229167</v>
      </c>
      <c r="B1023" s="30">
        <v>45926.0</v>
      </c>
      <c r="C1023" s="31" t="s">
        <v>3311</v>
      </c>
      <c r="D1023" s="32" t="s">
        <v>3312</v>
      </c>
      <c r="E1023" s="31" t="s">
        <v>228</v>
      </c>
      <c r="F1023" s="31">
        <v>1800000.0</v>
      </c>
      <c r="G1023" s="31" t="s">
        <v>23</v>
      </c>
      <c r="I1023" s="31" t="s">
        <v>229</v>
      </c>
      <c r="J1023" s="31" t="s">
        <v>967</v>
      </c>
      <c r="K1023" s="33" t="s">
        <v>3313</v>
      </c>
      <c r="L1023" s="31" t="s">
        <v>252</v>
      </c>
      <c r="O1023" s="31" t="s">
        <v>205</v>
      </c>
      <c r="X1023" s="31" t="s">
        <v>1471</v>
      </c>
    </row>
    <row r="1024">
      <c r="A1024" s="29">
        <v>45926.52438420139</v>
      </c>
      <c r="B1024" s="30">
        <v>45926.0</v>
      </c>
      <c r="C1024" s="31" t="s">
        <v>3314</v>
      </c>
      <c r="D1024" s="32" t="s">
        <v>3315</v>
      </c>
      <c r="E1024" s="31" t="s">
        <v>261</v>
      </c>
      <c r="F1024" s="31">
        <v>6700000.0</v>
      </c>
      <c r="G1024" s="31" t="s">
        <v>23</v>
      </c>
      <c r="H1024" s="31">
        <v>3000000.0</v>
      </c>
      <c r="I1024" s="31" t="s">
        <v>200</v>
      </c>
      <c r="K1024" s="33" t="s">
        <v>3316</v>
      </c>
      <c r="L1024" s="31" t="s">
        <v>202</v>
      </c>
      <c r="M1024" s="31" t="s">
        <v>203</v>
      </c>
      <c r="N1024" s="31" t="s">
        <v>667</v>
      </c>
      <c r="U1024" s="31" t="s">
        <v>668</v>
      </c>
    </row>
    <row r="1025">
      <c r="A1025" s="29">
        <v>45926.54918203704</v>
      </c>
      <c r="B1025" s="30">
        <v>45926.0</v>
      </c>
      <c r="C1025" s="31" t="s">
        <v>3317</v>
      </c>
      <c r="D1025" s="32" t="s">
        <v>3318</v>
      </c>
      <c r="E1025" s="31" t="s">
        <v>31</v>
      </c>
      <c r="F1025" s="31">
        <v>6100000.0</v>
      </c>
      <c r="G1025" s="31" t="s">
        <v>23</v>
      </c>
      <c r="H1025" s="31">
        <v>3000000.0</v>
      </c>
      <c r="I1025" s="31" t="s">
        <v>413</v>
      </c>
      <c r="K1025" s="33" t="s">
        <v>3319</v>
      </c>
      <c r="L1025" s="31" t="s">
        <v>202</v>
      </c>
      <c r="M1025" s="31" t="s">
        <v>203</v>
      </c>
      <c r="N1025" s="31" t="s">
        <v>204</v>
      </c>
      <c r="R1025" s="31" t="s">
        <v>53</v>
      </c>
    </row>
    <row r="1026">
      <c r="A1026" s="29">
        <v>45926.55299010417</v>
      </c>
      <c r="B1026" s="30">
        <v>45926.0</v>
      </c>
      <c r="C1026" s="31" t="s">
        <v>3320</v>
      </c>
      <c r="D1026" s="32" t="s">
        <v>3321</v>
      </c>
      <c r="E1026" s="31" t="s">
        <v>43</v>
      </c>
      <c r="F1026" s="31">
        <v>3000000.0</v>
      </c>
      <c r="G1026" s="31" t="s">
        <v>23</v>
      </c>
      <c r="I1026" s="31" t="s">
        <v>229</v>
      </c>
      <c r="J1026" s="31" t="s">
        <v>967</v>
      </c>
      <c r="K1026" s="33" t="s">
        <v>3322</v>
      </c>
      <c r="L1026" s="31" t="s">
        <v>252</v>
      </c>
      <c r="O1026" s="31" t="s">
        <v>257</v>
      </c>
      <c r="P1026" s="31" t="s">
        <v>258</v>
      </c>
    </row>
    <row r="1027">
      <c r="A1027" s="29">
        <v>45926.553119502314</v>
      </c>
      <c r="B1027" s="30">
        <v>45926.0</v>
      </c>
      <c r="C1027" s="31" t="s">
        <v>3323</v>
      </c>
      <c r="D1027" s="32" t="s">
        <v>3324</v>
      </c>
      <c r="E1027" s="31" t="s">
        <v>31</v>
      </c>
      <c r="F1027" s="31">
        <v>3500000.0</v>
      </c>
      <c r="G1027" s="31" t="s">
        <v>23</v>
      </c>
      <c r="H1027" s="31">
        <v>3000000.0</v>
      </c>
      <c r="I1027" s="31" t="s">
        <v>413</v>
      </c>
      <c r="K1027" s="33" t="s">
        <v>3325</v>
      </c>
      <c r="L1027" s="31" t="s">
        <v>202</v>
      </c>
      <c r="M1027" s="31" t="s">
        <v>203</v>
      </c>
      <c r="N1027" s="31" t="s">
        <v>204</v>
      </c>
      <c r="R1027" s="31" t="s">
        <v>148</v>
      </c>
    </row>
    <row r="1028">
      <c r="A1028" s="29">
        <v>45926.55343612269</v>
      </c>
      <c r="B1028" s="30">
        <v>45926.0</v>
      </c>
      <c r="C1028" s="31" t="s">
        <v>3326</v>
      </c>
      <c r="D1028" s="32" t="s">
        <v>3327</v>
      </c>
      <c r="E1028" s="31" t="s">
        <v>43</v>
      </c>
      <c r="F1028" s="31">
        <v>4500000.0</v>
      </c>
      <c r="G1028" s="31" t="s">
        <v>23</v>
      </c>
      <c r="I1028" s="31" t="s">
        <v>229</v>
      </c>
      <c r="J1028" s="31" t="s">
        <v>165</v>
      </c>
      <c r="K1028" s="33" t="s">
        <v>3328</v>
      </c>
      <c r="L1028" s="31" t="s">
        <v>202</v>
      </c>
      <c r="N1028" s="31" t="s">
        <v>220</v>
      </c>
      <c r="S1028" s="31" t="s">
        <v>59</v>
      </c>
    </row>
    <row r="1029">
      <c r="A1029" s="29">
        <v>45926.554749965275</v>
      </c>
      <c r="B1029" s="30">
        <v>45926.0</v>
      </c>
      <c r="C1029" s="31" t="s">
        <v>3329</v>
      </c>
      <c r="D1029" s="32" t="s">
        <v>3330</v>
      </c>
      <c r="E1029" s="31" t="s">
        <v>3331</v>
      </c>
      <c r="F1029" s="34">
        <v>7500.0</v>
      </c>
      <c r="G1029" s="31" t="s">
        <v>23</v>
      </c>
      <c r="H1029" s="34">
        <v>3000.0</v>
      </c>
      <c r="I1029" s="31" t="s">
        <v>413</v>
      </c>
      <c r="K1029" s="33" t="s">
        <v>3332</v>
      </c>
      <c r="L1029" s="31" t="s">
        <v>202</v>
      </c>
      <c r="M1029" s="31" t="s">
        <v>435</v>
      </c>
      <c r="N1029" s="31" t="s">
        <v>871</v>
      </c>
      <c r="Q1029" s="31" t="s">
        <v>2403</v>
      </c>
    </row>
    <row r="1030">
      <c r="A1030" s="29">
        <v>45926.57527420139</v>
      </c>
      <c r="B1030" s="30">
        <v>45926.0</v>
      </c>
      <c r="C1030" s="31" t="s">
        <v>3333</v>
      </c>
      <c r="D1030" s="32" t="s">
        <v>3334</v>
      </c>
      <c r="E1030" s="31" t="s">
        <v>43</v>
      </c>
      <c r="F1030" s="31">
        <v>1.0E7</v>
      </c>
      <c r="G1030" s="31" t="s">
        <v>45</v>
      </c>
      <c r="H1030" s="31">
        <v>3000000.0</v>
      </c>
      <c r="I1030" s="31" t="s">
        <v>413</v>
      </c>
      <c r="K1030" s="33" t="s">
        <v>3335</v>
      </c>
      <c r="L1030" s="31" t="s">
        <v>252</v>
      </c>
      <c r="M1030" s="31" t="s">
        <v>203</v>
      </c>
      <c r="O1030" s="31" t="s">
        <v>257</v>
      </c>
      <c r="P1030" s="31" t="s">
        <v>272</v>
      </c>
    </row>
    <row r="1031">
      <c r="A1031" s="29">
        <v>45926.59392211806</v>
      </c>
      <c r="B1031" s="30">
        <v>45926.0</v>
      </c>
      <c r="C1031" s="31" t="s">
        <v>3336</v>
      </c>
      <c r="D1031" s="32" t="s">
        <v>3337</v>
      </c>
      <c r="E1031" s="31" t="s">
        <v>3338</v>
      </c>
      <c r="F1031" s="31">
        <v>6100000.0</v>
      </c>
      <c r="G1031" s="31" t="s">
        <v>23</v>
      </c>
      <c r="H1031" s="31">
        <v>5000000.0</v>
      </c>
      <c r="I1031" s="31" t="s">
        <v>200</v>
      </c>
      <c r="K1031" s="33" t="s">
        <v>3339</v>
      </c>
      <c r="L1031" s="31" t="s">
        <v>202</v>
      </c>
      <c r="M1031" s="31" t="s">
        <v>203</v>
      </c>
      <c r="N1031" s="31" t="s">
        <v>313</v>
      </c>
      <c r="T1031" s="31" t="s">
        <v>384</v>
      </c>
    </row>
    <row r="1032">
      <c r="A1032" s="29">
        <v>45926.62194210648</v>
      </c>
      <c r="B1032" s="30">
        <v>45926.0</v>
      </c>
      <c r="C1032" s="31" t="s">
        <v>3340</v>
      </c>
      <c r="D1032" s="32" t="s">
        <v>3341</v>
      </c>
      <c r="E1032" s="31" t="s">
        <v>31</v>
      </c>
      <c r="F1032" s="31">
        <v>3200000.0</v>
      </c>
      <c r="G1032" s="31" t="s">
        <v>23</v>
      </c>
      <c r="H1032" s="31">
        <v>3000000.0</v>
      </c>
      <c r="I1032" s="31" t="s">
        <v>413</v>
      </c>
      <c r="K1032" s="33" t="s">
        <v>3342</v>
      </c>
      <c r="L1032" s="31" t="s">
        <v>202</v>
      </c>
      <c r="M1032" s="31" t="s">
        <v>203</v>
      </c>
      <c r="N1032" s="31" t="s">
        <v>204</v>
      </c>
      <c r="R1032" s="31" t="s">
        <v>98</v>
      </c>
    </row>
    <row r="1033">
      <c r="A1033" s="29">
        <v>45926.64519780093</v>
      </c>
      <c r="B1033" s="30">
        <v>45926.0</v>
      </c>
      <c r="C1033" s="31" t="s">
        <v>3343</v>
      </c>
      <c r="D1033" s="32" t="s">
        <v>3344</v>
      </c>
      <c r="E1033" s="31" t="s">
        <v>43</v>
      </c>
      <c r="F1033" s="31">
        <v>4000000.0</v>
      </c>
      <c r="G1033" s="31" t="s">
        <v>23</v>
      </c>
      <c r="I1033" s="31" t="s">
        <v>229</v>
      </c>
      <c r="J1033" s="31" t="s">
        <v>967</v>
      </c>
      <c r="K1033" s="33" t="s">
        <v>3345</v>
      </c>
      <c r="L1033" s="31" t="s">
        <v>202</v>
      </c>
      <c r="N1033" s="31" t="s">
        <v>871</v>
      </c>
      <c r="Q1033" s="31" t="s">
        <v>872</v>
      </c>
    </row>
    <row r="1034">
      <c r="A1034" s="29">
        <v>45926.70877895833</v>
      </c>
      <c r="B1034" s="30">
        <v>45926.0</v>
      </c>
      <c r="C1034" s="31" t="s">
        <v>3346</v>
      </c>
      <c r="D1034" s="32" t="s">
        <v>3347</v>
      </c>
      <c r="E1034" s="31" t="s">
        <v>3348</v>
      </c>
      <c r="F1034" s="31">
        <v>3500000.0</v>
      </c>
      <c r="G1034" s="31" t="s">
        <v>23</v>
      </c>
      <c r="I1034" s="31" t="s">
        <v>229</v>
      </c>
      <c r="J1034" s="31" t="s">
        <v>967</v>
      </c>
      <c r="K1034" s="33" t="s">
        <v>3349</v>
      </c>
      <c r="L1034" s="31" t="s">
        <v>202</v>
      </c>
      <c r="N1034" s="31" t="s">
        <v>220</v>
      </c>
      <c r="S1034" s="31" t="s">
        <v>59</v>
      </c>
    </row>
    <row r="1035">
      <c r="A1035" s="29">
        <v>45926.739776331015</v>
      </c>
      <c r="B1035" s="30">
        <v>45926.0</v>
      </c>
      <c r="C1035" s="31" t="s">
        <v>3350</v>
      </c>
      <c r="D1035" s="32" t="s">
        <v>3351</v>
      </c>
      <c r="E1035" s="31" t="s">
        <v>31</v>
      </c>
      <c r="F1035" s="31">
        <v>6000000.0</v>
      </c>
      <c r="G1035" s="31" t="s">
        <v>23</v>
      </c>
      <c r="I1035" s="31" t="s">
        <v>229</v>
      </c>
      <c r="J1035" s="31" t="s">
        <v>967</v>
      </c>
      <c r="K1035" s="33" t="s">
        <v>3352</v>
      </c>
      <c r="L1035" s="31" t="s">
        <v>202</v>
      </c>
      <c r="N1035" s="31" t="s">
        <v>313</v>
      </c>
      <c r="T1035" s="31" t="s">
        <v>329</v>
      </c>
    </row>
    <row r="1036">
      <c r="A1036" s="29">
        <v>45926.742748703706</v>
      </c>
      <c r="B1036" s="30">
        <v>45926.0</v>
      </c>
      <c r="C1036" s="31" t="s">
        <v>3353</v>
      </c>
      <c r="D1036" s="32" t="s">
        <v>3354</v>
      </c>
      <c r="E1036" s="31" t="s">
        <v>43</v>
      </c>
      <c r="F1036" s="31">
        <v>3800000.0</v>
      </c>
      <c r="G1036" s="31" t="s">
        <v>23</v>
      </c>
      <c r="H1036" s="31">
        <v>3000000.0</v>
      </c>
      <c r="I1036" s="31" t="s">
        <v>413</v>
      </c>
      <c r="K1036" s="33" t="s">
        <v>3355</v>
      </c>
      <c r="L1036" s="31" t="s">
        <v>202</v>
      </c>
      <c r="M1036" s="31" t="s">
        <v>203</v>
      </c>
      <c r="N1036" s="31" t="s">
        <v>215</v>
      </c>
      <c r="W1036" s="31" t="s">
        <v>355</v>
      </c>
    </row>
    <row r="1037">
      <c r="A1037" s="29">
        <v>45926.745901076385</v>
      </c>
      <c r="B1037" s="30">
        <v>45926.0</v>
      </c>
      <c r="C1037" s="31" t="s">
        <v>3356</v>
      </c>
      <c r="D1037" s="32" t="s">
        <v>3357</v>
      </c>
      <c r="E1037" s="31" t="s">
        <v>31</v>
      </c>
      <c r="F1037" s="31">
        <v>500000.0</v>
      </c>
      <c r="G1037" s="31" t="s">
        <v>23</v>
      </c>
      <c r="I1037" s="31" t="s">
        <v>229</v>
      </c>
      <c r="J1037" s="31" t="s">
        <v>967</v>
      </c>
      <c r="K1037" s="33" t="s">
        <v>3358</v>
      </c>
      <c r="L1037" s="31" t="s">
        <v>202</v>
      </c>
      <c r="N1037" s="31" t="s">
        <v>313</v>
      </c>
      <c r="T1037" s="31" t="s">
        <v>329</v>
      </c>
    </row>
    <row r="1038">
      <c r="A1038" s="29">
        <v>45926.75040222223</v>
      </c>
      <c r="B1038" s="30">
        <v>45926.0</v>
      </c>
      <c r="C1038" s="31" t="s">
        <v>3359</v>
      </c>
      <c r="D1038" s="32" t="s">
        <v>3360</v>
      </c>
      <c r="E1038" s="31" t="s">
        <v>31</v>
      </c>
      <c r="F1038" s="31">
        <v>1.4E7</v>
      </c>
      <c r="G1038" s="31" t="s">
        <v>23</v>
      </c>
      <c r="I1038" s="31" t="s">
        <v>229</v>
      </c>
      <c r="J1038" s="31" t="s">
        <v>967</v>
      </c>
      <c r="K1038" s="33" t="s">
        <v>3361</v>
      </c>
      <c r="L1038" s="31" t="s">
        <v>202</v>
      </c>
      <c r="N1038" s="31" t="s">
        <v>204</v>
      </c>
      <c r="R1038" s="31" t="s">
        <v>471</v>
      </c>
    </row>
    <row r="1039">
      <c r="A1039" s="29">
        <v>45926.76083247685</v>
      </c>
      <c r="B1039" s="30">
        <v>45926.0</v>
      </c>
      <c r="C1039" s="31" t="s">
        <v>3362</v>
      </c>
      <c r="D1039" s="32" t="s">
        <v>3363</v>
      </c>
      <c r="E1039" s="31" t="s">
        <v>43</v>
      </c>
      <c r="F1039" s="31">
        <v>3800000.0</v>
      </c>
      <c r="G1039" s="31" t="s">
        <v>23</v>
      </c>
      <c r="H1039" s="31">
        <v>3000000.0</v>
      </c>
      <c r="I1039" s="31" t="s">
        <v>200</v>
      </c>
      <c r="K1039" s="33" t="s">
        <v>3364</v>
      </c>
      <c r="L1039" s="31" t="s">
        <v>202</v>
      </c>
      <c r="M1039" s="31" t="s">
        <v>203</v>
      </c>
      <c r="N1039" s="31" t="s">
        <v>215</v>
      </c>
      <c r="W1039" s="31" t="s">
        <v>355</v>
      </c>
    </row>
    <row r="1040">
      <c r="A1040" s="29">
        <v>45926.790312094905</v>
      </c>
      <c r="B1040" s="30">
        <v>45926.0</v>
      </c>
      <c r="C1040" s="31" t="s">
        <v>3365</v>
      </c>
      <c r="D1040" s="32" t="s">
        <v>3366</v>
      </c>
      <c r="E1040" s="31" t="s">
        <v>3367</v>
      </c>
      <c r="F1040" s="31">
        <v>3100000.0</v>
      </c>
      <c r="G1040" s="31" t="s">
        <v>23</v>
      </c>
      <c r="I1040" s="31" t="s">
        <v>229</v>
      </c>
      <c r="J1040" s="31" t="s">
        <v>967</v>
      </c>
      <c r="K1040" s="33" t="s">
        <v>3368</v>
      </c>
      <c r="L1040" s="31" t="s">
        <v>202</v>
      </c>
      <c r="N1040" s="31" t="s">
        <v>313</v>
      </c>
      <c r="T1040" s="31" t="s">
        <v>384</v>
      </c>
    </row>
    <row r="1041">
      <c r="A1041" s="29">
        <v>45926.81201076389</v>
      </c>
      <c r="B1041" s="30">
        <v>45926.0</v>
      </c>
      <c r="C1041" s="31" t="s">
        <v>3369</v>
      </c>
      <c r="D1041" s="32" t="s">
        <v>3370</v>
      </c>
      <c r="E1041" s="31" t="s">
        <v>31</v>
      </c>
      <c r="F1041" s="31">
        <v>5100000.0</v>
      </c>
      <c r="G1041" s="31" t="s">
        <v>23</v>
      </c>
      <c r="I1041" s="31" t="s">
        <v>229</v>
      </c>
      <c r="J1041" s="31" t="s">
        <v>165</v>
      </c>
      <c r="K1041" s="33" t="s">
        <v>3371</v>
      </c>
      <c r="L1041" s="31" t="s">
        <v>202</v>
      </c>
      <c r="N1041" s="31" t="s">
        <v>667</v>
      </c>
      <c r="U1041" s="31" t="s">
        <v>668</v>
      </c>
    </row>
    <row r="1042">
      <c r="A1042" s="29">
        <v>45926.848798692125</v>
      </c>
      <c r="B1042" s="30">
        <v>45926.0</v>
      </c>
      <c r="C1042" s="31" t="s">
        <v>3372</v>
      </c>
      <c r="D1042" s="32" t="s">
        <v>3373</v>
      </c>
      <c r="E1042" s="31" t="s">
        <v>43</v>
      </c>
      <c r="F1042" s="31">
        <v>3700000.0</v>
      </c>
      <c r="G1042" s="31" t="s">
        <v>23</v>
      </c>
      <c r="I1042" s="31" t="s">
        <v>229</v>
      </c>
      <c r="J1042" s="31" t="s">
        <v>2420</v>
      </c>
      <c r="K1042" s="33" t="s">
        <v>3374</v>
      </c>
      <c r="L1042" s="31" t="s">
        <v>202</v>
      </c>
      <c r="N1042" s="31" t="s">
        <v>215</v>
      </c>
      <c r="W1042" s="31" t="s">
        <v>355</v>
      </c>
    </row>
    <row r="1043">
      <c r="A1043" s="29">
        <v>45926.878587604166</v>
      </c>
      <c r="B1043" s="30">
        <v>45926.0</v>
      </c>
      <c r="C1043" s="31" t="s">
        <v>3375</v>
      </c>
      <c r="D1043" s="32" t="s">
        <v>3376</v>
      </c>
      <c r="E1043" s="31" t="s">
        <v>31</v>
      </c>
      <c r="F1043" s="31">
        <v>2400000.0</v>
      </c>
      <c r="G1043" s="31" t="s">
        <v>23</v>
      </c>
      <c r="I1043" s="31" t="s">
        <v>229</v>
      </c>
      <c r="J1043" s="31" t="s">
        <v>967</v>
      </c>
      <c r="K1043" s="33" t="s">
        <v>3377</v>
      </c>
      <c r="L1043" s="31" t="s">
        <v>202</v>
      </c>
      <c r="N1043" s="31" t="s">
        <v>204</v>
      </c>
      <c r="R1043" s="31" t="s">
        <v>148</v>
      </c>
    </row>
    <row r="1044">
      <c r="A1044" s="29">
        <v>45926.87900973379</v>
      </c>
      <c r="B1044" s="30">
        <v>45926.0</v>
      </c>
      <c r="C1044" s="31" t="s">
        <v>3378</v>
      </c>
      <c r="D1044" s="32" t="s">
        <v>2475</v>
      </c>
      <c r="E1044" s="31" t="s">
        <v>31</v>
      </c>
      <c r="F1044" s="31">
        <v>5400000.0</v>
      </c>
      <c r="G1044" s="31" t="s">
        <v>23</v>
      </c>
      <c r="I1044" s="31" t="s">
        <v>229</v>
      </c>
      <c r="J1044" s="31" t="s">
        <v>967</v>
      </c>
      <c r="K1044" s="33" t="s">
        <v>3379</v>
      </c>
      <c r="L1044" s="31" t="s">
        <v>202</v>
      </c>
      <c r="N1044" s="31" t="s">
        <v>220</v>
      </c>
      <c r="S1044" s="31" t="s">
        <v>83</v>
      </c>
    </row>
    <row r="1045">
      <c r="A1045" s="29">
        <v>45926.92449547454</v>
      </c>
      <c r="B1045" s="30">
        <v>45926.0</v>
      </c>
      <c r="C1045" s="31" t="s">
        <v>3380</v>
      </c>
      <c r="D1045" s="32" t="s">
        <v>3381</v>
      </c>
      <c r="E1045" s="31" t="s">
        <v>43</v>
      </c>
      <c r="F1045" s="31">
        <v>9000000.0</v>
      </c>
      <c r="G1045" s="31" t="s">
        <v>45</v>
      </c>
      <c r="H1045" s="31">
        <v>1.0E7</v>
      </c>
      <c r="I1045" s="31" t="s">
        <v>200</v>
      </c>
      <c r="K1045" s="33" t="s">
        <v>3382</v>
      </c>
      <c r="L1045" s="31" t="s">
        <v>202</v>
      </c>
      <c r="M1045" s="31" t="s">
        <v>605</v>
      </c>
      <c r="N1045" s="31" t="s">
        <v>215</v>
      </c>
      <c r="W1045" s="31" t="s">
        <v>355</v>
      </c>
    </row>
    <row r="1046">
      <c r="A1046" s="29">
        <v>45927.386481828704</v>
      </c>
      <c r="B1046" s="30">
        <v>45927.0</v>
      </c>
      <c r="C1046" s="31" t="s">
        <v>3383</v>
      </c>
      <c r="D1046" s="32" t="s">
        <v>3384</v>
      </c>
      <c r="E1046" s="31" t="s">
        <v>43</v>
      </c>
      <c r="F1046" s="31">
        <v>5400000.0</v>
      </c>
      <c r="G1046" s="31" t="s">
        <v>23</v>
      </c>
      <c r="I1046" s="31" t="s">
        <v>229</v>
      </c>
      <c r="J1046" s="31" t="s">
        <v>967</v>
      </c>
      <c r="K1046" s="33" t="s">
        <v>3385</v>
      </c>
      <c r="L1046" s="31" t="s">
        <v>252</v>
      </c>
      <c r="O1046" s="31" t="s">
        <v>205</v>
      </c>
      <c r="X1046" s="31" t="s">
        <v>569</v>
      </c>
    </row>
    <row r="1047">
      <c r="A1047" s="29">
        <v>45927.445560231485</v>
      </c>
      <c r="B1047" s="30">
        <v>45927.0</v>
      </c>
      <c r="C1047" s="31" t="s">
        <v>3386</v>
      </c>
      <c r="D1047" s="32" t="s">
        <v>3387</v>
      </c>
      <c r="E1047" s="31" t="s">
        <v>199</v>
      </c>
      <c r="F1047" s="31">
        <v>2400000.0</v>
      </c>
      <c r="G1047" s="31" t="s">
        <v>23</v>
      </c>
      <c r="I1047" s="31" t="s">
        <v>229</v>
      </c>
      <c r="J1047" s="31" t="s">
        <v>967</v>
      </c>
      <c r="K1047" s="33" t="s">
        <v>3388</v>
      </c>
      <c r="L1047" s="31" t="s">
        <v>202</v>
      </c>
      <c r="N1047" s="31" t="s">
        <v>204</v>
      </c>
      <c r="R1047" s="31" t="s">
        <v>148</v>
      </c>
    </row>
    <row r="1048">
      <c r="A1048" s="29">
        <v>45927.45622936342</v>
      </c>
      <c r="B1048" s="30">
        <v>45927.0</v>
      </c>
      <c r="C1048" s="31" t="s">
        <v>3389</v>
      </c>
      <c r="D1048" s="31">
        <v>0.0</v>
      </c>
      <c r="E1048" s="31" t="s">
        <v>239</v>
      </c>
      <c r="F1048" s="31">
        <v>1000000.0</v>
      </c>
      <c r="G1048" s="31" t="s">
        <v>23</v>
      </c>
      <c r="I1048" s="31" t="s">
        <v>229</v>
      </c>
      <c r="J1048" s="31" t="s">
        <v>967</v>
      </c>
      <c r="K1048" s="33" t="s">
        <v>3390</v>
      </c>
      <c r="L1048" s="31" t="s">
        <v>252</v>
      </c>
      <c r="O1048" s="31" t="s">
        <v>257</v>
      </c>
      <c r="P1048" s="31" t="s">
        <v>992</v>
      </c>
    </row>
    <row r="1049">
      <c r="A1049" s="29">
        <v>45927.45968413194</v>
      </c>
      <c r="B1049" s="30">
        <v>45927.0</v>
      </c>
      <c r="C1049" s="31" t="s">
        <v>3391</v>
      </c>
      <c r="D1049" s="32" t="s">
        <v>3392</v>
      </c>
      <c r="E1049" s="31" t="s">
        <v>228</v>
      </c>
      <c r="F1049" s="31">
        <v>4500000.0</v>
      </c>
      <c r="G1049" s="31" t="s">
        <v>23</v>
      </c>
      <c r="I1049" s="31" t="s">
        <v>229</v>
      </c>
      <c r="J1049" s="31" t="s">
        <v>967</v>
      </c>
      <c r="K1049" s="33" t="s">
        <v>3393</v>
      </c>
      <c r="L1049" s="31" t="s">
        <v>202</v>
      </c>
      <c r="N1049" s="31" t="s">
        <v>220</v>
      </c>
      <c r="S1049" s="31" t="s">
        <v>59</v>
      </c>
    </row>
    <row r="1050">
      <c r="A1050" s="29">
        <v>45927.469343923614</v>
      </c>
      <c r="B1050" s="30">
        <v>45927.0</v>
      </c>
      <c r="C1050" s="31" t="s">
        <v>3394</v>
      </c>
      <c r="D1050" s="32" t="s">
        <v>3395</v>
      </c>
      <c r="E1050" s="31" t="s">
        <v>493</v>
      </c>
      <c r="F1050" s="31">
        <v>5000000.0</v>
      </c>
      <c r="G1050" s="31" t="s">
        <v>45</v>
      </c>
      <c r="I1050" s="31" t="s">
        <v>229</v>
      </c>
      <c r="J1050" s="31" t="s">
        <v>967</v>
      </c>
      <c r="K1050" s="33" t="s">
        <v>3396</v>
      </c>
      <c r="L1050" s="31" t="s">
        <v>202</v>
      </c>
      <c r="N1050" s="31" t="s">
        <v>204</v>
      </c>
      <c r="R1050" s="31" t="s">
        <v>28</v>
      </c>
    </row>
    <row r="1051">
      <c r="A1051" s="29">
        <v>45927.506547604164</v>
      </c>
      <c r="B1051" s="30">
        <v>45927.0</v>
      </c>
      <c r="C1051" s="31" t="s">
        <v>3397</v>
      </c>
      <c r="D1051" s="32" t="s">
        <v>3398</v>
      </c>
      <c r="E1051" s="31" t="s">
        <v>43</v>
      </c>
      <c r="F1051" s="31">
        <v>3400000.0</v>
      </c>
      <c r="G1051" s="31" t="s">
        <v>23</v>
      </c>
      <c r="I1051" s="31" t="s">
        <v>229</v>
      </c>
      <c r="J1051" s="31" t="s">
        <v>967</v>
      </c>
      <c r="K1051" s="33" t="s">
        <v>3399</v>
      </c>
      <c r="L1051" s="31" t="s">
        <v>252</v>
      </c>
      <c r="O1051" s="31" t="s">
        <v>205</v>
      </c>
      <c r="X1051" s="31" t="s">
        <v>569</v>
      </c>
    </row>
    <row r="1052">
      <c r="A1052" s="29">
        <v>45927.53060200231</v>
      </c>
      <c r="B1052" s="30">
        <v>45927.0</v>
      </c>
      <c r="C1052" s="31" t="s">
        <v>3400</v>
      </c>
      <c r="D1052" s="32" t="s">
        <v>3401</v>
      </c>
      <c r="E1052" s="31" t="s">
        <v>43</v>
      </c>
      <c r="F1052" s="31">
        <v>8600000.0</v>
      </c>
      <c r="G1052" s="31" t="s">
        <v>23</v>
      </c>
      <c r="H1052" s="31">
        <v>3000000.0</v>
      </c>
      <c r="I1052" s="31" t="s">
        <v>413</v>
      </c>
      <c r="K1052" s="33" t="s">
        <v>3402</v>
      </c>
      <c r="L1052" s="31" t="s">
        <v>202</v>
      </c>
      <c r="M1052" s="31" t="s">
        <v>203</v>
      </c>
      <c r="N1052" s="31" t="s">
        <v>667</v>
      </c>
      <c r="U1052" s="31" t="s">
        <v>668</v>
      </c>
    </row>
    <row r="1053">
      <c r="A1053" s="29">
        <v>45927.53161199074</v>
      </c>
      <c r="B1053" s="30">
        <v>45927.0</v>
      </c>
      <c r="C1053" s="31" t="s">
        <v>3403</v>
      </c>
      <c r="D1053" s="32" t="s">
        <v>3404</v>
      </c>
      <c r="E1053" s="31" t="s">
        <v>43</v>
      </c>
      <c r="F1053" s="31">
        <v>4800000.0</v>
      </c>
      <c r="G1053" s="31" t="s">
        <v>23</v>
      </c>
      <c r="I1053" s="31" t="s">
        <v>229</v>
      </c>
      <c r="J1053" s="31" t="s">
        <v>967</v>
      </c>
      <c r="K1053" s="33" t="s">
        <v>3405</v>
      </c>
      <c r="L1053" s="31" t="s">
        <v>252</v>
      </c>
      <c r="O1053" s="31" t="s">
        <v>257</v>
      </c>
      <c r="P1053" s="31" t="s">
        <v>2453</v>
      </c>
    </row>
    <row r="1054">
      <c r="A1054" s="29">
        <v>45927.53764141204</v>
      </c>
      <c r="B1054" s="30">
        <v>45927.0</v>
      </c>
      <c r="C1054" s="31" t="s">
        <v>3406</v>
      </c>
      <c r="D1054" s="32" t="s">
        <v>3407</v>
      </c>
      <c r="E1054" s="31" t="s">
        <v>31</v>
      </c>
      <c r="F1054" s="31">
        <v>3000000.0</v>
      </c>
      <c r="G1054" s="31" t="s">
        <v>23</v>
      </c>
      <c r="I1054" s="31" t="s">
        <v>229</v>
      </c>
      <c r="J1054" s="31" t="s">
        <v>967</v>
      </c>
      <c r="K1054" s="33" t="s">
        <v>3408</v>
      </c>
      <c r="L1054" s="31" t="s">
        <v>202</v>
      </c>
      <c r="N1054" s="31" t="s">
        <v>871</v>
      </c>
      <c r="Q1054" s="31" t="s">
        <v>1021</v>
      </c>
    </row>
    <row r="1055">
      <c r="A1055" s="29">
        <v>45927.541293229166</v>
      </c>
      <c r="B1055" s="30">
        <v>45927.0</v>
      </c>
      <c r="C1055" s="31" t="s">
        <v>3409</v>
      </c>
      <c r="D1055" s="32" t="s">
        <v>3410</v>
      </c>
      <c r="E1055" s="31" t="s">
        <v>31</v>
      </c>
      <c r="F1055" s="31">
        <v>5600000.0</v>
      </c>
      <c r="G1055" s="31" t="s">
        <v>23</v>
      </c>
      <c r="I1055" s="31" t="s">
        <v>229</v>
      </c>
      <c r="J1055" s="31" t="s">
        <v>967</v>
      </c>
      <c r="K1055" s="33" t="s">
        <v>3411</v>
      </c>
      <c r="L1055" s="31" t="s">
        <v>202</v>
      </c>
      <c r="N1055" s="31" t="s">
        <v>313</v>
      </c>
      <c r="T1055" s="31" t="s">
        <v>329</v>
      </c>
    </row>
    <row r="1056">
      <c r="A1056" s="29">
        <v>45927.570373634255</v>
      </c>
      <c r="B1056" s="30">
        <v>45927.0</v>
      </c>
      <c r="C1056" s="31" t="s">
        <v>3412</v>
      </c>
      <c r="D1056" s="32" t="s">
        <v>3413</v>
      </c>
      <c r="E1056" s="31" t="s">
        <v>43</v>
      </c>
      <c r="F1056" s="31">
        <v>2500000.0</v>
      </c>
      <c r="G1056" s="31" t="s">
        <v>23</v>
      </c>
      <c r="H1056" s="31">
        <v>3000000.0</v>
      </c>
      <c r="I1056" s="31" t="s">
        <v>200</v>
      </c>
      <c r="K1056" s="33" t="s">
        <v>3414</v>
      </c>
      <c r="L1056" s="31" t="s">
        <v>252</v>
      </c>
      <c r="M1056" s="31" t="s">
        <v>203</v>
      </c>
      <c r="O1056" s="31" t="s">
        <v>257</v>
      </c>
      <c r="P1056" s="31" t="s">
        <v>2453</v>
      </c>
    </row>
    <row r="1057">
      <c r="A1057" s="29">
        <v>45927.575904537036</v>
      </c>
      <c r="B1057" s="30">
        <v>45927.0</v>
      </c>
      <c r="C1057" s="31" t="s">
        <v>3415</v>
      </c>
      <c r="D1057" s="32" t="s">
        <v>3416</v>
      </c>
      <c r="E1057" s="31" t="s">
        <v>43</v>
      </c>
      <c r="F1057" s="31">
        <v>3100000.0</v>
      </c>
      <c r="G1057" s="31" t="s">
        <v>23</v>
      </c>
      <c r="I1057" s="31" t="s">
        <v>229</v>
      </c>
      <c r="J1057" s="31" t="s">
        <v>967</v>
      </c>
      <c r="K1057" s="33" t="s">
        <v>3417</v>
      </c>
      <c r="L1057" s="31" t="s">
        <v>252</v>
      </c>
      <c r="O1057" s="31" t="s">
        <v>257</v>
      </c>
      <c r="P1057" s="31" t="s">
        <v>2453</v>
      </c>
    </row>
    <row r="1058">
      <c r="A1058" s="29">
        <v>45927.58263908565</v>
      </c>
      <c r="B1058" s="30">
        <v>45927.0</v>
      </c>
      <c r="C1058" s="31" t="s">
        <v>3418</v>
      </c>
      <c r="D1058" s="32" t="s">
        <v>3419</v>
      </c>
      <c r="E1058" s="31" t="s">
        <v>283</v>
      </c>
      <c r="F1058" s="31">
        <v>1.0E7</v>
      </c>
      <c r="G1058" s="31" t="s">
        <v>23</v>
      </c>
      <c r="I1058" s="31" t="s">
        <v>229</v>
      </c>
      <c r="J1058" s="31" t="s">
        <v>967</v>
      </c>
      <c r="K1058" s="33" t="s">
        <v>3420</v>
      </c>
      <c r="L1058" s="31" t="s">
        <v>252</v>
      </c>
      <c r="O1058" s="31" t="s">
        <v>257</v>
      </c>
      <c r="P1058" s="31" t="s">
        <v>3194</v>
      </c>
    </row>
    <row r="1059">
      <c r="A1059" s="29">
        <v>45927.58345828704</v>
      </c>
      <c r="B1059" s="30">
        <v>45927.0</v>
      </c>
      <c r="C1059" s="31" t="s">
        <v>3421</v>
      </c>
      <c r="D1059" s="31">
        <v>0.0</v>
      </c>
      <c r="E1059" s="31" t="s">
        <v>43</v>
      </c>
      <c r="F1059" s="31">
        <v>3000000.0</v>
      </c>
      <c r="G1059" s="31" t="s">
        <v>45</v>
      </c>
      <c r="H1059" s="31">
        <v>3000000.0</v>
      </c>
      <c r="I1059" s="31" t="s">
        <v>200</v>
      </c>
      <c r="K1059" s="33" t="s">
        <v>3422</v>
      </c>
      <c r="L1059" s="31" t="s">
        <v>252</v>
      </c>
      <c r="M1059" s="31" t="s">
        <v>383</v>
      </c>
      <c r="O1059" s="31" t="s">
        <v>257</v>
      </c>
      <c r="P1059" s="31" t="s">
        <v>992</v>
      </c>
    </row>
    <row r="1060">
      <c r="A1060" s="29">
        <v>45927.60240487268</v>
      </c>
      <c r="B1060" s="30">
        <v>45927.0</v>
      </c>
      <c r="C1060" s="31" t="s">
        <v>1847</v>
      </c>
      <c r="D1060" s="32" t="s">
        <v>3423</v>
      </c>
      <c r="E1060" s="31" t="s">
        <v>3424</v>
      </c>
      <c r="F1060" s="31">
        <v>3500000.0</v>
      </c>
      <c r="G1060" s="31" t="s">
        <v>23</v>
      </c>
      <c r="I1060" s="31" t="s">
        <v>229</v>
      </c>
      <c r="J1060" s="31" t="s">
        <v>967</v>
      </c>
      <c r="K1060" s="33" t="s">
        <v>3425</v>
      </c>
      <c r="L1060" s="31" t="s">
        <v>202</v>
      </c>
      <c r="N1060" s="31" t="s">
        <v>204</v>
      </c>
      <c r="R1060" s="31" t="s">
        <v>98</v>
      </c>
    </row>
    <row r="1061">
      <c r="A1061" s="29">
        <v>45927.70481336805</v>
      </c>
      <c r="B1061" s="30">
        <v>45927.0</v>
      </c>
      <c r="C1061" s="31" t="s">
        <v>3426</v>
      </c>
      <c r="D1061" s="32" t="s">
        <v>3427</v>
      </c>
      <c r="E1061" s="31" t="s">
        <v>43</v>
      </c>
      <c r="F1061" s="31">
        <v>4100000.0</v>
      </c>
      <c r="G1061" s="31" t="s">
        <v>23</v>
      </c>
      <c r="H1061" s="31">
        <v>3000000.0</v>
      </c>
      <c r="I1061" s="31" t="s">
        <v>413</v>
      </c>
      <c r="K1061" s="33" t="s">
        <v>3428</v>
      </c>
      <c r="L1061" s="31" t="s">
        <v>252</v>
      </c>
      <c r="M1061" s="31" t="s">
        <v>203</v>
      </c>
      <c r="O1061" s="31" t="s">
        <v>205</v>
      </c>
      <c r="X1061" s="31" t="s">
        <v>569</v>
      </c>
    </row>
    <row r="1062">
      <c r="A1062" s="29">
        <v>45927.740100763884</v>
      </c>
      <c r="B1062" s="30">
        <v>45927.0</v>
      </c>
      <c r="C1062" s="31" t="s">
        <v>3429</v>
      </c>
      <c r="D1062" s="32" t="s">
        <v>3430</v>
      </c>
      <c r="E1062" s="31" t="s">
        <v>31</v>
      </c>
      <c r="F1062" s="31">
        <v>3500000.0</v>
      </c>
      <c r="G1062" s="31" t="s">
        <v>23</v>
      </c>
      <c r="I1062" s="31" t="s">
        <v>229</v>
      </c>
      <c r="J1062" s="31" t="s">
        <v>498</v>
      </c>
      <c r="K1062" s="33" t="s">
        <v>3431</v>
      </c>
      <c r="L1062" s="31" t="s">
        <v>202</v>
      </c>
      <c r="N1062" s="31" t="s">
        <v>500</v>
      </c>
      <c r="V1062" s="31" t="s">
        <v>501</v>
      </c>
    </row>
    <row r="1063">
      <c r="A1063" s="29">
        <v>45927.740814467594</v>
      </c>
      <c r="B1063" s="30">
        <v>45927.0</v>
      </c>
      <c r="C1063" s="31" t="s">
        <v>3432</v>
      </c>
      <c r="D1063" s="32" t="s">
        <v>3433</v>
      </c>
      <c r="E1063" s="31" t="s">
        <v>43</v>
      </c>
      <c r="F1063" s="31">
        <v>6000000.0</v>
      </c>
      <c r="G1063" s="31" t="s">
        <v>23</v>
      </c>
      <c r="H1063" s="31">
        <v>3000000.0</v>
      </c>
      <c r="I1063" s="31" t="s">
        <v>200</v>
      </c>
      <c r="K1063" s="33" t="s">
        <v>3434</v>
      </c>
      <c r="L1063" s="31" t="s">
        <v>252</v>
      </c>
      <c r="M1063" s="31" t="s">
        <v>203</v>
      </c>
      <c r="O1063" s="31" t="s">
        <v>257</v>
      </c>
      <c r="P1063" s="31" t="s">
        <v>258</v>
      </c>
    </row>
    <row r="1064">
      <c r="A1064" s="29">
        <v>45927.75016931713</v>
      </c>
      <c r="B1064" s="30">
        <v>45927.0</v>
      </c>
      <c r="C1064" s="31" t="s">
        <v>3435</v>
      </c>
      <c r="D1064" s="32" t="s">
        <v>3436</v>
      </c>
      <c r="E1064" s="31" t="s">
        <v>239</v>
      </c>
      <c r="F1064" s="31">
        <v>1500000.0</v>
      </c>
      <c r="G1064" s="31" t="s">
        <v>23</v>
      </c>
      <c r="I1064" s="31" t="s">
        <v>229</v>
      </c>
      <c r="J1064" s="31" t="s">
        <v>967</v>
      </c>
      <c r="K1064" s="33" t="s">
        <v>3437</v>
      </c>
      <c r="L1064" s="31" t="s">
        <v>202</v>
      </c>
      <c r="N1064" s="31" t="s">
        <v>204</v>
      </c>
      <c r="R1064" s="31" t="s">
        <v>892</v>
      </c>
    </row>
    <row r="1065">
      <c r="A1065" s="29">
        <v>45927.75102994213</v>
      </c>
      <c r="B1065" s="30">
        <v>45927.0</v>
      </c>
      <c r="C1065" s="31" t="s">
        <v>3170</v>
      </c>
      <c r="D1065" s="32" t="s">
        <v>3438</v>
      </c>
      <c r="E1065" s="31" t="s">
        <v>43</v>
      </c>
      <c r="F1065" s="31">
        <v>4.5E9</v>
      </c>
      <c r="G1065" s="31" t="s">
        <v>23</v>
      </c>
      <c r="I1065" s="31" t="s">
        <v>229</v>
      </c>
      <c r="J1065" s="31" t="s">
        <v>967</v>
      </c>
      <c r="K1065" s="33" t="s">
        <v>3439</v>
      </c>
      <c r="L1065" s="31" t="s">
        <v>252</v>
      </c>
      <c r="O1065" s="31" t="s">
        <v>205</v>
      </c>
      <c r="X1065" s="31" t="s">
        <v>487</v>
      </c>
    </row>
    <row r="1066">
      <c r="A1066" s="29">
        <v>45927.810223333334</v>
      </c>
      <c r="B1066" s="30">
        <v>45927.0</v>
      </c>
      <c r="C1066" s="31" t="s">
        <v>3440</v>
      </c>
      <c r="D1066" s="32" t="s">
        <v>3441</v>
      </c>
      <c r="E1066" s="31" t="s">
        <v>43</v>
      </c>
      <c r="F1066" s="31">
        <v>4600000.0</v>
      </c>
      <c r="G1066" s="31" t="s">
        <v>23</v>
      </c>
      <c r="I1066" s="31" t="s">
        <v>229</v>
      </c>
      <c r="J1066" s="31" t="s">
        <v>967</v>
      </c>
      <c r="K1066" s="33" t="s">
        <v>3442</v>
      </c>
      <c r="L1066" s="31" t="s">
        <v>202</v>
      </c>
      <c r="N1066" s="31" t="s">
        <v>204</v>
      </c>
      <c r="R1066" s="31" t="s">
        <v>53</v>
      </c>
    </row>
    <row r="1067">
      <c r="A1067" s="29">
        <v>45927.88571246528</v>
      </c>
      <c r="B1067" s="30">
        <v>45927.0</v>
      </c>
      <c r="C1067" s="31" t="s">
        <v>3443</v>
      </c>
      <c r="D1067" s="32" t="s">
        <v>3444</v>
      </c>
      <c r="E1067" s="31" t="s">
        <v>43</v>
      </c>
      <c r="F1067" s="31">
        <v>3200000.0</v>
      </c>
      <c r="G1067" s="31" t="s">
        <v>23</v>
      </c>
      <c r="H1067" s="31">
        <v>3000000.0</v>
      </c>
      <c r="I1067" s="31" t="s">
        <v>413</v>
      </c>
      <c r="K1067" s="33" t="s">
        <v>3445</v>
      </c>
      <c r="L1067" s="31" t="s">
        <v>202</v>
      </c>
      <c r="M1067" s="31" t="s">
        <v>203</v>
      </c>
      <c r="N1067" s="31" t="s">
        <v>204</v>
      </c>
      <c r="R1067" s="31" t="s">
        <v>148</v>
      </c>
    </row>
    <row r="1068">
      <c r="A1068" s="29">
        <v>45927.886492314814</v>
      </c>
      <c r="B1068" s="30">
        <v>45927.0</v>
      </c>
      <c r="C1068" s="31" t="s">
        <v>3446</v>
      </c>
      <c r="D1068" s="32" t="s">
        <v>3447</v>
      </c>
      <c r="E1068" s="31" t="s">
        <v>43</v>
      </c>
      <c r="F1068" s="31">
        <v>5100000.0</v>
      </c>
      <c r="G1068" s="31" t="s">
        <v>23</v>
      </c>
      <c r="I1068" s="31" t="s">
        <v>229</v>
      </c>
      <c r="J1068" s="31" t="s">
        <v>967</v>
      </c>
      <c r="K1068" s="33" t="s">
        <v>3448</v>
      </c>
      <c r="L1068" s="31" t="s">
        <v>202</v>
      </c>
      <c r="N1068" s="31" t="s">
        <v>204</v>
      </c>
      <c r="R1068" s="31" t="s">
        <v>98</v>
      </c>
    </row>
    <row r="1069">
      <c r="A1069" s="29">
        <v>45927.92476787037</v>
      </c>
      <c r="B1069" s="30">
        <v>45927.0</v>
      </c>
      <c r="C1069" s="31" t="s">
        <v>3449</v>
      </c>
      <c r="D1069" s="32" t="s">
        <v>3450</v>
      </c>
      <c r="E1069" s="31" t="s">
        <v>199</v>
      </c>
      <c r="F1069" s="31">
        <v>3000000.0</v>
      </c>
      <c r="G1069" s="31" t="s">
        <v>23</v>
      </c>
      <c r="H1069" s="31">
        <v>3000000.0</v>
      </c>
      <c r="I1069" s="31" t="s">
        <v>200</v>
      </c>
      <c r="K1069" s="33" t="s">
        <v>3451</v>
      </c>
      <c r="L1069" s="31" t="s">
        <v>252</v>
      </c>
      <c r="M1069" s="31" t="s">
        <v>203</v>
      </c>
      <c r="O1069" s="31" t="s">
        <v>205</v>
      </c>
      <c r="X1069" s="31" t="s">
        <v>549</v>
      </c>
    </row>
    <row r="1070">
      <c r="A1070" s="29">
        <v>45928.57801466435</v>
      </c>
      <c r="B1070" s="30">
        <v>45928.0</v>
      </c>
      <c r="C1070" s="31" t="s">
        <v>3452</v>
      </c>
      <c r="D1070" s="32" t="s">
        <v>3453</v>
      </c>
      <c r="E1070" s="31" t="s">
        <v>31</v>
      </c>
      <c r="F1070" s="31">
        <v>2800000.0</v>
      </c>
      <c r="G1070" s="31" t="s">
        <v>23</v>
      </c>
      <c r="H1070" s="31">
        <v>1600000.0</v>
      </c>
      <c r="I1070" s="31" t="s">
        <v>413</v>
      </c>
      <c r="K1070" s="33" t="s">
        <v>3454</v>
      </c>
      <c r="L1070" s="31" t="s">
        <v>202</v>
      </c>
      <c r="M1070" s="31" t="s">
        <v>435</v>
      </c>
      <c r="N1070" s="31" t="s">
        <v>871</v>
      </c>
      <c r="Q1070" s="31" t="s">
        <v>1021</v>
      </c>
    </row>
    <row r="1071">
      <c r="A1071" s="29">
        <v>45928.70351607639</v>
      </c>
      <c r="B1071" s="30">
        <v>45928.0</v>
      </c>
      <c r="C1071" s="31" t="s">
        <v>3455</v>
      </c>
      <c r="D1071" s="32" t="s">
        <v>3456</v>
      </c>
      <c r="E1071" s="31" t="s">
        <v>43</v>
      </c>
      <c r="F1071" s="31">
        <v>2500000.0</v>
      </c>
      <c r="G1071" s="31" t="s">
        <v>23</v>
      </c>
      <c r="H1071" s="31">
        <v>3000000.0</v>
      </c>
      <c r="I1071" s="31" t="s">
        <v>200</v>
      </c>
      <c r="K1071" s="33" t="s">
        <v>3457</v>
      </c>
      <c r="L1071" s="31" t="s">
        <v>202</v>
      </c>
      <c r="M1071" s="31" t="s">
        <v>203</v>
      </c>
      <c r="N1071" s="31" t="s">
        <v>215</v>
      </c>
      <c r="W1071" s="31" t="s">
        <v>216</v>
      </c>
    </row>
    <row r="1072">
      <c r="A1072" s="29">
        <v>45928.75353920139</v>
      </c>
      <c r="B1072" s="30">
        <v>45928.0</v>
      </c>
      <c r="C1072" s="31" t="s">
        <v>3458</v>
      </c>
      <c r="D1072" s="32" t="s">
        <v>3459</v>
      </c>
      <c r="E1072" s="31" t="s">
        <v>283</v>
      </c>
      <c r="F1072" s="31">
        <v>1.21E7</v>
      </c>
      <c r="G1072" s="31" t="s">
        <v>23</v>
      </c>
      <c r="I1072" s="31" t="s">
        <v>229</v>
      </c>
      <c r="J1072" s="31" t="s">
        <v>967</v>
      </c>
      <c r="K1072" s="33" t="s">
        <v>3460</v>
      </c>
      <c r="L1072" s="31" t="s">
        <v>252</v>
      </c>
      <c r="O1072" s="31" t="s">
        <v>257</v>
      </c>
      <c r="P1072" s="31" t="s">
        <v>272</v>
      </c>
    </row>
    <row r="1073">
      <c r="A1073" s="29">
        <v>45928.80628711806</v>
      </c>
      <c r="B1073" s="30">
        <v>45928.0</v>
      </c>
      <c r="C1073" s="31" t="s">
        <v>3461</v>
      </c>
      <c r="D1073" s="32" t="s">
        <v>3462</v>
      </c>
      <c r="E1073" s="31" t="s">
        <v>43</v>
      </c>
      <c r="F1073" s="31">
        <v>8000000.0</v>
      </c>
      <c r="G1073" s="31" t="s">
        <v>45</v>
      </c>
      <c r="I1073" s="31" t="s">
        <v>229</v>
      </c>
      <c r="J1073" s="31" t="s">
        <v>967</v>
      </c>
      <c r="K1073" s="33" t="s">
        <v>3463</v>
      </c>
      <c r="L1073" s="31" t="s">
        <v>252</v>
      </c>
      <c r="O1073" s="31" t="s">
        <v>257</v>
      </c>
      <c r="P1073" s="31" t="s">
        <v>272</v>
      </c>
    </row>
    <row r="1074">
      <c r="A1074" s="29">
        <v>45928.82146908565</v>
      </c>
      <c r="B1074" s="30">
        <v>45928.0</v>
      </c>
      <c r="C1074" s="31" t="s">
        <v>3464</v>
      </c>
      <c r="D1074" s="32" t="s">
        <v>3465</v>
      </c>
      <c r="E1074" s="31" t="s">
        <v>43</v>
      </c>
      <c r="F1074" s="31">
        <v>2500000.0</v>
      </c>
      <c r="G1074" s="31" t="s">
        <v>45</v>
      </c>
      <c r="H1074" s="31">
        <v>3000000.0</v>
      </c>
      <c r="I1074" s="31" t="s">
        <v>413</v>
      </c>
      <c r="K1074" s="33" t="s">
        <v>3466</v>
      </c>
      <c r="L1074" s="31" t="s">
        <v>202</v>
      </c>
      <c r="M1074" s="31" t="s">
        <v>203</v>
      </c>
      <c r="N1074" s="31" t="s">
        <v>204</v>
      </c>
      <c r="R1074" s="31" t="s">
        <v>148</v>
      </c>
    </row>
    <row r="1075">
      <c r="A1075" s="29">
        <v>45928.94043474537</v>
      </c>
      <c r="B1075" s="30">
        <v>45928.0</v>
      </c>
      <c r="C1075" s="31" t="s">
        <v>3467</v>
      </c>
      <c r="D1075" s="32" t="s">
        <v>3468</v>
      </c>
      <c r="E1075" s="31" t="s">
        <v>31</v>
      </c>
      <c r="F1075" s="31">
        <v>2400000.0</v>
      </c>
      <c r="G1075" s="31" t="s">
        <v>23</v>
      </c>
      <c r="I1075" s="31" t="s">
        <v>229</v>
      </c>
      <c r="J1075" s="31" t="s">
        <v>967</v>
      </c>
      <c r="K1075" s="33" t="s">
        <v>3469</v>
      </c>
      <c r="L1075" s="31" t="s">
        <v>202</v>
      </c>
      <c r="N1075" s="31" t="s">
        <v>204</v>
      </c>
      <c r="R1075" s="31" t="s">
        <v>148</v>
      </c>
    </row>
    <row r="1076">
      <c r="A1076" s="29">
        <v>45929.39611427083</v>
      </c>
      <c r="B1076" s="30">
        <v>45929.0</v>
      </c>
      <c r="C1076" s="31" t="s">
        <v>3470</v>
      </c>
      <c r="D1076" s="32" t="s">
        <v>3471</v>
      </c>
      <c r="E1076" s="31" t="s">
        <v>43</v>
      </c>
      <c r="F1076" s="31">
        <v>1.5E7</v>
      </c>
      <c r="G1076" s="31" t="s">
        <v>23</v>
      </c>
      <c r="H1076" s="31">
        <v>3000000.0</v>
      </c>
      <c r="I1076" s="31" t="s">
        <v>413</v>
      </c>
      <c r="K1076" s="33" t="s">
        <v>3472</v>
      </c>
      <c r="L1076" s="31" t="s">
        <v>252</v>
      </c>
      <c r="M1076" s="31" t="s">
        <v>203</v>
      </c>
      <c r="O1076" s="31" t="s">
        <v>257</v>
      </c>
      <c r="P1076" s="31" t="s">
        <v>272</v>
      </c>
    </row>
    <row r="1077">
      <c r="A1077" s="29">
        <v>45929.43936833333</v>
      </c>
      <c r="B1077" s="30">
        <v>45929.0</v>
      </c>
      <c r="C1077" s="31" t="s">
        <v>3473</v>
      </c>
      <c r="D1077" s="32" t="s">
        <v>3474</v>
      </c>
      <c r="E1077" s="31" t="s">
        <v>228</v>
      </c>
      <c r="F1077" s="31">
        <v>2500000.0</v>
      </c>
      <c r="G1077" s="31" t="s">
        <v>23</v>
      </c>
      <c r="I1077" s="31" t="s">
        <v>229</v>
      </c>
      <c r="J1077" s="31" t="s">
        <v>967</v>
      </c>
      <c r="K1077" s="33" t="s">
        <v>3475</v>
      </c>
      <c r="L1077" s="31" t="s">
        <v>252</v>
      </c>
      <c r="O1077" s="31" t="s">
        <v>257</v>
      </c>
      <c r="P1077" s="31" t="s">
        <v>2453</v>
      </c>
    </row>
    <row r="1078">
      <c r="A1078" s="29">
        <v>45929.4511031713</v>
      </c>
      <c r="B1078" s="30">
        <v>45929.0</v>
      </c>
      <c r="C1078" s="31" t="s">
        <v>3476</v>
      </c>
      <c r="D1078" s="32" t="s">
        <v>3477</v>
      </c>
      <c r="E1078" s="31" t="s">
        <v>31</v>
      </c>
      <c r="F1078" s="31">
        <v>5000000.0</v>
      </c>
      <c r="G1078" s="31" t="s">
        <v>23</v>
      </c>
      <c r="I1078" s="31" t="s">
        <v>229</v>
      </c>
      <c r="J1078" s="31" t="s">
        <v>967</v>
      </c>
      <c r="K1078" s="33" t="s">
        <v>3478</v>
      </c>
      <c r="L1078" s="31" t="s">
        <v>252</v>
      </c>
      <c r="O1078" s="31" t="s">
        <v>257</v>
      </c>
      <c r="P1078" s="31" t="s">
        <v>3194</v>
      </c>
    </row>
    <row r="1079">
      <c r="A1079" s="29">
        <v>45929.45286118056</v>
      </c>
      <c r="B1079" s="30">
        <v>45929.0</v>
      </c>
      <c r="C1079" s="31" t="s">
        <v>3479</v>
      </c>
      <c r="D1079" s="32" t="s">
        <v>3477</v>
      </c>
      <c r="E1079" s="31" t="s">
        <v>43</v>
      </c>
      <c r="F1079" s="31">
        <v>1.0E7</v>
      </c>
      <c r="G1079" s="31" t="s">
        <v>23</v>
      </c>
      <c r="I1079" s="31" t="s">
        <v>229</v>
      </c>
      <c r="J1079" s="31" t="s">
        <v>967</v>
      </c>
      <c r="K1079" s="33" t="s">
        <v>3480</v>
      </c>
      <c r="L1079" s="31" t="s">
        <v>252</v>
      </c>
      <c r="O1079" s="31" t="s">
        <v>257</v>
      </c>
      <c r="P1079" s="31" t="s">
        <v>3194</v>
      </c>
    </row>
    <row r="1080">
      <c r="A1080" s="29">
        <v>45929.488059375</v>
      </c>
      <c r="B1080" s="30">
        <v>45929.0</v>
      </c>
      <c r="C1080" s="31" t="s">
        <v>3481</v>
      </c>
      <c r="D1080" s="32" t="s">
        <v>3482</v>
      </c>
      <c r="E1080" s="31" t="s">
        <v>31</v>
      </c>
      <c r="F1080" s="31">
        <v>5400000.0</v>
      </c>
      <c r="G1080" s="31" t="s">
        <v>23</v>
      </c>
      <c r="I1080" s="31" t="s">
        <v>229</v>
      </c>
      <c r="J1080" s="31" t="s">
        <v>967</v>
      </c>
      <c r="K1080" s="33" t="s">
        <v>3483</v>
      </c>
      <c r="L1080" s="31" t="s">
        <v>202</v>
      </c>
      <c r="N1080" s="31" t="s">
        <v>204</v>
      </c>
      <c r="R1080" s="31" t="s">
        <v>207</v>
      </c>
    </row>
    <row r="1081">
      <c r="A1081" s="29">
        <v>45929.488941585645</v>
      </c>
      <c r="B1081" s="30">
        <v>45929.0</v>
      </c>
      <c r="C1081" s="31" t="s">
        <v>3484</v>
      </c>
      <c r="D1081" s="32" t="s">
        <v>3485</v>
      </c>
      <c r="E1081" s="31" t="s">
        <v>31</v>
      </c>
      <c r="F1081" s="31">
        <v>4500000.0</v>
      </c>
      <c r="G1081" s="31" t="s">
        <v>23</v>
      </c>
      <c r="I1081" s="31" t="s">
        <v>229</v>
      </c>
      <c r="J1081" s="31" t="s">
        <v>967</v>
      </c>
      <c r="K1081" s="33" t="s">
        <v>3486</v>
      </c>
      <c r="L1081" s="31" t="s">
        <v>202</v>
      </c>
      <c r="N1081" s="31" t="s">
        <v>204</v>
      </c>
      <c r="R1081" s="31" t="s">
        <v>207</v>
      </c>
    </row>
    <row r="1082">
      <c r="A1082" s="29">
        <v>45929.4900718287</v>
      </c>
      <c r="B1082" s="30">
        <v>45929.0</v>
      </c>
      <c r="C1082" s="31" t="s">
        <v>3487</v>
      </c>
      <c r="D1082" s="32" t="s">
        <v>3488</v>
      </c>
      <c r="E1082" s="31" t="s">
        <v>31</v>
      </c>
      <c r="F1082" s="31">
        <v>4500000.0</v>
      </c>
      <c r="G1082" s="31" t="s">
        <v>23</v>
      </c>
      <c r="I1082" s="31" t="s">
        <v>229</v>
      </c>
      <c r="J1082" s="31" t="s">
        <v>967</v>
      </c>
      <c r="K1082" s="33" t="s">
        <v>3489</v>
      </c>
      <c r="L1082" s="31" t="s">
        <v>202</v>
      </c>
      <c r="N1082" s="31" t="s">
        <v>204</v>
      </c>
      <c r="R1082" s="31" t="s">
        <v>207</v>
      </c>
    </row>
    <row r="1083">
      <c r="A1083" s="29">
        <v>45929.64508988426</v>
      </c>
      <c r="B1083" s="30">
        <v>45929.0</v>
      </c>
      <c r="C1083" s="31" t="s">
        <v>3490</v>
      </c>
      <c r="D1083" s="32" t="s">
        <v>3491</v>
      </c>
      <c r="E1083" s="31" t="s">
        <v>31</v>
      </c>
      <c r="F1083" s="31">
        <v>3500000.0</v>
      </c>
      <c r="G1083" s="31" t="s">
        <v>23</v>
      </c>
      <c r="H1083" s="31">
        <v>3000000.0</v>
      </c>
      <c r="I1083" s="31" t="s">
        <v>413</v>
      </c>
      <c r="K1083" s="33" t="s">
        <v>3492</v>
      </c>
      <c r="L1083" s="31" t="s">
        <v>202</v>
      </c>
      <c r="M1083" s="31" t="s">
        <v>203</v>
      </c>
      <c r="N1083" s="31" t="s">
        <v>204</v>
      </c>
      <c r="R1083" s="31" t="s">
        <v>148</v>
      </c>
    </row>
    <row r="1084">
      <c r="A1084" s="29">
        <v>45929.68349657407</v>
      </c>
      <c r="B1084" s="30">
        <v>45929.0</v>
      </c>
      <c r="C1084" s="31" t="s">
        <v>3493</v>
      </c>
      <c r="D1084" s="32" t="s">
        <v>3494</v>
      </c>
      <c r="E1084" s="31" t="s">
        <v>3495</v>
      </c>
      <c r="F1084" s="31">
        <v>3500000.0</v>
      </c>
      <c r="G1084" s="31" t="s">
        <v>23</v>
      </c>
      <c r="I1084" s="31" t="s">
        <v>229</v>
      </c>
      <c r="J1084" s="31" t="s">
        <v>967</v>
      </c>
      <c r="K1084" s="33" t="s">
        <v>3496</v>
      </c>
      <c r="L1084" s="31" t="s">
        <v>252</v>
      </c>
      <c r="O1084" s="31" t="s">
        <v>257</v>
      </c>
      <c r="P1084" s="31" t="s">
        <v>206</v>
      </c>
    </row>
    <row r="1085">
      <c r="A1085" s="29">
        <v>45929.70792019676</v>
      </c>
      <c r="B1085" s="30">
        <v>45929.0</v>
      </c>
      <c r="C1085" s="31" t="s">
        <v>3497</v>
      </c>
      <c r="D1085" s="32" t="s">
        <v>3498</v>
      </c>
      <c r="E1085" s="31" t="s">
        <v>43</v>
      </c>
      <c r="F1085" s="31">
        <v>6000000.0</v>
      </c>
      <c r="G1085" s="31" t="s">
        <v>23</v>
      </c>
      <c r="I1085" s="31" t="s">
        <v>229</v>
      </c>
      <c r="J1085" s="31" t="s">
        <v>967</v>
      </c>
      <c r="K1085" s="33" t="s">
        <v>3499</v>
      </c>
      <c r="L1085" s="31" t="s">
        <v>202</v>
      </c>
      <c r="N1085" s="31" t="s">
        <v>204</v>
      </c>
      <c r="R1085" s="31" t="s">
        <v>47</v>
      </c>
    </row>
    <row r="1086">
      <c r="A1086" s="29">
        <v>45929.72982049768</v>
      </c>
      <c r="B1086" s="30">
        <v>45929.0</v>
      </c>
      <c r="C1086" s="31" t="s">
        <v>3500</v>
      </c>
      <c r="D1086" s="32" t="s">
        <v>3501</v>
      </c>
      <c r="E1086" s="31" t="s">
        <v>2535</v>
      </c>
      <c r="F1086" s="31">
        <v>3700000.0</v>
      </c>
      <c r="G1086" s="31" t="s">
        <v>45</v>
      </c>
      <c r="I1086" s="31" t="s">
        <v>229</v>
      </c>
      <c r="J1086" s="31" t="s">
        <v>2420</v>
      </c>
      <c r="K1086" s="33" t="s">
        <v>3502</v>
      </c>
      <c r="L1086" s="31" t="s">
        <v>202</v>
      </c>
      <c r="N1086" s="31" t="s">
        <v>215</v>
      </c>
      <c r="W1086" s="31" t="s">
        <v>355</v>
      </c>
    </row>
    <row r="1087">
      <c r="A1087" s="29">
        <v>45929.731963136575</v>
      </c>
      <c r="B1087" s="30">
        <v>45929.0</v>
      </c>
      <c r="C1087" s="31" t="s">
        <v>3503</v>
      </c>
      <c r="D1087" s="32" t="s">
        <v>3504</v>
      </c>
      <c r="E1087" s="31" t="s">
        <v>784</v>
      </c>
      <c r="F1087" s="31">
        <v>3700000.0</v>
      </c>
      <c r="G1087" s="31" t="s">
        <v>23</v>
      </c>
      <c r="I1087" s="31" t="s">
        <v>229</v>
      </c>
      <c r="J1087" s="31" t="s">
        <v>2420</v>
      </c>
      <c r="K1087" s="33" t="s">
        <v>3505</v>
      </c>
      <c r="L1087" s="31" t="s">
        <v>202</v>
      </c>
      <c r="N1087" s="31" t="s">
        <v>215</v>
      </c>
      <c r="W1087" s="31" t="s">
        <v>355</v>
      </c>
    </row>
    <row r="1088">
      <c r="A1088" s="29">
        <v>45929.73356928241</v>
      </c>
      <c r="B1088" s="30">
        <v>45929.0</v>
      </c>
      <c r="C1088" s="31" t="s">
        <v>3506</v>
      </c>
      <c r="D1088" s="32" t="s">
        <v>3507</v>
      </c>
      <c r="E1088" s="31" t="s">
        <v>43</v>
      </c>
      <c r="F1088" s="31">
        <v>3200000.0</v>
      </c>
      <c r="G1088" s="31" t="s">
        <v>23</v>
      </c>
      <c r="H1088" s="31">
        <v>3000000.0</v>
      </c>
      <c r="I1088" s="31" t="s">
        <v>413</v>
      </c>
      <c r="K1088" s="33" t="s">
        <v>3508</v>
      </c>
      <c r="L1088" s="31" t="s">
        <v>252</v>
      </c>
      <c r="M1088" s="31" t="s">
        <v>203</v>
      </c>
      <c r="O1088" s="31" t="s">
        <v>257</v>
      </c>
      <c r="P1088" s="31" t="s">
        <v>2453</v>
      </c>
    </row>
    <row r="1089">
      <c r="A1089" s="29">
        <v>45929.76084528935</v>
      </c>
      <c r="B1089" s="30">
        <v>45929.0</v>
      </c>
      <c r="C1089" s="31" t="s">
        <v>3509</v>
      </c>
      <c r="D1089" s="32" t="s">
        <v>3510</v>
      </c>
      <c r="E1089" s="31" t="s">
        <v>43</v>
      </c>
      <c r="F1089" s="31">
        <v>5000000.0</v>
      </c>
      <c r="G1089" s="31" t="s">
        <v>23</v>
      </c>
      <c r="I1089" s="31" t="s">
        <v>229</v>
      </c>
      <c r="J1089" s="31" t="s">
        <v>967</v>
      </c>
      <c r="K1089" s="33" t="s">
        <v>3511</v>
      </c>
      <c r="L1089" s="31" t="s">
        <v>252</v>
      </c>
      <c r="O1089" s="31" t="s">
        <v>257</v>
      </c>
      <c r="P1089" s="31" t="s">
        <v>258</v>
      </c>
    </row>
    <row r="1090">
      <c r="A1090" s="29">
        <v>45929.76681439814</v>
      </c>
      <c r="B1090" s="30">
        <v>45929.0</v>
      </c>
      <c r="C1090" s="31" t="s">
        <v>3512</v>
      </c>
      <c r="D1090" s="32" t="s">
        <v>1401</v>
      </c>
      <c r="E1090" s="31" t="s">
        <v>31</v>
      </c>
      <c r="F1090" s="31">
        <v>5000000.0</v>
      </c>
      <c r="G1090" s="31" t="s">
        <v>23</v>
      </c>
      <c r="I1090" s="31" t="s">
        <v>229</v>
      </c>
      <c r="J1090" s="31" t="s">
        <v>967</v>
      </c>
      <c r="K1090" s="33" t="s">
        <v>3513</v>
      </c>
      <c r="L1090" s="31" t="s">
        <v>202</v>
      </c>
      <c r="N1090" s="31" t="s">
        <v>220</v>
      </c>
      <c r="S1090" s="31" t="s">
        <v>83</v>
      </c>
    </row>
    <row r="1091">
      <c r="A1091" s="29">
        <v>45929.77344215278</v>
      </c>
      <c r="B1091" s="30">
        <v>45929.0</v>
      </c>
      <c r="C1091" s="31" t="s">
        <v>3514</v>
      </c>
      <c r="D1091" s="32" t="s">
        <v>3515</v>
      </c>
      <c r="E1091" s="31" t="s">
        <v>43</v>
      </c>
      <c r="F1091" s="31">
        <v>6400000.0</v>
      </c>
      <c r="G1091" s="31" t="s">
        <v>23</v>
      </c>
      <c r="I1091" s="31" t="s">
        <v>229</v>
      </c>
      <c r="J1091" s="31" t="s">
        <v>967</v>
      </c>
      <c r="K1091" s="33" t="s">
        <v>3516</v>
      </c>
      <c r="L1091" s="31" t="s">
        <v>252</v>
      </c>
      <c r="O1091" s="31" t="s">
        <v>205</v>
      </c>
      <c r="X1091" s="31" t="s">
        <v>569</v>
      </c>
    </row>
    <row r="1092">
      <c r="A1092" s="29">
        <v>45929.80491115741</v>
      </c>
      <c r="B1092" s="30">
        <v>45929.0</v>
      </c>
      <c r="C1092" s="31" t="s">
        <v>3517</v>
      </c>
      <c r="D1092" s="32" t="s">
        <v>3518</v>
      </c>
      <c r="E1092" s="31" t="s">
        <v>31</v>
      </c>
      <c r="F1092" s="31">
        <v>3200000.0</v>
      </c>
      <c r="G1092" s="31" t="s">
        <v>23</v>
      </c>
      <c r="I1092" s="31" t="s">
        <v>229</v>
      </c>
      <c r="J1092" s="31" t="s">
        <v>967</v>
      </c>
      <c r="K1092" s="33" t="s">
        <v>3519</v>
      </c>
      <c r="L1092" s="31" t="s">
        <v>202</v>
      </c>
      <c r="N1092" s="31" t="s">
        <v>204</v>
      </c>
      <c r="R1092" s="31" t="s">
        <v>148</v>
      </c>
    </row>
    <row r="1093">
      <c r="A1093" s="29">
        <v>45929.8147766551</v>
      </c>
      <c r="B1093" s="30">
        <v>45929.0</v>
      </c>
      <c r="C1093" s="31" t="s">
        <v>3520</v>
      </c>
      <c r="D1093" s="32" t="s">
        <v>3521</v>
      </c>
      <c r="E1093" s="31" t="s">
        <v>31</v>
      </c>
      <c r="F1093" s="31">
        <v>5999000.0</v>
      </c>
      <c r="G1093" s="31" t="s">
        <v>23</v>
      </c>
      <c r="I1093" s="31" t="s">
        <v>229</v>
      </c>
      <c r="J1093" s="31" t="s">
        <v>967</v>
      </c>
      <c r="K1093" s="33" t="s">
        <v>3522</v>
      </c>
      <c r="L1093" s="31" t="s">
        <v>202</v>
      </c>
      <c r="N1093" s="31" t="s">
        <v>204</v>
      </c>
      <c r="R1093" s="31" t="s">
        <v>207</v>
      </c>
    </row>
    <row r="1094">
      <c r="A1094" s="29">
        <v>45929.83137373843</v>
      </c>
      <c r="B1094" s="30">
        <v>45929.0</v>
      </c>
      <c r="C1094" s="31" t="s">
        <v>3523</v>
      </c>
      <c r="D1094" s="32" t="s">
        <v>3524</v>
      </c>
      <c r="E1094" s="31" t="s">
        <v>43</v>
      </c>
      <c r="F1094" s="31">
        <v>2300000.0</v>
      </c>
      <c r="G1094" s="31" t="s">
        <v>23</v>
      </c>
      <c r="I1094" s="31" t="s">
        <v>229</v>
      </c>
      <c r="J1094" s="31" t="s">
        <v>967</v>
      </c>
      <c r="K1094" s="33" t="s">
        <v>3525</v>
      </c>
      <c r="L1094" s="31" t="s">
        <v>252</v>
      </c>
      <c r="O1094" s="31" t="s">
        <v>205</v>
      </c>
      <c r="X1094" s="31" t="s">
        <v>452</v>
      </c>
    </row>
    <row r="1095">
      <c r="A1095" s="29">
        <v>45930.45844930556</v>
      </c>
      <c r="B1095" s="30">
        <v>45930.0</v>
      </c>
      <c r="C1095" s="31" t="s">
        <v>3526</v>
      </c>
      <c r="D1095" s="32" t="s">
        <v>3527</v>
      </c>
      <c r="E1095" s="31" t="s">
        <v>43</v>
      </c>
      <c r="F1095" s="31">
        <v>3800000.0</v>
      </c>
      <c r="G1095" s="31" t="s">
        <v>23</v>
      </c>
      <c r="I1095" s="31" t="s">
        <v>229</v>
      </c>
      <c r="J1095" s="31" t="s">
        <v>967</v>
      </c>
      <c r="K1095" s="33" t="s">
        <v>3528</v>
      </c>
      <c r="L1095" s="31" t="s">
        <v>252</v>
      </c>
      <c r="O1095" s="31" t="s">
        <v>257</v>
      </c>
      <c r="P1095" s="31" t="s">
        <v>258</v>
      </c>
    </row>
    <row r="1096">
      <c r="A1096" s="29">
        <v>45930.47192466435</v>
      </c>
      <c r="B1096" s="30">
        <v>45930.0</v>
      </c>
      <c r="C1096" s="31" t="s">
        <v>3529</v>
      </c>
      <c r="D1096" s="32" t="s">
        <v>3530</v>
      </c>
      <c r="E1096" s="31" t="s">
        <v>784</v>
      </c>
      <c r="F1096" s="31">
        <v>3500000.0</v>
      </c>
      <c r="G1096" s="31" t="s">
        <v>23</v>
      </c>
      <c r="I1096" s="31" t="s">
        <v>229</v>
      </c>
      <c r="J1096" s="31" t="s">
        <v>967</v>
      </c>
      <c r="K1096" s="33" t="s">
        <v>3531</v>
      </c>
      <c r="L1096" s="31" t="s">
        <v>202</v>
      </c>
      <c r="N1096" s="31" t="s">
        <v>204</v>
      </c>
      <c r="R1096" s="31" t="s">
        <v>90</v>
      </c>
    </row>
    <row r="1097">
      <c r="A1097" s="29">
        <v>45930.47343105324</v>
      </c>
      <c r="B1097" s="30">
        <v>45930.0</v>
      </c>
      <c r="C1097" s="31" t="s">
        <v>3532</v>
      </c>
      <c r="D1097" s="32" t="s">
        <v>3533</v>
      </c>
      <c r="E1097" s="31" t="s">
        <v>199</v>
      </c>
      <c r="F1097" s="31">
        <v>8000000.0</v>
      </c>
      <c r="G1097" s="31" t="s">
        <v>23</v>
      </c>
      <c r="H1097" s="31">
        <v>7000000.0</v>
      </c>
      <c r="I1097" s="31" t="s">
        <v>413</v>
      </c>
      <c r="K1097" s="33" t="s">
        <v>3534</v>
      </c>
      <c r="L1097" s="31" t="s">
        <v>202</v>
      </c>
      <c r="M1097" s="31" t="s">
        <v>605</v>
      </c>
      <c r="N1097" s="31" t="s">
        <v>220</v>
      </c>
      <c r="S1097" s="31" t="s">
        <v>124</v>
      </c>
    </row>
    <row r="1098">
      <c r="A1098" s="29">
        <v>45930.59557116898</v>
      </c>
      <c r="B1098" s="30">
        <v>45930.0</v>
      </c>
      <c r="C1098" s="31" t="s">
        <v>3535</v>
      </c>
      <c r="D1098" s="32" t="s">
        <v>3536</v>
      </c>
      <c r="E1098" s="31" t="s">
        <v>2419</v>
      </c>
      <c r="F1098" s="31">
        <v>5600000.0</v>
      </c>
      <c r="G1098" s="31" t="s">
        <v>23</v>
      </c>
      <c r="I1098" s="31" t="s">
        <v>229</v>
      </c>
      <c r="J1098" s="31" t="s">
        <v>2420</v>
      </c>
      <c r="K1098" s="33" t="s">
        <v>3537</v>
      </c>
      <c r="L1098" s="31" t="s">
        <v>202</v>
      </c>
      <c r="N1098" s="31" t="s">
        <v>215</v>
      </c>
      <c r="W1098" s="31" t="s">
        <v>355</v>
      </c>
    </row>
    <row r="1099">
      <c r="A1099" s="29">
        <v>45930.680763020835</v>
      </c>
      <c r="B1099" s="30">
        <v>45930.0</v>
      </c>
      <c r="C1099" s="31" t="s">
        <v>3538</v>
      </c>
      <c r="D1099" s="32" t="s">
        <v>3539</v>
      </c>
      <c r="E1099" s="31" t="s">
        <v>43</v>
      </c>
      <c r="F1099" s="31">
        <v>2300000.0</v>
      </c>
      <c r="G1099" s="31" t="s">
        <v>23</v>
      </c>
      <c r="H1099" s="31">
        <v>1600000.0</v>
      </c>
      <c r="I1099" s="31" t="s">
        <v>413</v>
      </c>
      <c r="K1099" s="33" t="s">
        <v>3540</v>
      </c>
      <c r="L1099" s="31" t="s">
        <v>252</v>
      </c>
      <c r="M1099" s="31" t="s">
        <v>203</v>
      </c>
      <c r="O1099" s="31" t="s">
        <v>205</v>
      </c>
      <c r="X1099" s="31" t="s">
        <v>452</v>
      </c>
    </row>
    <row r="1100">
      <c r="A1100" s="29">
        <v>45930.8035209838</v>
      </c>
      <c r="B1100" s="30">
        <v>45930.0</v>
      </c>
      <c r="C1100" s="31" t="s">
        <v>3541</v>
      </c>
      <c r="D1100" s="32" t="s">
        <v>3542</v>
      </c>
      <c r="E1100" s="31" t="s">
        <v>2844</v>
      </c>
      <c r="F1100" s="31">
        <v>4000000.0</v>
      </c>
      <c r="G1100" s="31" t="s">
        <v>23</v>
      </c>
      <c r="I1100" s="31" t="s">
        <v>229</v>
      </c>
      <c r="J1100" s="31" t="s">
        <v>3543</v>
      </c>
      <c r="K1100" s="33" t="s">
        <v>3544</v>
      </c>
      <c r="L1100" s="31" t="s">
        <v>252</v>
      </c>
      <c r="O1100" s="31" t="s">
        <v>205</v>
      </c>
      <c r="X1100" s="31" t="s">
        <v>253</v>
      </c>
    </row>
    <row r="1101">
      <c r="A1101" s="29">
        <v>45930.804969756944</v>
      </c>
      <c r="B1101" s="30">
        <v>45930.0</v>
      </c>
      <c r="C1101" s="31" t="s">
        <v>3545</v>
      </c>
      <c r="D1101" s="32" t="s">
        <v>3546</v>
      </c>
      <c r="E1101" s="31" t="s">
        <v>31</v>
      </c>
      <c r="F1101" s="31">
        <v>5500000.0</v>
      </c>
      <c r="G1101" s="31" t="s">
        <v>23</v>
      </c>
      <c r="H1101" s="31">
        <v>3000000.0</v>
      </c>
      <c r="I1101" s="31" t="s">
        <v>200</v>
      </c>
      <c r="K1101" s="33" t="s">
        <v>3547</v>
      </c>
      <c r="L1101" s="31" t="s">
        <v>202</v>
      </c>
      <c r="M1101" s="31" t="s">
        <v>203</v>
      </c>
      <c r="N1101" s="31" t="s">
        <v>204</v>
      </c>
      <c r="R1101" s="31" t="s">
        <v>207</v>
      </c>
    </row>
    <row r="1102">
      <c r="A1102" s="29">
        <v>45930.94685491898</v>
      </c>
      <c r="B1102" s="30">
        <v>45930.0</v>
      </c>
      <c r="C1102" s="31" t="s">
        <v>3548</v>
      </c>
      <c r="D1102" s="32" t="s">
        <v>3549</v>
      </c>
      <c r="E1102" s="31" t="s">
        <v>784</v>
      </c>
      <c r="F1102" s="31">
        <v>3800000.0</v>
      </c>
      <c r="G1102" s="31" t="s">
        <v>23</v>
      </c>
      <c r="H1102" s="31">
        <v>3000000.0</v>
      </c>
      <c r="I1102" s="31" t="s">
        <v>200</v>
      </c>
      <c r="K1102" s="33" t="s">
        <v>3550</v>
      </c>
      <c r="L1102" s="31" t="s">
        <v>202</v>
      </c>
      <c r="M1102" s="31" t="s">
        <v>203</v>
      </c>
      <c r="N1102" s="31" t="s">
        <v>215</v>
      </c>
      <c r="W1102" s="31" t="s">
        <v>355</v>
      </c>
    </row>
    <row r="1103">
      <c r="A1103" s="29">
        <v>45931.423312638886</v>
      </c>
      <c r="B1103" s="30">
        <v>45931.0</v>
      </c>
      <c r="C1103" s="31" t="s">
        <v>3551</v>
      </c>
      <c r="D1103" s="32" t="s">
        <v>3552</v>
      </c>
      <c r="E1103" s="31" t="s">
        <v>43</v>
      </c>
      <c r="F1103" s="31">
        <v>3400000.0</v>
      </c>
      <c r="G1103" s="31" t="s">
        <v>23</v>
      </c>
      <c r="H1103" s="31">
        <v>3000000.0</v>
      </c>
      <c r="I1103" s="31" t="s">
        <v>413</v>
      </c>
      <c r="K1103" s="33" t="s">
        <v>3553</v>
      </c>
      <c r="L1103" s="31" t="s">
        <v>252</v>
      </c>
      <c r="M1103" s="31" t="s">
        <v>203</v>
      </c>
      <c r="O1103" s="31" t="s">
        <v>205</v>
      </c>
      <c r="X1103" s="31" t="s">
        <v>569</v>
      </c>
    </row>
    <row r="1104">
      <c r="A1104" s="29">
        <v>45931.461050868056</v>
      </c>
      <c r="B1104" s="30">
        <v>45931.0</v>
      </c>
      <c r="C1104" s="31" t="s">
        <v>3554</v>
      </c>
      <c r="D1104" s="32" t="s">
        <v>3555</v>
      </c>
      <c r="E1104" s="31" t="s">
        <v>199</v>
      </c>
      <c r="F1104" s="31">
        <v>5000000.0</v>
      </c>
      <c r="G1104" s="31" t="s">
        <v>23</v>
      </c>
      <c r="I1104" s="31" t="s">
        <v>229</v>
      </c>
      <c r="J1104" s="31" t="s">
        <v>967</v>
      </c>
      <c r="K1104" s="33" t="s">
        <v>3556</v>
      </c>
      <c r="L1104" s="31" t="s">
        <v>252</v>
      </c>
      <c r="O1104" s="31" t="s">
        <v>257</v>
      </c>
      <c r="P1104" s="31" t="s">
        <v>3194</v>
      </c>
    </row>
    <row r="1105">
      <c r="A1105" s="29">
        <v>45931.565283668984</v>
      </c>
      <c r="B1105" s="30">
        <v>45931.0</v>
      </c>
      <c r="C1105" s="31" t="s">
        <v>3557</v>
      </c>
      <c r="D1105" s="32" t="s">
        <v>3558</v>
      </c>
      <c r="E1105" s="31" t="s">
        <v>31</v>
      </c>
      <c r="F1105" s="31">
        <v>7500000.0</v>
      </c>
      <c r="G1105" s="31" t="s">
        <v>45</v>
      </c>
      <c r="H1105" s="31">
        <v>7000000.0</v>
      </c>
      <c r="I1105" s="31" t="s">
        <v>200</v>
      </c>
      <c r="K1105" s="33" t="s">
        <v>3559</v>
      </c>
      <c r="L1105" s="31" t="s">
        <v>202</v>
      </c>
      <c r="M1105" s="31" t="s">
        <v>383</v>
      </c>
      <c r="N1105" s="31" t="s">
        <v>204</v>
      </c>
      <c r="R1105" s="31" t="s">
        <v>53</v>
      </c>
    </row>
    <row r="1106">
      <c r="A1106" s="29">
        <v>45931.571700925924</v>
      </c>
      <c r="B1106" s="30">
        <v>45931.0</v>
      </c>
      <c r="C1106" s="31" t="s">
        <v>3560</v>
      </c>
      <c r="D1106" s="31">
        <v>0.0</v>
      </c>
      <c r="E1106" s="31" t="s">
        <v>43</v>
      </c>
      <c r="F1106" s="31">
        <v>2000000.0</v>
      </c>
      <c r="G1106" s="31" t="s">
        <v>45</v>
      </c>
      <c r="H1106" s="31">
        <v>3000000.0</v>
      </c>
      <c r="I1106" s="31" t="s">
        <v>200</v>
      </c>
      <c r="K1106" s="33" t="s">
        <v>3561</v>
      </c>
      <c r="L1106" s="31" t="s">
        <v>252</v>
      </c>
      <c r="M1106" s="31" t="s">
        <v>383</v>
      </c>
      <c r="O1106" s="31" t="s">
        <v>257</v>
      </c>
      <c r="P1106" s="31" t="s">
        <v>992</v>
      </c>
    </row>
    <row r="1107">
      <c r="A1107" s="29">
        <v>45931.57468965278</v>
      </c>
      <c r="B1107" s="30">
        <v>45931.0</v>
      </c>
      <c r="C1107" s="31" t="s">
        <v>3551</v>
      </c>
      <c r="D1107" s="32" t="s">
        <v>3552</v>
      </c>
      <c r="E1107" s="31" t="s">
        <v>43</v>
      </c>
      <c r="F1107" s="31">
        <v>3600000.0</v>
      </c>
      <c r="G1107" s="31" t="s">
        <v>23</v>
      </c>
      <c r="H1107" s="31">
        <v>3000000.0</v>
      </c>
      <c r="I1107" s="31" t="s">
        <v>200</v>
      </c>
      <c r="K1107" s="33" t="s">
        <v>3562</v>
      </c>
      <c r="L1107" s="31" t="s">
        <v>252</v>
      </c>
      <c r="M1107" s="31" t="s">
        <v>203</v>
      </c>
      <c r="O1107" s="31" t="s">
        <v>205</v>
      </c>
      <c r="X1107" s="31" t="s">
        <v>569</v>
      </c>
    </row>
    <row r="1108">
      <c r="A1108" s="29">
        <v>45931.584534699075</v>
      </c>
      <c r="B1108" s="30">
        <v>45931.0</v>
      </c>
      <c r="C1108" s="31" t="s">
        <v>3563</v>
      </c>
      <c r="D1108" s="32" t="s">
        <v>3564</v>
      </c>
      <c r="E1108" s="31" t="s">
        <v>31</v>
      </c>
      <c r="F1108" s="31">
        <v>5000000.0</v>
      </c>
      <c r="G1108" s="31" t="s">
        <v>23</v>
      </c>
      <c r="H1108" s="31">
        <v>3000000.0</v>
      </c>
      <c r="I1108" s="31" t="s">
        <v>200</v>
      </c>
      <c r="K1108" s="33" t="s">
        <v>3565</v>
      </c>
      <c r="L1108" s="31" t="s">
        <v>252</v>
      </c>
      <c r="M1108" s="31" t="s">
        <v>203</v>
      </c>
      <c r="O1108" s="31" t="s">
        <v>205</v>
      </c>
      <c r="X1108" s="31" t="s">
        <v>452</v>
      </c>
    </row>
    <row r="1109">
      <c r="A1109" s="29">
        <v>45931.58987372685</v>
      </c>
      <c r="B1109" s="30">
        <v>45931.0</v>
      </c>
      <c r="C1109" s="31" t="s">
        <v>3566</v>
      </c>
      <c r="D1109" s="32" t="s">
        <v>3567</v>
      </c>
      <c r="E1109" s="31" t="s">
        <v>493</v>
      </c>
      <c r="F1109" s="31">
        <v>5500000.0</v>
      </c>
      <c r="G1109" s="31" t="s">
        <v>23</v>
      </c>
      <c r="I1109" s="31" t="s">
        <v>229</v>
      </c>
      <c r="J1109" s="31" t="s">
        <v>2420</v>
      </c>
      <c r="K1109" s="33" t="s">
        <v>3568</v>
      </c>
      <c r="L1109" s="31" t="s">
        <v>202</v>
      </c>
      <c r="N1109" s="31" t="s">
        <v>215</v>
      </c>
      <c r="W1109" s="31" t="s">
        <v>355</v>
      </c>
    </row>
    <row r="1110">
      <c r="A1110" s="29">
        <v>45931.60100412037</v>
      </c>
      <c r="B1110" s="30">
        <v>45931.0</v>
      </c>
      <c r="C1110" s="31" t="s">
        <v>3569</v>
      </c>
      <c r="D1110" s="32" t="s">
        <v>3570</v>
      </c>
      <c r="E1110" s="31" t="s">
        <v>31</v>
      </c>
      <c r="F1110" s="31">
        <v>3000000.0</v>
      </c>
      <c r="G1110" s="31" t="s">
        <v>23</v>
      </c>
      <c r="H1110" s="31">
        <v>3000000.0</v>
      </c>
      <c r="I1110" s="31" t="s">
        <v>200</v>
      </c>
      <c r="K1110" s="33" t="s">
        <v>3571</v>
      </c>
      <c r="L1110" s="31" t="s">
        <v>202</v>
      </c>
      <c r="M1110" s="31" t="s">
        <v>203</v>
      </c>
      <c r="N1110" s="31" t="s">
        <v>215</v>
      </c>
      <c r="W1110" s="31" t="s">
        <v>216</v>
      </c>
    </row>
    <row r="1111">
      <c r="A1111" s="29">
        <v>45931.61705390047</v>
      </c>
      <c r="B1111" s="30">
        <v>45931.0</v>
      </c>
      <c r="C1111" s="31" t="s">
        <v>3572</v>
      </c>
      <c r="D1111" s="32" t="s">
        <v>3573</v>
      </c>
      <c r="E1111" s="31" t="s">
        <v>43</v>
      </c>
      <c r="F1111" s="31">
        <v>4800000.0</v>
      </c>
      <c r="G1111" s="31" t="s">
        <v>45</v>
      </c>
      <c r="I1111" s="31" t="s">
        <v>229</v>
      </c>
      <c r="J1111" s="31" t="s">
        <v>967</v>
      </c>
      <c r="K1111" s="33" t="s">
        <v>3574</v>
      </c>
      <c r="L1111" s="31" t="s">
        <v>252</v>
      </c>
      <c r="O1111" s="31" t="s">
        <v>257</v>
      </c>
      <c r="P1111" s="31" t="s">
        <v>258</v>
      </c>
    </row>
    <row r="1112">
      <c r="A1112" s="29">
        <v>45931.61855959491</v>
      </c>
      <c r="B1112" s="30">
        <v>45931.0</v>
      </c>
      <c r="C1112" s="31" t="s">
        <v>3575</v>
      </c>
      <c r="D1112" s="32" t="s">
        <v>3576</v>
      </c>
      <c r="E1112" s="31" t="s">
        <v>43</v>
      </c>
      <c r="F1112" s="31">
        <v>6200000.0</v>
      </c>
      <c r="G1112" s="31" t="s">
        <v>23</v>
      </c>
      <c r="I1112" s="31" t="s">
        <v>229</v>
      </c>
      <c r="J1112" s="31" t="s">
        <v>967</v>
      </c>
      <c r="K1112" s="33" t="s">
        <v>3577</v>
      </c>
      <c r="L1112" s="31" t="s">
        <v>252</v>
      </c>
      <c r="O1112" s="31" t="s">
        <v>257</v>
      </c>
      <c r="P1112" s="31" t="s">
        <v>258</v>
      </c>
    </row>
    <row r="1113">
      <c r="A1113" s="29">
        <v>45931.740113692125</v>
      </c>
      <c r="B1113" s="30">
        <v>45931.0</v>
      </c>
      <c r="C1113" s="31" t="s">
        <v>3578</v>
      </c>
      <c r="D1113" s="32" t="s">
        <v>3579</v>
      </c>
      <c r="E1113" s="31" t="s">
        <v>31</v>
      </c>
      <c r="F1113" s="31">
        <v>5600000.0</v>
      </c>
      <c r="G1113" s="31" t="s">
        <v>23</v>
      </c>
      <c r="I1113" s="31" t="s">
        <v>229</v>
      </c>
      <c r="J1113" s="31" t="s">
        <v>967</v>
      </c>
      <c r="K1113" s="33" t="s">
        <v>3580</v>
      </c>
      <c r="L1113" s="31" t="s">
        <v>202</v>
      </c>
      <c r="N1113" s="31" t="s">
        <v>313</v>
      </c>
      <c r="T1113" s="31" t="s">
        <v>329</v>
      </c>
    </row>
    <row r="1114">
      <c r="A1114" s="29">
        <v>45931.74808597223</v>
      </c>
      <c r="B1114" s="30">
        <v>45931.0</v>
      </c>
      <c r="C1114" s="31" t="s">
        <v>3581</v>
      </c>
      <c r="D1114" s="32" t="s">
        <v>3582</v>
      </c>
      <c r="E1114" s="31" t="s">
        <v>31</v>
      </c>
      <c r="F1114" s="31">
        <v>7200000.0</v>
      </c>
      <c r="G1114" s="31" t="s">
        <v>23</v>
      </c>
      <c r="H1114" s="31">
        <v>3000000.0</v>
      </c>
      <c r="I1114" s="31" t="s">
        <v>413</v>
      </c>
      <c r="K1114" s="31" t="s">
        <v>3583</v>
      </c>
      <c r="L1114" s="31" t="s">
        <v>202</v>
      </c>
      <c r="M1114" s="31" t="s">
        <v>203</v>
      </c>
      <c r="N1114" s="31" t="s">
        <v>313</v>
      </c>
      <c r="T1114" s="31" t="s">
        <v>329</v>
      </c>
    </row>
    <row r="1115">
      <c r="A1115" s="29">
        <v>45931.753601840275</v>
      </c>
      <c r="B1115" s="30">
        <v>45931.0</v>
      </c>
      <c r="C1115" s="31" t="s">
        <v>3584</v>
      </c>
      <c r="D1115" s="32" t="s">
        <v>3585</v>
      </c>
      <c r="E1115" s="31" t="s">
        <v>199</v>
      </c>
      <c r="F1115" s="31">
        <v>8000000.0</v>
      </c>
      <c r="G1115" s="31" t="s">
        <v>23</v>
      </c>
      <c r="I1115" s="31" t="s">
        <v>229</v>
      </c>
      <c r="J1115" s="31" t="s">
        <v>967</v>
      </c>
      <c r="K1115" s="33" t="s">
        <v>3586</v>
      </c>
      <c r="L1115" s="31" t="s">
        <v>202</v>
      </c>
      <c r="N1115" s="31" t="s">
        <v>313</v>
      </c>
      <c r="T1115" s="31" t="s">
        <v>384</v>
      </c>
    </row>
    <row r="1116">
      <c r="A1116" s="29">
        <v>45931.75910728009</v>
      </c>
      <c r="B1116" s="30">
        <v>45931.0</v>
      </c>
      <c r="C1116" s="31" t="s">
        <v>3587</v>
      </c>
      <c r="D1116" s="32" t="s">
        <v>3588</v>
      </c>
      <c r="E1116" s="31" t="s">
        <v>3589</v>
      </c>
      <c r="F1116" s="31">
        <v>3000000.0</v>
      </c>
      <c r="G1116" s="31" t="s">
        <v>23</v>
      </c>
      <c r="I1116" s="31" t="s">
        <v>229</v>
      </c>
      <c r="J1116" s="31" t="s">
        <v>229</v>
      </c>
      <c r="K1116" s="33" t="s">
        <v>3590</v>
      </c>
      <c r="L1116" s="31" t="s">
        <v>252</v>
      </c>
      <c r="O1116" s="31" t="s">
        <v>205</v>
      </c>
      <c r="X1116" s="31" t="s">
        <v>253</v>
      </c>
    </row>
    <row r="1117">
      <c r="A1117" s="29">
        <v>45931.8087039699</v>
      </c>
      <c r="B1117" s="30">
        <v>45931.0</v>
      </c>
      <c r="C1117" s="31" t="s">
        <v>3591</v>
      </c>
      <c r="D1117" s="32" t="s">
        <v>3592</v>
      </c>
      <c r="E1117" s="31" t="s">
        <v>31</v>
      </c>
      <c r="F1117" s="31">
        <v>4000000.0</v>
      </c>
      <c r="G1117" s="31" t="s">
        <v>23</v>
      </c>
      <c r="H1117" s="31">
        <v>3000000.0</v>
      </c>
      <c r="I1117" s="31" t="s">
        <v>413</v>
      </c>
      <c r="K1117" s="33" t="s">
        <v>3593</v>
      </c>
      <c r="L1117" s="31" t="s">
        <v>202</v>
      </c>
      <c r="M1117" s="31" t="s">
        <v>203</v>
      </c>
      <c r="N1117" s="31" t="s">
        <v>500</v>
      </c>
      <c r="V1117" s="31" t="s">
        <v>501</v>
      </c>
    </row>
    <row r="1118">
      <c r="A1118" s="29">
        <v>45931.81816793981</v>
      </c>
      <c r="B1118" s="30">
        <v>45931.0</v>
      </c>
      <c r="C1118" s="31" t="s">
        <v>3594</v>
      </c>
      <c r="D1118" s="31">
        <v>0.0</v>
      </c>
      <c r="E1118" s="31" t="s">
        <v>228</v>
      </c>
      <c r="F1118" s="31">
        <v>1000000.0</v>
      </c>
      <c r="G1118" s="31" t="s">
        <v>23</v>
      </c>
      <c r="I1118" s="31" t="s">
        <v>229</v>
      </c>
      <c r="J1118" s="31" t="s">
        <v>967</v>
      </c>
      <c r="K1118" s="33" t="s">
        <v>3595</v>
      </c>
      <c r="L1118" s="31" t="s">
        <v>252</v>
      </c>
      <c r="O1118" s="31" t="s">
        <v>257</v>
      </c>
      <c r="P1118" s="31" t="s">
        <v>992</v>
      </c>
    </row>
    <row r="1119">
      <c r="A1119" s="29">
        <v>45931.82717805555</v>
      </c>
      <c r="B1119" s="30">
        <v>45931.0</v>
      </c>
      <c r="C1119" s="31" t="s">
        <v>3596</v>
      </c>
      <c r="D1119" s="32" t="s">
        <v>3597</v>
      </c>
      <c r="E1119" s="31" t="s">
        <v>31</v>
      </c>
      <c r="F1119" s="31">
        <v>7500000.0</v>
      </c>
      <c r="G1119" s="31" t="s">
        <v>23</v>
      </c>
      <c r="I1119" s="31" t="s">
        <v>229</v>
      </c>
      <c r="J1119" s="31" t="s">
        <v>967</v>
      </c>
      <c r="K1119" s="33" t="s">
        <v>3598</v>
      </c>
      <c r="L1119" s="31" t="s">
        <v>202</v>
      </c>
      <c r="N1119" s="31" t="s">
        <v>313</v>
      </c>
      <c r="T1119" s="31" t="s">
        <v>329</v>
      </c>
    </row>
    <row r="1120">
      <c r="A1120" s="29">
        <v>45931.843632592594</v>
      </c>
      <c r="B1120" s="30">
        <v>45931.0</v>
      </c>
      <c r="C1120" s="31" t="s">
        <v>3599</v>
      </c>
      <c r="D1120" s="32" t="s">
        <v>3600</v>
      </c>
      <c r="E1120" s="31" t="s">
        <v>199</v>
      </c>
      <c r="F1120" s="31">
        <v>3000000.0</v>
      </c>
      <c r="G1120" s="31" t="s">
        <v>23</v>
      </c>
      <c r="H1120" s="31">
        <v>3000000.0</v>
      </c>
      <c r="I1120" s="31" t="s">
        <v>200</v>
      </c>
      <c r="K1120" s="33" t="s">
        <v>3601</v>
      </c>
      <c r="L1120" s="31" t="s">
        <v>252</v>
      </c>
      <c r="M1120" s="31" t="s">
        <v>203</v>
      </c>
      <c r="O1120" s="31" t="s">
        <v>205</v>
      </c>
      <c r="X1120" s="31" t="s">
        <v>549</v>
      </c>
    </row>
    <row r="1121">
      <c r="A1121" s="29">
        <v>45931.84622129629</v>
      </c>
      <c r="B1121" s="30">
        <v>45931.0</v>
      </c>
      <c r="C1121" s="31" t="s">
        <v>3602</v>
      </c>
      <c r="D1121" s="32" t="s">
        <v>3603</v>
      </c>
      <c r="E1121" s="31" t="s">
        <v>43</v>
      </c>
      <c r="F1121" s="31">
        <v>2500000.0</v>
      </c>
      <c r="G1121" s="31" t="s">
        <v>23</v>
      </c>
      <c r="I1121" s="31" t="s">
        <v>229</v>
      </c>
      <c r="J1121" s="31" t="s">
        <v>967</v>
      </c>
      <c r="K1121" s="33" t="s">
        <v>3604</v>
      </c>
      <c r="L1121" s="31" t="s">
        <v>252</v>
      </c>
      <c r="O1121" s="31" t="s">
        <v>205</v>
      </c>
      <c r="X1121" s="31" t="s">
        <v>452</v>
      </c>
    </row>
    <row r="1122">
      <c r="A1122" s="29">
        <v>45931.84689732639</v>
      </c>
      <c r="B1122" s="30">
        <v>45931.0</v>
      </c>
      <c r="C1122" s="31" t="s">
        <v>3605</v>
      </c>
      <c r="D1122" s="32" t="s">
        <v>3606</v>
      </c>
      <c r="E1122" s="31" t="s">
        <v>31</v>
      </c>
      <c r="F1122" s="31">
        <v>5999000.0</v>
      </c>
      <c r="G1122" s="31" t="s">
        <v>23</v>
      </c>
      <c r="I1122" s="31" t="s">
        <v>229</v>
      </c>
      <c r="J1122" s="31" t="s">
        <v>967</v>
      </c>
      <c r="K1122" s="33" t="s">
        <v>3607</v>
      </c>
      <c r="L1122" s="31" t="s">
        <v>202</v>
      </c>
      <c r="N1122" s="31" t="s">
        <v>204</v>
      </c>
      <c r="R1122" s="31" t="s">
        <v>207</v>
      </c>
    </row>
    <row r="1123">
      <c r="A1123" s="29">
        <v>45931.84690142361</v>
      </c>
      <c r="B1123" s="30">
        <v>45931.0</v>
      </c>
      <c r="C1123" s="31" t="s">
        <v>3608</v>
      </c>
      <c r="D1123" s="32" t="s">
        <v>3609</v>
      </c>
      <c r="E1123" s="31" t="s">
        <v>31</v>
      </c>
      <c r="F1123" s="31">
        <v>2500000.0</v>
      </c>
      <c r="G1123" s="31" t="s">
        <v>23</v>
      </c>
      <c r="I1123" s="31" t="s">
        <v>229</v>
      </c>
      <c r="J1123" s="31" t="s">
        <v>967</v>
      </c>
      <c r="K1123" s="33" t="s">
        <v>3610</v>
      </c>
      <c r="L1123" s="31" t="s">
        <v>202</v>
      </c>
      <c r="N1123" s="31" t="s">
        <v>204</v>
      </c>
      <c r="R1123" s="31" t="s">
        <v>148</v>
      </c>
    </row>
    <row r="1124">
      <c r="A1124" s="29">
        <v>45931.848424780095</v>
      </c>
      <c r="B1124" s="30">
        <v>45931.0</v>
      </c>
      <c r="C1124" s="31" t="s">
        <v>3611</v>
      </c>
      <c r="D1124" s="32" t="s">
        <v>3612</v>
      </c>
      <c r="E1124" s="31" t="s">
        <v>31</v>
      </c>
      <c r="F1124" s="31">
        <v>3200000.0</v>
      </c>
      <c r="G1124" s="31" t="s">
        <v>23</v>
      </c>
      <c r="I1124" s="31" t="s">
        <v>229</v>
      </c>
      <c r="J1124" s="31" t="s">
        <v>967</v>
      </c>
      <c r="K1124" s="33" t="s">
        <v>3613</v>
      </c>
      <c r="L1124" s="31" t="s">
        <v>202</v>
      </c>
      <c r="N1124" s="31" t="s">
        <v>204</v>
      </c>
      <c r="R1124" s="31" t="s">
        <v>148</v>
      </c>
    </row>
    <row r="1125">
      <c r="A1125" s="29">
        <v>45931.84954105324</v>
      </c>
      <c r="B1125" s="30">
        <v>45931.0</v>
      </c>
      <c r="C1125" s="31" t="s">
        <v>3614</v>
      </c>
      <c r="D1125" s="31" t="s">
        <v>3615</v>
      </c>
      <c r="E1125" s="31" t="s">
        <v>288</v>
      </c>
      <c r="F1125" s="31">
        <v>1750000.0</v>
      </c>
      <c r="G1125" s="31" t="s">
        <v>23</v>
      </c>
      <c r="I1125" s="31" t="s">
        <v>229</v>
      </c>
      <c r="J1125" s="31" t="s">
        <v>967</v>
      </c>
      <c r="K1125" s="33" t="s">
        <v>3616</v>
      </c>
      <c r="L1125" s="31" t="s">
        <v>202</v>
      </c>
      <c r="N1125" s="31" t="s">
        <v>204</v>
      </c>
      <c r="R1125" s="31" t="s">
        <v>892</v>
      </c>
    </row>
    <row r="1126">
      <c r="A1126" s="29">
        <v>45931.85028416666</v>
      </c>
      <c r="B1126" s="30">
        <v>45931.0</v>
      </c>
      <c r="C1126" s="31" t="s">
        <v>3617</v>
      </c>
      <c r="D1126" s="32" t="s">
        <v>3618</v>
      </c>
      <c r="E1126" s="31" t="s">
        <v>31</v>
      </c>
      <c r="F1126" s="31">
        <v>2400000.0</v>
      </c>
      <c r="G1126" s="31" t="s">
        <v>23</v>
      </c>
      <c r="I1126" s="31" t="s">
        <v>229</v>
      </c>
      <c r="J1126" s="31" t="s">
        <v>967</v>
      </c>
      <c r="K1126" s="33" t="s">
        <v>3619</v>
      </c>
      <c r="L1126" s="31" t="s">
        <v>202</v>
      </c>
      <c r="N1126" s="31" t="s">
        <v>204</v>
      </c>
      <c r="R1126" s="31" t="s">
        <v>148</v>
      </c>
    </row>
    <row r="1127">
      <c r="A1127" s="29">
        <v>45931.85161834491</v>
      </c>
      <c r="B1127" s="30">
        <v>45931.0</v>
      </c>
      <c r="C1127" s="31" t="s">
        <v>3620</v>
      </c>
      <c r="D1127" s="32" t="s">
        <v>3621</v>
      </c>
      <c r="E1127" s="31" t="s">
        <v>43</v>
      </c>
      <c r="F1127" s="31">
        <v>3400000.0</v>
      </c>
      <c r="G1127" s="31" t="s">
        <v>23</v>
      </c>
      <c r="H1127" s="31">
        <v>3000000.0</v>
      </c>
      <c r="I1127" s="31" t="s">
        <v>413</v>
      </c>
      <c r="K1127" s="33" t="s">
        <v>3622</v>
      </c>
      <c r="L1127" s="31" t="s">
        <v>202</v>
      </c>
      <c r="M1127" s="31" t="s">
        <v>383</v>
      </c>
      <c r="N1127" s="31" t="s">
        <v>204</v>
      </c>
      <c r="R1127" s="31" t="s">
        <v>148</v>
      </c>
    </row>
    <row r="1128">
      <c r="A1128" s="29">
        <v>45931.85447924769</v>
      </c>
      <c r="B1128" s="30">
        <v>45931.0</v>
      </c>
      <c r="C1128" s="31" t="s">
        <v>3623</v>
      </c>
      <c r="D1128" s="32" t="s">
        <v>3624</v>
      </c>
      <c r="E1128" s="31" t="s">
        <v>43</v>
      </c>
      <c r="F1128" s="31">
        <v>4200000.0</v>
      </c>
      <c r="G1128" s="31" t="s">
        <v>23</v>
      </c>
      <c r="I1128" s="31" t="s">
        <v>229</v>
      </c>
      <c r="J1128" s="31" t="s">
        <v>967</v>
      </c>
      <c r="K1128" s="33" t="s">
        <v>3625</v>
      </c>
      <c r="L1128" s="31" t="s">
        <v>202</v>
      </c>
      <c r="N1128" s="31" t="s">
        <v>220</v>
      </c>
      <c r="S1128" s="31" t="s">
        <v>36</v>
      </c>
    </row>
    <row r="1129">
      <c r="A1129" s="29">
        <v>45931.856110231485</v>
      </c>
      <c r="B1129" s="30">
        <v>45931.0</v>
      </c>
      <c r="C1129" s="31" t="s">
        <v>3626</v>
      </c>
      <c r="D1129" s="32" t="s">
        <v>3627</v>
      </c>
      <c r="E1129" s="31" t="s">
        <v>2902</v>
      </c>
      <c r="F1129" s="31">
        <v>5100000.0</v>
      </c>
      <c r="G1129" s="31" t="s">
        <v>23</v>
      </c>
      <c r="I1129" s="31" t="s">
        <v>229</v>
      </c>
      <c r="J1129" s="31" t="s">
        <v>967</v>
      </c>
      <c r="K1129" s="33" t="s">
        <v>3628</v>
      </c>
      <c r="L1129" s="31" t="s">
        <v>202</v>
      </c>
      <c r="N1129" s="31" t="s">
        <v>220</v>
      </c>
      <c r="S1129" s="31" t="s">
        <v>36</v>
      </c>
    </row>
    <row r="1130">
      <c r="A1130" s="29">
        <v>45932.4097115162</v>
      </c>
      <c r="B1130" s="30">
        <v>45932.0</v>
      </c>
      <c r="C1130" s="31" t="s">
        <v>3629</v>
      </c>
      <c r="D1130" s="32" t="s">
        <v>3630</v>
      </c>
      <c r="E1130" s="31" t="s">
        <v>43</v>
      </c>
      <c r="F1130" s="31">
        <v>3800000.0</v>
      </c>
      <c r="G1130" s="31" t="s">
        <v>23</v>
      </c>
      <c r="I1130" s="31" t="s">
        <v>229</v>
      </c>
      <c r="J1130" s="31" t="s">
        <v>967</v>
      </c>
      <c r="K1130" s="33" t="s">
        <v>3631</v>
      </c>
      <c r="L1130" s="31" t="s">
        <v>252</v>
      </c>
      <c r="O1130" s="31" t="s">
        <v>257</v>
      </c>
      <c r="P1130" s="31" t="s">
        <v>258</v>
      </c>
    </row>
    <row r="1131">
      <c r="A1131" s="29">
        <v>45932.48997847222</v>
      </c>
      <c r="B1131" s="30">
        <v>45932.0</v>
      </c>
      <c r="C1131" s="31" t="s">
        <v>3632</v>
      </c>
      <c r="D1131" s="32" t="s">
        <v>3633</v>
      </c>
      <c r="E1131" s="31" t="s">
        <v>43</v>
      </c>
      <c r="F1131" s="31">
        <v>2300000.0</v>
      </c>
      <c r="G1131" s="31" t="s">
        <v>23</v>
      </c>
      <c r="I1131" s="31" t="s">
        <v>229</v>
      </c>
      <c r="J1131" s="31" t="s">
        <v>967</v>
      </c>
      <c r="K1131" s="33" t="s">
        <v>3634</v>
      </c>
      <c r="L1131" s="31" t="s">
        <v>252</v>
      </c>
      <c r="O1131" s="31" t="s">
        <v>205</v>
      </c>
      <c r="X1131" s="31" t="s">
        <v>2335</v>
      </c>
    </row>
    <row r="1132">
      <c r="A1132" s="29">
        <v>45932.49736233796</v>
      </c>
      <c r="B1132" s="30">
        <v>45932.0</v>
      </c>
      <c r="C1132" s="31" t="s">
        <v>3635</v>
      </c>
      <c r="D1132" s="32" t="s">
        <v>3636</v>
      </c>
      <c r="E1132" s="31" t="s">
        <v>199</v>
      </c>
      <c r="F1132" s="31">
        <v>3000000.0</v>
      </c>
      <c r="G1132" s="31" t="s">
        <v>45</v>
      </c>
      <c r="H1132" s="31">
        <v>3000000.0</v>
      </c>
      <c r="I1132" s="31" t="s">
        <v>413</v>
      </c>
      <c r="K1132" s="33" t="s">
        <v>3637</v>
      </c>
      <c r="L1132" s="31" t="s">
        <v>202</v>
      </c>
      <c r="M1132" s="31" t="s">
        <v>203</v>
      </c>
      <c r="N1132" s="31" t="s">
        <v>215</v>
      </c>
      <c r="W1132" s="31" t="s">
        <v>216</v>
      </c>
    </row>
    <row r="1133">
      <c r="A1133" s="29">
        <v>45932.509938993055</v>
      </c>
      <c r="B1133" s="30">
        <v>45932.0</v>
      </c>
      <c r="C1133" s="31" t="s">
        <v>3638</v>
      </c>
      <c r="D1133" s="31">
        <v>8.5338584707E10</v>
      </c>
      <c r="E1133" s="31" t="s">
        <v>31</v>
      </c>
      <c r="F1133" s="31">
        <v>1.1E7</v>
      </c>
      <c r="G1133" s="31" t="s">
        <v>23</v>
      </c>
      <c r="I1133" s="31" t="s">
        <v>229</v>
      </c>
      <c r="J1133" s="31" t="s">
        <v>967</v>
      </c>
      <c r="K1133" s="33" t="s">
        <v>3639</v>
      </c>
      <c r="L1133" s="31" t="s">
        <v>202</v>
      </c>
      <c r="N1133" s="31" t="s">
        <v>204</v>
      </c>
      <c r="R1133" s="31" t="s">
        <v>471</v>
      </c>
    </row>
    <row r="1134">
      <c r="A1134" s="29">
        <v>45932.525307303236</v>
      </c>
      <c r="B1134" s="30">
        <v>45932.0</v>
      </c>
      <c r="C1134" s="31" t="s">
        <v>3426</v>
      </c>
      <c r="D1134" s="32" t="s">
        <v>3427</v>
      </c>
      <c r="E1134" s="31" t="s">
        <v>43</v>
      </c>
      <c r="F1134" s="31">
        <v>5400000.0</v>
      </c>
      <c r="G1134" s="31" t="s">
        <v>23</v>
      </c>
      <c r="H1134" s="31">
        <v>3000000.0</v>
      </c>
      <c r="I1134" s="31" t="s">
        <v>200</v>
      </c>
      <c r="K1134" s="33" t="s">
        <v>3640</v>
      </c>
      <c r="L1134" s="31" t="s">
        <v>252</v>
      </c>
      <c r="M1134" s="31" t="s">
        <v>203</v>
      </c>
      <c r="O1134" s="31" t="s">
        <v>205</v>
      </c>
      <c r="X1134" s="31" t="s">
        <v>569</v>
      </c>
    </row>
    <row r="1135">
      <c r="A1135" s="29">
        <v>45932.54140844908</v>
      </c>
      <c r="B1135" s="30">
        <v>45932.0</v>
      </c>
      <c r="C1135" s="31" t="s">
        <v>3641</v>
      </c>
      <c r="D1135" s="32" t="s">
        <v>3642</v>
      </c>
      <c r="E1135" s="31" t="s">
        <v>311</v>
      </c>
      <c r="F1135" s="31">
        <v>5200000.0</v>
      </c>
      <c r="G1135" s="31" t="s">
        <v>23</v>
      </c>
      <c r="H1135" s="31">
        <v>300000.0</v>
      </c>
      <c r="I1135" s="31" t="s">
        <v>413</v>
      </c>
      <c r="K1135" s="33" t="s">
        <v>3643</v>
      </c>
      <c r="L1135" s="31" t="s">
        <v>202</v>
      </c>
      <c r="M1135" s="31" t="s">
        <v>203</v>
      </c>
      <c r="N1135" s="31" t="s">
        <v>313</v>
      </c>
      <c r="T1135" s="31" t="s">
        <v>314</v>
      </c>
    </row>
    <row r="1136">
      <c r="A1136" s="29">
        <v>45932.54449825232</v>
      </c>
      <c r="B1136" s="30">
        <v>45932.0</v>
      </c>
      <c r="C1136" s="31" t="s">
        <v>3644</v>
      </c>
      <c r="D1136" s="32" t="s">
        <v>3645</v>
      </c>
      <c r="E1136" s="31" t="s">
        <v>31</v>
      </c>
      <c r="F1136" s="31">
        <v>3400000.0</v>
      </c>
      <c r="G1136" s="31" t="s">
        <v>23</v>
      </c>
      <c r="H1136" s="31">
        <v>3000000.0</v>
      </c>
      <c r="I1136" s="31" t="s">
        <v>413</v>
      </c>
      <c r="K1136" s="33" t="s">
        <v>3646</v>
      </c>
      <c r="L1136" s="31" t="s">
        <v>202</v>
      </c>
      <c r="M1136" s="31" t="s">
        <v>203</v>
      </c>
      <c r="N1136" s="31" t="s">
        <v>204</v>
      </c>
      <c r="R1136" s="31" t="s">
        <v>148</v>
      </c>
    </row>
    <row r="1137">
      <c r="A1137" s="29">
        <v>45932.587382557875</v>
      </c>
      <c r="B1137" s="30">
        <v>45932.0</v>
      </c>
      <c r="C1137" s="31" t="s">
        <v>3647</v>
      </c>
      <c r="D1137" s="32" t="s">
        <v>3648</v>
      </c>
      <c r="E1137" s="31" t="s">
        <v>31</v>
      </c>
      <c r="F1137" s="31">
        <v>5000000.0</v>
      </c>
      <c r="G1137" s="31" t="s">
        <v>23</v>
      </c>
      <c r="I1137" s="31" t="s">
        <v>229</v>
      </c>
      <c r="J1137" s="31" t="s">
        <v>967</v>
      </c>
      <c r="K1137" s="33" t="s">
        <v>3649</v>
      </c>
      <c r="L1137" s="31" t="s">
        <v>252</v>
      </c>
      <c r="O1137" s="31" t="s">
        <v>205</v>
      </c>
      <c r="X1137" s="31" t="s">
        <v>452</v>
      </c>
    </row>
    <row r="1138">
      <c r="A1138" s="29">
        <v>45932.60677038194</v>
      </c>
      <c r="B1138" s="30">
        <v>45932.0</v>
      </c>
      <c r="C1138" s="31" t="s">
        <v>3650</v>
      </c>
      <c r="D1138" s="32" t="s">
        <v>3651</v>
      </c>
      <c r="E1138" s="31" t="s">
        <v>43</v>
      </c>
      <c r="F1138" s="31">
        <v>3000000.0</v>
      </c>
      <c r="G1138" s="31" t="s">
        <v>23</v>
      </c>
      <c r="H1138" s="31">
        <v>3000000.0</v>
      </c>
      <c r="I1138" s="31" t="s">
        <v>200</v>
      </c>
      <c r="K1138" s="33" t="s">
        <v>3652</v>
      </c>
      <c r="L1138" s="31" t="s">
        <v>202</v>
      </c>
      <c r="M1138" s="31" t="s">
        <v>203</v>
      </c>
      <c r="N1138" s="31" t="s">
        <v>871</v>
      </c>
      <c r="Q1138" s="31" t="s">
        <v>872</v>
      </c>
    </row>
    <row r="1139">
      <c r="A1139" s="29">
        <v>45932.65600449074</v>
      </c>
      <c r="B1139" s="30">
        <v>45932.0</v>
      </c>
      <c r="C1139" s="31" t="s">
        <v>3653</v>
      </c>
      <c r="D1139" s="32" t="s">
        <v>3654</v>
      </c>
      <c r="E1139" s="31" t="s">
        <v>228</v>
      </c>
      <c r="F1139" s="31">
        <v>2000000.0</v>
      </c>
      <c r="G1139" s="31" t="s">
        <v>23</v>
      </c>
      <c r="I1139" s="31" t="s">
        <v>229</v>
      </c>
      <c r="J1139" s="31" t="s">
        <v>967</v>
      </c>
      <c r="K1139" s="33" t="s">
        <v>3655</v>
      </c>
      <c r="L1139" s="31" t="s">
        <v>252</v>
      </c>
      <c r="O1139" s="31" t="s">
        <v>205</v>
      </c>
      <c r="X1139" s="31" t="s">
        <v>549</v>
      </c>
    </row>
    <row r="1140">
      <c r="A1140" s="29">
        <v>45932.71215894676</v>
      </c>
      <c r="B1140" s="30">
        <v>45932.0</v>
      </c>
      <c r="C1140" s="31" t="s">
        <v>3656</v>
      </c>
      <c r="D1140" s="32" t="s">
        <v>3657</v>
      </c>
      <c r="E1140" s="31" t="s">
        <v>228</v>
      </c>
      <c r="F1140" s="31">
        <v>4500000.0</v>
      </c>
      <c r="G1140" s="31" t="s">
        <v>23</v>
      </c>
      <c r="I1140" s="31" t="s">
        <v>229</v>
      </c>
      <c r="J1140" s="31" t="s">
        <v>967</v>
      </c>
      <c r="K1140" s="33" t="s">
        <v>3658</v>
      </c>
      <c r="L1140" s="31" t="s">
        <v>202</v>
      </c>
      <c r="N1140" s="31" t="s">
        <v>220</v>
      </c>
      <c r="S1140" s="31" t="s">
        <v>59</v>
      </c>
    </row>
    <row r="1141">
      <c r="A1141" s="29">
        <v>45932.72520023148</v>
      </c>
      <c r="B1141" s="30">
        <v>45932.0</v>
      </c>
      <c r="C1141" s="31" t="s">
        <v>3659</v>
      </c>
      <c r="D1141" s="32" t="s">
        <v>3660</v>
      </c>
      <c r="E1141" s="31" t="s">
        <v>43</v>
      </c>
      <c r="F1141" s="31">
        <v>3100000.0</v>
      </c>
      <c r="G1141" s="31" t="s">
        <v>23</v>
      </c>
      <c r="I1141" s="31" t="s">
        <v>229</v>
      </c>
      <c r="J1141" s="31" t="s">
        <v>967</v>
      </c>
      <c r="K1141" s="33" t="s">
        <v>3661</v>
      </c>
      <c r="L1141" s="31" t="s">
        <v>252</v>
      </c>
      <c r="O1141" s="31" t="s">
        <v>257</v>
      </c>
      <c r="P1141" s="31" t="s">
        <v>2453</v>
      </c>
    </row>
    <row r="1142">
      <c r="A1142" s="29">
        <v>45932.743615046296</v>
      </c>
      <c r="B1142" s="30">
        <v>45932.0</v>
      </c>
      <c r="C1142" s="31" t="s">
        <v>3662</v>
      </c>
      <c r="D1142" s="32" t="s">
        <v>3663</v>
      </c>
      <c r="E1142" s="31" t="s">
        <v>3664</v>
      </c>
      <c r="F1142" s="31">
        <v>7000000.0</v>
      </c>
      <c r="G1142" s="31" t="s">
        <v>23</v>
      </c>
      <c r="I1142" s="31" t="s">
        <v>229</v>
      </c>
      <c r="J1142" s="31" t="s">
        <v>967</v>
      </c>
      <c r="K1142" s="33" t="s">
        <v>3665</v>
      </c>
      <c r="L1142" s="31" t="s">
        <v>202</v>
      </c>
      <c r="N1142" s="31" t="s">
        <v>220</v>
      </c>
      <c r="S1142" s="31" t="s">
        <v>1406</v>
      </c>
    </row>
    <row r="1143">
      <c r="A1143" s="29">
        <v>45932.7509147338</v>
      </c>
      <c r="B1143" s="30">
        <v>45932.0</v>
      </c>
      <c r="C1143" s="31" t="s">
        <v>3666</v>
      </c>
      <c r="D1143" s="32" t="s">
        <v>3667</v>
      </c>
      <c r="E1143" s="31" t="s">
        <v>43</v>
      </c>
      <c r="F1143" s="31">
        <v>3700000.0</v>
      </c>
      <c r="G1143" s="31" t="s">
        <v>23</v>
      </c>
      <c r="H1143" s="31">
        <v>3000000.0</v>
      </c>
      <c r="I1143" s="31" t="s">
        <v>413</v>
      </c>
      <c r="K1143" s="33" t="s">
        <v>3668</v>
      </c>
      <c r="L1143" s="31" t="s">
        <v>202</v>
      </c>
      <c r="M1143" s="31" t="s">
        <v>203</v>
      </c>
      <c r="N1143" s="31" t="s">
        <v>215</v>
      </c>
      <c r="W1143" s="31" t="s">
        <v>389</v>
      </c>
    </row>
    <row r="1144">
      <c r="A1144" s="29">
        <v>45932.751011342596</v>
      </c>
      <c r="B1144" s="30">
        <v>45932.0</v>
      </c>
      <c r="C1144" s="31" t="s">
        <v>3669</v>
      </c>
      <c r="D1144" s="32" t="s">
        <v>3670</v>
      </c>
      <c r="E1144" s="31" t="s">
        <v>31</v>
      </c>
      <c r="F1144" s="31">
        <v>5999000.0</v>
      </c>
      <c r="G1144" s="31" t="s">
        <v>23</v>
      </c>
      <c r="I1144" s="31" t="s">
        <v>229</v>
      </c>
      <c r="J1144" s="31" t="s">
        <v>967</v>
      </c>
      <c r="K1144" s="33" t="s">
        <v>3671</v>
      </c>
      <c r="L1144" s="31" t="s">
        <v>202</v>
      </c>
      <c r="N1144" s="31" t="s">
        <v>204</v>
      </c>
      <c r="R1144" s="31" t="s">
        <v>207</v>
      </c>
    </row>
    <row r="1145">
      <c r="A1145" s="29">
        <v>45932.75786459491</v>
      </c>
      <c r="B1145" s="30">
        <v>45932.0</v>
      </c>
      <c r="C1145" s="31" t="s">
        <v>3672</v>
      </c>
      <c r="D1145" s="32" t="s">
        <v>3673</v>
      </c>
      <c r="E1145" s="31" t="s">
        <v>31</v>
      </c>
      <c r="F1145" s="31">
        <v>5400000.0</v>
      </c>
      <c r="G1145" s="31" t="s">
        <v>23</v>
      </c>
      <c r="I1145" s="31" t="s">
        <v>229</v>
      </c>
      <c r="J1145" s="31" t="s">
        <v>967</v>
      </c>
      <c r="K1145" s="33" t="s">
        <v>3674</v>
      </c>
      <c r="L1145" s="31" t="s">
        <v>202</v>
      </c>
      <c r="N1145" s="31" t="s">
        <v>204</v>
      </c>
      <c r="R1145" s="31" t="s">
        <v>207</v>
      </c>
    </row>
    <row r="1146">
      <c r="A1146" s="29">
        <v>45932.79693672454</v>
      </c>
      <c r="B1146" s="30">
        <v>45932.0</v>
      </c>
      <c r="C1146" s="31" t="s">
        <v>3675</v>
      </c>
      <c r="D1146" s="32" t="s">
        <v>3676</v>
      </c>
      <c r="E1146" s="31" t="s">
        <v>43</v>
      </c>
      <c r="F1146" s="31">
        <v>8100000.0</v>
      </c>
      <c r="G1146" s="31" t="s">
        <v>45</v>
      </c>
      <c r="I1146" s="31" t="s">
        <v>229</v>
      </c>
      <c r="J1146" s="31" t="s">
        <v>967</v>
      </c>
      <c r="K1146" s="33" t="s">
        <v>3677</v>
      </c>
      <c r="L1146" s="31" t="s">
        <v>252</v>
      </c>
      <c r="O1146" s="31" t="s">
        <v>257</v>
      </c>
      <c r="P1146" s="31" t="s">
        <v>272</v>
      </c>
    </row>
    <row r="1147">
      <c r="A1147" s="29">
        <v>45932.797014421296</v>
      </c>
      <c r="B1147" s="30">
        <v>45932.0</v>
      </c>
      <c r="C1147" s="31" t="s">
        <v>3678</v>
      </c>
      <c r="D1147" s="32" t="s">
        <v>3679</v>
      </c>
      <c r="E1147" s="31" t="s">
        <v>3680</v>
      </c>
      <c r="F1147" s="31">
        <v>1.25E7</v>
      </c>
      <c r="G1147" s="31" t="s">
        <v>23</v>
      </c>
      <c r="I1147" s="31" t="s">
        <v>229</v>
      </c>
      <c r="J1147" s="31" t="s">
        <v>165</v>
      </c>
      <c r="K1147" s="33" t="s">
        <v>3681</v>
      </c>
      <c r="L1147" s="31" t="s">
        <v>202</v>
      </c>
      <c r="N1147" s="31" t="s">
        <v>667</v>
      </c>
      <c r="U1147" s="31" t="s">
        <v>668</v>
      </c>
    </row>
    <row r="1148">
      <c r="A1148" s="29">
        <v>45932.80990627315</v>
      </c>
      <c r="B1148" s="30">
        <v>45932.0</v>
      </c>
      <c r="C1148" s="31" t="s">
        <v>3682</v>
      </c>
      <c r="D1148" s="32" t="s">
        <v>3683</v>
      </c>
      <c r="E1148" s="31" t="s">
        <v>43</v>
      </c>
      <c r="F1148" s="31">
        <v>2300000.0</v>
      </c>
      <c r="G1148" s="31" t="s">
        <v>23</v>
      </c>
      <c r="I1148" s="31" t="s">
        <v>229</v>
      </c>
      <c r="J1148" s="31" t="s">
        <v>967</v>
      </c>
      <c r="K1148" s="33" t="s">
        <v>3684</v>
      </c>
      <c r="L1148" s="31" t="s">
        <v>252</v>
      </c>
      <c r="O1148" s="31" t="s">
        <v>205</v>
      </c>
      <c r="X1148" s="31" t="s">
        <v>452</v>
      </c>
    </row>
    <row r="1149">
      <c r="A1149" s="29">
        <v>45932.814906064814</v>
      </c>
      <c r="B1149" s="30">
        <v>45932.0</v>
      </c>
      <c r="C1149" s="31" t="s">
        <v>3685</v>
      </c>
      <c r="D1149" s="32" t="s">
        <v>3686</v>
      </c>
      <c r="E1149" s="31" t="s">
        <v>43</v>
      </c>
      <c r="F1149" s="31">
        <v>3000000.0</v>
      </c>
      <c r="G1149" s="31" t="s">
        <v>23</v>
      </c>
      <c r="H1149" s="31">
        <v>3000000.0</v>
      </c>
      <c r="I1149" s="31" t="s">
        <v>200</v>
      </c>
      <c r="K1149" s="33" t="s">
        <v>3687</v>
      </c>
      <c r="L1149" s="31" t="s">
        <v>252</v>
      </c>
      <c r="M1149" s="31" t="s">
        <v>203</v>
      </c>
      <c r="O1149" s="31" t="s">
        <v>257</v>
      </c>
      <c r="P1149" s="31" t="s">
        <v>206</v>
      </c>
    </row>
    <row r="1150">
      <c r="A1150" s="29">
        <v>45932.81657065972</v>
      </c>
      <c r="B1150" s="30">
        <v>45932.0</v>
      </c>
      <c r="C1150" s="31" t="s">
        <v>3688</v>
      </c>
      <c r="D1150" s="32" t="s">
        <v>3689</v>
      </c>
      <c r="E1150" s="31" t="s">
        <v>43</v>
      </c>
      <c r="F1150" s="31">
        <v>3900000.0</v>
      </c>
      <c r="G1150" s="31" t="s">
        <v>23</v>
      </c>
      <c r="I1150" s="31" t="s">
        <v>229</v>
      </c>
      <c r="J1150" s="31" t="s">
        <v>967</v>
      </c>
      <c r="K1150" s="33" t="s">
        <v>3690</v>
      </c>
      <c r="L1150" s="31" t="s">
        <v>252</v>
      </c>
      <c r="O1150" s="31" t="s">
        <v>205</v>
      </c>
      <c r="X1150" s="31" t="s">
        <v>569</v>
      </c>
    </row>
    <row r="1151">
      <c r="A1151" s="29">
        <v>45932.818729363426</v>
      </c>
      <c r="B1151" s="30">
        <v>45932.0</v>
      </c>
      <c r="C1151" s="31" t="s">
        <v>3691</v>
      </c>
      <c r="D1151" s="32" t="s">
        <v>3692</v>
      </c>
      <c r="E1151" s="31" t="s">
        <v>43</v>
      </c>
      <c r="F1151" s="31">
        <v>3300000.0</v>
      </c>
      <c r="G1151" s="31" t="s">
        <v>23</v>
      </c>
      <c r="I1151" s="31" t="s">
        <v>229</v>
      </c>
      <c r="J1151" s="31" t="s">
        <v>967</v>
      </c>
      <c r="K1151" s="33" t="s">
        <v>3693</v>
      </c>
      <c r="L1151" s="31" t="s">
        <v>252</v>
      </c>
      <c r="O1151" s="31" t="s">
        <v>205</v>
      </c>
      <c r="X1151" s="31" t="s">
        <v>716</v>
      </c>
    </row>
    <row r="1152">
      <c r="A1152" s="29">
        <v>45933.55052488426</v>
      </c>
      <c r="B1152" s="30">
        <v>45933.0</v>
      </c>
      <c r="C1152" s="31" t="s">
        <v>3694</v>
      </c>
      <c r="D1152" s="32" t="s">
        <v>3695</v>
      </c>
      <c r="E1152" s="31" t="s">
        <v>43</v>
      </c>
      <c r="F1152" s="31">
        <v>5200000.0</v>
      </c>
      <c r="G1152" s="31" t="s">
        <v>23</v>
      </c>
      <c r="I1152" s="31" t="s">
        <v>229</v>
      </c>
      <c r="J1152" s="31" t="s">
        <v>967</v>
      </c>
      <c r="K1152" s="33" t="s">
        <v>3696</v>
      </c>
      <c r="L1152" s="31" t="s">
        <v>252</v>
      </c>
      <c r="O1152" s="31" t="s">
        <v>205</v>
      </c>
      <c r="X1152" s="31" t="s">
        <v>2335</v>
      </c>
    </row>
    <row r="1153">
      <c r="A1153" s="29">
        <v>45933.55447564815</v>
      </c>
      <c r="B1153" s="30">
        <v>45933.0</v>
      </c>
      <c r="C1153" s="31" t="s">
        <v>3697</v>
      </c>
      <c r="D1153" s="32" t="s">
        <v>3698</v>
      </c>
      <c r="E1153" s="31" t="s">
        <v>3699</v>
      </c>
      <c r="F1153" s="31">
        <v>3000000.0</v>
      </c>
      <c r="G1153" s="31" t="s">
        <v>23</v>
      </c>
      <c r="I1153" s="31" t="s">
        <v>229</v>
      </c>
      <c r="J1153" s="31" t="s">
        <v>967</v>
      </c>
      <c r="K1153" s="33" t="s">
        <v>3700</v>
      </c>
      <c r="L1153" s="31" t="s">
        <v>202</v>
      </c>
      <c r="N1153" s="31" t="s">
        <v>313</v>
      </c>
      <c r="T1153" s="31" t="s">
        <v>384</v>
      </c>
    </row>
    <row r="1154">
      <c r="A1154" s="29">
        <v>45933.58153728009</v>
      </c>
      <c r="B1154" s="30">
        <v>45933.0</v>
      </c>
      <c r="C1154" s="31" t="s">
        <v>3701</v>
      </c>
      <c r="D1154" s="32" t="s">
        <v>3702</v>
      </c>
      <c r="E1154" s="31" t="s">
        <v>43</v>
      </c>
      <c r="F1154" s="31">
        <v>2500000.0</v>
      </c>
      <c r="G1154" s="31" t="s">
        <v>23</v>
      </c>
      <c r="I1154" s="31" t="s">
        <v>229</v>
      </c>
      <c r="J1154" s="31" t="s">
        <v>967</v>
      </c>
      <c r="K1154" s="33" t="s">
        <v>3703</v>
      </c>
      <c r="L1154" s="31" t="s">
        <v>252</v>
      </c>
      <c r="O1154" s="31" t="s">
        <v>257</v>
      </c>
      <c r="P1154" s="31" t="s">
        <v>206</v>
      </c>
    </row>
    <row r="1155">
      <c r="A1155" s="29">
        <v>45933.58771490741</v>
      </c>
      <c r="B1155" s="30">
        <v>45933.0</v>
      </c>
      <c r="C1155" s="31" t="s">
        <v>3704</v>
      </c>
      <c r="D1155" s="32" t="s">
        <v>3705</v>
      </c>
      <c r="E1155" s="31" t="s">
        <v>199</v>
      </c>
      <c r="F1155" s="31">
        <v>3000000.0</v>
      </c>
      <c r="G1155" s="31" t="s">
        <v>45</v>
      </c>
      <c r="I1155" s="31" t="s">
        <v>229</v>
      </c>
      <c r="J1155" s="31" t="s">
        <v>293</v>
      </c>
      <c r="K1155" s="33" t="s">
        <v>3706</v>
      </c>
      <c r="L1155" s="31" t="s">
        <v>202</v>
      </c>
      <c r="N1155" s="31" t="s">
        <v>215</v>
      </c>
      <c r="W1155" s="31" t="s">
        <v>216</v>
      </c>
    </row>
    <row r="1156">
      <c r="A1156" s="29">
        <v>45933.60487484954</v>
      </c>
      <c r="B1156" s="30">
        <v>45933.0</v>
      </c>
      <c r="C1156" s="31" t="s">
        <v>3707</v>
      </c>
      <c r="D1156" s="32" t="s">
        <v>3708</v>
      </c>
      <c r="E1156" s="31" t="s">
        <v>43</v>
      </c>
      <c r="F1156" s="31">
        <v>4300000.0</v>
      </c>
      <c r="G1156" s="31" t="s">
        <v>45</v>
      </c>
      <c r="H1156" s="31">
        <v>3000000.0</v>
      </c>
      <c r="I1156" s="31" t="s">
        <v>413</v>
      </c>
      <c r="K1156" s="33" t="s">
        <v>3709</v>
      </c>
      <c r="L1156" s="31" t="s">
        <v>202</v>
      </c>
      <c r="M1156" s="31" t="s">
        <v>203</v>
      </c>
      <c r="N1156" s="31" t="s">
        <v>204</v>
      </c>
      <c r="R1156" s="31" t="s">
        <v>148</v>
      </c>
    </row>
    <row r="1157">
      <c r="A1157" s="29">
        <v>45933.62011635417</v>
      </c>
      <c r="B1157" s="30">
        <v>45933.0</v>
      </c>
      <c r="C1157" s="31" t="s">
        <v>3710</v>
      </c>
      <c r="D1157" s="31">
        <v>0.0</v>
      </c>
      <c r="E1157" s="31" t="s">
        <v>335</v>
      </c>
      <c r="F1157" s="32" t="s">
        <v>3711</v>
      </c>
      <c r="G1157" s="31" t="s">
        <v>23</v>
      </c>
      <c r="I1157" s="31" t="s">
        <v>229</v>
      </c>
      <c r="J1157" s="31" t="s">
        <v>967</v>
      </c>
      <c r="K1157" s="33" t="s">
        <v>3712</v>
      </c>
      <c r="L1157" s="31" t="s">
        <v>252</v>
      </c>
      <c r="O1157" s="31" t="s">
        <v>257</v>
      </c>
      <c r="P1157" s="31" t="s">
        <v>992</v>
      </c>
    </row>
    <row r="1158">
      <c r="A1158" s="29">
        <v>45933.62879335648</v>
      </c>
      <c r="B1158" s="30">
        <v>45933.0</v>
      </c>
      <c r="C1158" s="31" t="s">
        <v>3713</v>
      </c>
      <c r="D1158" s="32" t="s">
        <v>3714</v>
      </c>
      <c r="E1158" s="31" t="s">
        <v>199</v>
      </c>
      <c r="F1158" s="31">
        <v>2000000.0</v>
      </c>
      <c r="G1158" s="31" t="s">
        <v>23</v>
      </c>
      <c r="H1158" s="31">
        <v>5000000.0</v>
      </c>
      <c r="I1158" s="31" t="s">
        <v>200</v>
      </c>
      <c r="K1158" s="33" t="s">
        <v>3715</v>
      </c>
      <c r="L1158" s="31" t="s">
        <v>202</v>
      </c>
      <c r="M1158" s="31" t="s">
        <v>203</v>
      </c>
      <c r="N1158" s="31" t="s">
        <v>215</v>
      </c>
      <c r="W1158" s="31" t="s">
        <v>532</v>
      </c>
    </row>
    <row r="1159">
      <c r="A1159" s="29">
        <v>45933.63815349537</v>
      </c>
      <c r="B1159" s="30">
        <v>45933.0</v>
      </c>
      <c r="C1159" s="31" t="s">
        <v>3716</v>
      </c>
      <c r="D1159" s="32" t="s">
        <v>3717</v>
      </c>
      <c r="E1159" s="31" t="s">
        <v>3718</v>
      </c>
      <c r="F1159" s="31">
        <v>1.0E7</v>
      </c>
      <c r="G1159" s="31" t="s">
        <v>23</v>
      </c>
      <c r="I1159" s="31" t="s">
        <v>229</v>
      </c>
      <c r="J1159" s="31" t="s">
        <v>967</v>
      </c>
      <c r="K1159" s="33" t="s">
        <v>3719</v>
      </c>
      <c r="L1159" s="31" t="s">
        <v>252</v>
      </c>
      <c r="O1159" s="31" t="s">
        <v>257</v>
      </c>
      <c r="P1159" s="31" t="s">
        <v>3194</v>
      </c>
    </row>
    <row r="1160">
      <c r="A1160" s="29">
        <v>45933.640389699074</v>
      </c>
      <c r="B1160" s="30">
        <v>45933.0</v>
      </c>
      <c r="C1160" s="31" t="s">
        <v>3720</v>
      </c>
      <c r="D1160" s="32" t="s">
        <v>3721</v>
      </c>
      <c r="E1160" s="31" t="s">
        <v>283</v>
      </c>
      <c r="F1160" s="31">
        <v>1.0E7</v>
      </c>
      <c r="G1160" s="31" t="s">
        <v>23</v>
      </c>
      <c r="I1160" s="31" t="s">
        <v>229</v>
      </c>
      <c r="J1160" s="31" t="s">
        <v>967</v>
      </c>
      <c r="K1160" s="33" t="s">
        <v>3722</v>
      </c>
      <c r="L1160" s="31" t="s">
        <v>252</v>
      </c>
      <c r="O1160" s="31" t="s">
        <v>257</v>
      </c>
      <c r="P1160" s="31" t="s">
        <v>3194</v>
      </c>
    </row>
    <row r="1161">
      <c r="A1161" s="29">
        <v>45933.67166074074</v>
      </c>
      <c r="B1161" s="30">
        <v>45933.0</v>
      </c>
      <c r="C1161" s="31" t="s">
        <v>3723</v>
      </c>
      <c r="D1161" s="32" t="s">
        <v>3724</v>
      </c>
      <c r="E1161" s="31" t="s">
        <v>283</v>
      </c>
      <c r="F1161" s="31">
        <v>7000000.0</v>
      </c>
      <c r="G1161" s="31" t="s">
        <v>45</v>
      </c>
      <c r="H1161" s="31">
        <v>3000000.0</v>
      </c>
      <c r="I1161" s="31" t="s">
        <v>413</v>
      </c>
      <c r="K1161" s="33" t="s">
        <v>3725</v>
      </c>
      <c r="L1161" s="31" t="s">
        <v>252</v>
      </c>
      <c r="M1161" s="31" t="s">
        <v>203</v>
      </c>
      <c r="O1161" s="31" t="s">
        <v>257</v>
      </c>
      <c r="P1161" s="31" t="s">
        <v>285</v>
      </c>
    </row>
    <row r="1162">
      <c r="A1162" s="29">
        <v>45933.673369895834</v>
      </c>
      <c r="B1162" s="30">
        <v>45933.0</v>
      </c>
      <c r="C1162" s="31" t="s">
        <v>3726</v>
      </c>
      <c r="D1162" s="32" t="s">
        <v>3727</v>
      </c>
      <c r="E1162" s="31" t="s">
        <v>31</v>
      </c>
      <c r="F1162" s="31">
        <v>2600000.0</v>
      </c>
      <c r="G1162" s="31" t="s">
        <v>23</v>
      </c>
      <c r="I1162" s="31" t="s">
        <v>229</v>
      </c>
      <c r="J1162" s="31" t="s">
        <v>967</v>
      </c>
      <c r="K1162" s="33" t="s">
        <v>3728</v>
      </c>
      <c r="L1162" s="31" t="s">
        <v>202</v>
      </c>
      <c r="N1162" s="31" t="s">
        <v>204</v>
      </c>
      <c r="R1162" s="31" t="s">
        <v>148</v>
      </c>
    </row>
    <row r="1163">
      <c r="A1163" s="29">
        <v>45933.678446446764</v>
      </c>
      <c r="B1163" s="30">
        <v>45933.0</v>
      </c>
      <c r="C1163" s="31" t="s">
        <v>3729</v>
      </c>
      <c r="D1163" s="32" t="s">
        <v>3730</v>
      </c>
      <c r="E1163" s="31" t="s">
        <v>43</v>
      </c>
      <c r="F1163" s="31">
        <v>4500000.0</v>
      </c>
      <c r="G1163" s="31" t="s">
        <v>23</v>
      </c>
      <c r="I1163" s="31" t="s">
        <v>229</v>
      </c>
      <c r="J1163" s="31" t="s">
        <v>967</v>
      </c>
      <c r="K1163" s="33" t="s">
        <v>3731</v>
      </c>
      <c r="L1163" s="31" t="s">
        <v>202</v>
      </c>
      <c r="N1163" s="31" t="s">
        <v>220</v>
      </c>
      <c r="S1163" s="31" t="s">
        <v>59</v>
      </c>
    </row>
    <row r="1164">
      <c r="A1164" s="29">
        <v>45933.70598540509</v>
      </c>
      <c r="B1164" s="30">
        <v>45933.0</v>
      </c>
      <c r="C1164" s="31" t="s">
        <v>3732</v>
      </c>
      <c r="D1164" s="32" t="s">
        <v>3733</v>
      </c>
      <c r="E1164" s="31" t="s">
        <v>31</v>
      </c>
      <c r="F1164" s="31">
        <v>3500000.0</v>
      </c>
      <c r="G1164" s="31" t="s">
        <v>23</v>
      </c>
      <c r="I1164" s="31" t="s">
        <v>229</v>
      </c>
      <c r="J1164" s="31" t="s">
        <v>165</v>
      </c>
      <c r="K1164" s="33" t="s">
        <v>3734</v>
      </c>
      <c r="L1164" s="31" t="s">
        <v>202</v>
      </c>
      <c r="N1164" s="31" t="s">
        <v>667</v>
      </c>
      <c r="U1164" s="31" t="s">
        <v>668</v>
      </c>
    </row>
    <row r="1165">
      <c r="A1165" s="29">
        <v>45933.7227640162</v>
      </c>
      <c r="B1165" s="30">
        <v>45933.0</v>
      </c>
      <c r="C1165" s="31" t="s">
        <v>3735</v>
      </c>
      <c r="D1165" s="32" t="s">
        <v>3736</v>
      </c>
      <c r="E1165" s="31" t="s">
        <v>3737</v>
      </c>
      <c r="F1165" s="31">
        <v>3000000.0</v>
      </c>
      <c r="G1165" s="31" t="s">
        <v>23</v>
      </c>
      <c r="I1165" s="31" t="s">
        <v>229</v>
      </c>
      <c r="J1165" s="31" t="s">
        <v>967</v>
      </c>
      <c r="K1165" s="33" t="s">
        <v>3738</v>
      </c>
      <c r="L1165" s="31" t="s">
        <v>202</v>
      </c>
      <c r="N1165" s="31" t="s">
        <v>313</v>
      </c>
      <c r="T1165" s="31" t="s">
        <v>384</v>
      </c>
    </row>
    <row r="1166">
      <c r="A1166" s="29">
        <v>45933.738360601856</v>
      </c>
      <c r="B1166" s="30">
        <v>45933.0</v>
      </c>
      <c r="C1166" s="31" t="s">
        <v>3739</v>
      </c>
      <c r="D1166" s="32" t="s">
        <v>3740</v>
      </c>
      <c r="E1166" s="31" t="s">
        <v>3741</v>
      </c>
      <c r="F1166" s="31">
        <v>3000000.0</v>
      </c>
      <c r="G1166" s="31" t="s">
        <v>23</v>
      </c>
      <c r="I1166" s="31" t="s">
        <v>229</v>
      </c>
      <c r="J1166" s="31" t="s">
        <v>967</v>
      </c>
      <c r="K1166" s="33" t="s">
        <v>3742</v>
      </c>
      <c r="L1166" s="31" t="s">
        <v>202</v>
      </c>
      <c r="N1166" s="31" t="s">
        <v>313</v>
      </c>
      <c r="T1166" s="31" t="s">
        <v>384</v>
      </c>
    </row>
    <row r="1167">
      <c r="A1167" s="29">
        <v>45933.759370960644</v>
      </c>
      <c r="B1167" s="30">
        <v>45933.0</v>
      </c>
      <c r="C1167" s="31" t="s">
        <v>3743</v>
      </c>
      <c r="D1167" s="32" t="s">
        <v>3744</v>
      </c>
      <c r="E1167" s="31" t="s">
        <v>31</v>
      </c>
      <c r="F1167" s="31">
        <v>2400009.0</v>
      </c>
      <c r="G1167" s="31" t="s">
        <v>23</v>
      </c>
      <c r="I1167" s="31" t="s">
        <v>229</v>
      </c>
      <c r="J1167" s="31" t="s">
        <v>967</v>
      </c>
      <c r="K1167" s="33" t="s">
        <v>3745</v>
      </c>
      <c r="L1167" s="31" t="s">
        <v>202</v>
      </c>
      <c r="N1167" s="31" t="s">
        <v>204</v>
      </c>
      <c r="R1167" s="31" t="s">
        <v>148</v>
      </c>
    </row>
    <row r="1168">
      <c r="A1168" s="29">
        <v>45933.76695449074</v>
      </c>
      <c r="B1168" s="30">
        <v>45933.0</v>
      </c>
      <c r="C1168" s="31" t="s">
        <v>3746</v>
      </c>
      <c r="D1168" s="32" t="s">
        <v>3747</v>
      </c>
      <c r="E1168" s="31" t="s">
        <v>2902</v>
      </c>
      <c r="F1168" s="31">
        <v>4600000.0</v>
      </c>
      <c r="G1168" s="31" t="s">
        <v>23</v>
      </c>
      <c r="H1168" s="31">
        <v>3000000.0</v>
      </c>
      <c r="I1168" s="31" t="s">
        <v>200</v>
      </c>
      <c r="K1168" s="33" t="s">
        <v>3748</v>
      </c>
      <c r="L1168" s="31" t="s">
        <v>202</v>
      </c>
      <c r="M1168" s="31" t="s">
        <v>203</v>
      </c>
      <c r="N1168" s="31" t="s">
        <v>220</v>
      </c>
      <c r="S1168" s="31" t="s">
        <v>36</v>
      </c>
    </row>
    <row r="1169">
      <c r="A1169" s="29">
        <v>45933.79412792824</v>
      </c>
      <c r="B1169" s="30">
        <v>45933.0</v>
      </c>
      <c r="C1169" s="31" t="s">
        <v>3749</v>
      </c>
      <c r="D1169" s="32" t="s">
        <v>3750</v>
      </c>
      <c r="E1169" s="31" t="s">
        <v>31</v>
      </c>
      <c r="F1169" s="31">
        <v>6100000.0</v>
      </c>
      <c r="G1169" s="31" t="s">
        <v>23</v>
      </c>
      <c r="I1169" s="31" t="s">
        <v>229</v>
      </c>
      <c r="J1169" s="31" t="s">
        <v>967</v>
      </c>
      <c r="K1169" s="33" t="s">
        <v>3751</v>
      </c>
      <c r="L1169" s="31" t="s">
        <v>202</v>
      </c>
      <c r="N1169" s="31" t="s">
        <v>204</v>
      </c>
      <c r="R1169" s="31" t="s">
        <v>207</v>
      </c>
    </row>
    <row r="1170">
      <c r="A1170" s="29">
        <v>45933.79724849537</v>
      </c>
      <c r="B1170" s="30">
        <v>45933.0</v>
      </c>
      <c r="C1170" s="31" t="s">
        <v>3752</v>
      </c>
      <c r="D1170" s="31" t="s">
        <v>3753</v>
      </c>
      <c r="E1170" s="31" t="s">
        <v>288</v>
      </c>
      <c r="F1170" s="31">
        <v>3500000.0</v>
      </c>
      <c r="G1170" s="31" t="s">
        <v>23</v>
      </c>
      <c r="I1170" s="31" t="s">
        <v>229</v>
      </c>
      <c r="J1170" s="31" t="s">
        <v>967</v>
      </c>
      <c r="K1170" s="33" t="s">
        <v>3754</v>
      </c>
      <c r="L1170" s="31" t="s">
        <v>202</v>
      </c>
      <c r="N1170" s="31" t="s">
        <v>204</v>
      </c>
      <c r="R1170" s="31" t="s">
        <v>90</v>
      </c>
    </row>
    <row r="1171">
      <c r="A1171" s="29">
        <v>45933.82424657408</v>
      </c>
      <c r="B1171" s="30">
        <v>45933.0</v>
      </c>
      <c r="C1171" s="31" t="s">
        <v>3755</v>
      </c>
      <c r="D1171" s="32" t="s">
        <v>3756</v>
      </c>
      <c r="E1171" s="31" t="s">
        <v>43</v>
      </c>
      <c r="F1171" s="31">
        <v>4200000.0</v>
      </c>
      <c r="G1171" s="31" t="s">
        <v>23</v>
      </c>
      <c r="I1171" s="31" t="s">
        <v>229</v>
      </c>
      <c r="J1171" s="31" t="s">
        <v>967</v>
      </c>
      <c r="K1171" s="33" t="s">
        <v>3757</v>
      </c>
      <c r="L1171" s="31" t="s">
        <v>202</v>
      </c>
      <c r="N1171" s="31" t="s">
        <v>220</v>
      </c>
      <c r="S1171" s="31" t="s">
        <v>83</v>
      </c>
    </row>
    <row r="1172">
      <c r="A1172" s="29">
        <v>45933.83320542824</v>
      </c>
      <c r="B1172" s="30">
        <v>45933.0</v>
      </c>
      <c r="C1172" s="31" t="s">
        <v>3758</v>
      </c>
      <c r="D1172" s="32" t="s">
        <v>3759</v>
      </c>
      <c r="E1172" s="31" t="s">
        <v>43</v>
      </c>
      <c r="F1172" s="31">
        <v>5600000.0</v>
      </c>
      <c r="G1172" s="31" t="s">
        <v>23</v>
      </c>
      <c r="H1172" s="31">
        <v>3000000.0</v>
      </c>
      <c r="I1172" s="31" t="s">
        <v>200</v>
      </c>
      <c r="K1172" s="33" t="s">
        <v>3760</v>
      </c>
      <c r="L1172" s="31" t="s">
        <v>252</v>
      </c>
      <c r="M1172" s="31" t="s">
        <v>203</v>
      </c>
      <c r="O1172" s="31" t="s">
        <v>205</v>
      </c>
      <c r="X1172" s="31" t="s">
        <v>569</v>
      </c>
    </row>
    <row r="1173">
      <c r="A1173" s="29">
        <v>45933.850569270835</v>
      </c>
      <c r="B1173" s="30">
        <v>45933.0</v>
      </c>
      <c r="C1173" s="31" t="s">
        <v>3761</v>
      </c>
      <c r="D1173" s="32" t="s">
        <v>3762</v>
      </c>
      <c r="E1173" s="31" t="s">
        <v>43</v>
      </c>
      <c r="F1173" s="31">
        <v>5100000.0</v>
      </c>
      <c r="G1173" s="31" t="s">
        <v>23</v>
      </c>
      <c r="H1173" s="31">
        <v>5100000.0</v>
      </c>
      <c r="I1173" s="31" t="s">
        <v>413</v>
      </c>
      <c r="K1173" s="33" t="s">
        <v>3763</v>
      </c>
      <c r="L1173" s="31" t="s">
        <v>202</v>
      </c>
      <c r="M1173" s="31" t="s">
        <v>203</v>
      </c>
      <c r="N1173" s="31" t="s">
        <v>220</v>
      </c>
      <c r="S1173" s="31" t="s">
        <v>83</v>
      </c>
    </row>
    <row r="1174">
      <c r="A1174" s="29">
        <v>45933.85383097222</v>
      </c>
      <c r="B1174" s="30">
        <v>45933.0</v>
      </c>
      <c r="C1174" s="31" t="s">
        <v>3764</v>
      </c>
      <c r="D1174" s="32" t="s">
        <v>3765</v>
      </c>
      <c r="E1174" s="31" t="s">
        <v>43</v>
      </c>
      <c r="F1174" s="31">
        <v>4000000.0</v>
      </c>
      <c r="G1174" s="31" t="s">
        <v>23</v>
      </c>
      <c r="I1174" s="31" t="s">
        <v>229</v>
      </c>
      <c r="J1174" s="31" t="s">
        <v>967</v>
      </c>
      <c r="K1174" s="33" t="s">
        <v>3766</v>
      </c>
      <c r="L1174" s="31" t="s">
        <v>202</v>
      </c>
      <c r="N1174" s="31" t="s">
        <v>220</v>
      </c>
      <c r="S1174" s="31" t="s">
        <v>59</v>
      </c>
    </row>
    <row r="1175">
      <c r="A1175" s="29">
        <v>45933.86393658565</v>
      </c>
      <c r="B1175" s="30">
        <v>45933.0</v>
      </c>
      <c r="C1175" s="31" t="s">
        <v>3767</v>
      </c>
      <c r="D1175" s="32" t="s">
        <v>3768</v>
      </c>
      <c r="E1175" s="31" t="s">
        <v>288</v>
      </c>
      <c r="F1175" s="31">
        <v>1000000.0</v>
      </c>
      <c r="G1175" s="31" t="s">
        <v>23</v>
      </c>
      <c r="I1175" s="31" t="s">
        <v>229</v>
      </c>
      <c r="J1175" s="31" t="s">
        <v>967</v>
      </c>
      <c r="K1175" s="33" t="s">
        <v>3769</v>
      </c>
      <c r="L1175" s="31" t="s">
        <v>252</v>
      </c>
      <c r="O1175" s="31" t="s">
        <v>205</v>
      </c>
      <c r="X1175" s="31" t="s">
        <v>1471</v>
      </c>
    </row>
    <row r="1176">
      <c r="A1176" s="29">
        <v>45934.40781056713</v>
      </c>
      <c r="B1176" s="30">
        <v>45934.0</v>
      </c>
      <c r="C1176" s="31" t="s">
        <v>3770</v>
      </c>
      <c r="D1176" s="32" t="s">
        <v>3771</v>
      </c>
      <c r="E1176" s="31" t="s">
        <v>199</v>
      </c>
      <c r="F1176" s="31">
        <v>5000000.0</v>
      </c>
      <c r="G1176" s="31" t="s">
        <v>23</v>
      </c>
      <c r="I1176" s="31" t="s">
        <v>229</v>
      </c>
      <c r="J1176" s="31" t="s">
        <v>967</v>
      </c>
      <c r="K1176" s="33" t="s">
        <v>3772</v>
      </c>
      <c r="L1176" s="31" t="s">
        <v>252</v>
      </c>
      <c r="O1176" s="31" t="s">
        <v>257</v>
      </c>
      <c r="P1176" s="31" t="s">
        <v>3194</v>
      </c>
    </row>
    <row r="1177">
      <c r="A1177" s="29">
        <v>45934.41029356481</v>
      </c>
      <c r="B1177" s="30">
        <v>45934.0</v>
      </c>
      <c r="C1177" s="31" t="s">
        <v>3773</v>
      </c>
      <c r="D1177" s="32" t="s">
        <v>3771</v>
      </c>
      <c r="E1177" s="31" t="s">
        <v>127</v>
      </c>
      <c r="F1177" s="31">
        <v>1.0E7</v>
      </c>
      <c r="G1177" s="31" t="s">
        <v>23</v>
      </c>
      <c r="I1177" s="31" t="s">
        <v>229</v>
      </c>
      <c r="J1177" s="31" t="s">
        <v>967</v>
      </c>
      <c r="K1177" s="33" t="s">
        <v>3774</v>
      </c>
      <c r="L1177" s="31" t="s">
        <v>252</v>
      </c>
      <c r="O1177" s="31" t="s">
        <v>257</v>
      </c>
      <c r="P1177" s="31" t="s">
        <v>3194</v>
      </c>
    </row>
    <row r="1178">
      <c r="A1178" s="29">
        <v>45934.43310258102</v>
      </c>
      <c r="B1178" s="30">
        <v>45934.0</v>
      </c>
      <c r="C1178" s="31" t="s">
        <v>3775</v>
      </c>
      <c r="D1178" s="31">
        <v>0.0</v>
      </c>
      <c r="E1178" s="31" t="s">
        <v>43</v>
      </c>
      <c r="F1178" s="32" t="s">
        <v>3776</v>
      </c>
      <c r="G1178" s="31" t="s">
        <v>23</v>
      </c>
      <c r="I1178" s="31" t="s">
        <v>229</v>
      </c>
      <c r="J1178" s="31" t="s">
        <v>967</v>
      </c>
      <c r="K1178" s="33" t="s">
        <v>3777</v>
      </c>
      <c r="L1178" s="31" t="s">
        <v>252</v>
      </c>
      <c r="O1178" s="31" t="s">
        <v>257</v>
      </c>
      <c r="P1178" s="31" t="s">
        <v>992</v>
      </c>
    </row>
    <row r="1179">
      <c r="A1179" s="29">
        <v>45934.453407928246</v>
      </c>
      <c r="B1179" s="30">
        <v>45934.0</v>
      </c>
      <c r="C1179" s="31" t="s">
        <v>3778</v>
      </c>
      <c r="D1179" s="32" t="s">
        <v>3779</v>
      </c>
      <c r="E1179" s="31" t="s">
        <v>43</v>
      </c>
      <c r="F1179" s="31">
        <v>3000000.0</v>
      </c>
      <c r="G1179" s="31" t="s">
        <v>23</v>
      </c>
      <c r="H1179" s="31">
        <v>3000000.0</v>
      </c>
      <c r="I1179" s="31" t="s">
        <v>413</v>
      </c>
      <c r="K1179" s="33" t="s">
        <v>3780</v>
      </c>
      <c r="L1179" s="31" t="s">
        <v>202</v>
      </c>
      <c r="M1179" s="31" t="s">
        <v>203</v>
      </c>
      <c r="N1179" s="31" t="s">
        <v>215</v>
      </c>
      <c r="W1179" s="31" t="s">
        <v>216</v>
      </c>
    </row>
    <row r="1180">
      <c r="A1180" s="29">
        <v>45934.46439511574</v>
      </c>
      <c r="B1180" s="30">
        <v>45934.0</v>
      </c>
      <c r="C1180" s="31" t="s">
        <v>3781</v>
      </c>
      <c r="D1180" s="32" t="s">
        <v>3782</v>
      </c>
      <c r="E1180" s="31" t="s">
        <v>43</v>
      </c>
      <c r="F1180" s="31">
        <v>4000000.0</v>
      </c>
      <c r="G1180" s="31" t="s">
        <v>23</v>
      </c>
      <c r="I1180" s="31" t="s">
        <v>229</v>
      </c>
      <c r="J1180" s="31" t="s">
        <v>250</v>
      </c>
      <c r="K1180" s="33" t="s">
        <v>3783</v>
      </c>
      <c r="L1180" s="31" t="s">
        <v>252</v>
      </c>
      <c r="O1180" s="31" t="s">
        <v>205</v>
      </c>
      <c r="X1180" s="31" t="s">
        <v>253</v>
      </c>
    </row>
    <row r="1181">
      <c r="A1181" s="29">
        <v>45934.47927028935</v>
      </c>
      <c r="B1181" s="30">
        <v>45934.0</v>
      </c>
      <c r="C1181" s="31" t="s">
        <v>3784</v>
      </c>
      <c r="D1181" s="32" t="s">
        <v>3785</v>
      </c>
      <c r="E1181" s="31" t="s">
        <v>3786</v>
      </c>
      <c r="F1181" s="31">
        <v>3500000.0</v>
      </c>
      <c r="G1181" s="31" t="s">
        <v>23</v>
      </c>
      <c r="I1181" s="31" t="s">
        <v>229</v>
      </c>
      <c r="J1181" s="31" t="s">
        <v>967</v>
      </c>
      <c r="K1181" s="33" t="s">
        <v>3787</v>
      </c>
      <c r="L1181" s="31" t="s">
        <v>202</v>
      </c>
      <c r="N1181" s="31" t="s">
        <v>204</v>
      </c>
      <c r="R1181" s="31" t="s">
        <v>98</v>
      </c>
    </row>
    <row r="1182">
      <c r="A1182" s="29">
        <v>45934.49495407408</v>
      </c>
      <c r="B1182" s="30">
        <v>45934.0</v>
      </c>
      <c r="C1182" s="31" t="s">
        <v>3788</v>
      </c>
      <c r="D1182" s="32" t="s">
        <v>3789</v>
      </c>
      <c r="E1182" s="31" t="s">
        <v>199</v>
      </c>
      <c r="F1182" s="31">
        <v>6899000.0</v>
      </c>
      <c r="G1182" s="31" t="s">
        <v>45</v>
      </c>
      <c r="H1182" s="31">
        <v>3000000.0</v>
      </c>
      <c r="I1182" s="31" t="s">
        <v>413</v>
      </c>
      <c r="K1182" s="33" t="s">
        <v>3790</v>
      </c>
      <c r="L1182" s="31" t="s">
        <v>202</v>
      </c>
      <c r="M1182" s="31" t="s">
        <v>203</v>
      </c>
      <c r="N1182" s="31" t="s">
        <v>204</v>
      </c>
      <c r="R1182" s="31" t="s">
        <v>207</v>
      </c>
    </row>
    <row r="1183">
      <c r="A1183" s="29">
        <v>45934.496708101855</v>
      </c>
      <c r="B1183" s="30">
        <v>45934.0</v>
      </c>
      <c r="C1183" s="31" t="s">
        <v>3791</v>
      </c>
      <c r="D1183" s="32" t="s">
        <v>3792</v>
      </c>
      <c r="E1183" s="31" t="s">
        <v>43</v>
      </c>
      <c r="F1183" s="31">
        <v>4000000.0</v>
      </c>
      <c r="G1183" s="31" t="s">
        <v>45</v>
      </c>
      <c r="I1183" s="31" t="s">
        <v>229</v>
      </c>
      <c r="J1183" s="31" t="s">
        <v>967</v>
      </c>
      <c r="K1183" s="33" t="s">
        <v>3793</v>
      </c>
      <c r="L1183" s="31" t="s">
        <v>202</v>
      </c>
      <c r="N1183" s="31" t="s">
        <v>204</v>
      </c>
      <c r="R1183" s="31" t="s">
        <v>28</v>
      </c>
    </row>
    <row r="1184">
      <c r="A1184" s="29">
        <v>45934.507018530094</v>
      </c>
      <c r="B1184" s="30">
        <v>45934.0</v>
      </c>
      <c r="C1184" s="31" t="s">
        <v>3794</v>
      </c>
      <c r="D1184" s="32" t="s">
        <v>3795</v>
      </c>
      <c r="E1184" s="31" t="s">
        <v>43</v>
      </c>
      <c r="F1184" s="31">
        <v>3100000.0</v>
      </c>
      <c r="G1184" s="31" t="s">
        <v>23</v>
      </c>
      <c r="H1184" s="31">
        <v>3000000.0</v>
      </c>
      <c r="I1184" s="31" t="s">
        <v>413</v>
      </c>
      <c r="K1184" s="33" t="s">
        <v>3796</v>
      </c>
      <c r="L1184" s="31" t="s">
        <v>202</v>
      </c>
      <c r="M1184" s="31" t="s">
        <v>203</v>
      </c>
      <c r="N1184" s="31" t="s">
        <v>220</v>
      </c>
      <c r="S1184" s="31" t="s">
        <v>36</v>
      </c>
    </row>
    <row r="1185">
      <c r="A1185" s="29">
        <v>45934.52782177083</v>
      </c>
      <c r="B1185" s="30">
        <v>45934.0</v>
      </c>
      <c r="C1185" s="31" t="s">
        <v>3797</v>
      </c>
      <c r="D1185" s="32" t="s">
        <v>1945</v>
      </c>
      <c r="E1185" s="31" t="s">
        <v>288</v>
      </c>
      <c r="F1185" s="31">
        <v>1000000.0</v>
      </c>
      <c r="G1185" s="31" t="s">
        <v>23</v>
      </c>
      <c r="I1185" s="31" t="s">
        <v>229</v>
      </c>
      <c r="J1185" s="31" t="s">
        <v>967</v>
      </c>
      <c r="K1185" s="33" t="s">
        <v>3798</v>
      </c>
      <c r="L1185" s="31" t="s">
        <v>252</v>
      </c>
      <c r="O1185" s="31" t="s">
        <v>205</v>
      </c>
      <c r="X1185" s="31" t="s">
        <v>1471</v>
      </c>
    </row>
    <row r="1186">
      <c r="A1186" s="29">
        <v>45934.539043599536</v>
      </c>
      <c r="B1186" s="30">
        <v>45934.0</v>
      </c>
      <c r="C1186" s="31" t="s">
        <v>3799</v>
      </c>
      <c r="D1186" s="32" t="s">
        <v>3800</v>
      </c>
      <c r="E1186" s="31" t="s">
        <v>199</v>
      </c>
      <c r="F1186" s="31">
        <v>7000000.0</v>
      </c>
      <c r="G1186" s="31" t="s">
        <v>23</v>
      </c>
      <c r="I1186" s="31" t="s">
        <v>229</v>
      </c>
      <c r="J1186" s="31" t="s">
        <v>967</v>
      </c>
      <c r="K1186" s="33" t="s">
        <v>3801</v>
      </c>
      <c r="L1186" s="31" t="s">
        <v>202</v>
      </c>
      <c r="N1186" s="31" t="s">
        <v>220</v>
      </c>
      <c r="S1186" s="31" t="s">
        <v>1406</v>
      </c>
    </row>
    <row r="1187">
      <c r="A1187" s="29">
        <v>45934.54130856482</v>
      </c>
      <c r="B1187" s="30">
        <v>45934.0</v>
      </c>
      <c r="C1187" s="31" t="s">
        <v>3802</v>
      </c>
      <c r="D1187" s="32" t="s">
        <v>3803</v>
      </c>
      <c r="E1187" s="31" t="s">
        <v>239</v>
      </c>
      <c r="F1187" s="31">
        <v>1200000.0</v>
      </c>
      <c r="G1187" s="31" t="s">
        <v>23</v>
      </c>
      <c r="H1187" s="31">
        <v>1600000.0</v>
      </c>
      <c r="I1187" s="31" t="s">
        <v>200</v>
      </c>
      <c r="K1187" s="33" t="s">
        <v>3804</v>
      </c>
      <c r="L1187" s="31" t="s">
        <v>252</v>
      </c>
      <c r="M1187" s="31" t="s">
        <v>203</v>
      </c>
      <c r="O1187" s="31" t="s">
        <v>205</v>
      </c>
      <c r="X1187" s="31" t="s">
        <v>1471</v>
      </c>
    </row>
    <row r="1188">
      <c r="A1188" s="29">
        <v>45934.558652141204</v>
      </c>
      <c r="B1188" s="30">
        <v>45934.0</v>
      </c>
      <c r="C1188" s="31" t="s">
        <v>3805</v>
      </c>
      <c r="D1188" s="32" t="s">
        <v>3806</v>
      </c>
      <c r="E1188" s="31" t="s">
        <v>43</v>
      </c>
      <c r="F1188" s="31">
        <v>3300000.0</v>
      </c>
      <c r="G1188" s="31" t="s">
        <v>23</v>
      </c>
      <c r="H1188" s="31">
        <v>7000000.0</v>
      </c>
      <c r="I1188" s="31" t="s">
        <v>200</v>
      </c>
      <c r="K1188" s="33" t="s">
        <v>3807</v>
      </c>
      <c r="L1188" s="31" t="s">
        <v>252</v>
      </c>
      <c r="M1188" s="31" t="s">
        <v>605</v>
      </c>
      <c r="O1188" s="31" t="s">
        <v>257</v>
      </c>
      <c r="P1188" s="31" t="s">
        <v>2453</v>
      </c>
    </row>
    <row r="1189">
      <c r="A1189" s="29">
        <v>45934.586637291664</v>
      </c>
      <c r="B1189" s="30">
        <v>45934.0</v>
      </c>
      <c r="C1189" s="31" t="s">
        <v>3808</v>
      </c>
      <c r="D1189" s="32" t="s">
        <v>3809</v>
      </c>
      <c r="E1189" s="31" t="s">
        <v>31</v>
      </c>
      <c r="F1189" s="31">
        <v>5000000.0</v>
      </c>
      <c r="G1189" s="31" t="s">
        <v>23</v>
      </c>
      <c r="H1189" s="31">
        <v>5000000.0</v>
      </c>
      <c r="I1189" s="31" t="s">
        <v>413</v>
      </c>
      <c r="K1189" s="33" t="s">
        <v>3810</v>
      </c>
      <c r="L1189" s="31" t="s">
        <v>252</v>
      </c>
      <c r="M1189" s="31" t="s">
        <v>203</v>
      </c>
      <c r="O1189" s="31" t="s">
        <v>205</v>
      </c>
      <c r="X1189" s="31" t="s">
        <v>452</v>
      </c>
    </row>
    <row r="1190">
      <c r="A1190" s="29">
        <v>45934.59326583333</v>
      </c>
      <c r="B1190" s="30">
        <v>45934.0</v>
      </c>
      <c r="C1190" s="31" t="s">
        <v>3811</v>
      </c>
      <c r="D1190" s="32" t="s">
        <v>3812</v>
      </c>
      <c r="E1190" s="31" t="s">
        <v>31</v>
      </c>
      <c r="F1190" s="31">
        <v>3000000.0</v>
      </c>
      <c r="G1190" s="31" t="s">
        <v>23</v>
      </c>
      <c r="I1190" s="31" t="s">
        <v>229</v>
      </c>
      <c r="J1190" s="31" t="s">
        <v>967</v>
      </c>
      <c r="K1190" s="33" t="s">
        <v>3813</v>
      </c>
      <c r="L1190" s="31" t="s">
        <v>202</v>
      </c>
      <c r="N1190" s="31" t="s">
        <v>204</v>
      </c>
      <c r="R1190" s="31" t="s">
        <v>148</v>
      </c>
    </row>
    <row r="1191">
      <c r="A1191" s="29">
        <v>45934.59476170139</v>
      </c>
      <c r="B1191" s="30">
        <v>45934.0</v>
      </c>
      <c r="C1191" s="31" t="s">
        <v>3814</v>
      </c>
      <c r="D1191" s="32" t="s">
        <v>3815</v>
      </c>
      <c r="E1191" s="31" t="s">
        <v>31</v>
      </c>
      <c r="F1191" s="31">
        <v>1.1E7</v>
      </c>
      <c r="G1191" s="31" t="s">
        <v>23</v>
      </c>
      <c r="H1191" s="31">
        <v>3000000.0</v>
      </c>
      <c r="I1191" s="31" t="s">
        <v>200</v>
      </c>
      <c r="K1191" s="33" t="s">
        <v>3816</v>
      </c>
      <c r="L1191" s="31" t="s">
        <v>202</v>
      </c>
      <c r="M1191" s="31" t="s">
        <v>203</v>
      </c>
      <c r="N1191" s="31" t="s">
        <v>204</v>
      </c>
      <c r="R1191" s="31" t="s">
        <v>471</v>
      </c>
    </row>
    <row r="1192">
      <c r="A1192" s="29">
        <v>45934.60130444444</v>
      </c>
      <c r="B1192" s="30">
        <v>45934.0</v>
      </c>
      <c r="C1192" s="31" t="s">
        <v>3817</v>
      </c>
      <c r="D1192" s="32" t="s">
        <v>3818</v>
      </c>
      <c r="E1192" s="31" t="s">
        <v>43</v>
      </c>
      <c r="F1192" s="31">
        <v>2500000.0</v>
      </c>
      <c r="G1192" s="31" t="s">
        <v>23</v>
      </c>
      <c r="I1192" s="31" t="s">
        <v>229</v>
      </c>
      <c r="J1192" s="31" t="s">
        <v>967</v>
      </c>
      <c r="K1192" s="33" t="s">
        <v>3819</v>
      </c>
      <c r="L1192" s="31" t="s">
        <v>252</v>
      </c>
      <c r="O1192" s="31" t="s">
        <v>205</v>
      </c>
      <c r="X1192" s="31" t="s">
        <v>2335</v>
      </c>
    </row>
    <row r="1193">
      <c r="A1193" s="29">
        <v>45934.643090439815</v>
      </c>
      <c r="B1193" s="30">
        <v>45934.0</v>
      </c>
      <c r="C1193" s="31" t="s">
        <v>3820</v>
      </c>
      <c r="D1193" s="32" t="s">
        <v>3821</v>
      </c>
      <c r="E1193" s="31" t="s">
        <v>43</v>
      </c>
      <c r="F1193" s="31">
        <v>4700000.0</v>
      </c>
      <c r="G1193" s="31" t="s">
        <v>45</v>
      </c>
      <c r="H1193" s="31">
        <v>3000000.0</v>
      </c>
      <c r="I1193" s="31" t="s">
        <v>200</v>
      </c>
      <c r="K1193" s="33" t="s">
        <v>3822</v>
      </c>
      <c r="L1193" s="31" t="s">
        <v>202</v>
      </c>
      <c r="M1193" s="31" t="s">
        <v>203</v>
      </c>
      <c r="N1193" s="31" t="s">
        <v>215</v>
      </c>
      <c r="W1193" s="31" t="s">
        <v>389</v>
      </c>
    </row>
    <row r="1194">
      <c r="A1194" s="29">
        <v>45934.67014326389</v>
      </c>
      <c r="B1194" s="30">
        <v>45934.0</v>
      </c>
      <c r="C1194" s="31" t="s">
        <v>3823</v>
      </c>
      <c r="D1194" s="32" t="s">
        <v>3824</v>
      </c>
      <c r="E1194" s="31" t="s">
        <v>43</v>
      </c>
      <c r="F1194" s="31">
        <v>3000000.0</v>
      </c>
      <c r="G1194" s="31" t="s">
        <v>23</v>
      </c>
      <c r="I1194" s="31" t="s">
        <v>229</v>
      </c>
      <c r="J1194" s="31" t="s">
        <v>3825</v>
      </c>
      <c r="K1194" s="33" t="s">
        <v>3826</v>
      </c>
      <c r="L1194" s="31" t="s">
        <v>202</v>
      </c>
      <c r="N1194" s="31" t="s">
        <v>215</v>
      </c>
      <c r="W1194" s="31" t="s">
        <v>389</v>
      </c>
    </row>
    <row r="1195">
      <c r="A1195" s="29">
        <v>45934.688822199074</v>
      </c>
      <c r="B1195" s="30">
        <v>45934.0</v>
      </c>
      <c r="C1195" s="31" t="s">
        <v>3827</v>
      </c>
      <c r="D1195" s="32" t="s">
        <v>3828</v>
      </c>
      <c r="E1195" s="31" t="s">
        <v>43</v>
      </c>
      <c r="F1195" s="31">
        <v>2000000.0</v>
      </c>
      <c r="G1195" s="31" t="s">
        <v>45</v>
      </c>
      <c r="I1195" s="31" t="s">
        <v>229</v>
      </c>
      <c r="J1195" s="31" t="s">
        <v>967</v>
      </c>
      <c r="K1195" s="33" t="s">
        <v>3829</v>
      </c>
      <c r="L1195" s="31" t="s">
        <v>252</v>
      </c>
      <c r="O1195" s="31" t="s">
        <v>205</v>
      </c>
      <c r="X1195" s="31" t="s">
        <v>1471</v>
      </c>
    </row>
    <row r="1196">
      <c r="A1196" s="29">
        <v>45934.71036383102</v>
      </c>
      <c r="B1196" s="30">
        <v>45934.0</v>
      </c>
      <c r="C1196" s="31" t="s">
        <v>3830</v>
      </c>
      <c r="D1196" s="32" t="s">
        <v>1336</v>
      </c>
      <c r="E1196" s="31" t="s">
        <v>288</v>
      </c>
      <c r="F1196" s="31">
        <v>1500000.0</v>
      </c>
      <c r="G1196" s="31" t="s">
        <v>23</v>
      </c>
      <c r="I1196" s="31" t="s">
        <v>229</v>
      </c>
      <c r="J1196" s="31" t="s">
        <v>967</v>
      </c>
      <c r="K1196" s="33" t="s">
        <v>3831</v>
      </c>
      <c r="L1196" s="31" t="s">
        <v>202</v>
      </c>
      <c r="N1196" s="31" t="s">
        <v>204</v>
      </c>
      <c r="R1196" s="31" t="s">
        <v>892</v>
      </c>
    </row>
    <row r="1197">
      <c r="A1197" s="29">
        <v>45934.761628356486</v>
      </c>
      <c r="B1197" s="30">
        <v>45934.0</v>
      </c>
      <c r="C1197" s="31" t="s">
        <v>3832</v>
      </c>
      <c r="D1197" s="32" t="s">
        <v>3833</v>
      </c>
      <c r="E1197" s="31" t="s">
        <v>43</v>
      </c>
      <c r="F1197" s="31">
        <v>8800000.0</v>
      </c>
      <c r="G1197" s="31" t="s">
        <v>23</v>
      </c>
      <c r="H1197" s="31">
        <v>3000000.0</v>
      </c>
      <c r="I1197" s="31" t="s">
        <v>200</v>
      </c>
      <c r="K1197" s="33" t="s">
        <v>3834</v>
      </c>
      <c r="L1197" s="31" t="s">
        <v>252</v>
      </c>
      <c r="M1197" s="31" t="s">
        <v>203</v>
      </c>
      <c r="O1197" s="31" t="s">
        <v>257</v>
      </c>
      <c r="P1197" s="31" t="s">
        <v>258</v>
      </c>
    </row>
    <row r="1198">
      <c r="A1198" s="29">
        <v>45934.76330712963</v>
      </c>
      <c r="B1198" s="30">
        <v>45934.0</v>
      </c>
      <c r="C1198" s="31" t="s">
        <v>3835</v>
      </c>
      <c r="D1198" s="32" t="s">
        <v>3836</v>
      </c>
      <c r="E1198" s="31" t="s">
        <v>199</v>
      </c>
      <c r="F1198" s="31">
        <v>6000000.0</v>
      </c>
      <c r="G1198" s="31" t="s">
        <v>45</v>
      </c>
      <c r="H1198" s="31">
        <v>3000000.0</v>
      </c>
      <c r="I1198" s="31" t="s">
        <v>413</v>
      </c>
      <c r="K1198" s="33" t="s">
        <v>3837</v>
      </c>
      <c r="L1198" s="31" t="s">
        <v>252</v>
      </c>
      <c r="M1198" s="31" t="s">
        <v>926</v>
      </c>
      <c r="O1198" s="31" t="s">
        <v>257</v>
      </c>
      <c r="P1198" s="31" t="s">
        <v>258</v>
      </c>
    </row>
    <row r="1199">
      <c r="A1199" s="29">
        <v>45934.77288954861</v>
      </c>
      <c r="B1199" s="30">
        <v>45934.0</v>
      </c>
      <c r="C1199" s="31" t="s">
        <v>3838</v>
      </c>
      <c r="D1199" s="32" t="s">
        <v>3839</v>
      </c>
      <c r="E1199" s="31" t="s">
        <v>43</v>
      </c>
      <c r="F1199" s="31">
        <v>8000000.0</v>
      </c>
      <c r="G1199" s="31" t="s">
        <v>23</v>
      </c>
      <c r="I1199" s="31" t="s">
        <v>229</v>
      </c>
      <c r="J1199" s="31" t="s">
        <v>967</v>
      </c>
      <c r="K1199" s="33" t="s">
        <v>3840</v>
      </c>
      <c r="L1199" s="31" t="s">
        <v>252</v>
      </c>
      <c r="O1199" s="31" t="s">
        <v>257</v>
      </c>
      <c r="P1199" s="31" t="s">
        <v>3194</v>
      </c>
    </row>
    <row r="1200">
      <c r="A1200" s="29">
        <v>45934.80864047454</v>
      </c>
      <c r="B1200" s="30">
        <v>45934.0</v>
      </c>
      <c r="C1200" s="31" t="s">
        <v>3841</v>
      </c>
      <c r="D1200" s="32" t="s">
        <v>3842</v>
      </c>
      <c r="E1200" s="31" t="s">
        <v>43</v>
      </c>
      <c r="F1200" s="31">
        <v>2700000.0</v>
      </c>
      <c r="G1200" s="31" t="s">
        <v>23</v>
      </c>
      <c r="I1200" s="31" t="s">
        <v>229</v>
      </c>
      <c r="J1200" s="31" t="s">
        <v>967</v>
      </c>
      <c r="K1200" s="33" t="s">
        <v>3843</v>
      </c>
      <c r="L1200" s="31" t="s">
        <v>202</v>
      </c>
      <c r="N1200" s="31" t="s">
        <v>220</v>
      </c>
      <c r="S1200" s="31" t="s">
        <v>36</v>
      </c>
    </row>
    <row r="1201">
      <c r="A1201" s="29">
        <v>45934.83154828704</v>
      </c>
      <c r="B1201" s="30">
        <v>45934.0</v>
      </c>
      <c r="C1201" s="31" t="s">
        <v>3749</v>
      </c>
      <c r="D1201" s="32" t="s">
        <v>3844</v>
      </c>
      <c r="E1201" s="31" t="s">
        <v>43</v>
      </c>
      <c r="F1201" s="31">
        <v>3500000.0</v>
      </c>
      <c r="G1201" s="31" t="s">
        <v>23</v>
      </c>
      <c r="I1201" s="31" t="s">
        <v>229</v>
      </c>
      <c r="J1201" s="31" t="s">
        <v>967</v>
      </c>
      <c r="K1201" s="33" t="s">
        <v>3845</v>
      </c>
      <c r="L1201" s="31" t="s">
        <v>202</v>
      </c>
      <c r="N1201" s="31" t="s">
        <v>204</v>
      </c>
      <c r="R1201" s="31" t="s">
        <v>148</v>
      </c>
    </row>
    <row r="1202">
      <c r="A1202" s="29">
        <v>45934.861205567126</v>
      </c>
      <c r="B1202" s="30">
        <v>45934.0</v>
      </c>
      <c r="C1202" s="31" t="s">
        <v>3846</v>
      </c>
      <c r="D1202" s="32" t="s">
        <v>3847</v>
      </c>
      <c r="E1202" s="31" t="s">
        <v>228</v>
      </c>
      <c r="F1202" s="31">
        <v>7500000.0</v>
      </c>
      <c r="G1202" s="31" t="s">
        <v>23</v>
      </c>
      <c r="I1202" s="31" t="s">
        <v>229</v>
      </c>
      <c r="J1202" s="31" t="s">
        <v>967</v>
      </c>
      <c r="K1202" s="33" t="s">
        <v>3848</v>
      </c>
      <c r="L1202" s="31" t="s">
        <v>202</v>
      </c>
      <c r="N1202" s="31" t="s">
        <v>220</v>
      </c>
      <c r="S1202" s="31" t="s">
        <v>1406</v>
      </c>
    </row>
    <row r="1203">
      <c r="A1203" s="29">
        <v>45935.78086039352</v>
      </c>
      <c r="B1203" s="30">
        <v>45935.0</v>
      </c>
      <c r="C1203" s="31" t="s">
        <v>3849</v>
      </c>
      <c r="D1203" s="31">
        <v>0.0</v>
      </c>
      <c r="E1203" s="31" t="s">
        <v>3850</v>
      </c>
      <c r="F1203" s="31">
        <v>2100.0</v>
      </c>
      <c r="G1203" s="31" t="s">
        <v>23</v>
      </c>
      <c r="H1203" s="31">
        <v>5000000.0</v>
      </c>
      <c r="I1203" s="31" t="s">
        <v>200</v>
      </c>
      <c r="K1203" s="33" t="s">
        <v>3851</v>
      </c>
      <c r="L1203" s="31" t="s">
        <v>252</v>
      </c>
      <c r="M1203" s="31" t="s">
        <v>203</v>
      </c>
      <c r="O1203" s="31" t="s">
        <v>257</v>
      </c>
      <c r="P1203" s="31" t="s">
        <v>992</v>
      </c>
    </row>
    <row r="1204">
      <c r="A1204" s="29">
        <v>45935.80991527778</v>
      </c>
      <c r="B1204" s="30">
        <v>45935.0</v>
      </c>
      <c r="C1204" s="31" t="s">
        <v>3852</v>
      </c>
      <c r="D1204" s="32" t="s">
        <v>3853</v>
      </c>
      <c r="E1204" s="31" t="s">
        <v>3854</v>
      </c>
      <c r="F1204" s="31">
        <v>5000000.0</v>
      </c>
      <c r="G1204" s="31" t="s">
        <v>23</v>
      </c>
      <c r="I1204" s="31" t="s">
        <v>229</v>
      </c>
      <c r="J1204" s="31" t="s">
        <v>967</v>
      </c>
      <c r="K1204" s="33" t="s">
        <v>3855</v>
      </c>
      <c r="L1204" s="31" t="s">
        <v>202</v>
      </c>
      <c r="N1204" s="31" t="s">
        <v>220</v>
      </c>
      <c r="S1204" s="31" t="s">
        <v>1406</v>
      </c>
    </row>
    <row r="1205">
      <c r="A1205" s="29">
        <v>45936.40913621528</v>
      </c>
      <c r="B1205" s="30">
        <v>45936.0</v>
      </c>
      <c r="C1205" s="31" t="s">
        <v>3856</v>
      </c>
      <c r="D1205" s="32" t="s">
        <v>3857</v>
      </c>
      <c r="E1205" s="31" t="s">
        <v>43</v>
      </c>
      <c r="F1205" s="31">
        <v>5000000.0</v>
      </c>
      <c r="G1205" s="31" t="s">
        <v>23</v>
      </c>
      <c r="I1205" s="31" t="s">
        <v>229</v>
      </c>
      <c r="J1205" s="31" t="s">
        <v>967</v>
      </c>
      <c r="K1205" s="33" t="s">
        <v>3858</v>
      </c>
      <c r="L1205" s="31" t="s">
        <v>252</v>
      </c>
      <c r="O1205" s="31" t="s">
        <v>257</v>
      </c>
      <c r="P1205" s="31" t="s">
        <v>258</v>
      </c>
    </row>
    <row r="1206">
      <c r="A1206" s="29">
        <v>45936.427123877314</v>
      </c>
      <c r="B1206" s="30">
        <v>45936.0</v>
      </c>
      <c r="C1206" s="31" t="s">
        <v>3859</v>
      </c>
      <c r="D1206" s="32" t="s">
        <v>3860</v>
      </c>
      <c r="E1206" s="31" t="s">
        <v>43</v>
      </c>
      <c r="F1206" s="31">
        <v>3000000.0</v>
      </c>
      <c r="G1206" s="31" t="s">
        <v>45</v>
      </c>
      <c r="H1206" s="31">
        <v>3000000.0</v>
      </c>
      <c r="I1206" s="31" t="s">
        <v>200</v>
      </c>
      <c r="K1206" s="31" t="s">
        <v>3861</v>
      </c>
      <c r="L1206" s="31" t="s">
        <v>202</v>
      </c>
      <c r="M1206" s="31" t="s">
        <v>203</v>
      </c>
      <c r="N1206" s="31" t="s">
        <v>215</v>
      </c>
      <c r="W1206" s="31" t="s">
        <v>389</v>
      </c>
    </row>
    <row r="1207">
      <c r="A1207" s="29">
        <v>45936.45341824074</v>
      </c>
      <c r="B1207" s="30">
        <v>45936.0</v>
      </c>
      <c r="C1207" s="31" t="s">
        <v>3862</v>
      </c>
      <c r="D1207" s="32" t="s">
        <v>3863</v>
      </c>
      <c r="E1207" s="31" t="s">
        <v>239</v>
      </c>
      <c r="F1207" s="31">
        <v>3000000.0</v>
      </c>
      <c r="G1207" s="31" t="s">
        <v>23</v>
      </c>
      <c r="H1207" s="31">
        <v>3000000.0</v>
      </c>
      <c r="I1207" s="31" t="s">
        <v>413</v>
      </c>
      <c r="K1207" s="33" t="s">
        <v>3864</v>
      </c>
      <c r="L1207" s="31" t="s">
        <v>202</v>
      </c>
      <c r="M1207" s="31" t="s">
        <v>203</v>
      </c>
      <c r="N1207" s="31" t="s">
        <v>871</v>
      </c>
      <c r="Q1207" s="31" t="s">
        <v>872</v>
      </c>
    </row>
    <row r="1208">
      <c r="A1208" s="29">
        <v>45936.4631325463</v>
      </c>
      <c r="B1208" s="30">
        <v>45936.0</v>
      </c>
      <c r="C1208" s="31" t="s">
        <v>3865</v>
      </c>
      <c r="D1208" s="32" t="s">
        <v>3866</v>
      </c>
      <c r="E1208" s="31" t="s">
        <v>43</v>
      </c>
      <c r="F1208" s="31">
        <v>6000000.0</v>
      </c>
      <c r="G1208" s="31" t="s">
        <v>23</v>
      </c>
      <c r="I1208" s="31" t="s">
        <v>229</v>
      </c>
      <c r="J1208" s="31" t="s">
        <v>967</v>
      </c>
      <c r="K1208" s="33" t="s">
        <v>3867</v>
      </c>
      <c r="L1208" s="31" t="s">
        <v>202</v>
      </c>
      <c r="N1208" s="31" t="s">
        <v>220</v>
      </c>
      <c r="S1208" s="31" t="s">
        <v>124</v>
      </c>
    </row>
    <row r="1209">
      <c r="A1209" s="29">
        <v>45936.500873564815</v>
      </c>
      <c r="B1209" s="30">
        <v>45936.0</v>
      </c>
      <c r="C1209" s="31" t="s">
        <v>3868</v>
      </c>
      <c r="D1209" s="31">
        <v>8.2210631595E10</v>
      </c>
      <c r="E1209" s="31" t="s">
        <v>43</v>
      </c>
      <c r="F1209" s="31">
        <v>4000000.0</v>
      </c>
      <c r="G1209" s="31" t="s">
        <v>23</v>
      </c>
      <c r="I1209" s="31" t="s">
        <v>229</v>
      </c>
      <c r="J1209" s="31" t="s">
        <v>229</v>
      </c>
      <c r="K1209" s="33" t="s">
        <v>3869</v>
      </c>
      <c r="L1209" s="31" t="s">
        <v>252</v>
      </c>
      <c r="O1209" s="31" t="s">
        <v>205</v>
      </c>
      <c r="X1209" s="31" t="s">
        <v>253</v>
      </c>
    </row>
    <row r="1210">
      <c r="A1210" s="29">
        <v>45936.50440799769</v>
      </c>
      <c r="B1210" s="30">
        <v>45936.0</v>
      </c>
      <c r="C1210" s="31" t="s">
        <v>3870</v>
      </c>
      <c r="D1210" s="32" t="s">
        <v>3871</v>
      </c>
      <c r="E1210" s="31" t="s">
        <v>261</v>
      </c>
      <c r="F1210" s="31">
        <v>3000000.0</v>
      </c>
      <c r="G1210" s="31" t="s">
        <v>23</v>
      </c>
      <c r="H1210" s="31">
        <v>3000000.0</v>
      </c>
      <c r="I1210" s="31" t="s">
        <v>413</v>
      </c>
      <c r="K1210" s="33" t="s">
        <v>3872</v>
      </c>
      <c r="L1210" s="31" t="s">
        <v>202</v>
      </c>
      <c r="M1210" s="31" t="s">
        <v>203</v>
      </c>
      <c r="N1210" s="31" t="s">
        <v>204</v>
      </c>
      <c r="R1210" s="31" t="s">
        <v>90</v>
      </c>
    </row>
    <row r="1211">
      <c r="A1211" s="29">
        <v>45936.50462340278</v>
      </c>
      <c r="B1211" s="30">
        <v>45936.0</v>
      </c>
      <c r="C1211" s="31" t="s">
        <v>3873</v>
      </c>
      <c r="D1211" s="32" t="s">
        <v>3874</v>
      </c>
      <c r="E1211" s="31" t="s">
        <v>199</v>
      </c>
      <c r="F1211" s="31">
        <v>8000000.0</v>
      </c>
      <c r="G1211" s="31" t="s">
        <v>45</v>
      </c>
      <c r="I1211" s="31" t="s">
        <v>229</v>
      </c>
      <c r="J1211" s="31" t="s">
        <v>967</v>
      </c>
      <c r="K1211" s="33" t="s">
        <v>3875</v>
      </c>
      <c r="L1211" s="31" t="s">
        <v>202</v>
      </c>
      <c r="N1211" s="31" t="s">
        <v>204</v>
      </c>
      <c r="R1211" s="31" t="s">
        <v>53</v>
      </c>
    </row>
    <row r="1212">
      <c r="A1212" s="29">
        <v>45936.51316847222</v>
      </c>
      <c r="B1212" s="30">
        <v>45936.0</v>
      </c>
      <c r="C1212" s="31" t="s">
        <v>3876</v>
      </c>
      <c r="D1212" s="31">
        <v>0.0</v>
      </c>
      <c r="E1212" s="31" t="s">
        <v>228</v>
      </c>
      <c r="F1212" s="34">
        <v>3500.0</v>
      </c>
      <c r="G1212" s="31" t="s">
        <v>23</v>
      </c>
      <c r="I1212" s="31" t="s">
        <v>229</v>
      </c>
      <c r="J1212" s="31" t="s">
        <v>967</v>
      </c>
      <c r="K1212" s="33" t="s">
        <v>3877</v>
      </c>
      <c r="L1212" s="31" t="s">
        <v>252</v>
      </c>
      <c r="O1212" s="31" t="s">
        <v>257</v>
      </c>
      <c r="P1212" s="31" t="s">
        <v>992</v>
      </c>
    </row>
    <row r="1213">
      <c r="A1213" s="29">
        <v>45936.54861140046</v>
      </c>
      <c r="B1213" s="30">
        <v>45936.0</v>
      </c>
      <c r="C1213" s="31" t="s">
        <v>3878</v>
      </c>
      <c r="D1213" s="32" t="s">
        <v>3879</v>
      </c>
      <c r="E1213" s="31" t="s">
        <v>239</v>
      </c>
      <c r="F1213" s="31">
        <v>2000000.0</v>
      </c>
      <c r="G1213" s="31" t="s">
        <v>23</v>
      </c>
      <c r="I1213" s="31" t="s">
        <v>229</v>
      </c>
      <c r="J1213" s="31" t="s">
        <v>967</v>
      </c>
      <c r="K1213" s="33" t="s">
        <v>3880</v>
      </c>
      <c r="L1213" s="31" t="s">
        <v>202</v>
      </c>
      <c r="N1213" s="31" t="s">
        <v>871</v>
      </c>
      <c r="Q1213" s="31" t="s">
        <v>872</v>
      </c>
    </row>
    <row r="1214">
      <c r="A1214" s="29">
        <v>45936.550184085645</v>
      </c>
      <c r="B1214" s="30">
        <v>45936.0</v>
      </c>
      <c r="C1214" s="31" t="s">
        <v>3881</v>
      </c>
      <c r="D1214" s="32" t="s">
        <v>3882</v>
      </c>
      <c r="E1214" s="31" t="s">
        <v>288</v>
      </c>
      <c r="F1214" s="31">
        <v>3000000.0</v>
      </c>
      <c r="G1214" s="31" t="s">
        <v>23</v>
      </c>
      <c r="I1214" s="31" t="s">
        <v>229</v>
      </c>
      <c r="J1214" s="31" t="s">
        <v>967</v>
      </c>
      <c r="K1214" s="33" t="s">
        <v>3883</v>
      </c>
      <c r="L1214" s="31" t="s">
        <v>202</v>
      </c>
      <c r="N1214" s="31" t="s">
        <v>871</v>
      </c>
      <c r="Q1214" s="31" t="s">
        <v>872</v>
      </c>
    </row>
    <row r="1215">
      <c r="A1215" s="29">
        <v>45936.5529828588</v>
      </c>
      <c r="B1215" s="30">
        <v>45936.0</v>
      </c>
      <c r="C1215" s="31" t="s">
        <v>3884</v>
      </c>
      <c r="D1215" s="32" t="s">
        <v>3885</v>
      </c>
      <c r="E1215" s="31" t="s">
        <v>31</v>
      </c>
      <c r="F1215" s="31">
        <v>2400000.0</v>
      </c>
      <c r="G1215" s="31" t="s">
        <v>23</v>
      </c>
      <c r="I1215" s="31" t="s">
        <v>229</v>
      </c>
      <c r="J1215" s="31" t="s">
        <v>967</v>
      </c>
      <c r="K1215" s="33" t="s">
        <v>3886</v>
      </c>
      <c r="L1215" s="31" t="s">
        <v>202</v>
      </c>
      <c r="N1215" s="31" t="s">
        <v>204</v>
      </c>
      <c r="R1215" s="31" t="s">
        <v>148</v>
      </c>
    </row>
    <row r="1216">
      <c r="A1216" s="29">
        <v>45936.57395090278</v>
      </c>
      <c r="B1216" s="30">
        <v>45936.0</v>
      </c>
      <c r="C1216" s="31" t="s">
        <v>3887</v>
      </c>
      <c r="D1216" s="31" t="s">
        <v>3888</v>
      </c>
      <c r="E1216" s="31" t="s">
        <v>1104</v>
      </c>
      <c r="F1216" s="31">
        <v>3100000.0</v>
      </c>
      <c r="G1216" s="31" t="s">
        <v>23</v>
      </c>
      <c r="H1216" s="31">
        <v>3000000.0</v>
      </c>
      <c r="I1216" s="31" t="s">
        <v>413</v>
      </c>
      <c r="K1216" s="33" t="s">
        <v>3889</v>
      </c>
      <c r="L1216" s="31" t="s">
        <v>202</v>
      </c>
      <c r="M1216" s="31" t="s">
        <v>926</v>
      </c>
      <c r="N1216" s="31" t="s">
        <v>204</v>
      </c>
      <c r="R1216" s="31" t="s">
        <v>90</v>
      </c>
    </row>
    <row r="1217">
      <c r="A1217" s="29">
        <v>45936.58503667824</v>
      </c>
      <c r="B1217" s="30">
        <v>45936.0</v>
      </c>
      <c r="C1217" s="31" t="s">
        <v>3890</v>
      </c>
      <c r="D1217" s="32" t="s">
        <v>3891</v>
      </c>
      <c r="E1217" s="31" t="s">
        <v>43</v>
      </c>
      <c r="F1217" s="31">
        <v>3000000.0</v>
      </c>
      <c r="G1217" s="31" t="s">
        <v>23</v>
      </c>
      <c r="I1217" s="31" t="s">
        <v>229</v>
      </c>
      <c r="J1217" s="31" t="s">
        <v>967</v>
      </c>
      <c r="K1217" s="33" t="s">
        <v>3892</v>
      </c>
      <c r="L1217" s="31" t="s">
        <v>202</v>
      </c>
      <c r="N1217" s="31" t="s">
        <v>871</v>
      </c>
      <c r="Q1217" s="31" t="s">
        <v>872</v>
      </c>
    </row>
    <row r="1218">
      <c r="A1218" s="29">
        <v>45936.65099572917</v>
      </c>
      <c r="B1218" s="30">
        <v>45936.0</v>
      </c>
      <c r="C1218" s="31" t="s">
        <v>3893</v>
      </c>
      <c r="D1218" s="32" t="s">
        <v>3894</v>
      </c>
      <c r="E1218" s="31" t="s">
        <v>288</v>
      </c>
      <c r="F1218" s="31">
        <v>5000000.0</v>
      </c>
      <c r="G1218" s="31" t="s">
        <v>23</v>
      </c>
      <c r="I1218" s="31" t="s">
        <v>229</v>
      </c>
      <c r="J1218" s="31" t="s">
        <v>967</v>
      </c>
      <c r="K1218" s="33" t="s">
        <v>3895</v>
      </c>
      <c r="L1218" s="31" t="s">
        <v>252</v>
      </c>
      <c r="O1218" s="31" t="s">
        <v>257</v>
      </c>
      <c r="P1218" s="31" t="s">
        <v>3194</v>
      </c>
    </row>
    <row r="1219">
      <c r="A1219" s="29">
        <v>45936.667008449076</v>
      </c>
      <c r="B1219" s="30">
        <v>45936.0</v>
      </c>
      <c r="C1219" s="31" t="s">
        <v>3896</v>
      </c>
      <c r="D1219" s="32" t="s">
        <v>3897</v>
      </c>
      <c r="E1219" s="31" t="s">
        <v>239</v>
      </c>
      <c r="F1219" s="31">
        <v>3000000.0</v>
      </c>
      <c r="G1219" s="31" t="s">
        <v>23</v>
      </c>
      <c r="I1219" s="31" t="s">
        <v>229</v>
      </c>
      <c r="J1219" s="31" t="s">
        <v>967</v>
      </c>
      <c r="K1219" s="33" t="s">
        <v>3898</v>
      </c>
      <c r="L1219" s="31" t="s">
        <v>202</v>
      </c>
      <c r="N1219" s="31" t="s">
        <v>871</v>
      </c>
      <c r="Q1219" s="31" t="s">
        <v>872</v>
      </c>
    </row>
    <row r="1220">
      <c r="A1220" s="29">
        <v>45936.668670960644</v>
      </c>
      <c r="B1220" s="30">
        <v>45936.0</v>
      </c>
      <c r="C1220" s="31" t="s">
        <v>3899</v>
      </c>
      <c r="D1220" s="32" t="s">
        <v>3900</v>
      </c>
      <c r="E1220" s="31" t="s">
        <v>43</v>
      </c>
      <c r="F1220" s="31">
        <v>3000000.0</v>
      </c>
      <c r="G1220" s="31" t="s">
        <v>23</v>
      </c>
      <c r="H1220" s="31">
        <v>3000000.0</v>
      </c>
      <c r="I1220" s="31" t="s">
        <v>413</v>
      </c>
      <c r="K1220" s="33" t="s">
        <v>3901</v>
      </c>
      <c r="L1220" s="31" t="s">
        <v>202</v>
      </c>
      <c r="M1220" s="31" t="s">
        <v>203</v>
      </c>
      <c r="N1220" s="31" t="s">
        <v>871</v>
      </c>
      <c r="Q1220" s="31" t="s">
        <v>872</v>
      </c>
    </row>
    <row r="1221">
      <c r="A1221" s="29">
        <v>45936.72945905093</v>
      </c>
      <c r="B1221" s="30">
        <v>45936.0</v>
      </c>
      <c r="C1221" s="31" t="s">
        <v>1728</v>
      </c>
      <c r="D1221" s="32" t="s">
        <v>3902</v>
      </c>
      <c r="E1221" s="31" t="s">
        <v>213</v>
      </c>
      <c r="F1221" s="31">
        <v>8000000.0</v>
      </c>
      <c r="G1221" s="31" t="s">
        <v>23</v>
      </c>
      <c r="I1221" s="31" t="s">
        <v>229</v>
      </c>
      <c r="J1221" s="31" t="s">
        <v>967</v>
      </c>
      <c r="K1221" s="33" t="s">
        <v>3903</v>
      </c>
      <c r="L1221" s="31" t="s">
        <v>202</v>
      </c>
      <c r="N1221" s="31" t="s">
        <v>204</v>
      </c>
      <c r="R1221" s="31" t="s">
        <v>98</v>
      </c>
    </row>
    <row r="1222">
      <c r="A1222" s="29">
        <v>45936.759914849536</v>
      </c>
      <c r="B1222" s="30">
        <v>45936.0</v>
      </c>
      <c r="C1222" s="31" t="s">
        <v>3904</v>
      </c>
      <c r="D1222" s="32" t="s">
        <v>3905</v>
      </c>
      <c r="E1222" s="31" t="s">
        <v>43</v>
      </c>
      <c r="F1222" s="31">
        <v>8000000.0</v>
      </c>
      <c r="G1222" s="31" t="s">
        <v>45</v>
      </c>
      <c r="H1222" s="31">
        <v>3000000.0</v>
      </c>
      <c r="I1222" s="31" t="s">
        <v>413</v>
      </c>
      <c r="K1222" s="33" t="s">
        <v>3906</v>
      </c>
      <c r="L1222" s="31" t="s">
        <v>252</v>
      </c>
      <c r="M1222" s="31" t="s">
        <v>203</v>
      </c>
      <c r="O1222" s="31" t="s">
        <v>257</v>
      </c>
      <c r="P1222" s="31" t="s">
        <v>272</v>
      </c>
    </row>
    <row r="1223">
      <c r="A1223" s="29">
        <v>45936.77328109954</v>
      </c>
      <c r="B1223" s="30">
        <v>45936.0</v>
      </c>
      <c r="C1223" s="31" t="s">
        <v>3907</v>
      </c>
      <c r="D1223" s="32" t="s">
        <v>3908</v>
      </c>
      <c r="E1223" s="31" t="s">
        <v>31</v>
      </c>
      <c r="F1223" s="31">
        <v>2500000.0</v>
      </c>
      <c r="G1223" s="31" t="s">
        <v>23</v>
      </c>
      <c r="H1223" s="31">
        <v>3000000.0</v>
      </c>
      <c r="I1223" s="31" t="s">
        <v>413</v>
      </c>
      <c r="K1223" s="33" t="s">
        <v>3909</v>
      </c>
      <c r="L1223" s="31" t="s">
        <v>202</v>
      </c>
      <c r="M1223" s="31" t="s">
        <v>203</v>
      </c>
      <c r="N1223" s="31" t="s">
        <v>215</v>
      </c>
      <c r="W1223" s="31" t="s">
        <v>216</v>
      </c>
    </row>
    <row r="1224">
      <c r="A1224" s="29">
        <v>45936.79894083334</v>
      </c>
      <c r="B1224" s="30">
        <v>45936.0</v>
      </c>
      <c r="C1224" s="31" t="s">
        <v>3910</v>
      </c>
      <c r="D1224" s="31">
        <v>8.1290473463E10</v>
      </c>
      <c r="E1224" s="31" t="s">
        <v>31</v>
      </c>
      <c r="F1224" s="31">
        <v>7200000.0</v>
      </c>
      <c r="G1224" s="31" t="s">
        <v>23</v>
      </c>
      <c r="H1224" s="31">
        <v>3000000.0</v>
      </c>
      <c r="I1224" s="31" t="s">
        <v>200</v>
      </c>
      <c r="K1224" s="33" t="s">
        <v>3911</v>
      </c>
      <c r="L1224" s="31" t="s">
        <v>202</v>
      </c>
      <c r="M1224" s="31" t="s">
        <v>203</v>
      </c>
      <c r="N1224" s="31" t="s">
        <v>313</v>
      </c>
      <c r="T1224" s="31" t="s">
        <v>329</v>
      </c>
    </row>
    <row r="1225">
      <c r="A1225" s="29">
        <v>45936.80145922454</v>
      </c>
      <c r="B1225" s="30">
        <v>45936.0</v>
      </c>
      <c r="C1225" s="31" t="s">
        <v>3912</v>
      </c>
      <c r="D1225" s="32" t="s">
        <v>3913</v>
      </c>
      <c r="E1225" s="31" t="s">
        <v>31</v>
      </c>
      <c r="F1225" s="31">
        <v>5600000.0</v>
      </c>
      <c r="G1225" s="31" t="s">
        <v>23</v>
      </c>
      <c r="I1225" s="31" t="s">
        <v>229</v>
      </c>
      <c r="J1225" s="31" t="s">
        <v>967</v>
      </c>
      <c r="K1225" s="33" t="s">
        <v>3914</v>
      </c>
      <c r="L1225" s="31" t="s">
        <v>202</v>
      </c>
      <c r="N1225" s="31" t="s">
        <v>313</v>
      </c>
      <c r="T1225" s="31" t="s">
        <v>329</v>
      </c>
    </row>
    <row r="1226">
      <c r="A1226" s="29">
        <v>45936.81779585648</v>
      </c>
      <c r="B1226" s="30">
        <v>45936.0</v>
      </c>
      <c r="C1226" s="31" t="s">
        <v>3915</v>
      </c>
      <c r="D1226" s="32" t="s">
        <v>3916</v>
      </c>
      <c r="E1226" s="31" t="s">
        <v>43</v>
      </c>
      <c r="F1226" s="31">
        <v>3000000.0</v>
      </c>
      <c r="G1226" s="31" t="s">
        <v>23</v>
      </c>
      <c r="I1226" s="31" t="s">
        <v>229</v>
      </c>
      <c r="J1226" s="31" t="s">
        <v>967</v>
      </c>
      <c r="K1226" s="33" t="s">
        <v>3917</v>
      </c>
      <c r="L1226" s="31" t="s">
        <v>252</v>
      </c>
      <c r="O1226" s="31" t="s">
        <v>205</v>
      </c>
      <c r="X1226" s="31" t="s">
        <v>487</v>
      </c>
    </row>
    <row r="1227">
      <c r="A1227" s="29">
        <v>45936.836925208336</v>
      </c>
      <c r="B1227" s="30">
        <v>45936.0</v>
      </c>
      <c r="C1227" s="31" t="s">
        <v>3918</v>
      </c>
      <c r="D1227" s="32" t="s">
        <v>3919</v>
      </c>
      <c r="E1227" s="31" t="s">
        <v>43</v>
      </c>
      <c r="F1227" s="31">
        <v>3000000.0</v>
      </c>
      <c r="G1227" s="31" t="s">
        <v>23</v>
      </c>
      <c r="I1227" s="31" t="s">
        <v>229</v>
      </c>
      <c r="J1227" s="31" t="s">
        <v>229</v>
      </c>
      <c r="K1227" s="33" t="s">
        <v>3920</v>
      </c>
      <c r="L1227" s="31" t="s">
        <v>252</v>
      </c>
      <c r="O1227" s="31" t="s">
        <v>205</v>
      </c>
      <c r="X1227" s="31" t="s">
        <v>253</v>
      </c>
    </row>
    <row r="1228">
      <c r="A1228" s="29">
        <v>45936.83936601852</v>
      </c>
      <c r="B1228" s="30">
        <v>45935.0</v>
      </c>
      <c r="C1228" s="31" t="s">
        <v>3921</v>
      </c>
      <c r="D1228" s="32" t="s">
        <v>3922</v>
      </c>
      <c r="E1228" s="31" t="s">
        <v>43</v>
      </c>
      <c r="F1228" s="31">
        <v>2400000.0</v>
      </c>
      <c r="G1228" s="31" t="s">
        <v>23</v>
      </c>
      <c r="I1228" s="31" t="s">
        <v>229</v>
      </c>
      <c r="J1228" s="31" t="s">
        <v>967</v>
      </c>
      <c r="K1228" s="33" t="s">
        <v>3923</v>
      </c>
      <c r="L1228" s="31" t="s">
        <v>202</v>
      </c>
      <c r="N1228" s="31" t="s">
        <v>313</v>
      </c>
      <c r="T1228" s="31" t="s">
        <v>3924</v>
      </c>
    </row>
    <row r="1229">
      <c r="A1229" s="29">
        <v>45936.90184556713</v>
      </c>
      <c r="B1229" s="30">
        <v>45936.0</v>
      </c>
      <c r="C1229" s="31" t="s">
        <v>3925</v>
      </c>
      <c r="D1229" s="32" t="s">
        <v>3926</v>
      </c>
      <c r="E1229" s="31" t="s">
        <v>213</v>
      </c>
      <c r="F1229" s="31">
        <v>6000000.0</v>
      </c>
      <c r="G1229" s="31" t="s">
        <v>23</v>
      </c>
      <c r="H1229" s="31">
        <v>7000000.0</v>
      </c>
      <c r="I1229" s="31" t="s">
        <v>200</v>
      </c>
      <c r="K1229" s="33" t="s">
        <v>3927</v>
      </c>
      <c r="L1229" s="31" t="s">
        <v>202</v>
      </c>
      <c r="M1229" s="31" t="s">
        <v>203</v>
      </c>
      <c r="N1229" s="31" t="s">
        <v>204</v>
      </c>
      <c r="R1229" s="31" t="s">
        <v>98</v>
      </c>
    </row>
    <row r="1230">
      <c r="A1230" s="29">
        <v>45937.47115733796</v>
      </c>
      <c r="B1230" s="30">
        <v>45937.0</v>
      </c>
      <c r="C1230" s="31" t="s">
        <v>3928</v>
      </c>
      <c r="D1230" s="32" t="s">
        <v>3929</v>
      </c>
      <c r="E1230" s="31" t="s">
        <v>43</v>
      </c>
      <c r="F1230" s="31">
        <v>3000000.0</v>
      </c>
      <c r="G1230" s="31" t="s">
        <v>45</v>
      </c>
      <c r="H1230" s="31">
        <v>5000000.0</v>
      </c>
      <c r="I1230" s="31" t="s">
        <v>200</v>
      </c>
      <c r="K1230" s="33" t="s">
        <v>3930</v>
      </c>
      <c r="L1230" s="31" t="s">
        <v>202</v>
      </c>
      <c r="M1230" s="31" t="s">
        <v>203</v>
      </c>
      <c r="N1230" s="31" t="s">
        <v>215</v>
      </c>
      <c r="W1230" s="31" t="s">
        <v>389</v>
      </c>
    </row>
    <row r="1231">
      <c r="A1231" s="29">
        <v>45937.48169140046</v>
      </c>
      <c r="B1231" s="30">
        <v>45937.0</v>
      </c>
      <c r="C1231" s="31" t="s">
        <v>3931</v>
      </c>
      <c r="D1231" s="32" t="s">
        <v>3932</v>
      </c>
      <c r="E1231" s="31" t="s">
        <v>1166</v>
      </c>
      <c r="F1231" s="31">
        <v>2700000.0</v>
      </c>
      <c r="G1231" s="31" t="s">
        <v>23</v>
      </c>
      <c r="I1231" s="31" t="s">
        <v>229</v>
      </c>
      <c r="J1231" s="31" t="s">
        <v>967</v>
      </c>
      <c r="K1231" s="33" t="s">
        <v>3933</v>
      </c>
      <c r="L1231" s="31" t="s">
        <v>252</v>
      </c>
      <c r="O1231" s="31" t="s">
        <v>257</v>
      </c>
      <c r="P1231" s="31" t="s">
        <v>206</v>
      </c>
    </row>
    <row r="1232">
      <c r="A1232" s="29">
        <v>45937.49253311343</v>
      </c>
      <c r="B1232" s="30">
        <v>45937.0</v>
      </c>
      <c r="C1232" s="31" t="s">
        <v>3934</v>
      </c>
      <c r="D1232" s="32" t="s">
        <v>3935</v>
      </c>
      <c r="E1232" s="31" t="s">
        <v>31</v>
      </c>
      <c r="F1232" s="31">
        <v>5699000.0</v>
      </c>
      <c r="G1232" s="31" t="s">
        <v>23</v>
      </c>
      <c r="I1232" s="31" t="s">
        <v>229</v>
      </c>
      <c r="J1232" s="31" t="s">
        <v>967</v>
      </c>
      <c r="K1232" s="33" t="s">
        <v>3936</v>
      </c>
      <c r="L1232" s="31" t="s">
        <v>202</v>
      </c>
      <c r="N1232" s="31" t="s">
        <v>204</v>
      </c>
      <c r="R1232" s="31" t="s">
        <v>207</v>
      </c>
    </row>
    <row r="1233">
      <c r="A1233" s="29">
        <v>45937.50652905092</v>
      </c>
      <c r="B1233" s="30">
        <v>45937.0</v>
      </c>
      <c r="C1233" s="31" t="s">
        <v>3937</v>
      </c>
      <c r="D1233" s="32" t="s">
        <v>3938</v>
      </c>
      <c r="E1233" s="31" t="s">
        <v>3939</v>
      </c>
      <c r="F1233" s="31">
        <v>3200000.0</v>
      </c>
      <c r="G1233" s="31" t="s">
        <v>23</v>
      </c>
      <c r="I1233" s="31" t="s">
        <v>229</v>
      </c>
      <c r="J1233" s="31" t="s">
        <v>967</v>
      </c>
      <c r="K1233" s="33" t="s">
        <v>3940</v>
      </c>
      <c r="L1233" s="31" t="s">
        <v>202</v>
      </c>
      <c r="N1233" s="31" t="s">
        <v>313</v>
      </c>
      <c r="T1233" s="31" t="s">
        <v>384</v>
      </c>
    </row>
    <row r="1234">
      <c r="A1234" s="29">
        <v>45937.52365121528</v>
      </c>
      <c r="B1234" s="30">
        <v>45937.0</v>
      </c>
      <c r="C1234" s="31" t="s">
        <v>3941</v>
      </c>
      <c r="D1234" s="32" t="s">
        <v>3942</v>
      </c>
      <c r="E1234" s="31" t="s">
        <v>31</v>
      </c>
      <c r="F1234" s="31">
        <v>6399000.0</v>
      </c>
      <c r="G1234" s="31" t="s">
        <v>23</v>
      </c>
      <c r="I1234" s="31" t="s">
        <v>229</v>
      </c>
      <c r="J1234" s="31" t="s">
        <v>967</v>
      </c>
      <c r="K1234" s="33" t="s">
        <v>3943</v>
      </c>
      <c r="L1234" s="31" t="s">
        <v>202</v>
      </c>
      <c r="N1234" s="31" t="s">
        <v>204</v>
      </c>
      <c r="R1234" s="31" t="s">
        <v>207</v>
      </c>
    </row>
    <row r="1235">
      <c r="A1235" s="29">
        <v>45937.52482071759</v>
      </c>
      <c r="B1235" s="30">
        <v>45937.0</v>
      </c>
      <c r="C1235" s="31" t="s">
        <v>3944</v>
      </c>
      <c r="D1235" s="32" t="s">
        <v>3945</v>
      </c>
      <c r="E1235" s="31" t="s">
        <v>31</v>
      </c>
      <c r="F1235" s="31">
        <v>6599000.0</v>
      </c>
      <c r="G1235" s="31" t="s">
        <v>23</v>
      </c>
      <c r="I1235" s="31" t="s">
        <v>229</v>
      </c>
      <c r="J1235" s="31" t="s">
        <v>967</v>
      </c>
      <c r="K1235" s="33" t="s">
        <v>3946</v>
      </c>
      <c r="L1235" s="31" t="s">
        <v>202</v>
      </c>
      <c r="N1235" s="31" t="s">
        <v>204</v>
      </c>
      <c r="R1235" s="31" t="s">
        <v>207</v>
      </c>
    </row>
    <row r="1236">
      <c r="A1236" s="29">
        <v>45937.59557775463</v>
      </c>
      <c r="B1236" s="30">
        <v>45937.0</v>
      </c>
      <c r="C1236" s="31" t="s">
        <v>3947</v>
      </c>
      <c r="D1236" s="32" t="s">
        <v>3948</v>
      </c>
      <c r="E1236" s="31" t="s">
        <v>43</v>
      </c>
      <c r="F1236" s="31">
        <v>3200000.0</v>
      </c>
      <c r="G1236" s="31" t="s">
        <v>23</v>
      </c>
      <c r="H1236" s="31">
        <v>3000000.0</v>
      </c>
      <c r="I1236" s="31" t="s">
        <v>200</v>
      </c>
      <c r="K1236" s="33" t="s">
        <v>3949</v>
      </c>
      <c r="L1236" s="31" t="s">
        <v>202</v>
      </c>
      <c r="M1236" s="31" t="s">
        <v>203</v>
      </c>
      <c r="N1236" s="31" t="s">
        <v>667</v>
      </c>
      <c r="U1236" s="31" t="s">
        <v>3950</v>
      </c>
    </row>
    <row r="1237">
      <c r="A1237" s="29">
        <v>45937.682170925924</v>
      </c>
      <c r="B1237" s="30">
        <v>45937.0</v>
      </c>
      <c r="C1237" s="31" t="s">
        <v>3951</v>
      </c>
      <c r="D1237" s="32" t="s">
        <v>3952</v>
      </c>
      <c r="E1237" s="31" t="s">
        <v>1223</v>
      </c>
      <c r="F1237" s="31">
        <v>2999000.0</v>
      </c>
      <c r="G1237" s="31" t="s">
        <v>23</v>
      </c>
      <c r="I1237" s="31" t="s">
        <v>229</v>
      </c>
      <c r="J1237" s="31" t="s">
        <v>967</v>
      </c>
      <c r="K1237" s="33" t="s">
        <v>3953</v>
      </c>
      <c r="L1237" s="31" t="s">
        <v>252</v>
      </c>
      <c r="O1237" s="31" t="s">
        <v>205</v>
      </c>
      <c r="X1237" s="31" t="s">
        <v>569</v>
      </c>
    </row>
    <row r="1238">
      <c r="A1238" s="29">
        <v>45937.68528586805</v>
      </c>
      <c r="B1238" s="30">
        <v>45937.0</v>
      </c>
      <c r="C1238" s="31" t="s">
        <v>3954</v>
      </c>
      <c r="D1238" s="31">
        <v>0.0</v>
      </c>
      <c r="E1238" s="31" t="s">
        <v>43</v>
      </c>
      <c r="F1238" s="32" t="s">
        <v>3711</v>
      </c>
      <c r="G1238" s="31" t="s">
        <v>23</v>
      </c>
      <c r="I1238" s="31" t="s">
        <v>229</v>
      </c>
      <c r="J1238" s="31" t="s">
        <v>967</v>
      </c>
      <c r="K1238" s="33" t="s">
        <v>3955</v>
      </c>
      <c r="L1238" s="31" t="s">
        <v>252</v>
      </c>
      <c r="O1238" s="31" t="s">
        <v>257</v>
      </c>
      <c r="P1238" s="31" t="s">
        <v>992</v>
      </c>
    </row>
    <row r="1239">
      <c r="A1239" s="29">
        <v>45937.71674236111</v>
      </c>
      <c r="B1239" s="30">
        <v>45937.0</v>
      </c>
      <c r="C1239" s="31" t="s">
        <v>3956</v>
      </c>
      <c r="D1239" s="32" t="s">
        <v>3957</v>
      </c>
      <c r="E1239" s="31" t="s">
        <v>335</v>
      </c>
      <c r="F1239" s="31">
        <v>3200000.0</v>
      </c>
      <c r="G1239" s="31" t="s">
        <v>23</v>
      </c>
      <c r="I1239" s="31" t="s">
        <v>229</v>
      </c>
      <c r="J1239" s="31" t="s">
        <v>967</v>
      </c>
      <c r="K1239" s="33" t="s">
        <v>3958</v>
      </c>
      <c r="L1239" s="31" t="s">
        <v>252</v>
      </c>
      <c r="O1239" s="31" t="s">
        <v>257</v>
      </c>
      <c r="P1239" s="31" t="s">
        <v>3194</v>
      </c>
    </row>
    <row r="1240">
      <c r="A1240" s="29">
        <v>45937.71800209491</v>
      </c>
      <c r="B1240" s="30">
        <v>45937.0</v>
      </c>
      <c r="C1240" s="31" t="s">
        <v>3959</v>
      </c>
      <c r="D1240" s="32" t="s">
        <v>3960</v>
      </c>
      <c r="E1240" s="31" t="s">
        <v>1093</v>
      </c>
      <c r="F1240" s="31">
        <v>3000000.0</v>
      </c>
      <c r="G1240" s="31" t="s">
        <v>45</v>
      </c>
      <c r="I1240" s="31" t="s">
        <v>229</v>
      </c>
      <c r="J1240" s="31" t="s">
        <v>967</v>
      </c>
      <c r="K1240" s="33" t="s">
        <v>3961</v>
      </c>
      <c r="L1240" s="31" t="s">
        <v>252</v>
      </c>
      <c r="O1240" s="31" t="s">
        <v>205</v>
      </c>
      <c r="X1240" s="31" t="s">
        <v>549</v>
      </c>
    </row>
    <row r="1241">
      <c r="A1241" s="29">
        <v>45937.75007329861</v>
      </c>
      <c r="B1241" s="30">
        <v>45937.0</v>
      </c>
      <c r="C1241" s="31" t="s">
        <v>3962</v>
      </c>
      <c r="D1241" s="32" t="s">
        <v>3963</v>
      </c>
      <c r="E1241" s="31" t="s">
        <v>43</v>
      </c>
      <c r="F1241" s="31">
        <v>6000000.0</v>
      </c>
      <c r="G1241" s="31" t="s">
        <v>23</v>
      </c>
      <c r="I1241" s="31" t="s">
        <v>229</v>
      </c>
      <c r="J1241" s="31" t="s">
        <v>967</v>
      </c>
      <c r="K1241" s="33" t="s">
        <v>3964</v>
      </c>
      <c r="L1241" s="31" t="s">
        <v>252</v>
      </c>
      <c r="O1241" s="31" t="s">
        <v>257</v>
      </c>
      <c r="P1241" s="31" t="s">
        <v>258</v>
      </c>
    </row>
    <row r="1242">
      <c r="A1242" s="29">
        <v>45937.75786943287</v>
      </c>
      <c r="B1242" s="30">
        <v>45937.0</v>
      </c>
      <c r="C1242" s="31" t="s">
        <v>3965</v>
      </c>
      <c r="D1242" s="32" t="s">
        <v>3966</v>
      </c>
      <c r="E1242" s="31" t="s">
        <v>31</v>
      </c>
      <c r="F1242" s="31">
        <v>5999000.0</v>
      </c>
      <c r="G1242" s="31" t="s">
        <v>23</v>
      </c>
      <c r="I1242" s="31" t="s">
        <v>229</v>
      </c>
      <c r="J1242" s="31" t="s">
        <v>967</v>
      </c>
      <c r="K1242" s="33" t="s">
        <v>3967</v>
      </c>
      <c r="L1242" s="31" t="s">
        <v>202</v>
      </c>
      <c r="N1242" s="31" t="s">
        <v>204</v>
      </c>
      <c r="R1242" s="31" t="s">
        <v>207</v>
      </c>
    </row>
    <row r="1243">
      <c r="A1243" s="29">
        <v>45937.763880729166</v>
      </c>
      <c r="B1243" s="30">
        <v>45937.0</v>
      </c>
      <c r="C1243" s="31" t="s">
        <v>3968</v>
      </c>
      <c r="D1243" s="32" t="s">
        <v>3969</v>
      </c>
      <c r="E1243" s="31" t="s">
        <v>31</v>
      </c>
      <c r="F1243" s="31">
        <v>4500000.0</v>
      </c>
      <c r="G1243" s="31" t="s">
        <v>23</v>
      </c>
      <c r="I1243" s="31" t="s">
        <v>229</v>
      </c>
      <c r="J1243" s="31" t="s">
        <v>967</v>
      </c>
      <c r="K1243" s="33" t="s">
        <v>3970</v>
      </c>
      <c r="L1243" s="31" t="s">
        <v>202</v>
      </c>
      <c r="N1243" s="31" t="s">
        <v>220</v>
      </c>
      <c r="S1243" s="31" t="s">
        <v>124</v>
      </c>
    </row>
    <row r="1244">
      <c r="A1244" s="29">
        <v>45937.77830866898</v>
      </c>
      <c r="B1244" s="30">
        <v>45937.0</v>
      </c>
      <c r="C1244" s="31" t="s">
        <v>3971</v>
      </c>
      <c r="D1244" s="32" t="s">
        <v>3972</v>
      </c>
      <c r="E1244" s="31" t="s">
        <v>228</v>
      </c>
      <c r="F1244" s="31">
        <v>3000000.0</v>
      </c>
      <c r="G1244" s="31" t="s">
        <v>23</v>
      </c>
      <c r="I1244" s="31" t="s">
        <v>229</v>
      </c>
      <c r="J1244" s="31" t="s">
        <v>229</v>
      </c>
      <c r="K1244" s="33" t="s">
        <v>3973</v>
      </c>
      <c r="L1244" s="31" t="s">
        <v>252</v>
      </c>
      <c r="O1244" s="31" t="s">
        <v>205</v>
      </c>
      <c r="X1244" s="31" t="s">
        <v>253</v>
      </c>
    </row>
    <row r="1245">
      <c r="A1245" s="29">
        <v>45937.779525034726</v>
      </c>
      <c r="B1245" s="30">
        <v>45937.0</v>
      </c>
      <c r="C1245" s="31" t="s">
        <v>3974</v>
      </c>
      <c r="D1245" s="32" t="s">
        <v>3975</v>
      </c>
      <c r="E1245" s="31" t="s">
        <v>288</v>
      </c>
      <c r="F1245" s="31">
        <v>3200000.0</v>
      </c>
      <c r="G1245" s="31" t="s">
        <v>23</v>
      </c>
      <c r="I1245" s="31" t="s">
        <v>229</v>
      </c>
      <c r="J1245" s="31" t="s">
        <v>967</v>
      </c>
      <c r="K1245" s="33" t="s">
        <v>3976</v>
      </c>
      <c r="L1245" s="31" t="s">
        <v>202</v>
      </c>
      <c r="N1245" s="31" t="s">
        <v>204</v>
      </c>
      <c r="R1245" s="31" t="s">
        <v>90</v>
      </c>
    </row>
    <row r="1246">
      <c r="A1246" s="29">
        <v>45937.808297916665</v>
      </c>
      <c r="B1246" s="30">
        <v>45937.0</v>
      </c>
      <c r="C1246" s="31" t="s">
        <v>3977</v>
      </c>
      <c r="D1246" s="32" t="s">
        <v>3978</v>
      </c>
      <c r="E1246" s="31" t="s">
        <v>3979</v>
      </c>
      <c r="F1246" s="31">
        <v>6200000.0</v>
      </c>
      <c r="G1246" s="31" t="s">
        <v>23</v>
      </c>
      <c r="H1246" s="31">
        <v>3000000.0</v>
      </c>
      <c r="I1246" s="31" t="s">
        <v>200</v>
      </c>
      <c r="K1246" s="33" t="s">
        <v>3980</v>
      </c>
      <c r="L1246" s="31" t="s">
        <v>202</v>
      </c>
      <c r="M1246" s="31" t="s">
        <v>203</v>
      </c>
      <c r="N1246" s="31" t="s">
        <v>313</v>
      </c>
      <c r="T1246" s="31" t="s">
        <v>314</v>
      </c>
    </row>
    <row r="1247">
      <c r="A1247" s="29">
        <v>45937.82278283565</v>
      </c>
      <c r="B1247" s="30">
        <v>45937.0</v>
      </c>
      <c r="C1247" s="31" t="s">
        <v>3981</v>
      </c>
      <c r="D1247" s="32" t="s">
        <v>3982</v>
      </c>
      <c r="E1247" s="31" t="s">
        <v>43</v>
      </c>
      <c r="F1247" s="31">
        <v>9500000.0</v>
      </c>
      <c r="G1247" s="31" t="s">
        <v>23</v>
      </c>
      <c r="H1247" s="31">
        <v>3000000.0</v>
      </c>
      <c r="I1247" s="31" t="s">
        <v>200</v>
      </c>
      <c r="K1247" s="33" t="s">
        <v>3983</v>
      </c>
      <c r="L1247" s="31" t="s">
        <v>252</v>
      </c>
      <c r="M1247" s="31" t="s">
        <v>203</v>
      </c>
      <c r="O1247" s="31" t="s">
        <v>257</v>
      </c>
      <c r="P1247" s="31" t="s">
        <v>258</v>
      </c>
    </row>
    <row r="1248">
      <c r="A1248" s="29">
        <v>45937.85807480324</v>
      </c>
      <c r="B1248" s="30">
        <v>45937.0</v>
      </c>
      <c r="C1248" s="31" t="s">
        <v>3984</v>
      </c>
      <c r="D1248" s="32" t="s">
        <v>3985</v>
      </c>
      <c r="E1248" s="31" t="s">
        <v>43</v>
      </c>
      <c r="F1248" s="31">
        <v>2400000.0</v>
      </c>
      <c r="G1248" s="31" t="s">
        <v>23</v>
      </c>
      <c r="I1248" s="31" t="s">
        <v>229</v>
      </c>
      <c r="J1248" s="31" t="s">
        <v>967</v>
      </c>
      <c r="K1248" s="33" t="s">
        <v>3986</v>
      </c>
      <c r="L1248" s="31" t="s">
        <v>202</v>
      </c>
      <c r="N1248" s="31" t="s">
        <v>204</v>
      </c>
      <c r="R1248" s="31" t="s">
        <v>148</v>
      </c>
    </row>
    <row r="1249">
      <c r="A1249" s="29">
        <v>45937.91747151621</v>
      </c>
      <c r="B1249" s="30">
        <v>45937.0</v>
      </c>
      <c r="C1249" s="31" t="s">
        <v>3987</v>
      </c>
      <c r="D1249" s="32" t="s">
        <v>3988</v>
      </c>
      <c r="E1249" s="31" t="s">
        <v>2902</v>
      </c>
      <c r="F1249" s="31">
        <v>5000000.0</v>
      </c>
      <c r="G1249" s="31" t="s">
        <v>23</v>
      </c>
      <c r="I1249" s="31" t="s">
        <v>229</v>
      </c>
      <c r="J1249" s="31" t="s">
        <v>967</v>
      </c>
      <c r="K1249" s="33" t="s">
        <v>3989</v>
      </c>
      <c r="L1249" s="31" t="s">
        <v>202</v>
      </c>
      <c r="N1249" s="31" t="s">
        <v>220</v>
      </c>
      <c r="S1249" s="31" t="s">
        <v>36</v>
      </c>
    </row>
    <row r="1250">
      <c r="A1250" s="29">
        <v>45937.91979966435</v>
      </c>
      <c r="B1250" s="30">
        <v>45937.0</v>
      </c>
      <c r="C1250" s="31" t="s">
        <v>3990</v>
      </c>
      <c r="D1250" s="32" t="s">
        <v>3991</v>
      </c>
      <c r="E1250" s="31" t="s">
        <v>199</v>
      </c>
      <c r="F1250" s="31">
        <v>6000000.0</v>
      </c>
      <c r="G1250" s="31" t="s">
        <v>45</v>
      </c>
      <c r="H1250" s="31">
        <v>3000000.0</v>
      </c>
      <c r="I1250" s="31" t="s">
        <v>413</v>
      </c>
      <c r="K1250" s="33" t="s">
        <v>3992</v>
      </c>
      <c r="L1250" s="31" t="s">
        <v>202</v>
      </c>
      <c r="M1250" s="31" t="s">
        <v>203</v>
      </c>
      <c r="N1250" s="31" t="s">
        <v>220</v>
      </c>
      <c r="S1250" s="31" t="s">
        <v>36</v>
      </c>
    </row>
    <row r="1251">
      <c r="A1251" s="29">
        <v>45937.9272035301</v>
      </c>
      <c r="B1251" s="30">
        <v>45937.0</v>
      </c>
      <c r="C1251" s="31" t="s">
        <v>3993</v>
      </c>
      <c r="D1251" s="32" t="s">
        <v>3994</v>
      </c>
      <c r="E1251" s="31" t="s">
        <v>228</v>
      </c>
      <c r="F1251" s="31">
        <v>4000000.0</v>
      </c>
      <c r="G1251" s="31" t="s">
        <v>23</v>
      </c>
      <c r="I1251" s="31" t="s">
        <v>229</v>
      </c>
      <c r="J1251" s="31" t="s">
        <v>967</v>
      </c>
      <c r="K1251" s="33" t="s">
        <v>3995</v>
      </c>
      <c r="L1251" s="31" t="s">
        <v>202</v>
      </c>
      <c r="N1251" s="31" t="s">
        <v>220</v>
      </c>
      <c r="S1251" s="31" t="s">
        <v>59</v>
      </c>
    </row>
    <row r="1252">
      <c r="A1252" s="29">
        <v>45937.929563576385</v>
      </c>
      <c r="B1252" s="30">
        <v>45937.0</v>
      </c>
      <c r="C1252" s="31" t="s">
        <v>3996</v>
      </c>
      <c r="D1252" s="32" t="s">
        <v>3997</v>
      </c>
      <c r="E1252" s="31" t="s">
        <v>559</v>
      </c>
      <c r="F1252" s="31">
        <v>3500000.0</v>
      </c>
      <c r="G1252" s="31" t="s">
        <v>23</v>
      </c>
      <c r="I1252" s="31" t="s">
        <v>229</v>
      </c>
      <c r="J1252" s="31" t="s">
        <v>967</v>
      </c>
      <c r="K1252" s="33" t="s">
        <v>3998</v>
      </c>
      <c r="L1252" s="31" t="s">
        <v>202</v>
      </c>
      <c r="N1252" s="31" t="s">
        <v>220</v>
      </c>
      <c r="S1252" s="31" t="s">
        <v>59</v>
      </c>
    </row>
    <row r="1253">
      <c r="A1253" s="29">
        <v>45938.43625773148</v>
      </c>
      <c r="B1253" s="30">
        <v>45938.0</v>
      </c>
      <c r="C1253" s="31" t="s">
        <v>3999</v>
      </c>
      <c r="D1253" s="32" t="s">
        <v>4000</v>
      </c>
      <c r="E1253" s="31" t="s">
        <v>31</v>
      </c>
      <c r="F1253" s="31">
        <v>5999000.0</v>
      </c>
      <c r="G1253" s="31" t="s">
        <v>23</v>
      </c>
      <c r="I1253" s="31" t="s">
        <v>229</v>
      </c>
      <c r="J1253" s="31" t="s">
        <v>967</v>
      </c>
      <c r="K1253" s="33" t="s">
        <v>4001</v>
      </c>
      <c r="L1253" s="31" t="s">
        <v>202</v>
      </c>
      <c r="N1253" s="31" t="s">
        <v>204</v>
      </c>
      <c r="R1253" s="31" t="s">
        <v>207</v>
      </c>
    </row>
    <row r="1254">
      <c r="A1254" s="29">
        <v>45938.43888706018</v>
      </c>
      <c r="B1254" s="30">
        <v>45938.0</v>
      </c>
      <c r="C1254" s="31" t="s">
        <v>4002</v>
      </c>
      <c r="D1254" s="32" t="s">
        <v>4003</v>
      </c>
      <c r="E1254" s="31" t="s">
        <v>31</v>
      </c>
      <c r="F1254" s="31">
        <v>2500000.0</v>
      </c>
      <c r="G1254" s="31" t="s">
        <v>23</v>
      </c>
      <c r="I1254" s="31" t="s">
        <v>229</v>
      </c>
      <c r="J1254" s="31" t="s">
        <v>967</v>
      </c>
      <c r="K1254" s="33" t="s">
        <v>4004</v>
      </c>
      <c r="L1254" s="31" t="s">
        <v>202</v>
      </c>
      <c r="N1254" s="31" t="s">
        <v>215</v>
      </c>
      <c r="W1254" s="31" t="s">
        <v>216</v>
      </c>
    </row>
    <row r="1255">
      <c r="A1255" s="29">
        <v>45938.44363142361</v>
      </c>
      <c r="B1255" s="30">
        <v>45938.0</v>
      </c>
      <c r="C1255" s="31" t="s">
        <v>4005</v>
      </c>
      <c r="D1255" s="32" t="s">
        <v>4006</v>
      </c>
      <c r="E1255" s="31" t="s">
        <v>43</v>
      </c>
      <c r="F1255" s="31">
        <v>3300000.0</v>
      </c>
      <c r="G1255" s="31" t="s">
        <v>23</v>
      </c>
      <c r="H1255" s="31">
        <v>3000000.0</v>
      </c>
      <c r="I1255" s="31" t="s">
        <v>413</v>
      </c>
      <c r="K1255" s="33" t="s">
        <v>4007</v>
      </c>
      <c r="L1255" s="31" t="s">
        <v>252</v>
      </c>
      <c r="M1255" s="31" t="s">
        <v>203</v>
      </c>
      <c r="O1255" s="31" t="s">
        <v>257</v>
      </c>
      <c r="P1255" s="31" t="s">
        <v>2453</v>
      </c>
    </row>
    <row r="1256">
      <c r="A1256" s="29">
        <v>45938.44464939815</v>
      </c>
      <c r="B1256" s="30">
        <v>45938.0</v>
      </c>
      <c r="C1256" s="31" t="s">
        <v>4008</v>
      </c>
      <c r="D1256" s="32" t="s">
        <v>4009</v>
      </c>
      <c r="E1256" s="31" t="s">
        <v>43</v>
      </c>
      <c r="F1256" s="31">
        <v>2200000.0</v>
      </c>
      <c r="G1256" s="31" t="s">
        <v>45</v>
      </c>
      <c r="H1256" s="31">
        <v>1600000.0</v>
      </c>
      <c r="I1256" s="31" t="s">
        <v>413</v>
      </c>
      <c r="K1256" s="33" t="s">
        <v>4010</v>
      </c>
      <c r="L1256" s="31" t="s">
        <v>202</v>
      </c>
      <c r="M1256" s="31" t="s">
        <v>435</v>
      </c>
      <c r="N1256" s="31" t="s">
        <v>871</v>
      </c>
      <c r="Q1256" s="31" t="s">
        <v>1021</v>
      </c>
    </row>
    <row r="1257">
      <c r="A1257" s="29">
        <v>45938.44586912037</v>
      </c>
      <c r="B1257" s="30">
        <v>45938.0</v>
      </c>
      <c r="C1257" s="31" t="s">
        <v>4011</v>
      </c>
      <c r="D1257" s="32" t="s">
        <v>4012</v>
      </c>
      <c r="E1257" s="31" t="s">
        <v>283</v>
      </c>
      <c r="F1257" s="31">
        <v>3000000.0</v>
      </c>
      <c r="G1257" s="31" t="s">
        <v>23</v>
      </c>
      <c r="I1257" s="31" t="s">
        <v>229</v>
      </c>
      <c r="J1257" s="31" t="s">
        <v>229</v>
      </c>
      <c r="K1257" s="33" t="s">
        <v>4013</v>
      </c>
      <c r="L1257" s="31" t="s">
        <v>252</v>
      </c>
      <c r="O1257" s="31" t="s">
        <v>205</v>
      </c>
      <c r="X1257" s="31" t="s">
        <v>253</v>
      </c>
    </row>
    <row r="1258">
      <c r="A1258" s="29">
        <v>45938.44753194445</v>
      </c>
      <c r="B1258" s="30">
        <v>45938.0</v>
      </c>
      <c r="C1258" s="31" t="s">
        <v>4014</v>
      </c>
      <c r="D1258" s="31">
        <v>0.0</v>
      </c>
      <c r="E1258" s="31" t="s">
        <v>43</v>
      </c>
      <c r="F1258" s="32" t="s">
        <v>4015</v>
      </c>
      <c r="G1258" s="31" t="s">
        <v>23</v>
      </c>
      <c r="I1258" s="31" t="s">
        <v>229</v>
      </c>
      <c r="J1258" s="31" t="s">
        <v>967</v>
      </c>
      <c r="K1258" s="33" t="s">
        <v>4016</v>
      </c>
      <c r="L1258" s="31" t="s">
        <v>252</v>
      </c>
      <c r="O1258" s="31" t="s">
        <v>257</v>
      </c>
      <c r="P1258" s="31" t="s">
        <v>992</v>
      </c>
    </row>
    <row r="1259">
      <c r="A1259" s="29">
        <v>45938.45649798611</v>
      </c>
      <c r="B1259" s="30">
        <v>45938.0</v>
      </c>
      <c r="C1259" s="31" t="s">
        <v>4017</v>
      </c>
      <c r="D1259" s="32" t="s">
        <v>4018</v>
      </c>
      <c r="E1259" s="31" t="s">
        <v>31</v>
      </c>
      <c r="F1259" s="31">
        <v>1.2E7</v>
      </c>
      <c r="G1259" s="31" t="s">
        <v>23</v>
      </c>
      <c r="I1259" s="31" t="s">
        <v>229</v>
      </c>
      <c r="J1259" s="31" t="s">
        <v>967</v>
      </c>
      <c r="K1259" s="33" t="s">
        <v>4019</v>
      </c>
      <c r="L1259" s="31" t="s">
        <v>202</v>
      </c>
      <c r="N1259" s="31" t="s">
        <v>204</v>
      </c>
      <c r="R1259" s="31" t="s">
        <v>471</v>
      </c>
    </row>
    <row r="1260">
      <c r="A1260" s="29">
        <v>45938.50388604167</v>
      </c>
      <c r="B1260" s="30">
        <v>45938.0</v>
      </c>
      <c r="C1260" s="31" t="s">
        <v>4020</v>
      </c>
      <c r="D1260" s="32" t="s">
        <v>4021</v>
      </c>
      <c r="E1260" s="31" t="s">
        <v>43</v>
      </c>
      <c r="F1260" s="31">
        <v>3.7E7</v>
      </c>
      <c r="G1260" s="31" t="s">
        <v>23</v>
      </c>
      <c r="I1260" s="31" t="s">
        <v>229</v>
      </c>
      <c r="J1260" s="31" t="s">
        <v>967</v>
      </c>
      <c r="K1260" s="33" t="s">
        <v>4022</v>
      </c>
      <c r="L1260" s="31" t="s">
        <v>202</v>
      </c>
      <c r="N1260" s="31" t="s">
        <v>667</v>
      </c>
      <c r="U1260" s="31" t="s">
        <v>668</v>
      </c>
    </row>
    <row r="1261">
      <c r="A1261" s="29">
        <v>45938.516927916666</v>
      </c>
      <c r="B1261" s="30">
        <v>45938.0</v>
      </c>
      <c r="C1261" s="31" t="s">
        <v>4023</v>
      </c>
      <c r="D1261" s="32" t="s">
        <v>4024</v>
      </c>
      <c r="E1261" s="31" t="s">
        <v>239</v>
      </c>
      <c r="F1261" s="31">
        <v>1000000.0</v>
      </c>
      <c r="G1261" s="31" t="s">
        <v>23</v>
      </c>
      <c r="I1261" s="31" t="s">
        <v>229</v>
      </c>
      <c r="J1261" s="31" t="s">
        <v>270</v>
      </c>
      <c r="K1261" s="33" t="s">
        <v>4025</v>
      </c>
      <c r="L1261" s="31" t="s">
        <v>202</v>
      </c>
      <c r="N1261" s="31" t="s">
        <v>215</v>
      </c>
      <c r="W1261" s="31" t="s">
        <v>532</v>
      </c>
    </row>
    <row r="1262">
      <c r="A1262" s="29">
        <v>45938.517101481484</v>
      </c>
      <c r="B1262" s="30">
        <v>45938.0</v>
      </c>
      <c r="C1262" s="31" t="s">
        <v>4026</v>
      </c>
      <c r="D1262" s="32" t="s">
        <v>4027</v>
      </c>
      <c r="E1262" s="31" t="s">
        <v>199</v>
      </c>
      <c r="F1262" s="31">
        <v>3800000.0</v>
      </c>
      <c r="G1262" s="31" t="s">
        <v>23</v>
      </c>
      <c r="H1262" s="31">
        <v>5000000.0</v>
      </c>
      <c r="I1262" s="31" t="s">
        <v>413</v>
      </c>
      <c r="K1262" s="33" t="s">
        <v>4028</v>
      </c>
      <c r="L1262" s="31" t="s">
        <v>252</v>
      </c>
      <c r="M1262" s="31" t="s">
        <v>605</v>
      </c>
      <c r="O1262" s="31" t="s">
        <v>257</v>
      </c>
      <c r="P1262" s="31" t="s">
        <v>2453</v>
      </c>
    </row>
    <row r="1263">
      <c r="A1263" s="29">
        <v>45938.517466087964</v>
      </c>
      <c r="B1263" s="30">
        <v>45938.0</v>
      </c>
      <c r="C1263" s="31" t="s">
        <v>4029</v>
      </c>
      <c r="D1263" s="32" t="s">
        <v>4030</v>
      </c>
      <c r="E1263" s="31" t="s">
        <v>31</v>
      </c>
      <c r="F1263" s="31">
        <v>1500000.0</v>
      </c>
      <c r="G1263" s="31" t="s">
        <v>23</v>
      </c>
      <c r="I1263" s="31" t="s">
        <v>229</v>
      </c>
      <c r="J1263" s="31" t="s">
        <v>967</v>
      </c>
      <c r="K1263" s="33" t="s">
        <v>4031</v>
      </c>
      <c r="L1263" s="31" t="s">
        <v>202</v>
      </c>
      <c r="N1263" s="31" t="s">
        <v>215</v>
      </c>
      <c r="W1263" s="31" t="s">
        <v>216</v>
      </c>
    </row>
    <row r="1264">
      <c r="A1264" s="29">
        <v>45938.51777472222</v>
      </c>
      <c r="B1264" s="30">
        <v>45938.0</v>
      </c>
      <c r="C1264" s="31" t="s">
        <v>4032</v>
      </c>
      <c r="D1264" s="32" t="s">
        <v>4033</v>
      </c>
      <c r="E1264" s="31" t="s">
        <v>31</v>
      </c>
      <c r="F1264" s="31">
        <v>5999000.0</v>
      </c>
      <c r="G1264" s="31" t="s">
        <v>23</v>
      </c>
      <c r="I1264" s="31" t="s">
        <v>229</v>
      </c>
      <c r="J1264" s="31" t="s">
        <v>967</v>
      </c>
      <c r="K1264" s="33" t="s">
        <v>4034</v>
      </c>
      <c r="L1264" s="31" t="s">
        <v>202</v>
      </c>
      <c r="N1264" s="31" t="s">
        <v>204</v>
      </c>
      <c r="R1264" s="31" t="s">
        <v>207</v>
      </c>
    </row>
    <row r="1265">
      <c r="A1265" s="29">
        <v>45938.529511875</v>
      </c>
      <c r="B1265" s="30">
        <v>45938.0</v>
      </c>
      <c r="C1265" s="31" t="s">
        <v>4035</v>
      </c>
      <c r="D1265" s="32" t="s">
        <v>4036</v>
      </c>
      <c r="E1265" s="31" t="s">
        <v>43</v>
      </c>
      <c r="F1265" s="34">
        <v>4000.0</v>
      </c>
      <c r="G1265" s="31" t="s">
        <v>23</v>
      </c>
      <c r="I1265" s="31" t="s">
        <v>229</v>
      </c>
      <c r="J1265" s="31" t="s">
        <v>967</v>
      </c>
      <c r="K1265" s="33" t="s">
        <v>4037</v>
      </c>
      <c r="L1265" s="31" t="s">
        <v>202</v>
      </c>
      <c r="N1265" s="31" t="s">
        <v>871</v>
      </c>
      <c r="Q1265" s="31" t="s">
        <v>2403</v>
      </c>
    </row>
    <row r="1266">
      <c r="A1266" s="29">
        <v>45938.541302453705</v>
      </c>
      <c r="B1266" s="30">
        <v>45938.0</v>
      </c>
      <c r="C1266" s="31" t="s">
        <v>4038</v>
      </c>
      <c r="D1266" s="32" t="s">
        <v>4039</v>
      </c>
      <c r="E1266" s="31" t="s">
        <v>43</v>
      </c>
      <c r="F1266" s="31">
        <v>4000.0</v>
      </c>
      <c r="G1266" s="31" t="s">
        <v>23</v>
      </c>
      <c r="I1266" s="31" t="s">
        <v>229</v>
      </c>
      <c r="J1266" s="31" t="s">
        <v>967</v>
      </c>
      <c r="K1266" s="33" t="s">
        <v>4040</v>
      </c>
      <c r="L1266" s="31" t="s">
        <v>202</v>
      </c>
      <c r="N1266" s="31" t="s">
        <v>871</v>
      </c>
      <c r="Q1266" s="31" t="s">
        <v>2403</v>
      </c>
    </row>
    <row r="1267">
      <c r="A1267" s="29">
        <v>45938.55623289352</v>
      </c>
      <c r="B1267" s="30">
        <v>45938.0</v>
      </c>
      <c r="C1267" s="31" t="s">
        <v>4041</v>
      </c>
      <c r="D1267" s="32" t="s">
        <v>4042</v>
      </c>
      <c r="E1267" s="31" t="s">
        <v>4043</v>
      </c>
      <c r="F1267" s="31">
        <v>3100000.0</v>
      </c>
      <c r="G1267" s="31" t="s">
        <v>23</v>
      </c>
      <c r="I1267" s="31" t="s">
        <v>229</v>
      </c>
      <c r="J1267" s="31" t="s">
        <v>967</v>
      </c>
      <c r="K1267" s="33" t="s">
        <v>4044</v>
      </c>
      <c r="L1267" s="31" t="s">
        <v>202</v>
      </c>
      <c r="N1267" s="31" t="s">
        <v>313</v>
      </c>
      <c r="T1267" s="31" t="s">
        <v>384</v>
      </c>
    </row>
    <row r="1268">
      <c r="A1268" s="29">
        <v>45938.55769515046</v>
      </c>
      <c r="B1268" s="30">
        <v>45938.0</v>
      </c>
      <c r="C1268" s="31" t="s">
        <v>4045</v>
      </c>
      <c r="D1268" s="32" t="s">
        <v>4046</v>
      </c>
      <c r="E1268" s="31" t="s">
        <v>4047</v>
      </c>
      <c r="F1268" s="31">
        <v>3100000.0</v>
      </c>
      <c r="G1268" s="31" t="s">
        <v>23</v>
      </c>
      <c r="I1268" s="31" t="s">
        <v>229</v>
      </c>
      <c r="J1268" s="31" t="s">
        <v>967</v>
      </c>
      <c r="K1268" s="33" t="s">
        <v>4048</v>
      </c>
      <c r="L1268" s="31" t="s">
        <v>202</v>
      </c>
      <c r="N1268" s="31" t="s">
        <v>313</v>
      </c>
      <c r="T1268" s="31" t="s">
        <v>384</v>
      </c>
    </row>
    <row r="1269">
      <c r="A1269" s="29">
        <v>45938.581458217595</v>
      </c>
      <c r="B1269" s="30">
        <v>45938.0</v>
      </c>
      <c r="C1269" s="31" t="s">
        <v>4049</v>
      </c>
      <c r="D1269" s="32" t="s">
        <v>4050</v>
      </c>
      <c r="E1269" s="31" t="s">
        <v>4051</v>
      </c>
      <c r="F1269" s="31">
        <v>3100000.0</v>
      </c>
      <c r="G1269" s="31" t="s">
        <v>23</v>
      </c>
      <c r="I1269" s="31" t="s">
        <v>229</v>
      </c>
      <c r="J1269" s="31" t="s">
        <v>967</v>
      </c>
      <c r="K1269" s="33" t="s">
        <v>4052</v>
      </c>
      <c r="L1269" s="31" t="s">
        <v>202</v>
      </c>
      <c r="N1269" s="31" t="s">
        <v>313</v>
      </c>
      <c r="T1269" s="31" t="s">
        <v>384</v>
      </c>
    </row>
    <row r="1270">
      <c r="A1270" s="29">
        <v>45938.60156752315</v>
      </c>
      <c r="B1270" s="30">
        <v>45938.0</v>
      </c>
      <c r="C1270" s="31" t="s">
        <v>4053</v>
      </c>
      <c r="D1270" s="32" t="s">
        <v>2373</v>
      </c>
      <c r="E1270" s="31" t="s">
        <v>679</v>
      </c>
      <c r="F1270" s="31">
        <v>300000.0</v>
      </c>
      <c r="G1270" s="31" t="s">
        <v>23</v>
      </c>
      <c r="I1270" s="31" t="s">
        <v>229</v>
      </c>
      <c r="J1270" s="31" t="s">
        <v>967</v>
      </c>
      <c r="K1270" s="33" t="s">
        <v>4054</v>
      </c>
      <c r="L1270" s="31" t="s">
        <v>202</v>
      </c>
      <c r="N1270" s="31" t="s">
        <v>313</v>
      </c>
      <c r="T1270" s="31" t="s">
        <v>314</v>
      </c>
    </row>
    <row r="1271">
      <c r="A1271" s="29">
        <v>45938.61323243055</v>
      </c>
      <c r="B1271" s="30">
        <v>45938.0</v>
      </c>
      <c r="C1271" s="31" t="s">
        <v>4055</v>
      </c>
      <c r="D1271" s="32" t="s">
        <v>4056</v>
      </c>
      <c r="E1271" s="31" t="s">
        <v>239</v>
      </c>
      <c r="F1271" s="31">
        <v>3000000.0</v>
      </c>
      <c r="G1271" s="31" t="s">
        <v>23</v>
      </c>
      <c r="I1271" s="31" t="s">
        <v>229</v>
      </c>
      <c r="J1271" s="31" t="s">
        <v>967</v>
      </c>
      <c r="K1271" s="33" t="s">
        <v>4057</v>
      </c>
      <c r="L1271" s="31" t="s">
        <v>202</v>
      </c>
      <c r="N1271" s="31" t="s">
        <v>871</v>
      </c>
      <c r="Q1271" s="31" t="s">
        <v>872</v>
      </c>
    </row>
    <row r="1272">
      <c r="A1272" s="29">
        <v>45938.61478738426</v>
      </c>
      <c r="B1272" s="30">
        <v>45938.0</v>
      </c>
      <c r="C1272" s="31" t="s">
        <v>4058</v>
      </c>
      <c r="D1272" s="32" t="s">
        <v>4059</v>
      </c>
      <c r="E1272" s="31" t="s">
        <v>199</v>
      </c>
      <c r="F1272" s="31">
        <v>5000000.0</v>
      </c>
      <c r="G1272" s="31" t="s">
        <v>23</v>
      </c>
      <c r="H1272" s="31">
        <v>5000000.0</v>
      </c>
      <c r="I1272" s="31" t="s">
        <v>413</v>
      </c>
      <c r="K1272" s="33" t="s">
        <v>4060</v>
      </c>
      <c r="L1272" s="31" t="s">
        <v>202</v>
      </c>
      <c r="M1272" s="31" t="s">
        <v>203</v>
      </c>
      <c r="N1272" s="31" t="s">
        <v>871</v>
      </c>
      <c r="Q1272" s="31" t="s">
        <v>872</v>
      </c>
    </row>
    <row r="1273">
      <c r="A1273" s="29">
        <v>45938.62937008102</v>
      </c>
      <c r="B1273" s="30">
        <v>45938.0</v>
      </c>
      <c r="C1273" s="31" t="s">
        <v>4061</v>
      </c>
      <c r="D1273" s="32" t="s">
        <v>4062</v>
      </c>
      <c r="E1273" s="31" t="s">
        <v>31</v>
      </c>
      <c r="F1273" s="31">
        <v>7000000.0</v>
      </c>
      <c r="G1273" s="31" t="s">
        <v>23</v>
      </c>
      <c r="I1273" s="31" t="s">
        <v>229</v>
      </c>
      <c r="J1273" s="31" t="s">
        <v>967</v>
      </c>
      <c r="K1273" s="33" t="s">
        <v>4063</v>
      </c>
      <c r="L1273" s="31" t="s">
        <v>202</v>
      </c>
      <c r="N1273" s="31" t="s">
        <v>313</v>
      </c>
      <c r="T1273" s="31" t="s">
        <v>329</v>
      </c>
    </row>
    <row r="1274">
      <c r="A1274" s="29">
        <v>45938.6764578125</v>
      </c>
      <c r="B1274" s="30">
        <v>45938.0</v>
      </c>
      <c r="C1274" s="31" t="s">
        <v>4064</v>
      </c>
      <c r="D1274" s="32" t="s">
        <v>4065</v>
      </c>
      <c r="E1274" s="31" t="s">
        <v>43</v>
      </c>
      <c r="F1274" s="31">
        <v>5000000.0</v>
      </c>
      <c r="G1274" s="31" t="s">
        <v>23</v>
      </c>
      <c r="I1274" s="31" t="s">
        <v>229</v>
      </c>
      <c r="J1274" s="31" t="s">
        <v>967</v>
      </c>
      <c r="K1274" s="33" t="s">
        <v>4066</v>
      </c>
      <c r="L1274" s="31" t="s">
        <v>202</v>
      </c>
      <c r="N1274" s="31" t="s">
        <v>871</v>
      </c>
      <c r="Q1274" s="31" t="s">
        <v>872</v>
      </c>
    </row>
    <row r="1275">
      <c r="A1275" s="29">
        <v>45938.69747737268</v>
      </c>
      <c r="B1275" s="30">
        <v>45938.0</v>
      </c>
      <c r="C1275" s="31" t="s">
        <v>4067</v>
      </c>
      <c r="D1275" s="32" t="s">
        <v>4068</v>
      </c>
      <c r="E1275" s="31" t="s">
        <v>43</v>
      </c>
      <c r="F1275" s="31">
        <v>3000000.0</v>
      </c>
      <c r="G1275" s="31" t="s">
        <v>23</v>
      </c>
      <c r="H1275" s="31">
        <v>3000000.0</v>
      </c>
      <c r="I1275" s="31" t="s">
        <v>200</v>
      </c>
      <c r="K1275" s="33" t="s">
        <v>4069</v>
      </c>
      <c r="L1275" s="31" t="s">
        <v>252</v>
      </c>
      <c r="M1275" s="31" t="s">
        <v>203</v>
      </c>
      <c r="O1275" s="31" t="s">
        <v>205</v>
      </c>
      <c r="X1275" s="31" t="s">
        <v>549</v>
      </c>
    </row>
    <row r="1276">
      <c r="A1276" s="29">
        <v>45938.723351203706</v>
      </c>
      <c r="B1276" s="30">
        <v>45938.0</v>
      </c>
      <c r="C1276" s="31" t="s">
        <v>4070</v>
      </c>
      <c r="D1276" s="32" t="s">
        <v>907</v>
      </c>
      <c r="E1276" s="31" t="s">
        <v>4071</v>
      </c>
      <c r="F1276" s="31">
        <v>5000000.0</v>
      </c>
      <c r="G1276" s="31" t="s">
        <v>45</v>
      </c>
      <c r="I1276" s="31" t="s">
        <v>229</v>
      </c>
      <c r="J1276" s="31" t="s">
        <v>270</v>
      </c>
      <c r="K1276" s="33" t="s">
        <v>4072</v>
      </c>
      <c r="L1276" s="31" t="s">
        <v>202</v>
      </c>
      <c r="N1276" s="31" t="s">
        <v>215</v>
      </c>
      <c r="W1276" s="31" t="s">
        <v>532</v>
      </c>
    </row>
    <row r="1277">
      <c r="A1277" s="29">
        <v>45938.72999846065</v>
      </c>
      <c r="B1277" s="30">
        <v>45938.0</v>
      </c>
      <c r="C1277" s="31" t="s">
        <v>4073</v>
      </c>
      <c r="D1277" s="32" t="s">
        <v>4074</v>
      </c>
      <c r="E1277" s="31" t="s">
        <v>261</v>
      </c>
      <c r="F1277" s="31">
        <v>50.0</v>
      </c>
      <c r="G1277" s="31" t="s">
        <v>23</v>
      </c>
      <c r="I1277" s="31" t="s">
        <v>229</v>
      </c>
      <c r="J1277" s="31" t="s">
        <v>967</v>
      </c>
      <c r="K1277" s="33" t="s">
        <v>4075</v>
      </c>
      <c r="L1277" s="31" t="s">
        <v>202</v>
      </c>
      <c r="N1277" s="31" t="s">
        <v>313</v>
      </c>
      <c r="T1277" s="31" t="s">
        <v>3924</v>
      </c>
    </row>
    <row r="1278">
      <c r="A1278" s="29">
        <v>45938.7389769213</v>
      </c>
      <c r="B1278" s="30">
        <v>45938.0</v>
      </c>
      <c r="C1278" s="31" t="s">
        <v>4076</v>
      </c>
      <c r="D1278" s="32" t="s">
        <v>4077</v>
      </c>
      <c r="E1278" s="31" t="s">
        <v>43</v>
      </c>
      <c r="F1278" s="31">
        <v>2.8E7</v>
      </c>
      <c r="G1278" s="31" t="s">
        <v>23</v>
      </c>
      <c r="H1278" s="31">
        <v>1600000.0</v>
      </c>
      <c r="I1278" s="31" t="s">
        <v>413</v>
      </c>
      <c r="K1278" s="33" t="s">
        <v>4078</v>
      </c>
      <c r="L1278" s="31" t="s">
        <v>252</v>
      </c>
      <c r="M1278" s="31" t="s">
        <v>203</v>
      </c>
      <c r="O1278" s="31" t="s">
        <v>257</v>
      </c>
      <c r="P1278" s="31" t="s">
        <v>2453</v>
      </c>
    </row>
    <row r="1279">
      <c r="A1279" s="29">
        <v>45938.761136562505</v>
      </c>
      <c r="B1279" s="30">
        <v>45938.0</v>
      </c>
      <c r="C1279" s="31" t="s">
        <v>4079</v>
      </c>
      <c r="D1279" s="32" t="s">
        <v>4080</v>
      </c>
      <c r="E1279" s="31" t="s">
        <v>43</v>
      </c>
      <c r="F1279" s="31">
        <v>2200000.0</v>
      </c>
      <c r="G1279" s="31" t="s">
        <v>23</v>
      </c>
      <c r="H1279" s="31">
        <v>5000000.0</v>
      </c>
      <c r="I1279" s="31" t="s">
        <v>200</v>
      </c>
      <c r="K1279" s="33" t="s">
        <v>4081</v>
      </c>
      <c r="L1279" s="31" t="s">
        <v>202</v>
      </c>
      <c r="M1279" s="31" t="s">
        <v>605</v>
      </c>
      <c r="N1279" s="31" t="s">
        <v>667</v>
      </c>
      <c r="U1279" s="31" t="s">
        <v>3950</v>
      </c>
    </row>
    <row r="1280">
      <c r="A1280" s="29">
        <v>45938.765276446764</v>
      </c>
      <c r="B1280" s="30">
        <v>45938.0</v>
      </c>
      <c r="C1280" s="31" t="s">
        <v>4082</v>
      </c>
      <c r="D1280" s="32" t="s">
        <v>4083</v>
      </c>
      <c r="E1280" s="31" t="s">
        <v>199</v>
      </c>
      <c r="F1280" s="31">
        <v>6800000.0</v>
      </c>
      <c r="G1280" s="31" t="s">
        <v>45</v>
      </c>
      <c r="H1280" s="31">
        <v>7000000.0</v>
      </c>
      <c r="I1280" s="31" t="s">
        <v>200</v>
      </c>
      <c r="K1280" s="33" t="s">
        <v>4084</v>
      </c>
      <c r="L1280" s="31" t="s">
        <v>252</v>
      </c>
      <c r="M1280" s="31" t="s">
        <v>203</v>
      </c>
      <c r="O1280" s="31" t="s">
        <v>205</v>
      </c>
      <c r="X1280" s="31" t="s">
        <v>2335</v>
      </c>
    </row>
    <row r="1281">
      <c r="A1281" s="29">
        <v>45938.767794432875</v>
      </c>
      <c r="B1281" s="30">
        <v>45938.0</v>
      </c>
      <c r="C1281" s="31" t="s">
        <v>4085</v>
      </c>
      <c r="D1281" s="32" t="s">
        <v>4086</v>
      </c>
      <c r="E1281" s="31" t="s">
        <v>43</v>
      </c>
      <c r="F1281" s="31">
        <v>3400000.0</v>
      </c>
      <c r="G1281" s="31" t="s">
        <v>23</v>
      </c>
      <c r="I1281" s="31" t="s">
        <v>229</v>
      </c>
      <c r="J1281" s="31" t="s">
        <v>967</v>
      </c>
      <c r="K1281" s="33" t="s">
        <v>4087</v>
      </c>
      <c r="L1281" s="31" t="s">
        <v>252</v>
      </c>
      <c r="O1281" s="31" t="s">
        <v>257</v>
      </c>
      <c r="P1281" s="31" t="s">
        <v>2453</v>
      </c>
    </row>
    <row r="1282">
      <c r="A1282" s="29">
        <v>45938.768279525466</v>
      </c>
      <c r="B1282" s="30">
        <v>45938.0</v>
      </c>
      <c r="C1282" s="31" t="s">
        <v>4088</v>
      </c>
      <c r="D1282" s="32" t="s">
        <v>4089</v>
      </c>
      <c r="E1282" s="31" t="s">
        <v>43</v>
      </c>
      <c r="F1282" s="31">
        <v>4000000.0</v>
      </c>
      <c r="G1282" s="31" t="s">
        <v>23</v>
      </c>
      <c r="I1282" s="31" t="s">
        <v>229</v>
      </c>
      <c r="J1282" s="31" t="s">
        <v>387</v>
      </c>
      <c r="K1282" s="33" t="s">
        <v>4090</v>
      </c>
      <c r="L1282" s="31" t="s">
        <v>202</v>
      </c>
      <c r="N1282" s="31" t="s">
        <v>215</v>
      </c>
      <c r="W1282" s="31" t="s">
        <v>389</v>
      </c>
    </row>
    <row r="1283">
      <c r="A1283" s="29">
        <v>45938.82757222222</v>
      </c>
      <c r="B1283" s="30">
        <v>45938.0</v>
      </c>
      <c r="C1283" s="31" t="s">
        <v>4091</v>
      </c>
      <c r="D1283" s="32" t="s">
        <v>4092</v>
      </c>
      <c r="E1283" s="31" t="s">
        <v>43</v>
      </c>
      <c r="F1283" s="31">
        <v>2800000.0</v>
      </c>
      <c r="G1283" s="31" t="s">
        <v>23</v>
      </c>
      <c r="H1283" s="31">
        <v>3000000.0</v>
      </c>
      <c r="I1283" s="31" t="s">
        <v>200</v>
      </c>
      <c r="K1283" s="33" t="s">
        <v>4093</v>
      </c>
      <c r="L1283" s="31" t="s">
        <v>252</v>
      </c>
      <c r="M1283" s="31" t="s">
        <v>203</v>
      </c>
      <c r="O1283" s="31" t="s">
        <v>257</v>
      </c>
      <c r="P1283" s="31" t="s">
        <v>2453</v>
      </c>
    </row>
    <row r="1284">
      <c r="A1284" s="29">
        <v>45939.40748162037</v>
      </c>
      <c r="B1284" s="30">
        <v>45939.0</v>
      </c>
      <c r="C1284" s="31" t="s">
        <v>4094</v>
      </c>
      <c r="D1284" s="32" t="s">
        <v>3494</v>
      </c>
      <c r="E1284" s="31" t="s">
        <v>3495</v>
      </c>
      <c r="F1284" s="31">
        <v>2700000.0</v>
      </c>
      <c r="G1284" s="31" t="s">
        <v>23</v>
      </c>
      <c r="I1284" s="31" t="s">
        <v>229</v>
      </c>
      <c r="J1284" s="31" t="s">
        <v>967</v>
      </c>
      <c r="K1284" s="33" t="s">
        <v>4095</v>
      </c>
      <c r="L1284" s="31" t="s">
        <v>252</v>
      </c>
      <c r="O1284" s="31" t="s">
        <v>257</v>
      </c>
      <c r="P1284" s="31" t="s">
        <v>206</v>
      </c>
    </row>
    <row r="1285">
      <c r="A1285" s="29">
        <v>45939.409839155094</v>
      </c>
      <c r="B1285" s="30">
        <v>45939.0</v>
      </c>
      <c r="C1285" s="31" t="s">
        <v>4096</v>
      </c>
      <c r="D1285" s="32" t="s">
        <v>4097</v>
      </c>
      <c r="E1285" s="31" t="s">
        <v>43</v>
      </c>
      <c r="F1285" s="31">
        <v>2500000.0</v>
      </c>
      <c r="G1285" s="31" t="s">
        <v>23</v>
      </c>
      <c r="H1285" s="31">
        <v>3000000.0</v>
      </c>
      <c r="I1285" s="31" t="s">
        <v>413</v>
      </c>
      <c r="K1285" s="33" t="s">
        <v>4098</v>
      </c>
      <c r="L1285" s="31" t="s">
        <v>252</v>
      </c>
      <c r="M1285" s="31" t="s">
        <v>203</v>
      </c>
      <c r="O1285" s="31" t="s">
        <v>257</v>
      </c>
      <c r="P1285" s="31" t="s">
        <v>206</v>
      </c>
    </row>
    <row r="1286">
      <c r="A1286" s="29">
        <v>45939.46040170139</v>
      </c>
      <c r="B1286" s="30">
        <v>45939.0</v>
      </c>
      <c r="C1286" s="31" t="s">
        <v>4099</v>
      </c>
      <c r="D1286" s="32" t="s">
        <v>4100</v>
      </c>
      <c r="E1286" s="31" t="s">
        <v>261</v>
      </c>
      <c r="F1286" s="31">
        <v>7000000.0</v>
      </c>
      <c r="G1286" s="31" t="s">
        <v>45</v>
      </c>
      <c r="I1286" s="31" t="s">
        <v>229</v>
      </c>
      <c r="J1286" s="31" t="s">
        <v>967</v>
      </c>
      <c r="K1286" s="33" t="s">
        <v>4101</v>
      </c>
      <c r="L1286" s="31" t="s">
        <v>252</v>
      </c>
      <c r="O1286" s="31" t="s">
        <v>257</v>
      </c>
      <c r="P1286" s="31" t="s">
        <v>285</v>
      </c>
    </row>
    <row r="1287">
      <c r="A1287" s="29">
        <v>45939.4787015162</v>
      </c>
      <c r="B1287" s="30">
        <v>45939.0</v>
      </c>
      <c r="C1287" s="31" t="s">
        <v>4102</v>
      </c>
      <c r="D1287" s="31">
        <v>0.0</v>
      </c>
      <c r="E1287" s="31" t="s">
        <v>31</v>
      </c>
      <c r="F1287" s="32" t="s">
        <v>4103</v>
      </c>
      <c r="G1287" s="31" t="s">
        <v>23</v>
      </c>
      <c r="H1287" s="31">
        <v>3000000.0</v>
      </c>
      <c r="I1287" s="31" t="s">
        <v>413</v>
      </c>
      <c r="K1287" s="33" t="s">
        <v>4104</v>
      </c>
      <c r="L1287" s="31" t="s">
        <v>252</v>
      </c>
      <c r="M1287" s="31" t="s">
        <v>203</v>
      </c>
      <c r="O1287" s="31" t="s">
        <v>257</v>
      </c>
      <c r="P1287" s="31" t="s">
        <v>992</v>
      </c>
    </row>
    <row r="1288">
      <c r="A1288" s="29">
        <v>45939.4815928125</v>
      </c>
      <c r="B1288" s="30">
        <v>45939.0</v>
      </c>
      <c r="C1288" s="31" t="s">
        <v>4105</v>
      </c>
      <c r="D1288" s="32" t="s">
        <v>4106</v>
      </c>
      <c r="E1288" s="31" t="s">
        <v>121</v>
      </c>
      <c r="F1288" s="31">
        <v>2000000.0</v>
      </c>
      <c r="G1288" s="31" t="s">
        <v>23</v>
      </c>
      <c r="I1288" s="31" t="s">
        <v>229</v>
      </c>
      <c r="J1288" s="31" t="s">
        <v>967</v>
      </c>
      <c r="K1288" s="33" t="s">
        <v>4107</v>
      </c>
      <c r="L1288" s="31" t="s">
        <v>252</v>
      </c>
      <c r="O1288" s="31" t="s">
        <v>205</v>
      </c>
      <c r="X1288" s="31" t="s">
        <v>549</v>
      </c>
    </row>
    <row r="1289">
      <c r="A1289" s="29">
        <v>45939.48560806713</v>
      </c>
      <c r="B1289" s="30">
        <v>45939.0</v>
      </c>
      <c r="C1289" s="31" t="s">
        <v>4105</v>
      </c>
      <c r="D1289" s="32" t="s">
        <v>4106</v>
      </c>
      <c r="E1289" s="31" t="s">
        <v>121</v>
      </c>
      <c r="F1289" s="31">
        <v>2000000.0</v>
      </c>
      <c r="G1289" s="31" t="s">
        <v>23</v>
      </c>
      <c r="I1289" s="31" t="s">
        <v>229</v>
      </c>
      <c r="J1289" s="31" t="s">
        <v>967</v>
      </c>
      <c r="K1289" s="33" t="s">
        <v>4108</v>
      </c>
      <c r="L1289" s="31" t="s">
        <v>252</v>
      </c>
      <c r="O1289" s="31" t="s">
        <v>205</v>
      </c>
      <c r="X1289" s="31" t="s">
        <v>549</v>
      </c>
    </row>
    <row r="1290">
      <c r="A1290" s="29">
        <v>45939.48689421296</v>
      </c>
      <c r="B1290" s="30">
        <v>45939.0</v>
      </c>
      <c r="C1290" s="31" t="s">
        <v>4109</v>
      </c>
      <c r="D1290" s="32" t="s">
        <v>4110</v>
      </c>
      <c r="E1290" s="31" t="s">
        <v>43</v>
      </c>
      <c r="F1290" s="31">
        <v>9000000.0</v>
      </c>
      <c r="G1290" s="31" t="s">
        <v>23</v>
      </c>
      <c r="H1290" s="31">
        <v>3000000.0</v>
      </c>
      <c r="I1290" s="31" t="s">
        <v>200</v>
      </c>
      <c r="K1290" s="33" t="s">
        <v>4111</v>
      </c>
      <c r="L1290" s="31" t="s">
        <v>202</v>
      </c>
      <c r="M1290" s="31" t="s">
        <v>203</v>
      </c>
      <c r="N1290" s="31" t="s">
        <v>204</v>
      </c>
      <c r="R1290" s="31" t="s">
        <v>471</v>
      </c>
    </row>
    <row r="1291">
      <c r="A1291" s="29">
        <v>45939.55906859954</v>
      </c>
      <c r="B1291" s="30">
        <v>45939.0</v>
      </c>
      <c r="C1291" s="31" t="s">
        <v>4112</v>
      </c>
      <c r="D1291" s="32" t="s">
        <v>4113</v>
      </c>
      <c r="E1291" s="31" t="s">
        <v>43</v>
      </c>
      <c r="F1291" s="31">
        <v>30000.0</v>
      </c>
      <c r="G1291" s="31" t="s">
        <v>23</v>
      </c>
      <c r="H1291" s="31">
        <v>3000000.0</v>
      </c>
      <c r="I1291" s="31" t="s">
        <v>200</v>
      </c>
      <c r="K1291" s="33" t="s">
        <v>4114</v>
      </c>
      <c r="L1291" s="31" t="s">
        <v>202</v>
      </c>
      <c r="M1291" s="31" t="s">
        <v>203</v>
      </c>
      <c r="N1291" s="31" t="s">
        <v>313</v>
      </c>
      <c r="T1291" s="31" t="s">
        <v>3924</v>
      </c>
    </row>
    <row r="1292">
      <c r="A1292" s="29">
        <v>45939.567471111106</v>
      </c>
      <c r="B1292" s="30">
        <v>45939.0</v>
      </c>
      <c r="C1292" s="31" t="s">
        <v>4115</v>
      </c>
      <c r="D1292" s="32" t="s">
        <v>2373</v>
      </c>
      <c r="E1292" s="31" t="s">
        <v>679</v>
      </c>
      <c r="F1292" s="31">
        <v>500000.0</v>
      </c>
      <c r="G1292" s="31" t="s">
        <v>23</v>
      </c>
      <c r="I1292" s="31" t="s">
        <v>229</v>
      </c>
      <c r="J1292" s="31" t="s">
        <v>967</v>
      </c>
      <c r="K1292" s="33" t="s">
        <v>4116</v>
      </c>
      <c r="L1292" s="31" t="s">
        <v>202</v>
      </c>
      <c r="N1292" s="31" t="s">
        <v>313</v>
      </c>
      <c r="T1292" s="31" t="s">
        <v>314</v>
      </c>
    </row>
    <row r="1293">
      <c r="A1293" s="29">
        <v>45939.57662305556</v>
      </c>
      <c r="B1293" s="30">
        <v>45939.0</v>
      </c>
      <c r="C1293" s="31" t="s">
        <v>4117</v>
      </c>
      <c r="D1293" s="32" t="s">
        <v>4118</v>
      </c>
      <c r="E1293" s="31" t="s">
        <v>239</v>
      </c>
      <c r="F1293" s="31">
        <v>3000000.0</v>
      </c>
      <c r="G1293" s="31" t="s">
        <v>23</v>
      </c>
      <c r="H1293" s="31">
        <v>3000000.0</v>
      </c>
      <c r="I1293" s="31" t="s">
        <v>413</v>
      </c>
      <c r="K1293" s="33" t="s">
        <v>4119</v>
      </c>
      <c r="L1293" s="31" t="s">
        <v>202</v>
      </c>
      <c r="M1293" s="31" t="s">
        <v>203</v>
      </c>
      <c r="N1293" s="31" t="s">
        <v>871</v>
      </c>
      <c r="Q1293" s="31" t="s">
        <v>872</v>
      </c>
    </row>
    <row r="1294">
      <c r="A1294" s="29">
        <v>45939.636289270835</v>
      </c>
      <c r="B1294" s="30">
        <v>45939.0</v>
      </c>
      <c r="C1294" s="31" t="s">
        <v>4120</v>
      </c>
      <c r="D1294" s="32" t="s">
        <v>4121</v>
      </c>
      <c r="E1294" s="31" t="s">
        <v>31</v>
      </c>
      <c r="F1294" s="31">
        <v>7100000.0</v>
      </c>
      <c r="G1294" s="31" t="s">
        <v>23</v>
      </c>
      <c r="I1294" s="31" t="s">
        <v>229</v>
      </c>
      <c r="J1294" s="31" t="s">
        <v>967</v>
      </c>
      <c r="K1294" s="33" t="s">
        <v>4122</v>
      </c>
      <c r="L1294" s="31" t="s">
        <v>202</v>
      </c>
      <c r="N1294" s="31" t="s">
        <v>313</v>
      </c>
      <c r="T1294" s="31" t="s">
        <v>329</v>
      </c>
    </row>
    <row r="1295">
      <c r="A1295" s="29">
        <v>45939.66581423611</v>
      </c>
      <c r="B1295" s="30">
        <v>45939.0</v>
      </c>
      <c r="C1295" s="31" t="s">
        <v>4123</v>
      </c>
      <c r="D1295" s="32" t="s">
        <v>4124</v>
      </c>
      <c r="E1295" s="31" t="s">
        <v>43</v>
      </c>
      <c r="F1295" s="31">
        <v>3000000.0</v>
      </c>
      <c r="G1295" s="31" t="s">
        <v>23</v>
      </c>
      <c r="I1295" s="31" t="s">
        <v>229</v>
      </c>
      <c r="J1295" s="31" t="s">
        <v>967</v>
      </c>
      <c r="K1295" s="33" t="s">
        <v>4125</v>
      </c>
      <c r="L1295" s="31" t="s">
        <v>202</v>
      </c>
      <c r="N1295" s="31" t="s">
        <v>871</v>
      </c>
      <c r="Q1295" s="31" t="s">
        <v>872</v>
      </c>
    </row>
    <row r="1296">
      <c r="A1296" s="29">
        <v>45939.68577671296</v>
      </c>
      <c r="B1296" s="30">
        <v>45939.0</v>
      </c>
      <c r="C1296" s="31" t="s">
        <v>4126</v>
      </c>
      <c r="D1296" s="32" t="s">
        <v>4127</v>
      </c>
      <c r="E1296" s="31" t="s">
        <v>43</v>
      </c>
      <c r="F1296" s="31">
        <v>4200000.0</v>
      </c>
      <c r="G1296" s="31" t="s">
        <v>23</v>
      </c>
      <c r="I1296" s="31" t="s">
        <v>229</v>
      </c>
      <c r="J1296" s="31" t="s">
        <v>967</v>
      </c>
      <c r="K1296" s="33" t="s">
        <v>4128</v>
      </c>
      <c r="L1296" s="31" t="s">
        <v>252</v>
      </c>
      <c r="O1296" s="31" t="s">
        <v>205</v>
      </c>
      <c r="X1296" s="31" t="s">
        <v>569</v>
      </c>
    </row>
    <row r="1297">
      <c r="A1297" s="29">
        <v>45939.71204770834</v>
      </c>
      <c r="B1297" s="30">
        <v>45939.0</v>
      </c>
      <c r="C1297" s="31" t="s">
        <v>4129</v>
      </c>
      <c r="D1297" s="32" t="s">
        <v>4130</v>
      </c>
      <c r="E1297" s="31" t="s">
        <v>239</v>
      </c>
      <c r="F1297" s="31">
        <v>3000000.0</v>
      </c>
      <c r="G1297" s="31" t="s">
        <v>23</v>
      </c>
      <c r="I1297" s="31" t="s">
        <v>229</v>
      </c>
      <c r="J1297" s="31" t="s">
        <v>967</v>
      </c>
      <c r="K1297" s="33" t="s">
        <v>4131</v>
      </c>
      <c r="L1297" s="31" t="s">
        <v>202</v>
      </c>
      <c r="N1297" s="31" t="s">
        <v>871</v>
      </c>
      <c r="Q1297" s="31" t="s">
        <v>872</v>
      </c>
    </row>
    <row r="1298">
      <c r="A1298" s="29">
        <v>45939.73526592593</v>
      </c>
      <c r="B1298" s="30">
        <v>45939.0</v>
      </c>
      <c r="C1298" s="31" t="s">
        <v>4132</v>
      </c>
      <c r="D1298" s="32" t="s">
        <v>4133</v>
      </c>
      <c r="E1298" s="31" t="s">
        <v>31</v>
      </c>
      <c r="F1298" s="34">
        <v>5999000.0</v>
      </c>
      <c r="G1298" s="31" t="s">
        <v>23</v>
      </c>
      <c r="H1298" s="31">
        <v>3000000.0</v>
      </c>
      <c r="I1298" s="31" t="s">
        <v>413</v>
      </c>
      <c r="K1298" s="33" t="s">
        <v>4134</v>
      </c>
      <c r="L1298" s="31" t="s">
        <v>202</v>
      </c>
      <c r="M1298" s="31" t="s">
        <v>203</v>
      </c>
      <c r="N1298" s="31" t="s">
        <v>204</v>
      </c>
      <c r="R1298" s="31" t="s">
        <v>207</v>
      </c>
    </row>
    <row r="1299">
      <c r="A1299" s="29">
        <v>45939.769096504635</v>
      </c>
      <c r="B1299" s="30">
        <v>45939.0</v>
      </c>
      <c r="C1299" s="31" t="s">
        <v>4135</v>
      </c>
      <c r="D1299" s="31">
        <v>3000000.0</v>
      </c>
      <c r="E1299" s="31" t="s">
        <v>43</v>
      </c>
      <c r="F1299" s="31">
        <v>3000000.0</v>
      </c>
      <c r="G1299" s="31" t="s">
        <v>23</v>
      </c>
      <c r="H1299" s="31">
        <v>3000000.0</v>
      </c>
      <c r="I1299" s="31" t="s">
        <v>200</v>
      </c>
      <c r="K1299" s="33" t="s">
        <v>4136</v>
      </c>
      <c r="L1299" s="31" t="s">
        <v>252</v>
      </c>
      <c r="M1299" s="31" t="s">
        <v>203</v>
      </c>
      <c r="O1299" s="31" t="s">
        <v>205</v>
      </c>
      <c r="X1299" s="31" t="s">
        <v>549</v>
      </c>
    </row>
    <row r="1300">
      <c r="A1300" s="29">
        <v>45939.78786895833</v>
      </c>
      <c r="B1300" s="30">
        <v>45939.0</v>
      </c>
      <c r="C1300" s="31" t="s">
        <v>4137</v>
      </c>
      <c r="D1300" s="32" t="s">
        <v>3199</v>
      </c>
      <c r="E1300" s="31" t="s">
        <v>121</v>
      </c>
      <c r="F1300" s="31">
        <v>5000000.0</v>
      </c>
      <c r="G1300" s="31" t="s">
        <v>23</v>
      </c>
      <c r="H1300" s="31">
        <v>5000000.0</v>
      </c>
      <c r="I1300" s="31" t="s">
        <v>200</v>
      </c>
      <c r="K1300" s="33" t="s">
        <v>4138</v>
      </c>
      <c r="L1300" s="31" t="s">
        <v>252</v>
      </c>
      <c r="M1300" s="31" t="s">
        <v>926</v>
      </c>
      <c r="O1300" s="31" t="s">
        <v>257</v>
      </c>
      <c r="P1300" s="31" t="s">
        <v>272</v>
      </c>
    </row>
    <row r="1301">
      <c r="A1301" s="29">
        <v>45939.80282967593</v>
      </c>
      <c r="B1301" s="30">
        <v>45939.0</v>
      </c>
      <c r="C1301" s="31" t="s">
        <v>4139</v>
      </c>
      <c r="D1301" s="32" t="s">
        <v>4140</v>
      </c>
      <c r="E1301" s="31" t="s">
        <v>288</v>
      </c>
      <c r="F1301" s="31">
        <v>3000000.0</v>
      </c>
      <c r="G1301" s="31" t="s">
        <v>23</v>
      </c>
      <c r="H1301" s="31">
        <v>3000000.0</v>
      </c>
      <c r="I1301" s="31" t="s">
        <v>413</v>
      </c>
      <c r="K1301" s="33" t="s">
        <v>4141</v>
      </c>
      <c r="L1301" s="31" t="s">
        <v>252</v>
      </c>
      <c r="M1301" s="31" t="s">
        <v>605</v>
      </c>
      <c r="O1301" s="31" t="s">
        <v>257</v>
      </c>
      <c r="P1301" s="31" t="s">
        <v>1555</v>
      </c>
    </row>
    <row r="1302">
      <c r="A1302" s="29">
        <v>45939.85120284722</v>
      </c>
      <c r="B1302" s="30">
        <v>45939.0</v>
      </c>
      <c r="C1302" s="31" t="s">
        <v>4142</v>
      </c>
      <c r="D1302" s="32" t="s">
        <v>4143</v>
      </c>
      <c r="E1302" s="31" t="s">
        <v>43</v>
      </c>
      <c r="F1302" s="31">
        <v>2400000.0</v>
      </c>
      <c r="G1302" s="31" t="s">
        <v>23</v>
      </c>
      <c r="H1302" s="31">
        <v>1600000.0</v>
      </c>
      <c r="I1302" s="31" t="s">
        <v>413</v>
      </c>
      <c r="K1302" s="33" t="s">
        <v>4144</v>
      </c>
      <c r="L1302" s="31" t="s">
        <v>252</v>
      </c>
      <c r="M1302" s="31" t="s">
        <v>203</v>
      </c>
      <c r="O1302" s="31" t="s">
        <v>205</v>
      </c>
      <c r="X1302" s="31" t="s">
        <v>716</v>
      </c>
    </row>
    <row r="1303">
      <c r="A1303" s="29">
        <v>45939.943064004634</v>
      </c>
      <c r="B1303" s="30">
        <v>45939.0</v>
      </c>
      <c r="C1303" s="31" t="s">
        <v>4145</v>
      </c>
      <c r="D1303" s="32" t="s">
        <v>4146</v>
      </c>
      <c r="E1303" s="31" t="s">
        <v>31</v>
      </c>
      <c r="F1303" s="31">
        <v>2300000.0</v>
      </c>
      <c r="G1303" s="31" t="s">
        <v>23</v>
      </c>
      <c r="I1303" s="31" t="s">
        <v>229</v>
      </c>
      <c r="J1303" s="31" t="s">
        <v>967</v>
      </c>
      <c r="K1303" s="33" t="s">
        <v>4147</v>
      </c>
      <c r="L1303" s="31" t="s">
        <v>202</v>
      </c>
      <c r="N1303" s="31" t="s">
        <v>204</v>
      </c>
      <c r="R1303" s="31" t="s">
        <v>148</v>
      </c>
    </row>
    <row r="1304">
      <c r="A1304" s="29">
        <v>45940.42941819444</v>
      </c>
      <c r="B1304" s="30">
        <v>45940.0</v>
      </c>
      <c r="C1304" s="31" t="s">
        <v>4148</v>
      </c>
      <c r="D1304" s="32" t="s">
        <v>4149</v>
      </c>
      <c r="E1304" s="31" t="s">
        <v>199</v>
      </c>
      <c r="F1304" s="34">
        <v>6600.0</v>
      </c>
      <c r="G1304" s="31" t="s">
        <v>45</v>
      </c>
      <c r="I1304" s="31" t="s">
        <v>229</v>
      </c>
      <c r="J1304" s="31" t="s">
        <v>967</v>
      </c>
      <c r="K1304" s="33" t="s">
        <v>4150</v>
      </c>
      <c r="L1304" s="31" t="s">
        <v>202</v>
      </c>
      <c r="N1304" s="31" t="s">
        <v>871</v>
      </c>
      <c r="Q1304" s="31" t="s">
        <v>2403</v>
      </c>
    </row>
    <row r="1305">
      <c r="A1305" s="29">
        <v>45940.47163266204</v>
      </c>
      <c r="B1305" s="30">
        <v>45940.0</v>
      </c>
      <c r="C1305" s="31" t="s">
        <v>4151</v>
      </c>
      <c r="D1305" s="32" t="s">
        <v>4152</v>
      </c>
      <c r="E1305" s="31" t="s">
        <v>43</v>
      </c>
      <c r="F1305" s="31">
        <v>3000000.0</v>
      </c>
      <c r="G1305" s="31" t="s">
        <v>23</v>
      </c>
      <c r="I1305" s="31" t="s">
        <v>229</v>
      </c>
      <c r="J1305" s="31" t="s">
        <v>967</v>
      </c>
      <c r="K1305" s="33" t="s">
        <v>4153</v>
      </c>
      <c r="L1305" s="31" t="s">
        <v>202</v>
      </c>
      <c r="N1305" s="31" t="s">
        <v>871</v>
      </c>
      <c r="Q1305" s="31" t="s">
        <v>872</v>
      </c>
    </row>
    <row r="1306">
      <c r="A1306" s="29">
        <v>45940.47591226852</v>
      </c>
      <c r="B1306" s="30">
        <v>45940.0</v>
      </c>
      <c r="C1306" s="31" t="s">
        <v>1992</v>
      </c>
      <c r="D1306" s="32" t="s">
        <v>1993</v>
      </c>
      <c r="E1306" s="31" t="s">
        <v>43</v>
      </c>
      <c r="F1306" s="31">
        <v>3000000.0</v>
      </c>
      <c r="G1306" s="31" t="s">
        <v>23</v>
      </c>
      <c r="I1306" s="31" t="s">
        <v>229</v>
      </c>
      <c r="J1306" s="31" t="s">
        <v>967</v>
      </c>
      <c r="K1306" s="33" t="s">
        <v>4154</v>
      </c>
      <c r="L1306" s="31" t="s">
        <v>202</v>
      </c>
      <c r="N1306" s="31" t="s">
        <v>871</v>
      </c>
      <c r="Q1306" s="31" t="s">
        <v>872</v>
      </c>
    </row>
    <row r="1307">
      <c r="A1307" s="29">
        <v>45940.49895479166</v>
      </c>
      <c r="B1307" s="30">
        <v>45940.0</v>
      </c>
      <c r="C1307" s="31" t="s">
        <v>4155</v>
      </c>
      <c r="D1307" s="31">
        <v>8.1246966516E10</v>
      </c>
      <c r="E1307" s="31" t="s">
        <v>228</v>
      </c>
      <c r="F1307" s="31">
        <v>3000000.0</v>
      </c>
      <c r="G1307" s="31" t="s">
        <v>23</v>
      </c>
      <c r="I1307" s="31" t="s">
        <v>229</v>
      </c>
      <c r="J1307" s="31" t="s">
        <v>229</v>
      </c>
      <c r="K1307" s="33" t="s">
        <v>4156</v>
      </c>
      <c r="L1307" s="31" t="s">
        <v>252</v>
      </c>
      <c r="O1307" s="31" t="s">
        <v>205</v>
      </c>
      <c r="X1307" s="31" t="s">
        <v>253</v>
      </c>
    </row>
    <row r="1308">
      <c r="A1308" s="29">
        <v>45940.50074581019</v>
      </c>
      <c r="B1308" s="30">
        <v>45940.0</v>
      </c>
      <c r="C1308" s="31" t="s">
        <v>4157</v>
      </c>
      <c r="D1308" s="32" t="s">
        <v>4158</v>
      </c>
      <c r="E1308" s="31" t="s">
        <v>199</v>
      </c>
      <c r="F1308" s="31">
        <v>4000000.0</v>
      </c>
      <c r="G1308" s="31" t="s">
        <v>23</v>
      </c>
      <c r="I1308" s="31" t="s">
        <v>229</v>
      </c>
      <c r="J1308" s="31" t="s">
        <v>293</v>
      </c>
      <c r="K1308" s="33" t="s">
        <v>4159</v>
      </c>
      <c r="L1308" s="31" t="s">
        <v>202</v>
      </c>
      <c r="N1308" s="31" t="s">
        <v>871</v>
      </c>
      <c r="Q1308" s="31" t="s">
        <v>872</v>
      </c>
    </row>
    <row r="1309">
      <c r="A1309" s="29">
        <v>45940.51737927084</v>
      </c>
      <c r="B1309" s="30">
        <v>45940.0</v>
      </c>
      <c r="C1309" s="31" t="s">
        <v>4160</v>
      </c>
      <c r="D1309" s="32" t="s">
        <v>4161</v>
      </c>
      <c r="E1309" s="31" t="s">
        <v>31</v>
      </c>
      <c r="F1309" s="31">
        <v>6700000.0</v>
      </c>
      <c r="G1309" s="31" t="s">
        <v>23</v>
      </c>
      <c r="H1309" s="31">
        <v>3000000.0</v>
      </c>
      <c r="I1309" s="31" t="s">
        <v>200</v>
      </c>
      <c r="K1309" s="33" t="s">
        <v>4162</v>
      </c>
      <c r="L1309" s="31" t="s">
        <v>202</v>
      </c>
      <c r="M1309" s="31" t="s">
        <v>203</v>
      </c>
      <c r="N1309" s="31" t="s">
        <v>313</v>
      </c>
      <c r="T1309" s="31" t="s">
        <v>329</v>
      </c>
    </row>
    <row r="1310">
      <c r="A1310" s="29">
        <v>45940.54395490741</v>
      </c>
      <c r="B1310" s="30">
        <v>45940.0</v>
      </c>
      <c r="C1310" s="31" t="s">
        <v>4163</v>
      </c>
      <c r="D1310" s="32" t="s">
        <v>4164</v>
      </c>
      <c r="E1310" s="31" t="s">
        <v>1093</v>
      </c>
      <c r="F1310" s="31">
        <v>3000000.0</v>
      </c>
      <c r="G1310" s="31" t="s">
        <v>23</v>
      </c>
      <c r="H1310" s="31">
        <v>3000000.0</v>
      </c>
      <c r="I1310" s="31" t="s">
        <v>200</v>
      </c>
      <c r="K1310" s="33" t="s">
        <v>4165</v>
      </c>
      <c r="L1310" s="31" t="s">
        <v>252</v>
      </c>
      <c r="M1310" s="31" t="s">
        <v>203</v>
      </c>
      <c r="O1310" s="31" t="s">
        <v>205</v>
      </c>
      <c r="X1310" s="31" t="s">
        <v>549</v>
      </c>
    </row>
    <row r="1311">
      <c r="A1311" s="29">
        <v>45940.55354586805</v>
      </c>
      <c r="B1311" s="30">
        <v>45940.0</v>
      </c>
      <c r="C1311" s="31" t="s">
        <v>4166</v>
      </c>
      <c r="D1311" s="32" t="s">
        <v>4167</v>
      </c>
      <c r="E1311" s="31" t="s">
        <v>199</v>
      </c>
      <c r="F1311" s="31">
        <v>8500000.0</v>
      </c>
      <c r="G1311" s="31" t="s">
        <v>23</v>
      </c>
      <c r="I1311" s="31" t="s">
        <v>229</v>
      </c>
      <c r="J1311" s="31" t="s">
        <v>967</v>
      </c>
      <c r="K1311" s="33" t="s">
        <v>4168</v>
      </c>
      <c r="L1311" s="31" t="s">
        <v>252</v>
      </c>
      <c r="O1311" s="31" t="s">
        <v>257</v>
      </c>
      <c r="P1311" s="31" t="s">
        <v>258</v>
      </c>
    </row>
    <row r="1312">
      <c r="A1312" s="29">
        <v>45940.57071824074</v>
      </c>
      <c r="B1312" s="30">
        <v>45940.0</v>
      </c>
      <c r="C1312" s="31" t="s">
        <v>4169</v>
      </c>
      <c r="D1312" s="32" t="s">
        <v>4170</v>
      </c>
      <c r="E1312" s="31" t="s">
        <v>1166</v>
      </c>
      <c r="F1312" s="31">
        <v>2500000.0</v>
      </c>
      <c r="G1312" s="31" t="s">
        <v>23</v>
      </c>
      <c r="H1312" s="31">
        <v>3000000.0</v>
      </c>
      <c r="I1312" s="31" t="s">
        <v>413</v>
      </c>
      <c r="K1312" s="33" t="s">
        <v>4171</v>
      </c>
      <c r="L1312" s="31" t="s">
        <v>252</v>
      </c>
      <c r="M1312" s="31" t="s">
        <v>203</v>
      </c>
      <c r="O1312" s="31" t="s">
        <v>257</v>
      </c>
      <c r="P1312" s="31" t="s">
        <v>206</v>
      </c>
    </row>
    <row r="1313">
      <c r="A1313" s="29">
        <v>45940.57689516204</v>
      </c>
      <c r="B1313" s="30">
        <v>45940.0</v>
      </c>
      <c r="C1313" s="31" t="s">
        <v>4172</v>
      </c>
      <c r="D1313" s="32" t="s">
        <v>4173</v>
      </c>
      <c r="E1313" s="31" t="s">
        <v>43</v>
      </c>
      <c r="F1313" s="31">
        <v>4000000.0</v>
      </c>
      <c r="G1313" s="31" t="s">
        <v>23</v>
      </c>
      <c r="H1313" s="31">
        <v>3000000.0</v>
      </c>
      <c r="I1313" s="31" t="s">
        <v>413</v>
      </c>
      <c r="K1313" s="31" t="s">
        <v>4174</v>
      </c>
      <c r="L1313" s="31" t="s">
        <v>202</v>
      </c>
      <c r="M1313" s="31" t="s">
        <v>203</v>
      </c>
      <c r="N1313" s="31" t="s">
        <v>220</v>
      </c>
      <c r="S1313" s="31" t="s">
        <v>124</v>
      </c>
    </row>
    <row r="1314">
      <c r="A1314" s="29">
        <v>45940.583486793985</v>
      </c>
      <c r="B1314" s="30">
        <v>45940.0</v>
      </c>
      <c r="C1314" s="31" t="s">
        <v>4175</v>
      </c>
      <c r="D1314" s="32" t="s">
        <v>4176</v>
      </c>
      <c r="E1314" s="31" t="s">
        <v>199</v>
      </c>
      <c r="F1314" s="31">
        <v>4900000.0</v>
      </c>
      <c r="G1314" s="31" t="s">
        <v>23</v>
      </c>
      <c r="H1314" s="31">
        <v>3000000.0</v>
      </c>
      <c r="I1314" s="31" t="s">
        <v>413</v>
      </c>
      <c r="K1314" s="33" t="s">
        <v>4177</v>
      </c>
      <c r="L1314" s="31" t="s">
        <v>202</v>
      </c>
      <c r="M1314" s="31" t="s">
        <v>203</v>
      </c>
      <c r="N1314" s="31" t="s">
        <v>313</v>
      </c>
      <c r="T1314" s="31" t="s">
        <v>314</v>
      </c>
    </row>
    <row r="1315">
      <c r="A1315" s="29">
        <v>45940.584700625</v>
      </c>
      <c r="B1315" s="30">
        <v>45940.0</v>
      </c>
      <c r="C1315" s="31" t="s">
        <v>4178</v>
      </c>
      <c r="D1315" s="32" t="s">
        <v>4179</v>
      </c>
      <c r="E1315" s="31" t="s">
        <v>43</v>
      </c>
      <c r="F1315" s="31">
        <v>3000000.0</v>
      </c>
      <c r="G1315" s="31" t="s">
        <v>23</v>
      </c>
      <c r="I1315" s="31" t="s">
        <v>229</v>
      </c>
      <c r="J1315" s="31" t="s">
        <v>270</v>
      </c>
      <c r="K1315" s="33" t="s">
        <v>4180</v>
      </c>
      <c r="L1315" s="31" t="s">
        <v>202</v>
      </c>
      <c r="N1315" s="31" t="s">
        <v>871</v>
      </c>
      <c r="Q1315" s="31" t="s">
        <v>872</v>
      </c>
    </row>
    <row r="1316">
      <c r="A1316" s="29">
        <v>45940.65684056713</v>
      </c>
      <c r="B1316" s="30">
        <v>45940.0</v>
      </c>
      <c r="C1316" s="31" t="s">
        <v>4181</v>
      </c>
      <c r="D1316" s="32" t="s">
        <v>4182</v>
      </c>
      <c r="E1316" s="31" t="s">
        <v>43</v>
      </c>
      <c r="F1316" s="31">
        <v>8500000.0</v>
      </c>
      <c r="G1316" s="31" t="s">
        <v>23</v>
      </c>
      <c r="I1316" s="31" t="s">
        <v>229</v>
      </c>
      <c r="J1316" s="31" t="s">
        <v>967</v>
      </c>
      <c r="K1316" s="33" t="s">
        <v>4183</v>
      </c>
      <c r="L1316" s="31" t="s">
        <v>252</v>
      </c>
      <c r="O1316" s="31" t="s">
        <v>257</v>
      </c>
      <c r="P1316" s="31" t="s">
        <v>258</v>
      </c>
    </row>
    <row r="1317">
      <c r="A1317" s="29">
        <v>45940.67224230324</v>
      </c>
      <c r="B1317" s="30">
        <v>45940.0</v>
      </c>
      <c r="C1317" s="31" t="s">
        <v>4184</v>
      </c>
      <c r="D1317" s="32" t="s">
        <v>4185</v>
      </c>
      <c r="E1317" s="31" t="s">
        <v>283</v>
      </c>
      <c r="F1317" s="31">
        <v>3100000.0</v>
      </c>
      <c r="G1317" s="31" t="s">
        <v>23</v>
      </c>
      <c r="I1317" s="31" t="s">
        <v>229</v>
      </c>
      <c r="J1317" s="31" t="s">
        <v>967</v>
      </c>
      <c r="K1317" s="33" t="s">
        <v>4186</v>
      </c>
      <c r="L1317" s="31" t="s">
        <v>202</v>
      </c>
      <c r="N1317" s="31" t="s">
        <v>313</v>
      </c>
      <c r="T1317" s="31" t="s">
        <v>384</v>
      </c>
    </row>
    <row r="1318">
      <c r="A1318" s="29">
        <v>45940.72835359954</v>
      </c>
      <c r="B1318" s="30">
        <v>45940.0</v>
      </c>
      <c r="C1318" s="31" t="s">
        <v>4187</v>
      </c>
      <c r="D1318" s="32" t="s">
        <v>4188</v>
      </c>
      <c r="E1318" s="31" t="s">
        <v>31</v>
      </c>
      <c r="F1318" s="31">
        <v>5200000.0</v>
      </c>
      <c r="G1318" s="31" t="s">
        <v>23</v>
      </c>
      <c r="I1318" s="31" t="s">
        <v>229</v>
      </c>
      <c r="J1318" s="31" t="s">
        <v>967</v>
      </c>
      <c r="K1318" s="33" t="s">
        <v>4189</v>
      </c>
      <c r="L1318" s="31" t="s">
        <v>202</v>
      </c>
      <c r="N1318" s="31" t="s">
        <v>204</v>
      </c>
      <c r="R1318" s="31" t="s">
        <v>53</v>
      </c>
    </row>
    <row r="1319">
      <c r="A1319" s="29">
        <v>45940.73195962963</v>
      </c>
      <c r="B1319" s="30">
        <v>45940.0</v>
      </c>
      <c r="C1319" s="31" t="s">
        <v>4190</v>
      </c>
      <c r="D1319" s="31">
        <v>0.0</v>
      </c>
      <c r="E1319" s="31" t="s">
        <v>288</v>
      </c>
      <c r="F1319" s="34">
        <v>2100.0</v>
      </c>
      <c r="G1319" s="31" t="s">
        <v>23</v>
      </c>
      <c r="H1319" s="34">
        <v>1600.0</v>
      </c>
      <c r="I1319" s="31" t="s">
        <v>413</v>
      </c>
      <c r="K1319" s="33" t="s">
        <v>4191</v>
      </c>
      <c r="L1319" s="31" t="s">
        <v>252</v>
      </c>
      <c r="M1319" s="31" t="s">
        <v>203</v>
      </c>
      <c r="O1319" s="31" t="s">
        <v>257</v>
      </c>
      <c r="P1319" s="31" t="s">
        <v>992</v>
      </c>
    </row>
    <row r="1320">
      <c r="A1320" s="29">
        <v>45940.768908611106</v>
      </c>
      <c r="B1320" s="30">
        <v>45940.0</v>
      </c>
      <c r="C1320" s="31" t="s">
        <v>4192</v>
      </c>
      <c r="D1320" s="32" t="s">
        <v>4193</v>
      </c>
      <c r="E1320" s="31" t="s">
        <v>847</v>
      </c>
      <c r="F1320" s="31">
        <v>3000000.0</v>
      </c>
      <c r="G1320" s="31" t="s">
        <v>23</v>
      </c>
      <c r="H1320" s="31">
        <v>3000000.0</v>
      </c>
      <c r="I1320" s="31" t="s">
        <v>200</v>
      </c>
      <c r="K1320" s="33" t="s">
        <v>4194</v>
      </c>
      <c r="L1320" s="31" t="s">
        <v>252</v>
      </c>
      <c r="M1320" s="31" t="s">
        <v>203</v>
      </c>
      <c r="O1320" s="31" t="s">
        <v>205</v>
      </c>
      <c r="X1320" s="31" t="s">
        <v>549</v>
      </c>
    </row>
    <row r="1321">
      <c r="A1321" s="29">
        <v>45940.77626796297</v>
      </c>
      <c r="B1321" s="30">
        <v>45940.0</v>
      </c>
      <c r="C1321" s="31" t="s">
        <v>4195</v>
      </c>
      <c r="D1321" s="32" t="s">
        <v>4196</v>
      </c>
      <c r="E1321" s="31" t="s">
        <v>43</v>
      </c>
      <c r="F1321" s="31">
        <v>2500000.0</v>
      </c>
      <c r="G1321" s="31" t="s">
        <v>23</v>
      </c>
      <c r="H1321" s="31">
        <v>5000000.0</v>
      </c>
      <c r="I1321" s="31" t="s">
        <v>413</v>
      </c>
      <c r="K1321" s="33" t="s">
        <v>4197</v>
      </c>
      <c r="L1321" s="31" t="s">
        <v>252</v>
      </c>
      <c r="M1321" s="31" t="s">
        <v>203</v>
      </c>
      <c r="O1321" s="31" t="s">
        <v>257</v>
      </c>
      <c r="P1321" s="31" t="s">
        <v>3194</v>
      </c>
    </row>
    <row r="1322">
      <c r="A1322" s="29">
        <v>45940.78230928241</v>
      </c>
      <c r="B1322" s="30">
        <v>45940.0</v>
      </c>
      <c r="C1322" s="31" t="s">
        <v>4198</v>
      </c>
      <c r="D1322" s="32" t="s">
        <v>4199</v>
      </c>
      <c r="E1322" s="31" t="s">
        <v>31</v>
      </c>
      <c r="F1322" s="31">
        <v>3500000.0</v>
      </c>
      <c r="G1322" s="31" t="s">
        <v>23</v>
      </c>
      <c r="I1322" s="31" t="s">
        <v>229</v>
      </c>
      <c r="J1322" s="31" t="s">
        <v>967</v>
      </c>
      <c r="K1322" s="33" t="s">
        <v>4200</v>
      </c>
      <c r="L1322" s="31" t="s">
        <v>252</v>
      </c>
      <c r="O1322" s="31" t="s">
        <v>205</v>
      </c>
      <c r="X1322" s="31" t="s">
        <v>452</v>
      </c>
    </row>
    <row r="1323">
      <c r="A1323" s="29">
        <v>45940.78425667824</v>
      </c>
      <c r="B1323" s="30">
        <v>45940.0</v>
      </c>
      <c r="C1323" s="31" t="s">
        <v>4201</v>
      </c>
      <c r="D1323" s="32" t="s">
        <v>4202</v>
      </c>
      <c r="E1323" s="31" t="s">
        <v>199</v>
      </c>
      <c r="F1323" s="31">
        <v>4000000.0</v>
      </c>
      <c r="G1323" s="31" t="s">
        <v>45</v>
      </c>
      <c r="I1323" s="31" t="s">
        <v>229</v>
      </c>
      <c r="J1323" s="31" t="s">
        <v>967</v>
      </c>
      <c r="K1323" s="33" t="s">
        <v>4203</v>
      </c>
      <c r="L1323" s="31" t="s">
        <v>252</v>
      </c>
      <c r="O1323" s="31" t="s">
        <v>205</v>
      </c>
      <c r="X1323" s="31" t="s">
        <v>452</v>
      </c>
    </row>
    <row r="1324">
      <c r="A1324" s="29">
        <v>45940.809336342594</v>
      </c>
      <c r="B1324" s="30">
        <v>45940.0</v>
      </c>
      <c r="C1324" s="31" t="s">
        <v>4204</v>
      </c>
      <c r="D1324" s="32" t="s">
        <v>4205</v>
      </c>
      <c r="E1324" s="31" t="s">
        <v>43</v>
      </c>
      <c r="F1324" s="31">
        <v>2900000.0</v>
      </c>
      <c r="G1324" s="31" t="s">
        <v>23</v>
      </c>
      <c r="I1324" s="31" t="s">
        <v>229</v>
      </c>
      <c r="J1324" s="31" t="s">
        <v>967</v>
      </c>
      <c r="K1324" s="33" t="s">
        <v>4206</v>
      </c>
      <c r="L1324" s="31" t="s">
        <v>252</v>
      </c>
      <c r="O1324" s="31" t="s">
        <v>257</v>
      </c>
      <c r="P1324" s="31" t="s">
        <v>2453</v>
      </c>
    </row>
    <row r="1325">
      <c r="A1325" s="29">
        <v>45940.82352440972</v>
      </c>
      <c r="B1325" s="30">
        <v>45940.0</v>
      </c>
      <c r="C1325" s="31" t="s">
        <v>4207</v>
      </c>
      <c r="D1325" s="32" t="s">
        <v>907</v>
      </c>
      <c r="E1325" s="31" t="s">
        <v>199</v>
      </c>
      <c r="F1325" s="31">
        <v>2000000.0</v>
      </c>
      <c r="G1325" s="31" t="s">
        <v>23</v>
      </c>
      <c r="I1325" s="31" t="s">
        <v>229</v>
      </c>
      <c r="J1325" s="31" t="s">
        <v>270</v>
      </c>
      <c r="K1325" s="33" t="s">
        <v>4208</v>
      </c>
      <c r="L1325" s="31" t="s">
        <v>202</v>
      </c>
      <c r="N1325" s="31" t="s">
        <v>215</v>
      </c>
      <c r="W1325" s="31" t="s">
        <v>532</v>
      </c>
    </row>
    <row r="1326">
      <c r="A1326" s="29">
        <v>45940.92609820602</v>
      </c>
      <c r="B1326" s="30">
        <v>45940.0</v>
      </c>
      <c r="C1326" s="31" t="s">
        <v>4209</v>
      </c>
      <c r="D1326" s="32" t="s">
        <v>3714</v>
      </c>
      <c r="E1326" s="31" t="s">
        <v>4210</v>
      </c>
      <c r="F1326" s="31">
        <v>1500000.0</v>
      </c>
      <c r="G1326" s="31" t="s">
        <v>23</v>
      </c>
      <c r="I1326" s="31" t="s">
        <v>229</v>
      </c>
      <c r="J1326" s="31" t="s">
        <v>270</v>
      </c>
      <c r="K1326" s="33" t="s">
        <v>4211</v>
      </c>
      <c r="L1326" s="31" t="s">
        <v>202</v>
      </c>
      <c r="N1326" s="31" t="s">
        <v>215</v>
      </c>
      <c r="W1326" s="31" t="s">
        <v>532</v>
      </c>
    </row>
    <row r="1327">
      <c r="A1327" s="29">
        <v>45941.395732997684</v>
      </c>
      <c r="B1327" s="30">
        <v>45941.0</v>
      </c>
      <c r="C1327" s="31" t="s">
        <v>4212</v>
      </c>
      <c r="D1327" s="32" t="s">
        <v>4213</v>
      </c>
      <c r="E1327" s="31" t="s">
        <v>288</v>
      </c>
      <c r="F1327" s="31">
        <v>1000000.0</v>
      </c>
      <c r="G1327" s="31" t="s">
        <v>23</v>
      </c>
      <c r="I1327" s="31" t="s">
        <v>229</v>
      </c>
      <c r="J1327" s="31" t="s">
        <v>967</v>
      </c>
      <c r="K1327" s="33" t="s">
        <v>4214</v>
      </c>
      <c r="L1327" s="31" t="s">
        <v>252</v>
      </c>
      <c r="O1327" s="31" t="s">
        <v>205</v>
      </c>
      <c r="X1327" s="31" t="s">
        <v>1471</v>
      </c>
    </row>
    <row r="1328">
      <c r="A1328" s="29">
        <v>45941.403212777775</v>
      </c>
      <c r="B1328" s="30">
        <v>45941.0</v>
      </c>
      <c r="C1328" s="31" t="s">
        <v>4215</v>
      </c>
      <c r="D1328" s="32" t="s">
        <v>4216</v>
      </c>
      <c r="E1328" s="31" t="s">
        <v>2071</v>
      </c>
      <c r="F1328" s="31">
        <v>3200000.0</v>
      </c>
      <c r="G1328" s="31" t="s">
        <v>23</v>
      </c>
      <c r="I1328" s="31" t="s">
        <v>229</v>
      </c>
      <c r="J1328" s="31" t="s">
        <v>967</v>
      </c>
      <c r="K1328" s="33" t="s">
        <v>4217</v>
      </c>
      <c r="L1328" s="31" t="s">
        <v>202</v>
      </c>
      <c r="N1328" s="31" t="s">
        <v>667</v>
      </c>
      <c r="U1328" s="31" t="s">
        <v>3950</v>
      </c>
    </row>
    <row r="1329">
      <c r="A1329" s="29">
        <v>45941.40558346065</v>
      </c>
      <c r="B1329" s="30">
        <v>45941.0</v>
      </c>
      <c r="C1329" s="31" t="s">
        <v>4218</v>
      </c>
      <c r="D1329" s="32" t="s">
        <v>4219</v>
      </c>
      <c r="E1329" s="31" t="s">
        <v>43</v>
      </c>
      <c r="F1329" s="31">
        <v>2800000.0</v>
      </c>
      <c r="G1329" s="31" t="s">
        <v>23</v>
      </c>
      <c r="H1329" s="31">
        <v>3000000.0</v>
      </c>
      <c r="I1329" s="31" t="s">
        <v>413</v>
      </c>
      <c r="K1329" s="33" t="s">
        <v>4220</v>
      </c>
      <c r="L1329" s="31" t="s">
        <v>202</v>
      </c>
      <c r="M1329" s="31" t="s">
        <v>203</v>
      </c>
      <c r="N1329" s="31" t="s">
        <v>667</v>
      </c>
      <c r="U1329" s="31" t="s">
        <v>3950</v>
      </c>
    </row>
    <row r="1330">
      <c r="A1330" s="29">
        <v>45941.40756327547</v>
      </c>
      <c r="B1330" s="30">
        <v>45941.0</v>
      </c>
      <c r="C1330" s="31" t="s">
        <v>4079</v>
      </c>
      <c r="D1330" s="32" t="s">
        <v>4221</v>
      </c>
      <c r="E1330" s="31" t="s">
        <v>43</v>
      </c>
      <c r="F1330" s="31">
        <v>3200000.0</v>
      </c>
      <c r="G1330" s="31" t="s">
        <v>23</v>
      </c>
      <c r="I1330" s="31" t="s">
        <v>229</v>
      </c>
      <c r="J1330" s="31" t="s">
        <v>967</v>
      </c>
      <c r="K1330" s="33" t="s">
        <v>4222</v>
      </c>
      <c r="L1330" s="31" t="s">
        <v>202</v>
      </c>
      <c r="N1330" s="31" t="s">
        <v>667</v>
      </c>
      <c r="U1330" s="31" t="s">
        <v>3950</v>
      </c>
    </row>
    <row r="1331">
      <c r="A1331" s="29">
        <v>45941.40950565972</v>
      </c>
      <c r="B1331" s="30">
        <v>45938.0</v>
      </c>
      <c r="C1331" s="31" t="s">
        <v>4223</v>
      </c>
      <c r="D1331" s="32" t="s">
        <v>4224</v>
      </c>
      <c r="E1331" s="31" t="s">
        <v>199</v>
      </c>
      <c r="F1331" s="31">
        <v>4800000.0</v>
      </c>
      <c r="G1331" s="31" t="s">
        <v>23</v>
      </c>
      <c r="H1331" s="31">
        <v>5000000.0</v>
      </c>
      <c r="I1331" s="31" t="s">
        <v>413</v>
      </c>
      <c r="K1331" s="33" t="s">
        <v>4225</v>
      </c>
      <c r="L1331" s="31" t="s">
        <v>202</v>
      </c>
      <c r="M1331" s="31" t="s">
        <v>605</v>
      </c>
      <c r="N1331" s="31" t="s">
        <v>667</v>
      </c>
      <c r="U1331" s="31" t="s">
        <v>3950</v>
      </c>
    </row>
    <row r="1332">
      <c r="A1332" s="29">
        <v>45941.410417129635</v>
      </c>
      <c r="B1332" s="30">
        <v>45941.0</v>
      </c>
      <c r="C1332" s="31" t="s">
        <v>4226</v>
      </c>
      <c r="D1332" s="31">
        <v>0.0</v>
      </c>
      <c r="E1332" s="31" t="s">
        <v>43</v>
      </c>
      <c r="F1332" s="32" t="s">
        <v>4227</v>
      </c>
      <c r="G1332" s="31" t="s">
        <v>23</v>
      </c>
      <c r="I1332" s="31" t="s">
        <v>229</v>
      </c>
      <c r="J1332" s="31" t="s">
        <v>967</v>
      </c>
      <c r="K1332" s="33" t="s">
        <v>4228</v>
      </c>
      <c r="L1332" s="31" t="s">
        <v>252</v>
      </c>
      <c r="O1332" s="31" t="s">
        <v>257</v>
      </c>
      <c r="P1332" s="31" t="s">
        <v>992</v>
      </c>
    </row>
    <row r="1333">
      <c r="A1333" s="29">
        <v>45941.411463993056</v>
      </c>
      <c r="B1333" s="30">
        <v>45938.0</v>
      </c>
      <c r="C1333" s="31" t="s">
        <v>4229</v>
      </c>
      <c r="D1333" s="32" t="s">
        <v>4230</v>
      </c>
      <c r="E1333" s="31" t="s">
        <v>335</v>
      </c>
      <c r="F1333" s="31">
        <v>3800000.0</v>
      </c>
      <c r="G1333" s="31" t="s">
        <v>23</v>
      </c>
      <c r="H1333" s="31">
        <v>5000000.0</v>
      </c>
      <c r="I1333" s="31" t="s">
        <v>200</v>
      </c>
      <c r="K1333" s="33" t="s">
        <v>4231</v>
      </c>
      <c r="L1333" s="31" t="s">
        <v>202</v>
      </c>
      <c r="M1333" s="31" t="s">
        <v>605</v>
      </c>
      <c r="N1333" s="31" t="s">
        <v>667</v>
      </c>
      <c r="U1333" s="31" t="s">
        <v>3950</v>
      </c>
    </row>
    <row r="1334">
      <c r="A1334" s="29">
        <v>45941.42388284722</v>
      </c>
      <c r="B1334" s="30">
        <v>45937.0</v>
      </c>
      <c r="C1334" s="31" t="s">
        <v>3947</v>
      </c>
      <c r="D1334" s="32" t="s">
        <v>4232</v>
      </c>
      <c r="E1334" s="31" t="s">
        <v>43</v>
      </c>
      <c r="F1334" s="31">
        <v>3200000.0</v>
      </c>
      <c r="G1334" s="31" t="s">
        <v>23</v>
      </c>
      <c r="H1334" s="31">
        <v>3000000.0</v>
      </c>
      <c r="I1334" s="31" t="s">
        <v>200</v>
      </c>
      <c r="K1334" s="33" t="s">
        <v>4233</v>
      </c>
      <c r="L1334" s="31" t="s">
        <v>202</v>
      </c>
      <c r="M1334" s="31" t="s">
        <v>203</v>
      </c>
      <c r="N1334" s="31" t="s">
        <v>667</v>
      </c>
      <c r="U1334" s="31" t="s">
        <v>3950</v>
      </c>
    </row>
    <row r="1335">
      <c r="A1335" s="29">
        <v>45941.43814741899</v>
      </c>
      <c r="B1335" s="30">
        <v>45941.0</v>
      </c>
      <c r="C1335" s="31" t="s">
        <v>4234</v>
      </c>
      <c r="D1335" s="32" t="s">
        <v>4235</v>
      </c>
      <c r="E1335" s="31" t="s">
        <v>43</v>
      </c>
      <c r="F1335" s="31">
        <v>2900000.0</v>
      </c>
      <c r="G1335" s="31" t="s">
        <v>23</v>
      </c>
      <c r="H1335" s="31">
        <v>1600000.0</v>
      </c>
      <c r="I1335" s="31" t="s">
        <v>413</v>
      </c>
      <c r="K1335" s="33" t="s">
        <v>4236</v>
      </c>
      <c r="L1335" s="31" t="s">
        <v>252</v>
      </c>
      <c r="M1335" s="31" t="s">
        <v>203</v>
      </c>
      <c r="O1335" s="31" t="s">
        <v>257</v>
      </c>
      <c r="P1335" s="31" t="s">
        <v>2453</v>
      </c>
    </row>
    <row r="1336">
      <c r="A1336" s="29">
        <v>45941.453528287035</v>
      </c>
      <c r="B1336" s="30">
        <v>45941.0</v>
      </c>
      <c r="C1336" s="31" t="s">
        <v>4237</v>
      </c>
      <c r="D1336" s="32" t="s">
        <v>4238</v>
      </c>
      <c r="E1336" s="31" t="s">
        <v>679</v>
      </c>
      <c r="F1336" s="31">
        <v>6000000.0</v>
      </c>
      <c r="G1336" s="31" t="s">
        <v>23</v>
      </c>
      <c r="H1336" s="31">
        <v>3000000.0</v>
      </c>
      <c r="I1336" s="31" t="s">
        <v>200</v>
      </c>
      <c r="K1336" s="33" t="s">
        <v>4239</v>
      </c>
      <c r="L1336" s="31" t="s">
        <v>202</v>
      </c>
      <c r="M1336" s="31" t="s">
        <v>203</v>
      </c>
      <c r="N1336" s="31" t="s">
        <v>313</v>
      </c>
      <c r="T1336" s="31" t="s">
        <v>314</v>
      </c>
    </row>
    <row r="1337">
      <c r="A1337" s="29">
        <v>45941.52137938657</v>
      </c>
      <c r="B1337" s="30">
        <v>45941.0</v>
      </c>
      <c r="C1337" s="31" t="s">
        <v>4240</v>
      </c>
      <c r="D1337" s="32" t="s">
        <v>4241</v>
      </c>
      <c r="E1337" s="31" t="s">
        <v>43</v>
      </c>
      <c r="F1337" s="31">
        <v>3100000.0</v>
      </c>
      <c r="G1337" s="31" t="s">
        <v>23</v>
      </c>
      <c r="H1337" s="31">
        <v>3000000.0</v>
      </c>
      <c r="I1337" s="31" t="s">
        <v>200</v>
      </c>
      <c r="K1337" s="33" t="s">
        <v>4242</v>
      </c>
      <c r="L1337" s="31" t="s">
        <v>252</v>
      </c>
      <c r="M1337" s="31" t="s">
        <v>926</v>
      </c>
      <c r="O1337" s="31" t="s">
        <v>205</v>
      </c>
      <c r="X1337" s="31" t="s">
        <v>2335</v>
      </c>
    </row>
    <row r="1338">
      <c r="A1338" s="29">
        <v>45941.52821097222</v>
      </c>
      <c r="B1338" s="30">
        <v>45941.0</v>
      </c>
      <c r="C1338" s="31" t="s">
        <v>4243</v>
      </c>
      <c r="D1338" s="32" t="s">
        <v>4244</v>
      </c>
      <c r="E1338" s="31" t="s">
        <v>199</v>
      </c>
      <c r="F1338" s="31">
        <v>3000000.0</v>
      </c>
      <c r="G1338" s="31" t="s">
        <v>23</v>
      </c>
      <c r="H1338" s="31">
        <v>5000000.0</v>
      </c>
      <c r="I1338" s="31" t="s">
        <v>200</v>
      </c>
      <c r="K1338" s="33" t="s">
        <v>4245</v>
      </c>
      <c r="L1338" s="31" t="s">
        <v>252</v>
      </c>
      <c r="M1338" s="31" t="s">
        <v>383</v>
      </c>
      <c r="O1338" s="31" t="s">
        <v>205</v>
      </c>
      <c r="X1338" s="31" t="s">
        <v>549</v>
      </c>
    </row>
    <row r="1339">
      <c r="A1339" s="29">
        <v>45941.5393294213</v>
      </c>
      <c r="B1339" s="30">
        <v>45941.0</v>
      </c>
      <c r="C1339" s="31" t="s">
        <v>4246</v>
      </c>
      <c r="D1339" s="31">
        <v>0.0</v>
      </c>
      <c r="E1339" s="31" t="s">
        <v>43</v>
      </c>
      <c r="F1339" s="32" t="s">
        <v>4247</v>
      </c>
      <c r="G1339" s="31" t="s">
        <v>23</v>
      </c>
      <c r="I1339" s="31" t="s">
        <v>229</v>
      </c>
      <c r="J1339" s="31" t="s">
        <v>967</v>
      </c>
      <c r="K1339" s="33" t="s">
        <v>4248</v>
      </c>
      <c r="L1339" s="31" t="s">
        <v>252</v>
      </c>
      <c r="O1339" s="31" t="s">
        <v>257</v>
      </c>
      <c r="P1339" s="31" t="s">
        <v>992</v>
      </c>
    </row>
    <row r="1340">
      <c r="A1340" s="29">
        <v>45941.557546076394</v>
      </c>
      <c r="B1340" s="30">
        <v>45941.0</v>
      </c>
      <c r="C1340" s="31" t="s">
        <v>4249</v>
      </c>
      <c r="D1340" s="32" t="s">
        <v>4250</v>
      </c>
      <c r="E1340" s="31" t="s">
        <v>1166</v>
      </c>
      <c r="F1340" s="31">
        <v>2900000.0</v>
      </c>
      <c r="G1340" s="31" t="s">
        <v>23</v>
      </c>
      <c r="H1340" s="31">
        <v>3000000.0</v>
      </c>
      <c r="I1340" s="31" t="s">
        <v>200</v>
      </c>
      <c r="K1340" s="33" t="s">
        <v>4251</v>
      </c>
      <c r="L1340" s="31" t="s">
        <v>252</v>
      </c>
      <c r="M1340" s="31" t="s">
        <v>383</v>
      </c>
      <c r="O1340" s="31" t="s">
        <v>257</v>
      </c>
      <c r="P1340" s="31" t="s">
        <v>206</v>
      </c>
    </row>
    <row r="1341">
      <c r="A1341" s="29">
        <v>45941.559270868056</v>
      </c>
      <c r="B1341" s="30">
        <v>45941.0</v>
      </c>
      <c r="C1341" s="31" t="s">
        <v>4252</v>
      </c>
      <c r="D1341" s="32" t="s">
        <v>4253</v>
      </c>
      <c r="E1341" s="31" t="s">
        <v>1166</v>
      </c>
      <c r="F1341" s="31">
        <v>2500000.0</v>
      </c>
      <c r="G1341" s="31" t="s">
        <v>23</v>
      </c>
      <c r="I1341" s="31" t="s">
        <v>229</v>
      </c>
      <c r="J1341" s="31" t="s">
        <v>967</v>
      </c>
      <c r="K1341" s="33" t="s">
        <v>4254</v>
      </c>
      <c r="L1341" s="31" t="s">
        <v>252</v>
      </c>
      <c r="O1341" s="31" t="s">
        <v>257</v>
      </c>
      <c r="P1341" s="31" t="s">
        <v>206</v>
      </c>
    </row>
    <row r="1342">
      <c r="A1342" s="29">
        <v>45941.60621377315</v>
      </c>
      <c r="B1342" s="30">
        <v>45941.0</v>
      </c>
      <c r="C1342" s="31" t="s">
        <v>4255</v>
      </c>
      <c r="D1342" s="32" t="s">
        <v>4256</v>
      </c>
      <c r="E1342" s="31" t="s">
        <v>43</v>
      </c>
      <c r="F1342" s="31">
        <v>3000000.0</v>
      </c>
      <c r="G1342" s="31" t="s">
        <v>23</v>
      </c>
      <c r="I1342" s="31" t="s">
        <v>229</v>
      </c>
      <c r="J1342" s="31" t="s">
        <v>165</v>
      </c>
      <c r="K1342" s="33" t="s">
        <v>4257</v>
      </c>
      <c r="L1342" s="31" t="s">
        <v>252</v>
      </c>
      <c r="O1342" s="31" t="s">
        <v>205</v>
      </c>
      <c r="X1342" s="31" t="s">
        <v>452</v>
      </c>
    </row>
    <row r="1343">
      <c r="A1343" s="29">
        <v>45941.62613333334</v>
      </c>
      <c r="B1343" s="30">
        <v>45941.0</v>
      </c>
      <c r="C1343" s="31" t="s">
        <v>4258</v>
      </c>
      <c r="D1343" s="32" t="s">
        <v>4259</v>
      </c>
      <c r="E1343" s="31" t="s">
        <v>239</v>
      </c>
      <c r="F1343" s="31">
        <v>3000000.0</v>
      </c>
      <c r="G1343" s="31" t="s">
        <v>23</v>
      </c>
      <c r="I1343" s="31" t="s">
        <v>229</v>
      </c>
      <c r="J1343" s="31" t="s">
        <v>967</v>
      </c>
      <c r="K1343" s="33" t="s">
        <v>4260</v>
      </c>
      <c r="L1343" s="31" t="s">
        <v>202</v>
      </c>
      <c r="N1343" s="31" t="s">
        <v>871</v>
      </c>
      <c r="Q1343" s="31" t="s">
        <v>872</v>
      </c>
    </row>
    <row r="1344">
      <c r="A1344" s="29">
        <v>45941.64242241898</v>
      </c>
      <c r="B1344" s="30">
        <v>45941.0</v>
      </c>
      <c r="C1344" s="31" t="s">
        <v>4261</v>
      </c>
      <c r="D1344" s="31">
        <v>0.0</v>
      </c>
      <c r="E1344" s="31" t="s">
        <v>43</v>
      </c>
      <c r="F1344" s="32" t="s">
        <v>3711</v>
      </c>
      <c r="G1344" s="31" t="s">
        <v>23</v>
      </c>
      <c r="I1344" s="31" t="s">
        <v>229</v>
      </c>
      <c r="J1344" s="31" t="s">
        <v>967</v>
      </c>
      <c r="K1344" s="33" t="s">
        <v>4262</v>
      </c>
      <c r="L1344" s="31" t="s">
        <v>252</v>
      </c>
      <c r="O1344" s="31" t="s">
        <v>257</v>
      </c>
      <c r="P1344" s="31" t="s">
        <v>992</v>
      </c>
    </row>
    <row r="1345">
      <c r="A1345" s="29">
        <v>45941.6594758912</v>
      </c>
      <c r="B1345" s="30">
        <v>45941.0</v>
      </c>
      <c r="C1345" s="31" t="s">
        <v>4263</v>
      </c>
      <c r="D1345" s="32" t="s">
        <v>4264</v>
      </c>
      <c r="E1345" s="31" t="s">
        <v>239</v>
      </c>
      <c r="F1345" s="31">
        <v>2700000.0</v>
      </c>
      <c r="G1345" s="31" t="s">
        <v>23</v>
      </c>
      <c r="I1345" s="31" t="s">
        <v>229</v>
      </c>
      <c r="J1345" s="31" t="s">
        <v>967</v>
      </c>
      <c r="K1345" s="33" t="s">
        <v>4265</v>
      </c>
      <c r="L1345" s="31" t="s">
        <v>202</v>
      </c>
      <c r="N1345" s="31" t="s">
        <v>667</v>
      </c>
      <c r="U1345" s="31" t="s">
        <v>668</v>
      </c>
    </row>
    <row r="1346">
      <c r="A1346" s="29">
        <v>45941.67258745371</v>
      </c>
      <c r="B1346" s="30">
        <v>45941.0</v>
      </c>
      <c r="C1346" s="31" t="s">
        <v>4266</v>
      </c>
      <c r="D1346" s="32" t="s">
        <v>4267</v>
      </c>
      <c r="E1346" s="31" t="s">
        <v>239</v>
      </c>
      <c r="F1346" s="31">
        <v>3000000.0</v>
      </c>
      <c r="G1346" s="31" t="s">
        <v>23</v>
      </c>
      <c r="H1346" s="31">
        <v>3000000.0</v>
      </c>
      <c r="I1346" s="31" t="s">
        <v>413</v>
      </c>
      <c r="K1346" s="33" t="s">
        <v>4268</v>
      </c>
      <c r="L1346" s="31" t="s">
        <v>202</v>
      </c>
      <c r="M1346" s="31" t="s">
        <v>203</v>
      </c>
      <c r="N1346" s="31" t="s">
        <v>871</v>
      </c>
      <c r="Q1346" s="31" t="s">
        <v>872</v>
      </c>
    </row>
    <row r="1347">
      <c r="A1347" s="29">
        <v>45941.69085684028</v>
      </c>
      <c r="B1347" s="30">
        <v>45941.0</v>
      </c>
      <c r="C1347" s="31" t="s">
        <v>4269</v>
      </c>
      <c r="D1347" s="32" t="s">
        <v>4270</v>
      </c>
      <c r="E1347" s="31" t="s">
        <v>288</v>
      </c>
      <c r="F1347" s="31">
        <v>50.0</v>
      </c>
      <c r="G1347" s="31" t="s">
        <v>23</v>
      </c>
      <c r="I1347" s="31" t="s">
        <v>229</v>
      </c>
      <c r="J1347" s="31" t="s">
        <v>967</v>
      </c>
      <c r="K1347" s="33" t="s">
        <v>4271</v>
      </c>
      <c r="L1347" s="31" t="s">
        <v>202</v>
      </c>
      <c r="N1347" s="31" t="s">
        <v>313</v>
      </c>
      <c r="T1347" s="31" t="s">
        <v>4272</v>
      </c>
    </row>
    <row r="1348">
      <c r="A1348" s="29">
        <v>45941.697679942125</v>
      </c>
      <c r="B1348" s="30">
        <v>45941.0</v>
      </c>
      <c r="C1348" s="31" t="s">
        <v>4273</v>
      </c>
      <c r="D1348" s="32" t="s">
        <v>4274</v>
      </c>
      <c r="E1348" s="31" t="s">
        <v>31</v>
      </c>
      <c r="F1348" s="31">
        <v>7200000.0</v>
      </c>
      <c r="G1348" s="31" t="s">
        <v>23</v>
      </c>
      <c r="I1348" s="31" t="s">
        <v>229</v>
      </c>
      <c r="K1348" s="33" t="s">
        <v>4275</v>
      </c>
      <c r="L1348" s="31" t="s">
        <v>202</v>
      </c>
      <c r="N1348" s="31" t="s">
        <v>313</v>
      </c>
      <c r="T1348" s="31" t="s">
        <v>329</v>
      </c>
    </row>
    <row r="1349">
      <c r="A1349" s="29">
        <v>45941.70525490741</v>
      </c>
      <c r="B1349" s="30">
        <v>45941.0</v>
      </c>
      <c r="C1349" s="31" t="s">
        <v>4276</v>
      </c>
      <c r="D1349" s="32" t="s">
        <v>4277</v>
      </c>
      <c r="E1349" s="31" t="s">
        <v>283</v>
      </c>
      <c r="F1349" s="31">
        <v>5100000.0</v>
      </c>
      <c r="G1349" s="31" t="s">
        <v>23</v>
      </c>
      <c r="H1349" s="31">
        <v>3000000.0</v>
      </c>
      <c r="I1349" s="31" t="s">
        <v>200</v>
      </c>
      <c r="K1349" s="33" t="s">
        <v>4278</v>
      </c>
      <c r="L1349" s="31" t="s">
        <v>252</v>
      </c>
      <c r="M1349" s="31" t="s">
        <v>203</v>
      </c>
      <c r="O1349" s="31" t="s">
        <v>257</v>
      </c>
      <c r="P1349" s="31" t="s">
        <v>272</v>
      </c>
    </row>
    <row r="1350">
      <c r="A1350" s="29">
        <v>45941.71130575232</v>
      </c>
      <c r="B1350" s="30">
        <v>45941.0</v>
      </c>
      <c r="C1350" s="31" t="s">
        <v>4279</v>
      </c>
      <c r="D1350" s="32" t="s">
        <v>4202</v>
      </c>
      <c r="E1350" s="31" t="s">
        <v>199</v>
      </c>
      <c r="F1350" s="31">
        <v>4000000.0</v>
      </c>
      <c r="G1350" s="31" t="s">
        <v>23</v>
      </c>
      <c r="I1350" s="31" t="s">
        <v>229</v>
      </c>
      <c r="J1350" s="31" t="s">
        <v>967</v>
      </c>
      <c r="K1350" s="33" t="s">
        <v>4280</v>
      </c>
      <c r="L1350" s="31" t="s">
        <v>252</v>
      </c>
      <c r="O1350" s="31" t="s">
        <v>205</v>
      </c>
      <c r="X1350" s="31" t="s">
        <v>487</v>
      </c>
    </row>
    <row r="1351">
      <c r="A1351" s="29">
        <v>45941.73249940972</v>
      </c>
      <c r="B1351" s="30">
        <v>45941.0</v>
      </c>
      <c r="C1351" s="31" t="s">
        <v>4281</v>
      </c>
      <c r="D1351" s="32" t="s">
        <v>4282</v>
      </c>
      <c r="E1351" s="31" t="s">
        <v>199</v>
      </c>
      <c r="F1351" s="31">
        <v>5999000.0</v>
      </c>
      <c r="G1351" s="31" t="s">
        <v>45</v>
      </c>
      <c r="I1351" s="31" t="s">
        <v>229</v>
      </c>
      <c r="J1351" s="31" t="s">
        <v>967</v>
      </c>
      <c r="K1351" s="33" t="s">
        <v>4283</v>
      </c>
      <c r="L1351" s="31" t="s">
        <v>202</v>
      </c>
      <c r="N1351" s="31" t="s">
        <v>204</v>
      </c>
      <c r="R1351" s="31" t="s">
        <v>207</v>
      </c>
    </row>
    <row r="1352">
      <c r="A1352" s="29">
        <v>45941.73392126158</v>
      </c>
      <c r="B1352" s="30">
        <v>45941.0</v>
      </c>
      <c r="C1352" s="31" t="s">
        <v>4284</v>
      </c>
      <c r="D1352" s="32" t="s">
        <v>4285</v>
      </c>
      <c r="E1352" s="31" t="s">
        <v>199</v>
      </c>
      <c r="F1352" s="31">
        <v>5699000.0</v>
      </c>
      <c r="G1352" s="31" t="s">
        <v>45</v>
      </c>
      <c r="H1352" s="31">
        <v>3000000.0</v>
      </c>
      <c r="I1352" s="31" t="s">
        <v>200</v>
      </c>
      <c r="K1352" s="33" t="s">
        <v>4286</v>
      </c>
      <c r="L1352" s="31" t="s">
        <v>202</v>
      </c>
      <c r="M1352" s="31" t="s">
        <v>203</v>
      </c>
      <c r="N1352" s="31" t="s">
        <v>204</v>
      </c>
      <c r="R1352" s="31" t="s">
        <v>207</v>
      </c>
    </row>
    <row r="1353">
      <c r="A1353" s="29">
        <v>45941.76745175926</v>
      </c>
      <c r="B1353" s="30">
        <v>45941.0</v>
      </c>
      <c r="C1353" s="31" t="s">
        <v>4287</v>
      </c>
      <c r="D1353" s="32" t="s">
        <v>4288</v>
      </c>
      <c r="E1353" s="31" t="s">
        <v>4289</v>
      </c>
      <c r="F1353" s="31">
        <v>2000000.0</v>
      </c>
      <c r="G1353" s="31" t="s">
        <v>23</v>
      </c>
      <c r="I1353" s="31" t="s">
        <v>229</v>
      </c>
      <c r="J1353" s="31" t="s">
        <v>270</v>
      </c>
      <c r="K1353" s="33" t="s">
        <v>4290</v>
      </c>
      <c r="L1353" s="31" t="s">
        <v>202</v>
      </c>
      <c r="N1353" s="31" t="s">
        <v>215</v>
      </c>
      <c r="W1353" s="31" t="s">
        <v>532</v>
      </c>
    </row>
    <row r="1354">
      <c r="A1354" s="29">
        <v>45941.76764721065</v>
      </c>
      <c r="B1354" s="30">
        <v>45941.0</v>
      </c>
      <c r="C1354" s="31" t="s">
        <v>4291</v>
      </c>
      <c r="D1354" s="32" t="s">
        <v>4292</v>
      </c>
      <c r="E1354" s="31" t="s">
        <v>31</v>
      </c>
      <c r="F1354" s="31">
        <v>3700000.0</v>
      </c>
      <c r="G1354" s="31" t="s">
        <v>23</v>
      </c>
      <c r="I1354" s="31" t="s">
        <v>229</v>
      </c>
      <c r="J1354" s="31" t="s">
        <v>967</v>
      </c>
      <c r="K1354" s="33" t="s">
        <v>4293</v>
      </c>
      <c r="L1354" s="31" t="s">
        <v>202</v>
      </c>
      <c r="N1354" s="31" t="s">
        <v>667</v>
      </c>
      <c r="U1354" s="31" t="s">
        <v>668</v>
      </c>
    </row>
    <row r="1355">
      <c r="A1355" s="29">
        <v>45941.8025678125</v>
      </c>
      <c r="B1355" s="30">
        <v>45940.0</v>
      </c>
      <c r="C1355" s="31" t="s">
        <v>4294</v>
      </c>
      <c r="D1355" s="32" t="s">
        <v>4295</v>
      </c>
      <c r="E1355" s="31" t="s">
        <v>31</v>
      </c>
      <c r="F1355" s="31">
        <v>1500000.0</v>
      </c>
      <c r="G1355" s="31" t="s">
        <v>23</v>
      </c>
      <c r="I1355" s="31" t="s">
        <v>229</v>
      </c>
      <c r="J1355" s="31" t="s">
        <v>967</v>
      </c>
      <c r="K1355" s="33" t="s">
        <v>4296</v>
      </c>
      <c r="L1355" s="31" t="s">
        <v>202</v>
      </c>
      <c r="N1355" s="31" t="s">
        <v>215</v>
      </c>
      <c r="W1355" s="31" t="s">
        <v>216</v>
      </c>
    </row>
    <row r="1356">
      <c r="A1356" s="29">
        <v>45941.83797256944</v>
      </c>
      <c r="B1356" s="30">
        <v>45941.0</v>
      </c>
      <c r="C1356" s="31" t="s">
        <v>4297</v>
      </c>
      <c r="D1356" s="31">
        <v>8.5333430502E10</v>
      </c>
      <c r="E1356" s="31" t="s">
        <v>4298</v>
      </c>
      <c r="F1356" s="31">
        <v>3000000.0</v>
      </c>
      <c r="G1356" s="31" t="s">
        <v>23</v>
      </c>
      <c r="H1356" s="31">
        <v>3000000.0</v>
      </c>
      <c r="I1356" s="31" t="s">
        <v>200</v>
      </c>
      <c r="K1356" s="33" t="s">
        <v>4299</v>
      </c>
      <c r="L1356" s="31" t="s">
        <v>252</v>
      </c>
      <c r="M1356" s="31" t="s">
        <v>203</v>
      </c>
      <c r="O1356" s="31" t="s">
        <v>205</v>
      </c>
      <c r="X1356" s="31" t="s">
        <v>549</v>
      </c>
    </row>
    <row r="1357">
      <c r="A1357" s="29">
        <v>45941.84528821759</v>
      </c>
      <c r="B1357" s="30">
        <v>45941.0</v>
      </c>
      <c r="C1357" s="31" t="s">
        <v>4300</v>
      </c>
      <c r="D1357" s="32" t="s">
        <v>4301</v>
      </c>
      <c r="E1357" s="31" t="s">
        <v>199</v>
      </c>
      <c r="F1357" s="31">
        <v>4000000.0</v>
      </c>
      <c r="G1357" s="31" t="s">
        <v>45</v>
      </c>
      <c r="H1357" s="31">
        <v>5000000.0</v>
      </c>
      <c r="I1357" s="31" t="s">
        <v>200</v>
      </c>
      <c r="K1357" s="33" t="s">
        <v>4302</v>
      </c>
      <c r="L1357" s="31" t="s">
        <v>252</v>
      </c>
      <c r="M1357" s="31" t="s">
        <v>203</v>
      </c>
      <c r="O1357" s="31" t="s">
        <v>205</v>
      </c>
      <c r="X1357" s="31" t="s">
        <v>452</v>
      </c>
    </row>
    <row r="1358">
      <c r="A1358" s="29">
        <v>45941.857246099535</v>
      </c>
      <c r="B1358" s="30">
        <v>45941.0</v>
      </c>
      <c r="C1358" s="31" t="s">
        <v>4303</v>
      </c>
      <c r="D1358" s="32" t="s">
        <v>4304</v>
      </c>
      <c r="E1358" s="31" t="s">
        <v>31</v>
      </c>
      <c r="F1358" s="31">
        <v>5999000.0</v>
      </c>
      <c r="G1358" s="31" t="s">
        <v>23</v>
      </c>
      <c r="H1358" s="31">
        <v>3000000.0</v>
      </c>
      <c r="I1358" s="31" t="s">
        <v>200</v>
      </c>
      <c r="K1358" s="33" t="s">
        <v>4305</v>
      </c>
      <c r="L1358" s="31" t="s">
        <v>202</v>
      </c>
      <c r="M1358" s="31" t="s">
        <v>926</v>
      </c>
      <c r="N1358" s="31" t="s">
        <v>204</v>
      </c>
      <c r="R1358" s="31" t="s">
        <v>207</v>
      </c>
    </row>
    <row r="1359">
      <c r="A1359" s="29">
        <v>45941.85768983796</v>
      </c>
      <c r="B1359" s="30">
        <v>45941.0</v>
      </c>
      <c r="C1359" s="31" t="s">
        <v>4306</v>
      </c>
      <c r="D1359" s="32" t="s">
        <v>4307</v>
      </c>
      <c r="E1359" s="31" t="s">
        <v>2902</v>
      </c>
      <c r="F1359" s="31">
        <v>3700000.0</v>
      </c>
      <c r="G1359" s="31" t="s">
        <v>23</v>
      </c>
      <c r="I1359" s="31" t="s">
        <v>229</v>
      </c>
      <c r="J1359" s="31" t="s">
        <v>967</v>
      </c>
      <c r="K1359" s="33" t="s">
        <v>4308</v>
      </c>
      <c r="L1359" s="31" t="s">
        <v>202</v>
      </c>
      <c r="N1359" s="31" t="s">
        <v>220</v>
      </c>
      <c r="S1359" s="31" t="s">
        <v>36</v>
      </c>
    </row>
    <row r="1360">
      <c r="A1360" s="29">
        <v>45941.89190342593</v>
      </c>
      <c r="B1360" s="30">
        <v>45941.0</v>
      </c>
      <c r="C1360" s="31" t="s">
        <v>4309</v>
      </c>
      <c r="D1360" s="32" t="s">
        <v>4310</v>
      </c>
      <c r="E1360" s="31" t="s">
        <v>31</v>
      </c>
      <c r="F1360" s="31">
        <v>1.1E7</v>
      </c>
      <c r="G1360" s="31" t="s">
        <v>23</v>
      </c>
      <c r="H1360" s="31">
        <v>3000000.0</v>
      </c>
      <c r="I1360" s="31" t="s">
        <v>200</v>
      </c>
      <c r="K1360" s="33" t="s">
        <v>4311</v>
      </c>
      <c r="L1360" s="31" t="s">
        <v>202</v>
      </c>
      <c r="M1360" s="31" t="s">
        <v>203</v>
      </c>
      <c r="N1360" s="31" t="s">
        <v>204</v>
      </c>
      <c r="R1360" s="31" t="s">
        <v>471</v>
      </c>
    </row>
    <row r="1361">
      <c r="A1361" s="29">
        <v>45941.89687142361</v>
      </c>
      <c r="B1361" s="30">
        <v>45941.0</v>
      </c>
      <c r="C1361" s="31" t="s">
        <v>4312</v>
      </c>
      <c r="D1361" s="32" t="s">
        <v>4313</v>
      </c>
      <c r="E1361" s="31" t="s">
        <v>31</v>
      </c>
      <c r="F1361" s="31">
        <v>4500000.0</v>
      </c>
      <c r="G1361" s="31" t="s">
        <v>23</v>
      </c>
      <c r="I1361" s="31" t="s">
        <v>229</v>
      </c>
      <c r="J1361" s="31" t="s">
        <v>967</v>
      </c>
      <c r="K1361" s="33" t="s">
        <v>4314</v>
      </c>
      <c r="L1361" s="31" t="s">
        <v>202</v>
      </c>
      <c r="N1361" s="31" t="s">
        <v>204</v>
      </c>
      <c r="R1361" s="31" t="s">
        <v>98</v>
      </c>
    </row>
    <row r="1362">
      <c r="A1362" s="29">
        <v>45941.89993518518</v>
      </c>
      <c r="B1362" s="30">
        <v>45941.0</v>
      </c>
      <c r="C1362" s="31" t="s">
        <v>4315</v>
      </c>
      <c r="D1362" s="32" t="s">
        <v>4316</v>
      </c>
      <c r="E1362" s="31" t="s">
        <v>43</v>
      </c>
      <c r="F1362" s="31">
        <v>2600000.0</v>
      </c>
      <c r="G1362" s="31" t="s">
        <v>23</v>
      </c>
      <c r="H1362" s="31">
        <v>1600000.0</v>
      </c>
      <c r="I1362" s="31" t="s">
        <v>413</v>
      </c>
      <c r="K1362" s="33" t="s">
        <v>4317</v>
      </c>
      <c r="L1362" s="31" t="s">
        <v>252</v>
      </c>
      <c r="M1362" s="31" t="s">
        <v>203</v>
      </c>
      <c r="O1362" s="31" t="s">
        <v>205</v>
      </c>
      <c r="X1362" s="31" t="s">
        <v>452</v>
      </c>
    </row>
    <row r="1363">
      <c r="A1363" s="29">
        <v>45942.482537222226</v>
      </c>
      <c r="B1363" s="30">
        <v>45942.0</v>
      </c>
      <c r="C1363" s="31" t="s">
        <v>4318</v>
      </c>
      <c r="D1363" s="31">
        <v>0.0</v>
      </c>
      <c r="E1363" s="31" t="s">
        <v>199</v>
      </c>
      <c r="F1363" s="34">
        <v>3400.0</v>
      </c>
      <c r="G1363" s="31" t="s">
        <v>23</v>
      </c>
      <c r="H1363" s="31">
        <v>7000000.0</v>
      </c>
      <c r="I1363" s="31" t="s">
        <v>200</v>
      </c>
      <c r="K1363" s="33" t="s">
        <v>4319</v>
      </c>
      <c r="L1363" s="31" t="s">
        <v>252</v>
      </c>
      <c r="M1363" s="31" t="s">
        <v>605</v>
      </c>
      <c r="O1363" s="31" t="s">
        <v>257</v>
      </c>
      <c r="P1363" s="31" t="s">
        <v>992</v>
      </c>
    </row>
    <row r="1364">
      <c r="A1364" s="29">
        <v>45942.51250424769</v>
      </c>
      <c r="B1364" s="30">
        <v>45942.0</v>
      </c>
      <c r="C1364" s="31" t="s">
        <v>4320</v>
      </c>
      <c r="D1364" s="32" t="s">
        <v>4321</v>
      </c>
      <c r="E1364" s="31" t="s">
        <v>31</v>
      </c>
      <c r="F1364" s="31">
        <v>2500000.0</v>
      </c>
      <c r="G1364" s="31" t="s">
        <v>23</v>
      </c>
      <c r="I1364" s="31" t="s">
        <v>229</v>
      </c>
      <c r="J1364" s="31" t="s">
        <v>967</v>
      </c>
      <c r="K1364" s="33" t="s">
        <v>4322</v>
      </c>
      <c r="L1364" s="31" t="s">
        <v>252</v>
      </c>
      <c r="O1364" s="31" t="s">
        <v>257</v>
      </c>
      <c r="P1364" s="31" t="s">
        <v>3194</v>
      </c>
    </row>
    <row r="1365">
      <c r="A1365" s="29">
        <v>45942.5229124537</v>
      </c>
      <c r="B1365" s="30">
        <v>45942.0</v>
      </c>
      <c r="C1365" s="31" t="s">
        <v>4323</v>
      </c>
      <c r="D1365" s="32" t="s">
        <v>4324</v>
      </c>
      <c r="E1365" s="31" t="s">
        <v>4325</v>
      </c>
      <c r="F1365" s="31">
        <v>3100000.0</v>
      </c>
      <c r="G1365" s="31" t="s">
        <v>23</v>
      </c>
      <c r="H1365" s="31">
        <v>3000000.0</v>
      </c>
      <c r="I1365" s="31" t="s">
        <v>413</v>
      </c>
      <c r="K1365" s="33" t="s">
        <v>4326</v>
      </c>
      <c r="L1365" s="31" t="s">
        <v>202</v>
      </c>
      <c r="M1365" s="31" t="s">
        <v>203</v>
      </c>
      <c r="N1365" s="31" t="s">
        <v>313</v>
      </c>
      <c r="T1365" s="31" t="s">
        <v>384</v>
      </c>
    </row>
    <row r="1366">
      <c r="A1366" s="29">
        <v>45942.52469503472</v>
      </c>
      <c r="B1366" s="30">
        <v>45942.0</v>
      </c>
      <c r="C1366" s="31" t="s">
        <v>4327</v>
      </c>
      <c r="D1366" s="32" t="s">
        <v>4328</v>
      </c>
      <c r="E1366" s="31" t="s">
        <v>4329</v>
      </c>
      <c r="F1366" s="31">
        <v>3100000.0</v>
      </c>
      <c r="G1366" s="31" t="s">
        <v>23</v>
      </c>
      <c r="I1366" s="31" t="s">
        <v>229</v>
      </c>
      <c r="J1366" s="31" t="s">
        <v>967</v>
      </c>
      <c r="K1366" s="33" t="s">
        <v>4330</v>
      </c>
      <c r="L1366" s="31" t="s">
        <v>202</v>
      </c>
      <c r="N1366" s="31" t="s">
        <v>313</v>
      </c>
      <c r="T1366" s="31" t="s">
        <v>384</v>
      </c>
    </row>
    <row r="1367">
      <c r="A1367" s="29">
        <v>45942.58608158564</v>
      </c>
      <c r="B1367" s="30">
        <v>45942.0</v>
      </c>
      <c r="C1367" s="31" t="s">
        <v>4331</v>
      </c>
      <c r="D1367" s="32" t="s">
        <v>4332</v>
      </c>
      <c r="E1367" s="31" t="s">
        <v>3939</v>
      </c>
      <c r="F1367" s="31">
        <v>3000000.0</v>
      </c>
      <c r="G1367" s="31" t="s">
        <v>23</v>
      </c>
      <c r="I1367" s="31" t="s">
        <v>229</v>
      </c>
      <c r="J1367" s="31" t="s">
        <v>967</v>
      </c>
      <c r="K1367" s="33" t="s">
        <v>4333</v>
      </c>
      <c r="L1367" s="31" t="s">
        <v>202</v>
      </c>
      <c r="N1367" s="31" t="s">
        <v>313</v>
      </c>
      <c r="T1367" s="31" t="s">
        <v>384</v>
      </c>
    </row>
    <row r="1368">
      <c r="A1368" s="29">
        <v>45942.80294537037</v>
      </c>
      <c r="B1368" s="30">
        <v>45942.0</v>
      </c>
      <c r="C1368" s="31" t="s">
        <v>4334</v>
      </c>
      <c r="D1368" s="32" t="s">
        <v>4335</v>
      </c>
      <c r="E1368" s="31" t="s">
        <v>228</v>
      </c>
      <c r="F1368" s="31">
        <v>3400000.0</v>
      </c>
      <c r="G1368" s="31" t="s">
        <v>23</v>
      </c>
      <c r="H1368" s="31">
        <v>3000000.0</v>
      </c>
      <c r="I1368" s="31" t="s">
        <v>413</v>
      </c>
      <c r="K1368" s="33" t="s">
        <v>4336</v>
      </c>
      <c r="L1368" s="31" t="s">
        <v>202</v>
      </c>
      <c r="M1368" s="31" t="s">
        <v>203</v>
      </c>
      <c r="N1368" s="31" t="s">
        <v>204</v>
      </c>
      <c r="R1368" s="31" t="s">
        <v>98</v>
      </c>
    </row>
    <row r="1369">
      <c r="A1369" s="29">
        <v>45942.804815752315</v>
      </c>
      <c r="B1369" s="30">
        <v>45942.0</v>
      </c>
      <c r="C1369" s="31" t="s">
        <v>4337</v>
      </c>
      <c r="D1369" s="32" t="s">
        <v>4338</v>
      </c>
      <c r="E1369" s="31" t="s">
        <v>43</v>
      </c>
      <c r="F1369" s="31">
        <v>3500000.0</v>
      </c>
      <c r="G1369" s="31" t="s">
        <v>23</v>
      </c>
      <c r="I1369" s="31" t="s">
        <v>229</v>
      </c>
      <c r="J1369" s="31" t="s">
        <v>967</v>
      </c>
      <c r="K1369" s="33" t="s">
        <v>4339</v>
      </c>
      <c r="L1369" s="31" t="s">
        <v>202</v>
      </c>
      <c r="N1369" s="31" t="s">
        <v>204</v>
      </c>
      <c r="R1369" s="31" t="s">
        <v>98</v>
      </c>
    </row>
    <row r="1370">
      <c r="A1370" s="29">
        <v>45942.80656712963</v>
      </c>
      <c r="B1370" s="30">
        <v>45942.0</v>
      </c>
      <c r="C1370" s="31" t="s">
        <v>4340</v>
      </c>
      <c r="D1370" s="32" t="s">
        <v>4341</v>
      </c>
      <c r="E1370" s="31" t="s">
        <v>288</v>
      </c>
      <c r="F1370" s="31">
        <v>3600000.0</v>
      </c>
      <c r="G1370" s="31" t="s">
        <v>23</v>
      </c>
      <c r="I1370" s="31" t="s">
        <v>229</v>
      </c>
      <c r="J1370" s="31" t="s">
        <v>967</v>
      </c>
      <c r="K1370" s="33" t="s">
        <v>4342</v>
      </c>
      <c r="L1370" s="31" t="s">
        <v>202</v>
      </c>
      <c r="N1370" s="31" t="s">
        <v>204</v>
      </c>
      <c r="R1370" s="31" t="s">
        <v>90</v>
      </c>
    </row>
    <row r="1371">
      <c r="A1371" s="29">
        <v>45943.44179134259</v>
      </c>
      <c r="B1371" s="30">
        <v>45943.0</v>
      </c>
      <c r="C1371" s="31" t="s">
        <v>4343</v>
      </c>
      <c r="D1371" s="32" t="s">
        <v>4344</v>
      </c>
      <c r="E1371" s="31" t="s">
        <v>43</v>
      </c>
      <c r="F1371" s="31">
        <v>3600000.0</v>
      </c>
      <c r="G1371" s="31" t="s">
        <v>23</v>
      </c>
      <c r="I1371" s="31" t="s">
        <v>229</v>
      </c>
      <c r="J1371" s="31" t="s">
        <v>967</v>
      </c>
      <c r="K1371" s="33" t="s">
        <v>4345</v>
      </c>
      <c r="L1371" s="31" t="s">
        <v>252</v>
      </c>
      <c r="O1371" s="31" t="s">
        <v>257</v>
      </c>
      <c r="P1371" s="31" t="s">
        <v>2453</v>
      </c>
    </row>
    <row r="1372">
      <c r="A1372" s="29">
        <v>45943.44336635417</v>
      </c>
      <c r="B1372" s="30">
        <v>45943.0</v>
      </c>
      <c r="C1372" s="31" t="s">
        <v>4346</v>
      </c>
      <c r="D1372" s="32" t="s">
        <v>4347</v>
      </c>
      <c r="E1372" s="31" t="s">
        <v>43</v>
      </c>
      <c r="F1372" s="31">
        <v>3500000.0</v>
      </c>
      <c r="G1372" s="31" t="s">
        <v>23</v>
      </c>
      <c r="I1372" s="31" t="s">
        <v>229</v>
      </c>
      <c r="J1372" s="31" t="s">
        <v>967</v>
      </c>
      <c r="K1372" s="33" t="s">
        <v>4348</v>
      </c>
      <c r="L1372" s="31" t="s">
        <v>252</v>
      </c>
      <c r="O1372" s="31" t="s">
        <v>257</v>
      </c>
      <c r="P1372" s="31" t="s">
        <v>2453</v>
      </c>
    </row>
    <row r="1373">
      <c r="A1373" s="29">
        <v>45943.44674820601</v>
      </c>
      <c r="B1373" s="30">
        <v>45943.0</v>
      </c>
      <c r="C1373" s="31" t="s">
        <v>4349</v>
      </c>
      <c r="D1373" s="32" t="s">
        <v>4350</v>
      </c>
      <c r="E1373" s="31" t="s">
        <v>4351</v>
      </c>
      <c r="F1373" s="31">
        <v>3400000.0</v>
      </c>
      <c r="G1373" s="31" t="s">
        <v>23</v>
      </c>
      <c r="H1373" s="31">
        <v>3000000.0</v>
      </c>
      <c r="I1373" s="31" t="s">
        <v>413</v>
      </c>
      <c r="K1373" s="33" t="s">
        <v>4352</v>
      </c>
      <c r="L1373" s="31" t="s">
        <v>202</v>
      </c>
      <c r="M1373" s="31" t="s">
        <v>203</v>
      </c>
      <c r="N1373" s="31" t="s">
        <v>313</v>
      </c>
      <c r="T1373" s="31" t="s">
        <v>384</v>
      </c>
    </row>
    <row r="1374">
      <c r="A1374" s="29">
        <v>45943.45216189815</v>
      </c>
      <c r="B1374" s="30">
        <v>45943.0</v>
      </c>
      <c r="C1374" s="31" t="s">
        <v>4353</v>
      </c>
      <c r="D1374" s="32" t="s">
        <v>4354</v>
      </c>
      <c r="E1374" s="31" t="s">
        <v>43</v>
      </c>
      <c r="F1374" s="31">
        <v>7500000.0</v>
      </c>
      <c r="G1374" s="31" t="s">
        <v>23</v>
      </c>
      <c r="I1374" s="31" t="s">
        <v>229</v>
      </c>
      <c r="J1374" s="31" t="s">
        <v>967</v>
      </c>
      <c r="K1374" s="33" t="s">
        <v>4355</v>
      </c>
      <c r="L1374" s="31" t="s">
        <v>252</v>
      </c>
      <c r="O1374" s="31" t="s">
        <v>257</v>
      </c>
      <c r="P1374" s="31" t="s">
        <v>258</v>
      </c>
    </row>
    <row r="1375">
      <c r="A1375" s="29">
        <v>45943.46635836805</v>
      </c>
      <c r="B1375" s="30">
        <v>45943.0</v>
      </c>
      <c r="C1375" s="31" t="s">
        <v>4356</v>
      </c>
      <c r="D1375" s="32" t="s">
        <v>4357</v>
      </c>
      <c r="E1375" s="31" t="s">
        <v>4358</v>
      </c>
      <c r="F1375" s="31">
        <v>4000000.0</v>
      </c>
      <c r="G1375" s="31" t="s">
        <v>23</v>
      </c>
      <c r="I1375" s="31" t="s">
        <v>229</v>
      </c>
      <c r="J1375" s="31" t="s">
        <v>967</v>
      </c>
      <c r="K1375" s="33" t="s">
        <v>4359</v>
      </c>
      <c r="L1375" s="31" t="s">
        <v>202</v>
      </c>
      <c r="N1375" s="31" t="s">
        <v>204</v>
      </c>
      <c r="R1375" s="31" t="s">
        <v>98</v>
      </c>
    </row>
    <row r="1376">
      <c r="A1376" s="29">
        <v>45943.47245908565</v>
      </c>
      <c r="B1376" s="30">
        <v>45943.0</v>
      </c>
      <c r="C1376" s="31" t="s">
        <v>4360</v>
      </c>
      <c r="D1376" s="32" t="s">
        <v>4361</v>
      </c>
      <c r="E1376" s="31" t="s">
        <v>43</v>
      </c>
      <c r="F1376" s="31">
        <v>4300000.0</v>
      </c>
      <c r="G1376" s="31" t="s">
        <v>23</v>
      </c>
      <c r="I1376" s="31" t="s">
        <v>229</v>
      </c>
      <c r="J1376" s="31" t="s">
        <v>967</v>
      </c>
      <c r="K1376" s="33" t="s">
        <v>4362</v>
      </c>
      <c r="L1376" s="31" t="s">
        <v>202</v>
      </c>
      <c r="N1376" s="31" t="s">
        <v>667</v>
      </c>
      <c r="U1376" s="31" t="s">
        <v>3950</v>
      </c>
    </row>
    <row r="1377">
      <c r="A1377" s="29">
        <v>45943.47472579862</v>
      </c>
      <c r="B1377" s="30">
        <v>45943.0</v>
      </c>
      <c r="C1377" s="31" t="s">
        <v>4363</v>
      </c>
      <c r="D1377" s="32" t="s">
        <v>4364</v>
      </c>
      <c r="E1377" s="31" t="s">
        <v>43</v>
      </c>
      <c r="F1377" s="31">
        <v>3200000.0</v>
      </c>
      <c r="G1377" s="31" t="s">
        <v>23</v>
      </c>
      <c r="H1377" s="31">
        <v>3000000.0</v>
      </c>
      <c r="I1377" s="31" t="s">
        <v>413</v>
      </c>
      <c r="K1377" s="33" t="s">
        <v>4365</v>
      </c>
      <c r="L1377" s="31" t="s">
        <v>202</v>
      </c>
      <c r="M1377" s="31" t="s">
        <v>203</v>
      </c>
      <c r="N1377" s="31" t="s">
        <v>204</v>
      </c>
      <c r="R1377" s="31" t="s">
        <v>207</v>
      </c>
    </row>
    <row r="1378">
      <c r="A1378" s="29">
        <v>45943.49119729167</v>
      </c>
      <c r="B1378" s="30">
        <v>45943.0</v>
      </c>
      <c r="C1378" s="31" t="s">
        <v>4366</v>
      </c>
      <c r="D1378" s="32" t="s">
        <v>4367</v>
      </c>
      <c r="E1378" s="31" t="s">
        <v>283</v>
      </c>
      <c r="F1378" s="31">
        <v>4000000.0</v>
      </c>
      <c r="G1378" s="31" t="s">
        <v>23</v>
      </c>
      <c r="I1378" s="31" t="s">
        <v>229</v>
      </c>
      <c r="J1378" s="31" t="s">
        <v>498</v>
      </c>
      <c r="K1378" s="33" t="s">
        <v>4368</v>
      </c>
      <c r="L1378" s="31" t="s">
        <v>202</v>
      </c>
      <c r="N1378" s="31" t="s">
        <v>500</v>
      </c>
      <c r="V1378" s="31" t="s">
        <v>501</v>
      </c>
    </row>
    <row r="1379">
      <c r="A1379" s="29">
        <v>45943.491986863424</v>
      </c>
      <c r="B1379" s="30">
        <v>45943.0</v>
      </c>
      <c r="C1379" s="31" t="s">
        <v>4369</v>
      </c>
      <c r="D1379" s="32" t="s">
        <v>4370</v>
      </c>
      <c r="E1379" s="31" t="s">
        <v>679</v>
      </c>
      <c r="F1379" s="31">
        <v>7100000.0</v>
      </c>
      <c r="G1379" s="31" t="s">
        <v>23</v>
      </c>
      <c r="I1379" s="31" t="s">
        <v>229</v>
      </c>
      <c r="J1379" s="31" t="s">
        <v>967</v>
      </c>
      <c r="K1379" s="33" t="s">
        <v>4371</v>
      </c>
      <c r="L1379" s="31" t="s">
        <v>202</v>
      </c>
      <c r="N1379" s="31" t="s">
        <v>313</v>
      </c>
      <c r="T1379" s="31" t="s">
        <v>314</v>
      </c>
    </row>
    <row r="1380">
      <c r="A1380" s="29">
        <v>45943.50392846065</v>
      </c>
      <c r="B1380" s="30">
        <v>45943.0</v>
      </c>
      <c r="C1380" s="31" t="s">
        <v>4372</v>
      </c>
      <c r="D1380" s="32" t="s">
        <v>4373</v>
      </c>
      <c r="E1380" s="31" t="s">
        <v>43</v>
      </c>
      <c r="F1380" s="31">
        <v>2300000.0</v>
      </c>
      <c r="G1380" s="31" t="s">
        <v>23</v>
      </c>
      <c r="I1380" s="31" t="s">
        <v>229</v>
      </c>
      <c r="J1380" s="31" t="s">
        <v>967</v>
      </c>
      <c r="K1380" s="33" t="s">
        <v>4374</v>
      </c>
      <c r="L1380" s="31" t="s">
        <v>202</v>
      </c>
      <c r="N1380" s="31" t="s">
        <v>667</v>
      </c>
      <c r="U1380" s="31" t="s">
        <v>3950</v>
      </c>
    </row>
    <row r="1381">
      <c r="A1381" s="29">
        <v>45943.506891412035</v>
      </c>
      <c r="B1381" s="30">
        <v>45931.0</v>
      </c>
      <c r="C1381" s="31" t="s">
        <v>4375</v>
      </c>
      <c r="D1381" s="32" t="s">
        <v>4376</v>
      </c>
      <c r="E1381" s="31" t="s">
        <v>261</v>
      </c>
      <c r="F1381" s="31">
        <v>5400000.0</v>
      </c>
      <c r="G1381" s="31" t="s">
        <v>23</v>
      </c>
      <c r="I1381" s="31" t="s">
        <v>229</v>
      </c>
      <c r="J1381" s="31" t="s">
        <v>967</v>
      </c>
      <c r="K1381" s="33" t="s">
        <v>4377</v>
      </c>
      <c r="L1381" s="31" t="s">
        <v>202</v>
      </c>
      <c r="N1381" s="31" t="s">
        <v>220</v>
      </c>
      <c r="S1381" s="31" t="s">
        <v>124</v>
      </c>
    </row>
    <row r="1382">
      <c r="A1382" s="29">
        <v>45943.50830311343</v>
      </c>
      <c r="B1382" s="30">
        <v>45936.0</v>
      </c>
      <c r="C1382" s="31" t="s">
        <v>3865</v>
      </c>
      <c r="D1382" s="32" t="s">
        <v>4378</v>
      </c>
      <c r="E1382" s="31" t="s">
        <v>228</v>
      </c>
      <c r="F1382" s="31">
        <v>4000000.0</v>
      </c>
      <c r="G1382" s="31" t="s">
        <v>23</v>
      </c>
      <c r="I1382" s="31" t="s">
        <v>229</v>
      </c>
      <c r="J1382" s="31" t="s">
        <v>967</v>
      </c>
      <c r="K1382" s="33" t="s">
        <v>4379</v>
      </c>
      <c r="L1382" s="31" t="s">
        <v>202</v>
      </c>
      <c r="N1382" s="31" t="s">
        <v>220</v>
      </c>
      <c r="S1382" s="31" t="s">
        <v>124</v>
      </c>
    </row>
    <row r="1383">
      <c r="A1383" s="29">
        <v>45943.50957149305</v>
      </c>
      <c r="B1383" s="30">
        <v>45943.0</v>
      </c>
      <c r="C1383" s="31" t="s">
        <v>4380</v>
      </c>
      <c r="D1383" s="32" t="s">
        <v>4381</v>
      </c>
      <c r="E1383" s="31" t="s">
        <v>43</v>
      </c>
      <c r="F1383" s="31">
        <v>4500000.0</v>
      </c>
      <c r="G1383" s="31" t="s">
        <v>23</v>
      </c>
      <c r="I1383" s="31" t="s">
        <v>229</v>
      </c>
      <c r="J1383" s="31" t="s">
        <v>967</v>
      </c>
      <c r="K1383" s="33" t="s">
        <v>4382</v>
      </c>
      <c r="L1383" s="31" t="s">
        <v>202</v>
      </c>
      <c r="N1383" s="31" t="s">
        <v>220</v>
      </c>
      <c r="S1383" s="31" t="s">
        <v>124</v>
      </c>
    </row>
    <row r="1384">
      <c r="A1384" s="29">
        <v>45943.510591886574</v>
      </c>
      <c r="B1384" s="30">
        <v>45943.0</v>
      </c>
      <c r="C1384" s="31" t="s">
        <v>4383</v>
      </c>
      <c r="D1384" s="32" t="s">
        <v>4384</v>
      </c>
      <c r="E1384" s="31" t="s">
        <v>228</v>
      </c>
      <c r="F1384" s="31">
        <v>5000000.0</v>
      </c>
      <c r="G1384" s="31" t="s">
        <v>23</v>
      </c>
      <c r="I1384" s="31" t="s">
        <v>229</v>
      </c>
      <c r="J1384" s="31" t="s">
        <v>967</v>
      </c>
      <c r="K1384" s="33" t="s">
        <v>4385</v>
      </c>
      <c r="L1384" s="31" t="s">
        <v>202</v>
      </c>
      <c r="N1384" s="31" t="s">
        <v>220</v>
      </c>
      <c r="S1384" s="31" t="s">
        <v>124</v>
      </c>
    </row>
    <row r="1385">
      <c r="A1385" s="29">
        <v>45943.51097505787</v>
      </c>
      <c r="B1385" s="30">
        <v>45943.0</v>
      </c>
      <c r="C1385" s="31" t="s">
        <v>4386</v>
      </c>
      <c r="D1385" s="32" t="s">
        <v>4387</v>
      </c>
      <c r="E1385" s="31" t="s">
        <v>31</v>
      </c>
      <c r="F1385" s="31">
        <v>2500000.0</v>
      </c>
      <c r="G1385" s="31" t="s">
        <v>23</v>
      </c>
      <c r="H1385" s="31">
        <v>5000000.0</v>
      </c>
      <c r="I1385" s="31" t="s">
        <v>200</v>
      </c>
      <c r="K1385" s="33" t="s">
        <v>4388</v>
      </c>
      <c r="L1385" s="31" t="s">
        <v>202</v>
      </c>
      <c r="M1385" s="31" t="s">
        <v>383</v>
      </c>
      <c r="N1385" s="31" t="s">
        <v>215</v>
      </c>
      <c r="W1385" s="31" t="s">
        <v>216</v>
      </c>
    </row>
    <row r="1386">
      <c r="A1386" s="29">
        <v>45943.51226708334</v>
      </c>
      <c r="B1386" s="30">
        <v>45943.0</v>
      </c>
      <c r="C1386" s="31" t="s">
        <v>4389</v>
      </c>
      <c r="D1386" s="32" t="s">
        <v>4390</v>
      </c>
      <c r="E1386" s="31" t="s">
        <v>31</v>
      </c>
      <c r="F1386" s="31">
        <v>2500000.0</v>
      </c>
      <c r="G1386" s="31" t="s">
        <v>23</v>
      </c>
      <c r="I1386" s="31" t="s">
        <v>229</v>
      </c>
      <c r="J1386" s="31" t="s">
        <v>967</v>
      </c>
      <c r="K1386" s="33" t="s">
        <v>4391</v>
      </c>
      <c r="L1386" s="31" t="s">
        <v>252</v>
      </c>
      <c r="O1386" s="31" t="s">
        <v>257</v>
      </c>
      <c r="P1386" s="31" t="s">
        <v>206</v>
      </c>
    </row>
    <row r="1387">
      <c r="A1387" s="29">
        <v>45943.5128512963</v>
      </c>
      <c r="B1387" s="30">
        <v>45941.0</v>
      </c>
      <c r="C1387" s="31" t="s">
        <v>4392</v>
      </c>
      <c r="D1387" s="31">
        <v>8.2119461718E10</v>
      </c>
      <c r="E1387" s="31" t="s">
        <v>199</v>
      </c>
      <c r="F1387" s="31">
        <v>6000000.0</v>
      </c>
      <c r="G1387" s="31" t="s">
        <v>45</v>
      </c>
      <c r="H1387" s="31">
        <v>7000000.0</v>
      </c>
      <c r="I1387" s="31" t="s">
        <v>200</v>
      </c>
      <c r="K1387" s="31" t="s">
        <v>4393</v>
      </c>
      <c r="L1387" s="31" t="s">
        <v>202</v>
      </c>
      <c r="M1387" s="31" t="s">
        <v>203</v>
      </c>
      <c r="N1387" s="31" t="s">
        <v>220</v>
      </c>
      <c r="S1387" s="31" t="s">
        <v>124</v>
      </c>
    </row>
    <row r="1388">
      <c r="A1388" s="29">
        <v>45943.514440370374</v>
      </c>
      <c r="B1388" s="30">
        <v>45937.0</v>
      </c>
      <c r="C1388" s="31" t="s">
        <v>4394</v>
      </c>
      <c r="D1388" s="32" t="s">
        <v>4395</v>
      </c>
      <c r="E1388" s="31" t="s">
        <v>43</v>
      </c>
      <c r="F1388" s="31">
        <v>6000000.0</v>
      </c>
      <c r="G1388" s="31" t="s">
        <v>23</v>
      </c>
      <c r="H1388" s="31">
        <v>10.0</v>
      </c>
      <c r="I1388" s="31" t="s">
        <v>413</v>
      </c>
      <c r="K1388" s="33" t="s">
        <v>4396</v>
      </c>
      <c r="L1388" s="31" t="s">
        <v>202</v>
      </c>
      <c r="M1388" s="31" t="s">
        <v>203</v>
      </c>
      <c r="N1388" s="31" t="s">
        <v>220</v>
      </c>
      <c r="S1388" s="31" t="s">
        <v>124</v>
      </c>
    </row>
    <row r="1389">
      <c r="A1389" s="29">
        <v>45943.51613025463</v>
      </c>
      <c r="B1389" s="30">
        <v>45937.0</v>
      </c>
      <c r="C1389" s="31" t="s">
        <v>4397</v>
      </c>
      <c r="D1389" s="32" t="s">
        <v>4398</v>
      </c>
      <c r="E1389" s="31" t="s">
        <v>43</v>
      </c>
      <c r="F1389" s="31">
        <v>5000000.0</v>
      </c>
      <c r="G1389" s="31" t="s">
        <v>23</v>
      </c>
      <c r="I1389" s="31" t="s">
        <v>229</v>
      </c>
      <c r="J1389" s="31" t="s">
        <v>967</v>
      </c>
      <c r="K1389" s="33" t="s">
        <v>4399</v>
      </c>
      <c r="L1389" s="31" t="s">
        <v>202</v>
      </c>
      <c r="N1389" s="31" t="s">
        <v>220</v>
      </c>
      <c r="S1389" s="31" t="s">
        <v>124</v>
      </c>
    </row>
    <row r="1390">
      <c r="A1390" s="29">
        <v>45943.51878701389</v>
      </c>
      <c r="B1390" s="30">
        <v>45940.0</v>
      </c>
      <c r="C1390" s="31" t="s">
        <v>4400</v>
      </c>
      <c r="D1390" s="31">
        <v>8.1222632283E10</v>
      </c>
      <c r="E1390" s="31" t="s">
        <v>43</v>
      </c>
      <c r="F1390" s="31">
        <v>7000000.0</v>
      </c>
      <c r="G1390" s="31" t="s">
        <v>23</v>
      </c>
      <c r="I1390" s="31" t="s">
        <v>229</v>
      </c>
      <c r="J1390" s="31" t="s">
        <v>967</v>
      </c>
      <c r="K1390" s="33" t="s">
        <v>4401</v>
      </c>
      <c r="L1390" s="31" t="s">
        <v>202</v>
      </c>
      <c r="N1390" s="31" t="s">
        <v>220</v>
      </c>
      <c r="S1390" s="31" t="s">
        <v>124</v>
      </c>
    </row>
    <row r="1391">
      <c r="A1391" s="29">
        <v>45943.524105034725</v>
      </c>
      <c r="B1391" s="30">
        <v>45943.0</v>
      </c>
      <c r="C1391" s="31" t="s">
        <v>4402</v>
      </c>
      <c r="D1391" s="32" t="s">
        <v>4403</v>
      </c>
      <c r="E1391" s="31" t="s">
        <v>43</v>
      </c>
      <c r="F1391" s="31">
        <v>3000000.0</v>
      </c>
      <c r="G1391" s="31" t="s">
        <v>23</v>
      </c>
      <c r="I1391" s="31" t="s">
        <v>229</v>
      </c>
      <c r="J1391" s="31" t="s">
        <v>967</v>
      </c>
      <c r="K1391" s="33" t="s">
        <v>4404</v>
      </c>
      <c r="L1391" s="31" t="s">
        <v>202</v>
      </c>
      <c r="N1391" s="31" t="s">
        <v>871</v>
      </c>
      <c r="Q1391" s="31" t="s">
        <v>872</v>
      </c>
    </row>
    <row r="1392">
      <c r="A1392" s="29">
        <v>45943.52545638889</v>
      </c>
      <c r="B1392" s="30">
        <v>45943.0</v>
      </c>
      <c r="C1392" s="31" t="s">
        <v>4405</v>
      </c>
      <c r="D1392" s="32" t="s">
        <v>4406</v>
      </c>
      <c r="E1392" s="31" t="s">
        <v>43</v>
      </c>
      <c r="F1392" s="31">
        <v>6200000.0</v>
      </c>
      <c r="G1392" s="31" t="s">
        <v>23</v>
      </c>
      <c r="H1392" s="31">
        <v>3000000.0</v>
      </c>
      <c r="I1392" s="31" t="s">
        <v>413</v>
      </c>
      <c r="K1392" s="33" t="s">
        <v>4407</v>
      </c>
      <c r="L1392" s="31" t="s">
        <v>202</v>
      </c>
      <c r="M1392" s="31" t="s">
        <v>203</v>
      </c>
      <c r="N1392" s="31" t="s">
        <v>313</v>
      </c>
      <c r="T1392" s="31" t="s">
        <v>329</v>
      </c>
    </row>
    <row r="1393">
      <c r="A1393" s="29">
        <v>45943.52712328704</v>
      </c>
      <c r="B1393" s="30">
        <v>45943.0</v>
      </c>
      <c r="C1393" s="31" t="s">
        <v>4408</v>
      </c>
      <c r="D1393" s="32" t="s">
        <v>4409</v>
      </c>
      <c r="E1393" s="31" t="s">
        <v>43</v>
      </c>
      <c r="F1393" s="31">
        <v>1800000.0</v>
      </c>
      <c r="G1393" s="31" t="s">
        <v>23</v>
      </c>
      <c r="I1393" s="31" t="s">
        <v>229</v>
      </c>
      <c r="J1393" s="31" t="s">
        <v>967</v>
      </c>
      <c r="K1393" s="33" t="s">
        <v>4410</v>
      </c>
      <c r="L1393" s="31" t="s">
        <v>252</v>
      </c>
      <c r="O1393" s="31" t="s">
        <v>205</v>
      </c>
      <c r="X1393" s="31" t="s">
        <v>716</v>
      </c>
    </row>
    <row r="1394">
      <c r="A1394" s="29">
        <v>45943.54740966435</v>
      </c>
      <c r="B1394" s="30">
        <v>45943.0</v>
      </c>
      <c r="C1394" s="31" t="s">
        <v>4411</v>
      </c>
      <c r="D1394" s="32" t="s">
        <v>4412</v>
      </c>
      <c r="E1394" s="31" t="s">
        <v>43</v>
      </c>
      <c r="F1394" s="31">
        <v>2000000.0</v>
      </c>
      <c r="G1394" s="31" t="s">
        <v>23</v>
      </c>
      <c r="I1394" s="31" t="s">
        <v>229</v>
      </c>
      <c r="J1394" s="31" t="s">
        <v>967</v>
      </c>
      <c r="K1394" s="33" t="s">
        <v>4413</v>
      </c>
      <c r="L1394" s="31" t="s">
        <v>202</v>
      </c>
      <c r="N1394" s="31" t="s">
        <v>215</v>
      </c>
      <c r="W1394" s="31" t="s">
        <v>216</v>
      </c>
    </row>
    <row r="1395">
      <c r="A1395" s="29">
        <v>45943.547824953705</v>
      </c>
      <c r="B1395" s="30">
        <v>45943.0</v>
      </c>
      <c r="C1395" s="31" t="s">
        <v>4414</v>
      </c>
      <c r="D1395" s="32" t="s">
        <v>4415</v>
      </c>
      <c r="E1395" s="31" t="s">
        <v>43</v>
      </c>
      <c r="F1395" s="34">
        <v>4500.0</v>
      </c>
      <c r="G1395" s="31" t="s">
        <v>45</v>
      </c>
      <c r="I1395" s="31" t="s">
        <v>229</v>
      </c>
      <c r="J1395" s="31" t="s">
        <v>967</v>
      </c>
      <c r="K1395" s="33" t="s">
        <v>4416</v>
      </c>
      <c r="L1395" s="31" t="s">
        <v>202</v>
      </c>
      <c r="N1395" s="31" t="s">
        <v>871</v>
      </c>
      <c r="Q1395" s="31" t="s">
        <v>2403</v>
      </c>
    </row>
    <row r="1396">
      <c r="A1396" s="29">
        <v>45943.54982138889</v>
      </c>
      <c r="B1396" s="30">
        <v>45943.0</v>
      </c>
      <c r="C1396" s="31" t="s">
        <v>4417</v>
      </c>
      <c r="D1396" s="31">
        <v>8.2145715268E10</v>
      </c>
      <c r="E1396" s="31" t="s">
        <v>239</v>
      </c>
      <c r="F1396" s="31">
        <v>100000.0</v>
      </c>
      <c r="G1396" s="31" t="s">
        <v>23</v>
      </c>
      <c r="I1396" s="31" t="s">
        <v>229</v>
      </c>
      <c r="J1396" s="31" t="s">
        <v>967</v>
      </c>
      <c r="K1396" s="33" t="s">
        <v>4418</v>
      </c>
      <c r="L1396" s="31" t="s">
        <v>202</v>
      </c>
      <c r="N1396" s="31" t="s">
        <v>204</v>
      </c>
      <c r="R1396" s="31" t="s">
        <v>360</v>
      </c>
    </row>
    <row r="1397">
      <c r="A1397" s="29">
        <v>45943.5579590625</v>
      </c>
      <c r="B1397" s="30">
        <v>45942.0</v>
      </c>
      <c r="C1397" s="31" t="s">
        <v>4419</v>
      </c>
      <c r="D1397" s="32" t="s">
        <v>4420</v>
      </c>
      <c r="E1397" s="31" t="s">
        <v>93</v>
      </c>
      <c r="F1397" s="34">
        <v>3200.0</v>
      </c>
      <c r="G1397" s="31" t="s">
        <v>23</v>
      </c>
      <c r="H1397" s="34">
        <v>3000000.0</v>
      </c>
      <c r="I1397" s="31" t="s">
        <v>200</v>
      </c>
      <c r="K1397" s="33" t="s">
        <v>4421</v>
      </c>
      <c r="L1397" s="31" t="s">
        <v>202</v>
      </c>
      <c r="M1397" s="31" t="s">
        <v>203</v>
      </c>
      <c r="N1397" s="31" t="s">
        <v>204</v>
      </c>
      <c r="R1397" s="31" t="s">
        <v>171</v>
      </c>
    </row>
    <row r="1398">
      <c r="A1398" s="29">
        <v>45943.56729508102</v>
      </c>
      <c r="B1398" s="30">
        <v>45943.0</v>
      </c>
      <c r="C1398" s="31" t="s">
        <v>4422</v>
      </c>
      <c r="D1398" s="32" t="s">
        <v>4423</v>
      </c>
      <c r="E1398" s="31" t="s">
        <v>239</v>
      </c>
      <c r="F1398" s="31">
        <v>3700000.0</v>
      </c>
      <c r="G1398" s="31" t="s">
        <v>23</v>
      </c>
      <c r="I1398" s="31" t="s">
        <v>229</v>
      </c>
      <c r="J1398" s="31" t="s">
        <v>165</v>
      </c>
      <c r="K1398" s="33" t="s">
        <v>4424</v>
      </c>
      <c r="L1398" s="31" t="s">
        <v>202</v>
      </c>
      <c r="N1398" s="31" t="s">
        <v>667</v>
      </c>
      <c r="U1398" s="31" t="s">
        <v>668</v>
      </c>
    </row>
    <row r="1399">
      <c r="A1399" s="29">
        <v>45943.61857527778</v>
      </c>
      <c r="B1399" s="30">
        <v>45943.0</v>
      </c>
      <c r="C1399" s="31" t="s">
        <v>4425</v>
      </c>
      <c r="D1399" s="32" t="s">
        <v>4426</v>
      </c>
      <c r="E1399" s="31" t="s">
        <v>31</v>
      </c>
      <c r="F1399" s="31">
        <v>10000.0</v>
      </c>
      <c r="G1399" s="31" t="s">
        <v>45</v>
      </c>
      <c r="H1399" s="31">
        <v>3000000.0</v>
      </c>
      <c r="I1399" s="31" t="s">
        <v>200</v>
      </c>
      <c r="K1399" s="33" t="s">
        <v>4427</v>
      </c>
      <c r="L1399" s="31" t="s">
        <v>252</v>
      </c>
      <c r="M1399" s="31" t="s">
        <v>203</v>
      </c>
      <c r="O1399" s="31" t="s">
        <v>205</v>
      </c>
      <c r="X1399" s="31" t="s">
        <v>2335</v>
      </c>
    </row>
    <row r="1400">
      <c r="A1400" s="29">
        <v>45943.658786921296</v>
      </c>
      <c r="B1400" s="30">
        <v>45943.0</v>
      </c>
      <c r="C1400" s="31" t="s">
        <v>4428</v>
      </c>
      <c r="D1400" s="32" t="s">
        <v>4429</v>
      </c>
      <c r="E1400" s="31" t="s">
        <v>283</v>
      </c>
      <c r="F1400" s="31">
        <v>3000000.0</v>
      </c>
      <c r="G1400" s="31" t="s">
        <v>23</v>
      </c>
      <c r="H1400" s="31">
        <v>3000000.0</v>
      </c>
      <c r="I1400" s="31" t="s">
        <v>413</v>
      </c>
      <c r="K1400" s="33" t="s">
        <v>4430</v>
      </c>
      <c r="L1400" s="31" t="s">
        <v>202</v>
      </c>
      <c r="M1400" s="31" t="s">
        <v>203</v>
      </c>
      <c r="N1400" s="31" t="s">
        <v>313</v>
      </c>
      <c r="T1400" s="31" t="s">
        <v>329</v>
      </c>
    </row>
    <row r="1401">
      <c r="A1401" s="29">
        <v>45943.66050357639</v>
      </c>
      <c r="B1401" s="30">
        <v>45943.0</v>
      </c>
      <c r="C1401" s="31" t="s">
        <v>4431</v>
      </c>
      <c r="D1401" s="32" t="s">
        <v>4432</v>
      </c>
      <c r="E1401" s="31" t="s">
        <v>31</v>
      </c>
      <c r="F1401" s="31">
        <v>6200000.0</v>
      </c>
      <c r="G1401" s="31" t="s">
        <v>23</v>
      </c>
      <c r="I1401" s="31" t="s">
        <v>229</v>
      </c>
      <c r="J1401" s="31" t="s">
        <v>967</v>
      </c>
      <c r="K1401" s="33" t="s">
        <v>4433</v>
      </c>
      <c r="L1401" s="31" t="s">
        <v>202</v>
      </c>
      <c r="N1401" s="31" t="s">
        <v>313</v>
      </c>
      <c r="T1401" s="31" t="s">
        <v>329</v>
      </c>
    </row>
    <row r="1402">
      <c r="A1402" s="29">
        <v>45943.69389912037</v>
      </c>
      <c r="B1402" s="30">
        <v>45943.0</v>
      </c>
      <c r="C1402" s="31" t="s">
        <v>4434</v>
      </c>
      <c r="D1402" s="32" t="s">
        <v>4435</v>
      </c>
      <c r="E1402" s="31" t="s">
        <v>4436</v>
      </c>
      <c r="F1402" s="31">
        <v>3500000.0</v>
      </c>
      <c r="G1402" s="31" t="s">
        <v>23</v>
      </c>
      <c r="I1402" s="31" t="s">
        <v>229</v>
      </c>
      <c r="J1402" s="31" t="s">
        <v>967</v>
      </c>
      <c r="K1402" s="33" t="s">
        <v>4437</v>
      </c>
      <c r="L1402" s="31" t="s">
        <v>252</v>
      </c>
      <c r="O1402" s="31" t="s">
        <v>205</v>
      </c>
      <c r="X1402" s="31" t="s">
        <v>2335</v>
      </c>
    </row>
    <row r="1403">
      <c r="A1403" s="29">
        <v>45943.69686494213</v>
      </c>
      <c r="B1403" s="30">
        <v>45943.0</v>
      </c>
      <c r="C1403" s="31" t="s">
        <v>4438</v>
      </c>
      <c r="D1403" s="32" t="s">
        <v>4439</v>
      </c>
      <c r="E1403" s="31" t="s">
        <v>31</v>
      </c>
      <c r="F1403" s="31">
        <v>5000000.0</v>
      </c>
      <c r="G1403" s="31" t="s">
        <v>23</v>
      </c>
      <c r="I1403" s="31" t="s">
        <v>229</v>
      </c>
      <c r="J1403" s="31" t="s">
        <v>967</v>
      </c>
      <c r="K1403" s="33" t="s">
        <v>4440</v>
      </c>
      <c r="L1403" s="31" t="s">
        <v>252</v>
      </c>
      <c r="O1403" s="31" t="s">
        <v>205</v>
      </c>
      <c r="X1403" s="31" t="s">
        <v>2335</v>
      </c>
    </row>
    <row r="1404">
      <c r="A1404" s="29">
        <v>45943.727073622686</v>
      </c>
      <c r="B1404" s="30">
        <v>45943.0</v>
      </c>
      <c r="C1404" s="31" t="s">
        <v>4441</v>
      </c>
      <c r="D1404" s="32" t="s">
        <v>4442</v>
      </c>
      <c r="E1404" s="31" t="s">
        <v>43</v>
      </c>
      <c r="F1404" s="31">
        <v>80000.0</v>
      </c>
      <c r="G1404" s="31" t="s">
        <v>23</v>
      </c>
      <c r="I1404" s="31" t="s">
        <v>229</v>
      </c>
      <c r="J1404" s="31" t="s">
        <v>967</v>
      </c>
      <c r="K1404" s="33" t="s">
        <v>4443</v>
      </c>
      <c r="L1404" s="31" t="s">
        <v>202</v>
      </c>
      <c r="N1404" s="31" t="s">
        <v>204</v>
      </c>
      <c r="R1404" s="31" t="s">
        <v>192</v>
      </c>
    </row>
    <row r="1405">
      <c r="A1405" s="29">
        <v>45943.73709674769</v>
      </c>
      <c r="B1405" s="30">
        <v>45943.0</v>
      </c>
      <c r="C1405" s="31" t="s">
        <v>4444</v>
      </c>
      <c r="D1405" s="32" t="s">
        <v>4445</v>
      </c>
      <c r="E1405" s="31" t="s">
        <v>43</v>
      </c>
      <c r="F1405" s="31">
        <v>4000000.0</v>
      </c>
      <c r="G1405" s="31" t="s">
        <v>23</v>
      </c>
      <c r="I1405" s="31" t="s">
        <v>229</v>
      </c>
      <c r="J1405" s="31" t="s">
        <v>250</v>
      </c>
      <c r="K1405" s="33" t="s">
        <v>4446</v>
      </c>
      <c r="L1405" s="31" t="s">
        <v>252</v>
      </c>
      <c r="O1405" s="31" t="s">
        <v>205</v>
      </c>
      <c r="X1405" s="31" t="s">
        <v>253</v>
      </c>
    </row>
    <row r="1406">
      <c r="A1406" s="29">
        <v>45943.75729799768</v>
      </c>
      <c r="B1406" s="30">
        <v>45943.0</v>
      </c>
      <c r="C1406" s="31" t="s">
        <v>1838</v>
      </c>
      <c r="D1406" s="32" t="s">
        <v>1839</v>
      </c>
      <c r="E1406" s="31" t="s">
        <v>679</v>
      </c>
      <c r="F1406" s="31">
        <v>5000000.0</v>
      </c>
      <c r="G1406" s="31" t="s">
        <v>23</v>
      </c>
      <c r="I1406" s="31" t="s">
        <v>229</v>
      </c>
      <c r="J1406" s="31" t="s">
        <v>967</v>
      </c>
      <c r="K1406" s="33" t="s">
        <v>4447</v>
      </c>
      <c r="L1406" s="31" t="s">
        <v>202</v>
      </c>
      <c r="N1406" s="31" t="s">
        <v>313</v>
      </c>
      <c r="T1406" s="31" t="s">
        <v>314</v>
      </c>
    </row>
    <row r="1407">
      <c r="A1407" s="29">
        <v>45943.75856751157</v>
      </c>
      <c r="B1407" s="30">
        <v>45943.0</v>
      </c>
      <c r="C1407" s="31" t="s">
        <v>1656</v>
      </c>
      <c r="D1407" s="32" t="s">
        <v>1657</v>
      </c>
      <c r="E1407" s="31" t="s">
        <v>199</v>
      </c>
      <c r="F1407" s="31">
        <v>6000000.0</v>
      </c>
      <c r="G1407" s="31" t="s">
        <v>23</v>
      </c>
      <c r="I1407" s="31" t="s">
        <v>229</v>
      </c>
      <c r="J1407" s="31" t="s">
        <v>967</v>
      </c>
      <c r="K1407" s="33" t="s">
        <v>4448</v>
      </c>
      <c r="L1407" s="31" t="s">
        <v>202</v>
      </c>
      <c r="N1407" s="31" t="s">
        <v>313</v>
      </c>
      <c r="T1407" s="31" t="s">
        <v>314</v>
      </c>
    </row>
    <row r="1408">
      <c r="A1408" s="29">
        <v>45943.77332644676</v>
      </c>
      <c r="B1408" s="30">
        <v>45943.0</v>
      </c>
      <c r="C1408" s="31" t="s">
        <v>4449</v>
      </c>
      <c r="D1408" s="32" t="s">
        <v>4450</v>
      </c>
      <c r="E1408" s="31" t="s">
        <v>288</v>
      </c>
      <c r="F1408" s="34">
        <v>3000.0</v>
      </c>
      <c r="G1408" s="31" t="s">
        <v>23</v>
      </c>
      <c r="I1408" s="31" t="s">
        <v>229</v>
      </c>
      <c r="J1408" s="31" t="s">
        <v>967</v>
      </c>
      <c r="K1408" s="33" t="s">
        <v>4451</v>
      </c>
      <c r="L1408" s="31" t="s">
        <v>202</v>
      </c>
      <c r="N1408" s="31" t="s">
        <v>204</v>
      </c>
      <c r="R1408" s="31" t="s">
        <v>167</v>
      </c>
    </row>
    <row r="1409">
      <c r="A1409" s="29">
        <v>45943.77398435185</v>
      </c>
      <c r="B1409" s="30">
        <v>45943.0</v>
      </c>
      <c r="C1409" s="31" t="s">
        <v>4452</v>
      </c>
      <c r="D1409" s="32" t="s">
        <v>4453</v>
      </c>
      <c r="E1409" s="31" t="s">
        <v>43</v>
      </c>
      <c r="F1409" s="31">
        <v>3000000.0</v>
      </c>
      <c r="G1409" s="31" t="s">
        <v>23</v>
      </c>
      <c r="I1409" s="31" t="s">
        <v>229</v>
      </c>
      <c r="J1409" s="31" t="s">
        <v>3825</v>
      </c>
      <c r="K1409" s="33" t="s">
        <v>4454</v>
      </c>
      <c r="L1409" s="31" t="s">
        <v>202</v>
      </c>
      <c r="N1409" s="31" t="s">
        <v>215</v>
      </c>
      <c r="W1409" s="31" t="s">
        <v>389</v>
      </c>
    </row>
    <row r="1410">
      <c r="A1410" s="29">
        <v>45943.77708436342</v>
      </c>
      <c r="B1410" s="30">
        <v>45943.0</v>
      </c>
      <c r="C1410" s="31" t="s">
        <v>4455</v>
      </c>
      <c r="D1410" s="32" t="s">
        <v>4456</v>
      </c>
      <c r="E1410" s="31" t="s">
        <v>43</v>
      </c>
      <c r="F1410" s="31">
        <v>3600000.0</v>
      </c>
      <c r="G1410" s="31" t="s">
        <v>23</v>
      </c>
      <c r="I1410" s="31" t="s">
        <v>229</v>
      </c>
      <c r="J1410" s="31" t="s">
        <v>967</v>
      </c>
      <c r="K1410" s="33" t="s">
        <v>4457</v>
      </c>
      <c r="L1410" s="31" t="s">
        <v>252</v>
      </c>
      <c r="O1410" s="31" t="s">
        <v>257</v>
      </c>
      <c r="P1410" s="31" t="s">
        <v>2453</v>
      </c>
    </row>
    <row r="1411">
      <c r="A1411" s="29">
        <v>45943.77838030092</v>
      </c>
      <c r="B1411" s="30">
        <v>45943.0</v>
      </c>
      <c r="C1411" s="31" t="s">
        <v>4458</v>
      </c>
      <c r="D1411" s="32" t="s">
        <v>4459</v>
      </c>
      <c r="E1411" s="31" t="s">
        <v>4358</v>
      </c>
      <c r="F1411" s="31">
        <v>3500000.0</v>
      </c>
      <c r="G1411" s="31" t="s">
        <v>23</v>
      </c>
      <c r="I1411" s="31" t="s">
        <v>229</v>
      </c>
      <c r="J1411" s="31" t="s">
        <v>967</v>
      </c>
      <c r="K1411" s="33" t="s">
        <v>4460</v>
      </c>
      <c r="L1411" s="31" t="s">
        <v>202</v>
      </c>
      <c r="N1411" s="31" t="s">
        <v>204</v>
      </c>
      <c r="R1411" s="31" t="s">
        <v>98</v>
      </c>
    </row>
    <row r="1412">
      <c r="A1412" s="29">
        <v>45943.79293251157</v>
      </c>
      <c r="B1412" s="30">
        <v>45943.0</v>
      </c>
      <c r="C1412" s="31" t="s">
        <v>4461</v>
      </c>
      <c r="D1412" s="32" t="s">
        <v>4462</v>
      </c>
      <c r="E1412" s="31" t="s">
        <v>43</v>
      </c>
      <c r="F1412" s="31">
        <v>3000000.0</v>
      </c>
      <c r="G1412" s="31" t="s">
        <v>23</v>
      </c>
      <c r="I1412" s="31" t="s">
        <v>229</v>
      </c>
      <c r="J1412" s="31" t="s">
        <v>229</v>
      </c>
      <c r="K1412" s="33" t="s">
        <v>4463</v>
      </c>
      <c r="L1412" s="31" t="s">
        <v>252</v>
      </c>
      <c r="O1412" s="31" t="s">
        <v>205</v>
      </c>
      <c r="X1412" s="31" t="s">
        <v>253</v>
      </c>
    </row>
    <row r="1413">
      <c r="A1413" s="29">
        <v>45943.8130039699</v>
      </c>
      <c r="B1413" s="30">
        <v>45943.0</v>
      </c>
      <c r="C1413" s="31" t="s">
        <v>4464</v>
      </c>
      <c r="D1413" s="32" t="s">
        <v>4465</v>
      </c>
      <c r="E1413" s="31" t="s">
        <v>43</v>
      </c>
      <c r="F1413" s="34">
        <v>4600.0</v>
      </c>
      <c r="G1413" s="31" t="s">
        <v>23</v>
      </c>
      <c r="H1413" s="31">
        <v>7000000.0</v>
      </c>
      <c r="I1413" s="31" t="s">
        <v>413</v>
      </c>
      <c r="K1413" s="33" t="s">
        <v>4466</v>
      </c>
      <c r="L1413" s="31" t="s">
        <v>202</v>
      </c>
      <c r="M1413" s="31" t="s">
        <v>605</v>
      </c>
      <c r="N1413" s="31" t="s">
        <v>204</v>
      </c>
      <c r="R1413" s="31" t="s">
        <v>171</v>
      </c>
    </row>
    <row r="1414">
      <c r="A1414" s="29">
        <v>45943.827596504634</v>
      </c>
      <c r="B1414" s="30">
        <v>45943.0</v>
      </c>
      <c r="C1414" s="31" t="s">
        <v>4467</v>
      </c>
      <c r="D1414" s="32" t="s">
        <v>3714</v>
      </c>
      <c r="E1414" s="31" t="s">
        <v>417</v>
      </c>
      <c r="F1414" s="31">
        <v>2000000.0</v>
      </c>
      <c r="G1414" s="31" t="s">
        <v>23</v>
      </c>
      <c r="I1414" s="31" t="s">
        <v>229</v>
      </c>
      <c r="J1414" s="31" t="s">
        <v>967</v>
      </c>
      <c r="K1414" s="33" t="s">
        <v>4468</v>
      </c>
      <c r="L1414" s="31" t="s">
        <v>202</v>
      </c>
      <c r="N1414" s="31" t="s">
        <v>215</v>
      </c>
      <c r="W1414" s="31" t="s">
        <v>532</v>
      </c>
    </row>
    <row r="1415">
      <c r="A1415" s="29">
        <v>45943.829165821764</v>
      </c>
      <c r="B1415" s="30">
        <v>45943.0</v>
      </c>
      <c r="C1415" s="31" t="s">
        <v>4469</v>
      </c>
      <c r="D1415" s="32" t="s">
        <v>3714</v>
      </c>
      <c r="E1415" s="31" t="s">
        <v>417</v>
      </c>
      <c r="F1415" s="31">
        <v>2000000.0</v>
      </c>
      <c r="G1415" s="31" t="s">
        <v>23</v>
      </c>
      <c r="I1415" s="31" t="s">
        <v>229</v>
      </c>
      <c r="J1415" s="31" t="s">
        <v>165</v>
      </c>
      <c r="K1415" s="33" t="s">
        <v>4470</v>
      </c>
      <c r="L1415" s="31" t="s">
        <v>202</v>
      </c>
      <c r="N1415" s="31" t="s">
        <v>215</v>
      </c>
      <c r="W1415" s="31" t="s">
        <v>532</v>
      </c>
    </row>
    <row r="1416">
      <c r="A1416" s="29">
        <v>45943.85720888889</v>
      </c>
      <c r="B1416" s="30">
        <v>45943.0</v>
      </c>
      <c r="C1416" s="31" t="s">
        <v>4471</v>
      </c>
      <c r="D1416" s="32" t="s">
        <v>4472</v>
      </c>
      <c r="E1416" s="31" t="s">
        <v>43</v>
      </c>
      <c r="F1416" s="31">
        <v>2700000.0</v>
      </c>
      <c r="G1416" s="31" t="s">
        <v>23</v>
      </c>
      <c r="I1416" s="31" t="s">
        <v>229</v>
      </c>
      <c r="J1416" s="31" t="s">
        <v>967</v>
      </c>
      <c r="K1416" s="33" t="s">
        <v>4473</v>
      </c>
      <c r="L1416" s="31" t="s">
        <v>202</v>
      </c>
      <c r="N1416" s="31" t="s">
        <v>220</v>
      </c>
      <c r="S1416" s="31" t="s">
        <v>36</v>
      </c>
    </row>
    <row r="1417">
      <c r="A1417" s="29">
        <v>45943.85931994213</v>
      </c>
      <c r="B1417" s="30">
        <v>45943.0</v>
      </c>
      <c r="C1417" s="31" t="s">
        <v>4474</v>
      </c>
      <c r="D1417" s="32" t="s">
        <v>4475</v>
      </c>
      <c r="E1417" s="31" t="s">
        <v>199</v>
      </c>
      <c r="F1417" s="31">
        <v>4600000.0</v>
      </c>
      <c r="G1417" s="31" t="s">
        <v>23</v>
      </c>
      <c r="H1417" s="31">
        <v>3000000.0</v>
      </c>
      <c r="I1417" s="31" t="s">
        <v>413</v>
      </c>
      <c r="K1417" s="33" t="s">
        <v>4476</v>
      </c>
      <c r="L1417" s="31" t="s">
        <v>202</v>
      </c>
      <c r="M1417" s="31" t="s">
        <v>203</v>
      </c>
      <c r="N1417" s="31" t="s">
        <v>220</v>
      </c>
      <c r="S1417" s="31" t="s">
        <v>36</v>
      </c>
    </row>
    <row r="1418">
      <c r="A1418" s="29">
        <v>45943.88246835648</v>
      </c>
      <c r="B1418" s="30">
        <v>45943.0</v>
      </c>
      <c r="C1418" s="31" t="s">
        <v>4477</v>
      </c>
      <c r="D1418" s="32" t="s">
        <v>4478</v>
      </c>
      <c r="E1418" s="31" t="s">
        <v>43</v>
      </c>
      <c r="F1418" s="31">
        <v>3200000.0</v>
      </c>
      <c r="G1418" s="31" t="s">
        <v>23</v>
      </c>
      <c r="H1418" s="31">
        <v>3000000.0</v>
      </c>
      <c r="I1418" s="31" t="s">
        <v>413</v>
      </c>
      <c r="K1418" s="33" t="s">
        <v>4479</v>
      </c>
      <c r="L1418" s="31" t="s">
        <v>202</v>
      </c>
      <c r="M1418" s="31" t="s">
        <v>203</v>
      </c>
      <c r="N1418" s="31" t="s">
        <v>204</v>
      </c>
      <c r="R1418" s="31" t="s">
        <v>148</v>
      </c>
    </row>
    <row r="1419">
      <c r="A1419" s="29">
        <v>45944.38480622685</v>
      </c>
      <c r="B1419" s="30">
        <v>45944.0</v>
      </c>
      <c r="C1419" s="31" t="s">
        <v>4480</v>
      </c>
      <c r="D1419" s="32" t="s">
        <v>4412</v>
      </c>
      <c r="E1419" s="31" t="s">
        <v>43</v>
      </c>
      <c r="F1419" s="31">
        <v>2500000.0</v>
      </c>
      <c r="G1419" s="31" t="s">
        <v>23</v>
      </c>
      <c r="H1419" s="31">
        <v>5000000.0</v>
      </c>
      <c r="I1419" s="31" t="s">
        <v>200</v>
      </c>
      <c r="K1419" s="33" t="s">
        <v>4481</v>
      </c>
      <c r="L1419" s="31" t="s">
        <v>202</v>
      </c>
      <c r="M1419" s="31" t="s">
        <v>203</v>
      </c>
      <c r="N1419" s="31" t="s">
        <v>215</v>
      </c>
      <c r="W1419" s="31" t="s">
        <v>216</v>
      </c>
    </row>
    <row r="1420">
      <c r="A1420" s="29">
        <v>45944.39921130787</v>
      </c>
      <c r="B1420" s="30">
        <v>45944.0</v>
      </c>
      <c r="C1420" s="31" t="s">
        <v>4482</v>
      </c>
      <c r="D1420" s="32" t="s">
        <v>4483</v>
      </c>
      <c r="E1420" s="31" t="s">
        <v>4484</v>
      </c>
      <c r="F1420" s="31">
        <v>30000.0</v>
      </c>
      <c r="G1420" s="31" t="s">
        <v>45</v>
      </c>
      <c r="I1420" s="31" t="s">
        <v>229</v>
      </c>
      <c r="J1420" s="31" t="s">
        <v>967</v>
      </c>
      <c r="K1420" s="33" t="s">
        <v>4485</v>
      </c>
      <c r="L1420" s="31" t="s">
        <v>202</v>
      </c>
      <c r="N1420" s="31" t="s">
        <v>313</v>
      </c>
      <c r="T1420" s="31" t="s">
        <v>4272</v>
      </c>
    </row>
    <row r="1421">
      <c r="A1421" s="29">
        <v>45944.4078795949</v>
      </c>
      <c r="B1421" s="30">
        <v>45944.0</v>
      </c>
      <c r="C1421" s="31" t="s">
        <v>4486</v>
      </c>
      <c r="D1421" s="32" t="s">
        <v>4487</v>
      </c>
      <c r="E1421" s="31" t="s">
        <v>31</v>
      </c>
      <c r="F1421" s="31">
        <v>3700000.0</v>
      </c>
      <c r="G1421" s="31" t="s">
        <v>23</v>
      </c>
      <c r="I1421" s="31" t="s">
        <v>229</v>
      </c>
      <c r="J1421" s="31" t="s">
        <v>967</v>
      </c>
      <c r="K1421" s="33" t="s">
        <v>4488</v>
      </c>
      <c r="L1421" s="31" t="s">
        <v>202</v>
      </c>
      <c r="N1421" s="31" t="s">
        <v>667</v>
      </c>
      <c r="U1421" s="31" t="s">
        <v>668</v>
      </c>
    </row>
    <row r="1422">
      <c r="A1422" s="29">
        <v>45944.42711204861</v>
      </c>
      <c r="B1422" s="30">
        <v>45944.0</v>
      </c>
      <c r="C1422" s="31" t="s">
        <v>4489</v>
      </c>
      <c r="D1422" s="32" t="s">
        <v>4490</v>
      </c>
      <c r="E1422" s="31" t="s">
        <v>43</v>
      </c>
      <c r="F1422" s="31">
        <v>9000000.0</v>
      </c>
      <c r="G1422" s="31" t="s">
        <v>23</v>
      </c>
      <c r="I1422" s="31" t="s">
        <v>229</v>
      </c>
      <c r="J1422" s="31" t="s">
        <v>967</v>
      </c>
      <c r="K1422" s="33" t="s">
        <v>4491</v>
      </c>
      <c r="L1422" s="31" t="s">
        <v>252</v>
      </c>
      <c r="O1422" s="31" t="s">
        <v>257</v>
      </c>
      <c r="P1422" s="31" t="s">
        <v>258</v>
      </c>
    </row>
    <row r="1423">
      <c r="A1423" s="29">
        <v>45944.45813503472</v>
      </c>
      <c r="B1423" s="30">
        <v>45944.0</v>
      </c>
      <c r="C1423" s="31" t="s">
        <v>4492</v>
      </c>
      <c r="D1423" s="32" t="s">
        <v>4493</v>
      </c>
      <c r="E1423" s="31" t="s">
        <v>43</v>
      </c>
      <c r="F1423" s="31">
        <v>3400000.0</v>
      </c>
      <c r="G1423" s="31" t="s">
        <v>23</v>
      </c>
      <c r="I1423" s="31" t="s">
        <v>229</v>
      </c>
      <c r="J1423" s="31" t="s">
        <v>967</v>
      </c>
      <c r="K1423" s="33" t="s">
        <v>4494</v>
      </c>
      <c r="L1423" s="31" t="s">
        <v>252</v>
      </c>
      <c r="O1423" s="31" t="s">
        <v>205</v>
      </c>
      <c r="X1423" s="31" t="s">
        <v>569</v>
      </c>
    </row>
    <row r="1424">
      <c r="A1424" s="29">
        <v>45944.4617138426</v>
      </c>
      <c r="B1424" s="30">
        <v>45944.0</v>
      </c>
      <c r="C1424" s="31" t="s">
        <v>4495</v>
      </c>
      <c r="D1424" s="31">
        <v>0.0</v>
      </c>
      <c r="E1424" s="31" t="s">
        <v>43</v>
      </c>
      <c r="F1424" s="32" t="s">
        <v>4103</v>
      </c>
      <c r="G1424" s="31" t="s">
        <v>23</v>
      </c>
      <c r="I1424" s="31" t="s">
        <v>229</v>
      </c>
      <c r="J1424" s="31" t="s">
        <v>967</v>
      </c>
      <c r="K1424" s="33" t="s">
        <v>4496</v>
      </c>
      <c r="L1424" s="31" t="s">
        <v>252</v>
      </c>
      <c r="O1424" s="31" t="s">
        <v>257</v>
      </c>
      <c r="P1424" s="31" t="s">
        <v>992</v>
      </c>
    </row>
    <row r="1425">
      <c r="A1425" s="29">
        <v>45944.4636652662</v>
      </c>
      <c r="B1425" s="30">
        <v>45944.0</v>
      </c>
      <c r="C1425" s="31" t="s">
        <v>4497</v>
      </c>
      <c r="D1425" s="32" t="s">
        <v>4498</v>
      </c>
      <c r="E1425" s="31" t="s">
        <v>43</v>
      </c>
      <c r="F1425" s="31">
        <v>2500000.0</v>
      </c>
      <c r="G1425" s="31" t="s">
        <v>23</v>
      </c>
      <c r="H1425" s="31">
        <v>3000000.0</v>
      </c>
      <c r="I1425" s="31" t="s">
        <v>413</v>
      </c>
      <c r="K1425" s="33" t="s">
        <v>4499</v>
      </c>
      <c r="L1425" s="31" t="s">
        <v>202</v>
      </c>
      <c r="M1425" s="31" t="s">
        <v>203</v>
      </c>
      <c r="N1425" s="31" t="s">
        <v>313</v>
      </c>
      <c r="T1425" s="31" t="s">
        <v>4272</v>
      </c>
    </row>
    <row r="1426">
      <c r="A1426" s="29">
        <v>45944.47147420139</v>
      </c>
      <c r="B1426" s="30">
        <v>45944.0</v>
      </c>
      <c r="C1426" s="31" t="s">
        <v>4500</v>
      </c>
      <c r="D1426" s="32" t="s">
        <v>4501</v>
      </c>
      <c r="E1426" s="31" t="s">
        <v>311</v>
      </c>
      <c r="F1426" s="31">
        <v>8100000.0</v>
      </c>
      <c r="G1426" s="31" t="s">
        <v>23</v>
      </c>
      <c r="I1426" s="31" t="s">
        <v>229</v>
      </c>
      <c r="J1426" s="31" t="s">
        <v>967</v>
      </c>
      <c r="K1426" s="33" t="s">
        <v>4502</v>
      </c>
      <c r="L1426" s="31" t="s">
        <v>202</v>
      </c>
      <c r="N1426" s="31" t="s">
        <v>313</v>
      </c>
      <c r="T1426" s="31" t="s">
        <v>314</v>
      </c>
    </row>
    <row r="1427">
      <c r="A1427" s="29">
        <v>45944.47542178241</v>
      </c>
      <c r="B1427" s="30">
        <v>45944.0</v>
      </c>
      <c r="C1427" s="31" t="s">
        <v>4503</v>
      </c>
      <c r="D1427" s="32" t="s">
        <v>4504</v>
      </c>
      <c r="E1427" s="31" t="s">
        <v>43</v>
      </c>
      <c r="F1427" s="31">
        <v>2500000.0</v>
      </c>
      <c r="G1427" s="31" t="s">
        <v>23</v>
      </c>
      <c r="I1427" s="31" t="s">
        <v>229</v>
      </c>
      <c r="J1427" s="31" t="s">
        <v>967</v>
      </c>
      <c r="K1427" s="33" t="s">
        <v>4505</v>
      </c>
      <c r="L1427" s="31" t="s">
        <v>252</v>
      </c>
      <c r="O1427" s="31" t="s">
        <v>257</v>
      </c>
      <c r="P1427" s="31" t="s">
        <v>206</v>
      </c>
    </row>
    <row r="1428">
      <c r="A1428" s="29">
        <v>45944.48515340278</v>
      </c>
      <c r="B1428" s="30">
        <v>45944.0</v>
      </c>
      <c r="C1428" s="31" t="s">
        <v>4506</v>
      </c>
      <c r="D1428" s="32" t="s">
        <v>4507</v>
      </c>
      <c r="E1428" s="31" t="s">
        <v>43</v>
      </c>
      <c r="F1428" s="31">
        <v>5100000.0</v>
      </c>
      <c r="G1428" s="31" t="s">
        <v>23</v>
      </c>
      <c r="I1428" s="31" t="s">
        <v>229</v>
      </c>
      <c r="J1428" s="31" t="s">
        <v>967</v>
      </c>
      <c r="K1428" s="33" t="s">
        <v>4508</v>
      </c>
      <c r="L1428" s="31" t="s">
        <v>202</v>
      </c>
      <c r="N1428" s="31" t="s">
        <v>204</v>
      </c>
      <c r="R1428" s="31" t="s">
        <v>53</v>
      </c>
    </row>
    <row r="1429">
      <c r="A1429" s="29">
        <v>45944.50717611111</v>
      </c>
      <c r="B1429" s="30">
        <v>45944.0</v>
      </c>
      <c r="C1429" s="31" t="s">
        <v>4509</v>
      </c>
      <c r="D1429" s="32" t="s">
        <v>4510</v>
      </c>
      <c r="E1429" s="31" t="s">
        <v>261</v>
      </c>
      <c r="F1429" s="31">
        <v>50.0</v>
      </c>
      <c r="G1429" s="31" t="s">
        <v>23</v>
      </c>
      <c r="I1429" s="31" t="s">
        <v>229</v>
      </c>
      <c r="J1429" s="31" t="s">
        <v>967</v>
      </c>
      <c r="K1429" s="33" t="s">
        <v>4511</v>
      </c>
      <c r="L1429" s="31" t="s">
        <v>202</v>
      </c>
      <c r="N1429" s="31" t="s">
        <v>313</v>
      </c>
      <c r="T1429" s="31" t="s">
        <v>4272</v>
      </c>
    </row>
    <row r="1430">
      <c r="A1430" s="29">
        <v>45944.52112896991</v>
      </c>
      <c r="B1430" s="30">
        <v>45944.0</v>
      </c>
      <c r="C1430" s="31" t="s">
        <v>4512</v>
      </c>
      <c r="D1430" s="32" t="s">
        <v>4513</v>
      </c>
      <c r="E1430" s="31" t="s">
        <v>4514</v>
      </c>
      <c r="F1430" s="31">
        <v>3000000.0</v>
      </c>
      <c r="G1430" s="31" t="s">
        <v>23</v>
      </c>
      <c r="I1430" s="31" t="s">
        <v>229</v>
      </c>
      <c r="J1430" s="31" t="s">
        <v>967</v>
      </c>
      <c r="K1430" s="33" t="s">
        <v>4515</v>
      </c>
      <c r="L1430" s="31" t="s">
        <v>202</v>
      </c>
      <c r="N1430" s="31" t="s">
        <v>313</v>
      </c>
      <c r="T1430" s="31" t="s">
        <v>384</v>
      </c>
    </row>
    <row r="1431">
      <c r="A1431" s="29">
        <v>45944.547369548614</v>
      </c>
      <c r="B1431" s="30">
        <v>45944.0</v>
      </c>
      <c r="C1431" s="31" t="s">
        <v>4516</v>
      </c>
      <c r="D1431" s="32" t="s">
        <v>4517</v>
      </c>
      <c r="E1431" s="31" t="s">
        <v>199</v>
      </c>
      <c r="F1431" s="31">
        <v>5200000.0</v>
      </c>
      <c r="G1431" s="31" t="s">
        <v>45</v>
      </c>
      <c r="H1431" s="31">
        <v>3000000.0</v>
      </c>
      <c r="I1431" s="31" t="s">
        <v>200</v>
      </c>
      <c r="K1431" s="33" t="s">
        <v>4518</v>
      </c>
      <c r="L1431" s="31" t="s">
        <v>202</v>
      </c>
      <c r="M1431" s="31" t="s">
        <v>203</v>
      </c>
      <c r="N1431" s="31" t="s">
        <v>215</v>
      </c>
      <c r="W1431" s="31" t="s">
        <v>389</v>
      </c>
    </row>
    <row r="1432">
      <c r="A1432" s="29">
        <v>45944.55388688657</v>
      </c>
      <c r="B1432" s="30">
        <v>45944.0</v>
      </c>
      <c r="C1432" s="31" t="s">
        <v>4380</v>
      </c>
      <c r="D1432" s="32" t="s">
        <v>4519</v>
      </c>
      <c r="E1432" s="31" t="s">
        <v>43</v>
      </c>
      <c r="F1432" s="31">
        <v>4500000.0</v>
      </c>
      <c r="G1432" s="31" t="s">
        <v>23</v>
      </c>
      <c r="I1432" s="31" t="s">
        <v>229</v>
      </c>
      <c r="J1432" s="31" t="s">
        <v>967</v>
      </c>
      <c r="K1432" s="33" t="s">
        <v>4520</v>
      </c>
      <c r="L1432" s="31" t="s">
        <v>202</v>
      </c>
      <c r="N1432" s="31" t="s">
        <v>220</v>
      </c>
      <c r="S1432" s="31" t="s">
        <v>124</v>
      </c>
    </row>
    <row r="1433">
      <c r="A1433" s="29">
        <v>45944.554308935185</v>
      </c>
      <c r="B1433" s="30">
        <v>45944.0</v>
      </c>
      <c r="C1433" s="31" t="s">
        <v>4521</v>
      </c>
      <c r="D1433" s="32" t="s">
        <v>4522</v>
      </c>
      <c r="E1433" s="31" t="s">
        <v>239</v>
      </c>
      <c r="F1433" s="31">
        <v>2700000.0</v>
      </c>
      <c r="G1433" s="31" t="s">
        <v>23</v>
      </c>
      <c r="I1433" s="31" t="s">
        <v>229</v>
      </c>
      <c r="J1433" s="31" t="s">
        <v>967</v>
      </c>
      <c r="K1433" s="33" t="s">
        <v>4523</v>
      </c>
      <c r="L1433" s="31" t="s">
        <v>202</v>
      </c>
      <c r="N1433" s="31" t="s">
        <v>667</v>
      </c>
      <c r="U1433" s="31" t="s">
        <v>3950</v>
      </c>
    </row>
    <row r="1434">
      <c r="A1434" s="29">
        <v>45944.56097532407</v>
      </c>
      <c r="B1434" s="30">
        <v>45944.0</v>
      </c>
      <c r="C1434" s="31" t="s">
        <v>4524</v>
      </c>
      <c r="D1434" s="32" t="s">
        <v>4525</v>
      </c>
      <c r="E1434" s="31" t="s">
        <v>43</v>
      </c>
      <c r="F1434" s="31">
        <v>3000000.0</v>
      </c>
      <c r="G1434" s="31" t="s">
        <v>23</v>
      </c>
      <c r="H1434" s="31">
        <v>3000000.0</v>
      </c>
      <c r="I1434" s="31" t="s">
        <v>413</v>
      </c>
      <c r="K1434" s="33" t="s">
        <v>4526</v>
      </c>
      <c r="L1434" s="31" t="s">
        <v>252</v>
      </c>
      <c r="M1434" s="31" t="s">
        <v>203</v>
      </c>
      <c r="O1434" s="31" t="s">
        <v>205</v>
      </c>
      <c r="X1434" s="31" t="s">
        <v>452</v>
      </c>
    </row>
    <row r="1435">
      <c r="A1435" s="29">
        <v>45944.56262844907</v>
      </c>
      <c r="B1435" s="30">
        <v>45944.0</v>
      </c>
      <c r="C1435" s="31" t="s">
        <v>4527</v>
      </c>
      <c r="D1435" s="32" t="s">
        <v>4528</v>
      </c>
      <c r="E1435" s="31" t="s">
        <v>43</v>
      </c>
      <c r="F1435" s="31">
        <v>200000.0</v>
      </c>
      <c r="G1435" s="31" t="s">
        <v>23</v>
      </c>
      <c r="I1435" s="31" t="s">
        <v>229</v>
      </c>
      <c r="J1435" s="31" t="s">
        <v>967</v>
      </c>
      <c r="K1435" s="33" t="s">
        <v>4529</v>
      </c>
      <c r="L1435" s="31" t="s">
        <v>202</v>
      </c>
      <c r="N1435" s="31" t="s">
        <v>204</v>
      </c>
      <c r="R1435" s="31" t="s">
        <v>192</v>
      </c>
    </row>
    <row r="1436">
      <c r="A1436" s="29">
        <v>45944.56328700231</v>
      </c>
      <c r="B1436" s="30">
        <v>45944.0</v>
      </c>
      <c r="C1436" s="31" t="s">
        <v>4530</v>
      </c>
      <c r="D1436" s="31">
        <v>0.0</v>
      </c>
      <c r="E1436" s="31" t="s">
        <v>31</v>
      </c>
      <c r="F1436" s="34">
        <v>3500.0</v>
      </c>
      <c r="G1436" s="31" t="s">
        <v>23</v>
      </c>
      <c r="I1436" s="31" t="s">
        <v>229</v>
      </c>
      <c r="J1436" s="31" t="s">
        <v>967</v>
      </c>
      <c r="K1436" s="33" t="s">
        <v>4531</v>
      </c>
      <c r="L1436" s="31" t="s">
        <v>252</v>
      </c>
      <c r="O1436" s="31" t="s">
        <v>257</v>
      </c>
      <c r="P1436" s="31" t="s">
        <v>992</v>
      </c>
    </row>
    <row r="1437">
      <c r="A1437" s="29">
        <v>45944.56381997685</v>
      </c>
      <c r="B1437" s="30">
        <v>45944.0</v>
      </c>
      <c r="C1437" s="31" t="s">
        <v>4532</v>
      </c>
      <c r="D1437" s="32" t="s">
        <v>4533</v>
      </c>
      <c r="E1437" s="31" t="s">
        <v>43</v>
      </c>
      <c r="F1437" s="31">
        <v>3500000.0</v>
      </c>
      <c r="G1437" s="31" t="s">
        <v>23</v>
      </c>
      <c r="I1437" s="31" t="s">
        <v>229</v>
      </c>
      <c r="J1437" s="31" t="s">
        <v>967</v>
      </c>
      <c r="K1437" s="33" t="s">
        <v>4534</v>
      </c>
      <c r="L1437" s="31" t="s">
        <v>202</v>
      </c>
      <c r="N1437" s="31" t="s">
        <v>204</v>
      </c>
      <c r="R1437" s="31" t="s">
        <v>192</v>
      </c>
    </row>
    <row r="1438">
      <c r="A1438" s="29">
        <v>45944.58652805556</v>
      </c>
      <c r="B1438" s="30">
        <v>45944.0</v>
      </c>
      <c r="C1438" s="31" t="s">
        <v>4535</v>
      </c>
      <c r="D1438" s="32" t="s">
        <v>4536</v>
      </c>
      <c r="E1438" s="31" t="s">
        <v>43</v>
      </c>
      <c r="F1438" s="31">
        <v>8500000.0</v>
      </c>
      <c r="G1438" s="31" t="s">
        <v>23</v>
      </c>
      <c r="I1438" s="31" t="s">
        <v>229</v>
      </c>
      <c r="J1438" s="31" t="s">
        <v>967</v>
      </c>
      <c r="K1438" s="33" t="s">
        <v>4537</v>
      </c>
      <c r="L1438" s="31" t="s">
        <v>202</v>
      </c>
      <c r="N1438" s="31" t="s">
        <v>220</v>
      </c>
      <c r="S1438" s="31" t="s">
        <v>536</v>
      </c>
    </row>
    <row r="1439">
      <c r="A1439" s="29">
        <v>45944.58875387731</v>
      </c>
      <c r="B1439" s="30">
        <v>45944.0</v>
      </c>
      <c r="C1439" s="31" t="s">
        <v>4538</v>
      </c>
      <c r="D1439" s="32" t="s">
        <v>4539</v>
      </c>
      <c r="E1439" s="31" t="s">
        <v>43</v>
      </c>
      <c r="F1439" s="31">
        <v>2500000.0</v>
      </c>
      <c r="G1439" s="31" t="s">
        <v>23</v>
      </c>
      <c r="I1439" s="31" t="s">
        <v>229</v>
      </c>
      <c r="J1439" s="31" t="s">
        <v>967</v>
      </c>
      <c r="K1439" s="33" t="s">
        <v>4540</v>
      </c>
      <c r="L1439" s="31" t="s">
        <v>202</v>
      </c>
      <c r="N1439" s="31" t="s">
        <v>204</v>
      </c>
      <c r="R1439" s="31" t="s">
        <v>192</v>
      </c>
    </row>
    <row r="1440">
      <c r="A1440" s="29">
        <v>45944.59622607639</v>
      </c>
      <c r="B1440" s="30">
        <v>45944.0</v>
      </c>
      <c r="C1440" s="31" t="s">
        <v>4541</v>
      </c>
      <c r="D1440" s="31">
        <v>8.1221121217E10</v>
      </c>
      <c r="E1440" s="31" t="s">
        <v>31</v>
      </c>
      <c r="F1440" s="31">
        <v>1.8E7</v>
      </c>
      <c r="G1440" s="31" t="s">
        <v>23</v>
      </c>
      <c r="I1440" s="31" t="s">
        <v>229</v>
      </c>
      <c r="J1440" s="31" t="s">
        <v>967</v>
      </c>
      <c r="K1440" s="33" t="s">
        <v>4542</v>
      </c>
      <c r="L1440" s="31" t="s">
        <v>202</v>
      </c>
      <c r="N1440" s="31" t="s">
        <v>204</v>
      </c>
      <c r="R1440" s="31" t="s">
        <v>471</v>
      </c>
    </row>
    <row r="1441">
      <c r="A1441" s="29">
        <v>45944.60507653935</v>
      </c>
      <c r="B1441" s="30">
        <v>45944.0</v>
      </c>
      <c r="C1441" s="31" t="s">
        <v>4543</v>
      </c>
      <c r="D1441" s="32" t="s">
        <v>4544</v>
      </c>
      <c r="E1441" s="31" t="s">
        <v>199</v>
      </c>
      <c r="F1441" s="31">
        <v>4200000.0</v>
      </c>
      <c r="G1441" s="31" t="s">
        <v>23</v>
      </c>
      <c r="I1441" s="31" t="s">
        <v>229</v>
      </c>
      <c r="J1441" s="31" t="s">
        <v>967</v>
      </c>
      <c r="K1441" s="33" t="s">
        <v>4545</v>
      </c>
      <c r="L1441" s="31" t="s">
        <v>202</v>
      </c>
      <c r="N1441" s="31" t="s">
        <v>204</v>
      </c>
      <c r="R1441" s="31" t="s">
        <v>148</v>
      </c>
    </row>
    <row r="1442">
      <c r="A1442" s="29">
        <v>45944.62356515046</v>
      </c>
      <c r="B1442" s="30">
        <v>45944.0</v>
      </c>
      <c r="C1442" s="31" t="s">
        <v>4546</v>
      </c>
      <c r="D1442" s="32" t="s">
        <v>4547</v>
      </c>
      <c r="E1442" s="31" t="s">
        <v>31</v>
      </c>
      <c r="F1442" s="31">
        <v>5400000.0</v>
      </c>
      <c r="G1442" s="31" t="s">
        <v>23</v>
      </c>
      <c r="H1442" s="31">
        <v>3000000.0</v>
      </c>
      <c r="I1442" s="31" t="s">
        <v>200</v>
      </c>
      <c r="K1442" s="33" t="s">
        <v>4548</v>
      </c>
      <c r="L1442" s="31" t="s">
        <v>252</v>
      </c>
      <c r="M1442" s="31" t="s">
        <v>203</v>
      </c>
      <c r="O1442" s="31" t="s">
        <v>205</v>
      </c>
      <c r="X1442" s="31" t="s">
        <v>2335</v>
      </c>
    </row>
    <row r="1443">
      <c r="A1443" s="29">
        <v>45944.63286708333</v>
      </c>
      <c r="B1443" s="30">
        <v>45944.0</v>
      </c>
      <c r="C1443" s="31" t="s">
        <v>4549</v>
      </c>
      <c r="D1443" s="32" t="s">
        <v>4550</v>
      </c>
      <c r="E1443" s="31" t="s">
        <v>199</v>
      </c>
      <c r="F1443" s="31">
        <v>5400000.0</v>
      </c>
      <c r="G1443" s="31" t="s">
        <v>45</v>
      </c>
      <c r="H1443" s="31">
        <v>5000000.0</v>
      </c>
      <c r="I1443" s="31" t="s">
        <v>200</v>
      </c>
      <c r="K1443" s="33" t="s">
        <v>4551</v>
      </c>
      <c r="L1443" s="31" t="s">
        <v>252</v>
      </c>
      <c r="M1443" s="31" t="s">
        <v>926</v>
      </c>
      <c r="O1443" s="31" t="s">
        <v>205</v>
      </c>
      <c r="X1443" s="31" t="s">
        <v>2335</v>
      </c>
    </row>
    <row r="1444">
      <c r="A1444" s="29">
        <v>45944.63663412037</v>
      </c>
      <c r="B1444" s="30">
        <v>45944.0</v>
      </c>
      <c r="C1444" s="31" t="s">
        <v>4552</v>
      </c>
      <c r="D1444" s="32" t="s">
        <v>4553</v>
      </c>
      <c r="E1444" s="31" t="s">
        <v>43</v>
      </c>
      <c r="F1444" s="31">
        <v>2500000.0</v>
      </c>
      <c r="G1444" s="31" t="s">
        <v>23</v>
      </c>
      <c r="I1444" s="31" t="s">
        <v>229</v>
      </c>
      <c r="J1444" s="31" t="s">
        <v>967</v>
      </c>
      <c r="K1444" s="33" t="s">
        <v>4554</v>
      </c>
      <c r="L1444" s="31" t="s">
        <v>252</v>
      </c>
      <c r="O1444" s="31" t="s">
        <v>257</v>
      </c>
      <c r="P1444" s="31" t="s">
        <v>3194</v>
      </c>
    </row>
    <row r="1445">
      <c r="A1445" s="29">
        <v>45944.63692092593</v>
      </c>
      <c r="B1445" s="30">
        <v>45944.0</v>
      </c>
      <c r="C1445" s="31" t="s">
        <v>4555</v>
      </c>
      <c r="D1445" s="32" t="s">
        <v>4556</v>
      </c>
      <c r="E1445" s="31" t="s">
        <v>31</v>
      </c>
      <c r="F1445" s="31">
        <v>5999000.0</v>
      </c>
      <c r="G1445" s="31" t="s">
        <v>23</v>
      </c>
      <c r="H1445" s="31">
        <v>5000000.0</v>
      </c>
      <c r="I1445" s="31" t="s">
        <v>200</v>
      </c>
      <c r="K1445" s="33" t="s">
        <v>4557</v>
      </c>
      <c r="L1445" s="31" t="s">
        <v>202</v>
      </c>
      <c r="M1445" s="31" t="s">
        <v>926</v>
      </c>
      <c r="N1445" s="31" t="s">
        <v>204</v>
      </c>
      <c r="R1445" s="31" t="s">
        <v>207</v>
      </c>
    </row>
    <row r="1446">
      <c r="A1446" s="29">
        <v>45944.63954581019</v>
      </c>
      <c r="B1446" s="30">
        <v>45944.0</v>
      </c>
      <c r="C1446" s="31" t="s">
        <v>4558</v>
      </c>
      <c r="D1446" s="32" t="s">
        <v>4559</v>
      </c>
      <c r="E1446" s="31" t="s">
        <v>239</v>
      </c>
      <c r="F1446" s="31">
        <v>3000000.0</v>
      </c>
      <c r="G1446" s="31" t="s">
        <v>23</v>
      </c>
      <c r="I1446" s="31" t="s">
        <v>229</v>
      </c>
      <c r="J1446" s="31" t="s">
        <v>967</v>
      </c>
      <c r="K1446" s="33" t="s">
        <v>4560</v>
      </c>
      <c r="L1446" s="31" t="s">
        <v>202</v>
      </c>
      <c r="N1446" s="31" t="s">
        <v>871</v>
      </c>
      <c r="Q1446" s="31" t="s">
        <v>872</v>
      </c>
    </row>
    <row r="1447">
      <c r="A1447" s="29">
        <v>45944.65692252315</v>
      </c>
      <c r="B1447" s="30">
        <v>45944.0</v>
      </c>
      <c r="C1447" s="31" t="s">
        <v>4561</v>
      </c>
      <c r="D1447" s="32" t="s">
        <v>4562</v>
      </c>
      <c r="E1447" s="31" t="s">
        <v>43</v>
      </c>
      <c r="F1447" s="31">
        <v>3000000.0</v>
      </c>
      <c r="G1447" s="31" t="s">
        <v>23</v>
      </c>
      <c r="H1447" s="31">
        <v>3000000.0</v>
      </c>
      <c r="I1447" s="31" t="s">
        <v>413</v>
      </c>
      <c r="K1447" s="33" t="s">
        <v>4563</v>
      </c>
      <c r="L1447" s="31" t="s">
        <v>202</v>
      </c>
      <c r="M1447" s="31" t="s">
        <v>203</v>
      </c>
      <c r="N1447" s="31" t="s">
        <v>871</v>
      </c>
      <c r="Q1447" s="31" t="s">
        <v>872</v>
      </c>
    </row>
    <row r="1448">
      <c r="A1448" s="29">
        <v>45944.66361239583</v>
      </c>
      <c r="B1448" s="30">
        <v>45944.0</v>
      </c>
      <c r="C1448" s="31" t="s">
        <v>4564</v>
      </c>
      <c r="D1448" s="32" t="s">
        <v>4565</v>
      </c>
      <c r="E1448" s="31" t="s">
        <v>156</v>
      </c>
      <c r="F1448" s="31">
        <v>5500000.0</v>
      </c>
      <c r="G1448" s="31" t="s">
        <v>45</v>
      </c>
      <c r="H1448" s="31">
        <v>3000000.0</v>
      </c>
      <c r="I1448" s="31" t="s">
        <v>200</v>
      </c>
      <c r="K1448" s="33" t="s">
        <v>4566</v>
      </c>
      <c r="L1448" s="31" t="s">
        <v>252</v>
      </c>
      <c r="M1448" s="31" t="s">
        <v>926</v>
      </c>
      <c r="O1448" s="31" t="s">
        <v>205</v>
      </c>
      <c r="X1448" s="31" t="s">
        <v>569</v>
      </c>
    </row>
    <row r="1449">
      <c r="A1449" s="29">
        <v>45944.6944644676</v>
      </c>
      <c r="B1449" s="30">
        <v>45944.0</v>
      </c>
      <c r="C1449" s="31" t="s">
        <v>4567</v>
      </c>
      <c r="D1449" s="32" t="s">
        <v>4568</v>
      </c>
      <c r="E1449" s="31" t="s">
        <v>31</v>
      </c>
      <c r="F1449" s="31">
        <v>3700000.0</v>
      </c>
      <c r="G1449" s="31" t="s">
        <v>23</v>
      </c>
      <c r="I1449" s="31" t="s">
        <v>229</v>
      </c>
      <c r="J1449" s="31" t="s">
        <v>967</v>
      </c>
      <c r="K1449" s="33" t="s">
        <v>4569</v>
      </c>
      <c r="L1449" s="31" t="s">
        <v>202</v>
      </c>
      <c r="N1449" s="31" t="s">
        <v>667</v>
      </c>
      <c r="U1449" s="31" t="s">
        <v>668</v>
      </c>
    </row>
    <row r="1450">
      <c r="A1450" s="29">
        <v>45944.72038565972</v>
      </c>
      <c r="B1450" s="30">
        <v>45944.0</v>
      </c>
      <c r="C1450" s="31" t="s">
        <v>4570</v>
      </c>
      <c r="D1450" s="32" t="s">
        <v>4571</v>
      </c>
      <c r="E1450" s="31" t="s">
        <v>43</v>
      </c>
      <c r="F1450" s="31">
        <v>2300000.0</v>
      </c>
      <c r="G1450" s="31" t="s">
        <v>23</v>
      </c>
      <c r="I1450" s="31" t="s">
        <v>229</v>
      </c>
      <c r="J1450" s="31" t="s">
        <v>967</v>
      </c>
      <c r="K1450" s="33" t="s">
        <v>4572</v>
      </c>
      <c r="L1450" s="31" t="s">
        <v>202</v>
      </c>
      <c r="N1450" s="31" t="s">
        <v>667</v>
      </c>
      <c r="U1450" s="31" t="s">
        <v>668</v>
      </c>
    </row>
    <row r="1451">
      <c r="A1451" s="29">
        <v>45944.72722997685</v>
      </c>
      <c r="B1451" s="30">
        <v>45944.0</v>
      </c>
      <c r="C1451" s="31" t="s">
        <v>4573</v>
      </c>
      <c r="D1451" s="32" t="s">
        <v>4574</v>
      </c>
      <c r="E1451" s="31" t="s">
        <v>4575</v>
      </c>
      <c r="F1451" s="31">
        <v>5000000.0</v>
      </c>
      <c r="G1451" s="31" t="s">
        <v>23</v>
      </c>
      <c r="I1451" s="31" t="s">
        <v>229</v>
      </c>
      <c r="J1451" s="31" t="s">
        <v>967</v>
      </c>
      <c r="K1451" s="33" t="s">
        <v>4576</v>
      </c>
      <c r="L1451" s="31" t="s">
        <v>202</v>
      </c>
      <c r="N1451" s="31" t="s">
        <v>313</v>
      </c>
      <c r="T1451" s="31" t="s">
        <v>314</v>
      </c>
    </row>
    <row r="1452">
      <c r="A1452" s="29">
        <v>45944.728696226855</v>
      </c>
      <c r="B1452" s="30">
        <v>45944.0</v>
      </c>
      <c r="C1452" s="31" t="s">
        <v>4577</v>
      </c>
      <c r="D1452" s="32" t="s">
        <v>4578</v>
      </c>
      <c r="E1452" s="31" t="s">
        <v>4579</v>
      </c>
      <c r="F1452" s="31">
        <v>5000000.0</v>
      </c>
      <c r="G1452" s="31" t="s">
        <v>23</v>
      </c>
      <c r="I1452" s="31" t="s">
        <v>229</v>
      </c>
      <c r="J1452" s="31" t="s">
        <v>967</v>
      </c>
      <c r="K1452" s="33" t="s">
        <v>4580</v>
      </c>
      <c r="L1452" s="31" t="s">
        <v>202</v>
      </c>
      <c r="N1452" s="31" t="s">
        <v>313</v>
      </c>
      <c r="T1452" s="31" t="s">
        <v>314</v>
      </c>
    </row>
    <row r="1453">
      <c r="A1453" s="29">
        <v>45944.73292940972</v>
      </c>
      <c r="B1453" s="30">
        <v>45944.0</v>
      </c>
      <c r="C1453" s="31" t="s">
        <v>4581</v>
      </c>
      <c r="D1453" s="32" t="s">
        <v>4582</v>
      </c>
      <c r="E1453" s="31" t="s">
        <v>43</v>
      </c>
      <c r="F1453" s="34">
        <v>6500.0</v>
      </c>
      <c r="G1453" s="31" t="s">
        <v>45</v>
      </c>
      <c r="I1453" s="31" t="s">
        <v>229</v>
      </c>
      <c r="J1453" s="31" t="s">
        <v>165</v>
      </c>
      <c r="K1453" s="33" t="s">
        <v>4583</v>
      </c>
      <c r="L1453" s="31" t="s">
        <v>202</v>
      </c>
      <c r="N1453" s="31" t="s">
        <v>871</v>
      </c>
      <c r="Q1453" s="31" t="s">
        <v>2403</v>
      </c>
    </row>
    <row r="1454">
      <c r="A1454" s="29">
        <v>45944.74747420139</v>
      </c>
      <c r="B1454" s="30">
        <v>45944.0</v>
      </c>
      <c r="C1454" s="31" t="s">
        <v>4584</v>
      </c>
      <c r="D1454" s="32" t="s">
        <v>4585</v>
      </c>
      <c r="E1454" s="31" t="s">
        <v>43</v>
      </c>
      <c r="F1454" s="34">
        <v>6000.0</v>
      </c>
      <c r="G1454" s="31" t="s">
        <v>23</v>
      </c>
      <c r="I1454" s="31" t="s">
        <v>229</v>
      </c>
      <c r="J1454" s="31" t="s">
        <v>967</v>
      </c>
      <c r="K1454" s="33" t="s">
        <v>4586</v>
      </c>
      <c r="L1454" s="31" t="s">
        <v>202</v>
      </c>
      <c r="N1454" s="31" t="s">
        <v>204</v>
      </c>
      <c r="R1454" s="31" t="s">
        <v>167</v>
      </c>
    </row>
    <row r="1455">
      <c r="A1455" s="29">
        <v>45944.7550608912</v>
      </c>
      <c r="B1455" s="30">
        <v>45944.0</v>
      </c>
      <c r="C1455" s="31" t="s">
        <v>4587</v>
      </c>
      <c r="D1455" s="32" t="s">
        <v>4588</v>
      </c>
      <c r="E1455" s="31" t="s">
        <v>199</v>
      </c>
      <c r="F1455" s="31">
        <v>4499000.0</v>
      </c>
      <c r="G1455" s="31" t="s">
        <v>23</v>
      </c>
      <c r="H1455" s="31">
        <v>3000000.0</v>
      </c>
      <c r="I1455" s="31" t="s">
        <v>200</v>
      </c>
      <c r="K1455" s="33" t="s">
        <v>4589</v>
      </c>
      <c r="L1455" s="31" t="s">
        <v>202</v>
      </c>
      <c r="M1455" s="31" t="s">
        <v>203</v>
      </c>
      <c r="N1455" s="31" t="s">
        <v>204</v>
      </c>
      <c r="R1455" s="31" t="s">
        <v>207</v>
      </c>
    </row>
    <row r="1456">
      <c r="A1456" s="29">
        <v>45944.772753171295</v>
      </c>
      <c r="B1456" s="30">
        <v>45944.0</v>
      </c>
      <c r="C1456" s="31" t="s">
        <v>4590</v>
      </c>
      <c r="D1456" s="32" t="s">
        <v>4591</v>
      </c>
      <c r="E1456" s="31" t="s">
        <v>1104</v>
      </c>
      <c r="F1456" s="31">
        <v>3000000.0</v>
      </c>
      <c r="G1456" s="31" t="s">
        <v>23</v>
      </c>
      <c r="I1456" s="31" t="s">
        <v>229</v>
      </c>
      <c r="J1456" s="31" t="s">
        <v>229</v>
      </c>
      <c r="K1456" s="33" t="s">
        <v>4592</v>
      </c>
      <c r="L1456" s="31" t="s">
        <v>252</v>
      </c>
      <c r="O1456" s="31" t="s">
        <v>205</v>
      </c>
      <c r="X1456" s="31" t="s">
        <v>253</v>
      </c>
    </row>
    <row r="1457">
      <c r="A1457" s="29">
        <v>45944.78847142361</v>
      </c>
      <c r="B1457" s="30">
        <v>45944.0</v>
      </c>
      <c r="C1457" s="31" t="s">
        <v>4593</v>
      </c>
      <c r="D1457" s="32" t="s">
        <v>4594</v>
      </c>
      <c r="E1457" s="31" t="s">
        <v>43</v>
      </c>
      <c r="F1457" s="31">
        <v>3600000.0</v>
      </c>
      <c r="G1457" s="31" t="s">
        <v>23</v>
      </c>
      <c r="I1457" s="31" t="s">
        <v>229</v>
      </c>
      <c r="J1457" s="31" t="s">
        <v>967</v>
      </c>
      <c r="K1457" s="33" t="s">
        <v>4595</v>
      </c>
      <c r="L1457" s="31" t="s">
        <v>202</v>
      </c>
      <c r="N1457" s="31" t="s">
        <v>871</v>
      </c>
      <c r="Q1457" s="31" t="s">
        <v>1021</v>
      </c>
    </row>
    <row r="1458">
      <c r="A1458" s="29">
        <v>45944.79070509259</v>
      </c>
      <c r="B1458" s="30">
        <v>45944.0</v>
      </c>
      <c r="C1458" s="31" t="s">
        <v>4596</v>
      </c>
      <c r="D1458" s="32" t="s">
        <v>4409</v>
      </c>
      <c r="E1458" s="31" t="s">
        <v>43</v>
      </c>
      <c r="F1458" s="31">
        <v>1600000.0</v>
      </c>
      <c r="G1458" s="31" t="s">
        <v>45</v>
      </c>
      <c r="I1458" s="31" t="s">
        <v>229</v>
      </c>
      <c r="J1458" s="31" t="s">
        <v>967</v>
      </c>
      <c r="K1458" s="33" t="s">
        <v>4597</v>
      </c>
      <c r="L1458" s="31" t="s">
        <v>252</v>
      </c>
      <c r="O1458" s="31" t="s">
        <v>205</v>
      </c>
      <c r="X1458" s="31" t="s">
        <v>716</v>
      </c>
    </row>
    <row r="1459">
      <c r="A1459" s="29">
        <v>45944.79188263889</v>
      </c>
      <c r="B1459" s="30">
        <v>45944.0</v>
      </c>
      <c r="C1459" s="31" t="s">
        <v>4598</v>
      </c>
      <c r="D1459" s="32" t="s">
        <v>4599</v>
      </c>
      <c r="E1459" s="31" t="s">
        <v>43</v>
      </c>
      <c r="F1459" s="31">
        <v>9000000.0</v>
      </c>
      <c r="G1459" s="31" t="s">
        <v>23</v>
      </c>
      <c r="H1459" s="31">
        <v>3000000.0</v>
      </c>
      <c r="I1459" s="31" t="s">
        <v>413</v>
      </c>
      <c r="K1459" s="33" t="s">
        <v>4600</v>
      </c>
      <c r="L1459" s="31" t="s">
        <v>252</v>
      </c>
      <c r="M1459" s="31" t="s">
        <v>203</v>
      </c>
      <c r="O1459" s="31" t="s">
        <v>257</v>
      </c>
      <c r="P1459" s="31" t="s">
        <v>258</v>
      </c>
    </row>
    <row r="1460">
      <c r="A1460" s="29">
        <v>45944.80076680555</v>
      </c>
      <c r="B1460" s="30">
        <v>45944.0</v>
      </c>
      <c r="C1460" s="31" t="s">
        <v>4601</v>
      </c>
      <c r="D1460" s="32" t="s">
        <v>4602</v>
      </c>
      <c r="E1460" s="31" t="s">
        <v>43</v>
      </c>
      <c r="F1460" s="31">
        <v>5500000.0</v>
      </c>
      <c r="G1460" s="31" t="s">
        <v>23</v>
      </c>
      <c r="I1460" s="31" t="s">
        <v>229</v>
      </c>
      <c r="J1460" s="31" t="s">
        <v>967</v>
      </c>
      <c r="K1460" s="33" t="s">
        <v>4603</v>
      </c>
      <c r="L1460" s="31" t="s">
        <v>202</v>
      </c>
      <c r="N1460" s="31" t="s">
        <v>220</v>
      </c>
      <c r="S1460" s="31" t="s">
        <v>59</v>
      </c>
    </row>
    <row r="1461">
      <c r="A1461" s="29">
        <v>45944.815809444444</v>
      </c>
      <c r="B1461" s="30">
        <v>45944.0</v>
      </c>
      <c r="C1461" s="31" t="s">
        <v>4604</v>
      </c>
      <c r="D1461" s="32" t="s">
        <v>4605</v>
      </c>
      <c r="E1461" s="31" t="s">
        <v>43</v>
      </c>
      <c r="F1461" s="31">
        <v>3000000.0</v>
      </c>
      <c r="G1461" s="31" t="s">
        <v>23</v>
      </c>
      <c r="I1461" s="31" t="s">
        <v>229</v>
      </c>
      <c r="J1461" s="31" t="s">
        <v>967</v>
      </c>
      <c r="K1461" s="33" t="s">
        <v>4606</v>
      </c>
      <c r="L1461" s="31" t="s">
        <v>202</v>
      </c>
      <c r="N1461" s="31" t="s">
        <v>204</v>
      </c>
      <c r="R1461" s="31" t="s">
        <v>360</v>
      </c>
    </row>
    <row r="1462">
      <c r="A1462" s="29">
        <v>45944.81946655092</v>
      </c>
      <c r="B1462" s="30">
        <v>45944.0</v>
      </c>
      <c r="C1462" s="31" t="s">
        <v>4607</v>
      </c>
      <c r="D1462" s="32" t="s">
        <v>4608</v>
      </c>
      <c r="E1462" s="31" t="s">
        <v>4609</v>
      </c>
      <c r="F1462" s="31">
        <v>2500000.0</v>
      </c>
      <c r="G1462" s="31" t="s">
        <v>23</v>
      </c>
      <c r="H1462" s="31">
        <v>1600000.0</v>
      </c>
      <c r="I1462" s="31" t="s">
        <v>413</v>
      </c>
      <c r="K1462" s="33" t="s">
        <v>4610</v>
      </c>
      <c r="L1462" s="31" t="s">
        <v>202</v>
      </c>
      <c r="M1462" s="31" t="s">
        <v>203</v>
      </c>
      <c r="N1462" s="31" t="s">
        <v>204</v>
      </c>
      <c r="R1462" s="31" t="s">
        <v>360</v>
      </c>
    </row>
    <row r="1463">
      <c r="A1463" s="29">
        <v>45944.82183351852</v>
      </c>
      <c r="B1463" s="30">
        <v>45944.0</v>
      </c>
      <c r="C1463" s="31" t="s">
        <v>4611</v>
      </c>
      <c r="D1463" s="32" t="s">
        <v>4612</v>
      </c>
      <c r="E1463" s="31" t="s">
        <v>239</v>
      </c>
      <c r="F1463" s="31">
        <v>2000000.0</v>
      </c>
      <c r="G1463" s="31" t="s">
        <v>23</v>
      </c>
      <c r="I1463" s="31" t="s">
        <v>229</v>
      </c>
      <c r="J1463" s="31" t="s">
        <v>967</v>
      </c>
      <c r="K1463" s="33" t="s">
        <v>4613</v>
      </c>
      <c r="L1463" s="31" t="s">
        <v>252</v>
      </c>
      <c r="O1463" s="31" t="s">
        <v>205</v>
      </c>
      <c r="X1463" s="31" t="s">
        <v>549</v>
      </c>
    </row>
    <row r="1464">
      <c r="A1464" s="29">
        <v>45944.82197954861</v>
      </c>
      <c r="B1464" s="30">
        <v>45944.0</v>
      </c>
      <c r="C1464" s="31" t="s">
        <v>4614</v>
      </c>
      <c r="D1464" s="31" t="s">
        <v>4615</v>
      </c>
      <c r="E1464" s="31" t="s">
        <v>2598</v>
      </c>
      <c r="F1464" s="31">
        <v>3000000.0</v>
      </c>
      <c r="G1464" s="31" t="s">
        <v>23</v>
      </c>
      <c r="H1464" s="31">
        <v>3000000.0</v>
      </c>
      <c r="I1464" s="31" t="s">
        <v>413</v>
      </c>
      <c r="K1464" s="33" t="s">
        <v>4616</v>
      </c>
      <c r="L1464" s="31" t="s">
        <v>202</v>
      </c>
      <c r="M1464" s="31" t="s">
        <v>203</v>
      </c>
      <c r="N1464" s="31" t="s">
        <v>204</v>
      </c>
      <c r="R1464" s="31" t="s">
        <v>892</v>
      </c>
    </row>
    <row r="1465">
      <c r="A1465" s="29">
        <v>45944.82557803241</v>
      </c>
      <c r="B1465" s="30">
        <v>45944.0</v>
      </c>
      <c r="C1465" s="31" t="s">
        <v>4617</v>
      </c>
      <c r="D1465" s="32" t="s">
        <v>4618</v>
      </c>
      <c r="E1465" s="31" t="s">
        <v>288</v>
      </c>
      <c r="F1465" s="31">
        <v>3600000.0</v>
      </c>
      <c r="G1465" s="31" t="s">
        <v>23</v>
      </c>
      <c r="H1465" s="31">
        <v>7000000.0</v>
      </c>
      <c r="I1465" s="31" t="s">
        <v>413</v>
      </c>
      <c r="K1465" s="33" t="s">
        <v>4619</v>
      </c>
      <c r="L1465" s="31" t="s">
        <v>202</v>
      </c>
      <c r="M1465" s="31" t="s">
        <v>926</v>
      </c>
      <c r="N1465" s="31" t="s">
        <v>204</v>
      </c>
      <c r="R1465" s="31" t="s">
        <v>90</v>
      </c>
    </row>
    <row r="1466">
      <c r="A1466" s="29">
        <v>45944.83296270833</v>
      </c>
      <c r="B1466" s="30">
        <v>45944.0</v>
      </c>
      <c r="C1466" s="31" t="s">
        <v>4620</v>
      </c>
      <c r="D1466" s="32" t="s">
        <v>4621</v>
      </c>
      <c r="E1466" s="31" t="s">
        <v>199</v>
      </c>
      <c r="F1466" s="31">
        <v>4000000.0</v>
      </c>
      <c r="G1466" s="31" t="s">
        <v>23</v>
      </c>
      <c r="H1466" s="31">
        <v>5000000.0</v>
      </c>
      <c r="I1466" s="31" t="s">
        <v>200</v>
      </c>
      <c r="K1466" s="33" t="s">
        <v>4622</v>
      </c>
      <c r="L1466" s="31" t="s">
        <v>202</v>
      </c>
      <c r="M1466" s="31" t="s">
        <v>203</v>
      </c>
      <c r="N1466" s="31" t="s">
        <v>500</v>
      </c>
      <c r="V1466" s="31" t="s">
        <v>501</v>
      </c>
    </row>
    <row r="1467">
      <c r="A1467" s="29">
        <v>45944.85008733797</v>
      </c>
      <c r="B1467" s="30">
        <v>45944.0</v>
      </c>
      <c r="C1467" s="31" t="s">
        <v>4623</v>
      </c>
      <c r="D1467" s="32" t="s">
        <v>4624</v>
      </c>
      <c r="E1467" s="31" t="s">
        <v>199</v>
      </c>
      <c r="F1467" s="31">
        <v>4400000.0</v>
      </c>
      <c r="G1467" s="31" t="s">
        <v>23</v>
      </c>
      <c r="H1467" s="31">
        <v>3000000.0</v>
      </c>
      <c r="I1467" s="31" t="s">
        <v>200</v>
      </c>
      <c r="K1467" s="33" t="s">
        <v>4625</v>
      </c>
      <c r="L1467" s="31" t="s">
        <v>202</v>
      </c>
      <c r="M1467" s="31" t="s">
        <v>203</v>
      </c>
      <c r="N1467" s="31" t="s">
        <v>313</v>
      </c>
      <c r="T1467" s="31" t="s">
        <v>314</v>
      </c>
    </row>
    <row r="1468">
      <c r="A1468" s="29">
        <v>45944.850115925925</v>
      </c>
      <c r="B1468" s="30">
        <v>45944.0</v>
      </c>
      <c r="C1468" s="31" t="s">
        <v>4626</v>
      </c>
      <c r="D1468" s="32" t="s">
        <v>4627</v>
      </c>
      <c r="E1468" s="31" t="s">
        <v>288</v>
      </c>
      <c r="F1468" s="31">
        <v>5400000.0</v>
      </c>
      <c r="G1468" s="31" t="s">
        <v>23</v>
      </c>
      <c r="I1468" s="31" t="s">
        <v>229</v>
      </c>
      <c r="J1468" s="31" t="s">
        <v>967</v>
      </c>
      <c r="K1468" s="33" t="s">
        <v>4628</v>
      </c>
      <c r="L1468" s="31" t="s">
        <v>202</v>
      </c>
      <c r="N1468" s="31" t="s">
        <v>204</v>
      </c>
      <c r="R1468" s="31" t="s">
        <v>90</v>
      </c>
    </row>
    <row r="1469">
      <c r="A1469" s="29">
        <v>45944.86606883102</v>
      </c>
      <c r="B1469" s="30">
        <v>45944.0</v>
      </c>
      <c r="C1469" s="31" t="s">
        <v>4629</v>
      </c>
      <c r="D1469" s="32" t="s">
        <v>4630</v>
      </c>
      <c r="E1469" s="31" t="s">
        <v>288</v>
      </c>
      <c r="F1469" s="31">
        <v>1500000.0</v>
      </c>
      <c r="G1469" s="31" t="s">
        <v>23</v>
      </c>
      <c r="H1469" s="31">
        <v>3000000.0</v>
      </c>
      <c r="I1469" s="31" t="s">
        <v>413</v>
      </c>
      <c r="K1469" s="33" t="s">
        <v>4631</v>
      </c>
      <c r="L1469" s="31" t="s">
        <v>202</v>
      </c>
      <c r="M1469" s="31" t="s">
        <v>544</v>
      </c>
      <c r="N1469" s="31" t="s">
        <v>220</v>
      </c>
      <c r="S1469" s="31" t="s">
        <v>913</v>
      </c>
    </row>
    <row r="1470">
      <c r="A1470" s="29">
        <v>45944.87773940973</v>
      </c>
      <c r="B1470" s="30">
        <v>45944.0</v>
      </c>
      <c r="C1470" s="31" t="s">
        <v>4632</v>
      </c>
      <c r="D1470" s="32" t="s">
        <v>3714</v>
      </c>
      <c r="E1470" s="31" t="s">
        <v>283</v>
      </c>
      <c r="F1470" s="31">
        <v>2000000.0</v>
      </c>
      <c r="G1470" s="31" t="s">
        <v>23</v>
      </c>
      <c r="H1470" s="31">
        <v>1600000.0</v>
      </c>
      <c r="I1470" s="31" t="s">
        <v>413</v>
      </c>
      <c r="K1470" s="33" t="s">
        <v>4633</v>
      </c>
      <c r="L1470" s="31" t="s">
        <v>202</v>
      </c>
      <c r="M1470" s="31" t="s">
        <v>203</v>
      </c>
      <c r="N1470" s="31" t="s">
        <v>215</v>
      </c>
      <c r="W1470" s="31" t="s">
        <v>532</v>
      </c>
    </row>
    <row r="1471">
      <c r="A1471" s="29">
        <v>45944.87952945602</v>
      </c>
      <c r="B1471" s="30">
        <v>45944.0</v>
      </c>
      <c r="C1471" s="31" t="s">
        <v>4634</v>
      </c>
      <c r="D1471" s="32" t="s">
        <v>907</v>
      </c>
      <c r="E1471" s="31" t="s">
        <v>957</v>
      </c>
      <c r="F1471" s="31">
        <v>2000000.0</v>
      </c>
      <c r="G1471" s="31" t="s">
        <v>23</v>
      </c>
      <c r="I1471" s="31" t="s">
        <v>229</v>
      </c>
      <c r="J1471" s="31" t="s">
        <v>967</v>
      </c>
      <c r="K1471" s="33" t="s">
        <v>4635</v>
      </c>
      <c r="L1471" s="31" t="s">
        <v>202</v>
      </c>
      <c r="N1471" s="31" t="s">
        <v>215</v>
      </c>
      <c r="W1471" s="31" t="s">
        <v>532</v>
      </c>
    </row>
    <row r="1472">
      <c r="A1472" s="29">
        <v>45944.88817143519</v>
      </c>
      <c r="B1472" s="30">
        <v>45944.0</v>
      </c>
      <c r="C1472" s="31" t="s">
        <v>4636</v>
      </c>
      <c r="D1472" s="32" t="s">
        <v>4637</v>
      </c>
      <c r="E1472" s="31" t="s">
        <v>43</v>
      </c>
      <c r="F1472" s="31">
        <v>3000000.0</v>
      </c>
      <c r="G1472" s="31" t="s">
        <v>45</v>
      </c>
      <c r="H1472" s="31">
        <v>5000000.0</v>
      </c>
      <c r="I1472" s="31" t="s">
        <v>413</v>
      </c>
      <c r="K1472" s="33" t="s">
        <v>4638</v>
      </c>
      <c r="L1472" s="31" t="s">
        <v>202</v>
      </c>
      <c r="M1472" s="31" t="s">
        <v>203</v>
      </c>
      <c r="N1472" s="31" t="s">
        <v>215</v>
      </c>
      <c r="W1472" s="31" t="s">
        <v>216</v>
      </c>
    </row>
    <row r="1473">
      <c r="A1473" s="29">
        <v>45944.905723240736</v>
      </c>
      <c r="B1473" s="30">
        <v>45944.0</v>
      </c>
      <c r="C1473" s="31" t="s">
        <v>4639</v>
      </c>
      <c r="D1473" s="32" t="s">
        <v>4640</v>
      </c>
      <c r="E1473" s="31" t="s">
        <v>228</v>
      </c>
      <c r="F1473" s="31">
        <v>3000000.0</v>
      </c>
      <c r="G1473" s="31" t="s">
        <v>23</v>
      </c>
      <c r="H1473" s="31">
        <v>3000000.0</v>
      </c>
      <c r="I1473" s="31" t="s">
        <v>413</v>
      </c>
      <c r="K1473" s="33" t="s">
        <v>4641</v>
      </c>
      <c r="L1473" s="31" t="s">
        <v>202</v>
      </c>
      <c r="M1473" s="31" t="s">
        <v>203</v>
      </c>
      <c r="N1473" s="31" t="s">
        <v>667</v>
      </c>
      <c r="U1473" s="31" t="s">
        <v>3950</v>
      </c>
    </row>
    <row r="1474">
      <c r="A1474" s="29">
        <v>45945.424868877315</v>
      </c>
      <c r="B1474" s="30">
        <v>45945.0</v>
      </c>
      <c r="C1474" s="31" t="s">
        <v>4642</v>
      </c>
      <c r="D1474" s="32" t="s">
        <v>4643</v>
      </c>
      <c r="E1474" s="31" t="s">
        <v>43</v>
      </c>
      <c r="F1474" s="31">
        <v>3000000.0</v>
      </c>
      <c r="G1474" s="31" t="s">
        <v>23</v>
      </c>
      <c r="I1474" s="31" t="s">
        <v>229</v>
      </c>
      <c r="J1474" s="31" t="s">
        <v>967</v>
      </c>
      <c r="K1474" s="33" t="s">
        <v>4644</v>
      </c>
      <c r="L1474" s="31" t="s">
        <v>202</v>
      </c>
      <c r="N1474" s="31" t="s">
        <v>871</v>
      </c>
      <c r="Q1474" s="31" t="s">
        <v>872</v>
      </c>
    </row>
    <row r="1475">
      <c r="A1475" s="29">
        <v>45945.441299375</v>
      </c>
      <c r="B1475" s="30">
        <v>45945.0</v>
      </c>
      <c r="C1475" s="31" t="s">
        <v>4645</v>
      </c>
      <c r="D1475" s="32" t="s">
        <v>4646</v>
      </c>
      <c r="E1475" s="31" t="s">
        <v>228</v>
      </c>
      <c r="F1475" s="34">
        <v>3500.0</v>
      </c>
      <c r="G1475" s="31" t="s">
        <v>23</v>
      </c>
      <c r="I1475" s="31" t="s">
        <v>229</v>
      </c>
      <c r="J1475" s="31" t="s">
        <v>967</v>
      </c>
      <c r="K1475" s="33" t="s">
        <v>4647</v>
      </c>
      <c r="L1475" s="31" t="s">
        <v>202</v>
      </c>
      <c r="N1475" s="31" t="s">
        <v>871</v>
      </c>
      <c r="Q1475" s="31" t="s">
        <v>2403</v>
      </c>
    </row>
    <row r="1476">
      <c r="A1476" s="29">
        <v>45945.44957600694</v>
      </c>
      <c r="B1476" s="30">
        <v>45945.0</v>
      </c>
      <c r="C1476" s="31" t="s">
        <v>4648</v>
      </c>
      <c r="D1476" s="32" t="s">
        <v>4649</v>
      </c>
      <c r="E1476" s="31" t="s">
        <v>43</v>
      </c>
      <c r="F1476" s="31">
        <v>2600000.0</v>
      </c>
      <c r="G1476" s="31" t="s">
        <v>23</v>
      </c>
      <c r="H1476" s="31">
        <v>3000000.0</v>
      </c>
      <c r="I1476" s="31" t="s">
        <v>413</v>
      </c>
      <c r="K1476" s="33" t="s">
        <v>4650</v>
      </c>
      <c r="L1476" s="31" t="s">
        <v>252</v>
      </c>
      <c r="M1476" s="31" t="s">
        <v>203</v>
      </c>
      <c r="O1476" s="31" t="s">
        <v>257</v>
      </c>
      <c r="P1476" s="31" t="s">
        <v>2453</v>
      </c>
    </row>
    <row r="1477">
      <c r="A1477" s="29">
        <v>45945.45972366898</v>
      </c>
      <c r="B1477" s="30">
        <v>45945.0</v>
      </c>
      <c r="C1477" s="31" t="s">
        <v>4651</v>
      </c>
      <c r="D1477" s="32" t="s">
        <v>4652</v>
      </c>
      <c r="E1477" s="31" t="s">
        <v>43</v>
      </c>
      <c r="F1477" s="31">
        <v>3000000.0</v>
      </c>
      <c r="G1477" s="31" t="s">
        <v>23</v>
      </c>
      <c r="H1477" s="31">
        <v>3000000.0</v>
      </c>
      <c r="I1477" s="31" t="s">
        <v>413</v>
      </c>
      <c r="K1477" s="33" t="s">
        <v>4653</v>
      </c>
      <c r="L1477" s="31" t="s">
        <v>252</v>
      </c>
      <c r="M1477" s="31" t="s">
        <v>203</v>
      </c>
      <c r="O1477" s="31" t="s">
        <v>257</v>
      </c>
      <c r="P1477" s="31" t="s">
        <v>1555</v>
      </c>
    </row>
    <row r="1478">
      <c r="A1478" s="29">
        <v>45945.47253608797</v>
      </c>
      <c r="B1478" s="30">
        <v>45945.0</v>
      </c>
      <c r="C1478" s="31" t="s">
        <v>4654</v>
      </c>
      <c r="D1478" s="32" t="s">
        <v>4259</v>
      </c>
      <c r="E1478" s="31" t="s">
        <v>239</v>
      </c>
      <c r="F1478" s="31">
        <v>3000000.0</v>
      </c>
      <c r="G1478" s="31" t="s">
        <v>23</v>
      </c>
      <c r="I1478" s="31" t="s">
        <v>229</v>
      </c>
      <c r="J1478" s="31" t="s">
        <v>967</v>
      </c>
      <c r="K1478" s="33" t="s">
        <v>4655</v>
      </c>
      <c r="L1478" s="31" t="s">
        <v>202</v>
      </c>
      <c r="N1478" s="31" t="s">
        <v>871</v>
      </c>
      <c r="Q1478" s="31" t="s">
        <v>872</v>
      </c>
    </row>
    <row r="1479">
      <c r="A1479" s="29">
        <v>45945.473631747685</v>
      </c>
      <c r="B1479" s="30">
        <v>45945.0</v>
      </c>
      <c r="C1479" s="31" t="s">
        <v>4656</v>
      </c>
      <c r="D1479" s="32" t="s">
        <v>4259</v>
      </c>
      <c r="E1479" s="31" t="s">
        <v>43</v>
      </c>
      <c r="F1479" s="31">
        <v>3000000.0</v>
      </c>
      <c r="G1479" s="31" t="s">
        <v>23</v>
      </c>
      <c r="H1479" s="31">
        <v>5000000.0</v>
      </c>
      <c r="I1479" s="31" t="s">
        <v>200</v>
      </c>
      <c r="K1479" s="33" t="s">
        <v>4657</v>
      </c>
      <c r="L1479" s="31" t="s">
        <v>202</v>
      </c>
      <c r="M1479" s="31" t="s">
        <v>203</v>
      </c>
      <c r="N1479" s="31" t="s">
        <v>871</v>
      </c>
      <c r="Q1479" s="31" t="s">
        <v>872</v>
      </c>
    </row>
    <row r="1480">
      <c r="A1480" s="29">
        <v>45945.48901471065</v>
      </c>
      <c r="B1480" s="30">
        <v>45945.0</v>
      </c>
      <c r="C1480" s="31" t="s">
        <v>4658</v>
      </c>
      <c r="D1480" s="32" t="s">
        <v>4659</v>
      </c>
      <c r="E1480" s="31" t="s">
        <v>156</v>
      </c>
      <c r="F1480" s="31">
        <v>1.0E7</v>
      </c>
      <c r="G1480" s="31" t="s">
        <v>45</v>
      </c>
      <c r="H1480" s="31">
        <v>3000000.0</v>
      </c>
      <c r="I1480" s="31" t="s">
        <v>413</v>
      </c>
      <c r="K1480" s="33" t="s">
        <v>4660</v>
      </c>
      <c r="L1480" s="31" t="s">
        <v>252</v>
      </c>
      <c r="M1480" s="31" t="s">
        <v>926</v>
      </c>
      <c r="O1480" s="31" t="s">
        <v>257</v>
      </c>
      <c r="P1480" s="31" t="s">
        <v>285</v>
      </c>
    </row>
    <row r="1481">
      <c r="A1481" s="29">
        <v>45945.49291178241</v>
      </c>
      <c r="B1481" s="30">
        <v>45945.0</v>
      </c>
      <c r="C1481" s="31" t="s">
        <v>4661</v>
      </c>
      <c r="D1481" s="32" t="s">
        <v>4662</v>
      </c>
      <c r="E1481" s="31" t="s">
        <v>784</v>
      </c>
      <c r="F1481" s="31">
        <v>2500000.0</v>
      </c>
      <c r="G1481" s="31" t="s">
        <v>23</v>
      </c>
      <c r="H1481" s="31">
        <v>3000000.0</v>
      </c>
      <c r="I1481" s="31" t="s">
        <v>413</v>
      </c>
      <c r="K1481" s="33" t="s">
        <v>4663</v>
      </c>
      <c r="L1481" s="31" t="s">
        <v>252</v>
      </c>
      <c r="M1481" s="31" t="s">
        <v>203</v>
      </c>
      <c r="O1481" s="31" t="s">
        <v>257</v>
      </c>
      <c r="P1481" s="31" t="s">
        <v>206</v>
      </c>
    </row>
    <row r="1482">
      <c r="A1482" s="29">
        <v>45945.494429768514</v>
      </c>
      <c r="B1482" s="30">
        <v>45945.0</v>
      </c>
      <c r="C1482" s="31" t="s">
        <v>4664</v>
      </c>
      <c r="D1482" s="32" t="s">
        <v>4665</v>
      </c>
      <c r="E1482" s="31" t="s">
        <v>43</v>
      </c>
      <c r="F1482" s="31">
        <v>3300000.0</v>
      </c>
      <c r="G1482" s="31" t="s">
        <v>23</v>
      </c>
      <c r="H1482" s="31">
        <v>1000000.0</v>
      </c>
      <c r="I1482" s="31" t="s">
        <v>413</v>
      </c>
      <c r="K1482" s="33" t="s">
        <v>4666</v>
      </c>
      <c r="L1482" s="31" t="s">
        <v>252</v>
      </c>
      <c r="M1482" s="31" t="s">
        <v>605</v>
      </c>
      <c r="O1482" s="31" t="s">
        <v>257</v>
      </c>
      <c r="P1482" s="31" t="s">
        <v>2453</v>
      </c>
    </row>
    <row r="1483">
      <c r="A1483" s="29">
        <v>45945.49653866898</v>
      </c>
      <c r="B1483" s="30">
        <v>45945.0</v>
      </c>
      <c r="C1483" s="31" t="s">
        <v>4667</v>
      </c>
      <c r="D1483" s="31">
        <v>8.2339806649E10</v>
      </c>
      <c r="E1483" s="31" t="s">
        <v>43</v>
      </c>
      <c r="F1483" s="31">
        <v>2600000.0</v>
      </c>
      <c r="G1483" s="31" t="s">
        <v>23</v>
      </c>
      <c r="H1483" s="31">
        <v>1600000.0</v>
      </c>
      <c r="I1483" s="31" t="s">
        <v>413</v>
      </c>
      <c r="K1483" s="33" t="s">
        <v>4668</v>
      </c>
      <c r="L1483" s="31" t="s">
        <v>252</v>
      </c>
      <c r="M1483" s="31" t="s">
        <v>203</v>
      </c>
      <c r="O1483" s="31" t="s">
        <v>257</v>
      </c>
      <c r="P1483" s="31" t="s">
        <v>2453</v>
      </c>
    </row>
    <row r="1484">
      <c r="A1484" s="29">
        <v>45945.513335474534</v>
      </c>
      <c r="B1484" s="30">
        <v>45945.0</v>
      </c>
      <c r="C1484" s="31" t="s">
        <v>4669</v>
      </c>
      <c r="D1484" s="32" t="s">
        <v>4670</v>
      </c>
      <c r="E1484" s="31" t="s">
        <v>2598</v>
      </c>
      <c r="F1484" s="31">
        <v>3400000.0</v>
      </c>
      <c r="G1484" s="31" t="s">
        <v>23</v>
      </c>
      <c r="I1484" s="31" t="s">
        <v>229</v>
      </c>
      <c r="J1484" s="31" t="s">
        <v>967</v>
      </c>
      <c r="K1484" s="33" t="s">
        <v>4671</v>
      </c>
      <c r="L1484" s="31" t="s">
        <v>202</v>
      </c>
      <c r="N1484" s="31" t="s">
        <v>667</v>
      </c>
      <c r="U1484" s="31" t="s">
        <v>668</v>
      </c>
    </row>
    <row r="1485">
      <c r="A1485" s="29">
        <v>45945.51394134259</v>
      </c>
      <c r="B1485" s="30">
        <v>45945.0</v>
      </c>
      <c r="C1485" s="31" t="s">
        <v>4672</v>
      </c>
      <c r="D1485" s="32" t="s">
        <v>4673</v>
      </c>
      <c r="E1485" s="31" t="s">
        <v>43</v>
      </c>
      <c r="F1485" s="31">
        <v>2500000.0</v>
      </c>
      <c r="G1485" s="31" t="s">
        <v>23</v>
      </c>
      <c r="H1485" s="31">
        <v>3000000.0</v>
      </c>
      <c r="I1485" s="31" t="s">
        <v>413</v>
      </c>
      <c r="K1485" s="33" t="s">
        <v>4674</v>
      </c>
      <c r="L1485" s="31" t="s">
        <v>202</v>
      </c>
      <c r="M1485" s="31" t="s">
        <v>203</v>
      </c>
      <c r="N1485" s="31" t="s">
        <v>215</v>
      </c>
      <c r="W1485" s="31" t="s">
        <v>216</v>
      </c>
    </row>
    <row r="1486">
      <c r="A1486" s="29">
        <v>45945.51857961806</v>
      </c>
      <c r="B1486" s="30">
        <v>45945.0</v>
      </c>
      <c r="C1486" s="31" t="s">
        <v>4675</v>
      </c>
      <c r="D1486" s="32" t="s">
        <v>4676</v>
      </c>
      <c r="E1486" s="31" t="s">
        <v>43</v>
      </c>
      <c r="F1486" s="31">
        <v>4500000.0</v>
      </c>
      <c r="G1486" s="31" t="s">
        <v>23</v>
      </c>
      <c r="H1486" s="31">
        <v>3000000.0</v>
      </c>
      <c r="I1486" s="31" t="s">
        <v>413</v>
      </c>
      <c r="K1486" s="33" t="s">
        <v>4677</v>
      </c>
      <c r="L1486" s="31" t="s">
        <v>202</v>
      </c>
      <c r="M1486" s="31" t="s">
        <v>203</v>
      </c>
      <c r="N1486" s="31" t="s">
        <v>215</v>
      </c>
      <c r="W1486" s="31" t="s">
        <v>389</v>
      </c>
    </row>
    <row r="1487">
      <c r="A1487" s="29">
        <v>45945.53178447917</v>
      </c>
      <c r="B1487" s="30">
        <v>45945.0</v>
      </c>
      <c r="C1487" s="31" t="s">
        <v>4678</v>
      </c>
      <c r="D1487" s="32" t="s">
        <v>4679</v>
      </c>
      <c r="E1487" s="31" t="s">
        <v>43</v>
      </c>
      <c r="F1487" s="31">
        <v>3500000.0</v>
      </c>
      <c r="G1487" s="31" t="s">
        <v>45</v>
      </c>
      <c r="I1487" s="31" t="s">
        <v>229</v>
      </c>
      <c r="J1487" s="31" t="s">
        <v>967</v>
      </c>
      <c r="K1487" s="33" t="s">
        <v>4680</v>
      </c>
      <c r="L1487" s="31" t="s">
        <v>202</v>
      </c>
      <c r="N1487" s="31" t="s">
        <v>204</v>
      </c>
      <c r="R1487" s="31" t="s">
        <v>53</v>
      </c>
    </row>
    <row r="1488">
      <c r="A1488" s="29">
        <v>45945.53496952546</v>
      </c>
      <c r="B1488" s="30">
        <v>45945.0</v>
      </c>
      <c r="C1488" s="31" t="s">
        <v>4681</v>
      </c>
      <c r="D1488" s="32" t="s">
        <v>4682</v>
      </c>
      <c r="E1488" s="31" t="s">
        <v>239</v>
      </c>
      <c r="F1488" s="31">
        <v>3000000.0</v>
      </c>
      <c r="G1488" s="31" t="s">
        <v>23</v>
      </c>
      <c r="H1488" s="31">
        <v>3000000.0</v>
      </c>
      <c r="I1488" s="31" t="s">
        <v>413</v>
      </c>
      <c r="K1488" s="33" t="s">
        <v>4683</v>
      </c>
      <c r="L1488" s="31" t="s">
        <v>202</v>
      </c>
      <c r="M1488" s="31" t="s">
        <v>203</v>
      </c>
      <c r="N1488" s="31" t="s">
        <v>871</v>
      </c>
      <c r="Q1488" s="31" t="s">
        <v>872</v>
      </c>
    </row>
    <row r="1489">
      <c r="A1489" s="29">
        <v>45945.543461504625</v>
      </c>
      <c r="B1489" s="30">
        <v>45945.0</v>
      </c>
      <c r="C1489" s="31" t="s">
        <v>4684</v>
      </c>
      <c r="D1489" s="32" t="s">
        <v>4685</v>
      </c>
      <c r="E1489" s="31" t="s">
        <v>957</v>
      </c>
      <c r="F1489" s="31">
        <v>2000000.0</v>
      </c>
      <c r="G1489" s="31" t="s">
        <v>23</v>
      </c>
      <c r="I1489" s="31" t="s">
        <v>229</v>
      </c>
      <c r="J1489" s="31" t="s">
        <v>967</v>
      </c>
      <c r="K1489" s="33" t="s">
        <v>4686</v>
      </c>
      <c r="L1489" s="31" t="s">
        <v>202</v>
      </c>
      <c r="N1489" s="31" t="s">
        <v>215</v>
      </c>
      <c r="W1489" s="31" t="s">
        <v>532</v>
      </c>
    </row>
    <row r="1490">
      <c r="A1490" s="29">
        <v>45945.54834596065</v>
      </c>
      <c r="B1490" s="30">
        <v>45945.0</v>
      </c>
      <c r="C1490" s="31" t="s">
        <v>1303</v>
      </c>
      <c r="D1490" s="32" t="s">
        <v>4687</v>
      </c>
      <c r="E1490" s="31" t="s">
        <v>288</v>
      </c>
      <c r="F1490" s="31">
        <v>3000000.0</v>
      </c>
      <c r="G1490" s="31" t="s">
        <v>23</v>
      </c>
      <c r="H1490" s="31">
        <v>3000000.0</v>
      </c>
      <c r="I1490" s="31" t="s">
        <v>413</v>
      </c>
      <c r="K1490" s="33" t="s">
        <v>4688</v>
      </c>
      <c r="L1490" s="31" t="s">
        <v>202</v>
      </c>
      <c r="M1490" s="31" t="s">
        <v>203</v>
      </c>
      <c r="N1490" s="31" t="s">
        <v>871</v>
      </c>
      <c r="Q1490" s="31" t="s">
        <v>872</v>
      </c>
    </row>
    <row r="1491">
      <c r="A1491" s="29">
        <v>45945.55562292824</v>
      </c>
      <c r="B1491" s="30">
        <v>45945.0</v>
      </c>
      <c r="C1491" s="31" t="s">
        <v>4689</v>
      </c>
      <c r="D1491" s="32" t="s">
        <v>4690</v>
      </c>
      <c r="E1491" s="31" t="s">
        <v>228</v>
      </c>
      <c r="F1491" s="31">
        <v>3500.0</v>
      </c>
      <c r="G1491" s="31" t="s">
        <v>23</v>
      </c>
      <c r="I1491" s="31" t="s">
        <v>229</v>
      </c>
      <c r="J1491" s="31" t="s">
        <v>967</v>
      </c>
      <c r="K1491" s="33" t="s">
        <v>4691</v>
      </c>
      <c r="L1491" s="31" t="s">
        <v>202</v>
      </c>
      <c r="N1491" s="31" t="s">
        <v>204</v>
      </c>
      <c r="R1491" s="31" t="s">
        <v>192</v>
      </c>
    </row>
    <row r="1492">
      <c r="A1492" s="29">
        <v>45945.56179278935</v>
      </c>
      <c r="B1492" s="30">
        <v>45945.0</v>
      </c>
      <c r="C1492" s="31" t="s">
        <v>4692</v>
      </c>
      <c r="D1492" s="32" t="s">
        <v>4693</v>
      </c>
      <c r="E1492" s="31" t="s">
        <v>199</v>
      </c>
      <c r="F1492" s="31">
        <v>5600000.0</v>
      </c>
      <c r="G1492" s="31" t="s">
        <v>45</v>
      </c>
      <c r="H1492" s="31">
        <v>5000000.0</v>
      </c>
      <c r="I1492" s="31" t="s">
        <v>200</v>
      </c>
      <c r="K1492" s="33" t="s">
        <v>4694</v>
      </c>
      <c r="L1492" s="31" t="s">
        <v>252</v>
      </c>
      <c r="M1492" s="31" t="s">
        <v>926</v>
      </c>
      <c r="O1492" s="31" t="s">
        <v>205</v>
      </c>
      <c r="X1492" s="31" t="s">
        <v>2335</v>
      </c>
    </row>
    <row r="1493">
      <c r="A1493" s="29">
        <v>45945.56296056713</v>
      </c>
      <c r="B1493" s="30">
        <v>45945.0</v>
      </c>
      <c r="C1493" s="31" t="s">
        <v>4695</v>
      </c>
      <c r="D1493" s="32" t="s">
        <v>4696</v>
      </c>
      <c r="E1493" s="31" t="s">
        <v>283</v>
      </c>
      <c r="F1493" s="31">
        <v>1.02E7</v>
      </c>
      <c r="G1493" s="31" t="s">
        <v>45</v>
      </c>
      <c r="I1493" s="31" t="s">
        <v>229</v>
      </c>
      <c r="J1493" s="31" t="s">
        <v>967</v>
      </c>
      <c r="K1493" s="33" t="s">
        <v>4697</v>
      </c>
      <c r="L1493" s="31" t="s">
        <v>252</v>
      </c>
      <c r="O1493" s="31" t="s">
        <v>257</v>
      </c>
      <c r="P1493" s="31" t="s">
        <v>272</v>
      </c>
    </row>
    <row r="1494">
      <c r="A1494" s="29">
        <v>45945.564223611116</v>
      </c>
      <c r="B1494" s="30">
        <v>45945.0</v>
      </c>
      <c r="C1494" s="31" t="s">
        <v>4698</v>
      </c>
      <c r="D1494" s="32" t="s">
        <v>4699</v>
      </c>
      <c r="E1494" s="31" t="s">
        <v>283</v>
      </c>
      <c r="F1494" s="31">
        <v>1.0E7</v>
      </c>
      <c r="G1494" s="31" t="s">
        <v>45</v>
      </c>
      <c r="I1494" s="31" t="s">
        <v>229</v>
      </c>
      <c r="J1494" s="31" t="s">
        <v>967</v>
      </c>
      <c r="K1494" s="33" t="s">
        <v>4700</v>
      </c>
      <c r="L1494" s="31" t="s">
        <v>252</v>
      </c>
      <c r="O1494" s="31" t="s">
        <v>257</v>
      </c>
      <c r="P1494" s="31" t="s">
        <v>272</v>
      </c>
    </row>
    <row r="1495">
      <c r="A1495" s="29">
        <v>45945.57597643518</v>
      </c>
      <c r="B1495" s="30">
        <v>45945.0</v>
      </c>
      <c r="C1495" s="31" t="s">
        <v>4701</v>
      </c>
      <c r="D1495" s="31">
        <v>8.2143174487E10</v>
      </c>
      <c r="E1495" s="31" t="s">
        <v>288</v>
      </c>
      <c r="F1495" s="31">
        <v>7000000.0</v>
      </c>
      <c r="G1495" s="31" t="s">
        <v>45</v>
      </c>
      <c r="I1495" s="31" t="s">
        <v>229</v>
      </c>
      <c r="J1495" s="31" t="s">
        <v>967</v>
      </c>
      <c r="K1495" s="33" t="s">
        <v>4702</v>
      </c>
      <c r="L1495" s="31" t="s">
        <v>252</v>
      </c>
      <c r="O1495" s="31" t="s">
        <v>257</v>
      </c>
      <c r="P1495" s="31" t="s">
        <v>285</v>
      </c>
    </row>
    <row r="1496">
      <c r="A1496" s="29">
        <v>45945.57859902778</v>
      </c>
      <c r="B1496" s="30">
        <v>45945.0</v>
      </c>
      <c r="C1496" s="31" t="s">
        <v>4703</v>
      </c>
      <c r="D1496" s="32" t="s">
        <v>4704</v>
      </c>
      <c r="E1496" s="31" t="s">
        <v>43</v>
      </c>
      <c r="F1496" s="31">
        <v>9000000.0</v>
      </c>
      <c r="G1496" s="31" t="s">
        <v>23</v>
      </c>
      <c r="I1496" s="31" t="s">
        <v>229</v>
      </c>
      <c r="J1496" s="31" t="s">
        <v>967</v>
      </c>
      <c r="K1496" s="33" t="s">
        <v>4705</v>
      </c>
      <c r="L1496" s="31" t="s">
        <v>252</v>
      </c>
      <c r="O1496" s="31" t="s">
        <v>257</v>
      </c>
      <c r="P1496" s="31" t="s">
        <v>258</v>
      </c>
    </row>
    <row r="1497">
      <c r="A1497" s="29">
        <v>45945.58278936343</v>
      </c>
      <c r="B1497" s="30">
        <v>45945.0</v>
      </c>
      <c r="C1497" s="31" t="s">
        <v>4681</v>
      </c>
      <c r="D1497" s="32" t="s">
        <v>4706</v>
      </c>
      <c r="E1497" s="31" t="s">
        <v>4707</v>
      </c>
      <c r="F1497" s="31">
        <v>2500000.0</v>
      </c>
      <c r="G1497" s="31" t="s">
        <v>23</v>
      </c>
      <c r="I1497" s="31" t="s">
        <v>229</v>
      </c>
      <c r="J1497" s="31" t="s">
        <v>967</v>
      </c>
      <c r="K1497" s="33" t="s">
        <v>4708</v>
      </c>
      <c r="L1497" s="31" t="s">
        <v>202</v>
      </c>
      <c r="N1497" s="31" t="s">
        <v>871</v>
      </c>
      <c r="Q1497" s="31" t="s">
        <v>1021</v>
      </c>
    </row>
    <row r="1498">
      <c r="A1498" s="29">
        <v>45945.587267951385</v>
      </c>
      <c r="B1498" s="30">
        <v>45945.0</v>
      </c>
      <c r="C1498" s="31" t="s">
        <v>4709</v>
      </c>
      <c r="D1498" s="31" t="s">
        <v>4710</v>
      </c>
      <c r="E1498" s="31" t="s">
        <v>4711</v>
      </c>
      <c r="F1498" s="31">
        <v>3000000.0</v>
      </c>
      <c r="G1498" s="31" t="s">
        <v>23</v>
      </c>
      <c r="H1498" s="31">
        <v>3000000.0</v>
      </c>
      <c r="I1498" s="31" t="s">
        <v>200</v>
      </c>
      <c r="K1498" s="33" t="s">
        <v>4712</v>
      </c>
      <c r="L1498" s="31" t="s">
        <v>202</v>
      </c>
      <c r="M1498" s="31" t="s">
        <v>203</v>
      </c>
      <c r="N1498" s="31" t="s">
        <v>204</v>
      </c>
      <c r="R1498" s="31" t="s">
        <v>892</v>
      </c>
    </row>
    <row r="1499">
      <c r="A1499" s="29">
        <v>45945.5906402199</v>
      </c>
      <c r="B1499" s="30">
        <v>45945.0</v>
      </c>
      <c r="C1499" s="31" t="s">
        <v>4713</v>
      </c>
      <c r="D1499" s="32" t="s">
        <v>4714</v>
      </c>
      <c r="E1499" s="31" t="s">
        <v>228</v>
      </c>
      <c r="F1499" s="31">
        <v>4300000.0</v>
      </c>
      <c r="G1499" s="31" t="s">
        <v>23</v>
      </c>
      <c r="H1499" s="31">
        <v>7000000.0</v>
      </c>
      <c r="I1499" s="31" t="s">
        <v>413</v>
      </c>
      <c r="K1499" s="33" t="s">
        <v>4715</v>
      </c>
      <c r="L1499" s="31" t="s">
        <v>202</v>
      </c>
      <c r="M1499" s="31" t="s">
        <v>926</v>
      </c>
      <c r="N1499" s="31" t="s">
        <v>204</v>
      </c>
      <c r="R1499" s="31" t="s">
        <v>90</v>
      </c>
    </row>
    <row r="1500">
      <c r="A1500" s="29">
        <v>45945.599809872685</v>
      </c>
      <c r="B1500" s="30">
        <v>45945.0</v>
      </c>
      <c r="C1500" s="31" t="s">
        <v>4716</v>
      </c>
      <c r="D1500" s="31">
        <v>8.7778041688E10</v>
      </c>
      <c r="E1500" s="31" t="s">
        <v>31</v>
      </c>
      <c r="F1500" s="31">
        <v>1.8E7</v>
      </c>
      <c r="G1500" s="31" t="s">
        <v>23</v>
      </c>
      <c r="I1500" s="31" t="s">
        <v>229</v>
      </c>
      <c r="J1500" s="31" t="s">
        <v>967</v>
      </c>
      <c r="K1500" s="33" t="s">
        <v>4717</v>
      </c>
      <c r="L1500" s="31" t="s">
        <v>202</v>
      </c>
      <c r="N1500" s="31" t="s">
        <v>204</v>
      </c>
      <c r="R1500" s="31" t="s">
        <v>471</v>
      </c>
    </row>
    <row r="1501">
      <c r="A1501" s="29">
        <v>45945.601699375</v>
      </c>
      <c r="B1501" s="30">
        <v>45945.0</v>
      </c>
      <c r="C1501" s="31" t="s">
        <v>4718</v>
      </c>
      <c r="D1501" s="32" t="s">
        <v>4719</v>
      </c>
      <c r="E1501" s="31" t="s">
        <v>228</v>
      </c>
      <c r="F1501" s="31">
        <v>500000.0</v>
      </c>
      <c r="G1501" s="31" t="s">
        <v>23</v>
      </c>
      <c r="I1501" s="31" t="s">
        <v>229</v>
      </c>
      <c r="J1501" s="31" t="s">
        <v>967</v>
      </c>
      <c r="K1501" s="33" t="s">
        <v>4720</v>
      </c>
      <c r="L1501" s="31" t="s">
        <v>202</v>
      </c>
      <c r="N1501" s="31" t="s">
        <v>204</v>
      </c>
      <c r="R1501" s="31" t="s">
        <v>192</v>
      </c>
    </row>
    <row r="1502">
      <c r="A1502" s="29">
        <v>45945.65287708333</v>
      </c>
      <c r="B1502" s="30">
        <v>45945.0</v>
      </c>
      <c r="C1502" s="31" t="s">
        <v>4721</v>
      </c>
      <c r="D1502" s="32" t="s">
        <v>4722</v>
      </c>
      <c r="E1502" s="31" t="s">
        <v>31</v>
      </c>
      <c r="F1502" s="31">
        <v>6200000.0</v>
      </c>
      <c r="G1502" s="31" t="s">
        <v>23</v>
      </c>
      <c r="I1502" s="31" t="s">
        <v>229</v>
      </c>
      <c r="J1502" s="31" t="s">
        <v>967</v>
      </c>
      <c r="K1502" s="33" t="s">
        <v>4723</v>
      </c>
      <c r="L1502" s="31" t="s">
        <v>202</v>
      </c>
      <c r="N1502" s="31" t="s">
        <v>313</v>
      </c>
      <c r="T1502" s="31" t="s">
        <v>329</v>
      </c>
    </row>
    <row r="1503">
      <c r="A1503" s="29">
        <v>45945.65485086806</v>
      </c>
      <c r="B1503" s="30">
        <v>45945.0</v>
      </c>
      <c r="C1503" s="31" t="s">
        <v>4724</v>
      </c>
      <c r="D1503" s="32" t="s">
        <v>4725</v>
      </c>
      <c r="E1503" s="31" t="s">
        <v>43</v>
      </c>
      <c r="F1503" s="31">
        <v>6600000.0</v>
      </c>
      <c r="G1503" s="31" t="s">
        <v>23</v>
      </c>
      <c r="I1503" s="31" t="s">
        <v>229</v>
      </c>
      <c r="J1503" s="31" t="s">
        <v>967</v>
      </c>
      <c r="K1503" s="33" t="s">
        <v>4726</v>
      </c>
      <c r="L1503" s="31" t="s">
        <v>202</v>
      </c>
      <c r="N1503" s="31" t="s">
        <v>313</v>
      </c>
      <c r="T1503" s="31" t="s">
        <v>329</v>
      </c>
    </row>
    <row r="1504">
      <c r="A1504" s="29">
        <v>45945.65752570602</v>
      </c>
      <c r="B1504" s="30">
        <v>45945.0</v>
      </c>
      <c r="C1504" s="31" t="s">
        <v>4727</v>
      </c>
      <c r="D1504" s="32" t="s">
        <v>4728</v>
      </c>
      <c r="E1504" s="31" t="s">
        <v>43</v>
      </c>
      <c r="F1504" s="31">
        <v>6100000.0</v>
      </c>
      <c r="G1504" s="31" t="s">
        <v>23</v>
      </c>
      <c r="I1504" s="31" t="s">
        <v>229</v>
      </c>
      <c r="J1504" s="31" t="s">
        <v>967</v>
      </c>
      <c r="K1504" s="33" t="s">
        <v>4729</v>
      </c>
      <c r="L1504" s="31" t="s">
        <v>202</v>
      </c>
      <c r="N1504" s="31" t="s">
        <v>313</v>
      </c>
      <c r="T1504" s="31" t="s">
        <v>329</v>
      </c>
    </row>
    <row r="1505">
      <c r="A1505" s="29">
        <v>45945.687018067125</v>
      </c>
      <c r="B1505" s="30">
        <v>45945.0</v>
      </c>
      <c r="C1505" s="31" t="s">
        <v>4730</v>
      </c>
      <c r="D1505" s="32" t="s">
        <v>4731</v>
      </c>
      <c r="E1505" s="31" t="s">
        <v>43</v>
      </c>
      <c r="F1505" s="31">
        <v>3400000.0</v>
      </c>
      <c r="G1505" s="31" t="s">
        <v>23</v>
      </c>
      <c r="I1505" s="31" t="s">
        <v>229</v>
      </c>
      <c r="J1505" s="31" t="s">
        <v>967</v>
      </c>
      <c r="K1505" s="33" t="s">
        <v>4732</v>
      </c>
      <c r="L1505" s="31" t="s">
        <v>202</v>
      </c>
      <c r="N1505" s="31" t="s">
        <v>667</v>
      </c>
      <c r="U1505" s="31" t="s">
        <v>668</v>
      </c>
    </row>
    <row r="1506">
      <c r="A1506" s="29">
        <v>45945.724158020836</v>
      </c>
      <c r="B1506" s="30">
        <v>45945.0</v>
      </c>
      <c r="C1506" s="31" t="s">
        <v>4733</v>
      </c>
      <c r="D1506" s="32" t="s">
        <v>4734</v>
      </c>
      <c r="E1506" s="31" t="s">
        <v>311</v>
      </c>
      <c r="F1506" s="31">
        <v>5000000.0</v>
      </c>
      <c r="G1506" s="31" t="s">
        <v>23</v>
      </c>
      <c r="I1506" s="31" t="s">
        <v>229</v>
      </c>
      <c r="J1506" s="31" t="s">
        <v>967</v>
      </c>
      <c r="K1506" s="33" t="s">
        <v>4735</v>
      </c>
      <c r="L1506" s="31" t="s">
        <v>202</v>
      </c>
      <c r="N1506" s="31" t="s">
        <v>313</v>
      </c>
      <c r="T1506" s="31" t="s">
        <v>314</v>
      </c>
    </row>
    <row r="1507">
      <c r="A1507" s="29">
        <v>45945.72616881944</v>
      </c>
      <c r="B1507" s="30">
        <v>45945.0</v>
      </c>
      <c r="C1507" s="31" t="s">
        <v>4736</v>
      </c>
      <c r="D1507" s="32" t="s">
        <v>4737</v>
      </c>
      <c r="E1507" s="31" t="s">
        <v>4575</v>
      </c>
      <c r="F1507" s="31">
        <v>5000000.0</v>
      </c>
      <c r="G1507" s="31" t="s">
        <v>23</v>
      </c>
      <c r="I1507" s="31" t="s">
        <v>229</v>
      </c>
      <c r="J1507" s="31" t="s">
        <v>967</v>
      </c>
      <c r="K1507" s="33" t="s">
        <v>4738</v>
      </c>
      <c r="L1507" s="31" t="s">
        <v>202</v>
      </c>
      <c r="N1507" s="31" t="s">
        <v>313</v>
      </c>
      <c r="T1507" s="31" t="s">
        <v>314</v>
      </c>
    </row>
    <row r="1508">
      <c r="A1508" s="29">
        <v>45945.747766597226</v>
      </c>
      <c r="B1508" s="30">
        <v>45945.0</v>
      </c>
      <c r="C1508" s="31" t="s">
        <v>4739</v>
      </c>
      <c r="D1508" s="31">
        <v>8.5219712505E10</v>
      </c>
      <c r="E1508" s="31" t="s">
        <v>4740</v>
      </c>
      <c r="F1508" s="31">
        <v>3000000.0</v>
      </c>
      <c r="G1508" s="31" t="s">
        <v>23</v>
      </c>
      <c r="I1508" s="31" t="s">
        <v>229</v>
      </c>
      <c r="J1508" s="31" t="s">
        <v>229</v>
      </c>
      <c r="K1508" s="33" t="s">
        <v>4741</v>
      </c>
      <c r="L1508" s="31" t="s">
        <v>252</v>
      </c>
      <c r="O1508" s="31" t="s">
        <v>205</v>
      </c>
      <c r="X1508" s="31" t="s">
        <v>253</v>
      </c>
    </row>
    <row r="1509">
      <c r="A1509" s="29">
        <v>45945.7807847338</v>
      </c>
      <c r="B1509" s="30">
        <v>45945.0</v>
      </c>
      <c r="C1509" s="31" t="s">
        <v>4742</v>
      </c>
      <c r="D1509" s="32" t="s">
        <v>4743</v>
      </c>
      <c r="E1509" s="31" t="s">
        <v>288</v>
      </c>
      <c r="F1509" s="31">
        <v>3200000.0</v>
      </c>
      <c r="G1509" s="31" t="s">
        <v>23</v>
      </c>
      <c r="I1509" s="31" t="s">
        <v>229</v>
      </c>
      <c r="J1509" s="31" t="s">
        <v>967</v>
      </c>
      <c r="K1509" s="33" t="s">
        <v>4744</v>
      </c>
      <c r="L1509" s="31" t="s">
        <v>202</v>
      </c>
      <c r="N1509" s="31" t="s">
        <v>204</v>
      </c>
      <c r="R1509" s="31" t="s">
        <v>148</v>
      </c>
    </row>
    <row r="1510">
      <c r="A1510" s="29">
        <v>45945.78175873843</v>
      </c>
      <c r="B1510" s="30">
        <v>45945.0</v>
      </c>
      <c r="C1510" s="31" t="s">
        <v>4745</v>
      </c>
      <c r="D1510" s="32" t="s">
        <v>4746</v>
      </c>
      <c r="E1510" s="31" t="s">
        <v>288</v>
      </c>
      <c r="F1510" s="31">
        <v>2100009.0</v>
      </c>
      <c r="G1510" s="31" t="s">
        <v>23</v>
      </c>
      <c r="I1510" s="31" t="s">
        <v>229</v>
      </c>
      <c r="J1510" s="31" t="s">
        <v>967</v>
      </c>
      <c r="K1510" s="33" t="s">
        <v>4747</v>
      </c>
      <c r="L1510" s="31" t="s">
        <v>202</v>
      </c>
      <c r="N1510" s="31" t="s">
        <v>204</v>
      </c>
      <c r="R1510" s="31" t="s">
        <v>148</v>
      </c>
    </row>
    <row r="1511">
      <c r="A1511" s="29">
        <v>45945.78256850694</v>
      </c>
      <c r="B1511" s="30">
        <v>45945.0</v>
      </c>
      <c r="C1511" s="31" t="s">
        <v>4748</v>
      </c>
      <c r="D1511" s="32" t="s">
        <v>4749</v>
      </c>
      <c r="E1511" s="31" t="s">
        <v>228</v>
      </c>
      <c r="F1511" s="31">
        <v>400000.0</v>
      </c>
      <c r="G1511" s="31" t="s">
        <v>23</v>
      </c>
      <c r="I1511" s="31" t="s">
        <v>229</v>
      </c>
      <c r="J1511" s="31" t="s">
        <v>967</v>
      </c>
      <c r="K1511" s="33" t="s">
        <v>4750</v>
      </c>
      <c r="L1511" s="31" t="s">
        <v>202</v>
      </c>
      <c r="N1511" s="31" t="s">
        <v>204</v>
      </c>
      <c r="R1511" s="31" t="s">
        <v>192</v>
      </c>
    </row>
    <row r="1512">
      <c r="A1512" s="29">
        <v>45945.78530873843</v>
      </c>
      <c r="B1512" s="30">
        <v>45945.0</v>
      </c>
      <c r="C1512" s="31" t="s">
        <v>4751</v>
      </c>
      <c r="D1512" s="31">
        <v>0.0</v>
      </c>
      <c r="E1512" s="31" t="s">
        <v>228</v>
      </c>
      <c r="F1512" s="34">
        <v>4600.0</v>
      </c>
      <c r="G1512" s="31" t="s">
        <v>23</v>
      </c>
      <c r="I1512" s="31" t="s">
        <v>229</v>
      </c>
      <c r="J1512" s="31" t="s">
        <v>967</v>
      </c>
      <c r="K1512" s="33" t="s">
        <v>4752</v>
      </c>
      <c r="L1512" s="31" t="s">
        <v>202</v>
      </c>
      <c r="N1512" s="31" t="s">
        <v>204</v>
      </c>
      <c r="R1512" s="31" t="s">
        <v>171</v>
      </c>
    </row>
    <row r="1513">
      <c r="A1513" s="29">
        <v>45945.78875400463</v>
      </c>
      <c r="B1513" s="30">
        <v>45945.0</v>
      </c>
      <c r="C1513" s="31" t="s">
        <v>4753</v>
      </c>
      <c r="D1513" s="31">
        <v>8.213016719E10</v>
      </c>
      <c r="E1513" s="31" t="s">
        <v>288</v>
      </c>
      <c r="F1513" s="34">
        <v>3000.0</v>
      </c>
      <c r="G1513" s="31" t="s">
        <v>23</v>
      </c>
      <c r="I1513" s="31" t="s">
        <v>229</v>
      </c>
      <c r="J1513" s="31" t="s">
        <v>967</v>
      </c>
      <c r="K1513" s="33" t="s">
        <v>4754</v>
      </c>
      <c r="L1513" s="31" t="s">
        <v>202</v>
      </c>
      <c r="N1513" s="31" t="s">
        <v>204</v>
      </c>
      <c r="R1513" s="31" t="s">
        <v>167</v>
      </c>
    </row>
    <row r="1514">
      <c r="A1514" s="29">
        <v>45945.791065439815</v>
      </c>
      <c r="B1514" s="30">
        <v>45945.0</v>
      </c>
      <c r="C1514" s="31" t="s">
        <v>4755</v>
      </c>
      <c r="D1514" s="32" t="s">
        <v>4756</v>
      </c>
      <c r="E1514" s="31" t="s">
        <v>228</v>
      </c>
      <c r="F1514" s="31">
        <v>5400000.0</v>
      </c>
      <c r="G1514" s="31" t="s">
        <v>23</v>
      </c>
      <c r="I1514" s="31" t="s">
        <v>229</v>
      </c>
      <c r="J1514" s="31" t="s">
        <v>967</v>
      </c>
      <c r="K1514" s="33" t="s">
        <v>4757</v>
      </c>
      <c r="L1514" s="31" t="s">
        <v>202</v>
      </c>
      <c r="N1514" s="31" t="s">
        <v>220</v>
      </c>
      <c r="S1514" s="31" t="s">
        <v>59</v>
      </c>
    </row>
    <row r="1515">
      <c r="A1515" s="29">
        <v>45945.7924465625</v>
      </c>
      <c r="B1515" s="30">
        <v>45945.0</v>
      </c>
      <c r="C1515" s="31" t="s">
        <v>4758</v>
      </c>
      <c r="D1515" s="32" t="s">
        <v>4759</v>
      </c>
      <c r="E1515" s="31" t="s">
        <v>43</v>
      </c>
      <c r="F1515" s="34">
        <v>5000.0</v>
      </c>
      <c r="G1515" s="31" t="s">
        <v>23</v>
      </c>
      <c r="I1515" s="31" t="s">
        <v>229</v>
      </c>
      <c r="J1515" s="31" t="s">
        <v>967</v>
      </c>
      <c r="K1515" s="33" t="s">
        <v>4760</v>
      </c>
      <c r="L1515" s="31" t="s">
        <v>202</v>
      </c>
      <c r="N1515" s="31" t="s">
        <v>204</v>
      </c>
      <c r="R1515" s="31" t="s">
        <v>167</v>
      </c>
    </row>
    <row r="1516">
      <c r="A1516" s="29">
        <v>45945.79780693287</v>
      </c>
      <c r="B1516" s="30">
        <v>45945.0</v>
      </c>
      <c r="C1516" s="31" t="s">
        <v>4761</v>
      </c>
      <c r="D1516" s="32" t="s">
        <v>4762</v>
      </c>
      <c r="E1516" s="31" t="s">
        <v>43</v>
      </c>
      <c r="F1516" s="31">
        <v>4500000.0</v>
      </c>
      <c r="G1516" s="31" t="s">
        <v>45</v>
      </c>
      <c r="I1516" s="31" t="s">
        <v>229</v>
      </c>
      <c r="J1516" s="31" t="s">
        <v>967</v>
      </c>
      <c r="K1516" s="33" t="s">
        <v>4763</v>
      </c>
      <c r="L1516" s="31" t="s">
        <v>202</v>
      </c>
      <c r="N1516" s="31" t="s">
        <v>204</v>
      </c>
      <c r="R1516" s="31" t="s">
        <v>90</v>
      </c>
    </row>
    <row r="1517">
      <c r="A1517" s="29">
        <v>45945.79847135417</v>
      </c>
      <c r="B1517" s="30">
        <v>45945.0</v>
      </c>
      <c r="C1517" s="31" t="s">
        <v>4764</v>
      </c>
      <c r="D1517" s="32" t="s">
        <v>4765</v>
      </c>
      <c r="E1517" s="31" t="s">
        <v>31</v>
      </c>
      <c r="F1517" s="31">
        <v>3200000.0</v>
      </c>
      <c r="G1517" s="31" t="s">
        <v>23</v>
      </c>
      <c r="I1517" s="31" t="s">
        <v>229</v>
      </c>
      <c r="J1517" s="31" t="s">
        <v>967</v>
      </c>
      <c r="K1517" s="33" t="s">
        <v>4766</v>
      </c>
      <c r="L1517" s="31" t="s">
        <v>202</v>
      </c>
      <c r="N1517" s="31" t="s">
        <v>204</v>
      </c>
      <c r="R1517" s="31" t="s">
        <v>207</v>
      </c>
    </row>
    <row r="1518">
      <c r="A1518" s="29">
        <v>45945.8108097338</v>
      </c>
      <c r="B1518" s="30">
        <v>45945.0</v>
      </c>
      <c r="C1518" s="31" t="s">
        <v>4767</v>
      </c>
      <c r="D1518" s="32" t="s">
        <v>4768</v>
      </c>
      <c r="E1518" s="31" t="s">
        <v>43</v>
      </c>
      <c r="F1518" s="31">
        <v>2600000.0</v>
      </c>
      <c r="G1518" s="31" t="s">
        <v>23</v>
      </c>
      <c r="I1518" s="31" t="s">
        <v>229</v>
      </c>
      <c r="J1518" s="31" t="s">
        <v>967</v>
      </c>
      <c r="K1518" s="33" t="s">
        <v>4769</v>
      </c>
      <c r="L1518" s="31" t="s">
        <v>252</v>
      </c>
      <c r="O1518" s="31" t="s">
        <v>257</v>
      </c>
      <c r="P1518" s="31" t="s">
        <v>2453</v>
      </c>
    </row>
    <row r="1519">
      <c r="A1519" s="29">
        <v>45945.81260143519</v>
      </c>
      <c r="B1519" s="30">
        <v>45945.0</v>
      </c>
      <c r="C1519" s="31" t="s">
        <v>4770</v>
      </c>
      <c r="D1519" s="32" t="s">
        <v>4771</v>
      </c>
      <c r="E1519" s="31" t="s">
        <v>288</v>
      </c>
      <c r="F1519" s="31">
        <v>3700000.0</v>
      </c>
      <c r="G1519" s="31" t="s">
        <v>45</v>
      </c>
      <c r="I1519" s="31" t="s">
        <v>229</v>
      </c>
      <c r="J1519" s="31" t="s">
        <v>967</v>
      </c>
      <c r="K1519" s="33" t="s">
        <v>4772</v>
      </c>
      <c r="L1519" s="31" t="s">
        <v>202</v>
      </c>
      <c r="N1519" s="31" t="s">
        <v>204</v>
      </c>
      <c r="R1519" s="31" t="s">
        <v>90</v>
      </c>
    </row>
    <row r="1520">
      <c r="A1520" s="29">
        <v>45945.81521962963</v>
      </c>
      <c r="B1520" s="30">
        <v>45945.0</v>
      </c>
      <c r="C1520" s="31" t="s">
        <v>4773</v>
      </c>
      <c r="D1520" s="32" t="s">
        <v>4774</v>
      </c>
      <c r="E1520" s="31" t="s">
        <v>43</v>
      </c>
      <c r="F1520" s="31">
        <v>4600000.0</v>
      </c>
      <c r="G1520" s="31" t="s">
        <v>23</v>
      </c>
      <c r="H1520" s="31">
        <v>5000000.0</v>
      </c>
      <c r="I1520" s="31" t="s">
        <v>413</v>
      </c>
      <c r="K1520" s="33" t="s">
        <v>4775</v>
      </c>
      <c r="L1520" s="31" t="s">
        <v>252</v>
      </c>
      <c r="M1520" s="31" t="s">
        <v>926</v>
      </c>
      <c r="O1520" s="31" t="s">
        <v>257</v>
      </c>
      <c r="P1520" s="31" t="s">
        <v>2453</v>
      </c>
    </row>
    <row r="1521">
      <c r="A1521" s="29">
        <v>45945.817025798606</v>
      </c>
      <c r="B1521" s="30">
        <v>45945.0</v>
      </c>
      <c r="C1521" s="31" t="s">
        <v>4776</v>
      </c>
      <c r="D1521" s="32" t="s">
        <v>4777</v>
      </c>
      <c r="E1521" s="31" t="s">
        <v>43</v>
      </c>
      <c r="F1521" s="31">
        <v>2600000.0</v>
      </c>
      <c r="G1521" s="31" t="s">
        <v>23</v>
      </c>
      <c r="H1521" s="31">
        <v>3000000.0</v>
      </c>
      <c r="I1521" s="31" t="s">
        <v>413</v>
      </c>
      <c r="K1521" s="33" t="s">
        <v>4778</v>
      </c>
      <c r="L1521" s="31" t="s">
        <v>252</v>
      </c>
      <c r="M1521" s="31" t="s">
        <v>203</v>
      </c>
      <c r="O1521" s="31" t="s">
        <v>257</v>
      </c>
      <c r="P1521" s="31" t="s">
        <v>2453</v>
      </c>
    </row>
    <row r="1522">
      <c r="A1522" s="29">
        <v>45945.82119811342</v>
      </c>
      <c r="B1522" s="30">
        <v>45945.0</v>
      </c>
      <c r="C1522" s="31" t="s">
        <v>4779</v>
      </c>
      <c r="D1522" s="32" t="s">
        <v>4780</v>
      </c>
      <c r="E1522" s="31" t="s">
        <v>43</v>
      </c>
      <c r="F1522" s="31">
        <v>3400000.0</v>
      </c>
      <c r="G1522" s="31" t="s">
        <v>23</v>
      </c>
      <c r="I1522" s="31" t="s">
        <v>229</v>
      </c>
      <c r="J1522" s="31" t="s">
        <v>967</v>
      </c>
      <c r="K1522" s="33" t="s">
        <v>4781</v>
      </c>
      <c r="L1522" s="31" t="s">
        <v>202</v>
      </c>
      <c r="N1522" s="31" t="s">
        <v>220</v>
      </c>
      <c r="S1522" s="31" t="s">
        <v>466</v>
      </c>
    </row>
    <row r="1523">
      <c r="A1523" s="29">
        <v>45945.822423564816</v>
      </c>
      <c r="B1523" s="30">
        <v>45945.0</v>
      </c>
      <c r="C1523" s="31" t="s">
        <v>4782</v>
      </c>
      <c r="D1523" s="32" t="s">
        <v>4783</v>
      </c>
      <c r="E1523" s="31" t="s">
        <v>43</v>
      </c>
      <c r="F1523" s="31">
        <v>4000000.0</v>
      </c>
      <c r="G1523" s="31" t="s">
        <v>23</v>
      </c>
      <c r="I1523" s="31" t="s">
        <v>229</v>
      </c>
      <c r="J1523" s="31" t="s">
        <v>967</v>
      </c>
      <c r="K1523" s="33" t="s">
        <v>4784</v>
      </c>
      <c r="L1523" s="31" t="s">
        <v>202</v>
      </c>
      <c r="N1523" s="31" t="s">
        <v>220</v>
      </c>
      <c r="S1523" s="31" t="s">
        <v>466</v>
      </c>
    </row>
    <row r="1524">
      <c r="A1524" s="29">
        <v>45945.82394283565</v>
      </c>
      <c r="B1524" s="30">
        <v>45945.0</v>
      </c>
      <c r="C1524" s="31" t="s">
        <v>4785</v>
      </c>
      <c r="D1524" s="32" t="s">
        <v>4786</v>
      </c>
      <c r="E1524" s="31" t="s">
        <v>228</v>
      </c>
      <c r="F1524" s="31">
        <v>3400000.0</v>
      </c>
      <c r="G1524" s="31" t="s">
        <v>23</v>
      </c>
      <c r="I1524" s="31" t="s">
        <v>229</v>
      </c>
      <c r="J1524" s="31" t="s">
        <v>967</v>
      </c>
      <c r="K1524" s="33" t="s">
        <v>4787</v>
      </c>
      <c r="L1524" s="31" t="s">
        <v>202</v>
      </c>
      <c r="N1524" s="31" t="s">
        <v>220</v>
      </c>
      <c r="S1524" s="31" t="s">
        <v>466</v>
      </c>
    </row>
    <row r="1525">
      <c r="A1525" s="29">
        <v>45945.825470185184</v>
      </c>
      <c r="B1525" s="30">
        <v>45945.0</v>
      </c>
      <c r="C1525" s="31" t="s">
        <v>4788</v>
      </c>
      <c r="D1525" s="32" t="s">
        <v>4789</v>
      </c>
      <c r="E1525" s="31" t="s">
        <v>43</v>
      </c>
      <c r="F1525" s="31">
        <v>4000000.0</v>
      </c>
      <c r="G1525" s="31" t="s">
        <v>23</v>
      </c>
      <c r="H1525" s="31">
        <v>3000000.0</v>
      </c>
      <c r="I1525" s="31" t="s">
        <v>413</v>
      </c>
      <c r="K1525" s="33" t="s">
        <v>4790</v>
      </c>
      <c r="L1525" s="31" t="s">
        <v>252</v>
      </c>
      <c r="M1525" s="31" t="s">
        <v>203</v>
      </c>
      <c r="O1525" s="31" t="s">
        <v>205</v>
      </c>
      <c r="X1525" s="31" t="s">
        <v>253</v>
      </c>
    </row>
    <row r="1526">
      <c r="A1526" s="29">
        <v>45945.82638960648</v>
      </c>
      <c r="B1526" s="30">
        <v>45945.0</v>
      </c>
      <c r="C1526" s="31" t="s">
        <v>4791</v>
      </c>
      <c r="D1526" s="32" t="s">
        <v>4792</v>
      </c>
      <c r="E1526" s="31" t="s">
        <v>43</v>
      </c>
      <c r="F1526" s="31">
        <v>1500000.0</v>
      </c>
      <c r="G1526" s="31" t="s">
        <v>23</v>
      </c>
      <c r="I1526" s="31" t="s">
        <v>229</v>
      </c>
      <c r="J1526" s="31" t="s">
        <v>967</v>
      </c>
      <c r="K1526" s="33" t="s">
        <v>4793</v>
      </c>
      <c r="L1526" s="31" t="s">
        <v>202</v>
      </c>
      <c r="N1526" s="31" t="s">
        <v>215</v>
      </c>
      <c r="W1526" s="31" t="s">
        <v>216</v>
      </c>
    </row>
    <row r="1527">
      <c r="A1527" s="29">
        <v>45945.830010590274</v>
      </c>
      <c r="B1527" s="30">
        <v>45945.0</v>
      </c>
      <c r="C1527" s="31" t="s">
        <v>4794</v>
      </c>
      <c r="D1527" s="32" t="s">
        <v>907</v>
      </c>
      <c r="E1527" s="31" t="s">
        <v>43</v>
      </c>
      <c r="F1527" s="31">
        <v>2000000.0</v>
      </c>
      <c r="G1527" s="31" t="s">
        <v>23</v>
      </c>
      <c r="I1527" s="31" t="s">
        <v>229</v>
      </c>
      <c r="J1527" s="31" t="s">
        <v>967</v>
      </c>
      <c r="K1527" s="33" t="s">
        <v>4795</v>
      </c>
      <c r="L1527" s="31" t="s">
        <v>202</v>
      </c>
      <c r="N1527" s="31" t="s">
        <v>215</v>
      </c>
      <c r="W1527" s="31" t="s">
        <v>532</v>
      </c>
    </row>
    <row r="1528">
      <c r="A1528" s="29">
        <v>45945.83167810185</v>
      </c>
      <c r="B1528" s="30">
        <v>45945.0</v>
      </c>
      <c r="C1528" s="31" t="s">
        <v>4796</v>
      </c>
      <c r="D1528" s="32" t="s">
        <v>4797</v>
      </c>
      <c r="E1528" s="31" t="s">
        <v>31</v>
      </c>
      <c r="F1528" s="31">
        <v>3200000.0</v>
      </c>
      <c r="G1528" s="31" t="s">
        <v>23</v>
      </c>
      <c r="I1528" s="31" t="s">
        <v>229</v>
      </c>
      <c r="J1528" s="31" t="s">
        <v>967</v>
      </c>
      <c r="K1528" s="33" t="s">
        <v>4798</v>
      </c>
      <c r="L1528" s="31" t="s">
        <v>202</v>
      </c>
      <c r="N1528" s="31" t="s">
        <v>204</v>
      </c>
      <c r="R1528" s="31" t="s">
        <v>207</v>
      </c>
    </row>
    <row r="1529">
      <c r="A1529" s="29">
        <v>45945.83270939815</v>
      </c>
      <c r="B1529" s="30">
        <v>45945.0</v>
      </c>
      <c r="C1529" s="31" t="s">
        <v>4799</v>
      </c>
      <c r="D1529" s="32" t="s">
        <v>4800</v>
      </c>
      <c r="E1529" s="31" t="s">
        <v>2902</v>
      </c>
      <c r="F1529" s="31">
        <v>4000000.0</v>
      </c>
      <c r="G1529" s="31" t="s">
        <v>23</v>
      </c>
      <c r="I1529" s="31" t="s">
        <v>229</v>
      </c>
      <c r="J1529" s="31" t="s">
        <v>967</v>
      </c>
      <c r="K1529" s="33" t="s">
        <v>4801</v>
      </c>
      <c r="L1529" s="31" t="s">
        <v>202</v>
      </c>
      <c r="N1529" s="31" t="s">
        <v>220</v>
      </c>
      <c r="S1529" s="31" t="s">
        <v>36</v>
      </c>
    </row>
    <row r="1530">
      <c r="A1530" s="29">
        <v>45945.83782892361</v>
      </c>
      <c r="B1530" s="30">
        <v>45945.0</v>
      </c>
      <c r="C1530" s="31" t="s">
        <v>4802</v>
      </c>
      <c r="D1530" s="31">
        <v>6.281246198625E12</v>
      </c>
      <c r="E1530" s="31" t="s">
        <v>228</v>
      </c>
      <c r="F1530" s="31">
        <v>2000000.0</v>
      </c>
      <c r="G1530" s="31" t="s">
        <v>23</v>
      </c>
      <c r="I1530" s="31" t="s">
        <v>229</v>
      </c>
      <c r="J1530" s="31" t="s">
        <v>165</v>
      </c>
      <c r="K1530" s="33" t="s">
        <v>4803</v>
      </c>
      <c r="L1530" s="31" t="s">
        <v>202</v>
      </c>
      <c r="N1530" s="31" t="s">
        <v>204</v>
      </c>
      <c r="R1530" s="31" t="s">
        <v>360</v>
      </c>
    </row>
    <row r="1531">
      <c r="A1531" s="29">
        <v>45945.857587569444</v>
      </c>
      <c r="B1531" s="30">
        <v>45945.0</v>
      </c>
      <c r="C1531" s="31" t="s">
        <v>4804</v>
      </c>
      <c r="D1531" s="32" t="s">
        <v>4805</v>
      </c>
      <c r="E1531" s="31" t="s">
        <v>43</v>
      </c>
      <c r="F1531" s="31">
        <v>2700000.0</v>
      </c>
      <c r="G1531" s="31" t="s">
        <v>23</v>
      </c>
      <c r="H1531" s="31">
        <v>1600000.0</v>
      </c>
      <c r="I1531" s="31" t="s">
        <v>413</v>
      </c>
      <c r="K1531" s="33" t="s">
        <v>4806</v>
      </c>
      <c r="L1531" s="31" t="s">
        <v>202</v>
      </c>
      <c r="M1531" s="31" t="s">
        <v>203</v>
      </c>
      <c r="N1531" s="31" t="s">
        <v>220</v>
      </c>
      <c r="S1531" s="31" t="s">
        <v>36</v>
      </c>
    </row>
    <row r="1532">
      <c r="A1532" s="29">
        <v>45945.90319181713</v>
      </c>
      <c r="B1532" s="30">
        <v>45945.0</v>
      </c>
      <c r="C1532" s="31" t="s">
        <v>4807</v>
      </c>
      <c r="D1532" s="32" t="s">
        <v>4808</v>
      </c>
      <c r="E1532" s="31" t="s">
        <v>228</v>
      </c>
      <c r="F1532" s="31">
        <v>6000000.0</v>
      </c>
      <c r="G1532" s="31" t="s">
        <v>23</v>
      </c>
      <c r="I1532" s="31" t="s">
        <v>229</v>
      </c>
      <c r="J1532" s="31" t="s">
        <v>967</v>
      </c>
      <c r="K1532" s="33" t="s">
        <v>4809</v>
      </c>
      <c r="L1532" s="31" t="s">
        <v>202</v>
      </c>
      <c r="N1532" s="31" t="s">
        <v>220</v>
      </c>
      <c r="S1532" s="31" t="s">
        <v>1406</v>
      </c>
    </row>
    <row r="1533">
      <c r="A1533" s="29">
        <v>45946.397998333334</v>
      </c>
      <c r="B1533" s="30">
        <v>45946.0</v>
      </c>
      <c r="C1533" s="31" t="s">
        <v>4810</v>
      </c>
      <c r="D1533" s="32" t="s">
        <v>4811</v>
      </c>
      <c r="E1533" s="31" t="s">
        <v>4812</v>
      </c>
      <c r="F1533" s="31">
        <v>5500000.0</v>
      </c>
      <c r="G1533" s="31" t="s">
        <v>23</v>
      </c>
      <c r="I1533" s="31" t="s">
        <v>229</v>
      </c>
      <c r="J1533" s="31" t="s">
        <v>967</v>
      </c>
      <c r="K1533" s="33" t="s">
        <v>4813</v>
      </c>
      <c r="L1533" s="31" t="s">
        <v>202</v>
      </c>
      <c r="N1533" s="31" t="s">
        <v>871</v>
      </c>
      <c r="Q1533" s="31" t="s">
        <v>1021</v>
      </c>
    </row>
    <row r="1534">
      <c r="A1534" s="29">
        <v>45946.400202372686</v>
      </c>
      <c r="B1534" s="30">
        <v>45946.0</v>
      </c>
      <c r="C1534" s="31" t="s">
        <v>4814</v>
      </c>
      <c r="D1534" s="32" t="s">
        <v>4815</v>
      </c>
      <c r="E1534" s="31" t="s">
        <v>43</v>
      </c>
      <c r="F1534" s="31">
        <v>5900000.0</v>
      </c>
      <c r="G1534" s="31" t="s">
        <v>23</v>
      </c>
      <c r="I1534" s="31" t="s">
        <v>229</v>
      </c>
      <c r="J1534" s="31" t="s">
        <v>967</v>
      </c>
      <c r="K1534" s="33" t="s">
        <v>4816</v>
      </c>
      <c r="L1534" s="31" t="s">
        <v>202</v>
      </c>
      <c r="N1534" s="31" t="s">
        <v>667</v>
      </c>
      <c r="U1534" s="31" t="s">
        <v>3950</v>
      </c>
    </row>
    <row r="1535">
      <c r="A1535" s="29">
        <v>45946.403693229164</v>
      </c>
      <c r="B1535" s="30">
        <v>45946.0</v>
      </c>
      <c r="C1535" s="31" t="s">
        <v>4817</v>
      </c>
      <c r="D1535" s="32" t="s">
        <v>4361</v>
      </c>
      <c r="E1535" s="31" t="s">
        <v>43</v>
      </c>
      <c r="F1535" s="31">
        <v>2800000.0</v>
      </c>
      <c r="G1535" s="31" t="s">
        <v>23</v>
      </c>
      <c r="I1535" s="31" t="s">
        <v>229</v>
      </c>
      <c r="J1535" s="31" t="s">
        <v>967</v>
      </c>
      <c r="K1535" s="33" t="s">
        <v>4818</v>
      </c>
      <c r="L1535" s="31" t="s">
        <v>202</v>
      </c>
      <c r="N1535" s="31" t="s">
        <v>667</v>
      </c>
      <c r="U1535" s="31" t="s">
        <v>3950</v>
      </c>
    </row>
    <row r="1536">
      <c r="A1536" s="29">
        <v>45946.472271192135</v>
      </c>
      <c r="B1536" s="30">
        <v>45946.0</v>
      </c>
      <c r="C1536" s="31" t="s">
        <v>4819</v>
      </c>
      <c r="D1536" s="32" t="s">
        <v>4820</v>
      </c>
      <c r="E1536" s="31" t="s">
        <v>31</v>
      </c>
      <c r="F1536" s="31">
        <v>4500000.0</v>
      </c>
      <c r="G1536" s="31" t="s">
        <v>23</v>
      </c>
      <c r="I1536" s="31" t="s">
        <v>229</v>
      </c>
      <c r="J1536" s="31" t="s">
        <v>967</v>
      </c>
      <c r="K1536" s="33" t="s">
        <v>4821</v>
      </c>
      <c r="L1536" s="31" t="s">
        <v>202</v>
      </c>
      <c r="N1536" s="31" t="s">
        <v>667</v>
      </c>
      <c r="U1536" s="31" t="s">
        <v>668</v>
      </c>
    </row>
    <row r="1537">
      <c r="A1537" s="29">
        <v>45946.474371840275</v>
      </c>
      <c r="B1537" s="30">
        <v>45946.0</v>
      </c>
      <c r="C1537" s="31" t="s">
        <v>4822</v>
      </c>
      <c r="D1537" s="32" t="s">
        <v>3714</v>
      </c>
      <c r="E1537" s="31" t="s">
        <v>4823</v>
      </c>
      <c r="F1537" s="31">
        <v>2000000.0</v>
      </c>
      <c r="G1537" s="31" t="s">
        <v>23</v>
      </c>
      <c r="H1537" s="31">
        <v>3000000.0</v>
      </c>
      <c r="I1537" s="31" t="s">
        <v>413</v>
      </c>
      <c r="K1537" s="33" t="s">
        <v>4824</v>
      </c>
      <c r="L1537" s="31" t="s">
        <v>202</v>
      </c>
      <c r="M1537" s="31" t="s">
        <v>203</v>
      </c>
      <c r="N1537" s="31" t="s">
        <v>215</v>
      </c>
      <c r="W1537" s="31" t="s">
        <v>532</v>
      </c>
    </row>
    <row r="1538">
      <c r="A1538" s="29">
        <v>45946.47640467592</v>
      </c>
      <c r="B1538" s="30">
        <v>45946.0</v>
      </c>
      <c r="C1538" s="31" t="s">
        <v>4825</v>
      </c>
      <c r="D1538" s="32" t="s">
        <v>4826</v>
      </c>
      <c r="E1538" s="31" t="s">
        <v>31</v>
      </c>
      <c r="F1538" s="31">
        <v>6100000.0</v>
      </c>
      <c r="G1538" s="31" t="s">
        <v>23</v>
      </c>
      <c r="I1538" s="31" t="s">
        <v>229</v>
      </c>
      <c r="J1538" s="31" t="s">
        <v>967</v>
      </c>
      <c r="K1538" s="33" t="s">
        <v>4827</v>
      </c>
      <c r="L1538" s="31" t="s">
        <v>202</v>
      </c>
      <c r="N1538" s="31" t="s">
        <v>313</v>
      </c>
      <c r="T1538" s="31" t="s">
        <v>329</v>
      </c>
    </row>
    <row r="1539">
      <c r="A1539" s="29">
        <v>45946.48487532407</v>
      </c>
      <c r="B1539" s="30">
        <v>45946.0</v>
      </c>
      <c r="C1539" s="31" t="s">
        <v>4828</v>
      </c>
      <c r="D1539" s="32" t="s">
        <v>4829</v>
      </c>
      <c r="E1539" s="31" t="s">
        <v>4830</v>
      </c>
      <c r="F1539" s="31">
        <v>1.0E7</v>
      </c>
      <c r="G1539" s="31" t="s">
        <v>23</v>
      </c>
      <c r="I1539" s="31" t="s">
        <v>229</v>
      </c>
      <c r="J1539" s="31" t="s">
        <v>967</v>
      </c>
      <c r="K1539" s="33" t="s">
        <v>4831</v>
      </c>
      <c r="L1539" s="31" t="s">
        <v>202</v>
      </c>
      <c r="N1539" s="31" t="s">
        <v>220</v>
      </c>
      <c r="S1539" s="31" t="s">
        <v>466</v>
      </c>
    </row>
    <row r="1540">
      <c r="A1540" s="29">
        <v>45946.508373495366</v>
      </c>
      <c r="B1540" s="30">
        <v>45946.0</v>
      </c>
      <c r="C1540" s="31" t="s">
        <v>4832</v>
      </c>
      <c r="D1540" s="32" t="s">
        <v>4833</v>
      </c>
      <c r="E1540" s="31" t="s">
        <v>43</v>
      </c>
      <c r="F1540" s="31">
        <v>3000000.0</v>
      </c>
      <c r="G1540" s="31" t="s">
        <v>23</v>
      </c>
      <c r="H1540" s="31">
        <v>3000000.0</v>
      </c>
      <c r="I1540" s="31" t="s">
        <v>413</v>
      </c>
      <c r="K1540" s="33" t="s">
        <v>4834</v>
      </c>
      <c r="L1540" s="31" t="s">
        <v>202</v>
      </c>
      <c r="M1540" s="31" t="s">
        <v>203</v>
      </c>
      <c r="N1540" s="31" t="s">
        <v>871</v>
      </c>
      <c r="Q1540" s="31" t="s">
        <v>872</v>
      </c>
    </row>
    <row r="1541">
      <c r="A1541" s="29">
        <v>45946.52377775463</v>
      </c>
      <c r="B1541" s="30">
        <v>45946.0</v>
      </c>
      <c r="C1541" s="31" t="s">
        <v>4835</v>
      </c>
      <c r="D1541" s="32" t="s">
        <v>4836</v>
      </c>
      <c r="E1541" s="31" t="s">
        <v>43</v>
      </c>
      <c r="F1541" s="31">
        <v>3000000.0</v>
      </c>
      <c r="G1541" s="31" t="s">
        <v>23</v>
      </c>
      <c r="I1541" s="31" t="s">
        <v>229</v>
      </c>
      <c r="J1541" s="31" t="s">
        <v>387</v>
      </c>
      <c r="K1541" s="33" t="s">
        <v>4837</v>
      </c>
      <c r="L1541" s="31" t="s">
        <v>202</v>
      </c>
      <c r="N1541" s="31" t="s">
        <v>215</v>
      </c>
      <c r="W1541" s="31" t="s">
        <v>389</v>
      </c>
    </row>
    <row r="1542">
      <c r="A1542" s="29">
        <v>45946.5254143287</v>
      </c>
      <c r="B1542" s="30">
        <v>45946.0</v>
      </c>
      <c r="C1542" s="31" t="s">
        <v>4838</v>
      </c>
      <c r="D1542" s="32" t="s">
        <v>4839</v>
      </c>
      <c r="E1542" s="31" t="s">
        <v>43</v>
      </c>
      <c r="F1542" s="31">
        <v>3000000.0</v>
      </c>
      <c r="G1542" s="31" t="s">
        <v>23</v>
      </c>
      <c r="I1542" s="31" t="s">
        <v>229</v>
      </c>
      <c r="J1542" s="31" t="s">
        <v>387</v>
      </c>
      <c r="K1542" s="33" t="s">
        <v>4840</v>
      </c>
      <c r="L1542" s="31" t="s">
        <v>202</v>
      </c>
      <c r="N1542" s="31" t="s">
        <v>215</v>
      </c>
      <c r="W1542" s="31" t="s">
        <v>389</v>
      </c>
    </row>
    <row r="1543">
      <c r="A1543" s="29">
        <v>45946.527419791666</v>
      </c>
      <c r="B1543" s="30">
        <v>45946.0</v>
      </c>
      <c r="C1543" s="31" t="s">
        <v>4841</v>
      </c>
      <c r="D1543" s="32" t="s">
        <v>4842</v>
      </c>
      <c r="E1543" s="31" t="s">
        <v>43</v>
      </c>
      <c r="F1543" s="31">
        <v>3000000.0</v>
      </c>
      <c r="G1543" s="31" t="s">
        <v>23</v>
      </c>
      <c r="I1543" s="31" t="s">
        <v>229</v>
      </c>
      <c r="J1543" s="31" t="s">
        <v>387</v>
      </c>
      <c r="K1543" s="33" t="s">
        <v>4843</v>
      </c>
      <c r="L1543" s="31" t="s">
        <v>202</v>
      </c>
      <c r="N1543" s="31" t="s">
        <v>215</v>
      </c>
      <c r="W1543" s="31" t="s">
        <v>389</v>
      </c>
    </row>
    <row r="1544">
      <c r="A1544" s="29">
        <v>45946.53135447917</v>
      </c>
      <c r="B1544" s="30">
        <v>45946.0</v>
      </c>
      <c r="C1544" s="31" t="s">
        <v>4844</v>
      </c>
      <c r="D1544" s="32" t="s">
        <v>4845</v>
      </c>
      <c r="E1544" s="31" t="s">
        <v>4846</v>
      </c>
      <c r="F1544" s="31">
        <v>6500000.0</v>
      </c>
      <c r="G1544" s="31" t="s">
        <v>23</v>
      </c>
      <c r="H1544" s="31">
        <v>3000000.0</v>
      </c>
      <c r="I1544" s="31" t="s">
        <v>413</v>
      </c>
      <c r="K1544" s="33" t="s">
        <v>4847</v>
      </c>
      <c r="L1544" s="31" t="s">
        <v>202</v>
      </c>
      <c r="M1544" s="31" t="s">
        <v>203</v>
      </c>
      <c r="N1544" s="31" t="s">
        <v>204</v>
      </c>
      <c r="R1544" s="31" t="s">
        <v>98</v>
      </c>
    </row>
    <row r="1545">
      <c r="A1545" s="29">
        <v>45946.54909734953</v>
      </c>
      <c r="B1545" s="30">
        <v>45946.0</v>
      </c>
      <c r="C1545" s="31" t="s">
        <v>4848</v>
      </c>
      <c r="D1545" s="32" t="s">
        <v>4849</v>
      </c>
      <c r="E1545" s="31" t="s">
        <v>199</v>
      </c>
      <c r="F1545" s="31">
        <v>1.0E7</v>
      </c>
      <c r="G1545" s="31" t="s">
        <v>45</v>
      </c>
      <c r="I1545" s="31" t="s">
        <v>229</v>
      </c>
      <c r="J1545" s="31" t="s">
        <v>967</v>
      </c>
      <c r="K1545" s="33" t="s">
        <v>4850</v>
      </c>
      <c r="L1545" s="31" t="s">
        <v>252</v>
      </c>
      <c r="O1545" s="31" t="s">
        <v>257</v>
      </c>
      <c r="P1545" s="31" t="s">
        <v>285</v>
      </c>
    </row>
    <row r="1546">
      <c r="A1546" s="29">
        <v>45946.55304153935</v>
      </c>
      <c r="B1546" s="30">
        <v>45946.0</v>
      </c>
      <c r="C1546" s="31" t="s">
        <v>4851</v>
      </c>
      <c r="D1546" s="31" t="s">
        <v>4852</v>
      </c>
      <c r="E1546" s="31" t="s">
        <v>199</v>
      </c>
      <c r="F1546" s="31">
        <v>3500000.0</v>
      </c>
      <c r="G1546" s="31" t="s">
        <v>45</v>
      </c>
      <c r="I1546" s="31" t="s">
        <v>229</v>
      </c>
      <c r="J1546" s="31" t="s">
        <v>967</v>
      </c>
      <c r="K1546" s="33" t="s">
        <v>4853</v>
      </c>
      <c r="L1546" s="31" t="s">
        <v>202</v>
      </c>
      <c r="N1546" s="31" t="s">
        <v>204</v>
      </c>
      <c r="R1546" s="31" t="s">
        <v>892</v>
      </c>
    </row>
    <row r="1547">
      <c r="A1547" s="29">
        <v>45946.55714311343</v>
      </c>
      <c r="B1547" s="30">
        <v>45946.0</v>
      </c>
      <c r="C1547" s="31" t="s">
        <v>4658</v>
      </c>
      <c r="D1547" s="32" t="s">
        <v>4854</v>
      </c>
      <c r="E1547" s="31" t="s">
        <v>43</v>
      </c>
      <c r="F1547" s="31">
        <v>4000000.0</v>
      </c>
      <c r="G1547" s="31" t="s">
        <v>45</v>
      </c>
      <c r="I1547" s="31" t="s">
        <v>229</v>
      </c>
      <c r="J1547" s="31" t="s">
        <v>967</v>
      </c>
      <c r="K1547" s="33" t="s">
        <v>4855</v>
      </c>
      <c r="L1547" s="31" t="s">
        <v>252</v>
      </c>
      <c r="O1547" s="31" t="s">
        <v>257</v>
      </c>
      <c r="P1547" s="31" t="s">
        <v>1555</v>
      </c>
    </row>
    <row r="1548">
      <c r="A1548" s="29">
        <v>45946.560022777776</v>
      </c>
      <c r="B1548" s="30">
        <v>45946.0</v>
      </c>
      <c r="C1548" s="31" t="s">
        <v>4856</v>
      </c>
      <c r="D1548" s="32" t="s">
        <v>4857</v>
      </c>
      <c r="E1548" s="31" t="s">
        <v>43</v>
      </c>
      <c r="F1548" s="31">
        <v>3999000.0</v>
      </c>
      <c r="G1548" s="31" t="s">
        <v>23</v>
      </c>
      <c r="I1548" s="31" t="s">
        <v>229</v>
      </c>
      <c r="J1548" s="31" t="s">
        <v>967</v>
      </c>
      <c r="K1548" s="33" t="s">
        <v>4858</v>
      </c>
      <c r="L1548" s="31" t="s">
        <v>202</v>
      </c>
      <c r="N1548" s="31" t="s">
        <v>204</v>
      </c>
      <c r="R1548" s="31" t="s">
        <v>207</v>
      </c>
    </row>
    <row r="1549">
      <c r="A1549" s="29">
        <v>45946.57752449074</v>
      </c>
      <c r="B1549" s="30">
        <v>45946.0</v>
      </c>
      <c r="C1549" s="31" t="s">
        <v>4859</v>
      </c>
      <c r="D1549" s="32" t="s">
        <v>4860</v>
      </c>
      <c r="E1549" s="31" t="s">
        <v>1093</v>
      </c>
      <c r="F1549" s="31">
        <v>3000000.0</v>
      </c>
      <c r="G1549" s="31" t="s">
        <v>23</v>
      </c>
      <c r="I1549" s="31" t="s">
        <v>229</v>
      </c>
      <c r="J1549" s="31" t="s">
        <v>967</v>
      </c>
      <c r="K1549" s="33" t="s">
        <v>4861</v>
      </c>
      <c r="L1549" s="31" t="s">
        <v>252</v>
      </c>
      <c r="O1549" s="31" t="s">
        <v>205</v>
      </c>
      <c r="X1549" s="31" t="s">
        <v>549</v>
      </c>
    </row>
    <row r="1550">
      <c r="A1550" s="29">
        <v>45946.57858987269</v>
      </c>
      <c r="B1550" s="30">
        <v>45946.0</v>
      </c>
      <c r="C1550" s="31" t="s">
        <v>4862</v>
      </c>
      <c r="D1550" s="32" t="s">
        <v>4863</v>
      </c>
      <c r="E1550" s="31" t="s">
        <v>288</v>
      </c>
      <c r="F1550" s="31">
        <v>4400000.0</v>
      </c>
      <c r="G1550" s="31" t="s">
        <v>23</v>
      </c>
      <c r="H1550" s="31">
        <v>3000000.0</v>
      </c>
      <c r="I1550" s="31" t="s">
        <v>413</v>
      </c>
      <c r="K1550" s="33" t="s">
        <v>4864</v>
      </c>
      <c r="L1550" s="31" t="s">
        <v>202</v>
      </c>
      <c r="M1550" s="31" t="s">
        <v>203</v>
      </c>
      <c r="N1550" s="31" t="s">
        <v>204</v>
      </c>
      <c r="R1550" s="31" t="s">
        <v>90</v>
      </c>
    </row>
    <row r="1551">
      <c r="A1551" s="29">
        <v>45946.609869629625</v>
      </c>
      <c r="B1551" s="30">
        <v>45946.0</v>
      </c>
      <c r="C1551" s="31" t="s">
        <v>4865</v>
      </c>
      <c r="D1551" s="32" t="s">
        <v>4866</v>
      </c>
      <c r="E1551" s="31" t="s">
        <v>43</v>
      </c>
      <c r="F1551" s="31">
        <v>3200000.0</v>
      </c>
      <c r="G1551" s="31" t="s">
        <v>23</v>
      </c>
      <c r="I1551" s="31" t="s">
        <v>229</v>
      </c>
      <c r="J1551" s="31" t="s">
        <v>498</v>
      </c>
      <c r="K1551" s="33" t="s">
        <v>4867</v>
      </c>
      <c r="L1551" s="31" t="s">
        <v>202</v>
      </c>
      <c r="N1551" s="31" t="s">
        <v>500</v>
      </c>
      <c r="V1551" s="31" t="s">
        <v>501</v>
      </c>
    </row>
    <row r="1552">
      <c r="A1552" s="29">
        <v>45946.61483265046</v>
      </c>
      <c r="B1552" s="30">
        <v>45946.0</v>
      </c>
      <c r="C1552" s="31" t="s">
        <v>4868</v>
      </c>
      <c r="D1552" s="32" t="s">
        <v>4869</v>
      </c>
      <c r="E1552" s="31" t="s">
        <v>228</v>
      </c>
      <c r="F1552" s="31">
        <v>500000.0</v>
      </c>
      <c r="G1552" s="31" t="s">
        <v>23</v>
      </c>
      <c r="I1552" s="31" t="s">
        <v>229</v>
      </c>
      <c r="J1552" s="31" t="s">
        <v>967</v>
      </c>
      <c r="K1552" s="33" t="s">
        <v>4870</v>
      </c>
      <c r="L1552" s="31" t="s">
        <v>202</v>
      </c>
      <c r="N1552" s="31" t="s">
        <v>204</v>
      </c>
      <c r="R1552" s="31" t="s">
        <v>192</v>
      </c>
    </row>
    <row r="1553">
      <c r="A1553" s="29">
        <v>45946.63868674768</v>
      </c>
      <c r="B1553" s="30">
        <v>45946.0</v>
      </c>
      <c r="C1553" s="31" t="s">
        <v>4871</v>
      </c>
      <c r="D1553" s="32" t="s">
        <v>4872</v>
      </c>
      <c r="E1553" s="31" t="s">
        <v>31</v>
      </c>
      <c r="F1553" s="31">
        <v>2100000.0</v>
      </c>
      <c r="G1553" s="31" t="s">
        <v>23</v>
      </c>
      <c r="I1553" s="31" t="s">
        <v>229</v>
      </c>
      <c r="J1553" s="31" t="s">
        <v>967</v>
      </c>
      <c r="K1553" s="33" t="s">
        <v>4873</v>
      </c>
      <c r="L1553" s="31" t="s">
        <v>202</v>
      </c>
      <c r="N1553" s="31" t="s">
        <v>667</v>
      </c>
      <c r="U1553" s="31" t="s">
        <v>668</v>
      </c>
    </row>
    <row r="1554">
      <c r="A1554" s="29">
        <v>45946.64334188658</v>
      </c>
      <c r="B1554" s="30">
        <v>45946.0</v>
      </c>
      <c r="C1554" s="31" t="s">
        <v>4874</v>
      </c>
      <c r="D1554" s="32" t="s">
        <v>4875</v>
      </c>
      <c r="E1554" s="31" t="s">
        <v>43</v>
      </c>
      <c r="F1554" s="31">
        <v>3000000.0</v>
      </c>
      <c r="G1554" s="31" t="s">
        <v>45</v>
      </c>
      <c r="H1554" s="31">
        <v>3000000.0</v>
      </c>
      <c r="I1554" s="31" t="s">
        <v>200</v>
      </c>
      <c r="K1554" s="33" t="s">
        <v>4876</v>
      </c>
      <c r="L1554" s="31" t="s">
        <v>252</v>
      </c>
      <c r="M1554" s="31" t="s">
        <v>203</v>
      </c>
      <c r="O1554" s="31" t="s">
        <v>205</v>
      </c>
      <c r="X1554" s="31" t="s">
        <v>549</v>
      </c>
    </row>
    <row r="1555">
      <c r="A1555" s="29">
        <v>45946.64446383102</v>
      </c>
      <c r="B1555" s="30">
        <v>45946.0</v>
      </c>
      <c r="C1555" s="31" t="s">
        <v>4877</v>
      </c>
      <c r="D1555" s="32" t="s">
        <v>4878</v>
      </c>
      <c r="E1555" s="31" t="s">
        <v>31</v>
      </c>
      <c r="F1555" s="31">
        <v>7200000.0</v>
      </c>
      <c r="G1555" s="31" t="s">
        <v>23</v>
      </c>
      <c r="I1555" s="31" t="s">
        <v>229</v>
      </c>
      <c r="J1555" s="31" t="s">
        <v>967</v>
      </c>
      <c r="K1555" s="33" t="s">
        <v>4879</v>
      </c>
      <c r="L1555" s="31" t="s">
        <v>202</v>
      </c>
      <c r="N1555" s="31" t="s">
        <v>313</v>
      </c>
      <c r="T1555" s="31" t="s">
        <v>329</v>
      </c>
    </row>
    <row r="1556">
      <c r="A1556" s="29">
        <v>45946.669366111106</v>
      </c>
      <c r="B1556" s="30">
        <v>45946.0</v>
      </c>
      <c r="C1556" s="31" t="s">
        <v>4880</v>
      </c>
      <c r="D1556" s="32" t="s">
        <v>4881</v>
      </c>
      <c r="E1556" s="31" t="s">
        <v>31</v>
      </c>
      <c r="F1556" s="31">
        <v>4000000.0</v>
      </c>
      <c r="G1556" s="31" t="s">
        <v>23</v>
      </c>
      <c r="I1556" s="31" t="s">
        <v>229</v>
      </c>
      <c r="J1556" s="31" t="s">
        <v>967</v>
      </c>
      <c r="K1556" s="33" t="s">
        <v>4882</v>
      </c>
      <c r="L1556" s="31" t="s">
        <v>252</v>
      </c>
      <c r="O1556" s="31" t="s">
        <v>205</v>
      </c>
      <c r="X1556" s="31" t="s">
        <v>452</v>
      </c>
    </row>
    <row r="1557">
      <c r="A1557" s="29">
        <v>45946.68887912037</v>
      </c>
      <c r="B1557" s="30">
        <v>45946.0</v>
      </c>
      <c r="C1557" s="31" t="s">
        <v>4883</v>
      </c>
      <c r="D1557" s="32" t="s">
        <v>4884</v>
      </c>
      <c r="E1557" s="31" t="s">
        <v>31</v>
      </c>
      <c r="F1557" s="31">
        <v>4100000.0</v>
      </c>
      <c r="G1557" s="31" t="s">
        <v>23</v>
      </c>
      <c r="I1557" s="31" t="s">
        <v>229</v>
      </c>
      <c r="J1557" s="31" t="s">
        <v>967</v>
      </c>
      <c r="K1557" s="33" t="s">
        <v>4885</v>
      </c>
      <c r="L1557" s="31" t="s">
        <v>202</v>
      </c>
      <c r="N1557" s="31" t="s">
        <v>204</v>
      </c>
      <c r="R1557" s="31" t="s">
        <v>207</v>
      </c>
    </row>
    <row r="1558">
      <c r="A1558" s="29">
        <v>45946.692933321756</v>
      </c>
      <c r="B1558" s="30">
        <v>45946.0</v>
      </c>
      <c r="C1558" s="31" t="s">
        <v>4886</v>
      </c>
      <c r="D1558" s="32" t="s">
        <v>4887</v>
      </c>
      <c r="E1558" s="31" t="s">
        <v>31</v>
      </c>
      <c r="F1558" s="31">
        <v>6400000.0</v>
      </c>
      <c r="G1558" s="31" t="s">
        <v>23</v>
      </c>
      <c r="I1558" s="31" t="s">
        <v>229</v>
      </c>
      <c r="J1558" s="31" t="s">
        <v>967</v>
      </c>
      <c r="K1558" s="33" t="s">
        <v>4888</v>
      </c>
      <c r="L1558" s="31" t="s">
        <v>202</v>
      </c>
      <c r="N1558" s="31" t="s">
        <v>313</v>
      </c>
      <c r="T1558" s="31" t="s">
        <v>329</v>
      </c>
    </row>
    <row r="1559">
      <c r="A1559" s="29">
        <v>45946.698484513894</v>
      </c>
      <c r="B1559" s="30">
        <v>45946.0</v>
      </c>
      <c r="C1559" s="31" t="s">
        <v>3870</v>
      </c>
      <c r="D1559" s="32" t="s">
        <v>3871</v>
      </c>
      <c r="E1559" s="31" t="s">
        <v>4889</v>
      </c>
      <c r="F1559" s="31">
        <v>3200000.0</v>
      </c>
      <c r="G1559" s="31" t="s">
        <v>23</v>
      </c>
      <c r="H1559" s="31">
        <v>3000000.0</v>
      </c>
      <c r="I1559" s="31" t="s">
        <v>200</v>
      </c>
      <c r="K1559" s="33" t="s">
        <v>4890</v>
      </c>
      <c r="L1559" s="31" t="s">
        <v>202</v>
      </c>
      <c r="M1559" s="31" t="s">
        <v>203</v>
      </c>
      <c r="N1559" s="31" t="s">
        <v>204</v>
      </c>
      <c r="R1559" s="31" t="s">
        <v>90</v>
      </c>
    </row>
    <row r="1560">
      <c r="A1560" s="29">
        <v>45946.70105027778</v>
      </c>
      <c r="B1560" s="30">
        <v>45946.0</v>
      </c>
      <c r="C1560" s="31" t="s">
        <v>4862</v>
      </c>
      <c r="D1560" s="32" t="s">
        <v>4863</v>
      </c>
      <c r="E1560" s="31" t="s">
        <v>288</v>
      </c>
      <c r="F1560" s="31">
        <v>4400000.0</v>
      </c>
      <c r="G1560" s="31" t="s">
        <v>23</v>
      </c>
      <c r="H1560" s="31">
        <v>3000000.0</v>
      </c>
      <c r="I1560" s="31" t="s">
        <v>200</v>
      </c>
      <c r="K1560" s="33" t="s">
        <v>4891</v>
      </c>
      <c r="L1560" s="31" t="s">
        <v>202</v>
      </c>
      <c r="M1560" s="31" t="s">
        <v>203</v>
      </c>
      <c r="N1560" s="31" t="s">
        <v>204</v>
      </c>
      <c r="R1560" s="31" t="s">
        <v>90</v>
      </c>
    </row>
    <row r="1561">
      <c r="A1561" s="29">
        <v>45946.72837133102</v>
      </c>
      <c r="B1561" s="30">
        <v>45946.0</v>
      </c>
      <c r="C1561" s="31" t="s">
        <v>4892</v>
      </c>
      <c r="D1561" s="32" t="s">
        <v>4893</v>
      </c>
      <c r="E1561" s="31" t="s">
        <v>43</v>
      </c>
      <c r="F1561" s="31">
        <v>3000000.0</v>
      </c>
      <c r="G1561" s="31" t="s">
        <v>23</v>
      </c>
      <c r="I1561" s="31" t="s">
        <v>229</v>
      </c>
      <c r="J1561" s="31" t="s">
        <v>967</v>
      </c>
      <c r="K1561" s="33" t="s">
        <v>4894</v>
      </c>
      <c r="L1561" s="31" t="s">
        <v>252</v>
      </c>
      <c r="O1561" s="31" t="s">
        <v>205</v>
      </c>
      <c r="X1561" s="31" t="s">
        <v>549</v>
      </c>
    </row>
    <row r="1562">
      <c r="A1562" s="29">
        <v>45946.73141974537</v>
      </c>
      <c r="B1562" s="30">
        <v>45946.0</v>
      </c>
      <c r="C1562" s="31" t="s">
        <v>4895</v>
      </c>
      <c r="D1562" s="32" t="s">
        <v>4896</v>
      </c>
      <c r="E1562" s="31" t="s">
        <v>31</v>
      </c>
      <c r="F1562" s="31">
        <v>4300000.0</v>
      </c>
      <c r="G1562" s="31" t="s">
        <v>23</v>
      </c>
      <c r="I1562" s="31" t="s">
        <v>229</v>
      </c>
      <c r="J1562" s="31" t="s">
        <v>967</v>
      </c>
      <c r="K1562" s="33" t="s">
        <v>4897</v>
      </c>
      <c r="L1562" s="31" t="s">
        <v>202</v>
      </c>
      <c r="N1562" s="31" t="s">
        <v>204</v>
      </c>
      <c r="R1562" s="31" t="s">
        <v>148</v>
      </c>
    </row>
    <row r="1563">
      <c r="A1563" s="29">
        <v>45946.73770619213</v>
      </c>
      <c r="B1563" s="30">
        <v>45946.0</v>
      </c>
      <c r="C1563" s="31" t="s">
        <v>4898</v>
      </c>
      <c r="D1563" s="32" t="s">
        <v>4899</v>
      </c>
      <c r="E1563" s="31" t="s">
        <v>43</v>
      </c>
      <c r="F1563" s="31">
        <v>1800000.0</v>
      </c>
      <c r="G1563" s="31" t="s">
        <v>23</v>
      </c>
      <c r="I1563" s="31" t="s">
        <v>229</v>
      </c>
      <c r="J1563" s="31" t="s">
        <v>967</v>
      </c>
      <c r="K1563" s="33" t="s">
        <v>4900</v>
      </c>
      <c r="L1563" s="31" t="s">
        <v>202</v>
      </c>
      <c r="N1563" s="31" t="s">
        <v>667</v>
      </c>
      <c r="U1563" s="31" t="s">
        <v>3950</v>
      </c>
    </row>
    <row r="1564">
      <c r="A1564" s="29">
        <v>45946.7527491088</v>
      </c>
      <c r="B1564" s="30">
        <v>45946.0</v>
      </c>
      <c r="C1564" s="31" t="s">
        <v>4901</v>
      </c>
      <c r="D1564" s="32" t="s">
        <v>316</v>
      </c>
      <c r="E1564" s="31" t="s">
        <v>4575</v>
      </c>
      <c r="F1564" s="31">
        <v>5000000.0</v>
      </c>
      <c r="G1564" s="31" t="s">
        <v>23</v>
      </c>
      <c r="I1564" s="31" t="s">
        <v>229</v>
      </c>
      <c r="J1564" s="31" t="s">
        <v>967</v>
      </c>
      <c r="K1564" s="33" t="s">
        <v>4902</v>
      </c>
      <c r="L1564" s="31" t="s">
        <v>202</v>
      </c>
      <c r="N1564" s="31" t="s">
        <v>313</v>
      </c>
      <c r="T1564" s="31" t="s">
        <v>314</v>
      </c>
    </row>
    <row r="1565">
      <c r="A1565" s="29">
        <v>45946.77181013889</v>
      </c>
      <c r="B1565" s="30">
        <v>45946.0</v>
      </c>
      <c r="C1565" s="31" t="s">
        <v>4903</v>
      </c>
      <c r="D1565" s="32" t="s">
        <v>4904</v>
      </c>
      <c r="E1565" s="31" t="s">
        <v>43</v>
      </c>
      <c r="F1565" s="31">
        <v>8.099E9</v>
      </c>
      <c r="G1565" s="31" t="s">
        <v>23</v>
      </c>
      <c r="I1565" s="31" t="s">
        <v>229</v>
      </c>
      <c r="J1565" s="31" t="s">
        <v>967</v>
      </c>
      <c r="K1565" s="33" t="s">
        <v>4905</v>
      </c>
      <c r="L1565" s="31" t="s">
        <v>202</v>
      </c>
      <c r="N1565" s="31" t="s">
        <v>220</v>
      </c>
      <c r="S1565" s="31" t="s">
        <v>536</v>
      </c>
    </row>
    <row r="1566">
      <c r="A1566" s="29">
        <v>45946.77890384259</v>
      </c>
      <c r="B1566" s="30">
        <v>45946.0</v>
      </c>
      <c r="C1566" s="31" t="s">
        <v>4906</v>
      </c>
      <c r="D1566" s="32" t="s">
        <v>4907</v>
      </c>
      <c r="E1566" s="31" t="s">
        <v>228</v>
      </c>
      <c r="F1566" s="31">
        <v>3000000.0</v>
      </c>
      <c r="G1566" s="31" t="s">
        <v>23</v>
      </c>
      <c r="I1566" s="31" t="s">
        <v>229</v>
      </c>
      <c r="J1566" s="31" t="s">
        <v>967</v>
      </c>
      <c r="K1566" s="33" t="s">
        <v>4908</v>
      </c>
      <c r="L1566" s="31" t="s">
        <v>202</v>
      </c>
      <c r="N1566" s="31" t="s">
        <v>220</v>
      </c>
      <c r="S1566" s="31" t="s">
        <v>59</v>
      </c>
    </row>
    <row r="1567">
      <c r="A1567" s="29">
        <v>45946.781252824076</v>
      </c>
      <c r="B1567" s="30">
        <v>45946.0</v>
      </c>
      <c r="C1567" s="31" t="s">
        <v>4909</v>
      </c>
      <c r="D1567" s="32" t="s">
        <v>4910</v>
      </c>
      <c r="E1567" s="31" t="s">
        <v>43</v>
      </c>
      <c r="F1567" s="31">
        <v>4000000.0</v>
      </c>
      <c r="G1567" s="31" t="s">
        <v>23</v>
      </c>
      <c r="I1567" s="31" t="s">
        <v>229</v>
      </c>
      <c r="J1567" s="31" t="s">
        <v>967</v>
      </c>
      <c r="K1567" s="33" t="s">
        <v>4911</v>
      </c>
      <c r="L1567" s="31" t="s">
        <v>202</v>
      </c>
      <c r="N1567" s="31" t="s">
        <v>204</v>
      </c>
      <c r="R1567" s="31" t="s">
        <v>98</v>
      </c>
    </row>
    <row r="1568">
      <c r="A1568" s="29">
        <v>45946.78176481482</v>
      </c>
      <c r="B1568" s="30">
        <v>45946.0</v>
      </c>
      <c r="C1568" s="31" t="s">
        <v>4912</v>
      </c>
      <c r="D1568" s="32" t="s">
        <v>4913</v>
      </c>
      <c r="E1568" s="31" t="s">
        <v>43</v>
      </c>
      <c r="F1568" s="31">
        <v>7000000.0</v>
      </c>
      <c r="G1568" s="31" t="s">
        <v>23</v>
      </c>
      <c r="I1568" s="31" t="s">
        <v>229</v>
      </c>
      <c r="J1568" s="31" t="s">
        <v>967</v>
      </c>
      <c r="K1568" s="33" t="s">
        <v>4914</v>
      </c>
      <c r="L1568" s="31" t="s">
        <v>202</v>
      </c>
      <c r="N1568" s="31" t="s">
        <v>220</v>
      </c>
      <c r="S1568" s="31" t="s">
        <v>536</v>
      </c>
    </row>
    <row r="1569">
      <c r="A1569" s="29">
        <v>45946.78334649306</v>
      </c>
      <c r="B1569" s="30">
        <v>45946.0</v>
      </c>
      <c r="C1569" s="31" t="s">
        <v>4915</v>
      </c>
      <c r="D1569" s="31">
        <v>6.285253348488E12</v>
      </c>
      <c r="E1569" s="31" t="s">
        <v>43</v>
      </c>
      <c r="F1569" s="31">
        <v>7000000.0</v>
      </c>
      <c r="G1569" s="31" t="s">
        <v>23</v>
      </c>
      <c r="I1569" s="31" t="s">
        <v>229</v>
      </c>
      <c r="J1569" s="31" t="s">
        <v>967</v>
      </c>
      <c r="K1569" s="33" t="s">
        <v>4916</v>
      </c>
      <c r="L1569" s="31" t="s">
        <v>202</v>
      </c>
      <c r="N1569" s="31" t="s">
        <v>220</v>
      </c>
      <c r="S1569" s="31" t="s">
        <v>536</v>
      </c>
    </row>
    <row r="1570">
      <c r="A1570" s="29">
        <v>45946.78357457176</v>
      </c>
      <c r="B1570" s="30">
        <v>45946.0</v>
      </c>
      <c r="C1570" s="31" t="s">
        <v>4917</v>
      </c>
      <c r="D1570" s="32" t="s">
        <v>4918</v>
      </c>
      <c r="E1570" s="31" t="s">
        <v>31</v>
      </c>
      <c r="F1570" s="31">
        <v>3999000.0</v>
      </c>
      <c r="G1570" s="31" t="s">
        <v>23</v>
      </c>
      <c r="I1570" s="31" t="s">
        <v>229</v>
      </c>
      <c r="J1570" s="31" t="s">
        <v>967</v>
      </c>
      <c r="K1570" s="33" t="s">
        <v>4919</v>
      </c>
      <c r="L1570" s="31" t="s">
        <v>202</v>
      </c>
      <c r="N1570" s="31" t="s">
        <v>204</v>
      </c>
      <c r="R1570" s="31" t="s">
        <v>207</v>
      </c>
    </row>
    <row r="1571">
      <c r="A1571" s="29">
        <v>45946.78646459491</v>
      </c>
      <c r="B1571" s="30">
        <v>45946.0</v>
      </c>
      <c r="C1571" s="31" t="s">
        <v>4920</v>
      </c>
      <c r="D1571" s="32" t="s">
        <v>4921</v>
      </c>
      <c r="E1571" s="31" t="s">
        <v>4609</v>
      </c>
      <c r="F1571" s="31">
        <v>2500000.0</v>
      </c>
      <c r="G1571" s="31" t="s">
        <v>23</v>
      </c>
      <c r="H1571" s="31">
        <v>3000000.0</v>
      </c>
      <c r="I1571" s="31" t="s">
        <v>413</v>
      </c>
      <c r="K1571" s="33" t="s">
        <v>4922</v>
      </c>
      <c r="L1571" s="31" t="s">
        <v>202</v>
      </c>
      <c r="M1571" s="31" t="s">
        <v>926</v>
      </c>
      <c r="N1571" s="31" t="s">
        <v>204</v>
      </c>
      <c r="R1571" s="31" t="s">
        <v>360</v>
      </c>
    </row>
    <row r="1572">
      <c r="A1572" s="29">
        <v>45946.80072358796</v>
      </c>
      <c r="B1572" s="30">
        <v>45946.0</v>
      </c>
      <c r="C1572" s="31" t="s">
        <v>4923</v>
      </c>
      <c r="D1572" s="32" t="s">
        <v>4924</v>
      </c>
      <c r="E1572" s="31" t="s">
        <v>31</v>
      </c>
      <c r="F1572" s="31">
        <v>3200000.0</v>
      </c>
      <c r="G1572" s="31" t="s">
        <v>23</v>
      </c>
      <c r="H1572" s="31">
        <v>1.0E8</v>
      </c>
      <c r="I1572" s="31" t="s">
        <v>413</v>
      </c>
      <c r="K1572" s="33" t="s">
        <v>4925</v>
      </c>
      <c r="L1572" s="31" t="s">
        <v>202</v>
      </c>
      <c r="M1572" s="31" t="s">
        <v>203</v>
      </c>
      <c r="N1572" s="31" t="s">
        <v>204</v>
      </c>
      <c r="R1572" s="31" t="s">
        <v>207</v>
      </c>
    </row>
    <row r="1573">
      <c r="A1573" s="29">
        <v>45946.81406614583</v>
      </c>
      <c r="B1573" s="30">
        <v>45946.0</v>
      </c>
      <c r="C1573" s="31" t="s">
        <v>4926</v>
      </c>
      <c r="D1573" s="32" t="s">
        <v>4927</v>
      </c>
      <c r="E1573" s="31" t="s">
        <v>43</v>
      </c>
      <c r="F1573" s="31">
        <v>2600000.0</v>
      </c>
      <c r="G1573" s="31" t="s">
        <v>23</v>
      </c>
      <c r="I1573" s="31" t="s">
        <v>229</v>
      </c>
      <c r="J1573" s="31" t="s">
        <v>967</v>
      </c>
      <c r="K1573" s="33" t="s">
        <v>4928</v>
      </c>
      <c r="L1573" s="31" t="s">
        <v>252</v>
      </c>
      <c r="O1573" s="31" t="s">
        <v>205</v>
      </c>
      <c r="X1573" s="31" t="s">
        <v>452</v>
      </c>
    </row>
    <row r="1574">
      <c r="A1574" s="29">
        <v>45946.81966388889</v>
      </c>
      <c r="B1574" s="30">
        <v>45946.0</v>
      </c>
      <c r="C1574" s="31" t="s">
        <v>4929</v>
      </c>
      <c r="D1574" s="32" t="s">
        <v>4930</v>
      </c>
      <c r="E1574" s="31" t="s">
        <v>31</v>
      </c>
      <c r="F1574" s="31">
        <v>3200000.0</v>
      </c>
      <c r="G1574" s="31" t="s">
        <v>23</v>
      </c>
      <c r="H1574" s="31">
        <v>1600000.0</v>
      </c>
      <c r="I1574" s="31" t="s">
        <v>413</v>
      </c>
      <c r="K1574" s="33" t="s">
        <v>4931</v>
      </c>
      <c r="L1574" s="31" t="s">
        <v>202</v>
      </c>
      <c r="M1574" s="31" t="s">
        <v>203</v>
      </c>
      <c r="N1574" s="31" t="s">
        <v>204</v>
      </c>
      <c r="R1574" s="31" t="s">
        <v>207</v>
      </c>
    </row>
    <row r="1575">
      <c r="A1575" s="29">
        <v>45946.819854270834</v>
      </c>
      <c r="B1575" s="30">
        <v>45946.0</v>
      </c>
      <c r="C1575" s="31" t="s">
        <v>4932</v>
      </c>
      <c r="D1575" s="32" t="s">
        <v>4933</v>
      </c>
      <c r="E1575" s="31" t="s">
        <v>239</v>
      </c>
      <c r="F1575" s="31">
        <v>3000000.0</v>
      </c>
      <c r="G1575" s="31" t="s">
        <v>23</v>
      </c>
      <c r="H1575" s="31">
        <v>3000000.0</v>
      </c>
      <c r="I1575" s="31" t="s">
        <v>413</v>
      </c>
      <c r="K1575" s="33" t="s">
        <v>4934</v>
      </c>
      <c r="L1575" s="31" t="s">
        <v>202</v>
      </c>
      <c r="M1575" s="31" t="s">
        <v>203</v>
      </c>
      <c r="N1575" s="31" t="s">
        <v>871</v>
      </c>
      <c r="Q1575" s="31" t="s">
        <v>872</v>
      </c>
    </row>
    <row r="1576">
      <c r="A1576" s="29">
        <v>45947.400098865735</v>
      </c>
      <c r="B1576" s="30">
        <v>45947.0</v>
      </c>
      <c r="C1576" s="31" t="s">
        <v>4935</v>
      </c>
      <c r="D1576" s="32" t="s">
        <v>4253</v>
      </c>
      <c r="E1576" s="31" t="s">
        <v>43</v>
      </c>
      <c r="F1576" s="31">
        <v>2600000.0</v>
      </c>
      <c r="G1576" s="31" t="s">
        <v>23</v>
      </c>
      <c r="I1576" s="31" t="s">
        <v>229</v>
      </c>
      <c r="J1576" s="31" t="s">
        <v>967</v>
      </c>
      <c r="K1576" s="33" t="s">
        <v>4936</v>
      </c>
      <c r="L1576" s="31" t="s">
        <v>252</v>
      </c>
      <c r="O1576" s="31" t="s">
        <v>257</v>
      </c>
      <c r="P1576" s="31" t="s">
        <v>206</v>
      </c>
    </row>
    <row r="1577">
      <c r="A1577" s="29">
        <v>45947.42019631944</v>
      </c>
      <c r="B1577" s="30">
        <v>45947.0</v>
      </c>
      <c r="C1577" s="31" t="s">
        <v>4937</v>
      </c>
      <c r="D1577" s="32" t="s">
        <v>4938</v>
      </c>
      <c r="E1577" s="31" t="s">
        <v>199</v>
      </c>
      <c r="F1577" s="31">
        <v>2400000.0</v>
      </c>
      <c r="G1577" s="31" t="s">
        <v>45</v>
      </c>
      <c r="H1577" s="31">
        <v>3000000.0</v>
      </c>
      <c r="I1577" s="31" t="s">
        <v>413</v>
      </c>
      <c r="K1577" s="33" t="s">
        <v>4939</v>
      </c>
      <c r="L1577" s="31" t="s">
        <v>202</v>
      </c>
      <c r="M1577" s="31" t="s">
        <v>203</v>
      </c>
      <c r="N1577" s="31" t="s">
        <v>313</v>
      </c>
      <c r="T1577" s="31" t="s">
        <v>4272</v>
      </c>
    </row>
    <row r="1578">
      <c r="A1578" s="29">
        <v>45947.427006701386</v>
      </c>
      <c r="B1578" s="30">
        <v>45947.0</v>
      </c>
      <c r="C1578" s="31" t="s">
        <v>4940</v>
      </c>
      <c r="D1578" s="32" t="s">
        <v>4941</v>
      </c>
      <c r="E1578" s="31" t="s">
        <v>199</v>
      </c>
      <c r="F1578" s="31">
        <v>3200000.0</v>
      </c>
      <c r="G1578" s="31" t="s">
        <v>23</v>
      </c>
      <c r="I1578" s="31" t="s">
        <v>229</v>
      </c>
      <c r="J1578" s="31" t="s">
        <v>967</v>
      </c>
      <c r="K1578" s="33" t="s">
        <v>4942</v>
      </c>
      <c r="L1578" s="31" t="s">
        <v>202</v>
      </c>
      <c r="N1578" s="31" t="s">
        <v>667</v>
      </c>
      <c r="U1578" s="31" t="s">
        <v>3950</v>
      </c>
    </row>
    <row r="1579">
      <c r="A1579" s="29">
        <v>45947.43963799768</v>
      </c>
      <c r="B1579" s="30">
        <v>45947.0</v>
      </c>
      <c r="C1579" s="31" t="s">
        <v>4943</v>
      </c>
      <c r="D1579" s="32" t="s">
        <v>4944</v>
      </c>
      <c r="E1579" s="31" t="s">
        <v>2902</v>
      </c>
      <c r="F1579" s="31">
        <v>5200000.0</v>
      </c>
      <c r="G1579" s="31" t="s">
        <v>23</v>
      </c>
      <c r="I1579" s="31" t="s">
        <v>229</v>
      </c>
      <c r="J1579" s="31" t="s">
        <v>967</v>
      </c>
      <c r="K1579" s="33" t="s">
        <v>4945</v>
      </c>
      <c r="L1579" s="31" t="s">
        <v>202</v>
      </c>
      <c r="N1579" s="31" t="s">
        <v>220</v>
      </c>
      <c r="S1579" s="31" t="s">
        <v>36</v>
      </c>
    </row>
    <row r="1580">
      <c r="A1580" s="29">
        <v>45947.450745995375</v>
      </c>
      <c r="B1580" s="30">
        <v>45947.0</v>
      </c>
      <c r="C1580" s="31" t="s">
        <v>4946</v>
      </c>
      <c r="D1580" s="32" t="s">
        <v>4947</v>
      </c>
      <c r="E1580" s="31" t="s">
        <v>31</v>
      </c>
      <c r="F1580" s="31">
        <v>3100000.0</v>
      </c>
      <c r="G1580" s="31" t="s">
        <v>23</v>
      </c>
      <c r="I1580" s="31" t="s">
        <v>229</v>
      </c>
      <c r="J1580" s="31" t="s">
        <v>967</v>
      </c>
      <c r="K1580" s="33" t="s">
        <v>4948</v>
      </c>
      <c r="L1580" s="31" t="s">
        <v>202</v>
      </c>
      <c r="N1580" s="31" t="s">
        <v>667</v>
      </c>
      <c r="U1580" s="31" t="s">
        <v>668</v>
      </c>
    </row>
    <row r="1581">
      <c r="A1581" s="29">
        <v>45947.45820460648</v>
      </c>
      <c r="B1581" s="30">
        <v>45947.0</v>
      </c>
      <c r="C1581" s="31" t="s">
        <v>4949</v>
      </c>
      <c r="D1581" s="32" t="s">
        <v>4950</v>
      </c>
      <c r="E1581" s="31" t="s">
        <v>199</v>
      </c>
      <c r="F1581" s="31">
        <v>7000000.0</v>
      </c>
      <c r="G1581" s="31" t="s">
        <v>23</v>
      </c>
      <c r="I1581" s="31" t="s">
        <v>229</v>
      </c>
      <c r="J1581" s="31" t="s">
        <v>967</v>
      </c>
      <c r="K1581" s="33" t="s">
        <v>4951</v>
      </c>
      <c r="L1581" s="31" t="s">
        <v>202</v>
      </c>
      <c r="N1581" s="31" t="s">
        <v>313</v>
      </c>
      <c r="T1581" s="31" t="s">
        <v>314</v>
      </c>
    </row>
    <row r="1582">
      <c r="A1582" s="29">
        <v>45947.484104664356</v>
      </c>
      <c r="B1582" s="30">
        <v>45947.0</v>
      </c>
      <c r="C1582" s="31" t="s">
        <v>1303</v>
      </c>
      <c r="D1582" s="32" t="s">
        <v>4687</v>
      </c>
      <c r="E1582" s="31" t="s">
        <v>288</v>
      </c>
      <c r="F1582" s="31">
        <v>3000000.0</v>
      </c>
      <c r="G1582" s="31" t="s">
        <v>23</v>
      </c>
      <c r="H1582" s="31">
        <v>3000000.0</v>
      </c>
      <c r="I1582" s="31" t="s">
        <v>200</v>
      </c>
      <c r="K1582" s="33" t="s">
        <v>4952</v>
      </c>
      <c r="L1582" s="31" t="s">
        <v>202</v>
      </c>
      <c r="M1582" s="31" t="s">
        <v>203</v>
      </c>
      <c r="N1582" s="31" t="s">
        <v>871</v>
      </c>
      <c r="Q1582" s="31" t="s">
        <v>872</v>
      </c>
    </row>
    <row r="1583">
      <c r="A1583" s="29">
        <v>45947.489644953705</v>
      </c>
      <c r="B1583" s="30">
        <v>45947.0</v>
      </c>
      <c r="C1583" s="31" t="s">
        <v>4953</v>
      </c>
      <c r="D1583" s="32" t="s">
        <v>4954</v>
      </c>
      <c r="E1583" s="31" t="s">
        <v>239</v>
      </c>
      <c r="F1583" s="31">
        <v>1500000.0</v>
      </c>
      <c r="G1583" s="31" t="s">
        <v>23</v>
      </c>
      <c r="I1583" s="31" t="s">
        <v>229</v>
      </c>
      <c r="J1583" s="31" t="s">
        <v>967</v>
      </c>
      <c r="K1583" s="33" t="s">
        <v>4955</v>
      </c>
      <c r="L1583" s="31" t="s">
        <v>202</v>
      </c>
      <c r="N1583" s="31" t="s">
        <v>667</v>
      </c>
      <c r="U1583" s="31" t="s">
        <v>668</v>
      </c>
    </row>
    <row r="1584">
      <c r="A1584" s="29">
        <v>45947.49362731482</v>
      </c>
      <c r="B1584" s="30">
        <v>45947.0</v>
      </c>
      <c r="C1584" s="31" t="s">
        <v>4956</v>
      </c>
      <c r="D1584" s="32" t="s">
        <v>4957</v>
      </c>
      <c r="E1584" s="31" t="s">
        <v>43</v>
      </c>
      <c r="F1584" s="31">
        <v>2000000.0</v>
      </c>
      <c r="G1584" s="31" t="s">
        <v>23</v>
      </c>
      <c r="I1584" s="31" t="s">
        <v>229</v>
      </c>
      <c r="J1584" s="31" t="s">
        <v>967</v>
      </c>
      <c r="K1584" s="33" t="s">
        <v>4958</v>
      </c>
      <c r="L1584" s="31" t="s">
        <v>252</v>
      </c>
      <c r="O1584" s="31" t="s">
        <v>205</v>
      </c>
      <c r="X1584" s="31" t="s">
        <v>549</v>
      </c>
    </row>
    <row r="1585">
      <c r="A1585" s="29">
        <v>45947.52686957176</v>
      </c>
      <c r="B1585" s="30">
        <v>45947.0</v>
      </c>
      <c r="C1585" s="31" t="s">
        <v>4959</v>
      </c>
      <c r="D1585" s="32" t="s">
        <v>4960</v>
      </c>
      <c r="E1585" s="31" t="s">
        <v>239</v>
      </c>
      <c r="F1585" s="31">
        <v>3000000.0</v>
      </c>
      <c r="G1585" s="31" t="s">
        <v>23</v>
      </c>
      <c r="H1585" s="31">
        <v>3000000.0</v>
      </c>
      <c r="I1585" s="31" t="s">
        <v>413</v>
      </c>
      <c r="K1585" s="33" t="s">
        <v>4961</v>
      </c>
      <c r="L1585" s="31" t="s">
        <v>202</v>
      </c>
      <c r="M1585" s="31" t="s">
        <v>203</v>
      </c>
      <c r="N1585" s="31" t="s">
        <v>871</v>
      </c>
      <c r="Q1585" s="31" t="s">
        <v>872</v>
      </c>
    </row>
    <row r="1586">
      <c r="A1586" s="29">
        <v>45947.539408888886</v>
      </c>
      <c r="B1586" s="30">
        <v>45947.0</v>
      </c>
      <c r="C1586" s="31" t="s">
        <v>4962</v>
      </c>
      <c r="D1586" s="32" t="s">
        <v>4963</v>
      </c>
      <c r="E1586" s="31" t="s">
        <v>43</v>
      </c>
      <c r="F1586" s="31">
        <v>3000000.0</v>
      </c>
      <c r="G1586" s="31" t="s">
        <v>23</v>
      </c>
      <c r="I1586" s="31" t="s">
        <v>229</v>
      </c>
      <c r="J1586" s="31" t="s">
        <v>967</v>
      </c>
      <c r="K1586" s="33" t="s">
        <v>4964</v>
      </c>
      <c r="L1586" s="31" t="s">
        <v>202</v>
      </c>
      <c r="N1586" s="31" t="s">
        <v>215</v>
      </c>
      <c r="W1586" s="31" t="s">
        <v>216</v>
      </c>
    </row>
    <row r="1587">
      <c r="A1587" s="29">
        <v>45947.54709101852</v>
      </c>
      <c r="B1587" s="30">
        <v>45947.0</v>
      </c>
      <c r="C1587" s="31" t="s">
        <v>4965</v>
      </c>
      <c r="D1587" s="32" t="s">
        <v>4966</v>
      </c>
      <c r="E1587" s="31" t="s">
        <v>31</v>
      </c>
      <c r="F1587" s="31">
        <v>3200000.0</v>
      </c>
      <c r="G1587" s="31" t="s">
        <v>23</v>
      </c>
      <c r="I1587" s="31" t="s">
        <v>229</v>
      </c>
      <c r="J1587" s="31" t="s">
        <v>967</v>
      </c>
      <c r="K1587" s="33" t="s">
        <v>4967</v>
      </c>
      <c r="L1587" s="31" t="s">
        <v>202</v>
      </c>
      <c r="N1587" s="31" t="s">
        <v>204</v>
      </c>
      <c r="R1587" s="31" t="s">
        <v>207</v>
      </c>
    </row>
    <row r="1588">
      <c r="A1588" s="29">
        <v>45947.554607314814</v>
      </c>
      <c r="B1588" s="30">
        <v>45947.0</v>
      </c>
      <c r="C1588" s="31" t="s">
        <v>4968</v>
      </c>
      <c r="D1588" s="32" t="s">
        <v>4969</v>
      </c>
      <c r="E1588" s="31" t="s">
        <v>31</v>
      </c>
      <c r="F1588" s="31">
        <v>6000000.0</v>
      </c>
      <c r="G1588" s="31" t="s">
        <v>23</v>
      </c>
      <c r="H1588" s="31">
        <v>3000000.0</v>
      </c>
      <c r="I1588" s="31" t="s">
        <v>413</v>
      </c>
      <c r="K1588" s="33" t="s">
        <v>4970</v>
      </c>
      <c r="L1588" s="31" t="s">
        <v>202</v>
      </c>
      <c r="M1588" s="31" t="s">
        <v>203</v>
      </c>
      <c r="N1588" s="31" t="s">
        <v>204</v>
      </c>
      <c r="R1588" s="31" t="s">
        <v>53</v>
      </c>
    </row>
    <row r="1589">
      <c r="A1589" s="29">
        <v>45947.560006053245</v>
      </c>
      <c r="B1589" s="30">
        <v>45947.0</v>
      </c>
      <c r="C1589" s="31" t="s">
        <v>4971</v>
      </c>
      <c r="D1589" s="32" t="s">
        <v>4972</v>
      </c>
      <c r="E1589" s="31" t="s">
        <v>43</v>
      </c>
      <c r="F1589" s="31">
        <v>3500000.0</v>
      </c>
      <c r="G1589" s="31" t="s">
        <v>23</v>
      </c>
      <c r="I1589" s="31" t="s">
        <v>229</v>
      </c>
      <c r="J1589" s="31" t="s">
        <v>967</v>
      </c>
      <c r="K1589" s="33" t="s">
        <v>4973</v>
      </c>
      <c r="L1589" s="31" t="s">
        <v>202</v>
      </c>
      <c r="N1589" s="31" t="s">
        <v>220</v>
      </c>
      <c r="S1589" s="31" t="s">
        <v>896</v>
      </c>
    </row>
    <row r="1590">
      <c r="A1590" s="29">
        <v>45947.563846689816</v>
      </c>
      <c r="B1590" s="30">
        <v>45947.0</v>
      </c>
      <c r="C1590" s="31" t="s">
        <v>4974</v>
      </c>
      <c r="D1590" s="32" t="s">
        <v>4975</v>
      </c>
      <c r="E1590" s="31" t="s">
        <v>43</v>
      </c>
      <c r="F1590" s="31">
        <v>3700000.0</v>
      </c>
      <c r="G1590" s="31" t="s">
        <v>23</v>
      </c>
      <c r="I1590" s="31" t="s">
        <v>229</v>
      </c>
      <c r="J1590" s="31" t="s">
        <v>967</v>
      </c>
      <c r="K1590" s="33" t="s">
        <v>4976</v>
      </c>
      <c r="L1590" s="31" t="s">
        <v>202</v>
      </c>
      <c r="N1590" s="31" t="s">
        <v>220</v>
      </c>
      <c r="S1590" s="31" t="s">
        <v>896</v>
      </c>
    </row>
    <row r="1591">
      <c r="A1591" s="29">
        <v>45947.57793708333</v>
      </c>
      <c r="B1591" s="30">
        <v>45947.0</v>
      </c>
      <c r="C1591" s="31" t="s">
        <v>4977</v>
      </c>
      <c r="D1591" s="32" t="s">
        <v>4978</v>
      </c>
      <c r="E1591" s="31" t="s">
        <v>4979</v>
      </c>
      <c r="F1591" s="31">
        <v>1.0E7</v>
      </c>
      <c r="G1591" s="31" t="s">
        <v>23</v>
      </c>
      <c r="I1591" s="31" t="s">
        <v>229</v>
      </c>
      <c r="J1591" s="31" t="s">
        <v>967</v>
      </c>
      <c r="K1591" s="33" t="s">
        <v>4980</v>
      </c>
      <c r="L1591" s="31" t="s">
        <v>202</v>
      </c>
      <c r="N1591" s="31" t="s">
        <v>220</v>
      </c>
      <c r="S1591" s="31" t="s">
        <v>1406</v>
      </c>
    </row>
    <row r="1592">
      <c r="A1592" s="29">
        <v>45947.647377974536</v>
      </c>
      <c r="B1592" s="30">
        <v>45947.0</v>
      </c>
      <c r="C1592" s="31" t="s">
        <v>4981</v>
      </c>
      <c r="D1592" s="32" t="s">
        <v>4982</v>
      </c>
      <c r="E1592" s="31" t="s">
        <v>43</v>
      </c>
      <c r="F1592" s="31">
        <v>5000000.0</v>
      </c>
      <c r="G1592" s="31" t="s">
        <v>45</v>
      </c>
      <c r="I1592" s="31" t="s">
        <v>229</v>
      </c>
      <c r="J1592" s="31" t="s">
        <v>387</v>
      </c>
      <c r="K1592" s="33" t="s">
        <v>4983</v>
      </c>
      <c r="L1592" s="31" t="s">
        <v>202</v>
      </c>
      <c r="N1592" s="31" t="s">
        <v>215</v>
      </c>
      <c r="W1592" s="31" t="s">
        <v>389</v>
      </c>
    </row>
    <row r="1593">
      <c r="A1593" s="29">
        <v>45947.647442326386</v>
      </c>
      <c r="B1593" s="30">
        <v>45947.0</v>
      </c>
      <c r="C1593" s="31" t="s">
        <v>4984</v>
      </c>
      <c r="D1593" s="32" t="s">
        <v>4985</v>
      </c>
      <c r="E1593" s="31" t="s">
        <v>43</v>
      </c>
      <c r="F1593" s="31">
        <v>3300000.0</v>
      </c>
      <c r="G1593" s="31" t="s">
        <v>23</v>
      </c>
      <c r="H1593" s="31">
        <v>3000000.0</v>
      </c>
      <c r="I1593" s="31" t="s">
        <v>200</v>
      </c>
      <c r="K1593" s="33" t="s">
        <v>4986</v>
      </c>
      <c r="L1593" s="31" t="s">
        <v>252</v>
      </c>
      <c r="M1593" s="31" t="s">
        <v>203</v>
      </c>
      <c r="O1593" s="31" t="s">
        <v>257</v>
      </c>
      <c r="P1593" s="31" t="s">
        <v>2453</v>
      </c>
    </row>
    <row r="1594">
      <c r="A1594" s="29">
        <v>45947.64910591435</v>
      </c>
      <c r="B1594" s="30">
        <v>45947.0</v>
      </c>
      <c r="C1594" s="31" t="s">
        <v>4987</v>
      </c>
      <c r="D1594" s="32" t="s">
        <v>4988</v>
      </c>
      <c r="E1594" s="31" t="s">
        <v>43</v>
      </c>
      <c r="F1594" s="31">
        <v>3000000.0</v>
      </c>
      <c r="G1594" s="31" t="s">
        <v>23</v>
      </c>
      <c r="I1594" s="31" t="s">
        <v>229</v>
      </c>
      <c r="J1594" s="31" t="s">
        <v>387</v>
      </c>
      <c r="K1594" s="33" t="s">
        <v>4989</v>
      </c>
      <c r="L1594" s="31" t="s">
        <v>202</v>
      </c>
      <c r="N1594" s="31" t="s">
        <v>215</v>
      </c>
      <c r="W1594" s="31" t="s">
        <v>389</v>
      </c>
    </row>
    <row r="1595">
      <c r="A1595" s="29">
        <v>45947.65661697916</v>
      </c>
      <c r="B1595" s="30">
        <v>45947.0</v>
      </c>
      <c r="C1595" s="31" t="s">
        <v>4990</v>
      </c>
      <c r="D1595" s="32" t="s">
        <v>4991</v>
      </c>
      <c r="E1595" s="31" t="s">
        <v>43</v>
      </c>
      <c r="F1595" s="31">
        <v>1.0E7</v>
      </c>
      <c r="G1595" s="31" t="s">
        <v>45</v>
      </c>
      <c r="H1595" s="31">
        <v>7000000.0</v>
      </c>
      <c r="I1595" s="31" t="s">
        <v>413</v>
      </c>
      <c r="K1595" s="33" t="s">
        <v>4992</v>
      </c>
      <c r="L1595" s="31" t="s">
        <v>202</v>
      </c>
      <c r="M1595" s="31" t="s">
        <v>435</v>
      </c>
      <c r="N1595" s="31" t="s">
        <v>220</v>
      </c>
      <c r="S1595" s="31" t="s">
        <v>466</v>
      </c>
    </row>
    <row r="1596">
      <c r="A1596" s="29">
        <v>45947.70385346065</v>
      </c>
      <c r="B1596" s="30">
        <v>45947.0</v>
      </c>
      <c r="C1596" s="31" t="s">
        <v>4993</v>
      </c>
      <c r="D1596" s="32" t="s">
        <v>4994</v>
      </c>
      <c r="E1596" s="31" t="s">
        <v>288</v>
      </c>
      <c r="F1596" s="31">
        <v>2300000.0</v>
      </c>
      <c r="G1596" s="31" t="s">
        <v>23</v>
      </c>
      <c r="I1596" s="31" t="s">
        <v>229</v>
      </c>
      <c r="J1596" s="31" t="s">
        <v>967</v>
      </c>
      <c r="K1596" s="33" t="s">
        <v>4995</v>
      </c>
      <c r="L1596" s="31" t="s">
        <v>202</v>
      </c>
      <c r="N1596" s="31" t="s">
        <v>204</v>
      </c>
      <c r="R1596" s="31" t="s">
        <v>90</v>
      </c>
    </row>
    <row r="1597">
      <c r="A1597" s="29">
        <v>45947.71012020833</v>
      </c>
      <c r="B1597" s="30">
        <v>45947.0</v>
      </c>
      <c r="C1597" s="31" t="s">
        <v>4996</v>
      </c>
      <c r="D1597" s="31">
        <v>8.2146486784E10</v>
      </c>
      <c r="E1597" s="31" t="s">
        <v>43</v>
      </c>
      <c r="F1597" s="34">
        <v>5000.0</v>
      </c>
      <c r="G1597" s="31" t="s">
        <v>23</v>
      </c>
      <c r="I1597" s="31" t="s">
        <v>229</v>
      </c>
      <c r="J1597" s="31" t="s">
        <v>967</v>
      </c>
      <c r="K1597" s="33" t="s">
        <v>4997</v>
      </c>
      <c r="L1597" s="31" t="s">
        <v>202</v>
      </c>
      <c r="N1597" s="31" t="s">
        <v>204</v>
      </c>
      <c r="R1597" s="31" t="s">
        <v>167</v>
      </c>
    </row>
    <row r="1598">
      <c r="A1598" s="29">
        <v>45947.760558379625</v>
      </c>
      <c r="B1598" s="30">
        <v>45947.0</v>
      </c>
      <c r="C1598" s="31" t="s">
        <v>4998</v>
      </c>
      <c r="D1598" s="31">
        <v>0.0</v>
      </c>
      <c r="E1598" s="31" t="s">
        <v>43</v>
      </c>
      <c r="F1598" s="34">
        <v>6500.0</v>
      </c>
      <c r="G1598" s="31" t="s">
        <v>23</v>
      </c>
      <c r="H1598" s="31">
        <v>3000000.0</v>
      </c>
      <c r="I1598" s="31" t="s">
        <v>200</v>
      </c>
      <c r="K1598" s="33" t="s">
        <v>4999</v>
      </c>
      <c r="L1598" s="31" t="s">
        <v>252</v>
      </c>
      <c r="M1598" s="31" t="s">
        <v>383</v>
      </c>
      <c r="O1598" s="31" t="s">
        <v>257</v>
      </c>
      <c r="P1598" s="31" t="s">
        <v>992</v>
      </c>
    </row>
    <row r="1599">
      <c r="A1599" s="29">
        <v>45947.778554930555</v>
      </c>
      <c r="B1599" s="30">
        <v>45947.0</v>
      </c>
      <c r="C1599" s="31" t="s">
        <v>5000</v>
      </c>
      <c r="D1599" s="32" t="s">
        <v>5001</v>
      </c>
      <c r="E1599" s="31" t="s">
        <v>43</v>
      </c>
      <c r="F1599" s="31">
        <v>2300000.0</v>
      </c>
      <c r="G1599" s="31" t="s">
        <v>23</v>
      </c>
      <c r="I1599" s="31" t="s">
        <v>229</v>
      </c>
      <c r="J1599" s="31" t="s">
        <v>967</v>
      </c>
      <c r="K1599" s="33" t="s">
        <v>5002</v>
      </c>
      <c r="L1599" s="31" t="s">
        <v>202</v>
      </c>
      <c r="N1599" s="31" t="s">
        <v>871</v>
      </c>
      <c r="Q1599" s="31" t="s">
        <v>1021</v>
      </c>
    </row>
    <row r="1600">
      <c r="A1600" s="29">
        <v>45947.779716018515</v>
      </c>
      <c r="B1600" s="30">
        <v>45947.0</v>
      </c>
      <c r="C1600" s="31" t="s">
        <v>5003</v>
      </c>
      <c r="D1600" s="32" t="s">
        <v>5004</v>
      </c>
      <c r="E1600" s="31" t="s">
        <v>199</v>
      </c>
      <c r="F1600" s="31">
        <v>5200000.0</v>
      </c>
      <c r="G1600" s="31" t="s">
        <v>45</v>
      </c>
      <c r="H1600" s="31">
        <v>5000000.0</v>
      </c>
      <c r="I1600" s="31" t="s">
        <v>200</v>
      </c>
      <c r="K1600" s="33" t="s">
        <v>5005</v>
      </c>
      <c r="L1600" s="31" t="s">
        <v>252</v>
      </c>
      <c r="M1600" s="31" t="s">
        <v>926</v>
      </c>
      <c r="O1600" s="31" t="s">
        <v>205</v>
      </c>
      <c r="X1600" s="31" t="s">
        <v>2335</v>
      </c>
    </row>
    <row r="1601">
      <c r="A1601" s="29">
        <v>45947.781439212966</v>
      </c>
      <c r="B1601" s="30">
        <v>45947.0</v>
      </c>
      <c r="C1601" s="31" t="s">
        <v>5006</v>
      </c>
      <c r="D1601" s="32" t="s">
        <v>5007</v>
      </c>
      <c r="E1601" s="31" t="s">
        <v>43</v>
      </c>
      <c r="F1601" s="31">
        <v>8400000.0</v>
      </c>
      <c r="G1601" s="31" t="s">
        <v>23</v>
      </c>
      <c r="I1601" s="31" t="s">
        <v>229</v>
      </c>
      <c r="J1601" s="31" t="s">
        <v>967</v>
      </c>
      <c r="K1601" s="33" t="s">
        <v>5008</v>
      </c>
      <c r="L1601" s="31" t="s">
        <v>252</v>
      </c>
      <c r="O1601" s="31" t="s">
        <v>257</v>
      </c>
      <c r="P1601" s="31" t="s">
        <v>258</v>
      </c>
    </row>
    <row r="1602">
      <c r="A1602" s="29">
        <v>45947.78462688657</v>
      </c>
      <c r="B1602" s="30">
        <v>45947.0</v>
      </c>
      <c r="C1602" s="31" t="s">
        <v>5009</v>
      </c>
      <c r="D1602" s="31">
        <v>8.1933035646E10</v>
      </c>
      <c r="E1602" s="31" t="s">
        <v>288</v>
      </c>
      <c r="F1602" s="34">
        <v>3000.0</v>
      </c>
      <c r="G1602" s="31" t="s">
        <v>23</v>
      </c>
      <c r="I1602" s="31" t="s">
        <v>229</v>
      </c>
      <c r="J1602" s="31" t="s">
        <v>967</v>
      </c>
      <c r="K1602" s="33" t="s">
        <v>5010</v>
      </c>
      <c r="L1602" s="31" t="s">
        <v>202</v>
      </c>
      <c r="N1602" s="31" t="s">
        <v>204</v>
      </c>
      <c r="R1602" s="31" t="s">
        <v>167</v>
      </c>
    </row>
    <row r="1603">
      <c r="A1603" s="29">
        <v>45947.784780104164</v>
      </c>
      <c r="B1603" s="30">
        <v>45947.0</v>
      </c>
      <c r="C1603" s="31" t="s">
        <v>5011</v>
      </c>
      <c r="D1603" s="32" t="s">
        <v>5012</v>
      </c>
      <c r="E1603" s="31" t="s">
        <v>2902</v>
      </c>
      <c r="F1603" s="31">
        <v>4000000.0</v>
      </c>
      <c r="G1603" s="31" t="s">
        <v>23</v>
      </c>
      <c r="H1603" s="31">
        <v>3000000.0</v>
      </c>
      <c r="I1603" s="31" t="s">
        <v>413</v>
      </c>
      <c r="K1603" s="33" t="s">
        <v>5013</v>
      </c>
      <c r="L1603" s="31" t="s">
        <v>202</v>
      </c>
      <c r="M1603" s="31" t="s">
        <v>435</v>
      </c>
      <c r="N1603" s="31" t="s">
        <v>220</v>
      </c>
      <c r="S1603" s="31" t="s">
        <v>36</v>
      </c>
    </row>
    <row r="1604">
      <c r="A1604" s="29">
        <v>45947.7917043287</v>
      </c>
      <c r="B1604" s="30">
        <v>45947.0</v>
      </c>
      <c r="C1604" s="31" t="s">
        <v>5014</v>
      </c>
      <c r="D1604" s="32" t="s">
        <v>386</v>
      </c>
      <c r="E1604" s="31" t="s">
        <v>43</v>
      </c>
      <c r="F1604" s="31">
        <v>3000000.0</v>
      </c>
      <c r="G1604" s="31" t="s">
        <v>23</v>
      </c>
      <c r="I1604" s="31" t="s">
        <v>229</v>
      </c>
      <c r="J1604" s="31" t="s">
        <v>387</v>
      </c>
      <c r="K1604" s="33" t="s">
        <v>5015</v>
      </c>
      <c r="L1604" s="31" t="s">
        <v>202</v>
      </c>
      <c r="N1604" s="31" t="s">
        <v>215</v>
      </c>
      <c r="W1604" s="31" t="s">
        <v>389</v>
      </c>
    </row>
    <row r="1605">
      <c r="A1605" s="29">
        <v>45947.80520952547</v>
      </c>
      <c r="B1605" s="30">
        <v>45947.0</v>
      </c>
      <c r="C1605" s="31" t="s">
        <v>5016</v>
      </c>
      <c r="D1605" s="32" t="s">
        <v>5017</v>
      </c>
      <c r="E1605" s="31" t="s">
        <v>409</v>
      </c>
      <c r="F1605" s="31">
        <v>6100000.0</v>
      </c>
      <c r="G1605" s="31" t="s">
        <v>23</v>
      </c>
      <c r="H1605" s="31">
        <v>3000000.0</v>
      </c>
      <c r="I1605" s="31" t="s">
        <v>413</v>
      </c>
      <c r="K1605" s="33" t="s">
        <v>5018</v>
      </c>
      <c r="L1605" s="31" t="s">
        <v>202</v>
      </c>
      <c r="M1605" s="31" t="s">
        <v>203</v>
      </c>
      <c r="N1605" s="31" t="s">
        <v>220</v>
      </c>
      <c r="S1605" s="31" t="s">
        <v>83</v>
      </c>
    </row>
    <row r="1606">
      <c r="A1606" s="29">
        <v>45947.813407071764</v>
      </c>
      <c r="B1606" s="30">
        <v>45947.0</v>
      </c>
      <c r="C1606" s="31" t="s">
        <v>5019</v>
      </c>
      <c r="D1606" s="32" t="s">
        <v>5020</v>
      </c>
      <c r="E1606" s="31" t="s">
        <v>43</v>
      </c>
      <c r="F1606" s="31">
        <v>4700000.0</v>
      </c>
      <c r="G1606" s="31" t="s">
        <v>23</v>
      </c>
      <c r="I1606" s="31" t="s">
        <v>229</v>
      </c>
      <c r="J1606" s="31" t="s">
        <v>967</v>
      </c>
      <c r="K1606" s="33" t="s">
        <v>5021</v>
      </c>
      <c r="L1606" s="31" t="s">
        <v>202</v>
      </c>
      <c r="N1606" s="31" t="s">
        <v>220</v>
      </c>
      <c r="S1606" s="31" t="s">
        <v>896</v>
      </c>
    </row>
    <row r="1607">
      <c r="A1607" s="29">
        <v>45947.823491620366</v>
      </c>
      <c r="B1607" s="30">
        <v>45947.0</v>
      </c>
      <c r="C1607" s="31" t="s">
        <v>5022</v>
      </c>
      <c r="D1607" s="32" t="s">
        <v>5023</v>
      </c>
      <c r="E1607" s="31" t="s">
        <v>31</v>
      </c>
      <c r="F1607" s="31">
        <v>4100000.0</v>
      </c>
      <c r="G1607" s="31" t="s">
        <v>23</v>
      </c>
      <c r="I1607" s="31" t="s">
        <v>229</v>
      </c>
      <c r="J1607" s="31" t="s">
        <v>967</v>
      </c>
      <c r="K1607" s="33" t="s">
        <v>5024</v>
      </c>
      <c r="L1607" s="31" t="s">
        <v>202</v>
      </c>
      <c r="N1607" s="31" t="s">
        <v>667</v>
      </c>
      <c r="U1607" s="31" t="s">
        <v>668</v>
      </c>
    </row>
    <row r="1608">
      <c r="A1608" s="29">
        <v>45947.82809469907</v>
      </c>
      <c r="B1608" s="30">
        <v>45947.0</v>
      </c>
      <c r="C1608" s="31" t="s">
        <v>5025</v>
      </c>
      <c r="D1608" s="32" t="s">
        <v>5026</v>
      </c>
      <c r="E1608" s="31" t="s">
        <v>43</v>
      </c>
      <c r="F1608" s="31">
        <v>3600000.0</v>
      </c>
      <c r="G1608" s="31" t="s">
        <v>23</v>
      </c>
      <c r="I1608" s="31" t="s">
        <v>229</v>
      </c>
      <c r="J1608" s="31" t="s">
        <v>967</v>
      </c>
      <c r="K1608" s="33" t="s">
        <v>5027</v>
      </c>
      <c r="L1608" s="31" t="s">
        <v>252</v>
      </c>
      <c r="O1608" s="31" t="s">
        <v>257</v>
      </c>
      <c r="P1608" s="31" t="s">
        <v>2453</v>
      </c>
    </row>
    <row r="1609">
      <c r="A1609" s="29">
        <v>45947.82959530092</v>
      </c>
      <c r="B1609" s="30">
        <v>45947.0</v>
      </c>
      <c r="C1609" s="31" t="s">
        <v>5028</v>
      </c>
      <c r="D1609" s="32" t="s">
        <v>5029</v>
      </c>
      <c r="E1609" s="31" t="s">
        <v>43</v>
      </c>
      <c r="F1609" s="31">
        <v>3600000.0</v>
      </c>
      <c r="G1609" s="31" t="s">
        <v>23</v>
      </c>
      <c r="I1609" s="31" t="s">
        <v>229</v>
      </c>
      <c r="J1609" s="31" t="s">
        <v>967</v>
      </c>
      <c r="K1609" s="33" t="s">
        <v>5030</v>
      </c>
      <c r="L1609" s="31" t="s">
        <v>252</v>
      </c>
      <c r="O1609" s="31" t="s">
        <v>257</v>
      </c>
      <c r="P1609" s="31" t="s">
        <v>2453</v>
      </c>
    </row>
    <row r="1610">
      <c r="A1610" s="29">
        <v>45947.85644270833</v>
      </c>
      <c r="B1610" s="30">
        <v>45947.0</v>
      </c>
      <c r="C1610" s="31" t="s">
        <v>5031</v>
      </c>
      <c r="D1610" s="32" t="s">
        <v>5032</v>
      </c>
      <c r="E1610" s="31" t="s">
        <v>43</v>
      </c>
      <c r="F1610" s="31">
        <v>3400000.0</v>
      </c>
      <c r="G1610" s="31" t="s">
        <v>23</v>
      </c>
      <c r="I1610" s="31" t="s">
        <v>229</v>
      </c>
      <c r="J1610" s="31" t="s">
        <v>967</v>
      </c>
      <c r="K1610" s="33" t="s">
        <v>5033</v>
      </c>
      <c r="L1610" s="31" t="s">
        <v>202</v>
      </c>
      <c r="N1610" s="31" t="s">
        <v>204</v>
      </c>
      <c r="R1610" s="31" t="s">
        <v>98</v>
      </c>
    </row>
    <row r="1611">
      <c r="A1611" s="29">
        <v>45947.8662299537</v>
      </c>
      <c r="B1611" s="30">
        <v>45947.0</v>
      </c>
      <c r="C1611" s="31" t="s">
        <v>5034</v>
      </c>
      <c r="D1611" s="32" t="s">
        <v>5035</v>
      </c>
      <c r="E1611" s="31" t="s">
        <v>288</v>
      </c>
      <c r="F1611" s="31">
        <v>7000000.0</v>
      </c>
      <c r="G1611" s="31" t="s">
        <v>23</v>
      </c>
      <c r="I1611" s="31" t="s">
        <v>229</v>
      </c>
      <c r="J1611" s="31" t="s">
        <v>967</v>
      </c>
      <c r="K1611" s="33" t="s">
        <v>5036</v>
      </c>
      <c r="L1611" s="31" t="s">
        <v>202</v>
      </c>
      <c r="N1611" s="31" t="s">
        <v>220</v>
      </c>
      <c r="S1611" s="31" t="s">
        <v>536</v>
      </c>
    </row>
    <row r="1612">
      <c r="A1612" s="29">
        <v>45947.8946319213</v>
      </c>
      <c r="B1612" s="30">
        <v>45947.0</v>
      </c>
      <c r="C1612" s="31" t="s">
        <v>5037</v>
      </c>
      <c r="D1612" s="32" t="s">
        <v>5038</v>
      </c>
      <c r="E1612" s="31" t="s">
        <v>43</v>
      </c>
      <c r="F1612" s="31">
        <v>1.5E8</v>
      </c>
      <c r="G1612" s="31" t="s">
        <v>45</v>
      </c>
      <c r="I1612" s="31" t="s">
        <v>229</v>
      </c>
      <c r="J1612" s="31" t="s">
        <v>967</v>
      </c>
      <c r="K1612" s="33" t="s">
        <v>5039</v>
      </c>
      <c r="L1612" s="31" t="s">
        <v>202</v>
      </c>
      <c r="N1612" s="31" t="s">
        <v>204</v>
      </c>
      <c r="R1612" s="31" t="s">
        <v>471</v>
      </c>
    </row>
    <row r="1613">
      <c r="A1613" s="29">
        <v>45948.40364805555</v>
      </c>
      <c r="B1613" s="30">
        <v>45948.0</v>
      </c>
      <c r="C1613" s="31" t="s">
        <v>5040</v>
      </c>
      <c r="D1613" s="32" t="s">
        <v>5041</v>
      </c>
      <c r="E1613" s="31" t="s">
        <v>283</v>
      </c>
      <c r="F1613" s="31">
        <v>7000000.0</v>
      </c>
      <c r="G1613" s="31" t="s">
        <v>45</v>
      </c>
      <c r="I1613" s="31" t="s">
        <v>229</v>
      </c>
      <c r="J1613" s="31" t="s">
        <v>967</v>
      </c>
      <c r="K1613" s="33" t="s">
        <v>5042</v>
      </c>
      <c r="L1613" s="31" t="s">
        <v>252</v>
      </c>
      <c r="O1613" s="31" t="s">
        <v>257</v>
      </c>
      <c r="P1613" s="31" t="s">
        <v>285</v>
      </c>
    </row>
    <row r="1614">
      <c r="A1614" s="29">
        <v>45948.42424201389</v>
      </c>
      <c r="B1614" s="30">
        <v>45948.0</v>
      </c>
      <c r="C1614" s="31" t="s">
        <v>5043</v>
      </c>
      <c r="D1614" s="32" t="s">
        <v>3839</v>
      </c>
      <c r="E1614" s="31" t="s">
        <v>43</v>
      </c>
      <c r="F1614" s="31">
        <v>2500000.0</v>
      </c>
      <c r="G1614" s="31" t="s">
        <v>23</v>
      </c>
      <c r="I1614" s="31" t="s">
        <v>229</v>
      </c>
      <c r="J1614" s="31" t="s">
        <v>967</v>
      </c>
      <c r="K1614" s="33" t="s">
        <v>5044</v>
      </c>
      <c r="L1614" s="31" t="s">
        <v>252</v>
      </c>
      <c r="O1614" s="31" t="s">
        <v>257</v>
      </c>
      <c r="P1614" s="31" t="s">
        <v>3194</v>
      </c>
    </row>
    <row r="1615">
      <c r="A1615" s="29">
        <v>45948.42690752315</v>
      </c>
      <c r="B1615" s="30">
        <v>45948.0</v>
      </c>
      <c r="C1615" s="31" t="s">
        <v>5045</v>
      </c>
      <c r="D1615" s="32" t="s">
        <v>3839</v>
      </c>
      <c r="E1615" s="31" t="s">
        <v>43</v>
      </c>
      <c r="F1615" s="31">
        <v>2500000.0</v>
      </c>
      <c r="G1615" s="31" t="s">
        <v>23</v>
      </c>
      <c r="I1615" s="31" t="s">
        <v>229</v>
      </c>
      <c r="J1615" s="31" t="s">
        <v>967</v>
      </c>
      <c r="K1615" s="33" t="s">
        <v>5046</v>
      </c>
      <c r="L1615" s="31" t="s">
        <v>252</v>
      </c>
      <c r="O1615" s="31" t="s">
        <v>257</v>
      </c>
      <c r="P1615" s="31" t="s">
        <v>3194</v>
      </c>
    </row>
    <row r="1616">
      <c r="A1616" s="29">
        <v>45948.469252696756</v>
      </c>
      <c r="B1616" s="30">
        <v>45948.0</v>
      </c>
      <c r="C1616" s="31" t="s">
        <v>5047</v>
      </c>
      <c r="D1616" s="32" t="s">
        <v>5048</v>
      </c>
      <c r="E1616" s="31" t="s">
        <v>31</v>
      </c>
      <c r="F1616" s="31">
        <v>2500000.0</v>
      </c>
      <c r="G1616" s="31" t="s">
        <v>23</v>
      </c>
      <c r="H1616" s="31">
        <v>3000000.0</v>
      </c>
      <c r="I1616" s="31" t="s">
        <v>413</v>
      </c>
      <c r="K1616" s="33" t="s">
        <v>5049</v>
      </c>
      <c r="L1616" s="31" t="s">
        <v>202</v>
      </c>
      <c r="M1616" s="31" t="s">
        <v>203</v>
      </c>
      <c r="N1616" s="31" t="s">
        <v>215</v>
      </c>
      <c r="W1616" s="31" t="s">
        <v>216</v>
      </c>
    </row>
    <row r="1617">
      <c r="A1617" s="29">
        <v>45948.47188020834</v>
      </c>
      <c r="B1617" s="30">
        <v>45948.0</v>
      </c>
      <c r="C1617" s="31" t="s">
        <v>5050</v>
      </c>
      <c r="D1617" s="32" t="s">
        <v>5051</v>
      </c>
      <c r="E1617" s="31" t="s">
        <v>43</v>
      </c>
      <c r="F1617" s="31">
        <v>2000000.0</v>
      </c>
      <c r="G1617" s="31" t="s">
        <v>23</v>
      </c>
      <c r="H1617" s="31">
        <v>5000000.0</v>
      </c>
      <c r="I1617" s="31" t="s">
        <v>413</v>
      </c>
      <c r="K1617" s="33" t="s">
        <v>5052</v>
      </c>
      <c r="L1617" s="31" t="s">
        <v>202</v>
      </c>
      <c r="M1617" s="31" t="s">
        <v>203</v>
      </c>
      <c r="N1617" s="31" t="s">
        <v>215</v>
      </c>
      <c r="W1617" s="31" t="s">
        <v>216</v>
      </c>
    </row>
    <row r="1618">
      <c r="A1618" s="29">
        <v>45948.486418043976</v>
      </c>
      <c r="B1618" s="30">
        <v>45948.0</v>
      </c>
      <c r="C1618" s="31" t="s">
        <v>5053</v>
      </c>
      <c r="D1618" s="32" t="s">
        <v>5054</v>
      </c>
      <c r="E1618" s="31" t="s">
        <v>43</v>
      </c>
      <c r="F1618" s="31">
        <v>3000000.0</v>
      </c>
      <c r="G1618" s="31" t="s">
        <v>45</v>
      </c>
      <c r="I1618" s="31" t="s">
        <v>229</v>
      </c>
      <c r="J1618" s="31" t="s">
        <v>5055</v>
      </c>
      <c r="K1618" s="31" t="s">
        <v>5056</v>
      </c>
      <c r="L1618" s="31" t="s">
        <v>252</v>
      </c>
      <c r="O1618" s="31" t="s">
        <v>257</v>
      </c>
      <c r="P1618" s="31" t="s">
        <v>1555</v>
      </c>
    </row>
    <row r="1619">
      <c r="A1619" s="29">
        <v>45948.49860013889</v>
      </c>
      <c r="B1619" s="30">
        <v>45948.0</v>
      </c>
      <c r="C1619" s="31" t="s">
        <v>5057</v>
      </c>
      <c r="D1619" s="32" t="s">
        <v>5058</v>
      </c>
      <c r="E1619" s="31" t="s">
        <v>199</v>
      </c>
      <c r="F1619" s="31">
        <v>6300000.0</v>
      </c>
      <c r="G1619" s="31" t="s">
        <v>45</v>
      </c>
      <c r="I1619" s="31" t="s">
        <v>229</v>
      </c>
      <c r="J1619" s="31" t="s">
        <v>967</v>
      </c>
      <c r="K1619" s="33" t="s">
        <v>5059</v>
      </c>
      <c r="L1619" s="31" t="s">
        <v>202</v>
      </c>
      <c r="N1619" s="31" t="s">
        <v>204</v>
      </c>
      <c r="R1619" s="31" t="s">
        <v>207</v>
      </c>
    </row>
    <row r="1620">
      <c r="A1620" s="29">
        <v>45948.4986666551</v>
      </c>
      <c r="B1620" s="30">
        <v>45948.0</v>
      </c>
      <c r="C1620" s="31" t="s">
        <v>5060</v>
      </c>
      <c r="D1620" s="32" t="s">
        <v>5061</v>
      </c>
      <c r="E1620" s="31" t="s">
        <v>5062</v>
      </c>
      <c r="F1620" s="31">
        <v>5000000.0</v>
      </c>
      <c r="G1620" s="31" t="s">
        <v>23</v>
      </c>
      <c r="I1620" s="31" t="s">
        <v>229</v>
      </c>
      <c r="J1620" s="31" t="s">
        <v>967</v>
      </c>
      <c r="K1620" s="33" t="s">
        <v>5063</v>
      </c>
      <c r="L1620" s="31" t="s">
        <v>202</v>
      </c>
      <c r="N1620" s="31" t="s">
        <v>220</v>
      </c>
      <c r="S1620" s="31" t="s">
        <v>913</v>
      </c>
    </row>
    <row r="1621">
      <c r="A1621" s="29">
        <v>45948.51280606481</v>
      </c>
      <c r="B1621" s="30">
        <v>45948.0</v>
      </c>
      <c r="C1621" s="31" t="s">
        <v>5064</v>
      </c>
      <c r="D1621" s="32" t="s">
        <v>5065</v>
      </c>
      <c r="E1621" s="31" t="s">
        <v>43</v>
      </c>
      <c r="F1621" s="31">
        <v>3200000.0</v>
      </c>
      <c r="G1621" s="31" t="s">
        <v>23</v>
      </c>
      <c r="I1621" s="31" t="s">
        <v>229</v>
      </c>
      <c r="J1621" s="31" t="s">
        <v>967</v>
      </c>
      <c r="K1621" s="33" t="s">
        <v>5066</v>
      </c>
      <c r="L1621" s="31" t="s">
        <v>252</v>
      </c>
      <c r="O1621" s="31" t="s">
        <v>257</v>
      </c>
      <c r="P1621" s="31" t="s">
        <v>2453</v>
      </c>
    </row>
    <row r="1622">
      <c r="A1622" s="29">
        <v>45948.513997800925</v>
      </c>
      <c r="B1622" s="30">
        <v>45948.0</v>
      </c>
      <c r="C1622" s="31" t="s">
        <v>5067</v>
      </c>
      <c r="D1622" s="32" t="s">
        <v>5065</v>
      </c>
      <c r="E1622" s="31" t="s">
        <v>43</v>
      </c>
      <c r="F1622" s="31">
        <v>3400000.0</v>
      </c>
      <c r="G1622" s="31" t="s">
        <v>23</v>
      </c>
      <c r="I1622" s="31" t="s">
        <v>229</v>
      </c>
      <c r="J1622" s="31" t="s">
        <v>967</v>
      </c>
      <c r="K1622" s="33" t="s">
        <v>5068</v>
      </c>
      <c r="L1622" s="31" t="s">
        <v>252</v>
      </c>
      <c r="O1622" s="31" t="s">
        <v>257</v>
      </c>
      <c r="P1622" s="31" t="s">
        <v>2453</v>
      </c>
    </row>
    <row r="1623">
      <c r="A1623" s="29">
        <v>45948.51426188658</v>
      </c>
      <c r="B1623" s="30">
        <v>45948.0</v>
      </c>
      <c r="C1623" s="31" t="s">
        <v>5069</v>
      </c>
      <c r="D1623" s="32" t="s">
        <v>5070</v>
      </c>
      <c r="E1623" s="31" t="s">
        <v>43</v>
      </c>
      <c r="F1623" s="31">
        <v>3000000.0</v>
      </c>
      <c r="G1623" s="31" t="s">
        <v>23</v>
      </c>
      <c r="I1623" s="31" t="s">
        <v>229</v>
      </c>
      <c r="J1623" s="31" t="s">
        <v>498</v>
      </c>
      <c r="K1623" s="33" t="s">
        <v>5071</v>
      </c>
      <c r="L1623" s="31" t="s">
        <v>202</v>
      </c>
      <c r="N1623" s="31" t="s">
        <v>500</v>
      </c>
      <c r="V1623" s="31" t="s">
        <v>501</v>
      </c>
    </row>
    <row r="1624">
      <c r="A1624" s="29">
        <v>45948.51568707176</v>
      </c>
      <c r="B1624" s="30">
        <v>45948.0</v>
      </c>
      <c r="C1624" s="31" t="s">
        <v>5072</v>
      </c>
      <c r="D1624" s="32" t="s">
        <v>3404</v>
      </c>
      <c r="E1624" s="31" t="s">
        <v>43</v>
      </c>
      <c r="F1624" s="31">
        <v>4100000.0</v>
      </c>
      <c r="G1624" s="31" t="s">
        <v>23</v>
      </c>
      <c r="I1624" s="31" t="s">
        <v>229</v>
      </c>
      <c r="J1624" s="31" t="s">
        <v>967</v>
      </c>
      <c r="K1624" s="33" t="s">
        <v>5073</v>
      </c>
      <c r="L1624" s="31" t="s">
        <v>252</v>
      </c>
      <c r="O1624" s="31" t="s">
        <v>257</v>
      </c>
      <c r="P1624" s="31" t="s">
        <v>2453</v>
      </c>
    </row>
    <row r="1625">
      <c r="A1625" s="29">
        <v>45948.52489652778</v>
      </c>
      <c r="B1625" s="30">
        <v>45948.0</v>
      </c>
      <c r="C1625" s="31" t="s">
        <v>5074</v>
      </c>
      <c r="D1625" s="32" t="s">
        <v>5075</v>
      </c>
      <c r="E1625" s="31" t="s">
        <v>199</v>
      </c>
      <c r="F1625" s="31">
        <v>5000000.0</v>
      </c>
      <c r="G1625" s="31" t="s">
        <v>23</v>
      </c>
      <c r="I1625" s="31" t="s">
        <v>229</v>
      </c>
      <c r="J1625" s="31" t="s">
        <v>498</v>
      </c>
      <c r="K1625" s="33" t="s">
        <v>5076</v>
      </c>
      <c r="L1625" s="31" t="s">
        <v>202</v>
      </c>
      <c r="N1625" s="31" t="s">
        <v>500</v>
      </c>
      <c r="V1625" s="31" t="s">
        <v>501</v>
      </c>
    </row>
    <row r="1626">
      <c r="A1626" s="29">
        <v>45948.5281430787</v>
      </c>
      <c r="B1626" s="30">
        <v>45948.0</v>
      </c>
      <c r="C1626" s="31" t="s">
        <v>5077</v>
      </c>
      <c r="D1626" s="32" t="s">
        <v>4950</v>
      </c>
      <c r="E1626" s="31" t="s">
        <v>4575</v>
      </c>
      <c r="F1626" s="31">
        <v>7200000.0</v>
      </c>
      <c r="G1626" s="31" t="s">
        <v>23</v>
      </c>
      <c r="I1626" s="31" t="s">
        <v>229</v>
      </c>
      <c r="J1626" s="31" t="s">
        <v>967</v>
      </c>
      <c r="K1626" s="33" t="s">
        <v>5078</v>
      </c>
      <c r="L1626" s="31" t="s">
        <v>202</v>
      </c>
      <c r="N1626" s="31" t="s">
        <v>313</v>
      </c>
      <c r="T1626" s="31" t="s">
        <v>314</v>
      </c>
    </row>
    <row r="1627">
      <c r="A1627" s="29">
        <v>45948.543242106476</v>
      </c>
      <c r="B1627" s="30">
        <v>45948.0</v>
      </c>
      <c r="C1627" s="31" t="s">
        <v>5079</v>
      </c>
      <c r="D1627" s="32" t="s">
        <v>5080</v>
      </c>
      <c r="E1627" s="31" t="s">
        <v>31</v>
      </c>
      <c r="F1627" s="31">
        <v>2500000.0</v>
      </c>
      <c r="G1627" s="31" t="s">
        <v>23</v>
      </c>
      <c r="I1627" s="31" t="s">
        <v>229</v>
      </c>
      <c r="J1627" s="31" t="s">
        <v>967</v>
      </c>
      <c r="K1627" s="33" t="s">
        <v>5081</v>
      </c>
      <c r="L1627" s="31" t="s">
        <v>252</v>
      </c>
      <c r="O1627" s="31" t="s">
        <v>257</v>
      </c>
      <c r="P1627" s="31" t="s">
        <v>3194</v>
      </c>
    </row>
    <row r="1628">
      <c r="A1628" s="29">
        <v>45948.55286228009</v>
      </c>
      <c r="B1628" s="30">
        <v>45948.0</v>
      </c>
      <c r="C1628" s="31" t="s">
        <v>5082</v>
      </c>
      <c r="D1628" s="32" t="s">
        <v>5083</v>
      </c>
      <c r="E1628" s="31" t="s">
        <v>43</v>
      </c>
      <c r="F1628" s="31">
        <v>8500000.0</v>
      </c>
      <c r="G1628" s="31" t="s">
        <v>23</v>
      </c>
      <c r="H1628" s="31">
        <v>300000.0</v>
      </c>
      <c r="I1628" s="31" t="s">
        <v>413</v>
      </c>
      <c r="K1628" s="33" t="s">
        <v>5084</v>
      </c>
      <c r="L1628" s="31" t="s">
        <v>202</v>
      </c>
      <c r="M1628" s="31" t="s">
        <v>203</v>
      </c>
      <c r="N1628" s="31" t="s">
        <v>204</v>
      </c>
      <c r="R1628" s="31" t="s">
        <v>192</v>
      </c>
    </row>
    <row r="1629">
      <c r="A1629" s="29">
        <v>45948.57783405093</v>
      </c>
      <c r="B1629" s="30">
        <v>45948.0</v>
      </c>
      <c r="C1629" s="31" t="s">
        <v>5085</v>
      </c>
      <c r="D1629" s="32" t="s">
        <v>5086</v>
      </c>
      <c r="E1629" s="31" t="s">
        <v>43</v>
      </c>
      <c r="F1629" s="31">
        <v>3000000.0</v>
      </c>
      <c r="G1629" s="31" t="s">
        <v>23</v>
      </c>
      <c r="I1629" s="31" t="s">
        <v>229</v>
      </c>
      <c r="J1629" s="31" t="s">
        <v>967</v>
      </c>
      <c r="K1629" s="31" t="s">
        <v>5087</v>
      </c>
      <c r="L1629" s="31" t="s">
        <v>252</v>
      </c>
      <c r="O1629" s="31" t="s">
        <v>205</v>
      </c>
      <c r="X1629" s="31" t="s">
        <v>549</v>
      </c>
    </row>
    <row r="1630">
      <c r="A1630" s="29">
        <v>45948.58347626157</v>
      </c>
      <c r="B1630" s="30">
        <v>45948.0</v>
      </c>
      <c r="C1630" s="31" t="s">
        <v>5088</v>
      </c>
      <c r="D1630" s="31">
        <v>0.0</v>
      </c>
      <c r="E1630" s="31" t="s">
        <v>43</v>
      </c>
      <c r="F1630" s="32" t="s">
        <v>5089</v>
      </c>
      <c r="G1630" s="31" t="s">
        <v>23</v>
      </c>
      <c r="I1630" s="31" t="s">
        <v>229</v>
      </c>
      <c r="J1630" s="31" t="s">
        <v>967</v>
      </c>
      <c r="K1630" s="33" t="s">
        <v>5090</v>
      </c>
      <c r="L1630" s="31" t="s">
        <v>252</v>
      </c>
      <c r="O1630" s="31" t="s">
        <v>257</v>
      </c>
      <c r="P1630" s="31" t="s">
        <v>992</v>
      </c>
    </row>
    <row r="1631">
      <c r="A1631" s="29">
        <v>45948.58470679398</v>
      </c>
      <c r="B1631" s="30">
        <v>45948.0</v>
      </c>
      <c r="C1631" s="31" t="s">
        <v>5091</v>
      </c>
      <c r="D1631" s="32" t="s">
        <v>5092</v>
      </c>
      <c r="E1631" s="31" t="s">
        <v>43</v>
      </c>
      <c r="F1631" s="31">
        <v>3000000.0</v>
      </c>
      <c r="G1631" s="31" t="s">
        <v>23</v>
      </c>
      <c r="I1631" s="31" t="s">
        <v>229</v>
      </c>
      <c r="J1631" s="31" t="s">
        <v>967</v>
      </c>
      <c r="K1631" s="33" t="s">
        <v>5093</v>
      </c>
      <c r="L1631" s="31" t="s">
        <v>202</v>
      </c>
      <c r="N1631" s="31" t="s">
        <v>871</v>
      </c>
      <c r="Q1631" s="31" t="s">
        <v>872</v>
      </c>
    </row>
    <row r="1632">
      <c r="A1632" s="29">
        <v>45948.60824826389</v>
      </c>
      <c r="B1632" s="30">
        <v>45948.0</v>
      </c>
      <c r="C1632" s="31" t="s">
        <v>5094</v>
      </c>
      <c r="D1632" s="32" t="s">
        <v>5095</v>
      </c>
      <c r="E1632" s="31" t="s">
        <v>43</v>
      </c>
      <c r="F1632" s="31">
        <v>2300000.0</v>
      </c>
      <c r="G1632" s="31" t="s">
        <v>23</v>
      </c>
      <c r="I1632" s="31" t="s">
        <v>229</v>
      </c>
      <c r="J1632" s="31" t="s">
        <v>967</v>
      </c>
      <c r="K1632" s="33" t="s">
        <v>5096</v>
      </c>
      <c r="L1632" s="31" t="s">
        <v>202</v>
      </c>
      <c r="N1632" s="31" t="s">
        <v>667</v>
      </c>
      <c r="U1632" s="31" t="s">
        <v>668</v>
      </c>
    </row>
    <row r="1633">
      <c r="A1633" s="29">
        <v>45948.62045828704</v>
      </c>
      <c r="B1633" s="30">
        <v>45948.0</v>
      </c>
      <c r="C1633" s="31" t="s">
        <v>5097</v>
      </c>
      <c r="D1633" s="32" t="s">
        <v>907</v>
      </c>
      <c r="E1633" s="31" t="s">
        <v>283</v>
      </c>
      <c r="F1633" s="31">
        <v>2000000.0</v>
      </c>
      <c r="G1633" s="31" t="s">
        <v>23</v>
      </c>
      <c r="I1633" s="31" t="s">
        <v>229</v>
      </c>
      <c r="J1633" s="31" t="s">
        <v>967</v>
      </c>
      <c r="K1633" s="33" t="s">
        <v>5098</v>
      </c>
      <c r="L1633" s="31" t="s">
        <v>202</v>
      </c>
      <c r="N1633" s="31" t="s">
        <v>215</v>
      </c>
      <c r="W1633" s="31" t="s">
        <v>532</v>
      </c>
    </row>
    <row r="1634">
      <c r="A1634" s="29">
        <v>45948.6592364699</v>
      </c>
      <c r="B1634" s="30">
        <v>45948.0</v>
      </c>
      <c r="C1634" s="31" t="s">
        <v>5099</v>
      </c>
      <c r="D1634" s="32" t="s">
        <v>4833</v>
      </c>
      <c r="E1634" s="31" t="s">
        <v>43</v>
      </c>
      <c r="F1634" s="31">
        <v>3000000.0</v>
      </c>
      <c r="G1634" s="31" t="s">
        <v>23</v>
      </c>
      <c r="H1634" s="31">
        <v>3000000.0</v>
      </c>
      <c r="I1634" s="31" t="s">
        <v>200</v>
      </c>
      <c r="K1634" s="33" t="s">
        <v>5100</v>
      </c>
      <c r="L1634" s="31" t="s">
        <v>202</v>
      </c>
      <c r="M1634" s="31" t="s">
        <v>203</v>
      </c>
      <c r="N1634" s="31" t="s">
        <v>871</v>
      </c>
      <c r="Q1634" s="31" t="s">
        <v>872</v>
      </c>
    </row>
    <row r="1635">
      <c r="A1635" s="29">
        <v>45948.659789537036</v>
      </c>
      <c r="B1635" s="30">
        <v>45948.0</v>
      </c>
      <c r="C1635" s="31" t="s">
        <v>5101</v>
      </c>
      <c r="D1635" s="31">
        <v>8.135383377E10</v>
      </c>
      <c r="E1635" s="31" t="s">
        <v>288</v>
      </c>
      <c r="F1635" s="34">
        <v>3000.0</v>
      </c>
      <c r="G1635" s="31" t="s">
        <v>23</v>
      </c>
      <c r="I1635" s="31" t="s">
        <v>229</v>
      </c>
      <c r="J1635" s="31" t="s">
        <v>967</v>
      </c>
      <c r="K1635" s="33" t="s">
        <v>5102</v>
      </c>
      <c r="L1635" s="31" t="s">
        <v>202</v>
      </c>
      <c r="N1635" s="31" t="s">
        <v>204</v>
      </c>
      <c r="R1635" s="31" t="s">
        <v>167</v>
      </c>
    </row>
    <row r="1636">
      <c r="A1636" s="29">
        <v>45948.668236365746</v>
      </c>
      <c r="B1636" s="30">
        <v>45948.0</v>
      </c>
      <c r="C1636" s="31" t="s">
        <v>5103</v>
      </c>
      <c r="D1636" s="32" t="s">
        <v>5104</v>
      </c>
      <c r="E1636" s="31" t="s">
        <v>43</v>
      </c>
      <c r="F1636" s="31">
        <v>4700000.0</v>
      </c>
      <c r="G1636" s="31" t="s">
        <v>45</v>
      </c>
      <c r="H1636" s="31">
        <v>3000000.0</v>
      </c>
      <c r="I1636" s="31" t="s">
        <v>413</v>
      </c>
      <c r="K1636" s="33" t="s">
        <v>5105</v>
      </c>
      <c r="L1636" s="31" t="s">
        <v>202</v>
      </c>
      <c r="M1636" s="31" t="s">
        <v>203</v>
      </c>
      <c r="N1636" s="31" t="s">
        <v>215</v>
      </c>
      <c r="W1636" s="31" t="s">
        <v>389</v>
      </c>
    </row>
    <row r="1637">
      <c r="A1637" s="29">
        <v>45948.6873419676</v>
      </c>
      <c r="B1637" s="30">
        <v>45948.0</v>
      </c>
      <c r="C1637" s="31" t="s">
        <v>5106</v>
      </c>
      <c r="D1637" s="32" t="s">
        <v>5107</v>
      </c>
      <c r="E1637" s="31" t="s">
        <v>31</v>
      </c>
      <c r="F1637" s="31">
        <v>3400000.0</v>
      </c>
      <c r="G1637" s="31" t="s">
        <v>23</v>
      </c>
      <c r="I1637" s="31" t="s">
        <v>229</v>
      </c>
      <c r="J1637" s="31" t="s">
        <v>967</v>
      </c>
      <c r="K1637" s="33" t="s">
        <v>5108</v>
      </c>
      <c r="L1637" s="31" t="s">
        <v>202</v>
      </c>
      <c r="N1637" s="31" t="s">
        <v>204</v>
      </c>
      <c r="R1637" s="31" t="s">
        <v>207</v>
      </c>
    </row>
    <row r="1638">
      <c r="A1638" s="29">
        <v>45948.693262175926</v>
      </c>
      <c r="B1638" s="30">
        <v>45948.0</v>
      </c>
      <c r="C1638" s="31" t="s">
        <v>5109</v>
      </c>
      <c r="D1638" s="32" t="s">
        <v>5110</v>
      </c>
      <c r="E1638" s="31" t="s">
        <v>2902</v>
      </c>
      <c r="F1638" s="31">
        <v>4700000.0</v>
      </c>
      <c r="G1638" s="31" t="s">
        <v>23</v>
      </c>
      <c r="H1638" s="31">
        <v>300000.0</v>
      </c>
      <c r="I1638" s="31" t="s">
        <v>413</v>
      </c>
      <c r="K1638" s="33" t="s">
        <v>5111</v>
      </c>
      <c r="L1638" s="31" t="s">
        <v>202</v>
      </c>
      <c r="M1638" s="31" t="s">
        <v>203</v>
      </c>
      <c r="N1638" s="31" t="s">
        <v>220</v>
      </c>
      <c r="S1638" s="31" t="s">
        <v>36</v>
      </c>
    </row>
    <row r="1639">
      <c r="A1639" s="29">
        <v>45948.72389807871</v>
      </c>
      <c r="B1639" s="30">
        <v>45948.0</v>
      </c>
      <c r="C1639" s="31" t="s">
        <v>5112</v>
      </c>
      <c r="D1639" s="32" t="s">
        <v>5113</v>
      </c>
      <c r="E1639" s="31" t="s">
        <v>43</v>
      </c>
      <c r="F1639" s="31">
        <v>3500000.0</v>
      </c>
      <c r="G1639" s="31" t="s">
        <v>23</v>
      </c>
      <c r="H1639" s="31">
        <v>300000.0</v>
      </c>
      <c r="I1639" s="31" t="s">
        <v>413</v>
      </c>
      <c r="K1639" s="33" t="s">
        <v>5114</v>
      </c>
      <c r="L1639" s="31" t="s">
        <v>202</v>
      </c>
      <c r="M1639" s="31" t="s">
        <v>203</v>
      </c>
      <c r="N1639" s="31" t="s">
        <v>204</v>
      </c>
      <c r="R1639" s="31" t="s">
        <v>192</v>
      </c>
    </row>
    <row r="1640">
      <c r="A1640" s="29">
        <v>45948.73783309028</v>
      </c>
      <c r="B1640" s="30">
        <v>45948.0</v>
      </c>
      <c r="C1640" s="31" t="s">
        <v>5115</v>
      </c>
      <c r="D1640" s="32" t="s">
        <v>5116</v>
      </c>
      <c r="E1640" s="31" t="s">
        <v>31</v>
      </c>
      <c r="F1640" s="31">
        <v>3000000.0</v>
      </c>
      <c r="G1640" s="31" t="s">
        <v>23</v>
      </c>
      <c r="H1640" s="31">
        <v>3000000.0</v>
      </c>
      <c r="I1640" s="31" t="s">
        <v>413</v>
      </c>
      <c r="K1640" s="33" t="s">
        <v>5117</v>
      </c>
      <c r="L1640" s="31" t="s">
        <v>202</v>
      </c>
      <c r="M1640" s="31" t="s">
        <v>203</v>
      </c>
      <c r="N1640" s="31" t="s">
        <v>313</v>
      </c>
      <c r="T1640" s="31" t="s">
        <v>329</v>
      </c>
    </row>
    <row r="1641">
      <c r="A1641" s="29">
        <v>45948.74133431713</v>
      </c>
      <c r="B1641" s="30">
        <v>45948.0</v>
      </c>
      <c r="C1641" s="31" t="s">
        <v>5118</v>
      </c>
      <c r="D1641" s="32" t="s">
        <v>5119</v>
      </c>
      <c r="E1641" s="31" t="s">
        <v>43</v>
      </c>
      <c r="F1641" s="31">
        <v>3000000.0</v>
      </c>
      <c r="G1641" s="31" t="s">
        <v>23</v>
      </c>
      <c r="I1641" s="31" t="s">
        <v>229</v>
      </c>
      <c r="J1641" s="31" t="s">
        <v>967</v>
      </c>
      <c r="K1641" s="33" t="s">
        <v>5120</v>
      </c>
      <c r="L1641" s="31" t="s">
        <v>202</v>
      </c>
      <c r="N1641" s="31" t="s">
        <v>215</v>
      </c>
      <c r="W1641" s="31" t="s">
        <v>389</v>
      </c>
    </row>
    <row r="1642">
      <c r="A1642" s="29">
        <v>45948.78800869213</v>
      </c>
      <c r="B1642" s="30">
        <v>45948.0</v>
      </c>
      <c r="C1642" s="31" t="s">
        <v>5121</v>
      </c>
      <c r="D1642" s="32" t="s">
        <v>5122</v>
      </c>
      <c r="E1642" s="31" t="s">
        <v>43</v>
      </c>
      <c r="F1642" s="31">
        <v>2600000.0</v>
      </c>
      <c r="G1642" s="31" t="s">
        <v>23</v>
      </c>
      <c r="I1642" s="31" t="s">
        <v>229</v>
      </c>
      <c r="J1642" s="31" t="s">
        <v>967</v>
      </c>
      <c r="K1642" s="33" t="s">
        <v>5123</v>
      </c>
      <c r="L1642" s="31" t="s">
        <v>202</v>
      </c>
      <c r="N1642" s="31" t="s">
        <v>871</v>
      </c>
      <c r="Q1642" s="31" t="s">
        <v>1021</v>
      </c>
    </row>
    <row r="1643">
      <c r="A1643" s="29">
        <v>45948.7940605787</v>
      </c>
      <c r="B1643" s="30">
        <v>45948.0</v>
      </c>
      <c r="C1643" s="31" t="s">
        <v>5124</v>
      </c>
      <c r="D1643" s="32" t="s">
        <v>5125</v>
      </c>
      <c r="E1643" s="31" t="s">
        <v>311</v>
      </c>
      <c r="F1643" s="31">
        <v>5000000.0</v>
      </c>
      <c r="G1643" s="31" t="s">
        <v>23</v>
      </c>
      <c r="I1643" s="31" t="s">
        <v>229</v>
      </c>
      <c r="J1643" s="31" t="s">
        <v>967</v>
      </c>
      <c r="K1643" s="33" t="s">
        <v>5126</v>
      </c>
      <c r="L1643" s="31" t="s">
        <v>202</v>
      </c>
      <c r="N1643" s="31" t="s">
        <v>313</v>
      </c>
      <c r="T1643" s="31" t="s">
        <v>314</v>
      </c>
    </row>
    <row r="1644">
      <c r="A1644" s="29">
        <v>45948.79591037037</v>
      </c>
      <c r="B1644" s="30">
        <v>45948.0</v>
      </c>
      <c r="C1644" s="31" t="s">
        <v>5127</v>
      </c>
      <c r="D1644" s="32" t="s">
        <v>4950</v>
      </c>
      <c r="E1644" s="31" t="s">
        <v>43</v>
      </c>
      <c r="F1644" s="31">
        <v>4900000.0</v>
      </c>
      <c r="G1644" s="31" t="s">
        <v>23</v>
      </c>
      <c r="I1644" s="31" t="s">
        <v>229</v>
      </c>
      <c r="J1644" s="31" t="s">
        <v>967</v>
      </c>
      <c r="K1644" s="33" t="s">
        <v>5128</v>
      </c>
      <c r="L1644" s="31" t="s">
        <v>202</v>
      </c>
      <c r="N1644" s="31" t="s">
        <v>313</v>
      </c>
      <c r="T1644" s="31" t="s">
        <v>314</v>
      </c>
    </row>
    <row r="1645">
      <c r="A1645" s="29">
        <v>45948.80029825232</v>
      </c>
      <c r="B1645" s="30">
        <v>45948.0</v>
      </c>
      <c r="C1645" s="31" t="s">
        <v>5129</v>
      </c>
      <c r="D1645" s="32" t="s">
        <v>5130</v>
      </c>
      <c r="E1645" s="31" t="s">
        <v>43</v>
      </c>
      <c r="F1645" s="31">
        <v>5000000.0</v>
      </c>
      <c r="G1645" s="31" t="s">
        <v>23</v>
      </c>
      <c r="I1645" s="31" t="s">
        <v>229</v>
      </c>
      <c r="J1645" s="31" t="s">
        <v>967</v>
      </c>
      <c r="K1645" s="33" t="s">
        <v>5131</v>
      </c>
      <c r="L1645" s="31" t="s">
        <v>202</v>
      </c>
      <c r="N1645" s="31" t="s">
        <v>313</v>
      </c>
      <c r="T1645" s="31" t="s">
        <v>314</v>
      </c>
    </row>
    <row r="1646">
      <c r="A1646" s="29">
        <v>45948.80228383101</v>
      </c>
      <c r="B1646" s="30">
        <v>45948.0</v>
      </c>
      <c r="C1646" s="31" t="s">
        <v>5132</v>
      </c>
      <c r="D1646" s="32" t="s">
        <v>5133</v>
      </c>
      <c r="E1646" s="31" t="s">
        <v>43</v>
      </c>
      <c r="F1646" s="31">
        <v>5200000.0</v>
      </c>
      <c r="G1646" s="31" t="s">
        <v>23</v>
      </c>
      <c r="I1646" s="31" t="s">
        <v>229</v>
      </c>
      <c r="J1646" s="31" t="s">
        <v>967</v>
      </c>
      <c r="K1646" s="33" t="s">
        <v>5134</v>
      </c>
      <c r="L1646" s="31" t="s">
        <v>202</v>
      </c>
      <c r="N1646" s="31" t="s">
        <v>313</v>
      </c>
      <c r="T1646" s="31" t="s">
        <v>314</v>
      </c>
    </row>
    <row r="1647">
      <c r="A1647" s="29">
        <v>45948.80393980324</v>
      </c>
      <c r="B1647" s="30">
        <v>45948.0</v>
      </c>
      <c r="C1647" s="31" t="s">
        <v>612</v>
      </c>
      <c r="D1647" s="32" t="s">
        <v>5135</v>
      </c>
      <c r="E1647" s="31" t="s">
        <v>43</v>
      </c>
      <c r="F1647" s="31">
        <v>2900000.0</v>
      </c>
      <c r="G1647" s="31" t="s">
        <v>23</v>
      </c>
      <c r="H1647" s="31">
        <v>1600000.0</v>
      </c>
      <c r="I1647" s="31" t="s">
        <v>413</v>
      </c>
      <c r="K1647" s="33" t="s">
        <v>5136</v>
      </c>
      <c r="L1647" s="31" t="s">
        <v>202</v>
      </c>
      <c r="M1647" s="31" t="s">
        <v>203</v>
      </c>
      <c r="N1647" s="31" t="s">
        <v>313</v>
      </c>
      <c r="T1647" s="31" t="s">
        <v>314</v>
      </c>
    </row>
    <row r="1648">
      <c r="A1648" s="29">
        <v>45948.80566951389</v>
      </c>
      <c r="B1648" s="30">
        <v>45948.0</v>
      </c>
      <c r="C1648" s="31" t="s">
        <v>5137</v>
      </c>
      <c r="D1648" s="32" t="s">
        <v>5138</v>
      </c>
      <c r="E1648" s="31" t="s">
        <v>43</v>
      </c>
      <c r="F1648" s="31">
        <v>3000000.0</v>
      </c>
      <c r="G1648" s="31" t="s">
        <v>23</v>
      </c>
      <c r="I1648" s="31" t="s">
        <v>229</v>
      </c>
      <c r="J1648" s="31" t="s">
        <v>967</v>
      </c>
      <c r="K1648" s="33" t="s">
        <v>5139</v>
      </c>
      <c r="L1648" s="31" t="s">
        <v>202</v>
      </c>
      <c r="N1648" s="31" t="s">
        <v>215</v>
      </c>
      <c r="W1648" s="31" t="s">
        <v>389</v>
      </c>
    </row>
    <row r="1649">
      <c r="A1649" s="29">
        <v>45948.80590851852</v>
      </c>
      <c r="B1649" s="30">
        <v>45948.0</v>
      </c>
      <c r="C1649" s="31" t="s">
        <v>5140</v>
      </c>
      <c r="D1649" s="32" t="s">
        <v>5141</v>
      </c>
      <c r="E1649" s="31" t="s">
        <v>43</v>
      </c>
      <c r="F1649" s="31">
        <v>5000000.0</v>
      </c>
      <c r="G1649" s="31" t="s">
        <v>23</v>
      </c>
      <c r="I1649" s="31" t="s">
        <v>229</v>
      </c>
      <c r="J1649" s="31" t="s">
        <v>967</v>
      </c>
      <c r="K1649" s="33" t="s">
        <v>5142</v>
      </c>
      <c r="L1649" s="31" t="s">
        <v>202</v>
      </c>
      <c r="N1649" s="31" t="s">
        <v>313</v>
      </c>
      <c r="T1649" s="31" t="s">
        <v>314</v>
      </c>
    </row>
    <row r="1650">
      <c r="A1650" s="29">
        <v>45948.80749077546</v>
      </c>
      <c r="B1650" s="30">
        <v>45948.0</v>
      </c>
      <c r="C1650" s="31" t="s">
        <v>446</v>
      </c>
      <c r="D1650" s="32" t="s">
        <v>5143</v>
      </c>
      <c r="E1650" s="31" t="s">
        <v>43</v>
      </c>
      <c r="F1650" s="31">
        <v>6000000.0</v>
      </c>
      <c r="G1650" s="31" t="s">
        <v>23</v>
      </c>
      <c r="I1650" s="31" t="s">
        <v>229</v>
      </c>
      <c r="J1650" s="31" t="s">
        <v>967</v>
      </c>
      <c r="K1650" s="33" t="s">
        <v>5144</v>
      </c>
      <c r="L1650" s="31" t="s">
        <v>202</v>
      </c>
      <c r="N1650" s="31" t="s">
        <v>313</v>
      </c>
      <c r="T1650" s="31" t="s">
        <v>314</v>
      </c>
    </row>
    <row r="1651">
      <c r="A1651" s="29">
        <v>45948.80934601852</v>
      </c>
      <c r="B1651" s="30">
        <v>45948.0</v>
      </c>
      <c r="C1651" s="31" t="s">
        <v>5145</v>
      </c>
      <c r="D1651" s="32" t="s">
        <v>5146</v>
      </c>
      <c r="E1651" s="31" t="s">
        <v>31</v>
      </c>
      <c r="F1651" s="31">
        <v>2900000.0</v>
      </c>
      <c r="G1651" s="31" t="s">
        <v>23</v>
      </c>
      <c r="I1651" s="31" t="s">
        <v>229</v>
      </c>
      <c r="J1651" s="31" t="s">
        <v>967</v>
      </c>
      <c r="K1651" s="33" t="s">
        <v>5147</v>
      </c>
      <c r="L1651" s="31" t="s">
        <v>202</v>
      </c>
      <c r="N1651" s="31" t="s">
        <v>871</v>
      </c>
      <c r="Q1651" s="31" t="s">
        <v>1021</v>
      </c>
    </row>
    <row r="1652">
      <c r="A1652" s="29">
        <v>45948.81052175926</v>
      </c>
      <c r="B1652" s="30">
        <v>45948.0</v>
      </c>
      <c r="C1652" s="31" t="s">
        <v>5148</v>
      </c>
      <c r="D1652" s="32" t="s">
        <v>5149</v>
      </c>
      <c r="E1652" s="31" t="s">
        <v>43</v>
      </c>
      <c r="F1652" s="31">
        <v>8500000.0</v>
      </c>
      <c r="G1652" s="31" t="s">
        <v>23</v>
      </c>
      <c r="I1652" s="31" t="s">
        <v>229</v>
      </c>
      <c r="J1652" s="31" t="s">
        <v>967</v>
      </c>
      <c r="K1652" s="33" t="s">
        <v>5150</v>
      </c>
      <c r="L1652" s="31" t="s">
        <v>252</v>
      </c>
      <c r="O1652" s="31" t="s">
        <v>257</v>
      </c>
      <c r="P1652" s="31" t="s">
        <v>258</v>
      </c>
    </row>
    <row r="1653">
      <c r="A1653" s="29">
        <v>45948.810805914356</v>
      </c>
      <c r="B1653" s="30">
        <v>45948.0</v>
      </c>
      <c r="C1653" s="31" t="s">
        <v>5151</v>
      </c>
      <c r="D1653" s="32" t="s">
        <v>5152</v>
      </c>
      <c r="E1653" s="31" t="s">
        <v>43</v>
      </c>
      <c r="F1653" s="31">
        <v>2000000.0</v>
      </c>
      <c r="G1653" s="31" t="s">
        <v>23</v>
      </c>
      <c r="H1653" s="31">
        <v>3000000.0</v>
      </c>
      <c r="I1653" s="31" t="s">
        <v>413</v>
      </c>
      <c r="K1653" s="33" t="s">
        <v>5153</v>
      </c>
      <c r="L1653" s="31" t="s">
        <v>202</v>
      </c>
      <c r="M1653" s="31" t="s">
        <v>203</v>
      </c>
      <c r="N1653" s="31" t="s">
        <v>215</v>
      </c>
      <c r="W1653" s="31" t="s">
        <v>216</v>
      </c>
    </row>
    <row r="1654">
      <c r="A1654" s="29">
        <v>45948.81462900463</v>
      </c>
      <c r="B1654" s="30">
        <v>45948.0</v>
      </c>
      <c r="C1654" s="31" t="s">
        <v>5154</v>
      </c>
      <c r="D1654" s="32" t="s">
        <v>5155</v>
      </c>
      <c r="E1654" s="31" t="s">
        <v>43</v>
      </c>
      <c r="F1654" s="31">
        <v>4200000.0</v>
      </c>
      <c r="G1654" s="31" t="s">
        <v>23</v>
      </c>
      <c r="I1654" s="31" t="s">
        <v>229</v>
      </c>
      <c r="J1654" s="31" t="s">
        <v>967</v>
      </c>
      <c r="K1654" s="33" t="s">
        <v>5156</v>
      </c>
      <c r="L1654" s="31" t="s">
        <v>202</v>
      </c>
      <c r="N1654" s="31" t="s">
        <v>313</v>
      </c>
      <c r="T1654" s="31" t="s">
        <v>314</v>
      </c>
    </row>
    <row r="1655">
      <c r="A1655" s="29">
        <v>45948.81574572917</v>
      </c>
      <c r="B1655" s="30">
        <v>45948.0</v>
      </c>
      <c r="C1655" s="31" t="s">
        <v>5157</v>
      </c>
      <c r="D1655" s="32" t="s">
        <v>5158</v>
      </c>
      <c r="E1655" s="31" t="s">
        <v>105</v>
      </c>
      <c r="F1655" s="31">
        <v>2000000.0</v>
      </c>
      <c r="G1655" s="31" t="s">
        <v>23</v>
      </c>
      <c r="I1655" s="31" t="s">
        <v>229</v>
      </c>
      <c r="J1655" s="31" t="s">
        <v>967</v>
      </c>
      <c r="K1655" s="33" t="s">
        <v>5159</v>
      </c>
      <c r="L1655" s="31" t="s">
        <v>202</v>
      </c>
      <c r="N1655" s="31" t="s">
        <v>215</v>
      </c>
      <c r="W1655" s="31" t="s">
        <v>532</v>
      </c>
    </row>
    <row r="1656">
      <c r="A1656" s="29">
        <v>45948.818171770836</v>
      </c>
      <c r="B1656" s="30">
        <v>45948.0</v>
      </c>
      <c r="C1656" s="31" t="s">
        <v>5160</v>
      </c>
      <c r="D1656" s="32" t="s">
        <v>5161</v>
      </c>
      <c r="E1656" s="31" t="s">
        <v>43</v>
      </c>
      <c r="F1656" s="31">
        <v>4500000.0</v>
      </c>
      <c r="G1656" s="31" t="s">
        <v>23</v>
      </c>
      <c r="I1656" s="31" t="s">
        <v>229</v>
      </c>
      <c r="J1656" s="31" t="s">
        <v>967</v>
      </c>
      <c r="K1656" s="33" t="s">
        <v>5162</v>
      </c>
      <c r="L1656" s="31" t="s">
        <v>202</v>
      </c>
      <c r="N1656" s="31" t="s">
        <v>313</v>
      </c>
      <c r="T1656" s="31" t="s">
        <v>314</v>
      </c>
    </row>
    <row r="1657">
      <c r="A1657" s="29">
        <v>45948.823099814814</v>
      </c>
      <c r="B1657" s="30">
        <v>45948.0</v>
      </c>
      <c r="C1657" s="31" t="s">
        <v>5163</v>
      </c>
      <c r="D1657" s="32" t="s">
        <v>5164</v>
      </c>
      <c r="E1657" s="31" t="s">
        <v>31</v>
      </c>
      <c r="F1657" s="31">
        <v>1.8E7</v>
      </c>
      <c r="G1657" s="31" t="s">
        <v>23</v>
      </c>
      <c r="I1657" s="31" t="s">
        <v>229</v>
      </c>
      <c r="J1657" s="31" t="s">
        <v>967</v>
      </c>
      <c r="K1657" s="33" t="s">
        <v>5165</v>
      </c>
      <c r="L1657" s="31" t="s">
        <v>202</v>
      </c>
      <c r="N1657" s="31" t="s">
        <v>204</v>
      </c>
      <c r="R1657" s="31" t="s">
        <v>471</v>
      </c>
    </row>
    <row r="1658">
      <c r="A1658" s="29">
        <v>45948.823579918986</v>
      </c>
      <c r="B1658" s="30">
        <v>45948.0</v>
      </c>
      <c r="C1658" s="31" t="s">
        <v>5166</v>
      </c>
      <c r="D1658" s="32" t="s">
        <v>5167</v>
      </c>
      <c r="E1658" s="31" t="s">
        <v>199</v>
      </c>
      <c r="F1658" s="31">
        <v>4000000.0</v>
      </c>
      <c r="G1658" s="31" t="s">
        <v>45</v>
      </c>
      <c r="I1658" s="31" t="s">
        <v>229</v>
      </c>
      <c r="J1658" s="31" t="s">
        <v>967</v>
      </c>
      <c r="K1658" s="33" t="s">
        <v>5168</v>
      </c>
      <c r="L1658" s="31" t="s">
        <v>202</v>
      </c>
      <c r="N1658" s="31" t="s">
        <v>215</v>
      </c>
      <c r="W1658" s="31" t="s">
        <v>389</v>
      </c>
    </row>
    <row r="1659">
      <c r="A1659" s="29">
        <v>45948.82902369213</v>
      </c>
      <c r="B1659" s="30">
        <v>45948.0</v>
      </c>
      <c r="C1659" s="31" t="s">
        <v>5169</v>
      </c>
      <c r="D1659" s="32" t="s">
        <v>1103</v>
      </c>
      <c r="E1659" s="31" t="s">
        <v>43</v>
      </c>
      <c r="F1659" s="31">
        <v>3000000.0</v>
      </c>
      <c r="G1659" s="31" t="s">
        <v>23</v>
      </c>
      <c r="I1659" s="31" t="s">
        <v>229</v>
      </c>
      <c r="J1659" s="31" t="s">
        <v>967</v>
      </c>
      <c r="K1659" s="33" t="s">
        <v>5170</v>
      </c>
      <c r="L1659" s="31" t="s">
        <v>202</v>
      </c>
      <c r="N1659" s="31" t="s">
        <v>215</v>
      </c>
      <c r="W1659" s="31" t="s">
        <v>389</v>
      </c>
    </row>
    <row r="1660">
      <c r="A1660" s="29">
        <v>45948.832796435185</v>
      </c>
      <c r="B1660" s="30">
        <v>45948.0</v>
      </c>
      <c r="C1660" s="31" t="s">
        <v>5171</v>
      </c>
      <c r="D1660" s="32" t="s">
        <v>5172</v>
      </c>
      <c r="E1660" s="31" t="s">
        <v>31</v>
      </c>
      <c r="F1660" s="31">
        <v>5399000.0</v>
      </c>
      <c r="G1660" s="31" t="s">
        <v>23</v>
      </c>
      <c r="I1660" s="31" t="s">
        <v>229</v>
      </c>
      <c r="J1660" s="31" t="s">
        <v>967</v>
      </c>
      <c r="K1660" s="33" t="s">
        <v>5173</v>
      </c>
      <c r="L1660" s="31" t="s">
        <v>202</v>
      </c>
      <c r="N1660" s="31" t="s">
        <v>204</v>
      </c>
      <c r="R1660" s="31" t="s">
        <v>207</v>
      </c>
    </row>
    <row r="1661">
      <c r="A1661" s="29">
        <v>45948.83594844908</v>
      </c>
      <c r="B1661" s="30">
        <v>45948.0</v>
      </c>
      <c r="C1661" s="31" t="s">
        <v>5174</v>
      </c>
      <c r="D1661" s="32" t="s">
        <v>5175</v>
      </c>
      <c r="E1661" s="31" t="s">
        <v>31</v>
      </c>
      <c r="F1661" s="31">
        <v>7500000.0</v>
      </c>
      <c r="G1661" s="31" t="s">
        <v>23</v>
      </c>
      <c r="I1661" s="31" t="s">
        <v>229</v>
      </c>
      <c r="J1661" s="31" t="s">
        <v>967</v>
      </c>
      <c r="K1661" s="33" t="s">
        <v>5176</v>
      </c>
      <c r="L1661" s="31" t="s">
        <v>202</v>
      </c>
      <c r="N1661" s="31" t="s">
        <v>204</v>
      </c>
      <c r="R1661" s="31" t="s">
        <v>53</v>
      </c>
    </row>
    <row r="1662">
      <c r="A1662" s="29">
        <v>45948.843268564815</v>
      </c>
      <c r="B1662" s="30">
        <v>45948.0</v>
      </c>
      <c r="C1662" s="31" t="s">
        <v>5177</v>
      </c>
      <c r="D1662" s="32" t="s">
        <v>907</v>
      </c>
      <c r="E1662" s="31" t="s">
        <v>43</v>
      </c>
      <c r="F1662" s="31">
        <v>2000000.0</v>
      </c>
      <c r="G1662" s="31" t="s">
        <v>23</v>
      </c>
      <c r="I1662" s="31" t="s">
        <v>229</v>
      </c>
      <c r="J1662" s="31" t="s">
        <v>967</v>
      </c>
      <c r="K1662" s="33" t="s">
        <v>5178</v>
      </c>
      <c r="L1662" s="31" t="s">
        <v>202</v>
      </c>
      <c r="N1662" s="31" t="s">
        <v>215</v>
      </c>
      <c r="W1662" s="31" t="s">
        <v>532</v>
      </c>
    </row>
    <row r="1663">
      <c r="A1663" s="29">
        <v>45948.86054771991</v>
      </c>
      <c r="B1663" s="30">
        <v>45948.0</v>
      </c>
      <c r="C1663" s="31" t="s">
        <v>3666</v>
      </c>
      <c r="D1663" s="32" t="s">
        <v>5179</v>
      </c>
      <c r="E1663" s="31" t="s">
        <v>43</v>
      </c>
      <c r="F1663" s="31">
        <v>3000000.0</v>
      </c>
      <c r="G1663" s="31" t="s">
        <v>23</v>
      </c>
      <c r="H1663" s="31">
        <v>3000000.0</v>
      </c>
      <c r="I1663" s="31" t="s">
        <v>413</v>
      </c>
      <c r="K1663" s="33" t="s">
        <v>5180</v>
      </c>
      <c r="L1663" s="31" t="s">
        <v>202</v>
      </c>
      <c r="M1663" s="31" t="s">
        <v>203</v>
      </c>
      <c r="N1663" s="31" t="s">
        <v>215</v>
      </c>
      <c r="W1663" s="31" t="s">
        <v>389</v>
      </c>
    </row>
    <row r="1664">
      <c r="A1664" s="29">
        <v>45948.8621447801</v>
      </c>
      <c r="B1664" s="30">
        <v>45948.0</v>
      </c>
      <c r="C1664" s="31" t="s">
        <v>5181</v>
      </c>
      <c r="D1664" s="31" t="s">
        <v>5182</v>
      </c>
      <c r="E1664" s="31" t="s">
        <v>31</v>
      </c>
      <c r="F1664" s="31">
        <v>3500000.0</v>
      </c>
      <c r="G1664" s="31" t="s">
        <v>23</v>
      </c>
      <c r="H1664" s="31">
        <v>5000000.0</v>
      </c>
      <c r="I1664" s="31" t="s">
        <v>413</v>
      </c>
      <c r="K1664" s="33" t="s">
        <v>5183</v>
      </c>
      <c r="L1664" s="31" t="s">
        <v>202</v>
      </c>
      <c r="M1664" s="31" t="s">
        <v>605</v>
      </c>
      <c r="N1664" s="31" t="s">
        <v>204</v>
      </c>
      <c r="R1664" s="31" t="s">
        <v>148</v>
      </c>
    </row>
    <row r="1665">
      <c r="A1665" s="29">
        <v>45948.86347701389</v>
      </c>
      <c r="B1665" s="30">
        <v>45948.0</v>
      </c>
      <c r="C1665" s="31" t="s">
        <v>5184</v>
      </c>
      <c r="D1665" s="32" t="s">
        <v>5185</v>
      </c>
      <c r="E1665" s="31" t="s">
        <v>43</v>
      </c>
      <c r="F1665" s="31">
        <v>3000000.0</v>
      </c>
      <c r="G1665" s="31" t="s">
        <v>23</v>
      </c>
      <c r="I1665" s="31" t="s">
        <v>229</v>
      </c>
      <c r="J1665" s="31" t="s">
        <v>967</v>
      </c>
      <c r="K1665" s="33" t="s">
        <v>5186</v>
      </c>
      <c r="L1665" s="31" t="s">
        <v>202</v>
      </c>
      <c r="N1665" s="31" t="s">
        <v>215</v>
      </c>
      <c r="W1665" s="31" t="s">
        <v>389</v>
      </c>
    </row>
    <row r="1666">
      <c r="A1666" s="29">
        <v>45948.86661430556</v>
      </c>
      <c r="B1666" s="30">
        <v>45948.0</v>
      </c>
      <c r="C1666" s="31" t="s">
        <v>5187</v>
      </c>
      <c r="D1666" s="32" t="s">
        <v>5188</v>
      </c>
      <c r="E1666" s="31" t="s">
        <v>43</v>
      </c>
      <c r="F1666" s="31">
        <v>4000000.0</v>
      </c>
      <c r="G1666" s="31" t="s">
        <v>23</v>
      </c>
      <c r="I1666" s="31" t="s">
        <v>229</v>
      </c>
      <c r="J1666" s="31" t="s">
        <v>967</v>
      </c>
      <c r="K1666" s="33" t="s">
        <v>5189</v>
      </c>
      <c r="L1666" s="31" t="s">
        <v>202</v>
      </c>
      <c r="N1666" s="31" t="s">
        <v>215</v>
      </c>
      <c r="W1666" s="31" t="s">
        <v>389</v>
      </c>
    </row>
    <row r="1667">
      <c r="A1667" s="29">
        <v>45948.872556041664</v>
      </c>
      <c r="B1667" s="30">
        <v>45948.0</v>
      </c>
      <c r="C1667" s="31">
        <v>3000000.0</v>
      </c>
      <c r="D1667" s="32" t="s">
        <v>648</v>
      </c>
      <c r="E1667" s="31" t="s">
        <v>43</v>
      </c>
      <c r="F1667" s="31">
        <v>3000000.0</v>
      </c>
      <c r="G1667" s="31" t="s">
        <v>23</v>
      </c>
      <c r="I1667" s="31" t="s">
        <v>229</v>
      </c>
      <c r="J1667" s="31" t="s">
        <v>967</v>
      </c>
      <c r="K1667" s="33" t="s">
        <v>5190</v>
      </c>
      <c r="L1667" s="31" t="s">
        <v>202</v>
      </c>
      <c r="N1667" s="31" t="s">
        <v>215</v>
      </c>
      <c r="W1667" s="31" t="s">
        <v>389</v>
      </c>
    </row>
    <row r="1668">
      <c r="A1668" s="29">
        <v>45948.8799078588</v>
      </c>
      <c r="B1668" s="30">
        <v>45948.0</v>
      </c>
      <c r="C1668" s="31" t="s">
        <v>5191</v>
      </c>
      <c r="D1668" s="32" t="s">
        <v>3714</v>
      </c>
      <c r="E1668" s="31" t="s">
        <v>43</v>
      </c>
      <c r="F1668" s="31">
        <v>2000000.0</v>
      </c>
      <c r="G1668" s="31" t="s">
        <v>23</v>
      </c>
      <c r="H1668" s="31">
        <v>9000000.0</v>
      </c>
      <c r="I1668" s="31" t="s">
        <v>413</v>
      </c>
      <c r="K1668" s="33" t="s">
        <v>5192</v>
      </c>
      <c r="L1668" s="31" t="s">
        <v>202</v>
      </c>
      <c r="M1668" s="31" t="s">
        <v>605</v>
      </c>
      <c r="N1668" s="31" t="s">
        <v>215</v>
      </c>
      <c r="W1668" s="31" t="s">
        <v>532</v>
      </c>
    </row>
    <row r="1669">
      <c r="A1669" s="29">
        <v>45949.539193668985</v>
      </c>
      <c r="B1669" s="30">
        <v>45949.0</v>
      </c>
      <c r="C1669" s="31" t="s">
        <v>5193</v>
      </c>
      <c r="D1669" s="32" t="s">
        <v>5194</v>
      </c>
      <c r="E1669" s="31" t="s">
        <v>43</v>
      </c>
      <c r="F1669" s="31">
        <v>4600000.0</v>
      </c>
      <c r="G1669" s="31" t="s">
        <v>23</v>
      </c>
      <c r="I1669" s="31" t="s">
        <v>229</v>
      </c>
      <c r="J1669" s="31" t="s">
        <v>967</v>
      </c>
      <c r="K1669" s="33" t="s">
        <v>5195</v>
      </c>
      <c r="L1669" s="31" t="s">
        <v>202</v>
      </c>
      <c r="N1669" s="31" t="s">
        <v>220</v>
      </c>
      <c r="S1669" s="31" t="s">
        <v>896</v>
      </c>
    </row>
    <row r="1670">
      <c r="A1670" s="29">
        <v>45949.558018923606</v>
      </c>
      <c r="B1670" s="30">
        <v>45949.0</v>
      </c>
      <c r="C1670" s="31" t="s">
        <v>5196</v>
      </c>
      <c r="D1670" s="32" t="s">
        <v>5197</v>
      </c>
      <c r="E1670" s="31" t="s">
        <v>43</v>
      </c>
      <c r="F1670" s="31">
        <v>2800000.0</v>
      </c>
      <c r="G1670" s="31" t="s">
        <v>23</v>
      </c>
      <c r="H1670" s="31">
        <v>1600000.0</v>
      </c>
      <c r="I1670" s="31" t="s">
        <v>413</v>
      </c>
      <c r="K1670" s="33" t="s">
        <v>5198</v>
      </c>
      <c r="L1670" s="31" t="s">
        <v>252</v>
      </c>
      <c r="M1670" s="31" t="s">
        <v>926</v>
      </c>
      <c r="O1670" s="31" t="s">
        <v>205</v>
      </c>
      <c r="X1670" s="31" t="s">
        <v>452</v>
      </c>
    </row>
    <row r="1671">
      <c r="A1671" s="29">
        <v>45949.710729722225</v>
      </c>
      <c r="B1671" s="30">
        <v>45949.0</v>
      </c>
      <c r="C1671" s="31" t="s">
        <v>5199</v>
      </c>
      <c r="D1671" s="32" t="s">
        <v>5200</v>
      </c>
      <c r="E1671" s="31" t="s">
        <v>43</v>
      </c>
      <c r="F1671" s="31">
        <v>3600000.0</v>
      </c>
      <c r="G1671" s="31" t="s">
        <v>45</v>
      </c>
      <c r="H1671" s="31">
        <v>3000000.0</v>
      </c>
      <c r="I1671" s="31" t="s">
        <v>413</v>
      </c>
      <c r="K1671" s="33" t="s">
        <v>5201</v>
      </c>
      <c r="L1671" s="31" t="s">
        <v>202</v>
      </c>
      <c r="M1671" s="31" t="s">
        <v>203</v>
      </c>
      <c r="N1671" s="31" t="s">
        <v>204</v>
      </c>
      <c r="R1671" s="31" t="s">
        <v>98</v>
      </c>
    </row>
    <row r="1672">
      <c r="A1672" s="29">
        <v>45949.87669321759</v>
      </c>
      <c r="B1672" s="30">
        <v>45949.0</v>
      </c>
      <c r="C1672" s="31" t="s">
        <v>5202</v>
      </c>
      <c r="D1672" s="32" t="s">
        <v>5203</v>
      </c>
      <c r="E1672" s="31" t="s">
        <v>199</v>
      </c>
      <c r="F1672" s="31">
        <v>5000000.0</v>
      </c>
      <c r="G1672" s="31" t="s">
        <v>23</v>
      </c>
      <c r="I1672" s="31" t="s">
        <v>229</v>
      </c>
      <c r="J1672" s="31" t="s">
        <v>967</v>
      </c>
      <c r="K1672" s="33" t="s">
        <v>5204</v>
      </c>
      <c r="L1672" s="31" t="s">
        <v>252</v>
      </c>
      <c r="O1672" s="31" t="s">
        <v>205</v>
      </c>
      <c r="X1672" s="31" t="s">
        <v>2335</v>
      </c>
    </row>
    <row r="1673">
      <c r="A1673" s="29">
        <v>45949.89136278935</v>
      </c>
      <c r="B1673" s="30">
        <v>45949.0</v>
      </c>
      <c r="C1673" s="31" t="s">
        <v>5205</v>
      </c>
      <c r="D1673" s="31">
        <v>8.2136569057E10</v>
      </c>
      <c r="E1673" s="31" t="s">
        <v>228</v>
      </c>
      <c r="F1673" s="34">
        <v>3000.0</v>
      </c>
      <c r="G1673" s="31" t="s">
        <v>23</v>
      </c>
      <c r="I1673" s="31" t="s">
        <v>229</v>
      </c>
      <c r="J1673" s="31" t="s">
        <v>967</v>
      </c>
      <c r="K1673" s="33" t="s">
        <v>5206</v>
      </c>
      <c r="L1673" s="31" t="s">
        <v>202</v>
      </c>
      <c r="N1673" s="31" t="s">
        <v>204</v>
      </c>
      <c r="R1673" s="31" t="s">
        <v>167</v>
      </c>
    </row>
    <row r="1674">
      <c r="A1674" s="29">
        <v>45949.89513712963</v>
      </c>
      <c r="B1674" s="30">
        <v>45949.0</v>
      </c>
      <c r="C1674" s="31" t="s">
        <v>5207</v>
      </c>
      <c r="D1674" s="31">
        <v>8.2144513968E10</v>
      </c>
      <c r="E1674" s="31" t="s">
        <v>288</v>
      </c>
      <c r="F1674" s="34">
        <v>5000.0</v>
      </c>
      <c r="G1674" s="31" t="s">
        <v>23</v>
      </c>
      <c r="I1674" s="31" t="s">
        <v>229</v>
      </c>
      <c r="J1674" s="31" t="s">
        <v>967</v>
      </c>
      <c r="K1674" s="33" t="s">
        <v>5208</v>
      </c>
      <c r="L1674" s="31" t="s">
        <v>202</v>
      </c>
      <c r="N1674" s="31" t="s">
        <v>204</v>
      </c>
      <c r="R1674" s="31" t="s">
        <v>167</v>
      </c>
    </row>
    <row r="1675">
      <c r="A1675" s="29">
        <v>45949.89869479167</v>
      </c>
      <c r="B1675" s="30">
        <v>45949.0</v>
      </c>
      <c r="C1675" s="31" t="s">
        <v>5209</v>
      </c>
      <c r="D1675" s="32" t="s">
        <v>5210</v>
      </c>
      <c r="E1675" s="31" t="s">
        <v>31</v>
      </c>
      <c r="F1675" s="31">
        <v>5899000.0</v>
      </c>
      <c r="G1675" s="31" t="s">
        <v>23</v>
      </c>
      <c r="I1675" s="31" t="s">
        <v>229</v>
      </c>
      <c r="J1675" s="31" t="s">
        <v>967</v>
      </c>
      <c r="K1675" s="33" t="s">
        <v>5211</v>
      </c>
      <c r="L1675" s="31" t="s">
        <v>202</v>
      </c>
      <c r="N1675" s="31" t="s">
        <v>204</v>
      </c>
      <c r="R1675" s="31" t="s">
        <v>207</v>
      </c>
    </row>
    <row r="1676">
      <c r="A1676" s="29">
        <v>45949.90167158565</v>
      </c>
      <c r="B1676" s="30">
        <v>45949.0</v>
      </c>
      <c r="C1676" s="31" t="s">
        <v>5212</v>
      </c>
      <c r="D1676" s="32" t="s">
        <v>5213</v>
      </c>
      <c r="E1676" s="31" t="s">
        <v>31</v>
      </c>
      <c r="F1676" s="31">
        <v>1800000.0</v>
      </c>
      <c r="G1676" s="31" t="s">
        <v>23</v>
      </c>
      <c r="I1676" s="31" t="s">
        <v>229</v>
      </c>
      <c r="J1676" s="31" t="s">
        <v>967</v>
      </c>
      <c r="K1676" s="33" t="s">
        <v>5214</v>
      </c>
      <c r="L1676" s="31" t="s">
        <v>202</v>
      </c>
      <c r="N1676" s="31" t="s">
        <v>204</v>
      </c>
      <c r="R1676" s="31" t="s">
        <v>471</v>
      </c>
    </row>
    <row r="1677">
      <c r="A1677" s="29">
        <v>45949.904262118056</v>
      </c>
      <c r="B1677" s="30">
        <v>45949.0</v>
      </c>
      <c r="C1677" s="31" t="s">
        <v>5215</v>
      </c>
      <c r="D1677" s="32" t="s">
        <v>5216</v>
      </c>
      <c r="E1677" s="31" t="s">
        <v>5217</v>
      </c>
      <c r="F1677" s="31">
        <v>1.8E7</v>
      </c>
      <c r="G1677" s="31" t="s">
        <v>23</v>
      </c>
      <c r="I1677" s="31" t="s">
        <v>229</v>
      </c>
      <c r="J1677" s="31" t="s">
        <v>967</v>
      </c>
      <c r="K1677" s="33" t="s">
        <v>5218</v>
      </c>
      <c r="L1677" s="31" t="s">
        <v>202</v>
      </c>
      <c r="N1677" s="31" t="s">
        <v>204</v>
      </c>
      <c r="R1677" s="31" t="s">
        <v>471</v>
      </c>
    </row>
    <row r="1678">
      <c r="A1678" s="29">
        <v>45949.91015271991</v>
      </c>
      <c r="B1678" s="30">
        <v>45949.0</v>
      </c>
      <c r="C1678" s="31" t="s">
        <v>5219</v>
      </c>
      <c r="D1678" s="32" t="s">
        <v>5220</v>
      </c>
      <c r="E1678" s="31" t="s">
        <v>43</v>
      </c>
      <c r="F1678" s="31">
        <v>3000000.0</v>
      </c>
      <c r="G1678" s="31" t="s">
        <v>23</v>
      </c>
      <c r="H1678" s="31">
        <v>3000000.0</v>
      </c>
      <c r="I1678" s="31" t="s">
        <v>200</v>
      </c>
      <c r="K1678" s="33" t="s">
        <v>5221</v>
      </c>
      <c r="L1678" s="31" t="s">
        <v>252</v>
      </c>
      <c r="M1678" s="31" t="s">
        <v>203</v>
      </c>
      <c r="O1678" s="31" t="s">
        <v>205</v>
      </c>
      <c r="X1678" s="31" t="s">
        <v>549</v>
      </c>
    </row>
    <row r="1679">
      <c r="A1679" s="29">
        <v>45950.4447646412</v>
      </c>
      <c r="B1679" s="30">
        <v>45950.0</v>
      </c>
      <c r="C1679" s="31" t="s">
        <v>5222</v>
      </c>
      <c r="D1679" s="32" t="s">
        <v>5223</v>
      </c>
      <c r="E1679" s="31" t="s">
        <v>228</v>
      </c>
      <c r="F1679" s="34">
        <v>3500.0</v>
      </c>
      <c r="G1679" s="31" t="s">
        <v>23</v>
      </c>
      <c r="I1679" s="31" t="s">
        <v>229</v>
      </c>
      <c r="J1679" s="31" t="s">
        <v>967</v>
      </c>
      <c r="K1679" s="33" t="s">
        <v>5224</v>
      </c>
      <c r="L1679" s="31" t="s">
        <v>202</v>
      </c>
      <c r="N1679" s="31" t="s">
        <v>871</v>
      </c>
      <c r="Q1679" s="31" t="s">
        <v>2403</v>
      </c>
    </row>
    <row r="1680">
      <c r="A1680" s="29">
        <v>45950.466553425926</v>
      </c>
      <c r="B1680" s="30">
        <v>45950.0</v>
      </c>
      <c r="C1680" s="31" t="s">
        <v>5225</v>
      </c>
      <c r="D1680" s="31">
        <v>7200000.0</v>
      </c>
      <c r="E1680" s="31" t="s">
        <v>5226</v>
      </c>
      <c r="F1680" s="31">
        <v>7100000.0</v>
      </c>
      <c r="G1680" s="31" t="s">
        <v>23</v>
      </c>
      <c r="I1680" s="31" t="s">
        <v>229</v>
      </c>
      <c r="J1680" s="31" t="s">
        <v>967</v>
      </c>
      <c r="K1680" s="33" t="s">
        <v>5227</v>
      </c>
      <c r="L1680" s="31" t="s">
        <v>202</v>
      </c>
      <c r="N1680" s="31" t="s">
        <v>313</v>
      </c>
      <c r="T1680" s="31" t="s">
        <v>314</v>
      </c>
    </row>
    <row r="1681">
      <c r="A1681" s="29">
        <v>45950.4930200463</v>
      </c>
      <c r="B1681" s="30">
        <v>45950.0</v>
      </c>
      <c r="C1681" s="31" t="s">
        <v>5228</v>
      </c>
      <c r="D1681" s="32" t="s">
        <v>5229</v>
      </c>
      <c r="E1681" s="31" t="s">
        <v>5230</v>
      </c>
      <c r="F1681" s="31">
        <v>4000000.0</v>
      </c>
      <c r="G1681" s="31" t="s">
        <v>23</v>
      </c>
      <c r="I1681" s="31" t="s">
        <v>229</v>
      </c>
      <c r="J1681" s="31" t="s">
        <v>967</v>
      </c>
      <c r="K1681" s="33" t="s">
        <v>5231</v>
      </c>
      <c r="L1681" s="31" t="s">
        <v>202</v>
      </c>
      <c r="N1681" s="31" t="s">
        <v>313</v>
      </c>
      <c r="T1681" s="31" t="s">
        <v>384</v>
      </c>
    </row>
    <row r="1682">
      <c r="A1682" s="29">
        <v>45950.50097300926</v>
      </c>
      <c r="B1682" s="30">
        <v>45950.0</v>
      </c>
      <c r="C1682" s="31" t="s">
        <v>5232</v>
      </c>
      <c r="D1682" s="32" t="s">
        <v>5233</v>
      </c>
      <c r="E1682" s="31" t="s">
        <v>43</v>
      </c>
      <c r="F1682" s="31">
        <v>4600000.0</v>
      </c>
      <c r="G1682" s="31" t="s">
        <v>23</v>
      </c>
      <c r="H1682" s="31">
        <v>3000000.0</v>
      </c>
      <c r="I1682" s="31" t="s">
        <v>413</v>
      </c>
      <c r="K1682" s="33" t="s">
        <v>5234</v>
      </c>
      <c r="L1682" s="31" t="s">
        <v>202</v>
      </c>
      <c r="M1682" s="31" t="s">
        <v>203</v>
      </c>
      <c r="N1682" s="31" t="s">
        <v>667</v>
      </c>
      <c r="U1682" s="31" t="s">
        <v>668</v>
      </c>
    </row>
    <row r="1683">
      <c r="A1683" s="29">
        <v>45950.509843611115</v>
      </c>
      <c r="B1683" s="30">
        <v>45950.0</v>
      </c>
      <c r="C1683" s="31" t="s">
        <v>5235</v>
      </c>
      <c r="D1683" s="32" t="s">
        <v>5236</v>
      </c>
      <c r="E1683" s="31" t="s">
        <v>43</v>
      </c>
      <c r="F1683" s="31">
        <v>4700000.0</v>
      </c>
      <c r="G1683" s="31" t="s">
        <v>23</v>
      </c>
      <c r="I1683" s="31" t="s">
        <v>229</v>
      </c>
      <c r="J1683" s="31" t="s">
        <v>967</v>
      </c>
      <c r="K1683" s="33" t="s">
        <v>5237</v>
      </c>
      <c r="L1683" s="31" t="s">
        <v>202</v>
      </c>
      <c r="N1683" s="31" t="s">
        <v>220</v>
      </c>
      <c r="S1683" s="31" t="s">
        <v>36</v>
      </c>
    </row>
    <row r="1684">
      <c r="A1684" s="29">
        <v>45950.51882168981</v>
      </c>
      <c r="B1684" s="30">
        <v>45950.0</v>
      </c>
      <c r="C1684" s="31" t="s">
        <v>5238</v>
      </c>
      <c r="D1684" s="32" t="s">
        <v>5239</v>
      </c>
      <c r="E1684" s="31" t="s">
        <v>43</v>
      </c>
      <c r="F1684" s="31">
        <v>2400000.0</v>
      </c>
      <c r="G1684" s="31" t="s">
        <v>23</v>
      </c>
      <c r="H1684" s="31">
        <v>5000000.0</v>
      </c>
      <c r="I1684" s="31" t="s">
        <v>413</v>
      </c>
      <c r="K1684" s="33" t="s">
        <v>5240</v>
      </c>
      <c r="L1684" s="31" t="s">
        <v>202</v>
      </c>
      <c r="M1684" s="31" t="s">
        <v>926</v>
      </c>
      <c r="N1684" s="31" t="s">
        <v>313</v>
      </c>
      <c r="T1684" s="31" t="s">
        <v>4272</v>
      </c>
    </row>
    <row r="1685">
      <c r="A1685" s="29">
        <v>45950.52652289352</v>
      </c>
      <c r="B1685" s="30">
        <v>45950.0</v>
      </c>
      <c r="C1685" s="31" t="s">
        <v>5241</v>
      </c>
      <c r="D1685" s="32" t="s">
        <v>5242</v>
      </c>
      <c r="E1685" s="31" t="s">
        <v>127</v>
      </c>
      <c r="F1685" s="31">
        <v>250000.0</v>
      </c>
      <c r="G1685" s="31" t="s">
        <v>23</v>
      </c>
      <c r="H1685" s="31">
        <v>5000000.0</v>
      </c>
      <c r="I1685" s="31" t="s">
        <v>200</v>
      </c>
      <c r="K1685" s="33" t="s">
        <v>5243</v>
      </c>
      <c r="L1685" s="31" t="s">
        <v>252</v>
      </c>
      <c r="M1685" s="31" t="s">
        <v>383</v>
      </c>
      <c r="O1685" s="31" t="s">
        <v>257</v>
      </c>
      <c r="P1685" s="31" t="s">
        <v>206</v>
      </c>
    </row>
    <row r="1686">
      <c r="A1686" s="29">
        <v>45950.527649745374</v>
      </c>
      <c r="B1686" s="30">
        <v>45950.0</v>
      </c>
      <c r="C1686" s="31" t="s">
        <v>5244</v>
      </c>
      <c r="D1686" s="32" t="s">
        <v>5245</v>
      </c>
      <c r="E1686" s="31" t="s">
        <v>239</v>
      </c>
      <c r="F1686" s="31">
        <v>3000000.0</v>
      </c>
      <c r="G1686" s="31" t="s">
        <v>23</v>
      </c>
      <c r="I1686" s="31" t="s">
        <v>229</v>
      </c>
      <c r="J1686" s="31" t="s">
        <v>270</v>
      </c>
      <c r="K1686" s="33" t="s">
        <v>5246</v>
      </c>
      <c r="L1686" s="31" t="s">
        <v>202</v>
      </c>
      <c r="N1686" s="31" t="s">
        <v>871</v>
      </c>
      <c r="Q1686" s="31" t="s">
        <v>872</v>
      </c>
    </row>
    <row r="1687">
      <c r="A1687" s="29">
        <v>45950.52778072917</v>
      </c>
      <c r="B1687" s="30">
        <v>45950.0</v>
      </c>
      <c r="C1687" s="31" t="s">
        <v>5247</v>
      </c>
      <c r="D1687" s="32" t="s">
        <v>5248</v>
      </c>
      <c r="E1687" s="31" t="s">
        <v>127</v>
      </c>
      <c r="F1687" s="31">
        <v>3000000.0</v>
      </c>
      <c r="G1687" s="31" t="s">
        <v>23</v>
      </c>
      <c r="H1687" s="31">
        <v>3000000.0</v>
      </c>
      <c r="I1687" s="31" t="s">
        <v>200</v>
      </c>
      <c r="K1687" s="33" t="s">
        <v>5249</v>
      </c>
      <c r="L1687" s="31" t="s">
        <v>252</v>
      </c>
      <c r="M1687" s="31" t="s">
        <v>203</v>
      </c>
      <c r="O1687" s="31" t="s">
        <v>257</v>
      </c>
      <c r="P1687" s="31" t="s">
        <v>206</v>
      </c>
    </row>
    <row r="1688">
      <c r="A1688" s="29">
        <v>45950.542746736115</v>
      </c>
      <c r="B1688" s="30">
        <v>45950.0</v>
      </c>
      <c r="C1688" s="31" t="s">
        <v>5250</v>
      </c>
      <c r="D1688" s="32" t="s">
        <v>5251</v>
      </c>
      <c r="E1688" s="31" t="s">
        <v>31</v>
      </c>
      <c r="F1688" s="31">
        <v>2000000.0</v>
      </c>
      <c r="G1688" s="31" t="s">
        <v>23</v>
      </c>
      <c r="I1688" s="31" t="s">
        <v>229</v>
      </c>
      <c r="J1688" s="31" t="s">
        <v>967</v>
      </c>
      <c r="K1688" s="33" t="s">
        <v>5252</v>
      </c>
      <c r="L1688" s="31" t="s">
        <v>202</v>
      </c>
      <c r="N1688" s="31" t="s">
        <v>215</v>
      </c>
      <c r="W1688" s="31" t="s">
        <v>216</v>
      </c>
    </row>
    <row r="1689">
      <c r="A1689" s="29">
        <v>45950.54528990741</v>
      </c>
      <c r="B1689" s="30">
        <v>45950.0</v>
      </c>
      <c r="C1689" s="31" t="s">
        <v>5253</v>
      </c>
      <c r="D1689" s="32" t="s">
        <v>5254</v>
      </c>
      <c r="E1689" s="31" t="s">
        <v>770</v>
      </c>
      <c r="F1689" s="31">
        <v>3000000.0</v>
      </c>
      <c r="G1689" s="31" t="s">
        <v>23</v>
      </c>
      <c r="I1689" s="31" t="s">
        <v>229</v>
      </c>
      <c r="J1689" s="31" t="s">
        <v>967</v>
      </c>
      <c r="K1689" s="33" t="s">
        <v>5255</v>
      </c>
      <c r="L1689" s="31" t="s">
        <v>202</v>
      </c>
      <c r="N1689" s="31" t="s">
        <v>204</v>
      </c>
      <c r="R1689" s="31" t="s">
        <v>5256</v>
      </c>
    </row>
    <row r="1690">
      <c r="A1690" s="29">
        <v>45950.55271655093</v>
      </c>
      <c r="B1690" s="30">
        <v>45950.0</v>
      </c>
      <c r="C1690" s="31" t="s">
        <v>5257</v>
      </c>
      <c r="D1690" s="32" t="s">
        <v>5258</v>
      </c>
      <c r="E1690" s="31" t="s">
        <v>199</v>
      </c>
      <c r="F1690" s="31">
        <v>6500000.0</v>
      </c>
      <c r="G1690" s="31" t="s">
        <v>45</v>
      </c>
      <c r="H1690" s="31">
        <v>1.2E7</v>
      </c>
      <c r="I1690" s="31" t="s">
        <v>200</v>
      </c>
      <c r="K1690" s="33" t="s">
        <v>5259</v>
      </c>
      <c r="L1690" s="31" t="s">
        <v>202</v>
      </c>
      <c r="M1690" s="31" t="s">
        <v>203</v>
      </c>
      <c r="N1690" s="31" t="s">
        <v>220</v>
      </c>
      <c r="S1690" s="31" t="s">
        <v>83</v>
      </c>
    </row>
    <row r="1691">
      <c r="A1691" s="29">
        <v>45950.553283587964</v>
      </c>
      <c r="B1691" s="30">
        <v>45949.0</v>
      </c>
      <c r="C1691" s="31" t="s">
        <v>5260</v>
      </c>
      <c r="D1691" s="32" t="s">
        <v>5261</v>
      </c>
      <c r="E1691" s="31" t="s">
        <v>199</v>
      </c>
      <c r="F1691" s="31">
        <v>5000000.0</v>
      </c>
      <c r="G1691" s="31" t="s">
        <v>23</v>
      </c>
      <c r="I1691" s="31" t="s">
        <v>229</v>
      </c>
      <c r="J1691" s="31" t="s">
        <v>5262</v>
      </c>
      <c r="K1691" s="33" t="s">
        <v>5263</v>
      </c>
      <c r="L1691" s="31" t="s">
        <v>202</v>
      </c>
      <c r="N1691" s="31" t="s">
        <v>204</v>
      </c>
      <c r="R1691" s="31" t="s">
        <v>5256</v>
      </c>
    </row>
    <row r="1692">
      <c r="A1692" s="29">
        <v>45950.61550372685</v>
      </c>
      <c r="B1692" s="30">
        <v>45950.0</v>
      </c>
      <c r="C1692" s="31" t="s">
        <v>5264</v>
      </c>
      <c r="D1692" s="32" t="s">
        <v>5265</v>
      </c>
      <c r="E1692" s="31" t="s">
        <v>31</v>
      </c>
      <c r="F1692" s="31">
        <v>1.9E7</v>
      </c>
      <c r="G1692" s="31" t="s">
        <v>23</v>
      </c>
      <c r="I1692" s="31" t="s">
        <v>229</v>
      </c>
      <c r="J1692" s="31" t="s">
        <v>967</v>
      </c>
      <c r="K1692" s="33" t="s">
        <v>5266</v>
      </c>
      <c r="L1692" s="31" t="s">
        <v>202</v>
      </c>
      <c r="N1692" s="31" t="s">
        <v>204</v>
      </c>
      <c r="R1692" s="31" t="s">
        <v>471</v>
      </c>
    </row>
    <row r="1693">
      <c r="A1693" s="29">
        <v>45950.67800659723</v>
      </c>
      <c r="B1693" s="30">
        <v>45950.0</v>
      </c>
      <c r="C1693" s="31" t="s">
        <v>5267</v>
      </c>
      <c r="D1693" s="32" t="s">
        <v>5268</v>
      </c>
      <c r="E1693" s="31" t="s">
        <v>31</v>
      </c>
      <c r="F1693" s="31">
        <v>3500000.0</v>
      </c>
      <c r="G1693" s="31" t="s">
        <v>23</v>
      </c>
      <c r="I1693" s="31" t="s">
        <v>229</v>
      </c>
      <c r="J1693" s="31" t="s">
        <v>967</v>
      </c>
      <c r="K1693" s="33" t="s">
        <v>5269</v>
      </c>
      <c r="L1693" s="31" t="s">
        <v>202</v>
      </c>
      <c r="N1693" s="31" t="s">
        <v>871</v>
      </c>
      <c r="Q1693" s="31" t="s">
        <v>1021</v>
      </c>
    </row>
    <row r="1694">
      <c r="A1694" s="29">
        <v>45950.71045266204</v>
      </c>
      <c r="B1694" s="30">
        <v>45950.0</v>
      </c>
      <c r="C1694" s="31" t="s">
        <v>5270</v>
      </c>
      <c r="D1694" s="32" t="s">
        <v>5271</v>
      </c>
      <c r="E1694" s="31" t="s">
        <v>31</v>
      </c>
      <c r="F1694" s="31">
        <v>4999000.0</v>
      </c>
      <c r="G1694" s="31" t="s">
        <v>23</v>
      </c>
      <c r="I1694" s="31" t="s">
        <v>229</v>
      </c>
      <c r="J1694" s="31" t="s">
        <v>967</v>
      </c>
      <c r="K1694" s="33" t="s">
        <v>5272</v>
      </c>
      <c r="L1694" s="31" t="s">
        <v>202</v>
      </c>
      <c r="N1694" s="31" t="s">
        <v>204</v>
      </c>
      <c r="R1694" s="31" t="s">
        <v>207</v>
      </c>
    </row>
    <row r="1695">
      <c r="A1695" s="29">
        <v>45950.717944675926</v>
      </c>
      <c r="B1695" s="30">
        <v>45950.0</v>
      </c>
      <c r="C1695" s="31" t="s">
        <v>5273</v>
      </c>
      <c r="D1695" s="32" t="s">
        <v>5274</v>
      </c>
      <c r="E1695" s="31" t="s">
        <v>239</v>
      </c>
      <c r="F1695" s="31">
        <v>50.0</v>
      </c>
      <c r="G1695" s="31" t="s">
        <v>23</v>
      </c>
      <c r="I1695" s="31" t="s">
        <v>229</v>
      </c>
      <c r="J1695" s="31" t="s">
        <v>967</v>
      </c>
      <c r="K1695" s="33" t="s">
        <v>5275</v>
      </c>
      <c r="L1695" s="31" t="s">
        <v>202</v>
      </c>
      <c r="N1695" s="31" t="s">
        <v>313</v>
      </c>
      <c r="T1695" s="31" t="s">
        <v>4272</v>
      </c>
    </row>
    <row r="1696">
      <c r="A1696" s="29">
        <v>45950.73542964121</v>
      </c>
      <c r="B1696" s="30">
        <v>45950.0</v>
      </c>
      <c r="C1696" s="31" t="s">
        <v>5276</v>
      </c>
      <c r="D1696" s="32" t="s">
        <v>5277</v>
      </c>
      <c r="E1696" s="31" t="s">
        <v>335</v>
      </c>
      <c r="F1696" s="31">
        <v>7500000.0</v>
      </c>
      <c r="G1696" s="31" t="s">
        <v>23</v>
      </c>
      <c r="H1696" s="31">
        <v>3000000.0</v>
      </c>
      <c r="I1696" s="31" t="s">
        <v>413</v>
      </c>
      <c r="K1696" s="33" t="s">
        <v>5278</v>
      </c>
      <c r="L1696" s="31" t="s">
        <v>202</v>
      </c>
      <c r="M1696" s="31" t="s">
        <v>544</v>
      </c>
      <c r="N1696" s="31" t="s">
        <v>667</v>
      </c>
      <c r="U1696" s="31" t="s">
        <v>668</v>
      </c>
    </row>
    <row r="1697">
      <c r="A1697" s="29">
        <v>45950.754660011575</v>
      </c>
      <c r="B1697" s="30">
        <v>45950.0</v>
      </c>
      <c r="C1697" s="31" t="s">
        <v>5279</v>
      </c>
      <c r="D1697" s="32" t="s">
        <v>5280</v>
      </c>
      <c r="E1697" s="31" t="s">
        <v>31</v>
      </c>
      <c r="F1697" s="31">
        <v>8200000.0</v>
      </c>
      <c r="G1697" s="31" t="s">
        <v>23</v>
      </c>
      <c r="H1697" s="31">
        <v>3000000.0</v>
      </c>
      <c r="I1697" s="31" t="s">
        <v>200</v>
      </c>
      <c r="K1697" s="33" t="s">
        <v>5281</v>
      </c>
      <c r="L1697" s="31" t="s">
        <v>202</v>
      </c>
      <c r="M1697" s="31" t="s">
        <v>926</v>
      </c>
      <c r="N1697" s="31" t="s">
        <v>313</v>
      </c>
      <c r="T1697" s="31" t="s">
        <v>329</v>
      </c>
    </row>
    <row r="1698">
      <c r="A1698" s="29">
        <v>45950.77253619213</v>
      </c>
      <c r="B1698" s="30">
        <v>45950.0</v>
      </c>
      <c r="C1698" s="31" t="s">
        <v>2703</v>
      </c>
      <c r="D1698" s="32" t="s">
        <v>5282</v>
      </c>
      <c r="E1698" s="31" t="s">
        <v>43</v>
      </c>
      <c r="F1698" s="31">
        <v>6000000.0</v>
      </c>
      <c r="G1698" s="31" t="s">
        <v>23</v>
      </c>
      <c r="I1698" s="31" t="s">
        <v>229</v>
      </c>
      <c r="J1698" s="31" t="s">
        <v>967</v>
      </c>
      <c r="K1698" s="33" t="s">
        <v>5283</v>
      </c>
      <c r="L1698" s="31" t="s">
        <v>202</v>
      </c>
      <c r="N1698" s="31" t="s">
        <v>313</v>
      </c>
      <c r="T1698" s="31" t="s">
        <v>314</v>
      </c>
    </row>
    <row r="1699">
      <c r="A1699" s="29">
        <v>45950.7971722338</v>
      </c>
      <c r="B1699" s="30">
        <v>45950.0</v>
      </c>
      <c r="C1699" s="31" t="s">
        <v>5284</v>
      </c>
      <c r="D1699" s="32" t="s">
        <v>5285</v>
      </c>
      <c r="E1699" s="31" t="s">
        <v>43</v>
      </c>
      <c r="F1699" s="31">
        <v>3000000.0</v>
      </c>
      <c r="G1699" s="31" t="s">
        <v>23</v>
      </c>
      <c r="I1699" s="31" t="s">
        <v>229</v>
      </c>
      <c r="J1699" s="31" t="s">
        <v>165</v>
      </c>
      <c r="K1699" s="33" t="s">
        <v>5286</v>
      </c>
      <c r="L1699" s="31" t="s">
        <v>252</v>
      </c>
      <c r="O1699" s="31" t="s">
        <v>257</v>
      </c>
      <c r="P1699" s="31" t="s">
        <v>2453</v>
      </c>
    </row>
    <row r="1700">
      <c r="A1700" s="29">
        <v>45950.81017471065</v>
      </c>
      <c r="B1700" s="30">
        <v>45950.0</v>
      </c>
      <c r="C1700" s="31" t="s">
        <v>5287</v>
      </c>
      <c r="D1700" s="32" t="s">
        <v>5288</v>
      </c>
      <c r="E1700" s="31" t="s">
        <v>31</v>
      </c>
      <c r="F1700" s="31">
        <v>3000000.0</v>
      </c>
      <c r="G1700" s="31" t="s">
        <v>23</v>
      </c>
      <c r="H1700" s="31">
        <v>3000000.0</v>
      </c>
      <c r="I1700" s="31" t="s">
        <v>200</v>
      </c>
      <c r="K1700" s="33" t="s">
        <v>5289</v>
      </c>
      <c r="L1700" s="31" t="s">
        <v>202</v>
      </c>
      <c r="M1700" s="31" t="s">
        <v>203</v>
      </c>
      <c r="N1700" s="31" t="s">
        <v>215</v>
      </c>
      <c r="W1700" s="31" t="s">
        <v>216</v>
      </c>
    </row>
    <row r="1701">
      <c r="A1701" s="29">
        <v>45950.82762510417</v>
      </c>
      <c r="B1701" s="30">
        <v>45950.0</v>
      </c>
      <c r="C1701" s="31" t="s">
        <v>5290</v>
      </c>
      <c r="D1701" s="32" t="s">
        <v>5291</v>
      </c>
      <c r="E1701" s="31" t="s">
        <v>43</v>
      </c>
      <c r="F1701" s="31">
        <v>3000000.0</v>
      </c>
      <c r="G1701" s="31" t="s">
        <v>23</v>
      </c>
      <c r="I1701" s="31" t="s">
        <v>229</v>
      </c>
      <c r="J1701" s="31" t="s">
        <v>967</v>
      </c>
      <c r="K1701" s="33" t="s">
        <v>5292</v>
      </c>
      <c r="L1701" s="31" t="s">
        <v>202</v>
      </c>
      <c r="N1701" s="31" t="s">
        <v>220</v>
      </c>
      <c r="S1701" s="31" t="s">
        <v>36</v>
      </c>
    </row>
    <row r="1702">
      <c r="A1702" s="29">
        <v>45950.838145671296</v>
      </c>
      <c r="B1702" s="30">
        <v>45950.0</v>
      </c>
      <c r="C1702" s="31" t="s">
        <v>5293</v>
      </c>
      <c r="D1702" s="32" t="s">
        <v>5294</v>
      </c>
      <c r="E1702" s="31" t="s">
        <v>228</v>
      </c>
      <c r="F1702" s="34">
        <v>5000.0</v>
      </c>
      <c r="G1702" s="31" t="s">
        <v>23</v>
      </c>
      <c r="I1702" s="31" t="s">
        <v>229</v>
      </c>
      <c r="J1702" s="31" t="s">
        <v>967</v>
      </c>
      <c r="K1702" s="33" t="s">
        <v>5295</v>
      </c>
      <c r="L1702" s="31" t="s">
        <v>202</v>
      </c>
      <c r="N1702" s="31" t="s">
        <v>204</v>
      </c>
      <c r="R1702" s="31" t="s">
        <v>167</v>
      </c>
    </row>
    <row r="1703">
      <c r="A1703" s="29">
        <v>45950.84177777778</v>
      </c>
      <c r="B1703" s="30">
        <v>45950.0</v>
      </c>
      <c r="C1703" s="31" t="s">
        <v>5296</v>
      </c>
      <c r="D1703" s="32" t="s">
        <v>5297</v>
      </c>
      <c r="E1703" s="31" t="s">
        <v>199</v>
      </c>
      <c r="F1703" s="31">
        <v>5000000.0</v>
      </c>
      <c r="G1703" s="31" t="s">
        <v>45</v>
      </c>
      <c r="H1703" s="31">
        <v>1.2E7</v>
      </c>
      <c r="I1703" s="31" t="s">
        <v>200</v>
      </c>
      <c r="K1703" s="33" t="s">
        <v>5298</v>
      </c>
      <c r="L1703" s="31" t="s">
        <v>202</v>
      </c>
      <c r="M1703" s="31" t="s">
        <v>926</v>
      </c>
      <c r="N1703" s="31" t="s">
        <v>204</v>
      </c>
      <c r="R1703" s="31" t="s">
        <v>47</v>
      </c>
    </row>
    <row r="1704">
      <c r="A1704" s="29">
        <v>45950.84513489583</v>
      </c>
      <c r="B1704" s="30">
        <v>45950.0</v>
      </c>
      <c r="C1704" s="31" t="s">
        <v>5299</v>
      </c>
      <c r="D1704" s="32" t="s">
        <v>5300</v>
      </c>
      <c r="E1704" s="31" t="s">
        <v>784</v>
      </c>
      <c r="F1704" s="31">
        <v>4000000.0</v>
      </c>
      <c r="G1704" s="31" t="s">
        <v>23</v>
      </c>
      <c r="I1704" s="31" t="s">
        <v>229</v>
      </c>
      <c r="J1704" s="31" t="s">
        <v>270</v>
      </c>
      <c r="K1704" s="33" t="s">
        <v>5301</v>
      </c>
      <c r="L1704" s="31" t="s">
        <v>202</v>
      </c>
      <c r="N1704" s="31" t="s">
        <v>204</v>
      </c>
      <c r="R1704" s="31" t="s">
        <v>47</v>
      </c>
    </row>
    <row r="1705">
      <c r="A1705" s="29">
        <v>45950.84650274305</v>
      </c>
      <c r="B1705" s="30">
        <v>45950.0</v>
      </c>
      <c r="C1705" s="31" t="s">
        <v>5302</v>
      </c>
      <c r="D1705" s="32" t="s">
        <v>3468</v>
      </c>
      <c r="E1705" s="31" t="s">
        <v>239</v>
      </c>
      <c r="F1705" s="31">
        <v>2000000.0</v>
      </c>
      <c r="G1705" s="31" t="s">
        <v>23</v>
      </c>
      <c r="I1705" s="31" t="s">
        <v>229</v>
      </c>
      <c r="J1705" s="31" t="s">
        <v>967</v>
      </c>
      <c r="K1705" s="33" t="s">
        <v>5303</v>
      </c>
      <c r="L1705" s="31" t="s">
        <v>202</v>
      </c>
      <c r="N1705" s="31" t="s">
        <v>204</v>
      </c>
      <c r="R1705" s="31" t="s">
        <v>892</v>
      </c>
    </row>
    <row r="1706">
      <c r="A1706" s="29">
        <v>45951.38300947916</v>
      </c>
      <c r="B1706" s="30">
        <v>45951.0</v>
      </c>
      <c r="C1706" s="31" t="s">
        <v>5304</v>
      </c>
      <c r="D1706" s="32" t="s">
        <v>5048</v>
      </c>
      <c r="E1706" s="31" t="s">
        <v>31</v>
      </c>
      <c r="F1706" s="31">
        <v>2000000.0</v>
      </c>
      <c r="G1706" s="31" t="s">
        <v>23</v>
      </c>
      <c r="H1706" s="31">
        <v>3000000.0</v>
      </c>
      <c r="I1706" s="31" t="s">
        <v>200</v>
      </c>
      <c r="K1706" s="33" t="s">
        <v>5305</v>
      </c>
      <c r="L1706" s="31" t="s">
        <v>202</v>
      </c>
      <c r="M1706" s="31" t="s">
        <v>203</v>
      </c>
      <c r="N1706" s="31" t="s">
        <v>215</v>
      </c>
      <c r="W1706" s="31" t="s">
        <v>216</v>
      </c>
    </row>
    <row r="1707">
      <c r="A1707" s="29">
        <v>45951.403688391205</v>
      </c>
      <c r="B1707" s="30">
        <v>45951.0</v>
      </c>
      <c r="C1707" s="31" t="s">
        <v>5306</v>
      </c>
      <c r="D1707" s="32" t="s">
        <v>5307</v>
      </c>
      <c r="E1707" s="31" t="s">
        <v>228</v>
      </c>
      <c r="F1707" s="31">
        <v>3000000.0</v>
      </c>
      <c r="G1707" s="31" t="s">
        <v>23</v>
      </c>
      <c r="I1707" s="31" t="s">
        <v>229</v>
      </c>
      <c r="J1707" s="31" t="s">
        <v>967</v>
      </c>
      <c r="K1707" s="33" t="s">
        <v>5308</v>
      </c>
      <c r="L1707" s="31" t="s">
        <v>202</v>
      </c>
      <c r="N1707" s="31" t="s">
        <v>871</v>
      </c>
      <c r="Q1707" s="31" t="s">
        <v>872</v>
      </c>
    </row>
    <row r="1708">
      <c r="A1708" s="29">
        <v>45951.40561703704</v>
      </c>
      <c r="B1708" s="30">
        <v>45951.0</v>
      </c>
      <c r="C1708" s="31" t="s">
        <v>5309</v>
      </c>
      <c r="D1708" s="32" t="s">
        <v>5310</v>
      </c>
      <c r="E1708" s="31" t="s">
        <v>31</v>
      </c>
      <c r="F1708" s="31">
        <v>3500000.0</v>
      </c>
      <c r="G1708" s="31" t="s">
        <v>23</v>
      </c>
      <c r="I1708" s="31" t="s">
        <v>229</v>
      </c>
      <c r="J1708" s="31" t="s">
        <v>967</v>
      </c>
      <c r="K1708" s="33" t="s">
        <v>5311</v>
      </c>
      <c r="L1708" s="31" t="s">
        <v>252</v>
      </c>
      <c r="O1708" s="31" t="s">
        <v>205</v>
      </c>
      <c r="X1708" s="31" t="s">
        <v>452</v>
      </c>
    </row>
    <row r="1709">
      <c r="A1709" s="29">
        <v>45951.41047293981</v>
      </c>
      <c r="B1709" s="30">
        <v>45951.0</v>
      </c>
      <c r="C1709" s="31" t="s">
        <v>5312</v>
      </c>
      <c r="D1709" s="32" t="s">
        <v>5313</v>
      </c>
      <c r="E1709" s="31" t="s">
        <v>43</v>
      </c>
      <c r="F1709" s="31">
        <v>3000000.0</v>
      </c>
      <c r="G1709" s="31" t="s">
        <v>23</v>
      </c>
      <c r="I1709" s="31" t="s">
        <v>229</v>
      </c>
      <c r="J1709" s="31" t="s">
        <v>967</v>
      </c>
      <c r="K1709" s="33" t="s">
        <v>5314</v>
      </c>
      <c r="L1709" s="31" t="s">
        <v>202</v>
      </c>
      <c r="N1709" s="31" t="s">
        <v>871</v>
      </c>
      <c r="Q1709" s="31" t="s">
        <v>872</v>
      </c>
    </row>
    <row r="1710">
      <c r="A1710" s="29">
        <v>45951.4110490625</v>
      </c>
      <c r="B1710" s="30">
        <v>45951.0</v>
      </c>
      <c r="C1710" s="31" t="s">
        <v>5315</v>
      </c>
      <c r="D1710" s="32" t="s">
        <v>5316</v>
      </c>
      <c r="E1710" s="31" t="s">
        <v>5317</v>
      </c>
      <c r="F1710" s="31">
        <v>3100000.0</v>
      </c>
      <c r="G1710" s="31" t="s">
        <v>23</v>
      </c>
      <c r="I1710" s="31" t="s">
        <v>229</v>
      </c>
      <c r="J1710" s="31" t="s">
        <v>967</v>
      </c>
      <c r="K1710" s="33" t="s">
        <v>5318</v>
      </c>
      <c r="L1710" s="31" t="s">
        <v>202</v>
      </c>
      <c r="N1710" s="31" t="s">
        <v>313</v>
      </c>
      <c r="T1710" s="31" t="s">
        <v>384</v>
      </c>
    </row>
    <row r="1711">
      <c r="A1711" s="29">
        <v>45951.41819836806</v>
      </c>
      <c r="B1711" s="30">
        <v>45951.0</v>
      </c>
      <c r="C1711" s="31" t="s">
        <v>5319</v>
      </c>
      <c r="D1711" s="32" t="s">
        <v>5320</v>
      </c>
      <c r="E1711" s="31" t="s">
        <v>43</v>
      </c>
      <c r="F1711" s="31">
        <v>3400000.0</v>
      </c>
      <c r="G1711" s="31" t="s">
        <v>23</v>
      </c>
      <c r="I1711" s="31" t="s">
        <v>229</v>
      </c>
      <c r="J1711" s="31" t="s">
        <v>967</v>
      </c>
      <c r="K1711" s="33" t="s">
        <v>5321</v>
      </c>
      <c r="L1711" s="31" t="s">
        <v>202</v>
      </c>
      <c r="N1711" s="31" t="s">
        <v>667</v>
      </c>
      <c r="U1711" s="31" t="s">
        <v>668</v>
      </c>
    </row>
    <row r="1712">
      <c r="A1712" s="29">
        <v>45951.42017481482</v>
      </c>
      <c r="B1712" s="30">
        <v>45951.0</v>
      </c>
      <c r="C1712" s="31" t="s">
        <v>5322</v>
      </c>
      <c r="D1712" s="32" t="s">
        <v>5323</v>
      </c>
      <c r="E1712" s="31" t="s">
        <v>31</v>
      </c>
      <c r="F1712" s="31">
        <v>4999000.0</v>
      </c>
      <c r="G1712" s="31" t="s">
        <v>23</v>
      </c>
      <c r="I1712" s="31" t="s">
        <v>229</v>
      </c>
      <c r="J1712" s="31" t="s">
        <v>967</v>
      </c>
      <c r="K1712" s="33" t="s">
        <v>5324</v>
      </c>
      <c r="L1712" s="31" t="s">
        <v>202</v>
      </c>
      <c r="N1712" s="31" t="s">
        <v>204</v>
      </c>
      <c r="R1712" s="31" t="s">
        <v>207</v>
      </c>
    </row>
    <row r="1713">
      <c r="A1713" s="29">
        <v>45951.44655953704</v>
      </c>
      <c r="B1713" s="30">
        <v>45951.0</v>
      </c>
      <c r="C1713" s="31" t="s">
        <v>5325</v>
      </c>
      <c r="D1713" s="32" t="s">
        <v>5326</v>
      </c>
      <c r="E1713" s="31" t="s">
        <v>43</v>
      </c>
      <c r="F1713" s="31">
        <v>2200000.0</v>
      </c>
      <c r="G1713" s="31" t="s">
        <v>23</v>
      </c>
      <c r="I1713" s="31" t="s">
        <v>229</v>
      </c>
      <c r="J1713" s="31" t="s">
        <v>967</v>
      </c>
      <c r="K1713" s="33" t="s">
        <v>5327</v>
      </c>
      <c r="L1713" s="31" t="s">
        <v>202</v>
      </c>
      <c r="N1713" s="31" t="s">
        <v>220</v>
      </c>
      <c r="S1713" s="31" t="s">
        <v>36</v>
      </c>
    </row>
    <row r="1714">
      <c r="A1714" s="29">
        <v>45951.47409091435</v>
      </c>
      <c r="B1714" s="30">
        <v>45951.0</v>
      </c>
      <c r="C1714" s="31" t="s">
        <v>5328</v>
      </c>
      <c r="D1714" s="32" t="s">
        <v>5329</v>
      </c>
      <c r="E1714" s="31" t="s">
        <v>31</v>
      </c>
      <c r="F1714" s="31">
        <v>3500000.0</v>
      </c>
      <c r="G1714" s="31" t="s">
        <v>23</v>
      </c>
      <c r="I1714" s="31" t="s">
        <v>229</v>
      </c>
      <c r="J1714" s="31" t="s">
        <v>293</v>
      </c>
      <c r="K1714" s="33" t="s">
        <v>5330</v>
      </c>
      <c r="L1714" s="31" t="s">
        <v>252</v>
      </c>
      <c r="O1714" s="31" t="s">
        <v>205</v>
      </c>
      <c r="X1714" s="31" t="s">
        <v>452</v>
      </c>
    </row>
    <row r="1715">
      <c r="A1715" s="29">
        <v>45951.4778362037</v>
      </c>
      <c r="B1715" s="30">
        <v>45951.0</v>
      </c>
      <c r="C1715" s="31" t="s">
        <v>5331</v>
      </c>
      <c r="D1715" s="32" t="s">
        <v>5332</v>
      </c>
      <c r="E1715" s="31" t="s">
        <v>43</v>
      </c>
      <c r="F1715" s="31">
        <v>5000000.0</v>
      </c>
      <c r="G1715" s="31" t="s">
        <v>23</v>
      </c>
      <c r="I1715" s="31" t="s">
        <v>229</v>
      </c>
      <c r="J1715" s="31" t="s">
        <v>967</v>
      </c>
      <c r="K1715" s="33" t="s">
        <v>5333</v>
      </c>
      <c r="L1715" s="31" t="s">
        <v>202</v>
      </c>
      <c r="N1715" s="31" t="s">
        <v>220</v>
      </c>
      <c r="S1715" s="31" t="s">
        <v>59</v>
      </c>
    </row>
    <row r="1716">
      <c r="A1716" s="29">
        <v>45951.552646516204</v>
      </c>
      <c r="B1716" s="30">
        <v>45951.0</v>
      </c>
      <c r="C1716" s="31" t="s">
        <v>5334</v>
      </c>
      <c r="D1716" s="32" t="s">
        <v>5335</v>
      </c>
      <c r="E1716" s="31" t="s">
        <v>127</v>
      </c>
      <c r="F1716" s="31">
        <v>3500000.0</v>
      </c>
      <c r="G1716" s="31" t="s">
        <v>23</v>
      </c>
      <c r="I1716" s="31" t="s">
        <v>229</v>
      </c>
      <c r="J1716" s="31" t="s">
        <v>967</v>
      </c>
      <c r="K1716" s="33" t="s">
        <v>5336</v>
      </c>
      <c r="L1716" s="31" t="s">
        <v>252</v>
      </c>
      <c r="O1716" s="31" t="s">
        <v>257</v>
      </c>
      <c r="P1716" s="31" t="s">
        <v>206</v>
      </c>
    </row>
    <row r="1717">
      <c r="A1717" s="29">
        <v>45951.57872962963</v>
      </c>
      <c r="B1717" s="30">
        <v>45951.0</v>
      </c>
      <c r="C1717" s="31" t="s">
        <v>5337</v>
      </c>
      <c r="D1717" s="32" t="s">
        <v>5338</v>
      </c>
      <c r="E1717" s="31" t="s">
        <v>239</v>
      </c>
      <c r="F1717" s="31">
        <v>4600000.0</v>
      </c>
      <c r="G1717" s="31" t="s">
        <v>23</v>
      </c>
      <c r="I1717" s="31" t="s">
        <v>229</v>
      </c>
      <c r="J1717" s="31" t="s">
        <v>967</v>
      </c>
      <c r="K1717" s="33" t="s">
        <v>5339</v>
      </c>
      <c r="L1717" s="31" t="s">
        <v>202</v>
      </c>
      <c r="N1717" s="31" t="s">
        <v>204</v>
      </c>
      <c r="R1717" s="31" t="s">
        <v>90</v>
      </c>
    </row>
    <row r="1718">
      <c r="A1718" s="29">
        <v>45951.60742193287</v>
      </c>
      <c r="B1718" s="30">
        <v>45951.0</v>
      </c>
      <c r="C1718" s="31" t="s">
        <v>5340</v>
      </c>
      <c r="D1718" s="32" t="s">
        <v>5341</v>
      </c>
      <c r="E1718" s="31" t="s">
        <v>5342</v>
      </c>
      <c r="F1718" s="31">
        <v>3200000.0</v>
      </c>
      <c r="G1718" s="31" t="s">
        <v>23</v>
      </c>
      <c r="I1718" s="31" t="s">
        <v>229</v>
      </c>
      <c r="J1718" s="31" t="s">
        <v>967</v>
      </c>
      <c r="K1718" s="33" t="s">
        <v>5343</v>
      </c>
      <c r="L1718" s="31" t="s">
        <v>202</v>
      </c>
      <c r="N1718" s="31" t="s">
        <v>313</v>
      </c>
      <c r="T1718" s="31" t="s">
        <v>384</v>
      </c>
    </row>
    <row r="1719">
      <c r="A1719" s="29">
        <v>45951.633361354165</v>
      </c>
      <c r="B1719" s="30">
        <v>45951.0</v>
      </c>
      <c r="C1719" s="31" t="s">
        <v>5344</v>
      </c>
      <c r="D1719" s="31">
        <v>0.0</v>
      </c>
      <c r="E1719" s="31" t="s">
        <v>43</v>
      </c>
      <c r="F1719" s="31">
        <v>390000.0</v>
      </c>
      <c r="G1719" s="31" t="s">
        <v>45</v>
      </c>
      <c r="H1719" s="31">
        <v>3000000.0</v>
      </c>
      <c r="I1719" s="31" t="s">
        <v>413</v>
      </c>
      <c r="K1719" s="33" t="s">
        <v>5345</v>
      </c>
      <c r="L1719" s="31" t="s">
        <v>252</v>
      </c>
      <c r="M1719" s="31" t="s">
        <v>926</v>
      </c>
      <c r="O1719" s="31" t="s">
        <v>257</v>
      </c>
      <c r="P1719" s="31" t="s">
        <v>2320</v>
      </c>
    </row>
    <row r="1720">
      <c r="A1720" s="29">
        <v>45951.63405368055</v>
      </c>
      <c r="B1720" s="30">
        <v>45951.0</v>
      </c>
      <c r="C1720" s="31" t="s">
        <v>5346</v>
      </c>
      <c r="D1720" s="32" t="s">
        <v>5347</v>
      </c>
      <c r="E1720" s="31" t="s">
        <v>43</v>
      </c>
      <c r="F1720" s="31">
        <v>2600000.0</v>
      </c>
      <c r="G1720" s="31" t="s">
        <v>23</v>
      </c>
      <c r="I1720" s="31" t="s">
        <v>229</v>
      </c>
      <c r="J1720" s="31" t="s">
        <v>967</v>
      </c>
      <c r="K1720" s="33" t="s">
        <v>5348</v>
      </c>
      <c r="L1720" s="31" t="s">
        <v>252</v>
      </c>
      <c r="O1720" s="31" t="s">
        <v>257</v>
      </c>
      <c r="P1720" s="31" t="s">
        <v>2453</v>
      </c>
    </row>
    <row r="1721">
      <c r="A1721" s="29">
        <v>45951.634848946764</v>
      </c>
      <c r="B1721" s="30">
        <v>45951.0</v>
      </c>
      <c r="C1721" s="31" t="s">
        <v>5349</v>
      </c>
      <c r="D1721" s="32" t="s">
        <v>5350</v>
      </c>
      <c r="E1721" s="31" t="s">
        <v>31</v>
      </c>
      <c r="F1721" s="31">
        <v>6700000.0</v>
      </c>
      <c r="G1721" s="31" t="s">
        <v>23</v>
      </c>
      <c r="H1721" s="31">
        <v>3000000.0</v>
      </c>
      <c r="I1721" s="31" t="s">
        <v>413</v>
      </c>
      <c r="K1721" s="33" t="s">
        <v>5351</v>
      </c>
      <c r="L1721" s="31" t="s">
        <v>202</v>
      </c>
      <c r="M1721" s="31" t="s">
        <v>203</v>
      </c>
      <c r="N1721" s="31" t="s">
        <v>667</v>
      </c>
      <c r="U1721" s="31" t="s">
        <v>668</v>
      </c>
    </row>
    <row r="1722">
      <c r="A1722" s="29">
        <v>45951.635246736114</v>
      </c>
      <c r="B1722" s="30">
        <v>45951.0</v>
      </c>
      <c r="C1722" s="31" t="s">
        <v>5352</v>
      </c>
      <c r="D1722" s="32" t="s">
        <v>3474</v>
      </c>
      <c r="E1722" s="31" t="s">
        <v>43</v>
      </c>
      <c r="F1722" s="31">
        <v>2600000.0</v>
      </c>
      <c r="G1722" s="31" t="s">
        <v>23</v>
      </c>
      <c r="I1722" s="31" t="s">
        <v>229</v>
      </c>
      <c r="J1722" s="31" t="s">
        <v>967</v>
      </c>
      <c r="K1722" s="33" t="s">
        <v>5353</v>
      </c>
      <c r="L1722" s="31" t="s">
        <v>252</v>
      </c>
      <c r="O1722" s="31" t="s">
        <v>257</v>
      </c>
      <c r="P1722" s="31" t="s">
        <v>2453</v>
      </c>
    </row>
    <row r="1723">
      <c r="A1723" s="29">
        <v>45951.6463728588</v>
      </c>
      <c r="B1723" s="30">
        <v>45951.0</v>
      </c>
      <c r="C1723" s="31" t="s">
        <v>5354</v>
      </c>
      <c r="D1723" s="31">
        <v>0.0</v>
      </c>
      <c r="E1723" s="31" t="s">
        <v>43</v>
      </c>
      <c r="F1723" s="32" t="s">
        <v>3711</v>
      </c>
      <c r="G1723" s="31" t="s">
        <v>23</v>
      </c>
      <c r="I1723" s="31" t="s">
        <v>229</v>
      </c>
      <c r="J1723" s="31" t="s">
        <v>967</v>
      </c>
      <c r="K1723" s="33" t="s">
        <v>5355</v>
      </c>
      <c r="L1723" s="31" t="s">
        <v>252</v>
      </c>
      <c r="O1723" s="31" t="s">
        <v>257</v>
      </c>
      <c r="P1723" s="31" t="s">
        <v>992</v>
      </c>
    </row>
    <row r="1724">
      <c r="A1724" s="29">
        <v>45951.6581390162</v>
      </c>
      <c r="B1724" s="30">
        <v>45951.0</v>
      </c>
      <c r="C1724" s="31" t="s">
        <v>5356</v>
      </c>
      <c r="D1724" s="32" t="s">
        <v>5357</v>
      </c>
      <c r="E1724" s="31" t="s">
        <v>31</v>
      </c>
      <c r="F1724" s="31">
        <v>7600000.0</v>
      </c>
      <c r="G1724" s="31" t="s">
        <v>23</v>
      </c>
      <c r="H1724" s="31">
        <v>3000000.0</v>
      </c>
      <c r="I1724" s="31" t="s">
        <v>413</v>
      </c>
      <c r="K1724" s="33" t="s">
        <v>5358</v>
      </c>
      <c r="L1724" s="31" t="s">
        <v>202</v>
      </c>
      <c r="M1724" s="31" t="s">
        <v>203</v>
      </c>
      <c r="N1724" s="31" t="s">
        <v>313</v>
      </c>
      <c r="T1724" s="31" t="s">
        <v>329</v>
      </c>
    </row>
    <row r="1725">
      <c r="A1725" s="29">
        <v>45951.665353425924</v>
      </c>
      <c r="B1725" s="30">
        <v>45951.0</v>
      </c>
      <c r="C1725" s="31" t="s">
        <v>5359</v>
      </c>
      <c r="D1725" s="32" t="s">
        <v>5360</v>
      </c>
      <c r="E1725" s="31" t="s">
        <v>2902</v>
      </c>
      <c r="F1725" s="31">
        <v>4500000.0</v>
      </c>
      <c r="G1725" s="31" t="s">
        <v>23</v>
      </c>
      <c r="I1725" s="31" t="s">
        <v>229</v>
      </c>
      <c r="J1725" s="31" t="s">
        <v>967</v>
      </c>
      <c r="K1725" s="33" t="s">
        <v>5361</v>
      </c>
      <c r="L1725" s="31" t="s">
        <v>202</v>
      </c>
      <c r="N1725" s="31" t="s">
        <v>220</v>
      </c>
      <c r="S1725" s="31" t="s">
        <v>36</v>
      </c>
    </row>
    <row r="1726">
      <c r="A1726" s="29">
        <v>45951.70363049769</v>
      </c>
      <c r="B1726" s="30">
        <v>45951.0</v>
      </c>
      <c r="C1726" s="31" t="s">
        <v>5362</v>
      </c>
      <c r="D1726" s="32" t="s">
        <v>5363</v>
      </c>
      <c r="E1726" s="31" t="s">
        <v>121</v>
      </c>
      <c r="F1726" s="31">
        <v>1.49E7</v>
      </c>
      <c r="G1726" s="31" t="s">
        <v>23</v>
      </c>
      <c r="I1726" s="31" t="s">
        <v>229</v>
      </c>
      <c r="J1726" s="31" t="s">
        <v>967</v>
      </c>
      <c r="K1726" s="33" t="s">
        <v>5364</v>
      </c>
      <c r="L1726" s="31" t="s">
        <v>252</v>
      </c>
      <c r="O1726" s="31" t="s">
        <v>257</v>
      </c>
      <c r="P1726" s="31" t="s">
        <v>272</v>
      </c>
    </row>
    <row r="1727">
      <c r="A1727" s="29">
        <v>45951.7039528125</v>
      </c>
      <c r="B1727" s="30">
        <v>45951.0</v>
      </c>
      <c r="C1727" s="31" t="s">
        <v>5365</v>
      </c>
      <c r="D1727" s="32" t="s">
        <v>5366</v>
      </c>
      <c r="E1727" s="31" t="s">
        <v>199</v>
      </c>
      <c r="F1727" s="31">
        <v>6100000.0</v>
      </c>
      <c r="G1727" s="31" t="s">
        <v>45</v>
      </c>
      <c r="I1727" s="31" t="s">
        <v>229</v>
      </c>
      <c r="J1727" s="31" t="s">
        <v>967</v>
      </c>
      <c r="K1727" s="33" t="s">
        <v>5367</v>
      </c>
      <c r="L1727" s="31" t="s">
        <v>202</v>
      </c>
      <c r="N1727" s="31" t="s">
        <v>204</v>
      </c>
      <c r="R1727" s="31" t="s">
        <v>207</v>
      </c>
    </row>
    <row r="1728">
      <c r="A1728" s="29">
        <v>45951.71632127315</v>
      </c>
      <c r="B1728" s="30">
        <v>45951.0</v>
      </c>
      <c r="C1728" s="31" t="s">
        <v>5368</v>
      </c>
      <c r="D1728" s="31">
        <v>8.1371961733E10</v>
      </c>
      <c r="E1728" s="31" t="s">
        <v>288</v>
      </c>
      <c r="F1728" s="34">
        <v>5000.0</v>
      </c>
      <c r="G1728" s="31" t="s">
        <v>23</v>
      </c>
      <c r="H1728" s="34">
        <v>3000.0</v>
      </c>
      <c r="I1728" s="31" t="s">
        <v>413</v>
      </c>
      <c r="K1728" s="33" t="s">
        <v>5369</v>
      </c>
      <c r="L1728" s="31" t="s">
        <v>202</v>
      </c>
      <c r="M1728" s="31" t="s">
        <v>203</v>
      </c>
      <c r="N1728" s="31" t="s">
        <v>204</v>
      </c>
      <c r="R1728" s="31" t="s">
        <v>167</v>
      </c>
    </row>
    <row r="1729">
      <c r="A1729" s="29">
        <v>45951.72273930555</v>
      </c>
      <c r="B1729" s="30">
        <v>45951.0</v>
      </c>
      <c r="C1729" s="31" t="s">
        <v>4521</v>
      </c>
      <c r="D1729" s="32" t="s">
        <v>5370</v>
      </c>
      <c r="E1729" s="31" t="s">
        <v>228</v>
      </c>
      <c r="F1729" s="31">
        <v>1500000.0</v>
      </c>
      <c r="G1729" s="31" t="s">
        <v>23</v>
      </c>
      <c r="I1729" s="31" t="s">
        <v>229</v>
      </c>
      <c r="J1729" s="31" t="s">
        <v>967</v>
      </c>
      <c r="K1729" s="33" t="s">
        <v>5371</v>
      </c>
      <c r="L1729" s="31" t="s">
        <v>202</v>
      </c>
      <c r="N1729" s="31" t="s">
        <v>667</v>
      </c>
      <c r="U1729" s="31" t="s">
        <v>3950</v>
      </c>
    </row>
    <row r="1730">
      <c r="A1730" s="29">
        <v>45951.7855914699</v>
      </c>
      <c r="B1730" s="30">
        <v>45951.0</v>
      </c>
      <c r="C1730" s="31" t="s">
        <v>5372</v>
      </c>
      <c r="D1730" s="32" t="s">
        <v>5373</v>
      </c>
      <c r="E1730" s="31" t="s">
        <v>156</v>
      </c>
      <c r="F1730" s="31">
        <v>3700000.0</v>
      </c>
      <c r="G1730" s="31" t="s">
        <v>23</v>
      </c>
      <c r="H1730" s="31">
        <v>5000000.0</v>
      </c>
      <c r="I1730" s="31" t="s">
        <v>200</v>
      </c>
      <c r="K1730" s="33" t="s">
        <v>5374</v>
      </c>
      <c r="L1730" s="31" t="s">
        <v>252</v>
      </c>
      <c r="M1730" s="31" t="s">
        <v>926</v>
      </c>
      <c r="O1730" s="31" t="s">
        <v>205</v>
      </c>
      <c r="X1730" s="31" t="s">
        <v>569</v>
      </c>
    </row>
    <row r="1731">
      <c r="A1731" s="29">
        <v>45951.78613342592</v>
      </c>
      <c r="B1731" s="30">
        <v>45951.0</v>
      </c>
      <c r="C1731" s="31" t="s">
        <v>5375</v>
      </c>
      <c r="D1731" s="32" t="s">
        <v>5376</v>
      </c>
      <c r="E1731" s="31" t="s">
        <v>43</v>
      </c>
      <c r="F1731" s="31">
        <v>5200000.0</v>
      </c>
      <c r="G1731" s="31" t="s">
        <v>23</v>
      </c>
      <c r="I1731" s="31" t="s">
        <v>229</v>
      </c>
      <c r="J1731" s="31" t="s">
        <v>967</v>
      </c>
      <c r="K1731" s="33" t="s">
        <v>5377</v>
      </c>
      <c r="L1731" s="31" t="s">
        <v>252</v>
      </c>
      <c r="O1731" s="31" t="s">
        <v>205</v>
      </c>
      <c r="X1731" s="31" t="s">
        <v>2335</v>
      </c>
    </row>
    <row r="1732">
      <c r="A1732" s="29">
        <v>45951.8068691088</v>
      </c>
      <c r="B1732" s="30">
        <v>45951.0</v>
      </c>
      <c r="C1732" s="31" t="s">
        <v>5378</v>
      </c>
      <c r="D1732" s="32" t="s">
        <v>2282</v>
      </c>
      <c r="E1732" s="31" t="s">
        <v>43</v>
      </c>
      <c r="F1732" s="31">
        <v>3000000.0</v>
      </c>
      <c r="G1732" s="31" t="s">
        <v>23</v>
      </c>
      <c r="I1732" s="31" t="s">
        <v>229</v>
      </c>
      <c r="J1732" s="31" t="s">
        <v>967</v>
      </c>
      <c r="K1732" s="33" t="s">
        <v>5379</v>
      </c>
      <c r="L1732" s="31" t="s">
        <v>202</v>
      </c>
      <c r="N1732" s="31" t="s">
        <v>215</v>
      </c>
      <c r="W1732" s="31" t="s">
        <v>389</v>
      </c>
    </row>
    <row r="1733">
      <c r="A1733" s="29">
        <v>45951.868049571756</v>
      </c>
      <c r="B1733" s="30">
        <v>45951.0</v>
      </c>
      <c r="C1733" s="31" t="s">
        <v>5380</v>
      </c>
      <c r="D1733" s="32" t="s">
        <v>5381</v>
      </c>
      <c r="E1733" s="31" t="s">
        <v>31</v>
      </c>
      <c r="F1733" s="31">
        <v>9000000.0</v>
      </c>
      <c r="G1733" s="31" t="s">
        <v>45</v>
      </c>
      <c r="H1733" s="31">
        <v>3.0E7</v>
      </c>
      <c r="I1733" s="31" t="s">
        <v>413</v>
      </c>
      <c r="K1733" s="33" t="s">
        <v>5382</v>
      </c>
      <c r="L1733" s="31" t="s">
        <v>202</v>
      </c>
      <c r="M1733" s="31" t="s">
        <v>435</v>
      </c>
      <c r="N1733" s="31" t="s">
        <v>204</v>
      </c>
      <c r="R1733" s="31" t="s">
        <v>471</v>
      </c>
    </row>
    <row r="1734">
      <c r="A1734" s="29">
        <v>45951.92173158565</v>
      </c>
      <c r="B1734" s="30">
        <v>45951.0</v>
      </c>
      <c r="C1734" s="31" t="s">
        <v>5383</v>
      </c>
      <c r="D1734" s="32" t="s">
        <v>5384</v>
      </c>
      <c r="E1734" s="31" t="s">
        <v>239</v>
      </c>
      <c r="F1734" s="31">
        <v>1500000.0</v>
      </c>
      <c r="G1734" s="31" t="s">
        <v>23</v>
      </c>
      <c r="I1734" s="31" t="s">
        <v>229</v>
      </c>
      <c r="J1734" s="31" t="s">
        <v>967</v>
      </c>
      <c r="K1734" s="33" t="s">
        <v>5385</v>
      </c>
      <c r="L1734" s="31" t="s">
        <v>202</v>
      </c>
      <c r="N1734" s="31" t="s">
        <v>204</v>
      </c>
      <c r="R1734" s="31" t="s">
        <v>892</v>
      </c>
    </row>
    <row r="1735">
      <c r="A1735" s="29">
        <v>45952.3910518287</v>
      </c>
      <c r="B1735" s="30">
        <v>45952.0</v>
      </c>
      <c r="C1735" s="31" t="s">
        <v>5386</v>
      </c>
      <c r="D1735" s="32" t="s">
        <v>5387</v>
      </c>
      <c r="E1735" s="31" t="s">
        <v>156</v>
      </c>
      <c r="F1735" s="31">
        <v>6000000.0</v>
      </c>
      <c r="G1735" s="31" t="s">
        <v>23</v>
      </c>
      <c r="I1735" s="31" t="s">
        <v>229</v>
      </c>
      <c r="J1735" s="31" t="s">
        <v>967</v>
      </c>
      <c r="K1735" s="33" t="s">
        <v>5388</v>
      </c>
      <c r="L1735" s="31" t="s">
        <v>252</v>
      </c>
      <c r="O1735" s="31" t="s">
        <v>205</v>
      </c>
      <c r="X1735" s="31" t="s">
        <v>569</v>
      </c>
    </row>
    <row r="1736">
      <c r="A1736" s="29">
        <v>45952.41967891203</v>
      </c>
      <c r="B1736" s="30">
        <v>45952.0</v>
      </c>
      <c r="C1736" s="31" t="s">
        <v>5389</v>
      </c>
      <c r="D1736" s="32" t="s">
        <v>5390</v>
      </c>
      <c r="E1736" s="31" t="s">
        <v>261</v>
      </c>
      <c r="F1736" s="31">
        <v>50.0</v>
      </c>
      <c r="G1736" s="31" t="s">
        <v>23</v>
      </c>
      <c r="I1736" s="31" t="s">
        <v>229</v>
      </c>
      <c r="J1736" s="31" t="s">
        <v>293</v>
      </c>
      <c r="K1736" s="33" t="s">
        <v>5391</v>
      </c>
      <c r="L1736" s="31" t="s">
        <v>202</v>
      </c>
      <c r="N1736" s="31" t="s">
        <v>313</v>
      </c>
      <c r="T1736" s="31" t="s">
        <v>4272</v>
      </c>
    </row>
    <row r="1737">
      <c r="A1737" s="29">
        <v>45952.43023550926</v>
      </c>
      <c r="B1737" s="30">
        <v>45952.0</v>
      </c>
      <c r="C1737" s="31" t="s">
        <v>5392</v>
      </c>
      <c r="D1737" s="32" t="s">
        <v>3714</v>
      </c>
      <c r="E1737" s="31" t="s">
        <v>5393</v>
      </c>
      <c r="F1737" s="31">
        <v>2000000.0</v>
      </c>
      <c r="G1737" s="31" t="s">
        <v>23</v>
      </c>
      <c r="I1737" s="31" t="s">
        <v>229</v>
      </c>
      <c r="J1737" s="31" t="s">
        <v>967</v>
      </c>
      <c r="K1737" s="33" t="s">
        <v>5394</v>
      </c>
      <c r="L1737" s="31" t="s">
        <v>202</v>
      </c>
      <c r="N1737" s="31" t="s">
        <v>215</v>
      </c>
      <c r="W1737" s="31" t="s">
        <v>532</v>
      </c>
    </row>
    <row r="1738">
      <c r="A1738" s="29">
        <v>45952.454559108795</v>
      </c>
      <c r="B1738" s="30">
        <v>45952.0</v>
      </c>
      <c r="C1738" s="31" t="s">
        <v>4512</v>
      </c>
      <c r="D1738" s="32" t="s">
        <v>5395</v>
      </c>
      <c r="E1738" s="31" t="s">
        <v>5396</v>
      </c>
      <c r="F1738" s="31">
        <v>3100000.0</v>
      </c>
      <c r="G1738" s="31" t="s">
        <v>23</v>
      </c>
      <c r="H1738" s="31">
        <v>3000000.0</v>
      </c>
      <c r="I1738" s="31" t="s">
        <v>413</v>
      </c>
      <c r="K1738" s="33" t="s">
        <v>5397</v>
      </c>
      <c r="L1738" s="31" t="s">
        <v>202</v>
      </c>
      <c r="M1738" s="31" t="s">
        <v>203</v>
      </c>
      <c r="N1738" s="31" t="s">
        <v>313</v>
      </c>
      <c r="T1738" s="31" t="s">
        <v>384</v>
      </c>
    </row>
    <row r="1739">
      <c r="A1739" s="29">
        <v>45952.47984864583</v>
      </c>
      <c r="B1739" s="30">
        <v>45952.0</v>
      </c>
      <c r="C1739" s="31" t="s">
        <v>5398</v>
      </c>
      <c r="D1739" s="32" t="s">
        <v>5399</v>
      </c>
      <c r="E1739" s="31" t="s">
        <v>881</v>
      </c>
      <c r="F1739" s="31">
        <v>6000000.0</v>
      </c>
      <c r="G1739" s="31" t="s">
        <v>23</v>
      </c>
      <c r="I1739" s="31" t="s">
        <v>229</v>
      </c>
      <c r="J1739" s="31" t="s">
        <v>967</v>
      </c>
      <c r="K1739" s="33" t="s">
        <v>5400</v>
      </c>
      <c r="L1739" s="31" t="s">
        <v>202</v>
      </c>
      <c r="N1739" s="31" t="s">
        <v>220</v>
      </c>
      <c r="S1739" s="31" t="s">
        <v>1406</v>
      </c>
    </row>
    <row r="1740">
      <c r="A1740" s="29">
        <v>45952.487084849534</v>
      </c>
      <c r="B1740" s="30">
        <v>45952.0</v>
      </c>
      <c r="C1740" s="31" t="s">
        <v>5401</v>
      </c>
      <c r="D1740" s="32" t="s">
        <v>5402</v>
      </c>
      <c r="E1740" s="31" t="s">
        <v>2902</v>
      </c>
      <c r="F1740" s="31">
        <v>3200000.0</v>
      </c>
      <c r="G1740" s="31" t="s">
        <v>23</v>
      </c>
      <c r="I1740" s="31" t="s">
        <v>229</v>
      </c>
      <c r="J1740" s="31" t="s">
        <v>967</v>
      </c>
      <c r="K1740" s="33" t="s">
        <v>5403</v>
      </c>
      <c r="L1740" s="31" t="s">
        <v>202</v>
      </c>
      <c r="N1740" s="31" t="s">
        <v>220</v>
      </c>
      <c r="S1740" s="31" t="s">
        <v>36</v>
      </c>
    </row>
    <row r="1741">
      <c r="A1741" s="29">
        <v>45952.52577678241</v>
      </c>
      <c r="B1741" s="30">
        <v>45952.0</v>
      </c>
      <c r="C1741" s="31" t="s">
        <v>5404</v>
      </c>
      <c r="D1741" s="32" t="s">
        <v>5405</v>
      </c>
      <c r="E1741" s="31" t="s">
        <v>228</v>
      </c>
      <c r="F1741" s="31">
        <v>2000000.0</v>
      </c>
      <c r="G1741" s="31" t="s">
        <v>23</v>
      </c>
      <c r="I1741" s="31" t="s">
        <v>229</v>
      </c>
      <c r="J1741" s="31" t="s">
        <v>967</v>
      </c>
      <c r="K1741" s="33" t="s">
        <v>5406</v>
      </c>
      <c r="L1741" s="31" t="s">
        <v>202</v>
      </c>
      <c r="N1741" s="31" t="s">
        <v>667</v>
      </c>
      <c r="U1741" s="31" t="s">
        <v>3950</v>
      </c>
    </row>
    <row r="1742">
      <c r="A1742" s="29">
        <v>45952.5377284375</v>
      </c>
      <c r="B1742" s="30">
        <v>45952.0</v>
      </c>
      <c r="C1742" s="31" t="s">
        <v>5407</v>
      </c>
      <c r="D1742" s="32" t="s">
        <v>5408</v>
      </c>
      <c r="E1742" s="31" t="s">
        <v>199</v>
      </c>
      <c r="F1742" s="31">
        <v>7200000.0</v>
      </c>
      <c r="G1742" s="31" t="s">
        <v>45</v>
      </c>
      <c r="I1742" s="31" t="s">
        <v>229</v>
      </c>
      <c r="J1742" s="31" t="s">
        <v>967</v>
      </c>
      <c r="K1742" s="33" t="s">
        <v>5409</v>
      </c>
      <c r="L1742" s="31" t="s">
        <v>202</v>
      </c>
      <c r="N1742" s="31" t="s">
        <v>313</v>
      </c>
      <c r="T1742" s="31" t="s">
        <v>329</v>
      </c>
    </row>
    <row r="1743">
      <c r="A1743" s="29">
        <v>45952.54580702547</v>
      </c>
      <c r="B1743" s="30">
        <v>45952.0</v>
      </c>
      <c r="C1743" s="31" t="s">
        <v>5410</v>
      </c>
      <c r="D1743" s="31">
        <v>0.0</v>
      </c>
      <c r="E1743" s="31" t="s">
        <v>43</v>
      </c>
      <c r="F1743" s="32" t="s">
        <v>5089</v>
      </c>
      <c r="G1743" s="31" t="s">
        <v>23</v>
      </c>
      <c r="H1743" s="31">
        <v>3000000.0</v>
      </c>
      <c r="I1743" s="31" t="s">
        <v>200</v>
      </c>
      <c r="K1743" s="33" t="s">
        <v>5411</v>
      </c>
      <c r="L1743" s="31" t="s">
        <v>252</v>
      </c>
      <c r="M1743" s="31" t="s">
        <v>203</v>
      </c>
      <c r="O1743" s="31" t="s">
        <v>257</v>
      </c>
      <c r="P1743" s="31" t="s">
        <v>992</v>
      </c>
    </row>
    <row r="1744">
      <c r="A1744" s="29">
        <v>45952.55780545139</v>
      </c>
      <c r="B1744" s="30">
        <v>45952.0</v>
      </c>
      <c r="C1744" s="31" t="s">
        <v>5412</v>
      </c>
      <c r="D1744" s="32" t="s">
        <v>5413</v>
      </c>
      <c r="E1744" s="31" t="s">
        <v>261</v>
      </c>
      <c r="F1744" s="31">
        <v>50.0</v>
      </c>
      <c r="G1744" s="31" t="s">
        <v>23</v>
      </c>
      <c r="I1744" s="31" t="s">
        <v>229</v>
      </c>
      <c r="J1744" s="31" t="s">
        <v>967</v>
      </c>
      <c r="K1744" s="33" t="s">
        <v>5414</v>
      </c>
      <c r="L1744" s="31" t="s">
        <v>202</v>
      </c>
      <c r="N1744" s="31" t="s">
        <v>313</v>
      </c>
      <c r="T1744" s="31" t="s">
        <v>4272</v>
      </c>
    </row>
    <row r="1745">
      <c r="A1745" s="29">
        <v>45952.56113962963</v>
      </c>
      <c r="B1745" s="30">
        <v>45950.0</v>
      </c>
      <c r="C1745" s="31" t="s">
        <v>5415</v>
      </c>
      <c r="D1745" s="32" t="s">
        <v>5416</v>
      </c>
      <c r="E1745" s="31" t="s">
        <v>288</v>
      </c>
      <c r="F1745" s="31">
        <v>1000000.0</v>
      </c>
      <c r="G1745" s="31" t="s">
        <v>23</v>
      </c>
      <c r="I1745" s="31" t="s">
        <v>229</v>
      </c>
      <c r="J1745" s="31" t="s">
        <v>967</v>
      </c>
      <c r="K1745" s="33" t="s">
        <v>5417</v>
      </c>
      <c r="L1745" s="31" t="s">
        <v>202</v>
      </c>
      <c r="N1745" s="31" t="s">
        <v>204</v>
      </c>
      <c r="R1745" s="31" t="s">
        <v>360</v>
      </c>
    </row>
    <row r="1746">
      <c r="A1746" s="29">
        <v>45952.57930479167</v>
      </c>
      <c r="B1746" s="30">
        <v>45952.0</v>
      </c>
      <c r="C1746" s="31" t="s">
        <v>5418</v>
      </c>
      <c r="D1746" s="32" t="s">
        <v>5419</v>
      </c>
      <c r="E1746" s="31" t="s">
        <v>228</v>
      </c>
      <c r="F1746" s="31">
        <v>2000000.0</v>
      </c>
      <c r="G1746" s="31" t="s">
        <v>23</v>
      </c>
      <c r="I1746" s="31" t="s">
        <v>229</v>
      </c>
      <c r="J1746" s="31" t="s">
        <v>967</v>
      </c>
      <c r="K1746" s="33" t="s">
        <v>5420</v>
      </c>
      <c r="L1746" s="31" t="s">
        <v>252</v>
      </c>
      <c r="O1746" s="31" t="s">
        <v>205</v>
      </c>
      <c r="X1746" s="31" t="s">
        <v>1471</v>
      </c>
    </row>
    <row r="1747">
      <c r="A1747" s="29">
        <v>45952.60854864583</v>
      </c>
      <c r="B1747" s="30">
        <v>45952.0</v>
      </c>
      <c r="C1747" s="31" t="s">
        <v>5421</v>
      </c>
      <c r="D1747" s="32" t="s">
        <v>5422</v>
      </c>
      <c r="E1747" s="31" t="s">
        <v>43</v>
      </c>
      <c r="F1747" s="31">
        <v>2000000.0</v>
      </c>
      <c r="G1747" s="31" t="s">
        <v>23</v>
      </c>
      <c r="I1747" s="31" t="s">
        <v>229</v>
      </c>
      <c r="J1747" s="31" t="s">
        <v>967</v>
      </c>
      <c r="K1747" s="33" t="s">
        <v>5423</v>
      </c>
      <c r="L1747" s="31" t="s">
        <v>202</v>
      </c>
      <c r="N1747" s="31" t="s">
        <v>667</v>
      </c>
      <c r="U1747" s="31" t="s">
        <v>3950</v>
      </c>
    </row>
    <row r="1748">
      <c r="A1748" s="29">
        <v>45952.61042197917</v>
      </c>
      <c r="B1748" s="30">
        <v>45952.0</v>
      </c>
      <c r="C1748" s="31" t="s">
        <v>5424</v>
      </c>
      <c r="D1748" s="32" t="s">
        <v>5425</v>
      </c>
      <c r="E1748" s="31" t="s">
        <v>228</v>
      </c>
      <c r="F1748" s="31">
        <v>2200000.0</v>
      </c>
      <c r="G1748" s="31" t="s">
        <v>23</v>
      </c>
      <c r="I1748" s="31" t="s">
        <v>229</v>
      </c>
      <c r="J1748" s="31" t="s">
        <v>967</v>
      </c>
      <c r="K1748" s="33" t="s">
        <v>5426</v>
      </c>
      <c r="L1748" s="31" t="s">
        <v>202</v>
      </c>
      <c r="N1748" s="31" t="s">
        <v>667</v>
      </c>
      <c r="U1748" s="31" t="s">
        <v>3950</v>
      </c>
    </row>
    <row r="1749">
      <c r="A1749" s="29">
        <v>45952.62853341435</v>
      </c>
      <c r="B1749" s="30">
        <v>45952.0</v>
      </c>
      <c r="C1749" s="31" t="s">
        <v>5427</v>
      </c>
      <c r="D1749" s="32" t="s">
        <v>5428</v>
      </c>
      <c r="E1749" s="31" t="s">
        <v>261</v>
      </c>
      <c r="F1749" s="31">
        <v>50.0</v>
      </c>
      <c r="G1749" s="31" t="s">
        <v>23</v>
      </c>
      <c r="I1749" s="31" t="s">
        <v>229</v>
      </c>
      <c r="J1749" s="31" t="s">
        <v>967</v>
      </c>
      <c r="K1749" s="33" t="s">
        <v>5429</v>
      </c>
      <c r="L1749" s="31" t="s">
        <v>202</v>
      </c>
      <c r="N1749" s="31" t="s">
        <v>313</v>
      </c>
      <c r="T1749" s="31" t="s">
        <v>4272</v>
      </c>
    </row>
    <row r="1750">
      <c r="A1750" s="29">
        <v>45952.65858553241</v>
      </c>
      <c r="B1750" s="30">
        <v>45952.0</v>
      </c>
      <c r="C1750" s="31" t="s">
        <v>5430</v>
      </c>
      <c r="D1750" s="32" t="s">
        <v>5431</v>
      </c>
      <c r="E1750" s="31" t="s">
        <v>31</v>
      </c>
      <c r="F1750" s="31">
        <v>4000000.0</v>
      </c>
      <c r="G1750" s="31" t="s">
        <v>23</v>
      </c>
      <c r="I1750" s="31" t="s">
        <v>229</v>
      </c>
      <c r="J1750" s="31" t="s">
        <v>498</v>
      </c>
      <c r="K1750" s="33" t="s">
        <v>5432</v>
      </c>
      <c r="L1750" s="31" t="s">
        <v>202</v>
      </c>
      <c r="N1750" s="31" t="s">
        <v>500</v>
      </c>
      <c r="V1750" s="31" t="s">
        <v>501</v>
      </c>
    </row>
    <row r="1751">
      <c r="A1751" s="29">
        <v>45952.677040486116</v>
      </c>
      <c r="B1751" s="30">
        <v>45952.0</v>
      </c>
      <c r="C1751" s="31" t="s">
        <v>5433</v>
      </c>
      <c r="D1751" s="32" t="s">
        <v>5434</v>
      </c>
      <c r="E1751" s="31" t="s">
        <v>239</v>
      </c>
      <c r="F1751" s="31">
        <v>3000000.0</v>
      </c>
      <c r="G1751" s="31" t="s">
        <v>23</v>
      </c>
      <c r="H1751" s="31">
        <v>3000000.0</v>
      </c>
      <c r="I1751" s="31" t="s">
        <v>413</v>
      </c>
      <c r="K1751" s="33" t="s">
        <v>5435</v>
      </c>
      <c r="L1751" s="31" t="s">
        <v>202</v>
      </c>
      <c r="M1751" s="31" t="s">
        <v>203</v>
      </c>
      <c r="N1751" s="31" t="s">
        <v>871</v>
      </c>
      <c r="Q1751" s="31" t="s">
        <v>872</v>
      </c>
    </row>
    <row r="1752">
      <c r="A1752" s="29">
        <v>45952.68101866898</v>
      </c>
      <c r="B1752" s="30">
        <v>45952.0</v>
      </c>
      <c r="C1752" s="31" t="s">
        <v>5436</v>
      </c>
      <c r="D1752" s="32" t="s">
        <v>5437</v>
      </c>
      <c r="E1752" s="31" t="s">
        <v>43</v>
      </c>
      <c r="F1752" s="31">
        <v>1800000.0</v>
      </c>
      <c r="G1752" s="31" t="s">
        <v>23</v>
      </c>
      <c r="I1752" s="31" t="s">
        <v>229</v>
      </c>
      <c r="J1752" s="31" t="s">
        <v>967</v>
      </c>
      <c r="K1752" s="33" t="s">
        <v>5438</v>
      </c>
      <c r="L1752" s="31" t="s">
        <v>252</v>
      </c>
      <c r="O1752" s="31" t="s">
        <v>257</v>
      </c>
      <c r="P1752" s="31" t="s">
        <v>2453</v>
      </c>
    </row>
    <row r="1753">
      <c r="A1753" s="29">
        <v>45952.710059212965</v>
      </c>
      <c r="B1753" s="30">
        <v>45952.0</v>
      </c>
      <c r="C1753" s="31" t="s">
        <v>5439</v>
      </c>
      <c r="D1753" s="31">
        <v>8.2323621521E10</v>
      </c>
      <c r="E1753" s="31" t="s">
        <v>31</v>
      </c>
      <c r="F1753" s="31">
        <v>1.5E7</v>
      </c>
      <c r="G1753" s="31" t="s">
        <v>23</v>
      </c>
      <c r="H1753" s="31">
        <v>5000000.0</v>
      </c>
      <c r="I1753" s="31" t="s">
        <v>200</v>
      </c>
      <c r="K1753" s="33" t="s">
        <v>5440</v>
      </c>
      <c r="L1753" s="31" t="s">
        <v>202</v>
      </c>
      <c r="M1753" s="31" t="s">
        <v>926</v>
      </c>
      <c r="N1753" s="31" t="s">
        <v>204</v>
      </c>
      <c r="R1753" s="31" t="s">
        <v>471</v>
      </c>
    </row>
    <row r="1754">
      <c r="A1754" s="29">
        <v>45952.71253613426</v>
      </c>
      <c r="B1754" s="30">
        <v>45952.0</v>
      </c>
      <c r="C1754" s="31" t="s">
        <v>5441</v>
      </c>
      <c r="D1754" s="32" t="s">
        <v>5442</v>
      </c>
      <c r="E1754" s="31" t="s">
        <v>31</v>
      </c>
      <c r="F1754" s="31">
        <v>5999000.0</v>
      </c>
      <c r="G1754" s="31" t="s">
        <v>23</v>
      </c>
      <c r="I1754" s="31" t="s">
        <v>229</v>
      </c>
      <c r="J1754" s="31" t="s">
        <v>967</v>
      </c>
      <c r="K1754" s="33" t="s">
        <v>5443</v>
      </c>
      <c r="L1754" s="31" t="s">
        <v>202</v>
      </c>
      <c r="N1754" s="31" t="s">
        <v>204</v>
      </c>
      <c r="R1754" s="31" t="s">
        <v>207</v>
      </c>
    </row>
    <row r="1755">
      <c r="A1755" s="29">
        <v>45952.7281302662</v>
      </c>
      <c r="B1755" s="30">
        <v>45952.0</v>
      </c>
      <c r="C1755" s="31" t="s">
        <v>5444</v>
      </c>
      <c r="D1755" s="32" t="s">
        <v>5445</v>
      </c>
      <c r="E1755" s="31" t="s">
        <v>31</v>
      </c>
      <c r="F1755" s="31">
        <v>5200000.0</v>
      </c>
      <c r="G1755" s="31" t="s">
        <v>23</v>
      </c>
      <c r="I1755" s="31" t="s">
        <v>229</v>
      </c>
      <c r="J1755" s="31" t="s">
        <v>967</v>
      </c>
      <c r="K1755" s="33" t="s">
        <v>5446</v>
      </c>
      <c r="L1755" s="31" t="s">
        <v>252</v>
      </c>
      <c r="O1755" s="31" t="s">
        <v>205</v>
      </c>
      <c r="X1755" s="31" t="s">
        <v>2335</v>
      </c>
    </row>
    <row r="1756">
      <c r="A1756" s="29">
        <v>45952.742946875005</v>
      </c>
      <c r="B1756" s="30">
        <v>45952.0</v>
      </c>
      <c r="C1756" s="31" t="s">
        <v>5447</v>
      </c>
      <c r="D1756" s="32" t="s">
        <v>5448</v>
      </c>
      <c r="E1756" s="31" t="s">
        <v>31</v>
      </c>
      <c r="F1756" s="31">
        <v>6500000.0</v>
      </c>
      <c r="G1756" s="31" t="s">
        <v>23</v>
      </c>
      <c r="I1756" s="31" t="s">
        <v>229</v>
      </c>
      <c r="J1756" s="31" t="s">
        <v>967</v>
      </c>
      <c r="K1756" s="33" t="s">
        <v>5449</v>
      </c>
      <c r="L1756" s="31" t="s">
        <v>202</v>
      </c>
      <c r="N1756" s="31" t="s">
        <v>204</v>
      </c>
      <c r="R1756" s="31" t="s">
        <v>207</v>
      </c>
    </row>
    <row r="1757">
      <c r="A1757" s="29">
        <v>45952.74422577546</v>
      </c>
      <c r="B1757" s="30">
        <v>45952.0</v>
      </c>
      <c r="C1757" s="31" t="s">
        <v>5450</v>
      </c>
      <c r="D1757" s="31">
        <v>0.0</v>
      </c>
      <c r="E1757" s="31" t="s">
        <v>43</v>
      </c>
      <c r="F1757" s="32" t="s">
        <v>5451</v>
      </c>
      <c r="G1757" s="31" t="s">
        <v>23</v>
      </c>
      <c r="H1757" s="31">
        <v>3000000.0</v>
      </c>
      <c r="I1757" s="31" t="s">
        <v>200</v>
      </c>
      <c r="K1757" s="33" t="s">
        <v>5452</v>
      </c>
      <c r="L1757" s="31" t="s">
        <v>252</v>
      </c>
      <c r="M1757" s="31" t="s">
        <v>203</v>
      </c>
      <c r="O1757" s="31" t="s">
        <v>257</v>
      </c>
      <c r="P1757" s="31" t="s">
        <v>992</v>
      </c>
    </row>
    <row r="1758">
      <c r="A1758" s="29">
        <v>45952.751693935184</v>
      </c>
      <c r="B1758" s="30">
        <v>45952.0</v>
      </c>
      <c r="C1758" s="31" t="s">
        <v>5453</v>
      </c>
      <c r="D1758" s="32" t="s">
        <v>5454</v>
      </c>
      <c r="E1758" s="31" t="s">
        <v>5455</v>
      </c>
      <c r="F1758" s="31">
        <v>3200000.0</v>
      </c>
      <c r="G1758" s="31" t="s">
        <v>23</v>
      </c>
      <c r="H1758" s="31">
        <v>3000000.0</v>
      </c>
      <c r="I1758" s="31" t="s">
        <v>413</v>
      </c>
      <c r="K1758" s="33" t="s">
        <v>5456</v>
      </c>
      <c r="L1758" s="31" t="s">
        <v>202</v>
      </c>
      <c r="M1758" s="31" t="s">
        <v>203</v>
      </c>
      <c r="N1758" s="31" t="s">
        <v>313</v>
      </c>
      <c r="T1758" s="31" t="s">
        <v>384</v>
      </c>
    </row>
    <row r="1759">
      <c r="A1759" s="29">
        <v>45952.75412737268</v>
      </c>
      <c r="B1759" s="30">
        <v>45952.0</v>
      </c>
      <c r="C1759" s="31" t="s">
        <v>5457</v>
      </c>
      <c r="D1759" s="32" t="s">
        <v>5458</v>
      </c>
      <c r="E1759" s="31" t="s">
        <v>43</v>
      </c>
      <c r="F1759" s="32" t="s">
        <v>5459</v>
      </c>
      <c r="G1759" s="31" t="s">
        <v>23</v>
      </c>
      <c r="I1759" s="31" t="s">
        <v>229</v>
      </c>
      <c r="J1759" s="31" t="s">
        <v>967</v>
      </c>
      <c r="K1759" s="33" t="s">
        <v>5460</v>
      </c>
      <c r="L1759" s="31" t="s">
        <v>202</v>
      </c>
      <c r="N1759" s="31" t="s">
        <v>871</v>
      </c>
      <c r="Q1759" s="31" t="s">
        <v>2403</v>
      </c>
    </row>
    <row r="1760">
      <c r="A1760" s="29">
        <v>45952.78559990741</v>
      </c>
      <c r="B1760" s="30">
        <v>45952.0</v>
      </c>
      <c r="C1760" s="31" t="s">
        <v>5461</v>
      </c>
      <c r="D1760" s="32" t="s">
        <v>5462</v>
      </c>
      <c r="E1760" s="31" t="s">
        <v>288</v>
      </c>
      <c r="F1760" s="31">
        <v>1000000.0</v>
      </c>
      <c r="G1760" s="31" t="s">
        <v>23</v>
      </c>
      <c r="I1760" s="31" t="s">
        <v>229</v>
      </c>
      <c r="J1760" s="31" t="s">
        <v>967</v>
      </c>
      <c r="K1760" s="31" t="s">
        <v>5463</v>
      </c>
      <c r="L1760" s="31" t="s">
        <v>202</v>
      </c>
      <c r="N1760" s="31" t="s">
        <v>204</v>
      </c>
      <c r="R1760" s="31" t="s">
        <v>47</v>
      </c>
    </row>
    <row r="1761">
      <c r="A1761" s="29">
        <v>45952.79498518519</v>
      </c>
      <c r="B1761" s="30">
        <v>45952.0</v>
      </c>
      <c r="C1761" s="31" t="s">
        <v>5464</v>
      </c>
      <c r="D1761" s="32" t="s">
        <v>5465</v>
      </c>
      <c r="E1761" s="31" t="s">
        <v>283</v>
      </c>
      <c r="F1761" s="31">
        <v>4500000.0</v>
      </c>
      <c r="G1761" s="31" t="s">
        <v>23</v>
      </c>
      <c r="I1761" s="31" t="s">
        <v>229</v>
      </c>
      <c r="J1761" s="31" t="s">
        <v>967</v>
      </c>
      <c r="K1761" s="33" t="s">
        <v>5466</v>
      </c>
      <c r="L1761" s="31" t="s">
        <v>202</v>
      </c>
      <c r="N1761" s="31" t="s">
        <v>204</v>
      </c>
      <c r="R1761" s="31" t="s">
        <v>90</v>
      </c>
    </row>
    <row r="1762">
      <c r="A1762" s="29">
        <v>45952.80105446759</v>
      </c>
      <c r="B1762" s="30">
        <v>45952.0</v>
      </c>
      <c r="C1762" s="31" t="s">
        <v>5467</v>
      </c>
      <c r="D1762" s="32" t="s">
        <v>5468</v>
      </c>
      <c r="E1762" s="31" t="s">
        <v>43</v>
      </c>
      <c r="F1762" s="31">
        <v>2500000.0</v>
      </c>
      <c r="G1762" s="31" t="s">
        <v>23</v>
      </c>
      <c r="H1762" s="31">
        <v>1600000.0</v>
      </c>
      <c r="I1762" s="31" t="s">
        <v>413</v>
      </c>
      <c r="K1762" s="33" t="s">
        <v>5469</v>
      </c>
      <c r="L1762" s="31" t="s">
        <v>202</v>
      </c>
      <c r="M1762" s="31" t="s">
        <v>435</v>
      </c>
      <c r="N1762" s="31" t="s">
        <v>204</v>
      </c>
      <c r="R1762" s="31" t="s">
        <v>5256</v>
      </c>
    </row>
    <row r="1763">
      <c r="A1763" s="29">
        <v>45952.80671310185</v>
      </c>
      <c r="B1763" s="30">
        <v>45952.0</v>
      </c>
      <c r="C1763" s="31" t="s">
        <v>5470</v>
      </c>
      <c r="D1763" s="31">
        <v>0.0</v>
      </c>
      <c r="E1763" s="31" t="s">
        <v>1181</v>
      </c>
      <c r="F1763" s="34">
        <v>3900.0</v>
      </c>
      <c r="G1763" s="31" t="s">
        <v>23</v>
      </c>
      <c r="I1763" s="31" t="s">
        <v>229</v>
      </c>
      <c r="J1763" s="31" t="s">
        <v>967</v>
      </c>
      <c r="K1763" s="33" t="s">
        <v>5471</v>
      </c>
      <c r="L1763" s="31" t="s">
        <v>202</v>
      </c>
      <c r="N1763" s="31" t="s">
        <v>204</v>
      </c>
      <c r="R1763" s="31" t="s">
        <v>171</v>
      </c>
    </row>
    <row r="1764">
      <c r="A1764" s="29">
        <v>45952.82990866898</v>
      </c>
      <c r="B1764" s="30">
        <v>45952.0</v>
      </c>
      <c r="C1764" s="31" t="s">
        <v>5472</v>
      </c>
      <c r="D1764" s="32" t="s">
        <v>5473</v>
      </c>
      <c r="E1764" s="31" t="s">
        <v>288</v>
      </c>
      <c r="F1764" s="31">
        <v>5000000.0</v>
      </c>
      <c r="G1764" s="31" t="s">
        <v>45</v>
      </c>
      <c r="H1764" s="31">
        <v>3000000.0</v>
      </c>
      <c r="I1764" s="31" t="s">
        <v>413</v>
      </c>
      <c r="K1764" s="33" t="s">
        <v>5474</v>
      </c>
      <c r="L1764" s="31" t="s">
        <v>252</v>
      </c>
      <c r="M1764" s="31" t="s">
        <v>203</v>
      </c>
      <c r="O1764" s="31" t="s">
        <v>257</v>
      </c>
      <c r="P1764" s="31" t="s">
        <v>285</v>
      </c>
    </row>
    <row r="1765">
      <c r="A1765" s="29">
        <v>45952.832881967595</v>
      </c>
      <c r="B1765" s="30">
        <v>45952.0</v>
      </c>
      <c r="C1765" s="31" t="s">
        <v>5475</v>
      </c>
      <c r="D1765" s="32" t="s">
        <v>5476</v>
      </c>
      <c r="E1765" s="31" t="s">
        <v>283</v>
      </c>
      <c r="F1765" s="31">
        <v>1.6E7</v>
      </c>
      <c r="G1765" s="31" t="s">
        <v>23</v>
      </c>
      <c r="H1765" s="31">
        <v>3000000.0</v>
      </c>
      <c r="I1765" s="31" t="s">
        <v>413</v>
      </c>
      <c r="K1765" s="33" t="s">
        <v>5477</v>
      </c>
      <c r="L1765" s="31" t="s">
        <v>252</v>
      </c>
      <c r="M1765" s="31" t="s">
        <v>203</v>
      </c>
      <c r="O1765" s="31" t="s">
        <v>257</v>
      </c>
      <c r="P1765" s="31" t="s">
        <v>272</v>
      </c>
    </row>
    <row r="1766">
      <c r="A1766" s="29">
        <v>45952.84006956019</v>
      </c>
      <c r="B1766" s="30">
        <v>45952.0</v>
      </c>
      <c r="C1766" s="31" t="s">
        <v>5478</v>
      </c>
      <c r="D1766" s="32" t="s">
        <v>5479</v>
      </c>
      <c r="E1766" s="31" t="s">
        <v>43</v>
      </c>
      <c r="F1766" s="31">
        <v>3700000.0</v>
      </c>
      <c r="G1766" s="31" t="s">
        <v>23</v>
      </c>
      <c r="I1766" s="31" t="s">
        <v>229</v>
      </c>
      <c r="J1766" s="31" t="s">
        <v>967</v>
      </c>
      <c r="K1766" s="33" t="s">
        <v>5480</v>
      </c>
      <c r="L1766" s="31" t="s">
        <v>202</v>
      </c>
      <c r="N1766" s="31" t="s">
        <v>220</v>
      </c>
      <c r="S1766" s="31" t="s">
        <v>36</v>
      </c>
    </row>
    <row r="1767">
      <c r="A1767" s="29">
        <v>45952.87574471065</v>
      </c>
      <c r="B1767" s="30">
        <v>45952.0</v>
      </c>
      <c r="C1767" s="31" t="s">
        <v>5481</v>
      </c>
      <c r="D1767" s="32" t="s">
        <v>5482</v>
      </c>
      <c r="E1767" s="31" t="s">
        <v>199</v>
      </c>
      <c r="F1767" s="31">
        <v>3000000.0</v>
      </c>
      <c r="G1767" s="31" t="s">
        <v>45</v>
      </c>
      <c r="H1767" s="31">
        <v>3000000.0</v>
      </c>
      <c r="I1767" s="31" t="s">
        <v>413</v>
      </c>
      <c r="K1767" s="33" t="s">
        <v>5483</v>
      </c>
      <c r="L1767" s="31" t="s">
        <v>252</v>
      </c>
      <c r="M1767" s="31" t="s">
        <v>605</v>
      </c>
      <c r="O1767" s="31" t="s">
        <v>205</v>
      </c>
      <c r="X1767" s="31" t="s">
        <v>549</v>
      </c>
    </row>
    <row r="1768">
      <c r="A1768" s="29">
        <v>45953.38892481482</v>
      </c>
      <c r="B1768" s="30">
        <v>45953.0</v>
      </c>
      <c r="C1768" s="31" t="s">
        <v>5484</v>
      </c>
      <c r="D1768" s="32" t="s">
        <v>5485</v>
      </c>
      <c r="E1768" s="31" t="s">
        <v>43</v>
      </c>
      <c r="F1768" s="31">
        <v>5600000.0</v>
      </c>
      <c r="G1768" s="31" t="s">
        <v>23</v>
      </c>
      <c r="I1768" s="31" t="s">
        <v>229</v>
      </c>
      <c r="J1768" s="31" t="s">
        <v>967</v>
      </c>
      <c r="K1768" s="33" t="s">
        <v>5486</v>
      </c>
      <c r="L1768" s="31" t="s">
        <v>252</v>
      </c>
      <c r="O1768" s="31" t="s">
        <v>257</v>
      </c>
      <c r="P1768" s="31" t="s">
        <v>258</v>
      </c>
    </row>
    <row r="1769">
      <c r="A1769" s="29">
        <v>45953.40577670139</v>
      </c>
      <c r="B1769" s="30">
        <v>45953.0</v>
      </c>
      <c r="C1769" s="31" t="s">
        <v>5487</v>
      </c>
      <c r="D1769" s="32" t="s">
        <v>5488</v>
      </c>
      <c r="E1769" s="31" t="s">
        <v>43</v>
      </c>
      <c r="F1769" s="31">
        <v>3000000.0</v>
      </c>
      <c r="G1769" s="31" t="s">
        <v>23</v>
      </c>
      <c r="I1769" s="31" t="s">
        <v>229</v>
      </c>
      <c r="J1769" s="31" t="s">
        <v>967</v>
      </c>
      <c r="K1769" s="33" t="s">
        <v>5489</v>
      </c>
      <c r="L1769" s="31" t="s">
        <v>202</v>
      </c>
      <c r="N1769" s="31" t="s">
        <v>871</v>
      </c>
      <c r="Q1769" s="31" t="s">
        <v>872</v>
      </c>
    </row>
    <row r="1770">
      <c r="A1770" s="29">
        <v>45953.41381657407</v>
      </c>
      <c r="B1770" s="30">
        <v>45953.0</v>
      </c>
      <c r="C1770" s="31" t="s">
        <v>5490</v>
      </c>
      <c r="D1770" s="32" t="s">
        <v>907</v>
      </c>
      <c r="E1770" s="31" t="s">
        <v>417</v>
      </c>
      <c r="F1770" s="31">
        <v>2000000.0</v>
      </c>
      <c r="G1770" s="31" t="s">
        <v>23</v>
      </c>
      <c r="H1770" s="31">
        <v>1600000.0</v>
      </c>
      <c r="I1770" s="31" t="s">
        <v>413</v>
      </c>
      <c r="K1770" s="33" t="s">
        <v>5491</v>
      </c>
      <c r="L1770" s="31" t="s">
        <v>202</v>
      </c>
      <c r="M1770" s="31" t="s">
        <v>203</v>
      </c>
      <c r="N1770" s="31" t="s">
        <v>215</v>
      </c>
      <c r="W1770" s="31" t="s">
        <v>532</v>
      </c>
    </row>
    <row r="1771">
      <c r="A1771" s="29">
        <v>45953.4216137037</v>
      </c>
      <c r="B1771" s="30">
        <v>45953.0</v>
      </c>
      <c r="C1771" s="31" t="s">
        <v>5492</v>
      </c>
      <c r="D1771" s="32" t="s">
        <v>5493</v>
      </c>
      <c r="E1771" s="31" t="s">
        <v>43</v>
      </c>
      <c r="F1771" s="31">
        <v>3000000.0</v>
      </c>
      <c r="G1771" s="31" t="s">
        <v>23</v>
      </c>
      <c r="H1771" s="31">
        <v>1.0E7</v>
      </c>
      <c r="I1771" s="31" t="s">
        <v>413</v>
      </c>
      <c r="K1771" s="33" t="s">
        <v>5494</v>
      </c>
      <c r="L1771" s="31" t="s">
        <v>252</v>
      </c>
      <c r="M1771" s="31" t="s">
        <v>605</v>
      </c>
      <c r="O1771" s="31" t="s">
        <v>257</v>
      </c>
      <c r="P1771" s="31" t="s">
        <v>1555</v>
      </c>
    </row>
    <row r="1772">
      <c r="A1772" s="29">
        <v>45953.444239097225</v>
      </c>
      <c r="B1772" s="30">
        <v>45953.0</v>
      </c>
      <c r="C1772" s="31" t="s">
        <v>5495</v>
      </c>
      <c r="D1772" s="32" t="s">
        <v>5496</v>
      </c>
      <c r="E1772" s="31" t="s">
        <v>31</v>
      </c>
      <c r="F1772" s="31">
        <v>5999000.0</v>
      </c>
      <c r="G1772" s="31" t="s">
        <v>23</v>
      </c>
      <c r="I1772" s="31" t="s">
        <v>229</v>
      </c>
      <c r="J1772" s="31" t="s">
        <v>967</v>
      </c>
      <c r="K1772" s="33" t="s">
        <v>5497</v>
      </c>
      <c r="L1772" s="31" t="s">
        <v>202</v>
      </c>
      <c r="N1772" s="31" t="s">
        <v>204</v>
      </c>
      <c r="R1772" s="31" t="s">
        <v>207</v>
      </c>
    </row>
    <row r="1773">
      <c r="A1773" s="29">
        <v>45953.44792467593</v>
      </c>
      <c r="B1773" s="30">
        <v>45953.0</v>
      </c>
      <c r="C1773" s="31" t="s">
        <v>5498</v>
      </c>
      <c r="D1773" s="32" t="s">
        <v>5499</v>
      </c>
      <c r="E1773" s="31" t="s">
        <v>5500</v>
      </c>
      <c r="F1773" s="31">
        <v>4000000.0</v>
      </c>
      <c r="G1773" s="31" t="s">
        <v>23</v>
      </c>
      <c r="I1773" s="31" t="s">
        <v>229</v>
      </c>
      <c r="J1773" s="31" t="s">
        <v>967</v>
      </c>
      <c r="K1773" s="33" t="s">
        <v>5501</v>
      </c>
      <c r="L1773" s="31" t="s">
        <v>202</v>
      </c>
      <c r="N1773" s="31" t="s">
        <v>220</v>
      </c>
      <c r="S1773" s="31" t="s">
        <v>59</v>
      </c>
    </row>
    <row r="1774">
      <c r="A1774" s="29">
        <v>45953.46646494213</v>
      </c>
      <c r="B1774" s="30">
        <v>45953.0</v>
      </c>
      <c r="C1774" s="31" t="s">
        <v>5502</v>
      </c>
      <c r="D1774" s="32" t="s">
        <v>5503</v>
      </c>
      <c r="E1774" s="31" t="s">
        <v>2902</v>
      </c>
      <c r="F1774" s="31">
        <v>5100000.0</v>
      </c>
      <c r="G1774" s="31" t="s">
        <v>23</v>
      </c>
      <c r="I1774" s="31" t="s">
        <v>229</v>
      </c>
      <c r="J1774" s="31" t="s">
        <v>5504</v>
      </c>
      <c r="K1774" s="33" t="s">
        <v>5505</v>
      </c>
      <c r="L1774" s="31" t="s">
        <v>202</v>
      </c>
      <c r="N1774" s="31" t="s">
        <v>220</v>
      </c>
      <c r="S1774" s="31" t="s">
        <v>36</v>
      </c>
    </row>
    <row r="1775">
      <c r="A1775" s="29">
        <v>45953.46822065972</v>
      </c>
      <c r="B1775" s="30">
        <v>45953.0</v>
      </c>
      <c r="C1775" s="31" t="s">
        <v>5506</v>
      </c>
      <c r="D1775" s="32" t="s">
        <v>5507</v>
      </c>
      <c r="E1775" s="31" t="s">
        <v>2902</v>
      </c>
      <c r="F1775" s="31">
        <v>3700000.0</v>
      </c>
      <c r="G1775" s="31" t="s">
        <v>23</v>
      </c>
      <c r="I1775" s="31" t="s">
        <v>229</v>
      </c>
      <c r="J1775" s="31" t="s">
        <v>967</v>
      </c>
      <c r="K1775" s="33" t="s">
        <v>5508</v>
      </c>
      <c r="L1775" s="31" t="s">
        <v>202</v>
      </c>
      <c r="N1775" s="31" t="s">
        <v>220</v>
      </c>
      <c r="S1775" s="31" t="s">
        <v>36</v>
      </c>
    </row>
    <row r="1776">
      <c r="A1776" s="29">
        <v>45953.495017511574</v>
      </c>
      <c r="B1776" s="30">
        <v>45946.0</v>
      </c>
      <c r="C1776" s="31" t="s">
        <v>5509</v>
      </c>
      <c r="D1776" s="32" t="s">
        <v>5510</v>
      </c>
      <c r="E1776" s="31" t="s">
        <v>43</v>
      </c>
      <c r="F1776" s="34">
        <v>4000000.0</v>
      </c>
      <c r="G1776" s="31" t="s">
        <v>23</v>
      </c>
      <c r="I1776" s="31" t="s">
        <v>229</v>
      </c>
      <c r="J1776" s="31" t="s">
        <v>967</v>
      </c>
      <c r="K1776" s="33" t="s">
        <v>5511</v>
      </c>
      <c r="L1776" s="31" t="s">
        <v>202</v>
      </c>
      <c r="N1776" s="31" t="s">
        <v>220</v>
      </c>
      <c r="S1776" s="31" t="s">
        <v>5512</v>
      </c>
    </row>
    <row r="1777">
      <c r="A1777" s="29">
        <v>45953.49672258102</v>
      </c>
      <c r="B1777" s="30">
        <v>45953.0</v>
      </c>
      <c r="C1777" s="31" t="s">
        <v>5513</v>
      </c>
      <c r="D1777" s="32" t="s">
        <v>5514</v>
      </c>
      <c r="E1777" s="31" t="s">
        <v>31</v>
      </c>
      <c r="F1777" s="31">
        <v>5400000.0</v>
      </c>
      <c r="G1777" s="31" t="s">
        <v>23</v>
      </c>
      <c r="I1777" s="31" t="s">
        <v>229</v>
      </c>
      <c r="J1777" s="31" t="s">
        <v>967</v>
      </c>
      <c r="K1777" s="33" t="s">
        <v>5515</v>
      </c>
      <c r="L1777" s="31" t="s">
        <v>202</v>
      </c>
      <c r="N1777" s="31" t="s">
        <v>667</v>
      </c>
      <c r="U1777" s="31" t="s">
        <v>668</v>
      </c>
    </row>
    <row r="1778">
      <c r="A1778" s="29">
        <v>45953.526539548606</v>
      </c>
      <c r="B1778" s="30">
        <v>45953.0</v>
      </c>
      <c r="C1778" s="31" t="s">
        <v>5516</v>
      </c>
      <c r="D1778" s="32" t="s">
        <v>5517</v>
      </c>
      <c r="E1778" s="31" t="s">
        <v>43</v>
      </c>
      <c r="F1778" s="31">
        <v>2800000.0</v>
      </c>
      <c r="G1778" s="31" t="s">
        <v>23</v>
      </c>
      <c r="H1778" s="31">
        <v>5000000.0</v>
      </c>
      <c r="I1778" s="31" t="s">
        <v>413</v>
      </c>
      <c r="K1778" s="33" t="s">
        <v>5518</v>
      </c>
      <c r="L1778" s="31" t="s">
        <v>202</v>
      </c>
      <c r="M1778" s="31" t="s">
        <v>203</v>
      </c>
      <c r="N1778" s="31" t="s">
        <v>871</v>
      </c>
      <c r="Q1778" s="31" t="s">
        <v>1021</v>
      </c>
    </row>
    <row r="1779">
      <c r="A1779" s="29">
        <v>45953.529432337964</v>
      </c>
      <c r="B1779" s="30">
        <v>45953.0</v>
      </c>
      <c r="C1779" s="31" t="s">
        <v>5519</v>
      </c>
      <c r="D1779" s="31">
        <v>8.1339133662E10</v>
      </c>
      <c r="E1779" s="31" t="s">
        <v>5520</v>
      </c>
      <c r="F1779" s="34">
        <v>5000.0</v>
      </c>
      <c r="G1779" s="31" t="s">
        <v>23</v>
      </c>
      <c r="I1779" s="31" t="s">
        <v>229</v>
      </c>
      <c r="J1779" s="31" t="s">
        <v>967</v>
      </c>
      <c r="K1779" s="33" t="s">
        <v>5521</v>
      </c>
      <c r="L1779" s="31" t="s">
        <v>202</v>
      </c>
      <c r="N1779" s="31" t="s">
        <v>204</v>
      </c>
      <c r="R1779" s="31" t="s">
        <v>167</v>
      </c>
    </row>
    <row r="1780">
      <c r="A1780" s="29">
        <v>45953.529532939814</v>
      </c>
      <c r="B1780" s="30">
        <v>45953.0</v>
      </c>
      <c r="C1780" s="31" t="s">
        <v>5522</v>
      </c>
      <c r="D1780" s="32" t="s">
        <v>5523</v>
      </c>
      <c r="E1780" s="31" t="s">
        <v>43</v>
      </c>
      <c r="F1780" s="31">
        <v>4000000.0</v>
      </c>
      <c r="G1780" s="31" t="s">
        <v>45</v>
      </c>
      <c r="I1780" s="31" t="s">
        <v>229</v>
      </c>
      <c r="J1780" s="31" t="s">
        <v>967</v>
      </c>
      <c r="K1780" s="33" t="s">
        <v>5524</v>
      </c>
      <c r="L1780" s="31" t="s">
        <v>202</v>
      </c>
      <c r="N1780" s="31" t="s">
        <v>220</v>
      </c>
      <c r="S1780" s="31" t="s">
        <v>5512</v>
      </c>
    </row>
    <row r="1781">
      <c r="A1781" s="29">
        <v>45953.54727340278</v>
      </c>
      <c r="B1781" s="30">
        <v>45953.0</v>
      </c>
      <c r="C1781" s="31" t="s">
        <v>5525</v>
      </c>
      <c r="D1781" s="32" t="s">
        <v>5526</v>
      </c>
      <c r="E1781" s="31" t="s">
        <v>261</v>
      </c>
      <c r="F1781" s="31">
        <v>1000000.0</v>
      </c>
      <c r="G1781" s="31" t="s">
        <v>23</v>
      </c>
      <c r="I1781" s="31" t="s">
        <v>229</v>
      </c>
      <c r="J1781" s="31" t="s">
        <v>967</v>
      </c>
      <c r="K1781" s="33" t="s">
        <v>5527</v>
      </c>
      <c r="L1781" s="31" t="s">
        <v>252</v>
      </c>
      <c r="O1781" s="31" t="s">
        <v>205</v>
      </c>
      <c r="X1781" s="31" t="s">
        <v>549</v>
      </c>
    </row>
    <row r="1782">
      <c r="A1782" s="29">
        <v>45953.54845449074</v>
      </c>
      <c r="B1782" s="30">
        <v>45953.0</v>
      </c>
      <c r="C1782" s="31" t="s">
        <v>5528</v>
      </c>
      <c r="D1782" s="32" t="s">
        <v>5529</v>
      </c>
      <c r="E1782" s="31" t="s">
        <v>199</v>
      </c>
      <c r="F1782" s="31">
        <v>6100000.0</v>
      </c>
      <c r="G1782" s="31" t="s">
        <v>45</v>
      </c>
      <c r="H1782" s="31">
        <v>5000000.0</v>
      </c>
      <c r="I1782" s="31" t="s">
        <v>200</v>
      </c>
      <c r="K1782" s="33" t="s">
        <v>5530</v>
      </c>
      <c r="L1782" s="31" t="s">
        <v>252</v>
      </c>
      <c r="M1782" s="31" t="s">
        <v>926</v>
      </c>
      <c r="O1782" s="31" t="s">
        <v>205</v>
      </c>
      <c r="X1782" s="31" t="s">
        <v>569</v>
      </c>
    </row>
    <row r="1783">
      <c r="A1783" s="29">
        <v>45953.56740712963</v>
      </c>
      <c r="B1783" s="30">
        <v>45953.0</v>
      </c>
      <c r="C1783" s="31" t="s">
        <v>5531</v>
      </c>
      <c r="D1783" s="32" t="s">
        <v>5532</v>
      </c>
      <c r="E1783" s="31" t="s">
        <v>213</v>
      </c>
      <c r="F1783" s="31">
        <v>4500000.0</v>
      </c>
      <c r="G1783" s="31" t="s">
        <v>23</v>
      </c>
      <c r="I1783" s="31" t="s">
        <v>229</v>
      </c>
      <c r="J1783" s="31" t="s">
        <v>967</v>
      </c>
      <c r="K1783" s="33" t="s">
        <v>5533</v>
      </c>
      <c r="L1783" s="31" t="s">
        <v>202</v>
      </c>
      <c r="N1783" s="31" t="s">
        <v>204</v>
      </c>
      <c r="R1783" s="31" t="s">
        <v>98</v>
      </c>
    </row>
    <row r="1784">
      <c r="A1784" s="29">
        <v>45953.58914976852</v>
      </c>
      <c r="B1784" s="30">
        <v>45953.0</v>
      </c>
      <c r="C1784" s="31" t="s">
        <v>5534</v>
      </c>
      <c r="D1784" s="32" t="s">
        <v>5535</v>
      </c>
      <c r="E1784" s="31" t="s">
        <v>31</v>
      </c>
      <c r="F1784" s="31">
        <v>5000000.0</v>
      </c>
      <c r="G1784" s="31" t="s">
        <v>23</v>
      </c>
      <c r="I1784" s="31" t="s">
        <v>229</v>
      </c>
      <c r="J1784" s="31" t="s">
        <v>967</v>
      </c>
      <c r="K1784" s="33" t="s">
        <v>5536</v>
      </c>
      <c r="L1784" s="31" t="s">
        <v>202</v>
      </c>
      <c r="N1784" s="31" t="s">
        <v>204</v>
      </c>
      <c r="R1784" s="31" t="s">
        <v>207</v>
      </c>
    </row>
    <row r="1785">
      <c r="A1785" s="29">
        <v>45953.59045071759</v>
      </c>
      <c r="B1785" s="30">
        <v>45953.0</v>
      </c>
      <c r="C1785" s="31" t="s">
        <v>5537</v>
      </c>
      <c r="D1785" s="32" t="s">
        <v>5538</v>
      </c>
      <c r="E1785" s="31" t="s">
        <v>199</v>
      </c>
      <c r="F1785" s="31">
        <v>4200000.0</v>
      </c>
      <c r="G1785" s="31" t="s">
        <v>45</v>
      </c>
      <c r="H1785" s="31">
        <v>3000000.0</v>
      </c>
      <c r="I1785" s="31" t="s">
        <v>200</v>
      </c>
      <c r="K1785" s="33" t="s">
        <v>5539</v>
      </c>
      <c r="L1785" s="31" t="s">
        <v>252</v>
      </c>
      <c r="M1785" s="31" t="s">
        <v>203</v>
      </c>
      <c r="O1785" s="31" t="s">
        <v>205</v>
      </c>
      <c r="X1785" s="31" t="s">
        <v>452</v>
      </c>
    </row>
    <row r="1786">
      <c r="A1786" s="29">
        <v>45953.60406326389</v>
      </c>
      <c r="B1786" s="30">
        <v>45953.0</v>
      </c>
      <c r="C1786" s="31" t="s">
        <v>5540</v>
      </c>
      <c r="D1786" s="32" t="s">
        <v>5541</v>
      </c>
      <c r="E1786" s="31" t="s">
        <v>43</v>
      </c>
      <c r="F1786" s="31">
        <v>2900000.0</v>
      </c>
      <c r="G1786" s="31" t="s">
        <v>23</v>
      </c>
      <c r="I1786" s="31" t="s">
        <v>229</v>
      </c>
      <c r="J1786" s="31" t="s">
        <v>967</v>
      </c>
      <c r="K1786" s="33" t="s">
        <v>5542</v>
      </c>
      <c r="L1786" s="31" t="s">
        <v>252</v>
      </c>
      <c r="O1786" s="31" t="s">
        <v>257</v>
      </c>
      <c r="P1786" s="31" t="s">
        <v>2453</v>
      </c>
    </row>
    <row r="1787">
      <c r="A1787" s="29">
        <v>45953.621601377316</v>
      </c>
      <c r="B1787" s="30">
        <v>45953.0</v>
      </c>
      <c r="C1787" s="31" t="s">
        <v>5543</v>
      </c>
      <c r="D1787" s="32" t="s">
        <v>5544</v>
      </c>
      <c r="E1787" s="31" t="s">
        <v>228</v>
      </c>
      <c r="F1787" s="31">
        <v>500000.0</v>
      </c>
      <c r="G1787" s="31" t="s">
        <v>23</v>
      </c>
      <c r="I1787" s="31" t="s">
        <v>229</v>
      </c>
      <c r="J1787" s="31" t="s">
        <v>967</v>
      </c>
      <c r="K1787" s="33" t="s">
        <v>5545</v>
      </c>
      <c r="L1787" s="31" t="s">
        <v>202</v>
      </c>
      <c r="N1787" s="31" t="s">
        <v>204</v>
      </c>
      <c r="R1787" s="31" t="s">
        <v>192</v>
      </c>
    </row>
    <row r="1788">
      <c r="A1788" s="29">
        <v>45953.66124923612</v>
      </c>
      <c r="B1788" s="30">
        <v>45953.0</v>
      </c>
      <c r="C1788" s="31" t="s">
        <v>5546</v>
      </c>
      <c r="D1788" s="32" t="s">
        <v>5547</v>
      </c>
      <c r="E1788" s="31" t="s">
        <v>43</v>
      </c>
      <c r="F1788" s="31">
        <v>2500000.0</v>
      </c>
      <c r="G1788" s="31" t="s">
        <v>23</v>
      </c>
      <c r="I1788" s="31" t="s">
        <v>229</v>
      </c>
      <c r="J1788" s="31" t="s">
        <v>967</v>
      </c>
      <c r="K1788" s="33" t="s">
        <v>5548</v>
      </c>
      <c r="L1788" s="31" t="s">
        <v>202</v>
      </c>
      <c r="N1788" s="31" t="s">
        <v>204</v>
      </c>
      <c r="R1788" s="31" t="s">
        <v>5256</v>
      </c>
    </row>
    <row r="1789">
      <c r="A1789" s="29">
        <v>45953.663540381945</v>
      </c>
      <c r="B1789" s="30">
        <v>45953.0</v>
      </c>
      <c r="C1789" s="31" t="s">
        <v>5549</v>
      </c>
      <c r="D1789" s="32" t="s">
        <v>5550</v>
      </c>
      <c r="E1789" s="31" t="s">
        <v>43</v>
      </c>
      <c r="F1789" s="31">
        <v>2000000.0</v>
      </c>
      <c r="G1789" s="31" t="s">
        <v>23</v>
      </c>
      <c r="I1789" s="31" t="s">
        <v>229</v>
      </c>
      <c r="J1789" s="31" t="s">
        <v>967</v>
      </c>
      <c r="K1789" s="33" t="s">
        <v>5551</v>
      </c>
      <c r="L1789" s="31" t="s">
        <v>202</v>
      </c>
      <c r="N1789" s="31" t="s">
        <v>204</v>
      </c>
      <c r="R1789" s="31" t="s">
        <v>5256</v>
      </c>
    </row>
    <row r="1790">
      <c r="A1790" s="29">
        <v>45953.67098971065</v>
      </c>
      <c r="B1790" s="30">
        <v>45953.0</v>
      </c>
      <c r="C1790" s="31" t="s">
        <v>5552</v>
      </c>
      <c r="D1790" s="32" t="s">
        <v>5553</v>
      </c>
      <c r="E1790" s="31" t="s">
        <v>2902</v>
      </c>
      <c r="F1790" s="31">
        <v>2700000.0</v>
      </c>
      <c r="G1790" s="31" t="s">
        <v>23</v>
      </c>
      <c r="H1790" s="31">
        <v>1600000.0</v>
      </c>
      <c r="I1790" s="31" t="s">
        <v>413</v>
      </c>
      <c r="K1790" s="33" t="s">
        <v>5554</v>
      </c>
      <c r="L1790" s="31" t="s">
        <v>202</v>
      </c>
      <c r="M1790" s="31" t="s">
        <v>203</v>
      </c>
      <c r="N1790" s="31" t="s">
        <v>220</v>
      </c>
      <c r="S1790" s="31" t="s">
        <v>36</v>
      </c>
    </row>
    <row r="1791">
      <c r="A1791" s="29">
        <v>45953.67575012731</v>
      </c>
      <c r="B1791" s="30">
        <v>45953.0</v>
      </c>
      <c r="C1791" s="31" t="s">
        <v>5555</v>
      </c>
      <c r="D1791" s="32" t="s">
        <v>5556</v>
      </c>
      <c r="E1791" s="31" t="s">
        <v>43</v>
      </c>
      <c r="F1791" s="31">
        <v>3000000.0</v>
      </c>
      <c r="G1791" s="31" t="s">
        <v>23</v>
      </c>
      <c r="I1791" s="31" t="s">
        <v>229</v>
      </c>
      <c r="J1791" s="31" t="s">
        <v>967</v>
      </c>
      <c r="K1791" s="33" t="s">
        <v>5557</v>
      </c>
      <c r="L1791" s="31" t="s">
        <v>202</v>
      </c>
      <c r="N1791" s="31" t="s">
        <v>871</v>
      </c>
      <c r="Q1791" s="31" t="s">
        <v>872</v>
      </c>
    </row>
    <row r="1792">
      <c r="A1792" s="29">
        <v>45953.686789432875</v>
      </c>
      <c r="B1792" s="30">
        <v>45953.0</v>
      </c>
      <c r="C1792" s="31" t="s">
        <v>5558</v>
      </c>
      <c r="D1792" s="32" t="s">
        <v>5559</v>
      </c>
      <c r="E1792" s="31" t="s">
        <v>43</v>
      </c>
      <c r="F1792" s="31">
        <v>8500000.0</v>
      </c>
      <c r="G1792" s="31" t="s">
        <v>23</v>
      </c>
      <c r="I1792" s="31" t="s">
        <v>229</v>
      </c>
      <c r="J1792" s="31" t="s">
        <v>967</v>
      </c>
      <c r="K1792" s="33" t="s">
        <v>5560</v>
      </c>
      <c r="L1792" s="31" t="s">
        <v>252</v>
      </c>
      <c r="O1792" s="31" t="s">
        <v>257</v>
      </c>
      <c r="P1792" s="31" t="s">
        <v>258</v>
      </c>
    </row>
    <row r="1793">
      <c r="A1793" s="29">
        <v>45953.69244179398</v>
      </c>
      <c r="B1793" s="30">
        <v>45953.0</v>
      </c>
      <c r="C1793" s="31" t="s">
        <v>5561</v>
      </c>
      <c r="D1793" s="32" t="s">
        <v>5562</v>
      </c>
      <c r="E1793" s="31" t="s">
        <v>43</v>
      </c>
      <c r="F1793" s="31">
        <v>3000000.0</v>
      </c>
      <c r="G1793" s="31" t="s">
        <v>23</v>
      </c>
      <c r="H1793" s="31">
        <v>3000000.0</v>
      </c>
      <c r="I1793" s="31" t="s">
        <v>413</v>
      </c>
      <c r="K1793" s="33" t="s">
        <v>5563</v>
      </c>
      <c r="L1793" s="31" t="s">
        <v>202</v>
      </c>
      <c r="M1793" s="31" t="s">
        <v>203</v>
      </c>
      <c r="N1793" s="31" t="s">
        <v>871</v>
      </c>
      <c r="Q1793" s="31" t="s">
        <v>872</v>
      </c>
    </row>
    <row r="1794">
      <c r="A1794" s="29">
        <v>45953.70916626157</v>
      </c>
      <c r="B1794" s="30">
        <v>45953.0</v>
      </c>
      <c r="C1794" s="31" t="s">
        <v>5564</v>
      </c>
      <c r="D1794" s="32" t="s">
        <v>5565</v>
      </c>
      <c r="E1794" s="31" t="s">
        <v>43</v>
      </c>
      <c r="F1794" s="31">
        <v>3000000.0</v>
      </c>
      <c r="G1794" s="31" t="s">
        <v>23</v>
      </c>
      <c r="I1794" s="31" t="s">
        <v>229</v>
      </c>
      <c r="J1794" s="31" t="s">
        <v>967</v>
      </c>
      <c r="K1794" s="33" t="s">
        <v>5566</v>
      </c>
      <c r="L1794" s="31" t="s">
        <v>252</v>
      </c>
      <c r="O1794" s="31" t="s">
        <v>257</v>
      </c>
      <c r="P1794" s="31" t="s">
        <v>2453</v>
      </c>
    </row>
    <row r="1795">
      <c r="A1795" s="29">
        <v>45953.735085486114</v>
      </c>
      <c r="B1795" s="30">
        <v>45953.0</v>
      </c>
      <c r="C1795" s="31" t="s">
        <v>5567</v>
      </c>
      <c r="D1795" s="32" t="s">
        <v>5568</v>
      </c>
      <c r="E1795" s="31" t="s">
        <v>43</v>
      </c>
      <c r="F1795" s="31">
        <v>4700000.0</v>
      </c>
      <c r="G1795" s="31" t="s">
        <v>23</v>
      </c>
      <c r="I1795" s="31" t="s">
        <v>229</v>
      </c>
      <c r="J1795" s="31" t="s">
        <v>967</v>
      </c>
      <c r="K1795" s="33" t="s">
        <v>5569</v>
      </c>
      <c r="L1795" s="31" t="s">
        <v>202</v>
      </c>
      <c r="N1795" s="31" t="s">
        <v>667</v>
      </c>
      <c r="U1795" s="31" t="s">
        <v>668</v>
      </c>
    </row>
    <row r="1796">
      <c r="A1796" s="29">
        <v>45953.73544603009</v>
      </c>
      <c r="B1796" s="30">
        <v>45953.0</v>
      </c>
      <c r="C1796" s="31" t="s">
        <v>5570</v>
      </c>
      <c r="D1796" s="32" t="s">
        <v>5571</v>
      </c>
      <c r="E1796" s="31" t="s">
        <v>31</v>
      </c>
      <c r="F1796" s="31">
        <v>1.2E7</v>
      </c>
      <c r="G1796" s="31" t="s">
        <v>23</v>
      </c>
      <c r="H1796" s="31">
        <v>7000000.0</v>
      </c>
      <c r="I1796" s="31" t="s">
        <v>413</v>
      </c>
      <c r="K1796" s="33" t="s">
        <v>5572</v>
      </c>
      <c r="L1796" s="31" t="s">
        <v>202</v>
      </c>
      <c r="M1796" s="31" t="s">
        <v>926</v>
      </c>
      <c r="N1796" s="31" t="s">
        <v>204</v>
      </c>
      <c r="R1796" s="31" t="s">
        <v>53</v>
      </c>
    </row>
    <row r="1797">
      <c r="A1797" s="29">
        <v>45953.75833990741</v>
      </c>
      <c r="B1797" s="30">
        <v>45953.0</v>
      </c>
      <c r="C1797" s="31" t="s">
        <v>5573</v>
      </c>
      <c r="D1797" s="31">
        <v>0.0</v>
      </c>
      <c r="E1797" s="31" t="s">
        <v>43</v>
      </c>
      <c r="F1797" s="32" t="s">
        <v>5089</v>
      </c>
      <c r="G1797" s="31" t="s">
        <v>23</v>
      </c>
      <c r="I1797" s="31" t="s">
        <v>229</v>
      </c>
      <c r="J1797" s="31" t="s">
        <v>967</v>
      </c>
      <c r="K1797" s="33" t="s">
        <v>5574</v>
      </c>
      <c r="L1797" s="31" t="s">
        <v>252</v>
      </c>
      <c r="O1797" s="31" t="s">
        <v>257</v>
      </c>
      <c r="P1797" s="31" t="s">
        <v>992</v>
      </c>
    </row>
    <row r="1798">
      <c r="A1798" s="29">
        <v>45953.75845804398</v>
      </c>
      <c r="B1798" s="30">
        <v>45953.0</v>
      </c>
      <c r="C1798" s="31" t="s">
        <v>5575</v>
      </c>
      <c r="D1798" s="32" t="s">
        <v>5576</v>
      </c>
      <c r="E1798" s="31" t="s">
        <v>43</v>
      </c>
      <c r="F1798" s="31">
        <v>6000000.0</v>
      </c>
      <c r="G1798" s="31" t="s">
        <v>23</v>
      </c>
      <c r="I1798" s="31" t="s">
        <v>229</v>
      </c>
      <c r="J1798" s="31" t="s">
        <v>967</v>
      </c>
      <c r="K1798" s="33" t="s">
        <v>5577</v>
      </c>
      <c r="L1798" s="31" t="s">
        <v>202</v>
      </c>
      <c r="N1798" s="31" t="s">
        <v>220</v>
      </c>
      <c r="S1798" s="31" t="s">
        <v>536</v>
      </c>
    </row>
    <row r="1799">
      <c r="A1799" s="29">
        <v>45953.75869519676</v>
      </c>
      <c r="B1799" s="30">
        <v>45953.0</v>
      </c>
      <c r="C1799" s="31" t="s">
        <v>5578</v>
      </c>
      <c r="D1799" s="31">
        <v>8.2266351116E10</v>
      </c>
      <c r="E1799" s="31" t="s">
        <v>43</v>
      </c>
      <c r="F1799" s="31">
        <v>6500000.0</v>
      </c>
      <c r="G1799" s="31" t="s">
        <v>45</v>
      </c>
      <c r="I1799" s="31" t="s">
        <v>229</v>
      </c>
      <c r="J1799" s="31" t="s">
        <v>967</v>
      </c>
      <c r="K1799" s="33" t="s">
        <v>5579</v>
      </c>
      <c r="L1799" s="31" t="s">
        <v>202</v>
      </c>
      <c r="N1799" s="31" t="s">
        <v>220</v>
      </c>
      <c r="S1799" s="31" t="s">
        <v>896</v>
      </c>
    </row>
    <row r="1800">
      <c r="A1800" s="29">
        <v>45953.761044837964</v>
      </c>
      <c r="B1800" s="30">
        <v>45953.0</v>
      </c>
      <c r="C1800" s="31" t="s">
        <v>5580</v>
      </c>
      <c r="D1800" s="32" t="s">
        <v>5581</v>
      </c>
      <c r="E1800" s="31" t="s">
        <v>43</v>
      </c>
      <c r="F1800" s="34">
        <v>5000000.0</v>
      </c>
      <c r="G1800" s="31" t="s">
        <v>45</v>
      </c>
      <c r="I1800" s="31" t="s">
        <v>229</v>
      </c>
      <c r="J1800" s="31" t="s">
        <v>967</v>
      </c>
      <c r="K1800" s="33" t="s">
        <v>5582</v>
      </c>
      <c r="L1800" s="31" t="s">
        <v>202</v>
      </c>
      <c r="N1800" s="31" t="s">
        <v>220</v>
      </c>
      <c r="S1800" s="31" t="s">
        <v>5512</v>
      </c>
    </row>
    <row r="1801">
      <c r="A1801" s="29">
        <v>45953.763605844906</v>
      </c>
      <c r="B1801" s="30">
        <v>45953.0</v>
      </c>
      <c r="C1801" s="31" t="s">
        <v>5583</v>
      </c>
      <c r="D1801" s="32" t="s">
        <v>5584</v>
      </c>
      <c r="E1801" s="31" t="s">
        <v>43</v>
      </c>
      <c r="F1801" s="31">
        <v>3000000.0</v>
      </c>
      <c r="G1801" s="31" t="s">
        <v>23</v>
      </c>
      <c r="I1801" s="31" t="s">
        <v>229</v>
      </c>
      <c r="J1801" s="31" t="s">
        <v>967</v>
      </c>
      <c r="K1801" s="33" t="s">
        <v>5585</v>
      </c>
      <c r="L1801" s="31" t="s">
        <v>202</v>
      </c>
      <c r="N1801" s="31" t="s">
        <v>215</v>
      </c>
      <c r="W1801" s="31" t="s">
        <v>389</v>
      </c>
    </row>
    <row r="1802">
      <c r="A1802" s="29">
        <v>45953.78748907408</v>
      </c>
      <c r="B1802" s="30">
        <v>45953.0</v>
      </c>
      <c r="C1802" s="31" t="s">
        <v>5586</v>
      </c>
      <c r="D1802" s="31">
        <v>0.0</v>
      </c>
      <c r="E1802" s="31" t="s">
        <v>5587</v>
      </c>
      <c r="F1802" s="34">
        <v>3500.0</v>
      </c>
      <c r="G1802" s="31" t="s">
        <v>23</v>
      </c>
      <c r="I1802" s="31" t="s">
        <v>229</v>
      </c>
      <c r="J1802" s="31" t="s">
        <v>967</v>
      </c>
      <c r="K1802" s="33" t="s">
        <v>5588</v>
      </c>
      <c r="L1802" s="31" t="s">
        <v>202</v>
      </c>
      <c r="N1802" s="31" t="s">
        <v>204</v>
      </c>
      <c r="R1802" s="31" t="s">
        <v>171</v>
      </c>
    </row>
    <row r="1803">
      <c r="A1803" s="29">
        <v>45953.800405173606</v>
      </c>
      <c r="B1803" s="30">
        <v>45953.0</v>
      </c>
      <c r="C1803" s="31" t="s">
        <v>5589</v>
      </c>
      <c r="D1803" s="32" t="s">
        <v>5590</v>
      </c>
      <c r="E1803" s="31" t="s">
        <v>335</v>
      </c>
      <c r="F1803" s="31">
        <v>4.0E7</v>
      </c>
      <c r="G1803" s="31" t="s">
        <v>45</v>
      </c>
      <c r="H1803" s="31">
        <v>3000000.0</v>
      </c>
      <c r="I1803" s="31" t="s">
        <v>413</v>
      </c>
      <c r="K1803" s="33" t="s">
        <v>5591</v>
      </c>
      <c r="L1803" s="31" t="s">
        <v>202</v>
      </c>
      <c r="M1803" s="31" t="s">
        <v>926</v>
      </c>
      <c r="N1803" s="31" t="s">
        <v>204</v>
      </c>
      <c r="R1803" s="31" t="s">
        <v>360</v>
      </c>
    </row>
    <row r="1804">
      <c r="A1804" s="29">
        <v>45953.808346631944</v>
      </c>
      <c r="B1804" s="30">
        <v>45953.0</v>
      </c>
      <c r="C1804" s="31" t="s">
        <v>4898</v>
      </c>
      <c r="D1804" s="32" t="s">
        <v>5592</v>
      </c>
      <c r="E1804" s="31" t="s">
        <v>43</v>
      </c>
      <c r="F1804" s="31">
        <v>2500000.0</v>
      </c>
      <c r="G1804" s="31" t="s">
        <v>23</v>
      </c>
      <c r="I1804" s="31" t="s">
        <v>229</v>
      </c>
      <c r="J1804" s="31" t="s">
        <v>967</v>
      </c>
      <c r="K1804" s="33" t="s">
        <v>5593</v>
      </c>
      <c r="L1804" s="31" t="s">
        <v>202</v>
      </c>
      <c r="N1804" s="31" t="s">
        <v>667</v>
      </c>
      <c r="U1804" s="31" t="s">
        <v>3950</v>
      </c>
    </row>
    <row r="1805">
      <c r="A1805" s="29">
        <v>45953.81122133102</v>
      </c>
      <c r="B1805" s="30">
        <v>45953.0</v>
      </c>
      <c r="C1805" s="31" t="s">
        <v>5594</v>
      </c>
      <c r="D1805" s="32" t="s">
        <v>5595</v>
      </c>
      <c r="E1805" s="31" t="s">
        <v>288</v>
      </c>
      <c r="F1805" s="31">
        <v>2300000.0</v>
      </c>
      <c r="G1805" s="31" t="s">
        <v>23</v>
      </c>
      <c r="H1805" s="31">
        <v>3000000.0</v>
      </c>
      <c r="I1805" s="31" t="s">
        <v>200</v>
      </c>
      <c r="K1805" s="33" t="s">
        <v>5596</v>
      </c>
      <c r="L1805" s="31" t="s">
        <v>202</v>
      </c>
      <c r="M1805" s="31" t="s">
        <v>203</v>
      </c>
      <c r="N1805" s="31" t="s">
        <v>204</v>
      </c>
      <c r="R1805" s="31" t="s">
        <v>892</v>
      </c>
    </row>
    <row r="1806">
      <c r="A1806" s="29">
        <v>45953.811242372685</v>
      </c>
      <c r="B1806" s="30">
        <v>45953.0</v>
      </c>
      <c r="C1806" s="31" t="s">
        <v>5597</v>
      </c>
      <c r="D1806" s="32" t="s">
        <v>5598</v>
      </c>
      <c r="E1806" s="31" t="s">
        <v>43</v>
      </c>
      <c r="F1806" s="31">
        <v>5000000.0</v>
      </c>
      <c r="G1806" s="31" t="s">
        <v>23</v>
      </c>
      <c r="I1806" s="31" t="s">
        <v>229</v>
      </c>
      <c r="J1806" s="31" t="s">
        <v>967</v>
      </c>
      <c r="K1806" s="33" t="s">
        <v>5599</v>
      </c>
      <c r="L1806" s="31" t="s">
        <v>202</v>
      </c>
      <c r="N1806" s="31" t="s">
        <v>204</v>
      </c>
      <c r="R1806" s="31" t="s">
        <v>471</v>
      </c>
    </row>
    <row r="1807">
      <c r="A1807" s="29">
        <v>45953.813015231484</v>
      </c>
      <c r="B1807" s="30">
        <v>45953.0</v>
      </c>
      <c r="C1807" s="31" t="s">
        <v>5600</v>
      </c>
      <c r="D1807" s="32" t="s">
        <v>5601</v>
      </c>
      <c r="E1807" s="31" t="s">
        <v>228</v>
      </c>
      <c r="F1807" s="31">
        <v>2500000.0</v>
      </c>
      <c r="G1807" s="31" t="s">
        <v>23</v>
      </c>
      <c r="I1807" s="31" t="s">
        <v>229</v>
      </c>
      <c r="J1807" s="31" t="s">
        <v>967</v>
      </c>
      <c r="K1807" s="33" t="s">
        <v>5602</v>
      </c>
      <c r="L1807" s="31" t="s">
        <v>202</v>
      </c>
      <c r="N1807" s="31" t="s">
        <v>204</v>
      </c>
      <c r="R1807" s="31" t="s">
        <v>360</v>
      </c>
    </row>
    <row r="1808">
      <c r="A1808" s="29">
        <v>45953.82411945602</v>
      </c>
      <c r="B1808" s="30">
        <v>45953.0</v>
      </c>
      <c r="C1808" s="31" t="s">
        <v>5603</v>
      </c>
      <c r="D1808" s="32" t="s">
        <v>5604</v>
      </c>
      <c r="E1808" s="31" t="s">
        <v>43</v>
      </c>
      <c r="F1808" s="31">
        <v>8000000.0</v>
      </c>
      <c r="G1808" s="31" t="s">
        <v>23</v>
      </c>
      <c r="I1808" s="31" t="s">
        <v>229</v>
      </c>
      <c r="J1808" s="31" t="s">
        <v>967</v>
      </c>
      <c r="K1808" s="33" t="s">
        <v>5605</v>
      </c>
      <c r="L1808" s="31" t="s">
        <v>202</v>
      </c>
      <c r="N1808" s="31" t="s">
        <v>204</v>
      </c>
      <c r="R1808" s="31" t="s">
        <v>5606</v>
      </c>
    </row>
    <row r="1809">
      <c r="A1809" s="29">
        <v>45953.8301769213</v>
      </c>
      <c r="B1809" s="30">
        <v>45953.0</v>
      </c>
      <c r="C1809" s="31" t="s">
        <v>5607</v>
      </c>
      <c r="D1809" s="32" t="s">
        <v>5608</v>
      </c>
      <c r="E1809" s="31" t="s">
        <v>43</v>
      </c>
      <c r="F1809" s="31">
        <v>4700000.0</v>
      </c>
      <c r="G1809" s="31" t="s">
        <v>23</v>
      </c>
      <c r="I1809" s="31" t="s">
        <v>229</v>
      </c>
      <c r="J1809" s="31" t="s">
        <v>967</v>
      </c>
      <c r="K1809" s="33" t="s">
        <v>5609</v>
      </c>
      <c r="L1809" s="31" t="s">
        <v>202</v>
      </c>
      <c r="N1809" s="31" t="s">
        <v>667</v>
      </c>
      <c r="U1809" s="31" t="s">
        <v>668</v>
      </c>
    </row>
    <row r="1810">
      <c r="A1810" s="29">
        <v>45953.83117672453</v>
      </c>
      <c r="B1810" s="30">
        <v>45953.0</v>
      </c>
      <c r="C1810" s="31" t="s">
        <v>5610</v>
      </c>
      <c r="D1810" s="32" t="s">
        <v>5611</v>
      </c>
      <c r="E1810" s="31" t="s">
        <v>31</v>
      </c>
      <c r="F1810" s="31">
        <v>5999000.0</v>
      </c>
      <c r="G1810" s="31" t="s">
        <v>23</v>
      </c>
      <c r="I1810" s="31" t="s">
        <v>229</v>
      </c>
      <c r="J1810" s="31" t="s">
        <v>967</v>
      </c>
      <c r="K1810" s="33" t="s">
        <v>5612</v>
      </c>
      <c r="L1810" s="31" t="s">
        <v>202</v>
      </c>
      <c r="N1810" s="31" t="s">
        <v>204</v>
      </c>
      <c r="R1810" s="31" t="s">
        <v>207</v>
      </c>
    </row>
    <row r="1811">
      <c r="A1811" s="29">
        <v>45953.83243634259</v>
      </c>
      <c r="B1811" s="30">
        <v>45953.0</v>
      </c>
      <c r="C1811" s="31" t="s">
        <v>5613</v>
      </c>
      <c r="D1811" s="32" t="s">
        <v>5611</v>
      </c>
      <c r="E1811" s="31" t="s">
        <v>31</v>
      </c>
      <c r="F1811" s="31">
        <v>5999000.0</v>
      </c>
      <c r="G1811" s="31" t="s">
        <v>23</v>
      </c>
      <c r="H1811" s="31">
        <v>3000000.0</v>
      </c>
      <c r="I1811" s="31" t="s">
        <v>413</v>
      </c>
      <c r="K1811" s="33" t="s">
        <v>5614</v>
      </c>
      <c r="L1811" s="31" t="s">
        <v>202</v>
      </c>
      <c r="M1811" s="31" t="s">
        <v>203</v>
      </c>
      <c r="N1811" s="31" t="s">
        <v>204</v>
      </c>
      <c r="R1811" s="31" t="s">
        <v>207</v>
      </c>
    </row>
    <row r="1812">
      <c r="A1812" s="29">
        <v>45953.83321994213</v>
      </c>
      <c r="B1812" s="30">
        <v>45953.0</v>
      </c>
      <c r="C1812" s="31" t="s">
        <v>5615</v>
      </c>
      <c r="D1812" s="32" t="s">
        <v>5616</v>
      </c>
      <c r="E1812" s="31" t="s">
        <v>31</v>
      </c>
      <c r="F1812" s="31">
        <v>5999000.0</v>
      </c>
      <c r="G1812" s="31" t="s">
        <v>23</v>
      </c>
      <c r="I1812" s="31" t="s">
        <v>229</v>
      </c>
      <c r="J1812" s="31" t="s">
        <v>967</v>
      </c>
      <c r="K1812" s="33" t="s">
        <v>5617</v>
      </c>
      <c r="L1812" s="31" t="s">
        <v>202</v>
      </c>
      <c r="N1812" s="31" t="s">
        <v>204</v>
      </c>
      <c r="R1812" s="31" t="s">
        <v>207</v>
      </c>
    </row>
    <row r="1813">
      <c r="A1813" s="29">
        <v>45953.900340162036</v>
      </c>
      <c r="B1813" s="30">
        <v>45953.0</v>
      </c>
      <c r="C1813" s="31" t="s">
        <v>5618</v>
      </c>
      <c r="D1813" s="31">
        <v>6.282235517963E12</v>
      </c>
      <c r="E1813" s="31" t="s">
        <v>43</v>
      </c>
      <c r="F1813" s="31">
        <v>4000000.0</v>
      </c>
      <c r="G1813" s="31" t="s">
        <v>23</v>
      </c>
      <c r="I1813" s="31" t="s">
        <v>229</v>
      </c>
      <c r="J1813" s="31" t="s">
        <v>967</v>
      </c>
      <c r="K1813" s="33" t="s">
        <v>5619</v>
      </c>
      <c r="L1813" s="31" t="s">
        <v>202</v>
      </c>
      <c r="N1813" s="31" t="s">
        <v>220</v>
      </c>
      <c r="S1813" s="31" t="s">
        <v>124</v>
      </c>
    </row>
    <row r="1814">
      <c r="A1814" s="29">
        <v>45954.44609171296</v>
      </c>
      <c r="B1814" s="30">
        <v>45954.0</v>
      </c>
      <c r="C1814" s="31" t="s">
        <v>5620</v>
      </c>
      <c r="D1814" s="32" t="s">
        <v>5621</v>
      </c>
      <c r="E1814" s="31" t="s">
        <v>31</v>
      </c>
      <c r="F1814" s="31">
        <v>2700000.0</v>
      </c>
      <c r="G1814" s="31" t="s">
        <v>23</v>
      </c>
      <c r="I1814" s="31" t="s">
        <v>229</v>
      </c>
      <c r="J1814" s="31" t="s">
        <v>967</v>
      </c>
      <c r="K1814" s="33" t="s">
        <v>5622</v>
      </c>
      <c r="L1814" s="31" t="s">
        <v>202</v>
      </c>
      <c r="N1814" s="31" t="s">
        <v>871</v>
      </c>
      <c r="Q1814" s="31" t="s">
        <v>1021</v>
      </c>
    </row>
    <row r="1815">
      <c r="A1815" s="29">
        <v>45954.4502932176</v>
      </c>
      <c r="B1815" s="30">
        <v>45954.0</v>
      </c>
      <c r="C1815" s="31" t="s">
        <v>5623</v>
      </c>
      <c r="D1815" s="32" t="s">
        <v>5624</v>
      </c>
      <c r="E1815" s="31" t="s">
        <v>31</v>
      </c>
      <c r="F1815" s="31">
        <v>5000000.0</v>
      </c>
      <c r="G1815" s="31" t="s">
        <v>23</v>
      </c>
      <c r="I1815" s="31" t="s">
        <v>229</v>
      </c>
      <c r="J1815" s="31" t="s">
        <v>967</v>
      </c>
      <c r="K1815" s="33" t="s">
        <v>5625</v>
      </c>
      <c r="L1815" s="31" t="s">
        <v>252</v>
      </c>
      <c r="O1815" s="31" t="s">
        <v>205</v>
      </c>
      <c r="X1815" s="31" t="s">
        <v>452</v>
      </c>
    </row>
    <row r="1816">
      <c r="A1816" s="29">
        <v>45954.45855483796</v>
      </c>
      <c r="B1816" s="30">
        <v>45954.0</v>
      </c>
      <c r="C1816" s="31" t="s">
        <v>5626</v>
      </c>
      <c r="D1816" s="32" t="s">
        <v>5627</v>
      </c>
      <c r="E1816" s="31" t="s">
        <v>239</v>
      </c>
      <c r="F1816" s="31">
        <v>3100000.0</v>
      </c>
      <c r="G1816" s="31" t="s">
        <v>23</v>
      </c>
      <c r="I1816" s="31" t="s">
        <v>229</v>
      </c>
      <c r="J1816" s="31" t="s">
        <v>967</v>
      </c>
      <c r="K1816" s="33" t="s">
        <v>5628</v>
      </c>
      <c r="L1816" s="31" t="s">
        <v>202</v>
      </c>
      <c r="N1816" s="31" t="s">
        <v>667</v>
      </c>
      <c r="U1816" s="31" t="s">
        <v>3950</v>
      </c>
    </row>
    <row r="1817">
      <c r="A1817" s="29">
        <v>45954.478131550924</v>
      </c>
      <c r="B1817" s="30">
        <v>45954.0</v>
      </c>
      <c r="C1817" s="31" t="s">
        <v>5629</v>
      </c>
      <c r="D1817" s="32" t="s">
        <v>5630</v>
      </c>
      <c r="E1817" s="31" t="s">
        <v>239</v>
      </c>
      <c r="F1817" s="31">
        <v>1300000.0</v>
      </c>
      <c r="G1817" s="31" t="s">
        <v>23</v>
      </c>
      <c r="I1817" s="31" t="s">
        <v>229</v>
      </c>
      <c r="J1817" s="31" t="s">
        <v>967</v>
      </c>
      <c r="K1817" s="33" t="s">
        <v>5631</v>
      </c>
      <c r="L1817" s="31" t="s">
        <v>252</v>
      </c>
      <c r="O1817" s="31" t="s">
        <v>205</v>
      </c>
      <c r="X1817" s="31" t="s">
        <v>1471</v>
      </c>
    </row>
    <row r="1818">
      <c r="A1818" s="29">
        <v>45954.49790107639</v>
      </c>
      <c r="B1818" s="30">
        <v>45954.0</v>
      </c>
      <c r="C1818" s="31" t="s">
        <v>5632</v>
      </c>
      <c r="D1818" s="32" t="s">
        <v>5633</v>
      </c>
      <c r="E1818" s="31" t="s">
        <v>288</v>
      </c>
      <c r="F1818" s="31">
        <v>3600000.0</v>
      </c>
      <c r="G1818" s="31" t="s">
        <v>23</v>
      </c>
      <c r="I1818" s="31" t="s">
        <v>229</v>
      </c>
      <c r="J1818" s="31" t="s">
        <v>967</v>
      </c>
      <c r="K1818" s="33" t="s">
        <v>5634</v>
      </c>
      <c r="L1818" s="31" t="s">
        <v>252</v>
      </c>
      <c r="O1818" s="31" t="s">
        <v>205</v>
      </c>
      <c r="X1818" s="31" t="s">
        <v>569</v>
      </c>
    </row>
    <row r="1819">
      <c r="A1819" s="29">
        <v>45954.508710208334</v>
      </c>
      <c r="B1819" s="30">
        <v>45954.0</v>
      </c>
      <c r="C1819" s="31" t="s">
        <v>5635</v>
      </c>
      <c r="D1819" s="31" t="s">
        <v>5636</v>
      </c>
      <c r="E1819" s="31" t="s">
        <v>288</v>
      </c>
      <c r="F1819" s="31">
        <v>4400000.0</v>
      </c>
      <c r="G1819" s="31" t="s">
        <v>23</v>
      </c>
      <c r="H1819" s="31">
        <v>3000000.0</v>
      </c>
      <c r="I1819" s="31" t="s">
        <v>413</v>
      </c>
      <c r="K1819" s="33" t="s">
        <v>5637</v>
      </c>
      <c r="L1819" s="31" t="s">
        <v>202</v>
      </c>
      <c r="M1819" s="31" t="s">
        <v>5638</v>
      </c>
      <c r="N1819" s="31" t="s">
        <v>204</v>
      </c>
      <c r="R1819" s="31" t="s">
        <v>90</v>
      </c>
    </row>
    <row r="1820">
      <c r="A1820" s="29">
        <v>45954.53128085648</v>
      </c>
      <c r="B1820" s="30">
        <v>45954.0</v>
      </c>
      <c r="C1820" s="31" t="s">
        <v>5639</v>
      </c>
      <c r="D1820" s="32" t="s">
        <v>5640</v>
      </c>
      <c r="E1820" s="31" t="s">
        <v>335</v>
      </c>
      <c r="F1820" s="31">
        <v>6400000.0</v>
      </c>
      <c r="G1820" s="31" t="s">
        <v>45</v>
      </c>
      <c r="I1820" s="31" t="s">
        <v>229</v>
      </c>
      <c r="J1820" s="31" t="s">
        <v>967</v>
      </c>
      <c r="K1820" s="33" t="s">
        <v>5641</v>
      </c>
      <c r="L1820" s="31" t="s">
        <v>252</v>
      </c>
      <c r="O1820" s="31" t="s">
        <v>205</v>
      </c>
      <c r="X1820" s="31" t="s">
        <v>716</v>
      </c>
    </row>
    <row r="1821">
      <c r="A1821" s="29">
        <v>45954.53389399305</v>
      </c>
      <c r="B1821" s="30">
        <v>45954.0</v>
      </c>
      <c r="C1821" s="31" t="s">
        <v>5642</v>
      </c>
      <c r="D1821" s="32" t="s">
        <v>5643</v>
      </c>
      <c r="E1821" s="31" t="s">
        <v>43</v>
      </c>
      <c r="F1821" s="31">
        <v>6200000.0</v>
      </c>
      <c r="G1821" s="31" t="s">
        <v>23</v>
      </c>
      <c r="I1821" s="31" t="s">
        <v>229</v>
      </c>
      <c r="J1821" s="31" t="s">
        <v>967</v>
      </c>
      <c r="K1821" s="33" t="s">
        <v>5644</v>
      </c>
      <c r="L1821" s="31" t="s">
        <v>202</v>
      </c>
      <c r="N1821" s="31" t="s">
        <v>313</v>
      </c>
      <c r="T1821" s="31" t="s">
        <v>329</v>
      </c>
    </row>
    <row r="1822">
      <c r="A1822" s="29">
        <v>45954.53734560186</v>
      </c>
      <c r="B1822" s="30">
        <v>45954.0</v>
      </c>
      <c r="C1822" s="31" t="s">
        <v>5645</v>
      </c>
      <c r="D1822" s="32" t="s">
        <v>5646</v>
      </c>
      <c r="E1822" s="31" t="s">
        <v>261</v>
      </c>
      <c r="F1822" s="31">
        <v>50.0</v>
      </c>
      <c r="G1822" s="31" t="s">
        <v>23</v>
      </c>
      <c r="I1822" s="31" t="s">
        <v>229</v>
      </c>
      <c r="J1822" s="31" t="s">
        <v>967</v>
      </c>
      <c r="K1822" s="33" t="s">
        <v>5647</v>
      </c>
      <c r="L1822" s="31" t="s">
        <v>202</v>
      </c>
      <c r="N1822" s="31" t="s">
        <v>313</v>
      </c>
      <c r="T1822" s="31" t="s">
        <v>4272</v>
      </c>
    </row>
    <row r="1823">
      <c r="A1823" s="29">
        <v>45954.57641459491</v>
      </c>
      <c r="B1823" s="30">
        <v>45954.0</v>
      </c>
      <c r="C1823" s="31" t="s">
        <v>5648</v>
      </c>
      <c r="D1823" s="32" t="s">
        <v>5649</v>
      </c>
      <c r="E1823" s="31" t="s">
        <v>43</v>
      </c>
      <c r="F1823" s="31">
        <v>2100000.0</v>
      </c>
      <c r="G1823" s="31" t="s">
        <v>23</v>
      </c>
      <c r="I1823" s="31" t="s">
        <v>229</v>
      </c>
      <c r="J1823" s="31" t="s">
        <v>967</v>
      </c>
      <c r="K1823" s="33" t="s">
        <v>5650</v>
      </c>
      <c r="L1823" s="31" t="s">
        <v>202</v>
      </c>
      <c r="N1823" s="31" t="s">
        <v>667</v>
      </c>
      <c r="U1823" s="31" t="s">
        <v>3950</v>
      </c>
    </row>
    <row r="1824">
      <c r="A1824" s="29">
        <v>45954.57968170139</v>
      </c>
      <c r="B1824" s="30">
        <v>45954.0</v>
      </c>
      <c r="C1824" s="31" t="s">
        <v>5651</v>
      </c>
      <c r="D1824" s="32" t="s">
        <v>5652</v>
      </c>
      <c r="E1824" s="31" t="s">
        <v>43</v>
      </c>
      <c r="F1824" s="32" t="s">
        <v>5653</v>
      </c>
      <c r="G1824" s="31" t="s">
        <v>45</v>
      </c>
      <c r="H1824" s="31">
        <v>3000000.0</v>
      </c>
      <c r="I1824" s="31" t="s">
        <v>413</v>
      </c>
      <c r="K1824" s="33" t="s">
        <v>5654</v>
      </c>
      <c r="L1824" s="31" t="s">
        <v>202</v>
      </c>
      <c r="M1824" s="31" t="s">
        <v>203</v>
      </c>
      <c r="N1824" s="31" t="s">
        <v>220</v>
      </c>
      <c r="S1824" s="31" t="s">
        <v>5512</v>
      </c>
    </row>
    <row r="1825">
      <c r="A1825" s="29">
        <v>45954.58239884259</v>
      </c>
      <c r="B1825" s="30">
        <v>45954.0</v>
      </c>
      <c r="C1825" s="31" t="s">
        <v>5655</v>
      </c>
      <c r="D1825" s="32" t="s">
        <v>5656</v>
      </c>
      <c r="E1825" s="31" t="s">
        <v>335</v>
      </c>
      <c r="F1825" s="31">
        <v>5000000.0</v>
      </c>
      <c r="G1825" s="31" t="s">
        <v>23</v>
      </c>
      <c r="H1825" s="31">
        <v>3000000.0</v>
      </c>
      <c r="I1825" s="31" t="s">
        <v>413</v>
      </c>
      <c r="K1825" s="33" t="s">
        <v>5657</v>
      </c>
      <c r="L1825" s="31" t="s">
        <v>202</v>
      </c>
      <c r="M1825" s="31" t="s">
        <v>5638</v>
      </c>
      <c r="N1825" s="31" t="s">
        <v>204</v>
      </c>
      <c r="R1825" s="31" t="s">
        <v>5606</v>
      </c>
    </row>
    <row r="1826">
      <c r="A1826" s="29">
        <v>45954.59247986111</v>
      </c>
      <c r="B1826" s="30">
        <v>45954.0</v>
      </c>
      <c r="C1826" s="31" t="s">
        <v>5658</v>
      </c>
      <c r="D1826" s="32" t="s">
        <v>5659</v>
      </c>
      <c r="E1826" s="31" t="s">
        <v>199</v>
      </c>
      <c r="F1826" s="31">
        <v>280000.0</v>
      </c>
      <c r="G1826" s="31" t="s">
        <v>23</v>
      </c>
      <c r="H1826" s="31">
        <v>5000000.0</v>
      </c>
      <c r="I1826" s="31" t="s">
        <v>200</v>
      </c>
      <c r="K1826" s="33" t="s">
        <v>5660</v>
      </c>
      <c r="L1826" s="31" t="s">
        <v>252</v>
      </c>
      <c r="M1826" s="31" t="s">
        <v>203</v>
      </c>
      <c r="O1826" s="31" t="s">
        <v>257</v>
      </c>
      <c r="P1826" s="31" t="s">
        <v>2453</v>
      </c>
    </row>
    <row r="1827">
      <c r="A1827" s="29">
        <v>45954.59590916667</v>
      </c>
      <c r="B1827" s="30">
        <v>45954.0</v>
      </c>
      <c r="C1827" s="31" t="s">
        <v>5661</v>
      </c>
      <c r="D1827" s="32" t="s">
        <v>5662</v>
      </c>
      <c r="E1827" s="31" t="s">
        <v>31</v>
      </c>
      <c r="F1827" s="31">
        <v>4300000.0</v>
      </c>
      <c r="G1827" s="31" t="s">
        <v>23</v>
      </c>
      <c r="I1827" s="31" t="s">
        <v>229</v>
      </c>
      <c r="J1827" s="31" t="s">
        <v>967</v>
      </c>
      <c r="K1827" s="33" t="s">
        <v>5663</v>
      </c>
      <c r="L1827" s="31" t="s">
        <v>202</v>
      </c>
      <c r="N1827" s="31" t="s">
        <v>667</v>
      </c>
      <c r="U1827" s="31" t="s">
        <v>668</v>
      </c>
    </row>
    <row r="1828">
      <c r="A1828" s="29">
        <v>45954.59811460648</v>
      </c>
      <c r="B1828" s="30">
        <v>45954.0</v>
      </c>
      <c r="C1828" s="31" t="s">
        <v>5664</v>
      </c>
      <c r="D1828" s="32" t="s">
        <v>5665</v>
      </c>
      <c r="E1828" s="31" t="s">
        <v>31</v>
      </c>
      <c r="F1828" s="31">
        <v>6700000.0</v>
      </c>
      <c r="G1828" s="31" t="s">
        <v>23</v>
      </c>
      <c r="I1828" s="31" t="s">
        <v>229</v>
      </c>
      <c r="J1828" s="31" t="s">
        <v>967</v>
      </c>
      <c r="K1828" s="33" t="s">
        <v>5666</v>
      </c>
      <c r="L1828" s="31" t="s">
        <v>202</v>
      </c>
      <c r="N1828" s="31" t="s">
        <v>313</v>
      </c>
      <c r="T1828" s="31" t="s">
        <v>329</v>
      </c>
    </row>
    <row r="1829">
      <c r="A1829" s="29">
        <v>45954.600827256945</v>
      </c>
      <c r="B1829" s="30">
        <v>45954.0</v>
      </c>
      <c r="C1829" s="31" t="s">
        <v>5667</v>
      </c>
      <c r="D1829" s="32" t="s">
        <v>5668</v>
      </c>
      <c r="E1829" s="31" t="s">
        <v>335</v>
      </c>
      <c r="F1829" s="31">
        <v>3700000.0</v>
      </c>
      <c r="G1829" s="31" t="s">
        <v>23</v>
      </c>
      <c r="I1829" s="31" t="s">
        <v>229</v>
      </c>
      <c r="J1829" s="31" t="s">
        <v>967</v>
      </c>
      <c r="K1829" s="33" t="s">
        <v>5669</v>
      </c>
      <c r="L1829" s="31" t="s">
        <v>202</v>
      </c>
      <c r="N1829" s="31" t="s">
        <v>220</v>
      </c>
      <c r="S1829" s="31" t="s">
        <v>5670</v>
      </c>
    </row>
    <row r="1830">
      <c r="A1830" s="29">
        <v>45954.640314965276</v>
      </c>
      <c r="B1830" s="30">
        <v>45954.0</v>
      </c>
      <c r="C1830" s="31" t="s">
        <v>5671</v>
      </c>
      <c r="D1830" s="32" t="s">
        <v>2373</v>
      </c>
      <c r="E1830" s="31" t="s">
        <v>43</v>
      </c>
      <c r="F1830" s="31">
        <v>8200000.0</v>
      </c>
      <c r="G1830" s="31" t="s">
        <v>23</v>
      </c>
      <c r="I1830" s="31" t="s">
        <v>229</v>
      </c>
      <c r="J1830" s="31" t="s">
        <v>967</v>
      </c>
      <c r="K1830" s="33" t="s">
        <v>5672</v>
      </c>
      <c r="L1830" s="31" t="s">
        <v>202</v>
      </c>
      <c r="N1830" s="31" t="s">
        <v>313</v>
      </c>
      <c r="T1830" s="31" t="s">
        <v>314</v>
      </c>
    </row>
    <row r="1831">
      <c r="A1831" s="29">
        <v>45954.64577394676</v>
      </c>
      <c r="B1831" s="30">
        <v>45954.0</v>
      </c>
      <c r="C1831" s="31" t="s">
        <v>5673</v>
      </c>
      <c r="D1831" s="32" t="s">
        <v>5674</v>
      </c>
      <c r="E1831" s="31" t="s">
        <v>31</v>
      </c>
      <c r="F1831" s="31">
        <v>4200000.0</v>
      </c>
      <c r="G1831" s="31" t="s">
        <v>23</v>
      </c>
      <c r="I1831" s="31" t="s">
        <v>229</v>
      </c>
      <c r="J1831" s="31" t="s">
        <v>967</v>
      </c>
      <c r="K1831" s="33" t="s">
        <v>5675</v>
      </c>
      <c r="L1831" s="31" t="s">
        <v>252</v>
      </c>
      <c r="O1831" s="31" t="s">
        <v>205</v>
      </c>
      <c r="X1831" s="31" t="s">
        <v>452</v>
      </c>
    </row>
    <row r="1832">
      <c r="A1832" s="29">
        <v>45954.66248817129</v>
      </c>
      <c r="B1832" s="30">
        <v>45954.0</v>
      </c>
      <c r="C1832" s="31" t="s">
        <v>5676</v>
      </c>
      <c r="D1832" s="32" t="s">
        <v>2373</v>
      </c>
      <c r="E1832" s="31" t="s">
        <v>43</v>
      </c>
      <c r="F1832" s="31">
        <v>7500000.0</v>
      </c>
      <c r="G1832" s="31" t="s">
        <v>23</v>
      </c>
      <c r="H1832" s="31">
        <v>3000000.0</v>
      </c>
      <c r="I1832" s="31" t="s">
        <v>413</v>
      </c>
      <c r="K1832" s="33" t="s">
        <v>5677</v>
      </c>
      <c r="L1832" s="31" t="s">
        <v>202</v>
      </c>
      <c r="M1832" s="31" t="s">
        <v>203</v>
      </c>
      <c r="N1832" s="31" t="s">
        <v>313</v>
      </c>
      <c r="T1832" s="31" t="s">
        <v>314</v>
      </c>
    </row>
    <row r="1833">
      <c r="A1833" s="29">
        <v>45954.66422229167</v>
      </c>
      <c r="B1833" s="30">
        <v>45954.0</v>
      </c>
      <c r="C1833" s="31" t="s">
        <v>5678</v>
      </c>
      <c r="D1833" s="32" t="s">
        <v>3494</v>
      </c>
      <c r="E1833" s="31" t="s">
        <v>43</v>
      </c>
      <c r="F1833" s="31">
        <v>2900000.0</v>
      </c>
      <c r="G1833" s="31" t="s">
        <v>23</v>
      </c>
      <c r="I1833" s="31" t="s">
        <v>229</v>
      </c>
      <c r="J1833" s="31" t="s">
        <v>967</v>
      </c>
      <c r="K1833" s="33" t="s">
        <v>5679</v>
      </c>
      <c r="L1833" s="31" t="s">
        <v>252</v>
      </c>
      <c r="O1833" s="31" t="s">
        <v>257</v>
      </c>
      <c r="P1833" s="31" t="s">
        <v>206</v>
      </c>
    </row>
    <row r="1834">
      <c r="A1834" s="29">
        <v>45954.67294351852</v>
      </c>
      <c r="B1834" s="30">
        <v>45954.0</v>
      </c>
      <c r="C1834" s="31" t="s">
        <v>5680</v>
      </c>
      <c r="D1834" s="32" t="s">
        <v>5681</v>
      </c>
      <c r="E1834" s="31" t="s">
        <v>43</v>
      </c>
      <c r="F1834" s="31">
        <v>3000000.0</v>
      </c>
      <c r="G1834" s="31" t="s">
        <v>23</v>
      </c>
      <c r="I1834" s="31" t="s">
        <v>229</v>
      </c>
      <c r="J1834" s="31" t="s">
        <v>967</v>
      </c>
      <c r="K1834" s="33" t="s">
        <v>5682</v>
      </c>
      <c r="L1834" s="31" t="s">
        <v>252</v>
      </c>
      <c r="O1834" s="31" t="s">
        <v>257</v>
      </c>
      <c r="P1834" s="31" t="s">
        <v>2453</v>
      </c>
    </row>
    <row r="1835">
      <c r="A1835" s="29">
        <v>45954.68246146991</v>
      </c>
      <c r="B1835" s="30">
        <v>45954.0</v>
      </c>
      <c r="C1835" s="31" t="s">
        <v>5683</v>
      </c>
      <c r="D1835" s="32" t="s">
        <v>5684</v>
      </c>
      <c r="E1835" s="31" t="s">
        <v>261</v>
      </c>
      <c r="F1835" s="31">
        <v>6000000.0</v>
      </c>
      <c r="G1835" s="31" t="s">
        <v>45</v>
      </c>
      <c r="H1835" s="31">
        <v>3000000.0</v>
      </c>
      <c r="I1835" s="31" t="s">
        <v>413</v>
      </c>
      <c r="K1835" s="33" t="s">
        <v>5685</v>
      </c>
      <c r="L1835" s="31" t="s">
        <v>252</v>
      </c>
      <c r="M1835" s="31" t="s">
        <v>203</v>
      </c>
      <c r="O1835" s="31" t="s">
        <v>257</v>
      </c>
      <c r="P1835" s="31" t="s">
        <v>285</v>
      </c>
    </row>
    <row r="1836">
      <c r="A1836" s="29">
        <v>45954.689366018516</v>
      </c>
      <c r="B1836" s="30">
        <v>45954.0</v>
      </c>
      <c r="C1836" s="31" t="s">
        <v>5686</v>
      </c>
      <c r="D1836" s="32" t="s">
        <v>5687</v>
      </c>
      <c r="E1836" s="31" t="s">
        <v>2315</v>
      </c>
      <c r="F1836" s="31">
        <v>500000.0</v>
      </c>
      <c r="G1836" s="31" t="s">
        <v>45</v>
      </c>
      <c r="H1836" s="31">
        <v>3000.0</v>
      </c>
      <c r="I1836" s="31" t="s">
        <v>413</v>
      </c>
      <c r="K1836" s="33" t="s">
        <v>5688</v>
      </c>
      <c r="L1836" s="31" t="s">
        <v>202</v>
      </c>
      <c r="M1836" s="31" t="s">
        <v>203</v>
      </c>
      <c r="N1836" s="31" t="s">
        <v>313</v>
      </c>
      <c r="T1836" s="31" t="s">
        <v>4272</v>
      </c>
    </row>
    <row r="1837">
      <c r="A1837" s="29">
        <v>45954.71598840278</v>
      </c>
      <c r="B1837" s="30">
        <v>45954.0</v>
      </c>
      <c r="C1837" s="31" t="s">
        <v>5689</v>
      </c>
      <c r="D1837" s="32" t="s">
        <v>5690</v>
      </c>
      <c r="E1837" s="31" t="s">
        <v>31</v>
      </c>
      <c r="F1837" s="31">
        <v>6500000.0</v>
      </c>
      <c r="G1837" s="31" t="s">
        <v>23</v>
      </c>
      <c r="I1837" s="31" t="s">
        <v>229</v>
      </c>
      <c r="J1837" s="31" t="s">
        <v>967</v>
      </c>
      <c r="K1837" s="33" t="s">
        <v>5691</v>
      </c>
      <c r="L1837" s="31" t="s">
        <v>202</v>
      </c>
      <c r="N1837" s="31" t="s">
        <v>313</v>
      </c>
      <c r="T1837" s="31" t="s">
        <v>329</v>
      </c>
    </row>
    <row r="1838">
      <c r="A1838" s="29">
        <v>45954.72453040509</v>
      </c>
      <c r="B1838" s="30">
        <v>45954.0</v>
      </c>
      <c r="C1838" s="31" t="s">
        <v>5692</v>
      </c>
      <c r="D1838" s="32" t="s">
        <v>5693</v>
      </c>
      <c r="E1838" s="31" t="s">
        <v>228</v>
      </c>
      <c r="F1838" s="31">
        <v>4000000.0</v>
      </c>
      <c r="G1838" s="31" t="s">
        <v>23</v>
      </c>
      <c r="I1838" s="31" t="s">
        <v>229</v>
      </c>
      <c r="J1838" s="31" t="s">
        <v>967</v>
      </c>
      <c r="K1838" s="33" t="s">
        <v>5694</v>
      </c>
      <c r="L1838" s="31" t="s">
        <v>202</v>
      </c>
      <c r="N1838" s="31" t="s">
        <v>220</v>
      </c>
      <c r="S1838" s="31" t="s">
        <v>124</v>
      </c>
    </row>
    <row r="1839">
      <c r="A1839" s="29">
        <v>45954.72954465278</v>
      </c>
      <c r="B1839" s="30">
        <v>45954.0</v>
      </c>
      <c r="C1839" s="31" t="s">
        <v>5695</v>
      </c>
      <c r="D1839" s="31">
        <v>8.9699877674E10</v>
      </c>
      <c r="E1839" s="31" t="s">
        <v>228</v>
      </c>
      <c r="F1839" s="31">
        <v>5000000.0</v>
      </c>
      <c r="G1839" s="31" t="s">
        <v>23</v>
      </c>
      <c r="I1839" s="31" t="s">
        <v>229</v>
      </c>
      <c r="J1839" s="31" t="s">
        <v>967</v>
      </c>
      <c r="K1839" s="33" t="s">
        <v>5696</v>
      </c>
      <c r="L1839" s="31" t="s">
        <v>202</v>
      </c>
      <c r="N1839" s="31" t="s">
        <v>220</v>
      </c>
      <c r="S1839" s="31" t="s">
        <v>5697</v>
      </c>
    </row>
    <row r="1840">
      <c r="A1840" s="29">
        <v>45954.7388760301</v>
      </c>
      <c r="B1840" s="30">
        <v>45954.0</v>
      </c>
      <c r="C1840" s="31" t="s">
        <v>5698</v>
      </c>
      <c r="D1840" s="32" t="s">
        <v>5699</v>
      </c>
      <c r="E1840" s="31" t="s">
        <v>199</v>
      </c>
      <c r="F1840" s="31">
        <v>8000000.0</v>
      </c>
      <c r="G1840" s="31" t="s">
        <v>45</v>
      </c>
      <c r="H1840" s="31">
        <v>5000000.0</v>
      </c>
      <c r="I1840" s="31" t="s">
        <v>413</v>
      </c>
      <c r="K1840" s="33" t="s">
        <v>5700</v>
      </c>
      <c r="L1840" s="31" t="s">
        <v>252</v>
      </c>
      <c r="M1840" s="31" t="s">
        <v>203</v>
      </c>
      <c r="O1840" s="31" t="s">
        <v>257</v>
      </c>
      <c r="P1840" s="31" t="s">
        <v>272</v>
      </c>
    </row>
    <row r="1841">
      <c r="A1841" s="29">
        <v>45954.75258680555</v>
      </c>
      <c r="B1841" s="30">
        <v>45954.0</v>
      </c>
      <c r="C1841" s="31" t="s">
        <v>5701</v>
      </c>
      <c r="D1841" s="32" t="s">
        <v>5702</v>
      </c>
      <c r="E1841" s="31" t="s">
        <v>43</v>
      </c>
      <c r="F1841" s="31">
        <v>3200000.0</v>
      </c>
      <c r="G1841" s="31" t="s">
        <v>23</v>
      </c>
      <c r="I1841" s="31" t="s">
        <v>229</v>
      </c>
      <c r="J1841" s="31" t="s">
        <v>967</v>
      </c>
      <c r="K1841" s="33" t="s">
        <v>5703</v>
      </c>
      <c r="L1841" s="31" t="s">
        <v>202</v>
      </c>
      <c r="N1841" s="31" t="s">
        <v>204</v>
      </c>
      <c r="R1841" s="31" t="s">
        <v>5256</v>
      </c>
    </row>
    <row r="1842">
      <c r="A1842" s="29">
        <v>45954.75407984953</v>
      </c>
      <c r="B1842" s="30">
        <v>45954.0</v>
      </c>
      <c r="C1842" s="31" t="s">
        <v>5704</v>
      </c>
      <c r="D1842" s="32" t="s">
        <v>5705</v>
      </c>
      <c r="E1842" s="31" t="s">
        <v>1166</v>
      </c>
      <c r="F1842" s="31">
        <v>300000.0</v>
      </c>
      <c r="G1842" s="31" t="s">
        <v>23</v>
      </c>
      <c r="I1842" s="31" t="s">
        <v>229</v>
      </c>
      <c r="J1842" s="31" t="s">
        <v>967</v>
      </c>
      <c r="K1842" s="33" t="s">
        <v>5706</v>
      </c>
      <c r="L1842" s="31" t="s">
        <v>202</v>
      </c>
      <c r="N1842" s="31" t="s">
        <v>313</v>
      </c>
      <c r="T1842" s="31" t="s">
        <v>4272</v>
      </c>
    </row>
    <row r="1843">
      <c r="A1843" s="29">
        <v>45954.75463012731</v>
      </c>
      <c r="B1843" s="30">
        <v>45954.0</v>
      </c>
      <c r="C1843" s="31" t="s">
        <v>5707</v>
      </c>
      <c r="D1843" s="32" t="s">
        <v>5708</v>
      </c>
      <c r="E1843" s="31" t="s">
        <v>199</v>
      </c>
      <c r="F1843" s="31">
        <v>6500000.0</v>
      </c>
      <c r="G1843" s="31" t="s">
        <v>23</v>
      </c>
      <c r="H1843" s="31">
        <v>3000000.0</v>
      </c>
      <c r="I1843" s="31" t="s">
        <v>413</v>
      </c>
      <c r="K1843" s="33" t="s">
        <v>5709</v>
      </c>
      <c r="L1843" s="31" t="s">
        <v>202</v>
      </c>
      <c r="M1843" s="31" t="s">
        <v>203</v>
      </c>
      <c r="N1843" s="31" t="s">
        <v>220</v>
      </c>
      <c r="S1843" s="31" t="s">
        <v>5697</v>
      </c>
    </row>
    <row r="1844">
      <c r="A1844" s="29">
        <v>45954.75578633102</v>
      </c>
      <c r="B1844" s="30">
        <v>45954.0</v>
      </c>
      <c r="C1844" s="31" t="s">
        <v>5710</v>
      </c>
      <c r="D1844" s="32" t="s">
        <v>5711</v>
      </c>
      <c r="E1844" s="31" t="s">
        <v>199</v>
      </c>
      <c r="F1844" s="31">
        <v>4000000.0</v>
      </c>
      <c r="G1844" s="31" t="s">
        <v>45</v>
      </c>
      <c r="H1844" s="31">
        <v>3000000.0</v>
      </c>
      <c r="I1844" s="31" t="s">
        <v>413</v>
      </c>
      <c r="K1844" s="33" t="s">
        <v>5712</v>
      </c>
      <c r="L1844" s="31" t="s">
        <v>202</v>
      </c>
      <c r="M1844" s="31" t="s">
        <v>203</v>
      </c>
      <c r="N1844" s="31" t="s">
        <v>204</v>
      </c>
      <c r="R1844" s="31" t="s">
        <v>98</v>
      </c>
    </row>
    <row r="1845">
      <c r="A1845" s="29">
        <v>45954.760604236115</v>
      </c>
      <c r="B1845" s="30">
        <v>45954.0</v>
      </c>
      <c r="C1845" s="31" t="s">
        <v>5713</v>
      </c>
      <c r="D1845" s="32" t="s">
        <v>5714</v>
      </c>
      <c r="E1845" s="31" t="s">
        <v>43</v>
      </c>
      <c r="F1845" s="31">
        <v>1.0E7</v>
      </c>
      <c r="G1845" s="31" t="s">
        <v>23</v>
      </c>
      <c r="H1845" s="31">
        <v>1.562E7</v>
      </c>
      <c r="I1845" s="31" t="s">
        <v>413</v>
      </c>
      <c r="K1845" s="33" t="s">
        <v>5715</v>
      </c>
      <c r="L1845" s="31" t="s">
        <v>202</v>
      </c>
      <c r="M1845" s="31" t="s">
        <v>605</v>
      </c>
      <c r="N1845" s="31" t="s">
        <v>220</v>
      </c>
      <c r="S1845" s="31" t="s">
        <v>5512</v>
      </c>
    </row>
    <row r="1846">
      <c r="A1846" s="29">
        <v>45954.76813964121</v>
      </c>
      <c r="B1846" s="30">
        <v>45954.0</v>
      </c>
      <c r="C1846" s="31" t="s">
        <v>5716</v>
      </c>
      <c r="D1846" s="32" t="s">
        <v>5717</v>
      </c>
      <c r="E1846" s="31" t="s">
        <v>43</v>
      </c>
      <c r="F1846" s="31">
        <v>400000.0</v>
      </c>
      <c r="G1846" s="31" t="s">
        <v>23</v>
      </c>
      <c r="I1846" s="31" t="s">
        <v>229</v>
      </c>
      <c r="J1846" s="31" t="s">
        <v>967</v>
      </c>
      <c r="K1846" s="33" t="s">
        <v>5718</v>
      </c>
      <c r="L1846" s="31" t="s">
        <v>202</v>
      </c>
      <c r="N1846" s="31" t="s">
        <v>220</v>
      </c>
      <c r="S1846" s="31" t="s">
        <v>536</v>
      </c>
    </row>
    <row r="1847">
      <c r="A1847" s="29">
        <v>45954.76905831019</v>
      </c>
      <c r="B1847" s="30">
        <v>45954.0</v>
      </c>
      <c r="C1847" s="31" t="s">
        <v>5719</v>
      </c>
      <c r="D1847" s="32" t="s">
        <v>5720</v>
      </c>
      <c r="E1847" s="31" t="s">
        <v>43</v>
      </c>
      <c r="F1847" s="31">
        <v>2200000.0</v>
      </c>
      <c r="G1847" s="31" t="s">
        <v>23</v>
      </c>
      <c r="H1847" s="31">
        <v>1600000.0</v>
      </c>
      <c r="I1847" s="31" t="s">
        <v>413</v>
      </c>
      <c r="K1847" s="33" t="s">
        <v>5721</v>
      </c>
      <c r="L1847" s="31" t="s">
        <v>252</v>
      </c>
      <c r="M1847" s="31" t="s">
        <v>203</v>
      </c>
      <c r="O1847" s="31" t="s">
        <v>257</v>
      </c>
      <c r="P1847" s="31" t="s">
        <v>2453</v>
      </c>
    </row>
    <row r="1848">
      <c r="A1848" s="29">
        <v>45954.77058872685</v>
      </c>
      <c r="B1848" s="30">
        <v>45954.0</v>
      </c>
      <c r="C1848" s="31" t="s">
        <v>5722</v>
      </c>
      <c r="D1848" s="31">
        <v>0.0</v>
      </c>
      <c r="E1848" s="31" t="s">
        <v>43</v>
      </c>
      <c r="F1848" s="32" t="s">
        <v>5089</v>
      </c>
      <c r="G1848" s="31" t="s">
        <v>23</v>
      </c>
      <c r="H1848" s="31">
        <v>3000000.0</v>
      </c>
      <c r="I1848" s="31" t="s">
        <v>413</v>
      </c>
      <c r="K1848" s="33" t="s">
        <v>5723</v>
      </c>
      <c r="L1848" s="31" t="s">
        <v>252</v>
      </c>
      <c r="M1848" s="31" t="s">
        <v>203</v>
      </c>
      <c r="O1848" s="31" t="s">
        <v>257</v>
      </c>
      <c r="P1848" s="31" t="s">
        <v>992</v>
      </c>
    </row>
    <row r="1849">
      <c r="A1849" s="29">
        <v>45954.77106932871</v>
      </c>
      <c r="B1849" s="30">
        <v>45954.0</v>
      </c>
      <c r="C1849" s="31" t="s">
        <v>5724</v>
      </c>
      <c r="D1849" s="32" t="s">
        <v>5725</v>
      </c>
      <c r="E1849" s="31" t="s">
        <v>43</v>
      </c>
      <c r="F1849" s="31">
        <v>4000000.0</v>
      </c>
      <c r="G1849" s="31" t="s">
        <v>23</v>
      </c>
      <c r="H1849" s="31">
        <v>3000000.0</v>
      </c>
      <c r="I1849" s="31" t="s">
        <v>413</v>
      </c>
      <c r="K1849" s="33" t="s">
        <v>5726</v>
      </c>
      <c r="L1849" s="31" t="s">
        <v>202</v>
      </c>
      <c r="M1849" s="31" t="s">
        <v>605</v>
      </c>
      <c r="N1849" s="31" t="s">
        <v>220</v>
      </c>
      <c r="S1849" s="31" t="s">
        <v>466</v>
      </c>
    </row>
    <row r="1850">
      <c r="A1850" s="29">
        <v>45954.78756040509</v>
      </c>
      <c r="B1850" s="30">
        <v>45954.0</v>
      </c>
      <c r="C1850" s="31" t="s">
        <v>5727</v>
      </c>
      <c r="D1850" s="32" t="s">
        <v>5728</v>
      </c>
      <c r="E1850" s="31" t="s">
        <v>43</v>
      </c>
      <c r="F1850" s="31">
        <v>3200000.0</v>
      </c>
      <c r="G1850" s="31" t="s">
        <v>23</v>
      </c>
      <c r="I1850" s="31" t="s">
        <v>229</v>
      </c>
      <c r="J1850" s="31" t="s">
        <v>967</v>
      </c>
      <c r="K1850" s="33" t="s">
        <v>5729</v>
      </c>
      <c r="L1850" s="31" t="s">
        <v>252</v>
      </c>
      <c r="O1850" s="31" t="s">
        <v>257</v>
      </c>
      <c r="P1850" s="31" t="s">
        <v>258</v>
      </c>
    </row>
    <row r="1851">
      <c r="A1851" s="29">
        <v>45954.78976064815</v>
      </c>
      <c r="B1851" s="30">
        <v>45954.0</v>
      </c>
      <c r="C1851" s="31" t="s">
        <v>5730</v>
      </c>
      <c r="D1851" s="32" t="s">
        <v>5731</v>
      </c>
      <c r="E1851" s="31" t="s">
        <v>43</v>
      </c>
      <c r="F1851" s="31">
        <v>3000000.0</v>
      </c>
      <c r="G1851" s="31" t="s">
        <v>23</v>
      </c>
      <c r="I1851" s="31" t="s">
        <v>229</v>
      </c>
      <c r="J1851" s="31" t="s">
        <v>967</v>
      </c>
      <c r="K1851" s="33" t="s">
        <v>5732</v>
      </c>
      <c r="L1851" s="31" t="s">
        <v>202</v>
      </c>
      <c r="N1851" s="31" t="s">
        <v>220</v>
      </c>
      <c r="S1851" s="31" t="s">
        <v>59</v>
      </c>
    </row>
    <row r="1852">
      <c r="A1852" s="29">
        <v>45954.799316585646</v>
      </c>
      <c r="B1852" s="30">
        <v>45954.0</v>
      </c>
      <c r="C1852" s="31" t="s">
        <v>5733</v>
      </c>
      <c r="D1852" s="32" t="s">
        <v>5734</v>
      </c>
      <c r="E1852" s="31" t="s">
        <v>228</v>
      </c>
      <c r="F1852" s="31">
        <v>200000.0</v>
      </c>
      <c r="G1852" s="31" t="s">
        <v>23</v>
      </c>
      <c r="H1852" s="31">
        <v>300000.0</v>
      </c>
      <c r="I1852" s="31" t="s">
        <v>413</v>
      </c>
      <c r="K1852" s="33" t="s">
        <v>5735</v>
      </c>
      <c r="L1852" s="31" t="s">
        <v>202</v>
      </c>
      <c r="M1852" s="31" t="s">
        <v>203</v>
      </c>
      <c r="N1852" s="31" t="s">
        <v>204</v>
      </c>
      <c r="R1852" s="31" t="s">
        <v>192</v>
      </c>
    </row>
    <row r="1853">
      <c r="A1853" s="29">
        <v>45954.8019655324</v>
      </c>
      <c r="B1853" s="30">
        <v>45954.0</v>
      </c>
      <c r="C1853" s="31" t="s">
        <v>5736</v>
      </c>
      <c r="D1853" s="32" t="s">
        <v>5737</v>
      </c>
      <c r="E1853" s="31" t="s">
        <v>213</v>
      </c>
      <c r="F1853" s="31">
        <v>4000000.0</v>
      </c>
      <c r="G1853" s="31" t="s">
        <v>23</v>
      </c>
      <c r="I1853" s="31" t="s">
        <v>229</v>
      </c>
      <c r="J1853" s="31" t="s">
        <v>967</v>
      </c>
      <c r="K1853" s="33" t="s">
        <v>5738</v>
      </c>
      <c r="L1853" s="31" t="s">
        <v>202</v>
      </c>
      <c r="N1853" s="31" t="s">
        <v>204</v>
      </c>
      <c r="R1853" s="31" t="s">
        <v>98</v>
      </c>
    </row>
    <row r="1854">
      <c r="A1854" s="29">
        <v>45954.81418447917</v>
      </c>
      <c r="B1854" s="30">
        <v>45954.0</v>
      </c>
      <c r="C1854" s="31" t="s">
        <v>5739</v>
      </c>
      <c r="D1854" s="32" t="s">
        <v>5740</v>
      </c>
      <c r="E1854" s="31" t="s">
        <v>493</v>
      </c>
      <c r="F1854" s="31">
        <v>5000000.0</v>
      </c>
      <c r="G1854" s="31" t="s">
        <v>23</v>
      </c>
      <c r="I1854" s="31" t="s">
        <v>229</v>
      </c>
      <c r="J1854" s="31" t="s">
        <v>967</v>
      </c>
      <c r="K1854" s="33" t="s">
        <v>5741</v>
      </c>
      <c r="L1854" s="31" t="s">
        <v>252</v>
      </c>
      <c r="O1854" s="31" t="s">
        <v>205</v>
      </c>
      <c r="X1854" s="31" t="s">
        <v>487</v>
      </c>
    </row>
    <row r="1855">
      <c r="A1855" s="29">
        <v>45954.854726273144</v>
      </c>
      <c r="B1855" s="30">
        <v>45954.0</v>
      </c>
      <c r="C1855" s="31" t="s">
        <v>5742</v>
      </c>
      <c r="D1855" s="32" t="s">
        <v>5743</v>
      </c>
      <c r="E1855" s="31" t="s">
        <v>288</v>
      </c>
      <c r="F1855" s="31">
        <v>2000000.0</v>
      </c>
      <c r="G1855" s="31" t="s">
        <v>23</v>
      </c>
      <c r="I1855" s="31" t="s">
        <v>229</v>
      </c>
      <c r="J1855" s="31" t="s">
        <v>967</v>
      </c>
      <c r="K1855" s="33" t="s">
        <v>5744</v>
      </c>
      <c r="L1855" s="31" t="s">
        <v>202</v>
      </c>
      <c r="N1855" s="31" t="s">
        <v>204</v>
      </c>
      <c r="R1855" s="31" t="s">
        <v>360</v>
      </c>
    </row>
    <row r="1856">
      <c r="A1856" s="29">
        <v>45954.85986494213</v>
      </c>
      <c r="B1856" s="30">
        <v>45954.0</v>
      </c>
      <c r="C1856" s="31" t="s">
        <v>5745</v>
      </c>
      <c r="D1856" s="32" t="s">
        <v>5479</v>
      </c>
      <c r="E1856" s="31" t="s">
        <v>2902</v>
      </c>
      <c r="F1856" s="31">
        <v>4700000.0</v>
      </c>
      <c r="G1856" s="31" t="s">
        <v>23</v>
      </c>
      <c r="H1856" s="31">
        <v>3000000.0</v>
      </c>
      <c r="I1856" s="31" t="s">
        <v>413</v>
      </c>
      <c r="K1856" s="33" t="s">
        <v>5746</v>
      </c>
      <c r="L1856" s="31" t="s">
        <v>202</v>
      </c>
      <c r="M1856" s="31" t="s">
        <v>203</v>
      </c>
      <c r="N1856" s="31" t="s">
        <v>220</v>
      </c>
      <c r="S1856" s="31" t="s">
        <v>36</v>
      </c>
    </row>
    <row r="1857">
      <c r="A1857" s="29">
        <v>45954.871053599534</v>
      </c>
      <c r="B1857" s="30">
        <v>45954.0</v>
      </c>
      <c r="C1857" s="31" t="s">
        <v>2761</v>
      </c>
      <c r="D1857" s="32" t="s">
        <v>5747</v>
      </c>
      <c r="E1857" s="31" t="s">
        <v>43</v>
      </c>
      <c r="F1857" s="31">
        <v>4000000.0</v>
      </c>
      <c r="G1857" s="31" t="s">
        <v>23</v>
      </c>
      <c r="I1857" s="31" t="s">
        <v>229</v>
      </c>
      <c r="J1857" s="31" t="s">
        <v>967</v>
      </c>
      <c r="K1857" s="33" t="s">
        <v>5748</v>
      </c>
      <c r="L1857" s="31" t="s">
        <v>202</v>
      </c>
      <c r="N1857" s="31" t="s">
        <v>204</v>
      </c>
      <c r="R1857" s="31" t="s">
        <v>98</v>
      </c>
    </row>
    <row r="1858">
      <c r="A1858" s="29">
        <v>45954.87109438657</v>
      </c>
      <c r="B1858" s="30">
        <v>45954.0</v>
      </c>
      <c r="C1858" s="31" t="s">
        <v>5749</v>
      </c>
      <c r="D1858" s="31">
        <v>8.2237621094E10</v>
      </c>
      <c r="E1858" s="31" t="s">
        <v>43</v>
      </c>
      <c r="F1858" s="31">
        <v>6200000.0</v>
      </c>
      <c r="G1858" s="31" t="s">
        <v>45</v>
      </c>
      <c r="H1858" s="31">
        <v>1.6E7</v>
      </c>
      <c r="I1858" s="31" t="s">
        <v>200</v>
      </c>
      <c r="K1858" s="31" t="s">
        <v>5750</v>
      </c>
      <c r="L1858" s="31" t="s">
        <v>202</v>
      </c>
      <c r="M1858" s="31" t="s">
        <v>926</v>
      </c>
      <c r="N1858" s="31" t="s">
        <v>220</v>
      </c>
      <c r="S1858" s="31" t="s">
        <v>124</v>
      </c>
    </row>
    <row r="1859">
      <c r="A1859" s="29">
        <v>45954.88378105324</v>
      </c>
      <c r="B1859" s="30">
        <v>45954.0</v>
      </c>
      <c r="C1859" s="31" t="s">
        <v>5751</v>
      </c>
      <c r="D1859" s="32" t="s">
        <v>5752</v>
      </c>
      <c r="E1859" s="31" t="s">
        <v>43</v>
      </c>
      <c r="F1859" s="31">
        <v>4000000.0</v>
      </c>
      <c r="G1859" s="31" t="s">
        <v>23</v>
      </c>
      <c r="I1859" s="31" t="s">
        <v>229</v>
      </c>
      <c r="J1859" s="31" t="s">
        <v>967</v>
      </c>
      <c r="K1859" s="33" t="s">
        <v>5753</v>
      </c>
      <c r="L1859" s="31" t="s">
        <v>202</v>
      </c>
      <c r="N1859" s="31" t="s">
        <v>204</v>
      </c>
      <c r="R1859" s="31" t="s">
        <v>47</v>
      </c>
    </row>
    <row r="1860">
      <c r="A1860" s="29">
        <v>45955.44614983797</v>
      </c>
      <c r="B1860" s="30">
        <v>45955.0</v>
      </c>
      <c r="C1860" s="31" t="s">
        <v>5754</v>
      </c>
      <c r="D1860" s="32" t="s">
        <v>5755</v>
      </c>
      <c r="E1860" s="31" t="s">
        <v>239</v>
      </c>
      <c r="F1860" s="31">
        <v>5000000.0</v>
      </c>
      <c r="G1860" s="31" t="s">
        <v>23</v>
      </c>
      <c r="I1860" s="31" t="s">
        <v>229</v>
      </c>
      <c r="J1860" s="31" t="s">
        <v>967</v>
      </c>
      <c r="K1860" s="33" t="s">
        <v>5756</v>
      </c>
      <c r="L1860" s="31" t="s">
        <v>202</v>
      </c>
      <c r="N1860" s="31" t="s">
        <v>220</v>
      </c>
      <c r="S1860" s="31" t="s">
        <v>913</v>
      </c>
    </row>
    <row r="1861">
      <c r="A1861" s="29">
        <v>45955.44982711806</v>
      </c>
      <c r="B1861" s="30">
        <v>45955.0</v>
      </c>
      <c r="C1861" s="31" t="s">
        <v>5757</v>
      </c>
      <c r="D1861" s="32" t="s">
        <v>5758</v>
      </c>
      <c r="E1861" s="31" t="s">
        <v>288</v>
      </c>
      <c r="F1861" s="31">
        <v>1500000.0</v>
      </c>
      <c r="G1861" s="31" t="s">
        <v>23</v>
      </c>
      <c r="I1861" s="31" t="s">
        <v>229</v>
      </c>
      <c r="J1861" s="31" t="s">
        <v>967</v>
      </c>
      <c r="K1861" s="33" t="s">
        <v>5759</v>
      </c>
      <c r="L1861" s="31" t="s">
        <v>202</v>
      </c>
      <c r="N1861" s="31" t="s">
        <v>204</v>
      </c>
      <c r="R1861" s="31" t="s">
        <v>892</v>
      </c>
    </row>
    <row r="1862">
      <c r="A1862" s="29">
        <v>45955.46784831019</v>
      </c>
      <c r="B1862" s="30">
        <v>45955.0</v>
      </c>
      <c r="C1862" s="31" t="s">
        <v>5760</v>
      </c>
      <c r="D1862" s="32" t="s">
        <v>5761</v>
      </c>
      <c r="E1862" s="31" t="s">
        <v>31</v>
      </c>
      <c r="F1862" s="31">
        <v>1500000.0</v>
      </c>
      <c r="G1862" s="31" t="s">
        <v>23</v>
      </c>
      <c r="I1862" s="31" t="s">
        <v>229</v>
      </c>
      <c r="J1862" s="31" t="s">
        <v>5762</v>
      </c>
      <c r="K1862" s="33" t="s">
        <v>5763</v>
      </c>
      <c r="L1862" s="31" t="s">
        <v>202</v>
      </c>
      <c r="N1862" s="31" t="s">
        <v>215</v>
      </c>
      <c r="W1862" s="31" t="s">
        <v>216</v>
      </c>
    </row>
    <row r="1863">
      <c r="A1863" s="29">
        <v>45955.47286995371</v>
      </c>
      <c r="B1863" s="30">
        <v>45955.0</v>
      </c>
      <c r="C1863" s="31" t="s">
        <v>5764</v>
      </c>
      <c r="D1863" s="32" t="s">
        <v>5765</v>
      </c>
      <c r="E1863" s="31" t="s">
        <v>5766</v>
      </c>
      <c r="F1863" s="31">
        <v>1.5E8</v>
      </c>
      <c r="G1863" s="31" t="s">
        <v>23</v>
      </c>
      <c r="I1863" s="31" t="s">
        <v>229</v>
      </c>
      <c r="J1863" s="31" t="s">
        <v>967</v>
      </c>
      <c r="K1863" s="33" t="s">
        <v>5767</v>
      </c>
      <c r="L1863" s="31" t="s">
        <v>202</v>
      </c>
      <c r="N1863" s="31" t="s">
        <v>220</v>
      </c>
      <c r="S1863" s="31" t="s">
        <v>1406</v>
      </c>
    </row>
    <row r="1864">
      <c r="A1864" s="29">
        <v>45955.480301006945</v>
      </c>
      <c r="B1864" s="30">
        <v>45955.0</v>
      </c>
      <c r="C1864" s="31" t="s">
        <v>5768</v>
      </c>
      <c r="D1864" s="32" t="s">
        <v>5769</v>
      </c>
      <c r="E1864" s="31" t="s">
        <v>43</v>
      </c>
      <c r="F1864" s="31">
        <v>4500000.0</v>
      </c>
      <c r="G1864" s="31" t="s">
        <v>23</v>
      </c>
      <c r="I1864" s="31" t="s">
        <v>229</v>
      </c>
      <c r="J1864" s="31" t="s">
        <v>967</v>
      </c>
      <c r="K1864" s="33" t="s">
        <v>5770</v>
      </c>
      <c r="L1864" s="31" t="s">
        <v>202</v>
      </c>
      <c r="N1864" s="31" t="s">
        <v>204</v>
      </c>
      <c r="R1864" s="31" t="s">
        <v>148</v>
      </c>
    </row>
    <row r="1865">
      <c r="A1865" s="29">
        <v>45955.495961875</v>
      </c>
      <c r="B1865" s="30">
        <v>45955.0</v>
      </c>
      <c r="C1865" s="31" t="s">
        <v>5771</v>
      </c>
      <c r="D1865" s="32" t="s">
        <v>5772</v>
      </c>
      <c r="E1865" s="31" t="s">
        <v>199</v>
      </c>
      <c r="F1865" s="31">
        <v>5500000.0</v>
      </c>
      <c r="G1865" s="31" t="s">
        <v>23</v>
      </c>
      <c r="H1865" s="31">
        <v>1600000.0</v>
      </c>
      <c r="I1865" s="31" t="s">
        <v>413</v>
      </c>
      <c r="K1865" s="33" t="s">
        <v>5773</v>
      </c>
      <c r="L1865" s="31" t="s">
        <v>202</v>
      </c>
      <c r="M1865" s="31" t="s">
        <v>203</v>
      </c>
      <c r="N1865" s="31" t="s">
        <v>313</v>
      </c>
      <c r="T1865" s="31" t="s">
        <v>314</v>
      </c>
    </row>
    <row r="1866">
      <c r="A1866" s="29">
        <v>45955.50299616898</v>
      </c>
      <c r="B1866" s="30">
        <v>45955.0</v>
      </c>
      <c r="C1866" s="31" t="s">
        <v>5774</v>
      </c>
      <c r="D1866" s="32" t="s">
        <v>5775</v>
      </c>
      <c r="E1866" s="31" t="s">
        <v>199</v>
      </c>
      <c r="F1866" s="31">
        <v>3000000.0</v>
      </c>
      <c r="G1866" s="31" t="s">
        <v>23</v>
      </c>
      <c r="I1866" s="31" t="s">
        <v>229</v>
      </c>
      <c r="J1866" s="31" t="s">
        <v>967</v>
      </c>
      <c r="K1866" s="33" t="s">
        <v>5776</v>
      </c>
      <c r="L1866" s="31" t="s">
        <v>252</v>
      </c>
      <c r="O1866" s="31" t="s">
        <v>205</v>
      </c>
      <c r="X1866" s="31" t="s">
        <v>1471</v>
      </c>
    </row>
    <row r="1867">
      <c r="A1867" s="29">
        <v>45955.50694475694</v>
      </c>
      <c r="B1867" s="30">
        <v>45955.0</v>
      </c>
      <c r="C1867" s="31" t="s">
        <v>5777</v>
      </c>
      <c r="D1867" s="32" t="s">
        <v>3714</v>
      </c>
      <c r="E1867" s="31" t="s">
        <v>5778</v>
      </c>
      <c r="F1867" s="31">
        <v>2000000.0</v>
      </c>
      <c r="G1867" s="31" t="s">
        <v>23</v>
      </c>
      <c r="I1867" s="31" t="s">
        <v>229</v>
      </c>
      <c r="J1867" s="31" t="s">
        <v>967</v>
      </c>
      <c r="K1867" s="33" t="s">
        <v>5779</v>
      </c>
      <c r="L1867" s="31" t="s">
        <v>202</v>
      </c>
      <c r="N1867" s="31" t="s">
        <v>215</v>
      </c>
      <c r="W1867" s="31" t="s">
        <v>532</v>
      </c>
    </row>
    <row r="1868">
      <c r="A1868" s="29">
        <v>45955.51512866898</v>
      </c>
      <c r="B1868" s="30">
        <v>45955.0</v>
      </c>
      <c r="C1868" s="31" t="s">
        <v>5780</v>
      </c>
      <c r="D1868" s="32" t="s">
        <v>5781</v>
      </c>
      <c r="E1868" s="31" t="s">
        <v>261</v>
      </c>
      <c r="F1868" s="31">
        <v>5000000.0</v>
      </c>
      <c r="G1868" s="31" t="s">
        <v>45</v>
      </c>
      <c r="I1868" s="31" t="s">
        <v>229</v>
      </c>
      <c r="J1868" s="31" t="s">
        <v>967</v>
      </c>
      <c r="K1868" s="33" t="s">
        <v>5782</v>
      </c>
      <c r="L1868" s="31" t="s">
        <v>252</v>
      </c>
      <c r="O1868" s="31" t="s">
        <v>257</v>
      </c>
      <c r="P1868" s="31" t="s">
        <v>285</v>
      </c>
    </row>
    <row r="1869">
      <c r="A1869" s="29">
        <v>45955.51674712963</v>
      </c>
      <c r="B1869" s="30">
        <v>45955.0</v>
      </c>
      <c r="C1869" s="31" t="s">
        <v>5783</v>
      </c>
      <c r="D1869" s="32" t="s">
        <v>5784</v>
      </c>
      <c r="E1869" s="31" t="s">
        <v>31</v>
      </c>
      <c r="F1869" s="31">
        <v>7400000.0</v>
      </c>
      <c r="G1869" s="31" t="s">
        <v>23</v>
      </c>
      <c r="I1869" s="31" t="s">
        <v>229</v>
      </c>
      <c r="J1869" s="31" t="s">
        <v>967</v>
      </c>
      <c r="K1869" s="33" t="s">
        <v>5785</v>
      </c>
      <c r="L1869" s="31" t="s">
        <v>202</v>
      </c>
      <c r="N1869" s="31" t="s">
        <v>667</v>
      </c>
      <c r="U1869" s="31" t="s">
        <v>668</v>
      </c>
    </row>
    <row r="1870">
      <c r="A1870" s="29">
        <v>45955.52066178241</v>
      </c>
      <c r="B1870" s="30">
        <v>45955.0</v>
      </c>
      <c r="C1870" s="31" t="s">
        <v>5786</v>
      </c>
      <c r="D1870" s="32" t="s">
        <v>2373</v>
      </c>
      <c r="E1870" s="31" t="s">
        <v>43</v>
      </c>
      <c r="F1870" s="31">
        <v>8800000.0</v>
      </c>
      <c r="G1870" s="31" t="s">
        <v>23</v>
      </c>
      <c r="I1870" s="31" t="s">
        <v>229</v>
      </c>
      <c r="J1870" s="31" t="s">
        <v>967</v>
      </c>
      <c r="K1870" s="33" t="s">
        <v>5787</v>
      </c>
      <c r="L1870" s="31" t="s">
        <v>202</v>
      </c>
      <c r="N1870" s="31" t="s">
        <v>313</v>
      </c>
      <c r="T1870" s="31" t="s">
        <v>314</v>
      </c>
    </row>
    <row r="1871">
      <c r="A1871" s="29">
        <v>45955.53005336806</v>
      </c>
      <c r="B1871" s="30">
        <v>45955.0</v>
      </c>
      <c r="C1871" s="31" t="s">
        <v>5788</v>
      </c>
      <c r="D1871" s="32" t="s">
        <v>5789</v>
      </c>
      <c r="E1871" s="31" t="s">
        <v>228</v>
      </c>
      <c r="F1871" s="31">
        <v>3.4E7</v>
      </c>
      <c r="G1871" s="31" t="s">
        <v>23</v>
      </c>
      <c r="I1871" s="31" t="s">
        <v>229</v>
      </c>
      <c r="J1871" s="31" t="s">
        <v>967</v>
      </c>
      <c r="K1871" s="33" t="s">
        <v>5790</v>
      </c>
      <c r="L1871" s="31" t="s">
        <v>252</v>
      </c>
      <c r="O1871" s="31" t="s">
        <v>205</v>
      </c>
      <c r="X1871" s="31" t="s">
        <v>1471</v>
      </c>
    </row>
    <row r="1872">
      <c r="A1872" s="29">
        <v>45955.54151369213</v>
      </c>
      <c r="B1872" s="30">
        <v>45955.0</v>
      </c>
      <c r="C1872" s="31" t="s">
        <v>5791</v>
      </c>
      <c r="D1872" s="32" t="s">
        <v>5792</v>
      </c>
      <c r="E1872" s="31" t="s">
        <v>288</v>
      </c>
      <c r="F1872" s="31">
        <v>50.0</v>
      </c>
      <c r="G1872" s="31" t="s">
        <v>23</v>
      </c>
      <c r="I1872" s="31" t="s">
        <v>229</v>
      </c>
      <c r="J1872" s="31" t="s">
        <v>967</v>
      </c>
      <c r="K1872" s="33" t="s">
        <v>5793</v>
      </c>
      <c r="L1872" s="31" t="s">
        <v>202</v>
      </c>
      <c r="N1872" s="31" t="s">
        <v>313</v>
      </c>
      <c r="T1872" s="31" t="s">
        <v>4272</v>
      </c>
    </row>
    <row r="1873">
      <c r="A1873" s="29">
        <v>45955.54459636574</v>
      </c>
      <c r="B1873" s="30">
        <v>45955.0</v>
      </c>
      <c r="C1873" s="31" t="s">
        <v>5794</v>
      </c>
      <c r="D1873" s="32" t="s">
        <v>5795</v>
      </c>
      <c r="E1873" s="31" t="s">
        <v>43</v>
      </c>
      <c r="F1873" s="31">
        <v>7500000.0</v>
      </c>
      <c r="G1873" s="31" t="s">
        <v>23</v>
      </c>
      <c r="I1873" s="31" t="s">
        <v>229</v>
      </c>
      <c r="J1873" s="31" t="s">
        <v>967</v>
      </c>
      <c r="K1873" s="33" t="s">
        <v>5796</v>
      </c>
      <c r="L1873" s="31" t="s">
        <v>252</v>
      </c>
      <c r="O1873" s="31" t="s">
        <v>257</v>
      </c>
      <c r="P1873" s="31" t="s">
        <v>258</v>
      </c>
    </row>
    <row r="1874">
      <c r="A1874" s="29">
        <v>45955.56902555555</v>
      </c>
      <c r="B1874" s="30">
        <v>45955.0</v>
      </c>
      <c r="C1874" s="31" t="s">
        <v>5797</v>
      </c>
      <c r="D1874" s="32" t="s">
        <v>5798</v>
      </c>
      <c r="E1874" s="31" t="s">
        <v>43</v>
      </c>
      <c r="F1874" s="31">
        <v>8500000.0</v>
      </c>
      <c r="G1874" s="31" t="s">
        <v>23</v>
      </c>
      <c r="H1874" s="31">
        <v>3000000.0</v>
      </c>
      <c r="I1874" s="31" t="s">
        <v>413</v>
      </c>
      <c r="K1874" s="33" t="s">
        <v>5799</v>
      </c>
      <c r="L1874" s="31" t="s">
        <v>252</v>
      </c>
      <c r="M1874" s="31" t="s">
        <v>203</v>
      </c>
      <c r="O1874" s="31" t="s">
        <v>257</v>
      </c>
      <c r="P1874" s="31" t="s">
        <v>258</v>
      </c>
    </row>
    <row r="1875">
      <c r="A1875" s="29">
        <v>45955.571380567126</v>
      </c>
      <c r="B1875" s="30">
        <v>45955.0</v>
      </c>
      <c r="C1875" s="31" t="s">
        <v>5800</v>
      </c>
      <c r="D1875" s="32" t="s">
        <v>5801</v>
      </c>
      <c r="E1875" s="31" t="s">
        <v>43</v>
      </c>
      <c r="F1875" s="31">
        <v>4000000.0</v>
      </c>
      <c r="G1875" s="31" t="s">
        <v>45</v>
      </c>
      <c r="H1875" s="31">
        <v>1.2E7</v>
      </c>
      <c r="I1875" s="31" t="s">
        <v>413</v>
      </c>
      <c r="K1875" s="33" t="s">
        <v>5802</v>
      </c>
      <c r="L1875" s="31" t="s">
        <v>202</v>
      </c>
      <c r="M1875" s="31" t="s">
        <v>605</v>
      </c>
      <c r="N1875" s="31" t="s">
        <v>220</v>
      </c>
      <c r="S1875" s="31" t="s">
        <v>5512</v>
      </c>
    </row>
    <row r="1876">
      <c r="A1876" s="29">
        <v>45955.60072770833</v>
      </c>
      <c r="B1876" s="30">
        <v>45955.0</v>
      </c>
      <c r="C1876" s="31" t="s">
        <v>5803</v>
      </c>
      <c r="D1876" s="32" t="s">
        <v>4950</v>
      </c>
      <c r="E1876" s="31" t="s">
        <v>43</v>
      </c>
      <c r="F1876" s="31">
        <v>8800000.0</v>
      </c>
      <c r="G1876" s="31" t="s">
        <v>23</v>
      </c>
      <c r="I1876" s="31" t="s">
        <v>229</v>
      </c>
      <c r="J1876" s="31" t="s">
        <v>967</v>
      </c>
      <c r="K1876" s="33" t="s">
        <v>5804</v>
      </c>
      <c r="L1876" s="31" t="s">
        <v>202</v>
      </c>
      <c r="N1876" s="31" t="s">
        <v>313</v>
      </c>
      <c r="T1876" s="31" t="s">
        <v>314</v>
      </c>
    </row>
    <row r="1877">
      <c r="A1877" s="29">
        <v>45955.602432025466</v>
      </c>
      <c r="B1877" s="30">
        <v>45955.0</v>
      </c>
      <c r="C1877" s="31" t="s">
        <v>5805</v>
      </c>
      <c r="D1877" s="32" t="s">
        <v>5806</v>
      </c>
      <c r="E1877" s="31" t="s">
        <v>31</v>
      </c>
      <c r="F1877" s="31">
        <v>7.4E7</v>
      </c>
      <c r="G1877" s="31" t="s">
        <v>23</v>
      </c>
      <c r="I1877" s="31" t="s">
        <v>229</v>
      </c>
      <c r="J1877" s="31" t="s">
        <v>967</v>
      </c>
      <c r="K1877" s="33" t="s">
        <v>5807</v>
      </c>
      <c r="L1877" s="31" t="s">
        <v>202</v>
      </c>
      <c r="N1877" s="31" t="s">
        <v>667</v>
      </c>
      <c r="U1877" s="31" t="s">
        <v>668</v>
      </c>
    </row>
    <row r="1878">
      <c r="A1878" s="29">
        <v>45955.62240329861</v>
      </c>
      <c r="B1878" s="30">
        <v>45955.0</v>
      </c>
      <c r="C1878" s="31" t="s">
        <v>5808</v>
      </c>
      <c r="D1878" s="32" t="s">
        <v>5809</v>
      </c>
      <c r="E1878" s="31" t="s">
        <v>5810</v>
      </c>
      <c r="F1878" s="31">
        <v>6000000.0</v>
      </c>
      <c r="G1878" s="31" t="s">
        <v>23</v>
      </c>
      <c r="I1878" s="31" t="s">
        <v>229</v>
      </c>
      <c r="J1878" s="31" t="s">
        <v>967</v>
      </c>
      <c r="K1878" s="33" t="s">
        <v>5811</v>
      </c>
      <c r="L1878" s="31" t="s">
        <v>202</v>
      </c>
      <c r="N1878" s="31" t="s">
        <v>220</v>
      </c>
      <c r="S1878" s="31" t="s">
        <v>1406</v>
      </c>
    </row>
    <row r="1879">
      <c r="A1879" s="29">
        <v>45955.64310140046</v>
      </c>
      <c r="B1879" s="30">
        <v>45955.0</v>
      </c>
      <c r="C1879" s="31" t="s">
        <v>5812</v>
      </c>
      <c r="D1879" s="32" t="s">
        <v>5813</v>
      </c>
      <c r="E1879" s="31" t="s">
        <v>199</v>
      </c>
      <c r="F1879" s="31">
        <v>3000000.0</v>
      </c>
      <c r="G1879" s="31" t="s">
        <v>23</v>
      </c>
      <c r="I1879" s="31" t="s">
        <v>229</v>
      </c>
      <c r="J1879" s="31" t="s">
        <v>967</v>
      </c>
      <c r="K1879" s="33" t="s">
        <v>5814</v>
      </c>
      <c r="L1879" s="31" t="s">
        <v>252</v>
      </c>
      <c r="O1879" s="31" t="s">
        <v>257</v>
      </c>
      <c r="P1879" s="31" t="s">
        <v>2453</v>
      </c>
    </row>
    <row r="1880">
      <c r="A1880" s="29">
        <v>45955.69200957176</v>
      </c>
      <c r="B1880" s="30">
        <v>45955.0</v>
      </c>
      <c r="C1880" s="31" t="s">
        <v>5815</v>
      </c>
      <c r="D1880" s="32" t="s">
        <v>5816</v>
      </c>
      <c r="E1880" s="31" t="s">
        <v>43</v>
      </c>
      <c r="F1880" s="31">
        <v>2800000.0</v>
      </c>
      <c r="G1880" s="31" t="s">
        <v>23</v>
      </c>
      <c r="H1880" s="31">
        <v>3000000.0</v>
      </c>
      <c r="I1880" s="31" t="s">
        <v>200</v>
      </c>
      <c r="K1880" s="33" t="s">
        <v>5817</v>
      </c>
      <c r="L1880" s="31" t="s">
        <v>252</v>
      </c>
      <c r="M1880" s="31" t="s">
        <v>203</v>
      </c>
      <c r="O1880" s="31" t="s">
        <v>257</v>
      </c>
      <c r="P1880" s="31" t="s">
        <v>2453</v>
      </c>
    </row>
    <row r="1881">
      <c r="A1881" s="29">
        <v>45955.70688637732</v>
      </c>
      <c r="B1881" s="30">
        <v>45955.0</v>
      </c>
      <c r="C1881" s="31" t="s">
        <v>5818</v>
      </c>
      <c r="D1881" s="32" t="s">
        <v>2271</v>
      </c>
      <c r="E1881" s="31" t="s">
        <v>31</v>
      </c>
      <c r="F1881" s="31">
        <v>3000000.0</v>
      </c>
      <c r="G1881" s="31" t="s">
        <v>23</v>
      </c>
      <c r="I1881" s="31" t="s">
        <v>229</v>
      </c>
      <c r="J1881" s="31" t="s">
        <v>967</v>
      </c>
      <c r="K1881" s="33" t="s">
        <v>5819</v>
      </c>
      <c r="L1881" s="31" t="s">
        <v>252</v>
      </c>
      <c r="O1881" s="31" t="s">
        <v>257</v>
      </c>
      <c r="P1881" s="31" t="s">
        <v>206</v>
      </c>
    </row>
    <row r="1882">
      <c r="A1882" s="29">
        <v>45955.715208113426</v>
      </c>
      <c r="B1882" s="30">
        <v>45955.0</v>
      </c>
      <c r="C1882" s="31" t="s">
        <v>5820</v>
      </c>
      <c r="D1882" s="32" t="s">
        <v>5821</v>
      </c>
      <c r="E1882" s="31" t="s">
        <v>31</v>
      </c>
      <c r="F1882" s="31">
        <v>6299000.0</v>
      </c>
      <c r="G1882" s="31" t="s">
        <v>23</v>
      </c>
      <c r="I1882" s="31" t="s">
        <v>229</v>
      </c>
      <c r="J1882" s="31" t="s">
        <v>967</v>
      </c>
      <c r="K1882" s="33" t="s">
        <v>5822</v>
      </c>
      <c r="L1882" s="31" t="s">
        <v>202</v>
      </c>
      <c r="N1882" s="31" t="s">
        <v>204</v>
      </c>
      <c r="R1882" s="31" t="s">
        <v>207</v>
      </c>
    </row>
    <row r="1883">
      <c r="A1883" s="29">
        <v>45955.723522071756</v>
      </c>
      <c r="B1883" s="30">
        <v>45955.0</v>
      </c>
      <c r="C1883" s="31" t="s">
        <v>5823</v>
      </c>
      <c r="D1883" s="32" t="s">
        <v>5824</v>
      </c>
      <c r="E1883" s="31" t="s">
        <v>43</v>
      </c>
      <c r="F1883" s="31">
        <v>1.16E7</v>
      </c>
      <c r="G1883" s="31" t="s">
        <v>45</v>
      </c>
      <c r="H1883" s="31">
        <v>5000000.0</v>
      </c>
      <c r="I1883" s="31" t="s">
        <v>413</v>
      </c>
      <c r="K1883" s="33" t="s">
        <v>5825</v>
      </c>
      <c r="L1883" s="31" t="s">
        <v>202</v>
      </c>
      <c r="M1883" s="31" t="s">
        <v>605</v>
      </c>
      <c r="N1883" s="31" t="s">
        <v>220</v>
      </c>
      <c r="S1883" s="31" t="s">
        <v>5697</v>
      </c>
    </row>
    <row r="1884">
      <c r="A1884" s="29">
        <v>45955.72458412037</v>
      </c>
      <c r="B1884" s="30">
        <v>45955.0</v>
      </c>
      <c r="C1884" s="31" t="s">
        <v>5826</v>
      </c>
      <c r="D1884" s="32" t="s">
        <v>5827</v>
      </c>
      <c r="E1884" s="31" t="s">
        <v>288</v>
      </c>
      <c r="F1884" s="31">
        <v>1500000.0</v>
      </c>
      <c r="G1884" s="31" t="s">
        <v>23</v>
      </c>
      <c r="I1884" s="31" t="s">
        <v>229</v>
      </c>
      <c r="J1884" s="31" t="s">
        <v>967</v>
      </c>
      <c r="K1884" s="33" t="s">
        <v>5828</v>
      </c>
      <c r="L1884" s="31" t="s">
        <v>202</v>
      </c>
      <c r="N1884" s="31" t="s">
        <v>220</v>
      </c>
      <c r="S1884" s="31" t="s">
        <v>913</v>
      </c>
    </row>
    <row r="1885">
      <c r="A1885" s="29">
        <v>45955.730138750005</v>
      </c>
      <c r="B1885" s="30">
        <v>45955.0</v>
      </c>
      <c r="C1885" s="31" t="s">
        <v>5829</v>
      </c>
      <c r="D1885" s="32" t="s">
        <v>5830</v>
      </c>
      <c r="E1885" s="31" t="s">
        <v>43</v>
      </c>
      <c r="F1885" s="31">
        <v>8800000.0</v>
      </c>
      <c r="G1885" s="31" t="s">
        <v>23</v>
      </c>
      <c r="I1885" s="31" t="s">
        <v>229</v>
      </c>
      <c r="J1885" s="31" t="s">
        <v>967</v>
      </c>
      <c r="K1885" s="33" t="s">
        <v>5831</v>
      </c>
      <c r="L1885" s="31" t="s">
        <v>202</v>
      </c>
      <c r="N1885" s="31" t="s">
        <v>313</v>
      </c>
      <c r="T1885" s="31" t="s">
        <v>314</v>
      </c>
    </row>
    <row r="1886">
      <c r="A1886" s="29">
        <v>45955.74191737268</v>
      </c>
      <c r="B1886" s="30">
        <v>45955.0</v>
      </c>
      <c r="C1886" s="31" t="s">
        <v>5832</v>
      </c>
      <c r="D1886" s="32" t="s">
        <v>5833</v>
      </c>
      <c r="E1886" s="31" t="s">
        <v>784</v>
      </c>
      <c r="F1886" s="31">
        <v>3200000.0</v>
      </c>
      <c r="G1886" s="31" t="s">
        <v>23</v>
      </c>
      <c r="H1886" s="31">
        <v>7000000.0</v>
      </c>
      <c r="I1886" s="31" t="s">
        <v>413</v>
      </c>
      <c r="K1886" s="33" t="s">
        <v>5834</v>
      </c>
      <c r="L1886" s="31" t="s">
        <v>202</v>
      </c>
      <c r="M1886" s="31" t="s">
        <v>203</v>
      </c>
      <c r="N1886" s="31" t="s">
        <v>204</v>
      </c>
      <c r="R1886" s="31" t="s">
        <v>90</v>
      </c>
    </row>
    <row r="1887">
      <c r="A1887" s="29">
        <v>45955.74298509259</v>
      </c>
      <c r="B1887" s="30">
        <v>45955.0</v>
      </c>
      <c r="C1887" s="31" t="s">
        <v>5835</v>
      </c>
      <c r="D1887" s="31">
        <v>8.5738674979E10</v>
      </c>
      <c r="E1887" s="31" t="s">
        <v>43</v>
      </c>
      <c r="F1887" s="31">
        <v>1.9E7</v>
      </c>
      <c r="G1887" s="31" t="s">
        <v>45</v>
      </c>
      <c r="I1887" s="31" t="s">
        <v>229</v>
      </c>
      <c r="J1887" s="31" t="s">
        <v>967</v>
      </c>
      <c r="K1887" s="33" t="s">
        <v>5836</v>
      </c>
      <c r="L1887" s="31" t="s">
        <v>202</v>
      </c>
      <c r="N1887" s="31" t="s">
        <v>204</v>
      </c>
      <c r="R1887" s="31" t="s">
        <v>471</v>
      </c>
    </row>
    <row r="1888">
      <c r="A1888" s="29">
        <v>45955.750138703705</v>
      </c>
      <c r="B1888" s="30">
        <v>45955.0</v>
      </c>
      <c r="C1888" s="31" t="s">
        <v>5837</v>
      </c>
      <c r="D1888" s="32" t="s">
        <v>5838</v>
      </c>
      <c r="E1888" s="31" t="s">
        <v>31</v>
      </c>
      <c r="F1888" s="31">
        <v>6200000.0</v>
      </c>
      <c r="G1888" s="31" t="s">
        <v>23</v>
      </c>
      <c r="I1888" s="31" t="s">
        <v>229</v>
      </c>
      <c r="J1888" s="31" t="s">
        <v>967</v>
      </c>
      <c r="K1888" s="33" t="s">
        <v>5839</v>
      </c>
      <c r="L1888" s="31" t="s">
        <v>202</v>
      </c>
      <c r="N1888" s="31" t="s">
        <v>313</v>
      </c>
      <c r="T1888" s="31" t="s">
        <v>329</v>
      </c>
    </row>
    <row r="1889">
      <c r="A1889" s="29">
        <v>45955.75216217592</v>
      </c>
      <c r="B1889" s="30">
        <v>45955.0</v>
      </c>
      <c r="C1889" s="31" t="s">
        <v>5840</v>
      </c>
      <c r="D1889" s="32" t="s">
        <v>5841</v>
      </c>
      <c r="E1889" s="31" t="s">
        <v>31</v>
      </c>
      <c r="F1889" s="31">
        <v>7200000.0</v>
      </c>
      <c r="G1889" s="31" t="s">
        <v>23</v>
      </c>
      <c r="H1889" s="31">
        <v>7000000.0</v>
      </c>
      <c r="I1889" s="31" t="s">
        <v>413</v>
      </c>
      <c r="K1889" s="33" t="s">
        <v>5842</v>
      </c>
      <c r="L1889" s="31" t="s">
        <v>202</v>
      </c>
      <c r="M1889" s="31" t="s">
        <v>926</v>
      </c>
      <c r="N1889" s="31" t="s">
        <v>313</v>
      </c>
      <c r="T1889" s="31" t="s">
        <v>329</v>
      </c>
    </row>
    <row r="1890">
      <c r="A1890" s="29">
        <v>45955.75832405093</v>
      </c>
      <c r="B1890" s="30">
        <v>45955.0</v>
      </c>
      <c r="C1890" s="31" t="s">
        <v>5843</v>
      </c>
      <c r="D1890" s="32" t="s">
        <v>5844</v>
      </c>
      <c r="E1890" s="31" t="s">
        <v>156</v>
      </c>
      <c r="F1890" s="31">
        <v>4700000.0</v>
      </c>
      <c r="G1890" s="31" t="s">
        <v>45</v>
      </c>
      <c r="I1890" s="31" t="s">
        <v>229</v>
      </c>
      <c r="J1890" s="31" t="s">
        <v>967</v>
      </c>
      <c r="K1890" s="33" t="s">
        <v>5845</v>
      </c>
      <c r="L1890" s="31" t="s">
        <v>252</v>
      </c>
      <c r="O1890" s="31" t="s">
        <v>205</v>
      </c>
      <c r="X1890" s="31" t="s">
        <v>569</v>
      </c>
    </row>
    <row r="1891">
      <c r="A1891" s="29">
        <v>45955.766060775466</v>
      </c>
      <c r="B1891" s="30">
        <v>45955.0</v>
      </c>
      <c r="C1891" s="31" t="s">
        <v>5846</v>
      </c>
      <c r="D1891" s="32" t="s">
        <v>5833</v>
      </c>
      <c r="E1891" s="31" t="s">
        <v>784</v>
      </c>
      <c r="F1891" s="31">
        <v>3200000.0</v>
      </c>
      <c r="G1891" s="31" t="s">
        <v>23</v>
      </c>
      <c r="H1891" s="31">
        <v>7000000.0</v>
      </c>
      <c r="I1891" s="31" t="s">
        <v>200</v>
      </c>
      <c r="K1891" s="33" t="s">
        <v>5847</v>
      </c>
      <c r="L1891" s="31" t="s">
        <v>202</v>
      </c>
      <c r="M1891" s="31" t="s">
        <v>5638</v>
      </c>
      <c r="N1891" s="31" t="s">
        <v>204</v>
      </c>
      <c r="R1891" s="31" t="s">
        <v>90</v>
      </c>
    </row>
    <row r="1892">
      <c r="A1892" s="29">
        <v>45955.771976759264</v>
      </c>
      <c r="B1892" s="30">
        <v>45955.0</v>
      </c>
      <c r="C1892" s="31" t="s">
        <v>5848</v>
      </c>
      <c r="D1892" s="32" t="s">
        <v>5849</v>
      </c>
      <c r="E1892" s="31" t="s">
        <v>5850</v>
      </c>
      <c r="F1892" s="31">
        <v>3700000.0</v>
      </c>
      <c r="G1892" s="31" t="s">
        <v>23</v>
      </c>
      <c r="H1892" s="31">
        <v>7000000.0</v>
      </c>
      <c r="I1892" s="31" t="s">
        <v>200</v>
      </c>
      <c r="K1892" s="33" t="s">
        <v>5851</v>
      </c>
      <c r="L1892" s="31" t="s">
        <v>202</v>
      </c>
      <c r="M1892" s="31" t="s">
        <v>5638</v>
      </c>
      <c r="N1892" s="31" t="s">
        <v>220</v>
      </c>
      <c r="S1892" s="31" t="s">
        <v>59</v>
      </c>
    </row>
    <row r="1893">
      <c r="A1893" s="29">
        <v>45955.788891331016</v>
      </c>
      <c r="B1893" s="30">
        <v>45955.0</v>
      </c>
      <c r="C1893" s="31" t="s">
        <v>5852</v>
      </c>
      <c r="D1893" s="32" t="s">
        <v>5853</v>
      </c>
      <c r="E1893" s="31" t="s">
        <v>288</v>
      </c>
      <c r="F1893" s="34">
        <v>3000.0</v>
      </c>
      <c r="G1893" s="31" t="s">
        <v>23</v>
      </c>
      <c r="I1893" s="31" t="s">
        <v>229</v>
      </c>
      <c r="J1893" s="31" t="s">
        <v>967</v>
      </c>
      <c r="K1893" s="33" t="s">
        <v>5854</v>
      </c>
      <c r="L1893" s="31" t="s">
        <v>202</v>
      </c>
      <c r="N1893" s="31" t="s">
        <v>204</v>
      </c>
      <c r="R1893" s="31" t="s">
        <v>167</v>
      </c>
    </row>
    <row r="1894">
      <c r="A1894" s="29">
        <v>45955.790266805554</v>
      </c>
      <c r="B1894" s="30">
        <v>45955.0</v>
      </c>
      <c r="C1894" s="31" t="s">
        <v>5855</v>
      </c>
      <c r="D1894" s="32" t="s">
        <v>5856</v>
      </c>
      <c r="E1894" s="31" t="s">
        <v>288</v>
      </c>
      <c r="F1894" s="34">
        <v>3000.0</v>
      </c>
      <c r="G1894" s="31" t="s">
        <v>23</v>
      </c>
      <c r="I1894" s="31" t="s">
        <v>229</v>
      </c>
      <c r="J1894" s="31" t="s">
        <v>967</v>
      </c>
      <c r="K1894" s="33" t="s">
        <v>5857</v>
      </c>
      <c r="L1894" s="31" t="s">
        <v>202</v>
      </c>
      <c r="N1894" s="31" t="s">
        <v>204</v>
      </c>
      <c r="R1894" s="31" t="s">
        <v>167</v>
      </c>
    </row>
    <row r="1895">
      <c r="A1895" s="29">
        <v>45955.79898368056</v>
      </c>
      <c r="B1895" s="30">
        <v>45955.0</v>
      </c>
      <c r="C1895" s="31" t="s">
        <v>5858</v>
      </c>
      <c r="D1895" s="32" t="s">
        <v>5859</v>
      </c>
      <c r="E1895" s="31" t="s">
        <v>43</v>
      </c>
      <c r="F1895" s="31">
        <v>4500000.0</v>
      </c>
      <c r="G1895" s="31" t="s">
        <v>23</v>
      </c>
      <c r="I1895" s="31" t="s">
        <v>229</v>
      </c>
      <c r="J1895" s="31" t="s">
        <v>967</v>
      </c>
      <c r="K1895" s="33" t="s">
        <v>5860</v>
      </c>
      <c r="L1895" s="31" t="s">
        <v>252</v>
      </c>
      <c r="O1895" s="31" t="s">
        <v>257</v>
      </c>
      <c r="P1895" s="31" t="s">
        <v>258</v>
      </c>
    </row>
    <row r="1896">
      <c r="A1896" s="29">
        <v>45955.82556619213</v>
      </c>
      <c r="B1896" s="30">
        <v>45955.0</v>
      </c>
      <c r="C1896" s="31" t="s">
        <v>5861</v>
      </c>
      <c r="D1896" s="32" t="s">
        <v>5862</v>
      </c>
      <c r="E1896" s="31" t="s">
        <v>43</v>
      </c>
      <c r="F1896" s="31">
        <v>2300000.0</v>
      </c>
      <c r="G1896" s="31" t="s">
        <v>23</v>
      </c>
      <c r="H1896" s="31">
        <v>1600000.0</v>
      </c>
      <c r="I1896" s="31" t="s">
        <v>413</v>
      </c>
      <c r="K1896" s="33" t="s">
        <v>5863</v>
      </c>
      <c r="L1896" s="31" t="s">
        <v>252</v>
      </c>
      <c r="M1896" s="31" t="s">
        <v>203</v>
      </c>
      <c r="O1896" s="31" t="s">
        <v>205</v>
      </c>
      <c r="X1896" s="31" t="s">
        <v>452</v>
      </c>
    </row>
    <row r="1897">
      <c r="A1897" s="29">
        <v>45955.845456944444</v>
      </c>
      <c r="B1897" s="30">
        <v>45955.0</v>
      </c>
      <c r="C1897" s="31" t="s">
        <v>5864</v>
      </c>
      <c r="D1897" s="32" t="s">
        <v>5865</v>
      </c>
      <c r="E1897" s="31" t="s">
        <v>31</v>
      </c>
      <c r="F1897" s="31">
        <v>7600000.0</v>
      </c>
      <c r="G1897" s="31" t="s">
        <v>23</v>
      </c>
      <c r="H1897" s="31">
        <v>1.0E7</v>
      </c>
      <c r="I1897" s="31" t="s">
        <v>200</v>
      </c>
      <c r="K1897" s="33" t="s">
        <v>5866</v>
      </c>
      <c r="L1897" s="31" t="s">
        <v>202</v>
      </c>
      <c r="M1897" s="31" t="s">
        <v>203</v>
      </c>
      <c r="N1897" s="31" t="s">
        <v>313</v>
      </c>
      <c r="T1897" s="31" t="s">
        <v>329</v>
      </c>
    </row>
    <row r="1898">
      <c r="A1898" s="29">
        <v>45955.91396283565</v>
      </c>
      <c r="B1898" s="30">
        <v>45955.0</v>
      </c>
      <c r="C1898" s="31" t="s">
        <v>5867</v>
      </c>
      <c r="D1898" s="32" t="s">
        <v>5868</v>
      </c>
      <c r="E1898" s="31" t="s">
        <v>43</v>
      </c>
      <c r="F1898" s="31">
        <v>4000000.0</v>
      </c>
      <c r="G1898" s="31" t="s">
        <v>23</v>
      </c>
      <c r="I1898" s="31" t="s">
        <v>229</v>
      </c>
      <c r="J1898" s="31" t="s">
        <v>967</v>
      </c>
      <c r="K1898" s="33" t="s">
        <v>5869</v>
      </c>
      <c r="L1898" s="31" t="s">
        <v>202</v>
      </c>
      <c r="N1898" s="31" t="s">
        <v>220</v>
      </c>
      <c r="S1898" s="31" t="s">
        <v>466</v>
      </c>
    </row>
    <row r="1899">
      <c r="A1899" s="29">
        <v>45955.915146631945</v>
      </c>
      <c r="B1899" s="30">
        <v>45955.0</v>
      </c>
      <c r="C1899" s="31" t="s">
        <v>5870</v>
      </c>
      <c r="D1899" s="32" t="s">
        <v>5871</v>
      </c>
      <c r="E1899" s="31" t="s">
        <v>43</v>
      </c>
      <c r="F1899" s="31">
        <v>4000000.0</v>
      </c>
      <c r="G1899" s="31" t="s">
        <v>23</v>
      </c>
      <c r="I1899" s="31" t="s">
        <v>229</v>
      </c>
      <c r="J1899" s="31" t="s">
        <v>967</v>
      </c>
      <c r="K1899" s="33" t="s">
        <v>5872</v>
      </c>
      <c r="L1899" s="31" t="s">
        <v>202</v>
      </c>
      <c r="N1899" s="31" t="s">
        <v>220</v>
      </c>
      <c r="S1899" s="31" t="s">
        <v>466</v>
      </c>
    </row>
    <row r="1900">
      <c r="A1900" s="29">
        <v>45956.47490368056</v>
      </c>
      <c r="B1900" s="30">
        <v>45956.0</v>
      </c>
      <c r="C1900" s="31" t="s">
        <v>5873</v>
      </c>
      <c r="D1900" s="32" t="s">
        <v>5874</v>
      </c>
      <c r="E1900" s="31" t="s">
        <v>5875</v>
      </c>
      <c r="F1900" s="31">
        <v>6000000.0</v>
      </c>
      <c r="G1900" s="31" t="s">
        <v>23</v>
      </c>
      <c r="I1900" s="31" t="s">
        <v>229</v>
      </c>
      <c r="J1900" s="31" t="s">
        <v>967</v>
      </c>
      <c r="K1900" s="33" t="s">
        <v>5876</v>
      </c>
      <c r="L1900" s="31" t="s">
        <v>202</v>
      </c>
      <c r="N1900" s="31" t="s">
        <v>220</v>
      </c>
      <c r="S1900" s="31" t="s">
        <v>1406</v>
      </c>
    </row>
    <row r="1901">
      <c r="A1901" s="29">
        <v>45956.476890659724</v>
      </c>
      <c r="B1901" s="30">
        <v>45956.0</v>
      </c>
      <c r="C1901" s="31" t="s">
        <v>5877</v>
      </c>
      <c r="D1901" s="32" t="s">
        <v>5878</v>
      </c>
      <c r="E1901" s="31" t="s">
        <v>5879</v>
      </c>
      <c r="F1901" s="31">
        <v>50.0</v>
      </c>
      <c r="G1901" s="31" t="s">
        <v>23</v>
      </c>
      <c r="I1901" s="31" t="s">
        <v>229</v>
      </c>
      <c r="J1901" s="31" t="s">
        <v>967</v>
      </c>
      <c r="K1901" s="33" t="s">
        <v>5880</v>
      </c>
      <c r="L1901" s="31" t="s">
        <v>202</v>
      </c>
      <c r="N1901" s="31" t="s">
        <v>313</v>
      </c>
      <c r="T1901" s="31" t="s">
        <v>4272</v>
      </c>
    </row>
    <row r="1902">
      <c r="A1902" s="29">
        <v>45956.542356481485</v>
      </c>
      <c r="B1902" s="30">
        <v>45956.0</v>
      </c>
      <c r="C1902" s="31" t="s">
        <v>5881</v>
      </c>
      <c r="D1902" s="32" t="s">
        <v>5882</v>
      </c>
      <c r="E1902" s="31" t="s">
        <v>283</v>
      </c>
      <c r="F1902" s="31">
        <v>8000000.0</v>
      </c>
      <c r="G1902" s="31" t="s">
        <v>23</v>
      </c>
      <c r="H1902" s="31">
        <v>1600000.0</v>
      </c>
      <c r="I1902" s="31" t="s">
        <v>413</v>
      </c>
      <c r="K1902" s="33" t="s">
        <v>5883</v>
      </c>
      <c r="L1902" s="31" t="s">
        <v>252</v>
      </c>
      <c r="M1902" s="31" t="s">
        <v>5638</v>
      </c>
      <c r="O1902" s="31" t="s">
        <v>257</v>
      </c>
      <c r="P1902" s="31" t="s">
        <v>272</v>
      </c>
    </row>
    <row r="1903">
      <c r="A1903" s="29">
        <v>45956.56779880787</v>
      </c>
      <c r="B1903" s="30">
        <v>45956.0</v>
      </c>
      <c r="C1903" s="31" t="s">
        <v>5884</v>
      </c>
      <c r="D1903" s="32" t="s">
        <v>5885</v>
      </c>
      <c r="E1903" s="31" t="s">
        <v>2598</v>
      </c>
      <c r="F1903" s="31">
        <v>50.0</v>
      </c>
      <c r="G1903" s="31" t="s">
        <v>23</v>
      </c>
      <c r="I1903" s="31" t="s">
        <v>229</v>
      </c>
      <c r="J1903" s="31" t="s">
        <v>967</v>
      </c>
      <c r="K1903" s="33" t="s">
        <v>5886</v>
      </c>
      <c r="L1903" s="31" t="s">
        <v>202</v>
      </c>
      <c r="N1903" s="31" t="s">
        <v>313</v>
      </c>
      <c r="T1903" s="31" t="s">
        <v>4272</v>
      </c>
    </row>
    <row r="1904">
      <c r="A1904" s="29">
        <v>45956.58817180556</v>
      </c>
      <c r="B1904" s="30">
        <v>45956.0</v>
      </c>
      <c r="C1904" s="31" t="s">
        <v>5887</v>
      </c>
      <c r="D1904" s="32" t="s">
        <v>5888</v>
      </c>
      <c r="E1904" s="31" t="s">
        <v>43</v>
      </c>
      <c r="F1904" s="31">
        <v>3000000.0</v>
      </c>
      <c r="G1904" s="31" t="s">
        <v>23</v>
      </c>
      <c r="I1904" s="31" t="s">
        <v>229</v>
      </c>
      <c r="J1904" s="31" t="s">
        <v>967</v>
      </c>
      <c r="K1904" s="33" t="s">
        <v>5889</v>
      </c>
      <c r="L1904" s="31" t="s">
        <v>202</v>
      </c>
      <c r="N1904" s="31" t="s">
        <v>220</v>
      </c>
      <c r="S1904" s="31" t="s">
        <v>466</v>
      </c>
    </row>
    <row r="1905">
      <c r="A1905" s="29">
        <v>45956.61888699074</v>
      </c>
      <c r="B1905" s="30">
        <v>45956.0</v>
      </c>
      <c r="C1905" s="31" t="s">
        <v>5890</v>
      </c>
      <c r="D1905" s="32" t="s">
        <v>5888</v>
      </c>
      <c r="E1905" s="31" t="s">
        <v>228</v>
      </c>
      <c r="F1905" s="31">
        <v>7000000.0</v>
      </c>
      <c r="G1905" s="31" t="s">
        <v>23</v>
      </c>
      <c r="I1905" s="31" t="s">
        <v>229</v>
      </c>
      <c r="J1905" s="31" t="s">
        <v>967</v>
      </c>
      <c r="K1905" s="33" t="s">
        <v>5891</v>
      </c>
      <c r="L1905" s="31" t="s">
        <v>202</v>
      </c>
      <c r="N1905" s="31" t="s">
        <v>220</v>
      </c>
      <c r="S1905" s="31" t="s">
        <v>1406</v>
      </c>
    </row>
    <row r="1906">
      <c r="A1906" s="29">
        <v>45956.65441040509</v>
      </c>
      <c r="B1906" s="30">
        <v>45956.0</v>
      </c>
      <c r="C1906" s="31" t="s">
        <v>5892</v>
      </c>
      <c r="D1906" s="32" t="s">
        <v>5893</v>
      </c>
      <c r="E1906" s="31" t="s">
        <v>239</v>
      </c>
      <c r="F1906" s="31">
        <v>3200000.0</v>
      </c>
      <c r="G1906" s="31" t="s">
        <v>23</v>
      </c>
      <c r="I1906" s="31" t="s">
        <v>229</v>
      </c>
      <c r="J1906" s="31" t="s">
        <v>967</v>
      </c>
      <c r="K1906" s="33" t="s">
        <v>5894</v>
      </c>
      <c r="L1906" s="31" t="s">
        <v>252</v>
      </c>
      <c r="O1906" s="31" t="s">
        <v>205</v>
      </c>
      <c r="X1906" s="31" t="s">
        <v>569</v>
      </c>
    </row>
    <row r="1907">
      <c r="A1907" s="29">
        <v>45956.659773611114</v>
      </c>
      <c r="B1907" s="30">
        <v>45956.0</v>
      </c>
      <c r="C1907" s="31" t="s">
        <v>5895</v>
      </c>
      <c r="D1907" s="32" t="s">
        <v>5896</v>
      </c>
      <c r="E1907" s="31" t="s">
        <v>31</v>
      </c>
      <c r="F1907" s="31">
        <v>7000000.0</v>
      </c>
      <c r="G1907" s="31" t="s">
        <v>23</v>
      </c>
      <c r="I1907" s="31" t="s">
        <v>229</v>
      </c>
      <c r="J1907" s="31" t="s">
        <v>967</v>
      </c>
      <c r="K1907" s="33" t="s">
        <v>5897</v>
      </c>
      <c r="L1907" s="31" t="s">
        <v>252</v>
      </c>
      <c r="O1907" s="31" t="s">
        <v>205</v>
      </c>
      <c r="X1907" s="31" t="s">
        <v>2335</v>
      </c>
    </row>
    <row r="1908">
      <c r="A1908" s="29">
        <v>45956.69307685185</v>
      </c>
      <c r="B1908" s="30">
        <v>45956.0</v>
      </c>
      <c r="C1908" s="31" t="s">
        <v>5898</v>
      </c>
      <c r="D1908" s="32" t="s">
        <v>5899</v>
      </c>
      <c r="E1908" s="31" t="s">
        <v>288</v>
      </c>
      <c r="F1908" s="31">
        <v>3500000.0</v>
      </c>
      <c r="G1908" s="31" t="s">
        <v>23</v>
      </c>
      <c r="I1908" s="31" t="s">
        <v>229</v>
      </c>
      <c r="J1908" s="31" t="s">
        <v>967</v>
      </c>
      <c r="K1908" s="33" t="s">
        <v>5900</v>
      </c>
      <c r="L1908" s="31" t="s">
        <v>252</v>
      </c>
      <c r="O1908" s="31" t="s">
        <v>205</v>
      </c>
      <c r="X1908" s="31" t="s">
        <v>569</v>
      </c>
    </row>
    <row r="1909">
      <c r="A1909" s="29">
        <v>45956.69608434028</v>
      </c>
      <c r="B1909" s="30">
        <v>45956.0</v>
      </c>
      <c r="C1909" s="31" t="s">
        <v>5901</v>
      </c>
      <c r="D1909" s="32" t="s">
        <v>5902</v>
      </c>
      <c r="E1909" s="31" t="s">
        <v>199</v>
      </c>
      <c r="F1909" s="31">
        <v>50.0</v>
      </c>
      <c r="G1909" s="31" t="s">
        <v>45</v>
      </c>
      <c r="H1909" s="31">
        <v>3000000.0</v>
      </c>
      <c r="I1909" s="31" t="s">
        <v>413</v>
      </c>
      <c r="K1909" s="33" t="s">
        <v>5903</v>
      </c>
      <c r="L1909" s="31" t="s">
        <v>202</v>
      </c>
      <c r="M1909" s="31" t="s">
        <v>203</v>
      </c>
      <c r="N1909" s="31" t="s">
        <v>313</v>
      </c>
      <c r="T1909" s="31" t="s">
        <v>4272</v>
      </c>
    </row>
    <row r="1910">
      <c r="A1910" s="29">
        <v>45956.75116450232</v>
      </c>
      <c r="B1910" s="30">
        <v>45956.0</v>
      </c>
      <c r="C1910" s="31" t="s">
        <v>5904</v>
      </c>
      <c r="D1910" s="32" t="s">
        <v>5905</v>
      </c>
      <c r="E1910" s="31" t="s">
        <v>288</v>
      </c>
      <c r="F1910" s="34">
        <v>5000.0</v>
      </c>
      <c r="G1910" s="31" t="s">
        <v>23</v>
      </c>
      <c r="I1910" s="31" t="s">
        <v>229</v>
      </c>
      <c r="J1910" s="31" t="s">
        <v>967</v>
      </c>
      <c r="K1910" s="33" t="s">
        <v>5906</v>
      </c>
      <c r="L1910" s="31" t="s">
        <v>202</v>
      </c>
      <c r="N1910" s="31" t="s">
        <v>204</v>
      </c>
      <c r="R1910" s="31" t="s">
        <v>167</v>
      </c>
    </row>
    <row r="1911">
      <c r="A1911" s="29">
        <v>45956.75273429399</v>
      </c>
      <c r="B1911" s="30">
        <v>45956.0</v>
      </c>
      <c r="C1911" s="31" t="s">
        <v>5907</v>
      </c>
      <c r="D1911" s="32" t="s">
        <v>5908</v>
      </c>
      <c r="E1911" s="31" t="s">
        <v>43</v>
      </c>
      <c r="F1911" s="34">
        <v>3000.0</v>
      </c>
      <c r="G1911" s="31" t="s">
        <v>23</v>
      </c>
      <c r="I1911" s="31" t="s">
        <v>229</v>
      </c>
      <c r="J1911" s="31" t="s">
        <v>967</v>
      </c>
      <c r="K1911" s="33" t="s">
        <v>5909</v>
      </c>
      <c r="L1911" s="31" t="s">
        <v>202</v>
      </c>
      <c r="N1911" s="31" t="s">
        <v>204</v>
      </c>
      <c r="R1911" s="31" t="s">
        <v>167</v>
      </c>
    </row>
    <row r="1912">
      <c r="A1912" s="29">
        <v>45956.78302346065</v>
      </c>
      <c r="B1912" s="30">
        <v>45956.0</v>
      </c>
      <c r="C1912" s="31" t="s">
        <v>5910</v>
      </c>
      <c r="D1912" s="32" t="s">
        <v>5911</v>
      </c>
      <c r="E1912" s="31" t="s">
        <v>31</v>
      </c>
      <c r="F1912" s="31">
        <v>5999000.0</v>
      </c>
      <c r="G1912" s="31" t="s">
        <v>23</v>
      </c>
      <c r="I1912" s="31" t="s">
        <v>229</v>
      </c>
      <c r="J1912" s="31" t="s">
        <v>967</v>
      </c>
      <c r="K1912" s="33" t="s">
        <v>5912</v>
      </c>
      <c r="L1912" s="31" t="s">
        <v>202</v>
      </c>
      <c r="N1912" s="31" t="s">
        <v>204</v>
      </c>
      <c r="R1912" s="31" t="s">
        <v>207</v>
      </c>
    </row>
    <row r="1913">
      <c r="A1913" s="29">
        <v>45956.84056678241</v>
      </c>
      <c r="B1913" s="30">
        <v>45956.0</v>
      </c>
      <c r="C1913" s="31" t="s">
        <v>5913</v>
      </c>
      <c r="D1913" s="32" t="s">
        <v>5914</v>
      </c>
      <c r="E1913" s="31" t="s">
        <v>335</v>
      </c>
      <c r="F1913" s="31">
        <v>9600000.0</v>
      </c>
      <c r="G1913" s="31" t="s">
        <v>23</v>
      </c>
      <c r="H1913" s="31">
        <v>3000000.0</v>
      </c>
      <c r="I1913" s="31" t="s">
        <v>200</v>
      </c>
      <c r="K1913" s="33" t="s">
        <v>5915</v>
      </c>
      <c r="L1913" s="31" t="s">
        <v>252</v>
      </c>
      <c r="M1913" s="31" t="s">
        <v>203</v>
      </c>
      <c r="O1913" s="31" t="s">
        <v>257</v>
      </c>
      <c r="P1913" s="31" t="s">
        <v>258</v>
      </c>
    </row>
    <row r="1914">
      <c r="A1914" s="29">
        <v>45956.86986909722</v>
      </c>
      <c r="B1914" s="30">
        <v>45956.0</v>
      </c>
      <c r="C1914" s="31" t="s">
        <v>5916</v>
      </c>
      <c r="D1914" s="31">
        <v>8.5338528099E10</v>
      </c>
      <c r="E1914" s="31" t="s">
        <v>288</v>
      </c>
      <c r="F1914" s="34">
        <v>4000.0</v>
      </c>
      <c r="G1914" s="31" t="s">
        <v>23</v>
      </c>
      <c r="I1914" s="31" t="s">
        <v>229</v>
      </c>
      <c r="J1914" s="31" t="s">
        <v>967</v>
      </c>
      <c r="K1914" s="33" t="s">
        <v>5917</v>
      </c>
      <c r="L1914" s="31" t="s">
        <v>202</v>
      </c>
      <c r="N1914" s="31" t="s">
        <v>204</v>
      </c>
      <c r="R1914" s="31" t="s">
        <v>167</v>
      </c>
    </row>
    <row r="1915">
      <c r="A1915" s="29">
        <v>45956.87140888889</v>
      </c>
      <c r="B1915" s="30">
        <v>45956.0</v>
      </c>
      <c r="C1915" s="31" t="s">
        <v>5918</v>
      </c>
      <c r="D1915" s="32" t="s">
        <v>5919</v>
      </c>
      <c r="E1915" s="31" t="s">
        <v>43</v>
      </c>
      <c r="F1915" s="34">
        <v>3000.0</v>
      </c>
      <c r="G1915" s="31" t="s">
        <v>23</v>
      </c>
      <c r="I1915" s="31" t="s">
        <v>229</v>
      </c>
      <c r="J1915" s="31" t="s">
        <v>967</v>
      </c>
      <c r="K1915" s="33" t="s">
        <v>5920</v>
      </c>
      <c r="L1915" s="31" t="s">
        <v>202</v>
      </c>
      <c r="N1915" s="31" t="s">
        <v>204</v>
      </c>
      <c r="R1915" s="31" t="s">
        <v>167</v>
      </c>
    </row>
    <row r="1916">
      <c r="A1916" s="29">
        <v>45956.927719837964</v>
      </c>
      <c r="B1916" s="30">
        <v>45956.0</v>
      </c>
      <c r="C1916" s="31" t="s">
        <v>5921</v>
      </c>
      <c r="D1916" s="32" t="s">
        <v>5922</v>
      </c>
      <c r="E1916" s="31" t="s">
        <v>43</v>
      </c>
      <c r="F1916" s="34">
        <v>3000.0</v>
      </c>
      <c r="G1916" s="31" t="s">
        <v>23</v>
      </c>
      <c r="I1916" s="31" t="s">
        <v>229</v>
      </c>
      <c r="J1916" s="31" t="s">
        <v>967</v>
      </c>
      <c r="K1916" s="33" t="s">
        <v>5923</v>
      </c>
      <c r="L1916" s="31" t="s">
        <v>202</v>
      </c>
      <c r="N1916" s="31" t="s">
        <v>204</v>
      </c>
      <c r="R1916" s="31" t="s">
        <v>167</v>
      </c>
    </row>
    <row r="1917">
      <c r="A1917" s="29">
        <v>45956.95144202546</v>
      </c>
      <c r="B1917" s="30">
        <v>45956.0</v>
      </c>
      <c r="C1917" s="31" t="s">
        <v>5924</v>
      </c>
      <c r="D1917" s="32" t="s">
        <v>162</v>
      </c>
      <c r="E1917" s="31" t="s">
        <v>43</v>
      </c>
      <c r="F1917" s="34">
        <v>3000.0</v>
      </c>
      <c r="G1917" s="31" t="s">
        <v>23</v>
      </c>
      <c r="I1917" s="31" t="s">
        <v>229</v>
      </c>
      <c r="J1917" s="31" t="s">
        <v>967</v>
      </c>
      <c r="K1917" s="33" t="s">
        <v>5925</v>
      </c>
      <c r="L1917" s="31" t="s">
        <v>202</v>
      </c>
      <c r="N1917" s="31" t="s">
        <v>204</v>
      </c>
      <c r="R1917" s="31" t="s">
        <v>167</v>
      </c>
    </row>
    <row r="1918">
      <c r="A1918" s="29">
        <v>45956.959246620376</v>
      </c>
      <c r="B1918" s="30">
        <v>45956.0</v>
      </c>
      <c r="C1918" s="31" t="s">
        <v>1291</v>
      </c>
      <c r="D1918" s="32" t="s">
        <v>738</v>
      </c>
      <c r="E1918" s="31" t="s">
        <v>43</v>
      </c>
      <c r="F1918" s="34">
        <v>4000.0</v>
      </c>
      <c r="G1918" s="31" t="s">
        <v>23</v>
      </c>
      <c r="I1918" s="31" t="s">
        <v>229</v>
      </c>
      <c r="J1918" s="31" t="s">
        <v>967</v>
      </c>
      <c r="K1918" s="33" t="s">
        <v>5926</v>
      </c>
      <c r="L1918" s="31" t="s">
        <v>202</v>
      </c>
      <c r="N1918" s="31" t="s">
        <v>204</v>
      </c>
      <c r="R1918" s="31" t="s">
        <v>167</v>
      </c>
    </row>
    <row r="1919">
      <c r="A1919" s="29">
        <v>45957.403913483795</v>
      </c>
      <c r="B1919" s="30">
        <v>45957.0</v>
      </c>
      <c r="C1919" s="31" t="s">
        <v>5927</v>
      </c>
      <c r="D1919" s="32" t="s">
        <v>5928</v>
      </c>
      <c r="E1919" s="31" t="s">
        <v>228</v>
      </c>
      <c r="F1919" s="31">
        <v>3000000.0</v>
      </c>
      <c r="G1919" s="31" t="s">
        <v>23</v>
      </c>
      <c r="I1919" s="31" t="s">
        <v>229</v>
      </c>
      <c r="J1919" s="31" t="s">
        <v>229</v>
      </c>
      <c r="K1919" s="33" t="s">
        <v>5929</v>
      </c>
      <c r="L1919" s="31" t="s">
        <v>252</v>
      </c>
      <c r="O1919" s="31" t="s">
        <v>205</v>
      </c>
      <c r="X1919" s="31" t="s">
        <v>253</v>
      </c>
    </row>
    <row r="1920">
      <c r="A1920" s="29">
        <v>45957.471182939815</v>
      </c>
      <c r="B1920" s="30">
        <v>45957.0</v>
      </c>
      <c r="C1920" s="31" t="s">
        <v>5930</v>
      </c>
      <c r="D1920" s="32" t="s">
        <v>5931</v>
      </c>
      <c r="E1920" s="31" t="s">
        <v>31</v>
      </c>
      <c r="F1920" s="31">
        <v>5400000.0</v>
      </c>
      <c r="G1920" s="31" t="s">
        <v>23</v>
      </c>
      <c r="I1920" s="31" t="s">
        <v>229</v>
      </c>
      <c r="J1920" s="31" t="s">
        <v>967</v>
      </c>
      <c r="K1920" s="33" t="s">
        <v>5932</v>
      </c>
      <c r="L1920" s="31" t="s">
        <v>202</v>
      </c>
      <c r="N1920" s="31" t="s">
        <v>204</v>
      </c>
      <c r="R1920" s="31" t="s">
        <v>207</v>
      </c>
    </row>
    <row r="1921">
      <c r="A1921" s="29">
        <v>45957.500883726854</v>
      </c>
      <c r="B1921" s="30">
        <v>45957.0</v>
      </c>
      <c r="C1921" s="31" t="s">
        <v>5933</v>
      </c>
      <c r="D1921" s="32" t="s">
        <v>5934</v>
      </c>
      <c r="E1921" s="31" t="s">
        <v>43</v>
      </c>
      <c r="F1921" s="31">
        <v>7200000.0</v>
      </c>
      <c r="G1921" s="31" t="s">
        <v>23</v>
      </c>
      <c r="I1921" s="31" t="s">
        <v>229</v>
      </c>
      <c r="J1921" s="31" t="s">
        <v>967</v>
      </c>
      <c r="K1921" s="33" t="s">
        <v>5935</v>
      </c>
      <c r="L1921" s="31" t="s">
        <v>202</v>
      </c>
      <c r="N1921" s="31" t="s">
        <v>313</v>
      </c>
      <c r="T1921" s="31" t="s">
        <v>314</v>
      </c>
    </row>
    <row r="1922">
      <c r="A1922" s="29">
        <v>45957.509579351856</v>
      </c>
      <c r="B1922" s="30">
        <v>45957.0</v>
      </c>
      <c r="C1922" s="31" t="s">
        <v>5936</v>
      </c>
      <c r="D1922" s="32" t="s">
        <v>5937</v>
      </c>
      <c r="E1922" s="31" t="s">
        <v>43</v>
      </c>
      <c r="F1922" s="31">
        <v>5000000.0</v>
      </c>
      <c r="G1922" s="31" t="s">
        <v>23</v>
      </c>
      <c r="H1922" s="31">
        <v>3000000.0</v>
      </c>
      <c r="I1922" s="31" t="s">
        <v>200</v>
      </c>
      <c r="K1922" s="31" t="s">
        <v>5938</v>
      </c>
      <c r="L1922" s="31" t="s">
        <v>202</v>
      </c>
      <c r="M1922" s="31" t="s">
        <v>203</v>
      </c>
      <c r="N1922" s="31" t="s">
        <v>220</v>
      </c>
      <c r="S1922" s="31" t="s">
        <v>124</v>
      </c>
    </row>
    <row r="1923">
      <c r="A1923" s="29">
        <v>45957.538429004635</v>
      </c>
      <c r="B1923" s="30">
        <v>45957.0</v>
      </c>
      <c r="C1923" s="31" t="s">
        <v>5939</v>
      </c>
      <c r="D1923" s="32" t="s">
        <v>5940</v>
      </c>
      <c r="E1923" s="31" t="s">
        <v>43</v>
      </c>
      <c r="F1923" s="31">
        <v>3000000.0</v>
      </c>
      <c r="G1923" s="31" t="s">
        <v>23</v>
      </c>
      <c r="H1923" s="31">
        <v>3000000.0</v>
      </c>
      <c r="I1923" s="31" t="s">
        <v>200</v>
      </c>
      <c r="K1923" s="33" t="s">
        <v>5941</v>
      </c>
      <c r="L1923" s="31" t="s">
        <v>252</v>
      </c>
      <c r="M1923" s="31" t="s">
        <v>203</v>
      </c>
      <c r="O1923" s="31" t="s">
        <v>205</v>
      </c>
      <c r="X1923" s="31" t="s">
        <v>253</v>
      </c>
    </row>
    <row r="1924">
      <c r="A1924" s="29">
        <v>45957.54271006944</v>
      </c>
      <c r="B1924" s="30">
        <v>45957.0</v>
      </c>
      <c r="C1924" s="31" t="s">
        <v>5942</v>
      </c>
      <c r="D1924" s="32" t="s">
        <v>5943</v>
      </c>
      <c r="E1924" s="31" t="s">
        <v>199</v>
      </c>
      <c r="F1924" s="31">
        <v>5400000.0</v>
      </c>
      <c r="G1924" s="31" t="s">
        <v>45</v>
      </c>
      <c r="I1924" s="31" t="s">
        <v>229</v>
      </c>
      <c r="J1924" s="31" t="s">
        <v>967</v>
      </c>
      <c r="K1924" s="33" t="s">
        <v>5944</v>
      </c>
      <c r="L1924" s="31" t="s">
        <v>252</v>
      </c>
      <c r="O1924" s="31" t="s">
        <v>205</v>
      </c>
      <c r="X1924" s="31" t="s">
        <v>2335</v>
      </c>
    </row>
    <row r="1925">
      <c r="A1925" s="29">
        <v>45957.548997060185</v>
      </c>
      <c r="B1925" s="30">
        <v>45957.0</v>
      </c>
      <c r="C1925" s="31" t="s">
        <v>5945</v>
      </c>
      <c r="D1925" s="32" t="s">
        <v>5946</v>
      </c>
      <c r="E1925" s="31" t="s">
        <v>199</v>
      </c>
      <c r="F1925" s="31">
        <v>5800000.0</v>
      </c>
      <c r="G1925" s="31" t="s">
        <v>45</v>
      </c>
      <c r="H1925" s="31">
        <v>2.0E7</v>
      </c>
      <c r="I1925" s="31" t="s">
        <v>413</v>
      </c>
      <c r="K1925" s="33" t="s">
        <v>5947</v>
      </c>
      <c r="L1925" s="31" t="s">
        <v>202</v>
      </c>
      <c r="M1925" s="31" t="s">
        <v>605</v>
      </c>
      <c r="N1925" s="31" t="s">
        <v>204</v>
      </c>
      <c r="R1925" s="31" t="s">
        <v>5256</v>
      </c>
    </row>
    <row r="1926">
      <c r="A1926" s="29">
        <v>45957.55167537037</v>
      </c>
      <c r="B1926" s="30">
        <v>45957.0</v>
      </c>
      <c r="C1926" s="31" t="s">
        <v>5948</v>
      </c>
      <c r="D1926" s="32" t="s">
        <v>5547</v>
      </c>
      <c r="E1926" s="31" t="s">
        <v>43</v>
      </c>
      <c r="F1926" s="31">
        <v>3000000.0</v>
      </c>
      <c r="G1926" s="31" t="s">
        <v>23</v>
      </c>
      <c r="H1926" s="31">
        <v>1600000.0</v>
      </c>
      <c r="I1926" s="31" t="s">
        <v>413</v>
      </c>
      <c r="K1926" s="33" t="s">
        <v>5949</v>
      </c>
      <c r="L1926" s="31" t="s">
        <v>202</v>
      </c>
      <c r="M1926" s="31" t="s">
        <v>5638</v>
      </c>
      <c r="N1926" s="31" t="s">
        <v>204</v>
      </c>
      <c r="R1926" s="31" t="s">
        <v>5256</v>
      </c>
    </row>
    <row r="1927">
      <c r="A1927" s="29">
        <v>45957.59705523148</v>
      </c>
      <c r="B1927" s="30">
        <v>45957.0</v>
      </c>
      <c r="C1927" s="31" t="s">
        <v>5950</v>
      </c>
      <c r="D1927" s="32" t="s">
        <v>5951</v>
      </c>
      <c r="E1927" s="31" t="s">
        <v>31</v>
      </c>
      <c r="F1927" s="31">
        <v>3000000.0</v>
      </c>
      <c r="G1927" s="31" t="s">
        <v>23</v>
      </c>
      <c r="H1927" s="31">
        <v>3000000.0</v>
      </c>
      <c r="I1927" s="31" t="s">
        <v>200</v>
      </c>
      <c r="K1927" s="33" t="s">
        <v>5952</v>
      </c>
      <c r="L1927" s="31" t="s">
        <v>202</v>
      </c>
      <c r="M1927" s="31" t="s">
        <v>203</v>
      </c>
      <c r="N1927" s="31" t="s">
        <v>215</v>
      </c>
      <c r="W1927" s="31" t="s">
        <v>216</v>
      </c>
    </row>
    <row r="1928">
      <c r="A1928" s="29">
        <v>45957.61622733796</v>
      </c>
      <c r="B1928" s="30">
        <v>45957.0</v>
      </c>
      <c r="C1928" s="31" t="s">
        <v>5953</v>
      </c>
      <c r="D1928" s="32" t="s">
        <v>5954</v>
      </c>
      <c r="E1928" s="31" t="s">
        <v>43</v>
      </c>
      <c r="F1928" s="31">
        <v>2000000.0</v>
      </c>
      <c r="G1928" s="31" t="s">
        <v>23</v>
      </c>
      <c r="I1928" s="31" t="s">
        <v>229</v>
      </c>
      <c r="J1928" s="31" t="s">
        <v>967</v>
      </c>
      <c r="K1928" s="33" t="s">
        <v>5955</v>
      </c>
      <c r="L1928" s="31" t="s">
        <v>252</v>
      </c>
      <c r="O1928" s="31" t="s">
        <v>257</v>
      </c>
      <c r="P1928" s="31" t="s">
        <v>2453</v>
      </c>
    </row>
    <row r="1929">
      <c r="A1929" s="29">
        <v>45957.62556461805</v>
      </c>
      <c r="B1929" s="30">
        <v>45957.0</v>
      </c>
      <c r="C1929" s="31" t="s">
        <v>5956</v>
      </c>
      <c r="D1929" s="31">
        <v>8.2359274045E10</v>
      </c>
      <c r="E1929" s="31" t="s">
        <v>43</v>
      </c>
      <c r="F1929" s="31">
        <v>1000000.0</v>
      </c>
      <c r="G1929" s="31" t="s">
        <v>23</v>
      </c>
      <c r="H1929" s="31">
        <v>3000000.0</v>
      </c>
      <c r="I1929" s="31" t="s">
        <v>413</v>
      </c>
      <c r="K1929" s="33" t="s">
        <v>5957</v>
      </c>
      <c r="L1929" s="31" t="s">
        <v>202</v>
      </c>
      <c r="M1929" s="31" t="s">
        <v>5638</v>
      </c>
      <c r="N1929" s="31" t="s">
        <v>313</v>
      </c>
      <c r="T1929" s="31" t="s">
        <v>314</v>
      </c>
    </row>
    <row r="1930">
      <c r="A1930" s="29">
        <v>45957.63943510417</v>
      </c>
      <c r="B1930" s="30">
        <v>45957.0</v>
      </c>
      <c r="C1930" s="31" t="s">
        <v>5930</v>
      </c>
      <c r="D1930" s="32" t="s">
        <v>5931</v>
      </c>
      <c r="E1930" s="31" t="s">
        <v>31</v>
      </c>
      <c r="F1930" s="31">
        <v>5999000.0</v>
      </c>
      <c r="G1930" s="31" t="s">
        <v>23</v>
      </c>
      <c r="H1930" s="31">
        <v>3000000.0</v>
      </c>
      <c r="I1930" s="31" t="s">
        <v>200</v>
      </c>
      <c r="K1930" s="33" t="s">
        <v>5958</v>
      </c>
      <c r="L1930" s="31" t="s">
        <v>202</v>
      </c>
      <c r="M1930" s="31" t="s">
        <v>203</v>
      </c>
      <c r="N1930" s="31" t="s">
        <v>204</v>
      </c>
      <c r="R1930" s="31" t="s">
        <v>207</v>
      </c>
    </row>
    <row r="1931">
      <c r="A1931" s="29">
        <v>45957.656846956015</v>
      </c>
      <c r="B1931" s="30">
        <v>45957.0</v>
      </c>
      <c r="C1931" s="31" t="s">
        <v>5959</v>
      </c>
      <c r="D1931" s="32" t="s">
        <v>5960</v>
      </c>
      <c r="E1931" s="31" t="s">
        <v>43</v>
      </c>
      <c r="F1931" s="31">
        <v>7000000.0</v>
      </c>
      <c r="G1931" s="31" t="s">
        <v>45</v>
      </c>
      <c r="H1931" s="31">
        <v>3000000.0</v>
      </c>
      <c r="I1931" s="31" t="s">
        <v>200</v>
      </c>
      <c r="K1931" s="33" t="s">
        <v>5961</v>
      </c>
      <c r="L1931" s="31" t="s">
        <v>252</v>
      </c>
      <c r="M1931" s="31" t="s">
        <v>203</v>
      </c>
      <c r="O1931" s="31" t="s">
        <v>257</v>
      </c>
      <c r="P1931" s="31" t="s">
        <v>1555</v>
      </c>
    </row>
    <row r="1932">
      <c r="A1932" s="29">
        <v>45957.68003960648</v>
      </c>
      <c r="B1932" s="30">
        <v>45957.0</v>
      </c>
      <c r="C1932" s="31" t="s">
        <v>5962</v>
      </c>
      <c r="D1932" s="32" t="s">
        <v>5963</v>
      </c>
      <c r="E1932" s="31" t="s">
        <v>199</v>
      </c>
      <c r="F1932" s="31">
        <v>8000000.0</v>
      </c>
      <c r="G1932" s="31" t="s">
        <v>45</v>
      </c>
      <c r="I1932" s="31" t="s">
        <v>229</v>
      </c>
      <c r="J1932" s="31" t="s">
        <v>967</v>
      </c>
      <c r="K1932" s="33" t="s">
        <v>5964</v>
      </c>
      <c r="L1932" s="31" t="s">
        <v>252</v>
      </c>
      <c r="O1932" s="31" t="s">
        <v>257</v>
      </c>
      <c r="P1932" s="31" t="s">
        <v>272</v>
      </c>
    </row>
    <row r="1933">
      <c r="A1933" s="29">
        <v>45957.69235400463</v>
      </c>
      <c r="B1933" s="30">
        <v>45957.0</v>
      </c>
      <c r="C1933" s="31" t="s">
        <v>5965</v>
      </c>
      <c r="D1933" s="32" t="s">
        <v>5966</v>
      </c>
      <c r="E1933" s="31" t="s">
        <v>2902</v>
      </c>
      <c r="F1933" s="31">
        <v>5500000.0</v>
      </c>
      <c r="G1933" s="31" t="s">
        <v>23</v>
      </c>
      <c r="I1933" s="31" t="s">
        <v>229</v>
      </c>
      <c r="J1933" s="31" t="s">
        <v>967</v>
      </c>
      <c r="K1933" s="33" t="s">
        <v>5967</v>
      </c>
      <c r="L1933" s="31" t="s">
        <v>202</v>
      </c>
      <c r="N1933" s="31" t="s">
        <v>220</v>
      </c>
      <c r="S1933" s="31" t="s">
        <v>36</v>
      </c>
    </row>
    <row r="1934">
      <c r="A1934" s="29">
        <v>45957.729815439816</v>
      </c>
      <c r="B1934" s="30">
        <v>45957.0</v>
      </c>
      <c r="C1934" s="31" t="s">
        <v>5968</v>
      </c>
      <c r="D1934" s="32" t="s">
        <v>5969</v>
      </c>
      <c r="E1934" s="31" t="s">
        <v>31</v>
      </c>
      <c r="F1934" s="31">
        <v>5999000.0</v>
      </c>
      <c r="G1934" s="31" t="s">
        <v>23</v>
      </c>
      <c r="I1934" s="31" t="s">
        <v>229</v>
      </c>
      <c r="J1934" s="31" t="s">
        <v>967</v>
      </c>
      <c r="K1934" s="33" t="s">
        <v>5970</v>
      </c>
      <c r="L1934" s="31" t="s">
        <v>202</v>
      </c>
      <c r="N1934" s="31" t="s">
        <v>204</v>
      </c>
      <c r="R1934" s="31" t="s">
        <v>207</v>
      </c>
    </row>
    <row r="1935">
      <c r="A1935" s="29">
        <v>45957.76937666666</v>
      </c>
      <c r="B1935" s="30">
        <v>45957.0</v>
      </c>
      <c r="C1935" s="31" t="s">
        <v>5971</v>
      </c>
      <c r="D1935" s="32" t="s">
        <v>5972</v>
      </c>
      <c r="E1935" s="31" t="s">
        <v>127</v>
      </c>
      <c r="F1935" s="31">
        <v>3600000.0</v>
      </c>
      <c r="G1935" s="31" t="s">
        <v>23</v>
      </c>
      <c r="H1935" s="31">
        <v>3000000.0</v>
      </c>
      <c r="I1935" s="31" t="s">
        <v>200</v>
      </c>
      <c r="K1935" s="33" t="s">
        <v>5973</v>
      </c>
      <c r="L1935" s="31" t="s">
        <v>252</v>
      </c>
      <c r="M1935" s="31" t="s">
        <v>203</v>
      </c>
      <c r="O1935" s="31" t="s">
        <v>257</v>
      </c>
      <c r="P1935" s="31" t="s">
        <v>206</v>
      </c>
    </row>
    <row r="1936">
      <c r="A1936" s="29">
        <v>45957.77390189815</v>
      </c>
      <c r="B1936" s="30">
        <v>45957.0</v>
      </c>
      <c r="C1936" s="31" t="s">
        <v>5974</v>
      </c>
      <c r="D1936" s="32" t="s">
        <v>5975</v>
      </c>
      <c r="E1936" s="31" t="s">
        <v>228</v>
      </c>
      <c r="F1936" s="31">
        <v>6000000.0</v>
      </c>
      <c r="G1936" s="31" t="s">
        <v>23</v>
      </c>
      <c r="I1936" s="31" t="s">
        <v>229</v>
      </c>
      <c r="J1936" s="31" t="s">
        <v>967</v>
      </c>
      <c r="K1936" s="33" t="s">
        <v>5976</v>
      </c>
      <c r="L1936" s="31" t="s">
        <v>202</v>
      </c>
      <c r="N1936" s="31" t="s">
        <v>220</v>
      </c>
      <c r="S1936" s="31" t="s">
        <v>1406</v>
      </c>
    </row>
    <row r="1937">
      <c r="A1937" s="29">
        <v>45957.79636890047</v>
      </c>
      <c r="B1937" s="30">
        <v>45957.0</v>
      </c>
      <c r="C1937" s="31" t="s">
        <v>5977</v>
      </c>
      <c r="D1937" s="32" t="s">
        <v>5978</v>
      </c>
      <c r="E1937" s="31" t="s">
        <v>43</v>
      </c>
      <c r="F1937" s="31">
        <v>5000000.0</v>
      </c>
      <c r="G1937" s="31" t="s">
        <v>45</v>
      </c>
      <c r="H1937" s="31">
        <v>1.5E7</v>
      </c>
      <c r="I1937" s="31" t="s">
        <v>413</v>
      </c>
      <c r="K1937" s="33" t="s">
        <v>5979</v>
      </c>
      <c r="L1937" s="31" t="s">
        <v>202</v>
      </c>
      <c r="M1937" s="31" t="s">
        <v>605</v>
      </c>
      <c r="N1937" s="31" t="s">
        <v>204</v>
      </c>
      <c r="R1937" s="31" t="s">
        <v>892</v>
      </c>
    </row>
    <row r="1938">
      <c r="A1938" s="29">
        <v>45957.79694561343</v>
      </c>
      <c r="B1938" s="30">
        <v>45957.0</v>
      </c>
      <c r="C1938" s="31" t="s">
        <v>5980</v>
      </c>
      <c r="D1938" s="32" t="s">
        <v>5981</v>
      </c>
      <c r="E1938" s="31" t="s">
        <v>228</v>
      </c>
      <c r="F1938" s="31">
        <v>3500000.0</v>
      </c>
      <c r="G1938" s="31" t="s">
        <v>23</v>
      </c>
      <c r="I1938" s="31" t="s">
        <v>229</v>
      </c>
      <c r="J1938" s="31" t="s">
        <v>967</v>
      </c>
      <c r="K1938" s="33" t="s">
        <v>5982</v>
      </c>
      <c r="L1938" s="31" t="s">
        <v>202</v>
      </c>
      <c r="N1938" s="31" t="s">
        <v>220</v>
      </c>
      <c r="S1938" s="31" t="s">
        <v>59</v>
      </c>
    </row>
    <row r="1939">
      <c r="A1939" s="29">
        <v>45957.80086988426</v>
      </c>
      <c r="B1939" s="30">
        <v>45957.0</v>
      </c>
      <c r="C1939" s="31" t="s">
        <v>5983</v>
      </c>
      <c r="D1939" s="32" t="s">
        <v>5984</v>
      </c>
      <c r="E1939" s="31" t="s">
        <v>43</v>
      </c>
      <c r="F1939" s="31">
        <v>3600000.0</v>
      </c>
      <c r="G1939" s="31" t="s">
        <v>23</v>
      </c>
      <c r="I1939" s="31" t="s">
        <v>229</v>
      </c>
      <c r="J1939" s="31" t="s">
        <v>967</v>
      </c>
      <c r="K1939" s="33" t="s">
        <v>5985</v>
      </c>
      <c r="L1939" s="31" t="s">
        <v>202</v>
      </c>
      <c r="N1939" s="31" t="s">
        <v>220</v>
      </c>
      <c r="S1939" s="31" t="s">
        <v>36</v>
      </c>
    </row>
    <row r="1940">
      <c r="A1940" s="29">
        <v>45957.80402034722</v>
      </c>
      <c r="B1940" s="30">
        <v>45957.0</v>
      </c>
      <c r="C1940" s="31" t="s">
        <v>5986</v>
      </c>
      <c r="D1940" s="32" t="s">
        <v>907</v>
      </c>
      <c r="E1940" s="31" t="s">
        <v>31</v>
      </c>
      <c r="F1940" s="31">
        <v>2000000.0</v>
      </c>
      <c r="G1940" s="31" t="s">
        <v>23</v>
      </c>
      <c r="I1940" s="31" t="s">
        <v>229</v>
      </c>
      <c r="J1940" s="31" t="s">
        <v>967</v>
      </c>
      <c r="K1940" s="33" t="s">
        <v>5987</v>
      </c>
      <c r="L1940" s="31" t="s">
        <v>202</v>
      </c>
      <c r="N1940" s="31" t="s">
        <v>215</v>
      </c>
      <c r="W1940" s="31" t="s">
        <v>532</v>
      </c>
    </row>
    <row r="1941">
      <c r="A1941" s="29">
        <v>45957.806113240746</v>
      </c>
      <c r="B1941" s="30">
        <v>45957.0</v>
      </c>
      <c r="C1941" s="31" t="s">
        <v>5988</v>
      </c>
      <c r="D1941" s="32" t="s">
        <v>3714</v>
      </c>
      <c r="E1941" s="31" t="s">
        <v>288</v>
      </c>
      <c r="F1941" s="31">
        <v>1000000.0</v>
      </c>
      <c r="G1941" s="31" t="s">
        <v>23</v>
      </c>
      <c r="I1941" s="31" t="s">
        <v>229</v>
      </c>
      <c r="J1941" s="31" t="s">
        <v>967</v>
      </c>
      <c r="K1941" s="33" t="s">
        <v>5989</v>
      </c>
      <c r="L1941" s="31" t="s">
        <v>202</v>
      </c>
      <c r="N1941" s="31" t="s">
        <v>215</v>
      </c>
      <c r="W1941" s="31" t="s">
        <v>532</v>
      </c>
    </row>
    <row r="1942">
      <c r="A1942" s="29">
        <v>45957.807000636574</v>
      </c>
      <c r="B1942" s="30">
        <v>45957.0</v>
      </c>
      <c r="C1942" s="31" t="s">
        <v>5990</v>
      </c>
      <c r="D1942" s="32" t="s">
        <v>5991</v>
      </c>
      <c r="E1942" s="31" t="s">
        <v>239</v>
      </c>
      <c r="F1942" s="31">
        <v>2000000.0</v>
      </c>
      <c r="G1942" s="31" t="s">
        <v>23</v>
      </c>
      <c r="I1942" s="31" t="s">
        <v>229</v>
      </c>
      <c r="J1942" s="31" t="s">
        <v>967</v>
      </c>
      <c r="K1942" s="33" t="s">
        <v>5992</v>
      </c>
      <c r="L1942" s="31" t="s">
        <v>202</v>
      </c>
      <c r="N1942" s="31" t="s">
        <v>220</v>
      </c>
      <c r="S1942" s="31" t="s">
        <v>913</v>
      </c>
    </row>
    <row r="1943">
      <c r="A1943" s="29">
        <v>45957.81378304398</v>
      </c>
      <c r="B1943" s="30">
        <v>45957.0</v>
      </c>
      <c r="C1943" s="31" t="s">
        <v>5993</v>
      </c>
      <c r="D1943" s="32" t="s">
        <v>5994</v>
      </c>
      <c r="E1943" s="31" t="s">
        <v>31</v>
      </c>
      <c r="F1943" s="31">
        <v>1.0E7</v>
      </c>
      <c r="G1943" s="31" t="s">
        <v>23</v>
      </c>
      <c r="I1943" s="31" t="s">
        <v>229</v>
      </c>
      <c r="J1943" s="31" t="s">
        <v>967</v>
      </c>
      <c r="K1943" s="33" t="s">
        <v>5995</v>
      </c>
      <c r="L1943" s="31" t="s">
        <v>202</v>
      </c>
      <c r="N1943" s="31" t="s">
        <v>204</v>
      </c>
      <c r="R1943" s="31" t="s">
        <v>471</v>
      </c>
    </row>
    <row r="1944">
      <c r="A1944" s="29">
        <v>45957.81890835648</v>
      </c>
      <c r="B1944" s="30">
        <v>45957.0</v>
      </c>
      <c r="C1944" s="31" t="s">
        <v>5996</v>
      </c>
      <c r="D1944" s="31">
        <v>6.282144318763E12</v>
      </c>
      <c r="E1944" s="31" t="s">
        <v>228</v>
      </c>
      <c r="F1944" s="31">
        <v>3000000.0</v>
      </c>
      <c r="G1944" s="31" t="s">
        <v>23</v>
      </c>
      <c r="I1944" s="31" t="s">
        <v>229</v>
      </c>
      <c r="J1944" s="31" t="s">
        <v>967</v>
      </c>
      <c r="K1944" s="33" t="s">
        <v>5997</v>
      </c>
      <c r="L1944" s="31" t="s">
        <v>202</v>
      </c>
      <c r="N1944" s="31" t="s">
        <v>204</v>
      </c>
      <c r="R1944" s="31" t="s">
        <v>360</v>
      </c>
    </row>
    <row r="1945">
      <c r="A1945" s="29">
        <v>45957.82827646991</v>
      </c>
      <c r="B1945" s="30">
        <v>45957.0</v>
      </c>
      <c r="C1945" s="31" t="s">
        <v>5998</v>
      </c>
      <c r="D1945" s="32" t="s">
        <v>5999</v>
      </c>
      <c r="E1945" s="31" t="s">
        <v>43</v>
      </c>
      <c r="F1945" s="31">
        <v>5100000.0</v>
      </c>
      <c r="G1945" s="31" t="s">
        <v>23</v>
      </c>
      <c r="I1945" s="31" t="s">
        <v>229</v>
      </c>
      <c r="J1945" s="31" t="s">
        <v>967</v>
      </c>
      <c r="K1945" s="33" t="s">
        <v>6000</v>
      </c>
      <c r="L1945" s="31" t="s">
        <v>202</v>
      </c>
      <c r="N1945" s="31" t="s">
        <v>220</v>
      </c>
      <c r="S1945" s="31" t="s">
        <v>5670</v>
      </c>
    </row>
    <row r="1946">
      <c r="A1946" s="29">
        <v>45957.83043390047</v>
      </c>
      <c r="B1946" s="30">
        <v>45957.0</v>
      </c>
      <c r="C1946" s="31" t="s">
        <v>6001</v>
      </c>
      <c r="D1946" s="31">
        <v>0.0</v>
      </c>
      <c r="E1946" s="31" t="s">
        <v>43</v>
      </c>
      <c r="F1946" s="34">
        <v>2800.0</v>
      </c>
      <c r="G1946" s="31" t="s">
        <v>23</v>
      </c>
      <c r="I1946" s="31" t="s">
        <v>229</v>
      </c>
      <c r="J1946" s="31" t="s">
        <v>967</v>
      </c>
      <c r="K1946" s="33" t="s">
        <v>6002</v>
      </c>
      <c r="L1946" s="31" t="s">
        <v>202</v>
      </c>
      <c r="N1946" s="31" t="s">
        <v>204</v>
      </c>
      <c r="R1946" s="31" t="s">
        <v>171</v>
      </c>
    </row>
    <row r="1947">
      <c r="A1947" s="29">
        <v>45957.84476841435</v>
      </c>
      <c r="B1947" s="30">
        <v>45957.0</v>
      </c>
      <c r="C1947" s="31" t="s">
        <v>6003</v>
      </c>
      <c r="D1947" s="31">
        <v>6.281217792024E12</v>
      </c>
      <c r="E1947" s="31" t="s">
        <v>288</v>
      </c>
      <c r="F1947" s="31">
        <v>100000.0</v>
      </c>
      <c r="G1947" s="31" t="s">
        <v>23</v>
      </c>
      <c r="I1947" s="31" t="s">
        <v>229</v>
      </c>
      <c r="J1947" s="31" t="s">
        <v>967</v>
      </c>
      <c r="K1947" s="33" t="s">
        <v>6004</v>
      </c>
      <c r="L1947" s="31" t="s">
        <v>202</v>
      </c>
      <c r="N1947" s="31" t="s">
        <v>204</v>
      </c>
      <c r="R1947" s="31" t="s">
        <v>360</v>
      </c>
    </row>
    <row r="1948">
      <c r="A1948" s="29">
        <v>45957.84659252314</v>
      </c>
      <c r="B1948" s="30">
        <v>45957.0</v>
      </c>
      <c r="C1948" s="31" t="s">
        <v>6005</v>
      </c>
      <c r="D1948" s="31">
        <v>6.281928276625E12</v>
      </c>
      <c r="E1948" s="31" t="s">
        <v>228</v>
      </c>
      <c r="F1948" s="31">
        <v>4000000.0</v>
      </c>
      <c r="G1948" s="31" t="s">
        <v>23</v>
      </c>
      <c r="I1948" s="31" t="s">
        <v>229</v>
      </c>
      <c r="J1948" s="31" t="s">
        <v>967</v>
      </c>
      <c r="K1948" s="33" t="s">
        <v>6006</v>
      </c>
      <c r="L1948" s="31" t="s">
        <v>202</v>
      </c>
      <c r="N1948" s="31" t="s">
        <v>204</v>
      </c>
      <c r="R1948" s="31" t="s">
        <v>360</v>
      </c>
    </row>
    <row r="1949">
      <c r="A1949" s="29">
        <v>45957.8479386574</v>
      </c>
      <c r="B1949" s="30">
        <v>45957.0</v>
      </c>
      <c r="C1949" s="31" t="s">
        <v>6007</v>
      </c>
      <c r="D1949" s="31">
        <v>6.281338986997E12</v>
      </c>
      <c r="E1949" s="31" t="s">
        <v>288</v>
      </c>
      <c r="F1949" s="31">
        <v>2500000.0</v>
      </c>
      <c r="G1949" s="31" t="s">
        <v>23</v>
      </c>
      <c r="I1949" s="31" t="s">
        <v>229</v>
      </c>
      <c r="J1949" s="31" t="s">
        <v>967</v>
      </c>
      <c r="K1949" s="33" t="s">
        <v>6008</v>
      </c>
      <c r="L1949" s="31" t="s">
        <v>202</v>
      </c>
      <c r="N1949" s="31" t="s">
        <v>204</v>
      </c>
      <c r="R1949" s="31" t="s">
        <v>360</v>
      </c>
    </row>
    <row r="1950">
      <c r="A1950" s="29">
        <v>45957.85140741898</v>
      </c>
      <c r="B1950" s="30">
        <v>45957.0</v>
      </c>
      <c r="C1950" s="31" t="s">
        <v>6009</v>
      </c>
      <c r="D1950" s="31">
        <v>8.7752464432E10</v>
      </c>
      <c r="E1950" s="31" t="s">
        <v>43</v>
      </c>
      <c r="F1950" s="31">
        <v>4500000.0</v>
      </c>
      <c r="G1950" s="31" t="s">
        <v>45</v>
      </c>
      <c r="I1950" s="31" t="s">
        <v>229</v>
      </c>
      <c r="J1950" s="31" t="s">
        <v>967</v>
      </c>
      <c r="K1950" s="33" t="s">
        <v>6010</v>
      </c>
      <c r="L1950" s="31" t="s">
        <v>202</v>
      </c>
      <c r="N1950" s="31" t="s">
        <v>204</v>
      </c>
      <c r="R1950" s="31" t="s">
        <v>360</v>
      </c>
    </row>
    <row r="1951">
      <c r="A1951" s="29">
        <v>45957.865244872686</v>
      </c>
      <c r="B1951" s="30">
        <v>45957.0</v>
      </c>
      <c r="C1951" s="31" t="s">
        <v>6011</v>
      </c>
      <c r="D1951" s="32" t="s">
        <v>6012</v>
      </c>
      <c r="E1951" s="31" t="s">
        <v>199</v>
      </c>
      <c r="F1951" s="31">
        <v>7100000.0</v>
      </c>
      <c r="G1951" s="31" t="s">
        <v>23</v>
      </c>
      <c r="H1951" s="31">
        <v>3000000.0</v>
      </c>
      <c r="I1951" s="31" t="s">
        <v>200</v>
      </c>
      <c r="K1951" s="33" t="s">
        <v>6013</v>
      </c>
      <c r="L1951" s="31" t="s">
        <v>202</v>
      </c>
      <c r="M1951" s="31" t="s">
        <v>5638</v>
      </c>
      <c r="N1951" s="31" t="s">
        <v>313</v>
      </c>
      <c r="T1951" s="31" t="s">
        <v>329</v>
      </c>
    </row>
    <row r="1952">
      <c r="A1952" s="29">
        <v>45958.385795069444</v>
      </c>
      <c r="B1952" s="30">
        <v>45958.0</v>
      </c>
      <c r="C1952" s="31" t="s">
        <v>6014</v>
      </c>
      <c r="D1952" s="32" t="s">
        <v>6015</v>
      </c>
      <c r="E1952" s="31" t="s">
        <v>239</v>
      </c>
      <c r="F1952" s="31">
        <v>50.0</v>
      </c>
      <c r="G1952" s="31" t="s">
        <v>45</v>
      </c>
      <c r="I1952" s="31" t="s">
        <v>229</v>
      </c>
      <c r="J1952" s="31" t="s">
        <v>967</v>
      </c>
      <c r="K1952" s="33" t="s">
        <v>6016</v>
      </c>
      <c r="L1952" s="31" t="s">
        <v>202</v>
      </c>
      <c r="N1952" s="31" t="s">
        <v>313</v>
      </c>
      <c r="T1952" s="31" t="s">
        <v>4272</v>
      </c>
    </row>
    <row r="1953">
      <c r="A1953" s="29">
        <v>45958.392263229165</v>
      </c>
      <c r="B1953" s="30">
        <v>45958.0</v>
      </c>
      <c r="C1953" s="31" t="s">
        <v>6017</v>
      </c>
      <c r="D1953" s="32" t="s">
        <v>6018</v>
      </c>
      <c r="E1953" s="31" t="s">
        <v>239</v>
      </c>
      <c r="F1953" s="31">
        <v>2500000.0</v>
      </c>
      <c r="G1953" s="31" t="s">
        <v>23</v>
      </c>
      <c r="I1953" s="31" t="s">
        <v>229</v>
      </c>
      <c r="J1953" s="31" t="s">
        <v>967</v>
      </c>
      <c r="K1953" s="33" t="s">
        <v>6019</v>
      </c>
      <c r="L1953" s="31" t="s">
        <v>202</v>
      </c>
      <c r="N1953" s="31" t="s">
        <v>204</v>
      </c>
      <c r="R1953" s="31" t="s">
        <v>148</v>
      </c>
    </row>
    <row r="1954">
      <c r="A1954" s="29">
        <v>45958.40630393519</v>
      </c>
      <c r="B1954" s="30">
        <v>45958.0</v>
      </c>
      <c r="C1954" s="31" t="s">
        <v>6020</v>
      </c>
      <c r="D1954" s="32" t="s">
        <v>6021</v>
      </c>
      <c r="E1954" s="31" t="s">
        <v>43</v>
      </c>
      <c r="F1954" s="31">
        <v>3900000.0</v>
      </c>
      <c r="G1954" s="31" t="s">
        <v>45</v>
      </c>
      <c r="H1954" s="31">
        <v>5000000.0</v>
      </c>
      <c r="I1954" s="31" t="s">
        <v>200</v>
      </c>
      <c r="K1954" s="33" t="s">
        <v>6022</v>
      </c>
      <c r="L1954" s="31" t="s">
        <v>252</v>
      </c>
      <c r="M1954" s="31" t="s">
        <v>5638</v>
      </c>
      <c r="O1954" s="31" t="s">
        <v>257</v>
      </c>
      <c r="P1954" s="31" t="s">
        <v>206</v>
      </c>
    </row>
    <row r="1955">
      <c r="A1955" s="29">
        <v>45958.42541592593</v>
      </c>
      <c r="B1955" s="30">
        <v>45958.0</v>
      </c>
      <c r="C1955" s="31" t="s">
        <v>6023</v>
      </c>
      <c r="D1955" s="31">
        <v>6.28593549761E12</v>
      </c>
      <c r="E1955" s="31" t="s">
        <v>228</v>
      </c>
      <c r="F1955" s="31">
        <v>3500000.0</v>
      </c>
      <c r="G1955" s="31" t="s">
        <v>45</v>
      </c>
      <c r="H1955" s="31">
        <v>7000000.0</v>
      </c>
      <c r="I1955" s="31" t="s">
        <v>413</v>
      </c>
      <c r="K1955" s="33" t="s">
        <v>6024</v>
      </c>
      <c r="L1955" s="31" t="s">
        <v>202</v>
      </c>
      <c r="M1955" s="31" t="s">
        <v>605</v>
      </c>
      <c r="N1955" s="31" t="s">
        <v>204</v>
      </c>
      <c r="R1955" s="31" t="s">
        <v>360</v>
      </c>
    </row>
    <row r="1956">
      <c r="A1956" s="29">
        <v>45958.43588149306</v>
      </c>
      <c r="B1956" s="30">
        <v>45958.0</v>
      </c>
      <c r="C1956" s="31" t="s">
        <v>6025</v>
      </c>
      <c r="D1956" s="32" t="s">
        <v>6026</v>
      </c>
      <c r="E1956" s="31" t="s">
        <v>31</v>
      </c>
      <c r="F1956" s="31">
        <v>6500000.0</v>
      </c>
      <c r="G1956" s="31" t="s">
        <v>23</v>
      </c>
      <c r="H1956" s="31">
        <v>3000000.0</v>
      </c>
      <c r="I1956" s="31" t="s">
        <v>413</v>
      </c>
      <c r="K1956" s="33" t="s">
        <v>6027</v>
      </c>
      <c r="L1956" s="31" t="s">
        <v>202</v>
      </c>
      <c r="M1956" s="31" t="s">
        <v>203</v>
      </c>
      <c r="N1956" s="31" t="s">
        <v>204</v>
      </c>
      <c r="R1956" s="31" t="s">
        <v>148</v>
      </c>
    </row>
    <row r="1957">
      <c r="A1957" s="29">
        <v>45958.44047973379</v>
      </c>
      <c r="B1957" s="30">
        <v>45958.0</v>
      </c>
      <c r="C1957" s="31" t="s">
        <v>6028</v>
      </c>
      <c r="D1957" s="32" t="s">
        <v>6029</v>
      </c>
      <c r="E1957" s="31" t="s">
        <v>6030</v>
      </c>
      <c r="F1957" s="31">
        <v>3500000.0</v>
      </c>
      <c r="G1957" s="31" t="s">
        <v>23</v>
      </c>
      <c r="H1957" s="31">
        <v>7000000.0</v>
      </c>
      <c r="I1957" s="31" t="s">
        <v>413</v>
      </c>
      <c r="K1957" s="33" t="s">
        <v>6031</v>
      </c>
      <c r="L1957" s="31" t="s">
        <v>202</v>
      </c>
      <c r="M1957" s="31" t="s">
        <v>5638</v>
      </c>
      <c r="N1957" s="31" t="s">
        <v>220</v>
      </c>
      <c r="S1957" s="31" t="s">
        <v>896</v>
      </c>
    </row>
    <row r="1958">
      <c r="A1958" s="29">
        <v>45958.45032672454</v>
      </c>
      <c r="B1958" s="30">
        <v>45958.0</v>
      </c>
      <c r="C1958" s="31" t="s">
        <v>6032</v>
      </c>
      <c r="D1958" s="32" t="s">
        <v>6033</v>
      </c>
      <c r="E1958" s="31" t="s">
        <v>31</v>
      </c>
      <c r="F1958" s="31">
        <v>3400000.0</v>
      </c>
      <c r="G1958" s="31" t="s">
        <v>23</v>
      </c>
      <c r="H1958" s="31">
        <v>7000000.0</v>
      </c>
      <c r="I1958" s="31" t="s">
        <v>200</v>
      </c>
      <c r="K1958" s="33" t="s">
        <v>6034</v>
      </c>
      <c r="L1958" s="31" t="s">
        <v>252</v>
      </c>
      <c r="M1958" s="31" t="s">
        <v>203</v>
      </c>
      <c r="O1958" s="31" t="s">
        <v>205</v>
      </c>
      <c r="X1958" s="31" t="s">
        <v>569</v>
      </c>
    </row>
    <row r="1959">
      <c r="A1959" s="29">
        <v>45958.461658506945</v>
      </c>
      <c r="B1959" s="30">
        <v>45958.0</v>
      </c>
      <c r="C1959" s="31" t="s">
        <v>6035</v>
      </c>
      <c r="D1959" s="32" t="s">
        <v>6036</v>
      </c>
      <c r="E1959" s="31" t="s">
        <v>43</v>
      </c>
      <c r="F1959" s="31">
        <v>3200000.0</v>
      </c>
      <c r="G1959" s="31" t="s">
        <v>23</v>
      </c>
      <c r="I1959" s="31" t="s">
        <v>229</v>
      </c>
      <c r="J1959" s="31" t="s">
        <v>967</v>
      </c>
      <c r="K1959" s="33" t="s">
        <v>6037</v>
      </c>
      <c r="L1959" s="31" t="s">
        <v>252</v>
      </c>
      <c r="O1959" s="31" t="s">
        <v>257</v>
      </c>
      <c r="P1959" s="31" t="s">
        <v>2453</v>
      </c>
    </row>
    <row r="1960">
      <c r="A1960" s="29">
        <v>45958.490771909725</v>
      </c>
      <c r="B1960" s="30">
        <v>45958.0</v>
      </c>
      <c r="C1960" s="31" t="s">
        <v>4372</v>
      </c>
      <c r="D1960" s="32" t="s">
        <v>4221</v>
      </c>
      <c r="E1960" s="31" t="s">
        <v>228</v>
      </c>
      <c r="F1960" s="31">
        <v>1800000.0</v>
      </c>
      <c r="G1960" s="31" t="s">
        <v>23</v>
      </c>
      <c r="I1960" s="31" t="s">
        <v>229</v>
      </c>
      <c r="J1960" s="31" t="s">
        <v>967</v>
      </c>
      <c r="K1960" s="33" t="s">
        <v>6038</v>
      </c>
      <c r="L1960" s="31" t="s">
        <v>202</v>
      </c>
      <c r="N1960" s="31" t="s">
        <v>667</v>
      </c>
      <c r="U1960" s="31" t="s">
        <v>3950</v>
      </c>
    </row>
    <row r="1961">
      <c r="A1961" s="29">
        <v>45958.49315833334</v>
      </c>
      <c r="B1961" s="30">
        <v>45958.0</v>
      </c>
      <c r="C1961" s="31" t="s">
        <v>6039</v>
      </c>
      <c r="D1961" s="32" t="s">
        <v>6040</v>
      </c>
      <c r="E1961" s="31" t="s">
        <v>43</v>
      </c>
      <c r="F1961" s="31">
        <v>4300000.0</v>
      </c>
      <c r="G1961" s="31" t="s">
        <v>23</v>
      </c>
      <c r="I1961" s="31" t="s">
        <v>229</v>
      </c>
      <c r="J1961" s="31" t="s">
        <v>967</v>
      </c>
      <c r="K1961" s="33" t="s">
        <v>6041</v>
      </c>
      <c r="L1961" s="31" t="s">
        <v>252</v>
      </c>
      <c r="O1961" s="31" t="s">
        <v>205</v>
      </c>
      <c r="X1961" s="31" t="s">
        <v>716</v>
      </c>
    </row>
    <row r="1962">
      <c r="A1962" s="29">
        <v>45958.49346625</v>
      </c>
      <c r="B1962" s="30">
        <v>45958.0</v>
      </c>
      <c r="C1962" s="31" t="s">
        <v>6042</v>
      </c>
      <c r="D1962" s="32" t="s">
        <v>6043</v>
      </c>
      <c r="E1962" s="31" t="s">
        <v>288</v>
      </c>
      <c r="F1962" s="31">
        <v>1000000.0</v>
      </c>
      <c r="G1962" s="31" t="s">
        <v>23</v>
      </c>
      <c r="I1962" s="31" t="s">
        <v>229</v>
      </c>
      <c r="J1962" s="31" t="s">
        <v>967</v>
      </c>
      <c r="K1962" s="33" t="s">
        <v>6044</v>
      </c>
      <c r="L1962" s="31" t="s">
        <v>252</v>
      </c>
      <c r="O1962" s="31" t="s">
        <v>205</v>
      </c>
      <c r="X1962" s="31" t="s">
        <v>1471</v>
      </c>
    </row>
    <row r="1963">
      <c r="A1963" s="29">
        <v>45958.50294890047</v>
      </c>
      <c r="B1963" s="30">
        <v>45958.0</v>
      </c>
      <c r="C1963" s="31" t="s">
        <v>6045</v>
      </c>
      <c r="D1963" s="31">
        <v>0.0</v>
      </c>
      <c r="E1963" s="31" t="s">
        <v>31</v>
      </c>
      <c r="F1963" s="32" t="s">
        <v>3711</v>
      </c>
      <c r="G1963" s="31" t="s">
        <v>23</v>
      </c>
      <c r="I1963" s="31" t="s">
        <v>229</v>
      </c>
      <c r="J1963" s="31" t="s">
        <v>967</v>
      </c>
      <c r="K1963" s="33" t="s">
        <v>6046</v>
      </c>
      <c r="L1963" s="31" t="s">
        <v>252</v>
      </c>
      <c r="O1963" s="31" t="s">
        <v>257</v>
      </c>
      <c r="P1963" s="31" t="s">
        <v>992</v>
      </c>
    </row>
    <row r="1964">
      <c r="A1964" s="29">
        <v>45958.511447893514</v>
      </c>
      <c r="B1964" s="30">
        <v>45958.0</v>
      </c>
      <c r="C1964" s="31" t="s">
        <v>6047</v>
      </c>
      <c r="D1964" s="32" t="s">
        <v>6048</v>
      </c>
      <c r="E1964" s="31" t="s">
        <v>228</v>
      </c>
      <c r="F1964" s="31">
        <v>3000000.0</v>
      </c>
      <c r="G1964" s="31" t="s">
        <v>23</v>
      </c>
      <c r="I1964" s="31" t="s">
        <v>229</v>
      </c>
      <c r="J1964" s="31" t="s">
        <v>967</v>
      </c>
      <c r="K1964" s="33" t="s">
        <v>6049</v>
      </c>
      <c r="L1964" s="31" t="s">
        <v>202</v>
      </c>
      <c r="N1964" s="31" t="s">
        <v>204</v>
      </c>
      <c r="R1964" s="31" t="s">
        <v>892</v>
      </c>
    </row>
    <row r="1965">
      <c r="A1965" s="29">
        <v>45958.52217884259</v>
      </c>
      <c r="B1965" s="30">
        <v>45958.0</v>
      </c>
      <c r="C1965" s="31" t="s">
        <v>6050</v>
      </c>
      <c r="D1965" s="32" t="s">
        <v>6051</v>
      </c>
      <c r="E1965" s="31" t="s">
        <v>2902</v>
      </c>
      <c r="F1965" s="31">
        <v>5700000.0</v>
      </c>
      <c r="G1965" s="31" t="s">
        <v>23</v>
      </c>
      <c r="I1965" s="31" t="s">
        <v>229</v>
      </c>
      <c r="J1965" s="31" t="s">
        <v>967</v>
      </c>
      <c r="K1965" s="33" t="s">
        <v>6052</v>
      </c>
      <c r="L1965" s="31" t="s">
        <v>202</v>
      </c>
      <c r="N1965" s="31" t="s">
        <v>220</v>
      </c>
      <c r="S1965" s="31" t="s">
        <v>36</v>
      </c>
    </row>
    <row r="1966">
      <c r="A1966" s="29">
        <v>45958.52681674769</v>
      </c>
      <c r="B1966" s="30">
        <v>45958.0</v>
      </c>
      <c r="C1966" s="31" t="s">
        <v>6053</v>
      </c>
      <c r="D1966" s="32" t="s">
        <v>6054</v>
      </c>
      <c r="E1966" s="31" t="s">
        <v>43</v>
      </c>
      <c r="F1966" s="31">
        <v>3000000.0</v>
      </c>
      <c r="G1966" s="31" t="s">
        <v>23</v>
      </c>
      <c r="H1966" s="31">
        <v>7000000.0</v>
      </c>
      <c r="I1966" s="31" t="s">
        <v>413</v>
      </c>
      <c r="K1966" s="33" t="s">
        <v>6055</v>
      </c>
      <c r="L1966" s="31" t="s">
        <v>202</v>
      </c>
      <c r="M1966" s="31" t="s">
        <v>5638</v>
      </c>
      <c r="N1966" s="31" t="s">
        <v>220</v>
      </c>
      <c r="S1966" s="31" t="s">
        <v>5512</v>
      </c>
    </row>
    <row r="1967">
      <c r="A1967" s="29">
        <v>45958.53404240741</v>
      </c>
      <c r="B1967" s="30">
        <v>45958.0</v>
      </c>
      <c r="C1967" s="31" t="s">
        <v>6056</v>
      </c>
      <c r="D1967" s="32" t="s">
        <v>6057</v>
      </c>
      <c r="E1967" s="31" t="s">
        <v>31</v>
      </c>
      <c r="F1967" s="31">
        <v>3100000.0</v>
      </c>
      <c r="G1967" s="31" t="s">
        <v>23</v>
      </c>
      <c r="I1967" s="31" t="s">
        <v>229</v>
      </c>
      <c r="J1967" s="31" t="s">
        <v>165</v>
      </c>
      <c r="K1967" s="33" t="s">
        <v>6058</v>
      </c>
      <c r="L1967" s="31" t="s">
        <v>252</v>
      </c>
      <c r="O1967" s="31" t="s">
        <v>205</v>
      </c>
      <c r="X1967" s="31" t="s">
        <v>452</v>
      </c>
    </row>
    <row r="1968">
      <c r="A1968" s="29">
        <v>45958.54365716435</v>
      </c>
      <c r="B1968" s="30">
        <v>45958.0</v>
      </c>
      <c r="C1968" s="31" t="s">
        <v>6059</v>
      </c>
      <c r="D1968" s="32" t="s">
        <v>6060</v>
      </c>
      <c r="E1968" s="31" t="s">
        <v>199</v>
      </c>
      <c r="F1968" s="31">
        <v>5200000.0</v>
      </c>
      <c r="G1968" s="31" t="s">
        <v>45</v>
      </c>
      <c r="H1968" s="31">
        <v>7000000.0</v>
      </c>
      <c r="I1968" s="31" t="s">
        <v>200</v>
      </c>
      <c r="K1968" s="33" t="s">
        <v>6061</v>
      </c>
      <c r="L1968" s="31" t="s">
        <v>202</v>
      </c>
      <c r="M1968" s="31" t="s">
        <v>926</v>
      </c>
      <c r="N1968" s="31" t="s">
        <v>204</v>
      </c>
      <c r="R1968" s="31" t="s">
        <v>207</v>
      </c>
    </row>
    <row r="1969">
      <c r="A1969" s="29">
        <v>45958.55217991898</v>
      </c>
      <c r="B1969" s="30">
        <v>45958.0</v>
      </c>
      <c r="C1969" s="31" t="s">
        <v>6062</v>
      </c>
      <c r="D1969" s="32" t="s">
        <v>6063</v>
      </c>
      <c r="E1969" s="31" t="s">
        <v>239</v>
      </c>
      <c r="F1969" s="31">
        <v>50.0</v>
      </c>
      <c r="G1969" s="31" t="s">
        <v>45</v>
      </c>
      <c r="I1969" s="31" t="s">
        <v>229</v>
      </c>
      <c r="J1969" s="31" t="s">
        <v>967</v>
      </c>
      <c r="K1969" s="33" t="s">
        <v>6064</v>
      </c>
      <c r="L1969" s="31" t="s">
        <v>202</v>
      </c>
      <c r="N1969" s="31" t="s">
        <v>313</v>
      </c>
      <c r="T1969" s="31" t="s">
        <v>4272</v>
      </c>
    </row>
    <row r="1970">
      <c r="A1970" s="29">
        <v>45958.554758495375</v>
      </c>
      <c r="B1970" s="30">
        <v>45958.0</v>
      </c>
      <c r="C1970" s="31" t="s">
        <v>6065</v>
      </c>
      <c r="D1970" s="32" t="s">
        <v>6066</v>
      </c>
      <c r="E1970" s="31" t="s">
        <v>239</v>
      </c>
      <c r="F1970" s="31">
        <v>50.0</v>
      </c>
      <c r="G1970" s="31" t="s">
        <v>23</v>
      </c>
      <c r="I1970" s="31" t="s">
        <v>229</v>
      </c>
      <c r="J1970" s="31" t="s">
        <v>967</v>
      </c>
      <c r="K1970" s="33" t="s">
        <v>6067</v>
      </c>
      <c r="L1970" s="31" t="s">
        <v>202</v>
      </c>
      <c r="N1970" s="31" t="s">
        <v>313</v>
      </c>
      <c r="T1970" s="31" t="s">
        <v>4272</v>
      </c>
    </row>
    <row r="1971">
      <c r="A1971" s="29">
        <v>45958.57595452546</v>
      </c>
      <c r="B1971" s="30">
        <v>45958.0</v>
      </c>
      <c r="C1971" s="31" t="s">
        <v>6068</v>
      </c>
      <c r="D1971" s="32" t="s">
        <v>6069</v>
      </c>
      <c r="E1971" s="31" t="s">
        <v>31</v>
      </c>
      <c r="F1971" s="31">
        <v>2000000.0</v>
      </c>
      <c r="G1971" s="31" t="s">
        <v>23</v>
      </c>
      <c r="I1971" s="31" t="s">
        <v>229</v>
      </c>
      <c r="J1971" s="31" t="s">
        <v>165</v>
      </c>
      <c r="K1971" s="33" t="s">
        <v>6070</v>
      </c>
      <c r="L1971" s="31" t="s">
        <v>202</v>
      </c>
      <c r="N1971" s="31" t="s">
        <v>215</v>
      </c>
      <c r="W1971" s="31" t="s">
        <v>216</v>
      </c>
    </row>
    <row r="1972">
      <c r="A1972" s="29">
        <v>45958.58158475695</v>
      </c>
      <c r="B1972" s="30">
        <v>45958.0</v>
      </c>
      <c r="C1972" s="31" t="s">
        <v>6071</v>
      </c>
      <c r="D1972" s="32" t="s">
        <v>6072</v>
      </c>
      <c r="E1972" s="31" t="s">
        <v>283</v>
      </c>
      <c r="F1972" s="31">
        <v>6000000.0</v>
      </c>
      <c r="G1972" s="31" t="s">
        <v>45</v>
      </c>
      <c r="H1972" s="31">
        <v>3000000.0</v>
      </c>
      <c r="I1972" s="31" t="s">
        <v>413</v>
      </c>
      <c r="K1972" s="33" t="s">
        <v>6073</v>
      </c>
      <c r="L1972" s="31" t="s">
        <v>252</v>
      </c>
      <c r="M1972" s="31" t="s">
        <v>203</v>
      </c>
      <c r="O1972" s="31" t="s">
        <v>257</v>
      </c>
      <c r="P1972" s="31" t="s">
        <v>285</v>
      </c>
    </row>
    <row r="1973">
      <c r="A1973" s="29">
        <v>45958.62729193287</v>
      </c>
      <c r="B1973" s="30">
        <v>45958.0</v>
      </c>
      <c r="C1973" s="31" t="s">
        <v>6074</v>
      </c>
      <c r="D1973" s="32" t="s">
        <v>6075</v>
      </c>
      <c r="E1973" s="31" t="s">
        <v>43</v>
      </c>
      <c r="F1973" s="31">
        <v>6200000.0</v>
      </c>
      <c r="G1973" s="31" t="s">
        <v>45</v>
      </c>
      <c r="H1973" s="31">
        <v>3000000.0</v>
      </c>
      <c r="I1973" s="31" t="s">
        <v>413</v>
      </c>
      <c r="K1973" s="33" t="s">
        <v>6076</v>
      </c>
      <c r="L1973" s="31" t="s">
        <v>202</v>
      </c>
      <c r="M1973" s="31" t="s">
        <v>203</v>
      </c>
      <c r="N1973" s="31" t="s">
        <v>667</v>
      </c>
      <c r="U1973" s="31" t="s">
        <v>668</v>
      </c>
    </row>
    <row r="1974">
      <c r="A1974" s="29">
        <v>45958.66775945602</v>
      </c>
      <c r="B1974" s="30">
        <v>45958.0</v>
      </c>
      <c r="C1974" s="31" t="s">
        <v>6077</v>
      </c>
      <c r="D1974" s="32" t="s">
        <v>6078</v>
      </c>
      <c r="E1974" s="31" t="s">
        <v>43</v>
      </c>
      <c r="F1974" s="31">
        <v>2100000.0</v>
      </c>
      <c r="G1974" s="31" t="s">
        <v>23</v>
      </c>
      <c r="H1974" s="31">
        <v>3000000.0</v>
      </c>
      <c r="I1974" s="31" t="s">
        <v>413</v>
      </c>
      <c r="K1974" s="33" t="s">
        <v>6079</v>
      </c>
      <c r="L1974" s="31" t="s">
        <v>252</v>
      </c>
      <c r="M1974" s="31" t="s">
        <v>926</v>
      </c>
      <c r="O1974" s="31" t="s">
        <v>257</v>
      </c>
      <c r="P1974" s="31" t="s">
        <v>2453</v>
      </c>
    </row>
    <row r="1975">
      <c r="A1975" s="29">
        <v>45958.70165077546</v>
      </c>
      <c r="B1975" s="30">
        <v>45958.0</v>
      </c>
      <c r="C1975" s="31" t="s">
        <v>6080</v>
      </c>
      <c r="D1975" s="32" t="s">
        <v>6081</v>
      </c>
      <c r="E1975" s="31" t="s">
        <v>239</v>
      </c>
      <c r="F1975" s="31">
        <v>50.0</v>
      </c>
      <c r="G1975" s="31" t="s">
        <v>23</v>
      </c>
      <c r="I1975" s="31" t="s">
        <v>229</v>
      </c>
      <c r="J1975" s="31" t="s">
        <v>967</v>
      </c>
      <c r="K1975" s="33" t="s">
        <v>6082</v>
      </c>
      <c r="L1975" s="31" t="s">
        <v>202</v>
      </c>
      <c r="N1975" s="31" t="s">
        <v>313</v>
      </c>
      <c r="T1975" s="31" t="s">
        <v>4272</v>
      </c>
    </row>
    <row r="1976">
      <c r="A1976" s="29">
        <v>45958.7277174537</v>
      </c>
      <c r="B1976" s="30">
        <v>45958.0</v>
      </c>
      <c r="C1976" s="31" t="s">
        <v>6083</v>
      </c>
      <c r="D1976" s="32" t="s">
        <v>6084</v>
      </c>
      <c r="E1976" s="31" t="s">
        <v>228</v>
      </c>
      <c r="F1976" s="31">
        <v>2500000.0</v>
      </c>
      <c r="G1976" s="31" t="s">
        <v>23</v>
      </c>
      <c r="I1976" s="31" t="s">
        <v>229</v>
      </c>
      <c r="J1976" s="31" t="s">
        <v>967</v>
      </c>
      <c r="K1976" s="33" t="s">
        <v>6085</v>
      </c>
      <c r="L1976" s="31" t="s">
        <v>202</v>
      </c>
      <c r="N1976" s="31" t="s">
        <v>204</v>
      </c>
      <c r="R1976" s="31" t="s">
        <v>360</v>
      </c>
    </row>
    <row r="1977">
      <c r="A1977" s="29">
        <v>45958.73318789352</v>
      </c>
      <c r="B1977" s="30">
        <v>45958.0</v>
      </c>
      <c r="C1977" s="31" t="s">
        <v>6086</v>
      </c>
      <c r="D1977" s="32" t="s">
        <v>6087</v>
      </c>
      <c r="E1977" s="31" t="s">
        <v>43</v>
      </c>
      <c r="F1977" s="31">
        <v>2500000.0</v>
      </c>
      <c r="G1977" s="31" t="s">
        <v>23</v>
      </c>
      <c r="I1977" s="31" t="s">
        <v>229</v>
      </c>
      <c r="J1977" s="31" t="s">
        <v>967</v>
      </c>
      <c r="K1977" s="33" t="s">
        <v>6088</v>
      </c>
      <c r="L1977" s="31" t="s">
        <v>202</v>
      </c>
      <c r="N1977" s="31" t="s">
        <v>204</v>
      </c>
      <c r="R1977" s="31" t="s">
        <v>5256</v>
      </c>
    </row>
    <row r="1978">
      <c r="A1978" s="29">
        <v>45958.73320826389</v>
      </c>
      <c r="B1978" s="30">
        <v>45958.0</v>
      </c>
      <c r="C1978" s="31" t="s">
        <v>6089</v>
      </c>
      <c r="D1978" s="32" t="s">
        <v>6090</v>
      </c>
      <c r="E1978" s="31" t="s">
        <v>31</v>
      </c>
      <c r="F1978" s="31">
        <v>6900000.0</v>
      </c>
      <c r="G1978" s="31" t="s">
        <v>23</v>
      </c>
      <c r="I1978" s="31" t="s">
        <v>229</v>
      </c>
      <c r="J1978" s="31" t="s">
        <v>967</v>
      </c>
      <c r="K1978" s="33" t="s">
        <v>6091</v>
      </c>
      <c r="L1978" s="31" t="s">
        <v>202</v>
      </c>
      <c r="N1978" s="31" t="s">
        <v>313</v>
      </c>
      <c r="T1978" s="31" t="s">
        <v>329</v>
      </c>
    </row>
    <row r="1979">
      <c r="A1979" s="29">
        <v>45958.755996886575</v>
      </c>
      <c r="B1979" s="30">
        <v>45958.0</v>
      </c>
      <c r="C1979" s="31" t="s">
        <v>6092</v>
      </c>
      <c r="D1979" s="32" t="s">
        <v>6093</v>
      </c>
      <c r="E1979" s="31" t="s">
        <v>43</v>
      </c>
      <c r="F1979" s="31">
        <v>5000000.0</v>
      </c>
      <c r="G1979" s="31" t="s">
        <v>23</v>
      </c>
      <c r="I1979" s="31" t="s">
        <v>229</v>
      </c>
      <c r="J1979" s="31" t="s">
        <v>967</v>
      </c>
      <c r="K1979" s="33" t="s">
        <v>6094</v>
      </c>
      <c r="L1979" s="31" t="s">
        <v>202</v>
      </c>
      <c r="N1979" s="31" t="s">
        <v>220</v>
      </c>
      <c r="S1979" s="31" t="s">
        <v>124</v>
      </c>
    </row>
    <row r="1980">
      <c r="A1980" s="29">
        <v>45958.75606564815</v>
      </c>
      <c r="B1980" s="30">
        <v>45958.0</v>
      </c>
      <c r="C1980" s="31" t="s">
        <v>6095</v>
      </c>
      <c r="D1980" s="32" t="s">
        <v>6096</v>
      </c>
      <c r="E1980" s="31" t="s">
        <v>335</v>
      </c>
      <c r="F1980" s="31">
        <v>2000000.0</v>
      </c>
      <c r="G1980" s="31" t="s">
        <v>23</v>
      </c>
      <c r="H1980" s="31">
        <v>3000000.0</v>
      </c>
      <c r="I1980" s="31" t="s">
        <v>200</v>
      </c>
      <c r="K1980" s="33" t="s">
        <v>6097</v>
      </c>
      <c r="L1980" s="31" t="s">
        <v>252</v>
      </c>
      <c r="M1980" s="31" t="s">
        <v>203</v>
      </c>
      <c r="O1980" s="31" t="s">
        <v>205</v>
      </c>
      <c r="X1980" s="31" t="s">
        <v>1471</v>
      </c>
    </row>
    <row r="1981">
      <c r="A1981" s="29">
        <v>45958.75661861111</v>
      </c>
      <c r="B1981" s="30">
        <v>45958.0</v>
      </c>
      <c r="C1981" s="31" t="s">
        <v>6098</v>
      </c>
      <c r="D1981" s="32" t="s">
        <v>6099</v>
      </c>
      <c r="E1981" s="31" t="s">
        <v>43</v>
      </c>
      <c r="F1981" s="31">
        <v>5000000.0</v>
      </c>
      <c r="G1981" s="31" t="s">
        <v>45</v>
      </c>
      <c r="I1981" s="31" t="s">
        <v>229</v>
      </c>
      <c r="J1981" s="31" t="s">
        <v>967</v>
      </c>
      <c r="K1981" s="33" t="s">
        <v>6100</v>
      </c>
      <c r="L1981" s="31" t="s">
        <v>202</v>
      </c>
      <c r="N1981" s="31" t="s">
        <v>220</v>
      </c>
      <c r="S1981" s="31" t="s">
        <v>5697</v>
      </c>
    </row>
    <row r="1982">
      <c r="A1982" s="29">
        <v>45958.76371436343</v>
      </c>
      <c r="B1982" s="30">
        <v>45958.0</v>
      </c>
      <c r="C1982" s="31" t="s">
        <v>6101</v>
      </c>
      <c r="D1982" s="32" t="s">
        <v>6102</v>
      </c>
      <c r="E1982" s="31" t="s">
        <v>283</v>
      </c>
      <c r="F1982" s="31">
        <v>6000000.0</v>
      </c>
      <c r="G1982" s="31" t="s">
        <v>23</v>
      </c>
      <c r="I1982" s="31" t="s">
        <v>229</v>
      </c>
      <c r="J1982" s="31" t="s">
        <v>967</v>
      </c>
      <c r="K1982" s="33" t="s">
        <v>6103</v>
      </c>
      <c r="L1982" s="31" t="s">
        <v>252</v>
      </c>
      <c r="O1982" s="31" t="s">
        <v>257</v>
      </c>
      <c r="P1982" s="31" t="s">
        <v>272</v>
      </c>
    </row>
    <row r="1983">
      <c r="A1983" s="29">
        <v>45958.764346435186</v>
      </c>
      <c r="B1983" s="30">
        <v>45958.0</v>
      </c>
      <c r="C1983" s="31" t="s">
        <v>6104</v>
      </c>
      <c r="D1983" s="32" t="s">
        <v>6105</v>
      </c>
      <c r="E1983" s="31" t="s">
        <v>31</v>
      </c>
      <c r="F1983" s="31">
        <v>2000000.0</v>
      </c>
      <c r="G1983" s="31" t="s">
        <v>23</v>
      </c>
      <c r="I1983" s="31" t="s">
        <v>229</v>
      </c>
      <c r="J1983" s="31" t="s">
        <v>967</v>
      </c>
      <c r="K1983" s="33" t="s">
        <v>6106</v>
      </c>
      <c r="L1983" s="31" t="s">
        <v>202</v>
      </c>
      <c r="N1983" s="31" t="s">
        <v>215</v>
      </c>
      <c r="W1983" s="31" t="s">
        <v>216</v>
      </c>
    </row>
    <row r="1984">
      <c r="A1984" s="29">
        <v>45958.765724004625</v>
      </c>
      <c r="B1984" s="30">
        <v>45958.0</v>
      </c>
      <c r="C1984" s="31" t="s">
        <v>6107</v>
      </c>
      <c r="D1984" s="32" t="s">
        <v>6108</v>
      </c>
      <c r="E1984" s="31" t="s">
        <v>1104</v>
      </c>
      <c r="F1984" s="31">
        <v>7000000.0</v>
      </c>
      <c r="G1984" s="31" t="s">
        <v>23</v>
      </c>
      <c r="H1984" s="31">
        <v>3000000.0</v>
      </c>
      <c r="I1984" s="31" t="s">
        <v>413</v>
      </c>
      <c r="K1984" s="33" t="s">
        <v>6109</v>
      </c>
      <c r="L1984" s="31" t="s">
        <v>252</v>
      </c>
      <c r="M1984" s="31" t="s">
        <v>203</v>
      </c>
      <c r="O1984" s="31" t="s">
        <v>257</v>
      </c>
      <c r="P1984" s="31" t="s">
        <v>272</v>
      </c>
    </row>
    <row r="1985">
      <c r="A1985" s="29">
        <v>45958.76741969907</v>
      </c>
      <c r="B1985" s="30">
        <v>45958.0</v>
      </c>
      <c r="C1985" s="31" t="s">
        <v>6110</v>
      </c>
      <c r="D1985" s="32" t="s">
        <v>6111</v>
      </c>
      <c r="E1985" s="31" t="s">
        <v>199</v>
      </c>
      <c r="F1985" s="31">
        <v>4000000.0</v>
      </c>
      <c r="G1985" s="31" t="s">
        <v>45</v>
      </c>
      <c r="I1985" s="31" t="s">
        <v>229</v>
      </c>
      <c r="J1985" s="31" t="s">
        <v>967</v>
      </c>
      <c r="K1985" s="33" t="s">
        <v>6112</v>
      </c>
      <c r="L1985" s="31" t="s">
        <v>202</v>
      </c>
      <c r="N1985" s="31" t="s">
        <v>215</v>
      </c>
      <c r="W1985" s="31" t="s">
        <v>389</v>
      </c>
    </row>
    <row r="1986">
      <c r="A1986" s="29">
        <v>45958.78444181713</v>
      </c>
      <c r="B1986" s="30">
        <v>45958.0</v>
      </c>
      <c r="C1986" s="31" t="s">
        <v>6113</v>
      </c>
      <c r="D1986" s="32" t="s">
        <v>6114</v>
      </c>
      <c r="E1986" s="31" t="s">
        <v>213</v>
      </c>
      <c r="F1986" s="31">
        <v>4100000.0</v>
      </c>
      <c r="G1986" s="31" t="s">
        <v>23</v>
      </c>
      <c r="H1986" s="31">
        <v>3000000.0</v>
      </c>
      <c r="I1986" s="31" t="s">
        <v>413</v>
      </c>
      <c r="K1986" s="33" t="s">
        <v>6115</v>
      </c>
      <c r="L1986" s="31" t="s">
        <v>252</v>
      </c>
      <c r="M1986" s="31" t="s">
        <v>203</v>
      </c>
      <c r="O1986" s="31" t="s">
        <v>205</v>
      </c>
      <c r="X1986" s="31" t="s">
        <v>716</v>
      </c>
    </row>
    <row r="1987">
      <c r="A1987" s="29">
        <v>45958.79295020833</v>
      </c>
      <c r="B1987" s="30">
        <v>45958.0</v>
      </c>
      <c r="C1987" s="31" t="s">
        <v>6116</v>
      </c>
      <c r="D1987" s="32" t="s">
        <v>6117</v>
      </c>
      <c r="E1987" s="31" t="s">
        <v>43</v>
      </c>
      <c r="F1987" s="31">
        <v>6400000.0</v>
      </c>
      <c r="G1987" s="31" t="s">
        <v>23</v>
      </c>
      <c r="I1987" s="31" t="s">
        <v>229</v>
      </c>
      <c r="J1987" s="31" t="s">
        <v>967</v>
      </c>
      <c r="K1987" s="33" t="s">
        <v>6118</v>
      </c>
      <c r="L1987" s="31" t="s">
        <v>202</v>
      </c>
      <c r="N1987" s="31" t="s">
        <v>667</v>
      </c>
      <c r="U1987" s="31" t="s">
        <v>668</v>
      </c>
    </row>
    <row r="1988">
      <c r="A1988" s="29">
        <v>45958.82203627315</v>
      </c>
      <c r="B1988" s="30">
        <v>45958.0</v>
      </c>
      <c r="C1988" s="31" t="s">
        <v>6119</v>
      </c>
      <c r="D1988" s="32" t="s">
        <v>6120</v>
      </c>
      <c r="E1988" s="31" t="s">
        <v>43</v>
      </c>
      <c r="F1988" s="31">
        <v>3000000.0</v>
      </c>
      <c r="G1988" s="31" t="s">
        <v>23</v>
      </c>
      <c r="H1988" s="31">
        <v>3000000.0</v>
      </c>
      <c r="I1988" s="31" t="s">
        <v>200</v>
      </c>
      <c r="K1988" s="33" t="s">
        <v>6121</v>
      </c>
      <c r="L1988" s="31" t="s">
        <v>252</v>
      </c>
      <c r="M1988" s="31" t="s">
        <v>203</v>
      </c>
      <c r="O1988" s="31" t="s">
        <v>205</v>
      </c>
      <c r="X1988" s="31" t="s">
        <v>452</v>
      </c>
    </row>
    <row r="1989">
      <c r="A1989" s="29">
        <v>45958.8300762963</v>
      </c>
      <c r="B1989" s="30">
        <v>45958.0</v>
      </c>
      <c r="C1989" s="31" t="s">
        <v>6122</v>
      </c>
      <c r="D1989" s="32" t="s">
        <v>6123</v>
      </c>
      <c r="E1989" s="31" t="s">
        <v>199</v>
      </c>
      <c r="F1989" s="31">
        <v>5500000.0</v>
      </c>
      <c r="G1989" s="31" t="s">
        <v>23</v>
      </c>
      <c r="I1989" s="31" t="s">
        <v>229</v>
      </c>
      <c r="J1989" s="31" t="s">
        <v>967</v>
      </c>
      <c r="K1989" s="33" t="s">
        <v>6124</v>
      </c>
      <c r="L1989" s="31" t="s">
        <v>202</v>
      </c>
      <c r="N1989" s="31" t="s">
        <v>313</v>
      </c>
      <c r="T1989" s="31" t="s">
        <v>314</v>
      </c>
    </row>
    <row r="1990">
      <c r="A1990" s="29">
        <v>45958.8502762037</v>
      </c>
      <c r="B1990" s="30">
        <v>45958.0</v>
      </c>
      <c r="C1990" s="31" t="s">
        <v>6125</v>
      </c>
      <c r="D1990" s="32" t="s">
        <v>6126</v>
      </c>
      <c r="E1990" s="31" t="s">
        <v>881</v>
      </c>
      <c r="F1990" s="31">
        <v>3200000.0</v>
      </c>
      <c r="G1990" s="31" t="s">
        <v>23</v>
      </c>
      <c r="I1990" s="31" t="s">
        <v>229</v>
      </c>
      <c r="J1990" s="31" t="s">
        <v>967</v>
      </c>
      <c r="K1990" s="33" t="s">
        <v>6127</v>
      </c>
      <c r="L1990" s="31" t="s">
        <v>202</v>
      </c>
      <c r="N1990" s="31" t="s">
        <v>220</v>
      </c>
      <c r="S1990" s="31" t="s">
        <v>59</v>
      </c>
    </row>
    <row r="1991">
      <c r="A1991" s="29">
        <v>45958.86118244213</v>
      </c>
      <c r="B1991" s="30">
        <v>45958.0</v>
      </c>
      <c r="C1991" s="31" t="s">
        <v>6128</v>
      </c>
      <c r="D1991" s="32" t="s">
        <v>6129</v>
      </c>
      <c r="E1991" s="31" t="s">
        <v>43</v>
      </c>
      <c r="F1991" s="31">
        <v>3000000.0</v>
      </c>
      <c r="G1991" s="31" t="s">
        <v>45</v>
      </c>
      <c r="H1991" s="31">
        <v>5000000.0</v>
      </c>
      <c r="I1991" s="31" t="s">
        <v>200</v>
      </c>
      <c r="K1991" s="33" t="s">
        <v>6130</v>
      </c>
      <c r="L1991" s="31" t="s">
        <v>202</v>
      </c>
      <c r="M1991" s="31" t="s">
        <v>926</v>
      </c>
      <c r="N1991" s="31" t="s">
        <v>215</v>
      </c>
      <c r="W1991" s="31" t="s">
        <v>216</v>
      </c>
    </row>
    <row r="1992">
      <c r="A1992" s="29">
        <v>45958.86387883102</v>
      </c>
      <c r="B1992" s="30">
        <v>45958.0</v>
      </c>
      <c r="C1992" s="31" t="s">
        <v>6131</v>
      </c>
      <c r="D1992" s="32" t="s">
        <v>6132</v>
      </c>
      <c r="E1992" s="31" t="s">
        <v>213</v>
      </c>
      <c r="F1992" s="31">
        <v>4000000.0</v>
      </c>
      <c r="G1992" s="31" t="s">
        <v>23</v>
      </c>
      <c r="I1992" s="31" t="s">
        <v>229</v>
      </c>
      <c r="J1992" s="31" t="s">
        <v>967</v>
      </c>
      <c r="K1992" s="33" t="s">
        <v>6133</v>
      </c>
      <c r="L1992" s="31" t="s">
        <v>252</v>
      </c>
      <c r="O1992" s="31" t="s">
        <v>205</v>
      </c>
      <c r="X1992" s="31" t="s">
        <v>716</v>
      </c>
    </row>
    <row r="1993">
      <c r="A1993" s="29">
        <v>45958.910669791665</v>
      </c>
      <c r="B1993" s="30">
        <v>45958.0</v>
      </c>
      <c r="C1993" s="31" t="s">
        <v>6134</v>
      </c>
      <c r="D1993" s="32" t="s">
        <v>6135</v>
      </c>
      <c r="E1993" s="31" t="s">
        <v>43</v>
      </c>
      <c r="F1993" s="31">
        <v>7000000.0</v>
      </c>
      <c r="G1993" s="31" t="s">
        <v>23</v>
      </c>
      <c r="H1993" s="31">
        <v>5000000.0</v>
      </c>
      <c r="I1993" s="31" t="s">
        <v>200</v>
      </c>
      <c r="K1993" s="33" t="s">
        <v>6136</v>
      </c>
      <c r="L1993" s="31" t="s">
        <v>202</v>
      </c>
      <c r="M1993" s="31" t="s">
        <v>383</v>
      </c>
      <c r="N1993" s="31" t="s">
        <v>313</v>
      </c>
      <c r="T1993" s="31" t="s">
        <v>314</v>
      </c>
    </row>
    <row r="1994">
      <c r="A1994" s="29">
        <v>45959.42491810185</v>
      </c>
      <c r="B1994" s="30">
        <v>45959.0</v>
      </c>
      <c r="C1994" s="31" t="s">
        <v>6137</v>
      </c>
      <c r="D1994" s="32" t="s">
        <v>6138</v>
      </c>
      <c r="E1994" s="31" t="s">
        <v>283</v>
      </c>
      <c r="F1994" s="31">
        <v>7000000.0</v>
      </c>
      <c r="G1994" s="31" t="s">
        <v>23</v>
      </c>
      <c r="I1994" s="31" t="s">
        <v>229</v>
      </c>
      <c r="J1994" s="31" t="s">
        <v>967</v>
      </c>
      <c r="K1994" s="33" t="s">
        <v>6139</v>
      </c>
      <c r="L1994" s="31" t="s">
        <v>252</v>
      </c>
      <c r="O1994" s="31" t="s">
        <v>257</v>
      </c>
      <c r="P1994" s="31" t="s">
        <v>272</v>
      </c>
    </row>
    <row r="1995">
      <c r="A1995" s="29">
        <v>45959.46330878472</v>
      </c>
      <c r="B1995" s="30">
        <v>45959.0</v>
      </c>
      <c r="C1995" s="31" t="s">
        <v>6140</v>
      </c>
      <c r="D1995" s="32" t="s">
        <v>6141</v>
      </c>
      <c r="E1995" s="31" t="s">
        <v>43</v>
      </c>
      <c r="F1995" s="31">
        <v>8000000.0</v>
      </c>
      <c r="G1995" s="31" t="s">
        <v>23</v>
      </c>
      <c r="I1995" s="31" t="s">
        <v>229</v>
      </c>
      <c r="J1995" s="31" t="s">
        <v>967</v>
      </c>
      <c r="K1995" s="33" t="s">
        <v>6142</v>
      </c>
      <c r="L1995" s="31" t="s">
        <v>202</v>
      </c>
      <c r="N1995" s="31" t="s">
        <v>204</v>
      </c>
      <c r="R1995" s="31" t="s">
        <v>5606</v>
      </c>
    </row>
    <row r="1996">
      <c r="A1996" s="29">
        <v>45959.47308506945</v>
      </c>
      <c r="B1996" s="30">
        <v>45959.0</v>
      </c>
      <c r="C1996" s="31" t="s">
        <v>6143</v>
      </c>
      <c r="D1996" s="32" t="s">
        <v>6144</v>
      </c>
      <c r="E1996" s="31" t="s">
        <v>43</v>
      </c>
      <c r="F1996" s="31">
        <v>2300000.0</v>
      </c>
      <c r="G1996" s="31" t="s">
        <v>23</v>
      </c>
      <c r="I1996" s="31" t="s">
        <v>229</v>
      </c>
      <c r="J1996" s="31" t="s">
        <v>967</v>
      </c>
      <c r="K1996" s="33" t="s">
        <v>6145</v>
      </c>
      <c r="L1996" s="31" t="s">
        <v>252</v>
      </c>
      <c r="O1996" s="31" t="s">
        <v>257</v>
      </c>
      <c r="P1996" s="31" t="s">
        <v>2453</v>
      </c>
    </row>
    <row r="1997">
      <c r="A1997" s="29">
        <v>45959.47441621528</v>
      </c>
      <c r="B1997" s="30">
        <v>45959.0</v>
      </c>
      <c r="C1997" s="31" t="s">
        <v>6146</v>
      </c>
      <c r="D1997" s="32" t="s">
        <v>6147</v>
      </c>
      <c r="E1997" s="31" t="s">
        <v>43</v>
      </c>
      <c r="F1997" s="31">
        <v>3400000.0</v>
      </c>
      <c r="G1997" s="31" t="s">
        <v>23</v>
      </c>
      <c r="H1997" s="31">
        <v>3000000.0</v>
      </c>
      <c r="I1997" s="31" t="s">
        <v>413</v>
      </c>
      <c r="K1997" s="33" t="s">
        <v>6148</v>
      </c>
      <c r="L1997" s="31" t="s">
        <v>252</v>
      </c>
      <c r="M1997" s="31" t="s">
        <v>203</v>
      </c>
      <c r="O1997" s="31" t="s">
        <v>257</v>
      </c>
      <c r="P1997" s="31" t="s">
        <v>2453</v>
      </c>
    </row>
    <row r="1998">
      <c r="A1998" s="29">
        <v>45959.47445849537</v>
      </c>
      <c r="B1998" s="30">
        <v>45959.0</v>
      </c>
      <c r="C1998" s="31" t="s">
        <v>6149</v>
      </c>
      <c r="D1998" s="31">
        <v>0.0</v>
      </c>
      <c r="E1998" s="31" t="s">
        <v>228</v>
      </c>
      <c r="F1998" s="31">
        <v>2600000.0</v>
      </c>
      <c r="G1998" s="31" t="s">
        <v>45</v>
      </c>
      <c r="H1998" s="31">
        <v>3000000.0</v>
      </c>
      <c r="I1998" s="31" t="s">
        <v>413</v>
      </c>
      <c r="K1998" s="33" t="s">
        <v>6150</v>
      </c>
      <c r="L1998" s="31" t="s">
        <v>252</v>
      </c>
      <c r="M1998" s="31" t="s">
        <v>203</v>
      </c>
      <c r="O1998" s="31" t="s">
        <v>257</v>
      </c>
      <c r="P1998" s="31" t="s">
        <v>2320</v>
      </c>
    </row>
    <row r="1999">
      <c r="A1999" s="29">
        <v>45959.47928962963</v>
      </c>
      <c r="B1999" s="30">
        <v>45959.0</v>
      </c>
      <c r="C1999" s="31" t="s">
        <v>6151</v>
      </c>
      <c r="D1999" s="32" t="s">
        <v>6152</v>
      </c>
      <c r="E1999" s="31" t="s">
        <v>6153</v>
      </c>
      <c r="F1999" s="31">
        <v>3200000.0</v>
      </c>
      <c r="G1999" s="31" t="s">
        <v>23</v>
      </c>
      <c r="H1999" s="31">
        <v>3000000.0</v>
      </c>
      <c r="I1999" s="31" t="s">
        <v>200</v>
      </c>
      <c r="K1999" s="33" t="s">
        <v>6154</v>
      </c>
      <c r="L1999" s="31" t="s">
        <v>202</v>
      </c>
      <c r="M1999" s="31" t="s">
        <v>5638</v>
      </c>
      <c r="N1999" s="31" t="s">
        <v>313</v>
      </c>
      <c r="T1999" s="31" t="s">
        <v>384</v>
      </c>
    </row>
    <row r="2000">
      <c r="A2000" s="29">
        <v>45959.48766436343</v>
      </c>
      <c r="B2000" s="30">
        <v>45959.0</v>
      </c>
      <c r="C2000" s="31" t="s">
        <v>6155</v>
      </c>
      <c r="D2000" s="32" t="s">
        <v>386</v>
      </c>
      <c r="E2000" s="31" t="s">
        <v>43</v>
      </c>
      <c r="F2000" s="31">
        <v>3600000.0</v>
      </c>
      <c r="G2000" s="31" t="s">
        <v>23</v>
      </c>
      <c r="I2000" s="31" t="s">
        <v>229</v>
      </c>
      <c r="J2000" s="31" t="s">
        <v>967</v>
      </c>
      <c r="K2000" s="33" t="s">
        <v>6156</v>
      </c>
      <c r="L2000" s="31" t="s">
        <v>202</v>
      </c>
      <c r="N2000" s="31" t="s">
        <v>215</v>
      </c>
      <c r="W2000" s="31" t="s">
        <v>389</v>
      </c>
    </row>
    <row r="2001">
      <c r="A2001" s="29">
        <v>45959.49398680555</v>
      </c>
      <c r="B2001" s="30">
        <v>45959.0</v>
      </c>
      <c r="C2001" s="31" t="s">
        <v>6157</v>
      </c>
      <c r="D2001" s="32" t="s">
        <v>6158</v>
      </c>
      <c r="E2001" s="31" t="s">
        <v>31</v>
      </c>
      <c r="F2001" s="31">
        <v>3400000.0</v>
      </c>
      <c r="G2001" s="31" t="s">
        <v>23</v>
      </c>
      <c r="H2001" s="31">
        <v>7000000.0</v>
      </c>
      <c r="I2001" s="31" t="s">
        <v>200</v>
      </c>
      <c r="K2001" s="33" t="s">
        <v>6159</v>
      </c>
      <c r="L2001" s="31" t="s">
        <v>202</v>
      </c>
      <c r="M2001" s="31" t="s">
        <v>926</v>
      </c>
      <c r="N2001" s="31" t="s">
        <v>871</v>
      </c>
      <c r="Q2001" s="31" t="s">
        <v>1021</v>
      </c>
    </row>
    <row r="2002">
      <c r="A2002" s="29">
        <v>45959.499313113425</v>
      </c>
      <c r="B2002" s="30">
        <v>45959.0</v>
      </c>
      <c r="C2002" s="31" t="s">
        <v>6160</v>
      </c>
      <c r="D2002" s="32" t="s">
        <v>6161</v>
      </c>
      <c r="E2002" s="31" t="s">
        <v>31</v>
      </c>
      <c r="F2002" s="31">
        <v>5200000.0</v>
      </c>
      <c r="G2002" s="31" t="s">
        <v>23</v>
      </c>
      <c r="I2002" s="31" t="s">
        <v>229</v>
      </c>
      <c r="J2002" s="31" t="s">
        <v>967</v>
      </c>
      <c r="K2002" s="33" t="s">
        <v>6162</v>
      </c>
      <c r="L2002" s="31" t="s">
        <v>202</v>
      </c>
      <c r="N2002" s="31" t="s">
        <v>313</v>
      </c>
      <c r="T2002" s="31" t="s">
        <v>329</v>
      </c>
    </row>
    <row r="2003">
      <c r="A2003" s="29">
        <v>45959.50989045139</v>
      </c>
      <c r="B2003" s="30">
        <v>45959.0</v>
      </c>
      <c r="C2003" s="31" t="s">
        <v>6163</v>
      </c>
      <c r="D2003" s="32" t="s">
        <v>4950</v>
      </c>
      <c r="E2003" s="31" t="s">
        <v>43</v>
      </c>
      <c r="F2003" s="31">
        <v>7700000.0</v>
      </c>
      <c r="G2003" s="31" t="s">
        <v>23</v>
      </c>
      <c r="I2003" s="31" t="s">
        <v>229</v>
      </c>
      <c r="J2003" s="31" t="s">
        <v>967</v>
      </c>
      <c r="K2003" s="33" t="s">
        <v>6164</v>
      </c>
      <c r="L2003" s="31" t="s">
        <v>202</v>
      </c>
      <c r="N2003" s="31" t="s">
        <v>313</v>
      </c>
      <c r="T2003" s="31" t="s">
        <v>314</v>
      </c>
    </row>
    <row r="2004">
      <c r="A2004" s="29">
        <v>45959.51143796297</v>
      </c>
      <c r="B2004" s="30">
        <v>45959.0</v>
      </c>
      <c r="C2004" s="31" t="s">
        <v>6165</v>
      </c>
      <c r="D2004" s="32" t="s">
        <v>6166</v>
      </c>
      <c r="E2004" s="31" t="s">
        <v>31</v>
      </c>
      <c r="F2004" s="31">
        <v>3500000.0</v>
      </c>
      <c r="G2004" s="31" t="s">
        <v>23</v>
      </c>
      <c r="I2004" s="31" t="s">
        <v>229</v>
      </c>
      <c r="J2004" s="31" t="s">
        <v>967</v>
      </c>
      <c r="K2004" s="33" t="s">
        <v>6167</v>
      </c>
      <c r="L2004" s="31" t="s">
        <v>252</v>
      </c>
      <c r="O2004" s="31" t="s">
        <v>205</v>
      </c>
      <c r="X2004" s="31" t="s">
        <v>569</v>
      </c>
    </row>
    <row r="2005">
      <c r="A2005" s="29">
        <v>45959.51762493055</v>
      </c>
      <c r="B2005" s="30">
        <v>45959.0</v>
      </c>
      <c r="C2005" s="31" t="s">
        <v>6168</v>
      </c>
      <c r="D2005" s="32" t="s">
        <v>6169</v>
      </c>
      <c r="E2005" s="31" t="s">
        <v>43</v>
      </c>
      <c r="F2005" s="31">
        <v>2400000.0</v>
      </c>
      <c r="G2005" s="31" t="s">
        <v>23</v>
      </c>
      <c r="H2005" s="31">
        <v>9836000.0</v>
      </c>
      <c r="I2005" s="31" t="s">
        <v>413</v>
      </c>
      <c r="K2005" s="33" t="s">
        <v>6170</v>
      </c>
      <c r="L2005" s="31" t="s">
        <v>252</v>
      </c>
      <c r="M2005" s="31" t="s">
        <v>926</v>
      </c>
      <c r="O2005" s="31" t="s">
        <v>257</v>
      </c>
      <c r="P2005" s="31" t="s">
        <v>2453</v>
      </c>
    </row>
    <row r="2006">
      <c r="A2006" s="29">
        <v>45959.520838842596</v>
      </c>
      <c r="B2006" s="30">
        <v>45959.0</v>
      </c>
      <c r="C2006" s="31" t="s">
        <v>6171</v>
      </c>
      <c r="D2006" s="32" t="s">
        <v>6172</v>
      </c>
      <c r="E2006" s="31" t="s">
        <v>31</v>
      </c>
      <c r="F2006" s="31">
        <v>4500000.0</v>
      </c>
      <c r="G2006" s="31" t="s">
        <v>23</v>
      </c>
      <c r="I2006" s="31" t="s">
        <v>229</v>
      </c>
      <c r="J2006" s="31" t="s">
        <v>967</v>
      </c>
      <c r="K2006" s="33" t="s">
        <v>6173</v>
      </c>
      <c r="L2006" s="31" t="s">
        <v>202</v>
      </c>
      <c r="N2006" s="31" t="s">
        <v>204</v>
      </c>
      <c r="R2006" s="31" t="s">
        <v>98</v>
      </c>
    </row>
    <row r="2007">
      <c r="A2007" s="29">
        <v>45959.538982349535</v>
      </c>
      <c r="B2007" s="30">
        <v>45959.0</v>
      </c>
      <c r="C2007" s="31" t="s">
        <v>6174</v>
      </c>
      <c r="D2007" s="32" t="s">
        <v>6175</v>
      </c>
      <c r="E2007" s="31" t="s">
        <v>43</v>
      </c>
      <c r="F2007" s="31">
        <v>4700000.0</v>
      </c>
      <c r="G2007" s="31" t="s">
        <v>23</v>
      </c>
      <c r="I2007" s="31" t="s">
        <v>229</v>
      </c>
      <c r="J2007" s="31" t="s">
        <v>967</v>
      </c>
      <c r="K2007" s="33" t="s">
        <v>6176</v>
      </c>
      <c r="L2007" s="31" t="s">
        <v>252</v>
      </c>
      <c r="O2007" s="31" t="s">
        <v>205</v>
      </c>
      <c r="X2007" s="31" t="s">
        <v>716</v>
      </c>
    </row>
    <row r="2008">
      <c r="A2008" s="29">
        <v>45959.57799489584</v>
      </c>
      <c r="B2008" s="30">
        <v>45959.0</v>
      </c>
      <c r="C2008" s="31" t="s">
        <v>6177</v>
      </c>
      <c r="D2008" s="32" t="s">
        <v>6178</v>
      </c>
      <c r="E2008" s="31" t="s">
        <v>31</v>
      </c>
      <c r="F2008" s="31">
        <v>7200000.0</v>
      </c>
      <c r="G2008" s="31" t="s">
        <v>23</v>
      </c>
      <c r="I2008" s="31" t="s">
        <v>229</v>
      </c>
      <c r="J2008" s="31" t="s">
        <v>967</v>
      </c>
      <c r="K2008" s="33" t="s">
        <v>6179</v>
      </c>
      <c r="L2008" s="31" t="s">
        <v>202</v>
      </c>
      <c r="N2008" s="31" t="s">
        <v>313</v>
      </c>
      <c r="T2008" s="31" t="s">
        <v>329</v>
      </c>
    </row>
    <row r="2009">
      <c r="A2009" s="29">
        <v>45959.5806347801</v>
      </c>
      <c r="B2009" s="30">
        <v>45959.0</v>
      </c>
      <c r="C2009" s="31" t="s">
        <v>6180</v>
      </c>
      <c r="D2009" s="32" t="s">
        <v>3714</v>
      </c>
      <c r="E2009" s="31" t="s">
        <v>6181</v>
      </c>
      <c r="F2009" s="31">
        <v>2.0E7</v>
      </c>
      <c r="G2009" s="31" t="s">
        <v>23</v>
      </c>
      <c r="I2009" s="31" t="s">
        <v>229</v>
      </c>
      <c r="J2009" s="31" t="s">
        <v>967</v>
      </c>
      <c r="K2009" s="33" t="s">
        <v>6182</v>
      </c>
      <c r="L2009" s="31" t="s">
        <v>202</v>
      </c>
      <c r="N2009" s="31" t="s">
        <v>215</v>
      </c>
      <c r="W2009" s="31" t="s">
        <v>532</v>
      </c>
    </row>
    <row r="2010">
      <c r="A2010" s="29">
        <v>45959.60639446759</v>
      </c>
      <c r="B2010" s="30">
        <v>45959.0</v>
      </c>
      <c r="C2010" s="31" t="s">
        <v>5244</v>
      </c>
      <c r="D2010" s="32" t="s">
        <v>6183</v>
      </c>
      <c r="E2010" s="31" t="s">
        <v>228</v>
      </c>
      <c r="F2010" s="31">
        <v>3000000.0</v>
      </c>
      <c r="G2010" s="31" t="s">
        <v>23</v>
      </c>
      <c r="H2010" s="31">
        <v>3000000.0</v>
      </c>
      <c r="I2010" s="31" t="s">
        <v>413</v>
      </c>
      <c r="K2010" s="33" t="s">
        <v>6184</v>
      </c>
      <c r="L2010" s="31" t="s">
        <v>202</v>
      </c>
      <c r="M2010" s="31" t="s">
        <v>203</v>
      </c>
      <c r="N2010" s="31" t="s">
        <v>871</v>
      </c>
      <c r="Q2010" s="31" t="s">
        <v>872</v>
      </c>
    </row>
    <row r="2011">
      <c r="A2011" s="29">
        <v>45959.616371261574</v>
      </c>
      <c r="B2011" s="30">
        <v>45959.0</v>
      </c>
      <c r="C2011" s="31" t="s">
        <v>6185</v>
      </c>
      <c r="D2011" s="32" t="s">
        <v>6186</v>
      </c>
      <c r="E2011" s="31" t="s">
        <v>283</v>
      </c>
      <c r="F2011" s="31">
        <v>7000000.0</v>
      </c>
      <c r="G2011" s="31" t="s">
        <v>23</v>
      </c>
      <c r="H2011" s="31">
        <v>7000000.0</v>
      </c>
      <c r="I2011" s="31" t="s">
        <v>413</v>
      </c>
      <c r="K2011" s="33" t="s">
        <v>6187</v>
      </c>
      <c r="L2011" s="31" t="s">
        <v>252</v>
      </c>
      <c r="M2011" s="31" t="s">
        <v>203</v>
      </c>
      <c r="O2011" s="31" t="s">
        <v>257</v>
      </c>
      <c r="P2011" s="31" t="s">
        <v>272</v>
      </c>
    </row>
    <row r="2012">
      <c r="A2012" s="29">
        <v>45959.61860898148</v>
      </c>
      <c r="B2012" s="30">
        <v>45959.0</v>
      </c>
      <c r="C2012" s="31" t="s">
        <v>6188</v>
      </c>
      <c r="D2012" s="31" t="s">
        <v>6189</v>
      </c>
      <c r="E2012" s="31" t="s">
        <v>317</v>
      </c>
      <c r="F2012" s="31">
        <v>3000000.0</v>
      </c>
      <c r="G2012" s="31" t="s">
        <v>45</v>
      </c>
      <c r="I2012" s="31" t="s">
        <v>229</v>
      </c>
      <c r="J2012" s="31" t="s">
        <v>967</v>
      </c>
      <c r="K2012" s="33" t="s">
        <v>6190</v>
      </c>
      <c r="L2012" s="31" t="s">
        <v>202</v>
      </c>
      <c r="N2012" s="31" t="s">
        <v>204</v>
      </c>
      <c r="R2012" s="31" t="s">
        <v>90</v>
      </c>
    </row>
    <row r="2013">
      <c r="A2013" s="29">
        <v>45959.62990292824</v>
      </c>
      <c r="B2013" s="30">
        <v>45959.0</v>
      </c>
      <c r="C2013" s="31" t="s">
        <v>6191</v>
      </c>
      <c r="D2013" s="32" t="s">
        <v>6192</v>
      </c>
      <c r="E2013" s="31" t="s">
        <v>6193</v>
      </c>
      <c r="F2013" s="31">
        <v>5000000.0</v>
      </c>
      <c r="G2013" s="31" t="s">
        <v>23</v>
      </c>
      <c r="I2013" s="31" t="s">
        <v>229</v>
      </c>
      <c r="J2013" s="31" t="s">
        <v>967</v>
      </c>
      <c r="K2013" s="33" t="s">
        <v>6194</v>
      </c>
      <c r="L2013" s="31" t="s">
        <v>202</v>
      </c>
      <c r="N2013" s="31" t="s">
        <v>313</v>
      </c>
      <c r="T2013" s="31" t="s">
        <v>384</v>
      </c>
    </row>
    <row r="2014">
      <c r="A2014" s="29">
        <v>45959.641797557866</v>
      </c>
      <c r="B2014" s="30">
        <v>45959.0</v>
      </c>
      <c r="C2014" s="31" t="s">
        <v>6195</v>
      </c>
      <c r="D2014" s="32" t="s">
        <v>6196</v>
      </c>
      <c r="E2014" s="31" t="s">
        <v>43</v>
      </c>
      <c r="F2014" s="31">
        <v>8000000.0</v>
      </c>
      <c r="G2014" s="31" t="s">
        <v>23</v>
      </c>
      <c r="H2014" s="31">
        <v>7000000.0</v>
      </c>
      <c r="I2014" s="31" t="s">
        <v>413</v>
      </c>
      <c r="K2014" s="33" t="s">
        <v>6197</v>
      </c>
      <c r="L2014" s="31" t="s">
        <v>202</v>
      </c>
      <c r="M2014" s="31" t="s">
        <v>926</v>
      </c>
      <c r="N2014" s="31" t="s">
        <v>204</v>
      </c>
      <c r="R2014" s="31" t="s">
        <v>5606</v>
      </c>
    </row>
    <row r="2015">
      <c r="A2015" s="29">
        <v>45959.71676564815</v>
      </c>
      <c r="B2015" s="30">
        <v>45959.0</v>
      </c>
      <c r="C2015" s="31" t="s">
        <v>6198</v>
      </c>
      <c r="D2015" s="32" t="s">
        <v>6199</v>
      </c>
      <c r="E2015" s="31" t="s">
        <v>43</v>
      </c>
      <c r="F2015" s="31">
        <v>2500.0</v>
      </c>
      <c r="G2015" s="31" t="s">
        <v>23</v>
      </c>
      <c r="H2015" s="31">
        <v>3000000.0</v>
      </c>
      <c r="I2015" s="31" t="s">
        <v>413</v>
      </c>
      <c r="K2015" s="33" t="s">
        <v>6200</v>
      </c>
      <c r="L2015" s="31" t="s">
        <v>202</v>
      </c>
      <c r="M2015" s="31" t="s">
        <v>5638</v>
      </c>
      <c r="N2015" s="31" t="s">
        <v>313</v>
      </c>
      <c r="T2015" s="31" t="s">
        <v>4272</v>
      </c>
    </row>
    <row r="2016">
      <c r="A2016" s="29">
        <v>45959.74048677083</v>
      </c>
      <c r="B2016" s="30">
        <v>45959.0</v>
      </c>
      <c r="C2016" s="31" t="s">
        <v>6201</v>
      </c>
      <c r="D2016" s="32" t="s">
        <v>6202</v>
      </c>
      <c r="E2016" s="31" t="s">
        <v>31</v>
      </c>
      <c r="F2016" s="31">
        <v>3100000.0</v>
      </c>
      <c r="G2016" s="31" t="s">
        <v>23</v>
      </c>
      <c r="I2016" s="31" t="s">
        <v>229</v>
      </c>
      <c r="J2016" s="31" t="s">
        <v>967</v>
      </c>
      <c r="K2016" s="33" t="s">
        <v>6203</v>
      </c>
      <c r="L2016" s="31" t="s">
        <v>202</v>
      </c>
      <c r="N2016" s="31" t="s">
        <v>204</v>
      </c>
      <c r="R2016" s="31" t="s">
        <v>53</v>
      </c>
    </row>
    <row r="2017">
      <c r="A2017" s="29">
        <v>45959.75391856482</v>
      </c>
      <c r="B2017" s="30">
        <v>45959.0</v>
      </c>
      <c r="C2017" s="31" t="s">
        <v>6204</v>
      </c>
      <c r="D2017" s="32" t="s">
        <v>6205</v>
      </c>
      <c r="E2017" s="31" t="s">
        <v>6206</v>
      </c>
      <c r="F2017" s="31">
        <v>8000000.0</v>
      </c>
      <c r="G2017" s="31" t="s">
        <v>23</v>
      </c>
      <c r="I2017" s="31" t="s">
        <v>229</v>
      </c>
      <c r="J2017" s="31" t="s">
        <v>967</v>
      </c>
      <c r="K2017" s="33" t="s">
        <v>6207</v>
      </c>
      <c r="L2017" s="31" t="s">
        <v>252</v>
      </c>
      <c r="O2017" s="31" t="s">
        <v>257</v>
      </c>
      <c r="P2017" s="31" t="s">
        <v>3194</v>
      </c>
    </row>
    <row r="2018">
      <c r="A2018" s="29">
        <v>45959.7554484838</v>
      </c>
      <c r="B2018" s="30">
        <v>45959.0</v>
      </c>
      <c r="C2018" s="31" t="s">
        <v>6208</v>
      </c>
      <c r="D2018" s="32" t="s">
        <v>6209</v>
      </c>
      <c r="E2018" s="31" t="s">
        <v>43</v>
      </c>
      <c r="F2018" s="31">
        <v>2.5E7</v>
      </c>
      <c r="G2018" s="31" t="s">
        <v>23</v>
      </c>
      <c r="I2018" s="31" t="s">
        <v>229</v>
      </c>
      <c r="J2018" s="31" t="s">
        <v>967</v>
      </c>
      <c r="K2018" s="33" t="s">
        <v>6210</v>
      </c>
      <c r="L2018" s="31" t="s">
        <v>252</v>
      </c>
      <c r="O2018" s="31" t="s">
        <v>257</v>
      </c>
      <c r="P2018" s="31" t="s">
        <v>3194</v>
      </c>
    </row>
    <row r="2019">
      <c r="A2019" s="29">
        <v>45959.773658356484</v>
      </c>
      <c r="B2019" s="30">
        <v>45959.0</v>
      </c>
      <c r="C2019" s="31" t="s">
        <v>6211</v>
      </c>
      <c r="D2019" s="32" t="s">
        <v>6212</v>
      </c>
      <c r="E2019" s="31" t="s">
        <v>31</v>
      </c>
      <c r="F2019" s="31">
        <v>7600000.0</v>
      </c>
      <c r="G2019" s="31" t="s">
        <v>23</v>
      </c>
      <c r="H2019" s="31">
        <v>500000.0</v>
      </c>
      <c r="I2019" s="31" t="s">
        <v>413</v>
      </c>
      <c r="K2019" s="33" t="s">
        <v>6213</v>
      </c>
      <c r="L2019" s="31" t="s">
        <v>202</v>
      </c>
      <c r="M2019" s="31" t="s">
        <v>605</v>
      </c>
      <c r="N2019" s="31" t="s">
        <v>667</v>
      </c>
      <c r="U2019" s="31" t="s">
        <v>668</v>
      </c>
    </row>
    <row r="2020">
      <c r="A2020" s="29">
        <v>45959.77980096065</v>
      </c>
      <c r="B2020" s="30">
        <v>45959.0</v>
      </c>
      <c r="C2020" s="31" t="s">
        <v>6214</v>
      </c>
      <c r="D2020" s="32" t="s">
        <v>6215</v>
      </c>
      <c r="E2020" s="31" t="s">
        <v>43</v>
      </c>
      <c r="F2020" s="31">
        <v>3500000.0</v>
      </c>
      <c r="G2020" s="31" t="s">
        <v>23</v>
      </c>
      <c r="I2020" s="31" t="s">
        <v>229</v>
      </c>
      <c r="J2020" s="31" t="s">
        <v>967</v>
      </c>
      <c r="K2020" s="33" t="s">
        <v>6216</v>
      </c>
      <c r="L2020" s="31" t="s">
        <v>202</v>
      </c>
      <c r="N2020" s="31" t="s">
        <v>220</v>
      </c>
      <c r="S2020" s="31" t="s">
        <v>896</v>
      </c>
    </row>
    <row r="2021">
      <c r="A2021" s="29">
        <v>45959.78935517361</v>
      </c>
      <c r="B2021" s="30">
        <v>45959.0</v>
      </c>
      <c r="C2021" s="31" t="s">
        <v>6217</v>
      </c>
      <c r="D2021" s="32" t="s">
        <v>6218</v>
      </c>
      <c r="E2021" s="31" t="s">
        <v>43</v>
      </c>
      <c r="F2021" s="31">
        <v>3700000.0</v>
      </c>
      <c r="G2021" s="31" t="s">
        <v>23</v>
      </c>
      <c r="H2021" s="31">
        <v>1600000.0</v>
      </c>
      <c r="I2021" s="31" t="s">
        <v>413</v>
      </c>
      <c r="K2021" s="33" t="s">
        <v>6219</v>
      </c>
      <c r="L2021" s="31" t="s">
        <v>202</v>
      </c>
      <c r="M2021" s="31" t="s">
        <v>5638</v>
      </c>
      <c r="N2021" s="31" t="s">
        <v>220</v>
      </c>
      <c r="S2021" s="31" t="s">
        <v>5512</v>
      </c>
    </row>
    <row r="2022">
      <c r="A2022" s="29">
        <v>45959.793796666665</v>
      </c>
      <c r="B2022" s="30">
        <v>45959.0</v>
      </c>
      <c r="C2022" s="31" t="s">
        <v>6220</v>
      </c>
      <c r="D2022" s="32" t="s">
        <v>6221</v>
      </c>
      <c r="E2022" s="31" t="s">
        <v>43</v>
      </c>
      <c r="F2022" s="31">
        <v>8100000.0</v>
      </c>
      <c r="G2022" s="31" t="s">
        <v>23</v>
      </c>
      <c r="I2022" s="31" t="s">
        <v>229</v>
      </c>
      <c r="J2022" s="31" t="s">
        <v>967</v>
      </c>
      <c r="K2022" s="33" t="s">
        <v>6222</v>
      </c>
      <c r="L2022" s="31" t="s">
        <v>202</v>
      </c>
      <c r="N2022" s="31" t="s">
        <v>220</v>
      </c>
      <c r="S2022" s="31" t="s">
        <v>5670</v>
      </c>
    </row>
    <row r="2023">
      <c r="A2023" s="29">
        <v>45959.805937743055</v>
      </c>
      <c r="B2023" s="30">
        <v>45959.0</v>
      </c>
      <c r="C2023" s="31" t="s">
        <v>6223</v>
      </c>
      <c r="D2023" s="32" t="s">
        <v>6224</v>
      </c>
      <c r="E2023" s="31" t="s">
        <v>43</v>
      </c>
      <c r="F2023" s="31">
        <v>3000000.0</v>
      </c>
      <c r="G2023" s="31" t="s">
        <v>23</v>
      </c>
      <c r="H2023" s="31">
        <v>3000000.0</v>
      </c>
      <c r="I2023" s="31" t="s">
        <v>200</v>
      </c>
      <c r="K2023" s="33" t="s">
        <v>6225</v>
      </c>
      <c r="L2023" s="31" t="s">
        <v>252</v>
      </c>
      <c r="M2023" s="31" t="s">
        <v>203</v>
      </c>
      <c r="O2023" s="31" t="s">
        <v>205</v>
      </c>
      <c r="X2023" s="31" t="s">
        <v>253</v>
      </c>
    </row>
    <row r="2024">
      <c r="A2024" s="29">
        <v>45959.80925229167</v>
      </c>
      <c r="B2024" s="30">
        <v>45959.0</v>
      </c>
      <c r="C2024" s="31" t="s">
        <v>6226</v>
      </c>
      <c r="D2024" s="32" t="s">
        <v>6227</v>
      </c>
      <c r="E2024" s="31" t="s">
        <v>43</v>
      </c>
      <c r="F2024" s="31">
        <v>3000000.0</v>
      </c>
      <c r="G2024" s="31" t="s">
        <v>23</v>
      </c>
      <c r="H2024" s="31">
        <v>3000000.0</v>
      </c>
      <c r="I2024" s="31" t="s">
        <v>413</v>
      </c>
      <c r="K2024" s="33" t="s">
        <v>6228</v>
      </c>
      <c r="L2024" s="31" t="s">
        <v>252</v>
      </c>
      <c r="M2024" s="31" t="s">
        <v>5638</v>
      </c>
      <c r="O2024" s="31" t="s">
        <v>205</v>
      </c>
      <c r="X2024" s="31" t="s">
        <v>253</v>
      </c>
    </row>
    <row r="2025">
      <c r="A2025" s="29">
        <v>45959.81091211806</v>
      </c>
      <c r="B2025" s="30">
        <v>45959.0</v>
      </c>
      <c r="C2025" s="31" t="s">
        <v>6229</v>
      </c>
      <c r="D2025" s="32" t="s">
        <v>6230</v>
      </c>
      <c r="E2025" s="31" t="s">
        <v>43</v>
      </c>
      <c r="F2025" s="31">
        <v>6000000.0</v>
      </c>
      <c r="G2025" s="31" t="s">
        <v>23</v>
      </c>
      <c r="H2025" s="31">
        <v>1000000.0</v>
      </c>
      <c r="I2025" s="31" t="s">
        <v>413</v>
      </c>
      <c r="K2025" s="33" t="s">
        <v>6231</v>
      </c>
      <c r="L2025" s="31" t="s">
        <v>202</v>
      </c>
      <c r="M2025" s="31" t="s">
        <v>5638</v>
      </c>
      <c r="N2025" s="31" t="s">
        <v>220</v>
      </c>
      <c r="S2025" s="31" t="s">
        <v>536</v>
      </c>
    </row>
    <row r="2026">
      <c r="A2026" s="29">
        <v>45959.812699953705</v>
      </c>
      <c r="B2026" s="30">
        <v>45959.0</v>
      </c>
      <c r="C2026" s="31" t="s">
        <v>6232</v>
      </c>
      <c r="D2026" s="32" t="s">
        <v>6233</v>
      </c>
      <c r="E2026" s="31" t="s">
        <v>288</v>
      </c>
      <c r="F2026" s="31">
        <v>50.0</v>
      </c>
      <c r="G2026" s="31" t="s">
        <v>23</v>
      </c>
      <c r="H2026" s="31">
        <v>3000000.0</v>
      </c>
      <c r="I2026" s="31" t="s">
        <v>413</v>
      </c>
      <c r="K2026" s="33" t="s">
        <v>6234</v>
      </c>
      <c r="L2026" s="31" t="s">
        <v>202</v>
      </c>
      <c r="M2026" s="31" t="s">
        <v>5638</v>
      </c>
      <c r="N2026" s="31" t="s">
        <v>313</v>
      </c>
      <c r="T2026" s="31" t="s">
        <v>4272</v>
      </c>
    </row>
    <row r="2027">
      <c r="A2027" s="29">
        <v>45959.83191412037</v>
      </c>
      <c r="B2027" s="30">
        <v>45959.0</v>
      </c>
      <c r="C2027" s="31" t="s">
        <v>6235</v>
      </c>
      <c r="D2027" s="32" t="s">
        <v>6236</v>
      </c>
      <c r="E2027" s="31" t="s">
        <v>43</v>
      </c>
      <c r="F2027" s="31">
        <v>5000000.0</v>
      </c>
      <c r="G2027" s="31" t="s">
        <v>23</v>
      </c>
      <c r="I2027" s="31" t="s">
        <v>229</v>
      </c>
      <c r="J2027" s="31" t="s">
        <v>967</v>
      </c>
      <c r="K2027" s="33" t="s">
        <v>6237</v>
      </c>
      <c r="L2027" s="31" t="s">
        <v>202</v>
      </c>
      <c r="N2027" s="31" t="s">
        <v>220</v>
      </c>
      <c r="S2027" s="31" t="s">
        <v>466</v>
      </c>
    </row>
    <row r="2028">
      <c r="A2028" s="29">
        <v>45959.83331261574</v>
      </c>
      <c r="B2028" s="30">
        <v>45959.0</v>
      </c>
      <c r="C2028" s="31" t="s">
        <v>6238</v>
      </c>
      <c r="D2028" s="32" t="s">
        <v>6239</v>
      </c>
      <c r="E2028" s="31" t="s">
        <v>228</v>
      </c>
      <c r="F2028" s="31">
        <v>3200000.0</v>
      </c>
      <c r="G2028" s="31" t="s">
        <v>23</v>
      </c>
      <c r="I2028" s="31" t="s">
        <v>229</v>
      </c>
      <c r="J2028" s="31" t="s">
        <v>967</v>
      </c>
      <c r="K2028" s="33" t="s">
        <v>6240</v>
      </c>
      <c r="L2028" s="31" t="s">
        <v>202</v>
      </c>
      <c r="N2028" s="31" t="s">
        <v>220</v>
      </c>
      <c r="S2028" s="31" t="s">
        <v>59</v>
      </c>
    </row>
    <row r="2029">
      <c r="A2029" s="29">
        <v>45959.834314907406</v>
      </c>
      <c r="B2029" s="30">
        <v>45959.0</v>
      </c>
      <c r="C2029" s="31" t="s">
        <v>6241</v>
      </c>
      <c r="D2029" s="32" t="s">
        <v>6242</v>
      </c>
      <c r="E2029" s="31" t="s">
        <v>43</v>
      </c>
      <c r="F2029" s="31">
        <v>4200000.0</v>
      </c>
      <c r="G2029" s="31" t="s">
        <v>23</v>
      </c>
      <c r="H2029" s="31">
        <v>3000000.0</v>
      </c>
      <c r="I2029" s="31" t="s">
        <v>200</v>
      </c>
      <c r="K2029" s="33" t="s">
        <v>6243</v>
      </c>
      <c r="L2029" s="31" t="s">
        <v>252</v>
      </c>
      <c r="M2029" s="31" t="s">
        <v>203</v>
      </c>
      <c r="O2029" s="31" t="s">
        <v>205</v>
      </c>
      <c r="X2029" s="31" t="s">
        <v>2335</v>
      </c>
    </row>
    <row r="2030">
      <c r="A2030" s="29">
        <v>45959.843298402775</v>
      </c>
      <c r="B2030" s="30">
        <v>45959.0</v>
      </c>
      <c r="C2030" s="31" t="s">
        <v>6244</v>
      </c>
      <c r="D2030" s="32" t="s">
        <v>6245</v>
      </c>
      <c r="E2030" s="31" t="s">
        <v>6246</v>
      </c>
      <c r="F2030" s="31">
        <v>5000000.0</v>
      </c>
      <c r="G2030" s="31" t="s">
        <v>23</v>
      </c>
      <c r="I2030" s="31" t="s">
        <v>229</v>
      </c>
      <c r="J2030" s="31" t="s">
        <v>967</v>
      </c>
      <c r="K2030" s="33" t="s">
        <v>6247</v>
      </c>
      <c r="L2030" s="31" t="s">
        <v>202</v>
      </c>
      <c r="N2030" s="31" t="s">
        <v>220</v>
      </c>
      <c r="S2030" s="31" t="s">
        <v>1406</v>
      </c>
    </row>
    <row r="2031">
      <c r="A2031" s="29">
        <v>45959.851951041666</v>
      </c>
      <c r="B2031" s="30">
        <v>45959.0</v>
      </c>
      <c r="C2031" s="31" t="s">
        <v>6248</v>
      </c>
      <c r="D2031" s="32" t="s">
        <v>6249</v>
      </c>
      <c r="E2031" s="31" t="s">
        <v>288</v>
      </c>
      <c r="F2031" s="31">
        <v>2000000.0</v>
      </c>
      <c r="G2031" s="31" t="s">
        <v>23</v>
      </c>
      <c r="I2031" s="31" t="s">
        <v>229</v>
      </c>
      <c r="J2031" s="31" t="s">
        <v>967</v>
      </c>
      <c r="K2031" s="33" t="s">
        <v>6250</v>
      </c>
      <c r="L2031" s="31" t="s">
        <v>202</v>
      </c>
      <c r="N2031" s="31" t="s">
        <v>204</v>
      </c>
      <c r="R2031" s="31" t="s">
        <v>892</v>
      </c>
    </row>
    <row r="2032">
      <c r="A2032" s="29">
        <v>45959.857185</v>
      </c>
      <c r="B2032" s="30">
        <v>45959.0</v>
      </c>
      <c r="C2032" s="31" t="s">
        <v>6251</v>
      </c>
      <c r="D2032" s="32" t="s">
        <v>6252</v>
      </c>
      <c r="E2032" s="31" t="s">
        <v>43</v>
      </c>
      <c r="F2032" s="31">
        <v>5000000.0</v>
      </c>
      <c r="G2032" s="31" t="s">
        <v>23</v>
      </c>
      <c r="I2032" s="31" t="s">
        <v>229</v>
      </c>
      <c r="J2032" s="31" t="s">
        <v>967</v>
      </c>
      <c r="K2032" s="33" t="s">
        <v>6253</v>
      </c>
      <c r="L2032" s="31" t="s">
        <v>202</v>
      </c>
      <c r="N2032" s="31" t="s">
        <v>220</v>
      </c>
      <c r="S2032" s="31" t="s">
        <v>124</v>
      </c>
    </row>
    <row r="2033">
      <c r="A2033" s="29">
        <v>45959.85778493056</v>
      </c>
      <c r="B2033" s="30">
        <v>45959.0</v>
      </c>
      <c r="C2033" s="31" t="s">
        <v>6254</v>
      </c>
      <c r="D2033" s="32" t="s">
        <v>6255</v>
      </c>
      <c r="E2033" s="31" t="s">
        <v>43</v>
      </c>
      <c r="F2033" s="31">
        <v>6600000.0</v>
      </c>
      <c r="G2033" s="31" t="s">
        <v>23</v>
      </c>
      <c r="I2033" s="31" t="s">
        <v>229</v>
      </c>
      <c r="J2033" s="31" t="s">
        <v>967</v>
      </c>
      <c r="K2033" s="33" t="s">
        <v>6256</v>
      </c>
      <c r="L2033" s="31" t="s">
        <v>202</v>
      </c>
      <c r="N2033" s="31" t="s">
        <v>220</v>
      </c>
      <c r="S2033" s="31" t="s">
        <v>896</v>
      </c>
    </row>
    <row r="2034">
      <c r="A2034" s="29">
        <v>45959.858922824074</v>
      </c>
      <c r="B2034" s="30">
        <v>45959.0</v>
      </c>
      <c r="C2034" s="31" t="s">
        <v>6257</v>
      </c>
      <c r="D2034" s="32" t="s">
        <v>6258</v>
      </c>
      <c r="E2034" s="31" t="s">
        <v>31</v>
      </c>
      <c r="F2034" s="31">
        <v>1.0E8</v>
      </c>
      <c r="G2034" s="31" t="s">
        <v>23</v>
      </c>
      <c r="I2034" s="31" t="s">
        <v>229</v>
      </c>
      <c r="J2034" s="31" t="s">
        <v>967</v>
      </c>
      <c r="K2034" s="33" t="s">
        <v>6259</v>
      </c>
      <c r="L2034" s="31" t="s">
        <v>202</v>
      </c>
      <c r="N2034" s="31" t="s">
        <v>204</v>
      </c>
      <c r="R2034" s="31" t="s">
        <v>471</v>
      </c>
    </row>
    <row r="2035">
      <c r="A2035" s="29">
        <v>45959.8628346412</v>
      </c>
      <c r="B2035" s="30">
        <v>45959.0</v>
      </c>
      <c r="C2035" s="31" t="s">
        <v>6260</v>
      </c>
      <c r="D2035" s="32" t="s">
        <v>6261</v>
      </c>
      <c r="E2035" s="31" t="s">
        <v>239</v>
      </c>
      <c r="F2035" s="34">
        <v>3000.0</v>
      </c>
      <c r="G2035" s="31" t="s">
        <v>23</v>
      </c>
      <c r="I2035" s="31" t="s">
        <v>229</v>
      </c>
      <c r="J2035" s="31" t="s">
        <v>967</v>
      </c>
      <c r="K2035" s="33" t="s">
        <v>6262</v>
      </c>
      <c r="L2035" s="31" t="s">
        <v>202</v>
      </c>
      <c r="N2035" s="31" t="s">
        <v>204</v>
      </c>
      <c r="R2035" s="31" t="s">
        <v>167</v>
      </c>
    </row>
    <row r="2036">
      <c r="A2036" s="29">
        <v>45959.864337245366</v>
      </c>
      <c r="B2036" s="30">
        <v>45959.0</v>
      </c>
      <c r="C2036" s="31" t="s">
        <v>6263</v>
      </c>
      <c r="D2036" s="31">
        <v>8.2145707365E10</v>
      </c>
      <c r="E2036" s="31" t="s">
        <v>288</v>
      </c>
      <c r="F2036" s="34">
        <v>4000.0</v>
      </c>
      <c r="G2036" s="31" t="s">
        <v>23</v>
      </c>
      <c r="I2036" s="31" t="s">
        <v>229</v>
      </c>
      <c r="J2036" s="31" t="s">
        <v>967</v>
      </c>
      <c r="K2036" s="33" t="s">
        <v>6264</v>
      </c>
      <c r="L2036" s="31" t="s">
        <v>202</v>
      </c>
      <c r="N2036" s="31" t="s">
        <v>204</v>
      </c>
      <c r="R2036" s="31" t="s">
        <v>167</v>
      </c>
    </row>
    <row r="2037">
      <c r="A2037" s="29">
        <v>45959.86751085648</v>
      </c>
      <c r="B2037" s="30">
        <v>45959.0</v>
      </c>
      <c r="C2037" s="31" t="s">
        <v>6265</v>
      </c>
      <c r="D2037" s="32" t="s">
        <v>6266</v>
      </c>
      <c r="E2037" s="31" t="s">
        <v>43</v>
      </c>
      <c r="F2037" s="31">
        <v>5000000.0</v>
      </c>
      <c r="G2037" s="31" t="s">
        <v>23</v>
      </c>
      <c r="I2037" s="31" t="s">
        <v>229</v>
      </c>
      <c r="J2037" s="31" t="s">
        <v>967</v>
      </c>
      <c r="K2037" s="33" t="s">
        <v>6267</v>
      </c>
      <c r="L2037" s="31" t="s">
        <v>252</v>
      </c>
      <c r="O2037" s="31" t="s">
        <v>205</v>
      </c>
      <c r="X2037" s="31" t="s">
        <v>1471</v>
      </c>
    </row>
    <row r="2038">
      <c r="A2038" s="29">
        <v>45959.895494930555</v>
      </c>
      <c r="B2038" s="30">
        <v>45959.0</v>
      </c>
      <c r="C2038" s="31" t="s">
        <v>6268</v>
      </c>
      <c r="D2038" s="32" t="s">
        <v>6269</v>
      </c>
      <c r="E2038" s="31" t="s">
        <v>31</v>
      </c>
      <c r="F2038" s="31">
        <v>6400000.0</v>
      </c>
      <c r="G2038" s="31" t="s">
        <v>23</v>
      </c>
      <c r="I2038" s="31" t="s">
        <v>229</v>
      </c>
      <c r="J2038" s="31" t="s">
        <v>967</v>
      </c>
      <c r="K2038" s="33" t="s">
        <v>6270</v>
      </c>
      <c r="L2038" s="31" t="s">
        <v>202</v>
      </c>
      <c r="N2038" s="31" t="s">
        <v>204</v>
      </c>
      <c r="R2038" s="31" t="s">
        <v>53</v>
      </c>
    </row>
    <row r="2039">
      <c r="A2039" s="29">
        <v>45960.380259004625</v>
      </c>
      <c r="B2039" s="30">
        <v>45960.0</v>
      </c>
      <c r="C2039" s="31" t="s">
        <v>6271</v>
      </c>
      <c r="D2039" s="32" t="s">
        <v>6272</v>
      </c>
      <c r="E2039" s="31" t="s">
        <v>288</v>
      </c>
      <c r="F2039" s="31">
        <v>2500000.0</v>
      </c>
      <c r="G2039" s="31" t="s">
        <v>23</v>
      </c>
      <c r="H2039" s="31">
        <v>3000000.0</v>
      </c>
      <c r="I2039" s="31" t="s">
        <v>413</v>
      </c>
      <c r="K2039" s="33" t="s">
        <v>6273</v>
      </c>
      <c r="L2039" s="31" t="s">
        <v>202</v>
      </c>
      <c r="M2039" s="31" t="s">
        <v>926</v>
      </c>
      <c r="N2039" s="31" t="s">
        <v>220</v>
      </c>
      <c r="S2039" s="31" t="s">
        <v>913</v>
      </c>
    </row>
    <row r="2040">
      <c r="A2040" s="29">
        <v>45960.407991921296</v>
      </c>
      <c r="B2040" s="30">
        <v>45960.0</v>
      </c>
      <c r="C2040" s="31" t="s">
        <v>6274</v>
      </c>
      <c r="D2040" s="32" t="s">
        <v>6275</v>
      </c>
      <c r="E2040" s="31" t="s">
        <v>43</v>
      </c>
      <c r="F2040" s="31">
        <v>3400000.0</v>
      </c>
      <c r="G2040" s="31" t="s">
        <v>45</v>
      </c>
      <c r="I2040" s="31" t="s">
        <v>229</v>
      </c>
      <c r="J2040" s="31" t="s">
        <v>165</v>
      </c>
      <c r="K2040" s="33" t="s">
        <v>6276</v>
      </c>
      <c r="L2040" s="31" t="s">
        <v>252</v>
      </c>
      <c r="O2040" s="31" t="s">
        <v>205</v>
      </c>
      <c r="X2040" s="31" t="s">
        <v>2335</v>
      </c>
    </row>
    <row r="2041">
      <c r="A2041" s="29">
        <v>45960.42239140046</v>
      </c>
      <c r="B2041" s="30">
        <v>45960.0</v>
      </c>
      <c r="C2041" s="31" t="s">
        <v>6277</v>
      </c>
      <c r="D2041" s="31">
        <v>0.0</v>
      </c>
      <c r="E2041" s="31" t="s">
        <v>43</v>
      </c>
      <c r="F2041" s="32" t="s">
        <v>6278</v>
      </c>
      <c r="G2041" s="31" t="s">
        <v>23</v>
      </c>
      <c r="I2041" s="31" t="s">
        <v>229</v>
      </c>
      <c r="J2041" s="31" t="s">
        <v>967</v>
      </c>
      <c r="K2041" s="33" t="s">
        <v>6279</v>
      </c>
      <c r="L2041" s="31" t="s">
        <v>252</v>
      </c>
      <c r="O2041" s="31" t="s">
        <v>257</v>
      </c>
      <c r="P2041" s="31" t="s">
        <v>992</v>
      </c>
    </row>
    <row r="2042">
      <c r="A2042" s="29">
        <v>45960.43947203703</v>
      </c>
      <c r="B2042" s="30">
        <v>45960.0</v>
      </c>
      <c r="C2042" s="31" t="s">
        <v>6280</v>
      </c>
      <c r="D2042" s="32" t="s">
        <v>6281</v>
      </c>
      <c r="E2042" s="31" t="s">
        <v>239</v>
      </c>
      <c r="F2042" s="31">
        <v>4000000.0</v>
      </c>
      <c r="G2042" s="31" t="s">
        <v>23</v>
      </c>
      <c r="I2042" s="31" t="s">
        <v>229</v>
      </c>
      <c r="J2042" s="31" t="s">
        <v>967</v>
      </c>
      <c r="K2042" s="33" t="s">
        <v>6282</v>
      </c>
      <c r="L2042" s="31" t="s">
        <v>202</v>
      </c>
      <c r="N2042" s="31" t="s">
        <v>220</v>
      </c>
      <c r="S2042" s="31" t="s">
        <v>5697</v>
      </c>
    </row>
    <row r="2043">
      <c r="A2043" s="29">
        <v>45960.44338802084</v>
      </c>
      <c r="B2043" s="30">
        <v>45960.0</v>
      </c>
      <c r="C2043" s="31" t="s">
        <v>6283</v>
      </c>
      <c r="D2043" s="32" t="s">
        <v>6284</v>
      </c>
      <c r="E2043" s="31" t="s">
        <v>199</v>
      </c>
      <c r="F2043" s="31">
        <v>3500000.0</v>
      </c>
      <c r="G2043" s="31" t="s">
        <v>23</v>
      </c>
      <c r="H2043" s="31">
        <v>5000000.0</v>
      </c>
      <c r="I2043" s="31" t="s">
        <v>413</v>
      </c>
      <c r="K2043" s="33" t="s">
        <v>6285</v>
      </c>
      <c r="L2043" s="31" t="s">
        <v>202</v>
      </c>
      <c r="M2043" s="31" t="s">
        <v>203</v>
      </c>
      <c r="N2043" s="31" t="s">
        <v>204</v>
      </c>
      <c r="R2043" s="31" t="s">
        <v>207</v>
      </c>
    </row>
    <row r="2044">
      <c r="A2044" s="29">
        <v>45960.447006608796</v>
      </c>
      <c r="B2044" s="30">
        <v>45960.0</v>
      </c>
      <c r="C2044" s="31" t="s">
        <v>6286</v>
      </c>
      <c r="D2044" s="32" t="s">
        <v>6169</v>
      </c>
      <c r="E2044" s="31" t="s">
        <v>43</v>
      </c>
      <c r="F2044" s="31">
        <v>3400000.0</v>
      </c>
      <c r="G2044" s="31" t="s">
        <v>23</v>
      </c>
      <c r="H2044" s="31">
        <v>9836000.0</v>
      </c>
      <c r="I2044" s="31" t="s">
        <v>200</v>
      </c>
      <c r="K2044" s="33" t="s">
        <v>6287</v>
      </c>
      <c r="L2044" s="31" t="s">
        <v>252</v>
      </c>
      <c r="M2044" s="31" t="s">
        <v>203</v>
      </c>
      <c r="O2044" s="31" t="s">
        <v>257</v>
      </c>
      <c r="P2044" s="31" t="s">
        <v>2453</v>
      </c>
    </row>
    <row r="2045">
      <c r="A2045" s="29">
        <v>45960.45439380787</v>
      </c>
      <c r="B2045" s="30">
        <v>45960.0</v>
      </c>
      <c r="C2045" s="31" t="s">
        <v>6288</v>
      </c>
      <c r="D2045" s="32" t="s">
        <v>6289</v>
      </c>
      <c r="E2045" s="31" t="s">
        <v>43</v>
      </c>
      <c r="F2045" s="31">
        <v>5700000.0</v>
      </c>
      <c r="G2045" s="31" t="s">
        <v>45</v>
      </c>
      <c r="I2045" s="31" t="s">
        <v>229</v>
      </c>
      <c r="J2045" s="31" t="s">
        <v>967</v>
      </c>
      <c r="K2045" s="33" t="s">
        <v>6290</v>
      </c>
      <c r="L2045" s="31" t="s">
        <v>202</v>
      </c>
      <c r="N2045" s="31" t="s">
        <v>667</v>
      </c>
      <c r="U2045" s="31" t="s">
        <v>668</v>
      </c>
    </row>
    <row r="2046">
      <c r="A2046" s="29">
        <v>45960.48895293981</v>
      </c>
      <c r="B2046" s="30">
        <v>45960.0</v>
      </c>
      <c r="C2046" s="31" t="s">
        <v>6291</v>
      </c>
      <c r="D2046" s="32" t="s">
        <v>6292</v>
      </c>
      <c r="E2046" s="31" t="s">
        <v>43</v>
      </c>
      <c r="F2046" s="31">
        <v>4200000.0</v>
      </c>
      <c r="G2046" s="31" t="s">
        <v>23</v>
      </c>
      <c r="H2046" s="31">
        <v>3000000.0</v>
      </c>
      <c r="I2046" s="31" t="s">
        <v>200</v>
      </c>
      <c r="K2046" s="33" t="s">
        <v>6293</v>
      </c>
      <c r="L2046" s="31" t="s">
        <v>252</v>
      </c>
      <c r="M2046" s="31" t="s">
        <v>203</v>
      </c>
      <c r="O2046" s="31" t="s">
        <v>205</v>
      </c>
      <c r="X2046" s="31" t="s">
        <v>2335</v>
      </c>
    </row>
    <row r="2047">
      <c r="A2047" s="29">
        <v>45960.49041787037</v>
      </c>
      <c r="B2047" s="30">
        <v>45960.0</v>
      </c>
      <c r="C2047" s="31" t="s">
        <v>6294</v>
      </c>
      <c r="D2047" s="32" t="s">
        <v>6295</v>
      </c>
      <c r="E2047" s="31" t="s">
        <v>43</v>
      </c>
      <c r="F2047" s="31">
        <v>3000000.0</v>
      </c>
      <c r="G2047" s="31" t="s">
        <v>23</v>
      </c>
      <c r="H2047" s="31">
        <v>3000000.0</v>
      </c>
      <c r="I2047" s="31" t="s">
        <v>413</v>
      </c>
      <c r="K2047" s="33" t="s">
        <v>6296</v>
      </c>
      <c r="L2047" s="31" t="s">
        <v>202</v>
      </c>
      <c r="M2047" s="31" t="s">
        <v>5638</v>
      </c>
      <c r="N2047" s="31" t="s">
        <v>871</v>
      </c>
      <c r="Q2047" s="31" t="s">
        <v>872</v>
      </c>
    </row>
    <row r="2048">
      <c r="A2048" s="29">
        <v>45960.49476244213</v>
      </c>
      <c r="B2048" s="30">
        <v>45960.0</v>
      </c>
      <c r="C2048" s="31" t="s">
        <v>6297</v>
      </c>
      <c r="D2048" s="32" t="s">
        <v>5806</v>
      </c>
      <c r="E2048" s="31" t="s">
        <v>43</v>
      </c>
      <c r="F2048" s="31">
        <v>1500000.0</v>
      </c>
      <c r="G2048" s="31" t="s">
        <v>23</v>
      </c>
      <c r="I2048" s="31" t="s">
        <v>229</v>
      </c>
      <c r="J2048" s="31" t="s">
        <v>967</v>
      </c>
      <c r="K2048" s="33" t="s">
        <v>6298</v>
      </c>
      <c r="L2048" s="31" t="s">
        <v>202</v>
      </c>
      <c r="N2048" s="31" t="s">
        <v>667</v>
      </c>
      <c r="U2048" s="31" t="s">
        <v>3950</v>
      </c>
    </row>
    <row r="2049">
      <c r="A2049" s="29">
        <v>45960.49874013889</v>
      </c>
      <c r="B2049" s="30">
        <v>45960.0</v>
      </c>
      <c r="C2049" s="31" t="s">
        <v>6299</v>
      </c>
      <c r="D2049" s="32" t="s">
        <v>6300</v>
      </c>
      <c r="E2049" s="31" t="s">
        <v>43</v>
      </c>
      <c r="F2049" s="31">
        <v>6500000.0</v>
      </c>
      <c r="G2049" s="31" t="s">
        <v>23</v>
      </c>
      <c r="H2049" s="31">
        <v>6000000.0</v>
      </c>
      <c r="I2049" s="31" t="s">
        <v>413</v>
      </c>
      <c r="K2049" s="33" t="s">
        <v>6301</v>
      </c>
      <c r="L2049" s="31" t="s">
        <v>202</v>
      </c>
      <c r="M2049" s="31" t="s">
        <v>5638</v>
      </c>
      <c r="N2049" s="31" t="s">
        <v>220</v>
      </c>
      <c r="S2049" s="31" t="s">
        <v>5512</v>
      </c>
    </row>
    <row r="2050">
      <c r="A2050" s="29">
        <v>45960.50569697916</v>
      </c>
      <c r="B2050" s="30">
        <v>45960.0</v>
      </c>
      <c r="C2050" s="31" t="s">
        <v>6302</v>
      </c>
      <c r="D2050" s="32" t="s">
        <v>6303</v>
      </c>
      <c r="E2050" s="31" t="s">
        <v>228</v>
      </c>
      <c r="F2050" s="31">
        <v>8600000.0</v>
      </c>
      <c r="G2050" s="31" t="s">
        <v>23</v>
      </c>
      <c r="I2050" s="31" t="s">
        <v>229</v>
      </c>
      <c r="J2050" s="31" t="s">
        <v>967</v>
      </c>
      <c r="K2050" s="33" t="s">
        <v>6304</v>
      </c>
      <c r="L2050" s="31" t="s">
        <v>252</v>
      </c>
      <c r="O2050" s="31" t="s">
        <v>257</v>
      </c>
      <c r="P2050" s="31" t="s">
        <v>258</v>
      </c>
    </row>
    <row r="2051">
      <c r="A2051" s="29">
        <v>45960.51415695602</v>
      </c>
      <c r="B2051" s="30">
        <v>45960.0</v>
      </c>
      <c r="C2051" s="31" t="s">
        <v>6305</v>
      </c>
      <c r="D2051" s="32" t="s">
        <v>6306</v>
      </c>
      <c r="E2051" s="31" t="s">
        <v>239</v>
      </c>
      <c r="F2051" s="31">
        <v>3000000.0</v>
      </c>
      <c r="G2051" s="31" t="s">
        <v>23</v>
      </c>
      <c r="I2051" s="31" t="s">
        <v>229</v>
      </c>
      <c r="J2051" s="31" t="s">
        <v>967</v>
      </c>
      <c r="K2051" s="33" t="s">
        <v>6307</v>
      </c>
      <c r="L2051" s="31" t="s">
        <v>202</v>
      </c>
      <c r="N2051" s="31" t="s">
        <v>871</v>
      </c>
      <c r="Q2051" s="31" t="s">
        <v>872</v>
      </c>
    </row>
    <row r="2052">
      <c r="A2052" s="29">
        <v>45960.53228262732</v>
      </c>
      <c r="B2052" s="30">
        <v>45960.0</v>
      </c>
      <c r="C2052" s="31" t="s">
        <v>6308</v>
      </c>
      <c r="D2052" s="32" t="s">
        <v>6309</v>
      </c>
      <c r="E2052" s="31" t="s">
        <v>43</v>
      </c>
      <c r="F2052" s="31">
        <v>3000000.0</v>
      </c>
      <c r="G2052" s="31" t="s">
        <v>23</v>
      </c>
      <c r="I2052" s="31" t="s">
        <v>229</v>
      </c>
      <c r="J2052" s="31" t="s">
        <v>967</v>
      </c>
      <c r="K2052" s="33" t="s">
        <v>6310</v>
      </c>
      <c r="L2052" s="31" t="s">
        <v>252</v>
      </c>
      <c r="O2052" s="31" t="s">
        <v>205</v>
      </c>
      <c r="X2052" s="31" t="s">
        <v>549</v>
      </c>
    </row>
    <row r="2053">
      <c r="A2053" s="29">
        <v>45960.535948125005</v>
      </c>
      <c r="B2053" s="30">
        <v>45960.0</v>
      </c>
      <c r="C2053" s="31" t="s">
        <v>6311</v>
      </c>
      <c r="D2053" s="32" t="s">
        <v>6312</v>
      </c>
      <c r="E2053" s="31" t="s">
        <v>2011</v>
      </c>
      <c r="F2053" s="31">
        <v>3500000.0</v>
      </c>
      <c r="G2053" s="31" t="s">
        <v>23</v>
      </c>
      <c r="I2053" s="31" t="s">
        <v>229</v>
      </c>
      <c r="J2053" s="31" t="s">
        <v>967</v>
      </c>
      <c r="K2053" s="33" t="s">
        <v>6313</v>
      </c>
      <c r="L2053" s="31" t="s">
        <v>202</v>
      </c>
      <c r="N2053" s="31" t="s">
        <v>204</v>
      </c>
      <c r="R2053" s="31" t="s">
        <v>98</v>
      </c>
    </row>
    <row r="2054">
      <c r="A2054" s="29">
        <v>45960.561782881945</v>
      </c>
      <c r="B2054" s="30">
        <v>45960.0</v>
      </c>
      <c r="C2054" s="31" t="s">
        <v>6314</v>
      </c>
      <c r="D2054" s="32" t="s">
        <v>6315</v>
      </c>
      <c r="E2054" s="31" t="s">
        <v>43</v>
      </c>
      <c r="F2054" s="31">
        <v>3000000.0</v>
      </c>
      <c r="G2054" s="31" t="s">
        <v>23</v>
      </c>
      <c r="I2054" s="31" t="s">
        <v>229</v>
      </c>
      <c r="J2054" s="31" t="s">
        <v>967</v>
      </c>
      <c r="K2054" s="33" t="s">
        <v>6316</v>
      </c>
      <c r="L2054" s="31" t="s">
        <v>202</v>
      </c>
      <c r="N2054" s="31" t="s">
        <v>204</v>
      </c>
      <c r="R2054" s="31" t="s">
        <v>5256</v>
      </c>
    </row>
    <row r="2055">
      <c r="A2055" s="29">
        <v>45960.57641861111</v>
      </c>
      <c r="B2055" s="30">
        <v>45960.0</v>
      </c>
      <c r="C2055" s="31" t="s">
        <v>6317</v>
      </c>
      <c r="D2055" s="32" t="s">
        <v>6318</v>
      </c>
      <c r="E2055" s="31" t="s">
        <v>43</v>
      </c>
      <c r="F2055" s="31">
        <v>7000000.0</v>
      </c>
      <c r="G2055" s="31" t="s">
        <v>23</v>
      </c>
      <c r="H2055" s="31">
        <v>3000000.0</v>
      </c>
      <c r="I2055" s="31" t="s">
        <v>413</v>
      </c>
      <c r="K2055" s="33" t="s">
        <v>6319</v>
      </c>
      <c r="L2055" s="31" t="s">
        <v>252</v>
      </c>
      <c r="M2055" s="31" t="s">
        <v>5638</v>
      </c>
      <c r="O2055" s="31" t="s">
        <v>257</v>
      </c>
      <c r="P2055" s="31" t="s">
        <v>3194</v>
      </c>
    </row>
    <row r="2056">
      <c r="A2056" s="29">
        <v>45960.58797482639</v>
      </c>
      <c r="B2056" s="30">
        <v>45960.0</v>
      </c>
      <c r="C2056" s="31" t="s">
        <v>6320</v>
      </c>
      <c r="D2056" s="32" t="s">
        <v>6321</v>
      </c>
      <c r="E2056" s="31" t="s">
        <v>213</v>
      </c>
      <c r="F2056" s="31">
        <v>8300000.0</v>
      </c>
      <c r="G2056" s="31" t="s">
        <v>23</v>
      </c>
      <c r="H2056" s="31">
        <v>3000000.0</v>
      </c>
      <c r="I2056" s="31" t="s">
        <v>200</v>
      </c>
      <c r="K2056" s="33" t="s">
        <v>6322</v>
      </c>
      <c r="L2056" s="31" t="s">
        <v>252</v>
      </c>
      <c r="M2056" s="31" t="s">
        <v>5638</v>
      </c>
      <c r="O2056" s="31" t="s">
        <v>205</v>
      </c>
      <c r="X2056" s="31" t="s">
        <v>716</v>
      </c>
    </row>
    <row r="2057">
      <c r="A2057" s="29">
        <v>45960.600862453706</v>
      </c>
      <c r="B2057" s="30">
        <v>45960.0</v>
      </c>
      <c r="C2057" s="31" t="s">
        <v>6323</v>
      </c>
      <c r="D2057" s="32" t="s">
        <v>6324</v>
      </c>
      <c r="E2057" s="31" t="s">
        <v>43</v>
      </c>
      <c r="F2057" s="31">
        <v>5700000.0</v>
      </c>
      <c r="G2057" s="31" t="s">
        <v>23</v>
      </c>
      <c r="I2057" s="31" t="s">
        <v>229</v>
      </c>
      <c r="J2057" s="31" t="s">
        <v>967</v>
      </c>
      <c r="K2057" s="33" t="s">
        <v>6325</v>
      </c>
      <c r="L2057" s="31" t="s">
        <v>202</v>
      </c>
      <c r="N2057" s="31" t="s">
        <v>220</v>
      </c>
      <c r="S2057" s="31" t="s">
        <v>536</v>
      </c>
    </row>
    <row r="2058">
      <c r="A2058" s="29">
        <v>45960.606050347225</v>
      </c>
      <c r="B2058" s="30">
        <v>45960.0</v>
      </c>
      <c r="C2058" s="31" t="s">
        <v>6326</v>
      </c>
      <c r="D2058" s="32" t="s">
        <v>6327</v>
      </c>
      <c r="E2058" s="31" t="s">
        <v>288</v>
      </c>
      <c r="F2058" s="31">
        <v>3000000.0</v>
      </c>
      <c r="G2058" s="31" t="s">
        <v>23</v>
      </c>
      <c r="H2058" s="31">
        <v>3000000.0</v>
      </c>
      <c r="I2058" s="31" t="s">
        <v>413</v>
      </c>
      <c r="K2058" s="33" t="s">
        <v>6328</v>
      </c>
      <c r="L2058" s="31" t="s">
        <v>202</v>
      </c>
      <c r="M2058" s="31" t="s">
        <v>203</v>
      </c>
      <c r="N2058" s="31" t="s">
        <v>871</v>
      </c>
      <c r="Q2058" s="31" t="s">
        <v>872</v>
      </c>
    </row>
    <row r="2059">
      <c r="A2059" s="29">
        <v>45960.70169503472</v>
      </c>
      <c r="B2059" s="30">
        <v>45960.0</v>
      </c>
      <c r="C2059" s="31" t="s">
        <v>6329</v>
      </c>
      <c r="D2059" s="32" t="s">
        <v>6330</v>
      </c>
      <c r="E2059" s="31" t="s">
        <v>43</v>
      </c>
      <c r="F2059" s="31">
        <v>2000000.0</v>
      </c>
      <c r="G2059" s="31" t="s">
        <v>23</v>
      </c>
      <c r="I2059" s="31" t="s">
        <v>229</v>
      </c>
      <c r="J2059" s="31" t="s">
        <v>967</v>
      </c>
      <c r="K2059" s="33" t="s">
        <v>6331</v>
      </c>
      <c r="L2059" s="31" t="s">
        <v>252</v>
      </c>
      <c r="O2059" s="31" t="s">
        <v>205</v>
      </c>
      <c r="X2059" s="31" t="s">
        <v>549</v>
      </c>
    </row>
    <row r="2060">
      <c r="A2060" s="29">
        <v>45960.70743587963</v>
      </c>
      <c r="B2060" s="30">
        <v>45960.0</v>
      </c>
      <c r="C2060" s="31" t="s">
        <v>6332</v>
      </c>
      <c r="D2060" s="32" t="s">
        <v>6333</v>
      </c>
      <c r="E2060" s="31" t="s">
        <v>6334</v>
      </c>
      <c r="F2060" s="31">
        <v>3000000.0</v>
      </c>
      <c r="G2060" s="31" t="s">
        <v>23</v>
      </c>
      <c r="I2060" s="31" t="s">
        <v>229</v>
      </c>
      <c r="J2060" s="31" t="s">
        <v>967</v>
      </c>
      <c r="K2060" s="33" t="s">
        <v>6335</v>
      </c>
      <c r="L2060" s="31" t="s">
        <v>202</v>
      </c>
      <c r="N2060" s="31" t="s">
        <v>220</v>
      </c>
      <c r="S2060" s="31" t="s">
        <v>5512</v>
      </c>
    </row>
    <row r="2061">
      <c r="A2061" s="29">
        <v>45960.70868181713</v>
      </c>
      <c r="B2061" s="30">
        <v>45960.0</v>
      </c>
      <c r="C2061" s="31" t="s">
        <v>6336</v>
      </c>
      <c r="D2061" s="32" t="s">
        <v>6337</v>
      </c>
      <c r="E2061" s="31" t="s">
        <v>288</v>
      </c>
      <c r="F2061" s="31">
        <v>180000.0</v>
      </c>
      <c r="G2061" s="31" t="s">
        <v>23</v>
      </c>
      <c r="I2061" s="31" t="s">
        <v>229</v>
      </c>
      <c r="J2061" s="31" t="s">
        <v>967</v>
      </c>
      <c r="K2061" s="33" t="s">
        <v>6338</v>
      </c>
      <c r="L2061" s="31" t="s">
        <v>202</v>
      </c>
      <c r="N2061" s="31" t="s">
        <v>220</v>
      </c>
      <c r="S2061" s="31" t="s">
        <v>913</v>
      </c>
    </row>
    <row r="2062">
      <c r="A2062" s="29">
        <v>45960.718166122686</v>
      </c>
      <c r="B2062" s="30">
        <v>45960.0</v>
      </c>
      <c r="C2062" s="31" t="s">
        <v>6339</v>
      </c>
      <c r="D2062" s="32" t="s">
        <v>6340</v>
      </c>
      <c r="E2062" s="31" t="s">
        <v>199</v>
      </c>
      <c r="F2062" s="31">
        <v>8000000.0</v>
      </c>
      <c r="G2062" s="31" t="s">
        <v>45</v>
      </c>
      <c r="H2062" s="31">
        <v>2.0E7</v>
      </c>
      <c r="I2062" s="31" t="s">
        <v>200</v>
      </c>
      <c r="K2062" s="31" t="s">
        <v>6341</v>
      </c>
      <c r="L2062" s="31" t="s">
        <v>202</v>
      </c>
      <c r="M2062" s="31" t="s">
        <v>544</v>
      </c>
      <c r="N2062" s="31" t="s">
        <v>220</v>
      </c>
      <c r="S2062" s="31" t="s">
        <v>124</v>
      </c>
    </row>
    <row r="2063">
      <c r="A2063" s="29">
        <v>45960.73287952546</v>
      </c>
      <c r="B2063" s="30">
        <v>45960.0</v>
      </c>
      <c r="C2063" s="31" t="s">
        <v>6342</v>
      </c>
      <c r="D2063" s="32" t="s">
        <v>6343</v>
      </c>
      <c r="E2063" s="31" t="s">
        <v>239</v>
      </c>
      <c r="F2063" s="31">
        <v>3000000.0</v>
      </c>
      <c r="G2063" s="31" t="s">
        <v>23</v>
      </c>
      <c r="H2063" s="31">
        <v>3000000.0</v>
      </c>
      <c r="I2063" s="31" t="s">
        <v>200</v>
      </c>
      <c r="K2063" s="33" t="s">
        <v>6344</v>
      </c>
      <c r="L2063" s="31" t="s">
        <v>202</v>
      </c>
      <c r="M2063" s="31" t="s">
        <v>203</v>
      </c>
      <c r="N2063" s="31" t="s">
        <v>871</v>
      </c>
      <c r="Q2063" s="31" t="s">
        <v>872</v>
      </c>
    </row>
    <row r="2064">
      <c r="A2064" s="29">
        <v>45960.73384224537</v>
      </c>
      <c r="B2064" s="30">
        <v>45960.0</v>
      </c>
      <c r="C2064" s="31" t="s">
        <v>6345</v>
      </c>
      <c r="D2064" s="32" t="s">
        <v>6346</v>
      </c>
      <c r="E2064" s="31" t="s">
        <v>43</v>
      </c>
      <c r="F2064" s="31">
        <v>5299000.0</v>
      </c>
      <c r="G2064" s="31" t="s">
        <v>23</v>
      </c>
      <c r="I2064" s="31" t="s">
        <v>229</v>
      </c>
      <c r="J2064" s="31" t="s">
        <v>967</v>
      </c>
      <c r="K2064" s="33" t="s">
        <v>6347</v>
      </c>
      <c r="L2064" s="31" t="s">
        <v>202</v>
      </c>
      <c r="N2064" s="31" t="s">
        <v>204</v>
      </c>
      <c r="R2064" s="31" t="s">
        <v>53</v>
      </c>
    </row>
    <row r="2065">
      <c r="A2065" s="29">
        <v>45960.75465225695</v>
      </c>
      <c r="B2065" s="30">
        <v>45959.0</v>
      </c>
      <c r="C2065" s="31" t="s">
        <v>5199</v>
      </c>
      <c r="D2065" s="32" t="s">
        <v>5200</v>
      </c>
      <c r="E2065" s="31" t="s">
        <v>43</v>
      </c>
      <c r="F2065" s="31">
        <v>4000000.0</v>
      </c>
      <c r="G2065" s="31" t="s">
        <v>45</v>
      </c>
      <c r="H2065" s="31">
        <v>3000000.0</v>
      </c>
      <c r="I2065" s="31" t="s">
        <v>200</v>
      </c>
      <c r="K2065" s="33" t="s">
        <v>6348</v>
      </c>
      <c r="L2065" s="31" t="s">
        <v>202</v>
      </c>
      <c r="M2065" s="31" t="s">
        <v>203</v>
      </c>
      <c r="N2065" s="31" t="s">
        <v>204</v>
      </c>
      <c r="R2065" s="31" t="s">
        <v>98</v>
      </c>
    </row>
    <row r="2066">
      <c r="A2066" s="29">
        <v>45960.76371630787</v>
      </c>
      <c r="B2066" s="30">
        <v>45960.0</v>
      </c>
      <c r="C2066" s="31" t="s">
        <v>6349</v>
      </c>
      <c r="D2066" s="32" t="s">
        <v>6350</v>
      </c>
      <c r="E2066" s="31" t="s">
        <v>31</v>
      </c>
      <c r="F2066" s="31">
        <v>5999000.0</v>
      </c>
      <c r="G2066" s="31" t="s">
        <v>45</v>
      </c>
      <c r="I2066" s="31" t="s">
        <v>229</v>
      </c>
      <c r="J2066" s="31" t="s">
        <v>967</v>
      </c>
      <c r="K2066" s="33" t="s">
        <v>6351</v>
      </c>
      <c r="L2066" s="31" t="s">
        <v>202</v>
      </c>
      <c r="N2066" s="31" t="s">
        <v>204</v>
      </c>
      <c r="R2066" s="31" t="s">
        <v>207</v>
      </c>
    </row>
    <row r="2067">
      <c r="A2067" s="29">
        <v>45960.77917285879</v>
      </c>
      <c r="B2067" s="30">
        <v>45960.0</v>
      </c>
      <c r="C2067" s="31" t="s">
        <v>6352</v>
      </c>
      <c r="D2067" s="32" t="s">
        <v>6353</v>
      </c>
      <c r="E2067" s="31" t="s">
        <v>31</v>
      </c>
      <c r="F2067" s="31">
        <v>3500000.0</v>
      </c>
      <c r="G2067" s="31" t="s">
        <v>23</v>
      </c>
      <c r="I2067" s="31" t="s">
        <v>229</v>
      </c>
      <c r="J2067" s="31" t="s">
        <v>967</v>
      </c>
      <c r="K2067" s="33" t="s">
        <v>6354</v>
      </c>
      <c r="L2067" s="31" t="s">
        <v>202</v>
      </c>
      <c r="N2067" s="31" t="s">
        <v>204</v>
      </c>
      <c r="R2067" s="31" t="s">
        <v>98</v>
      </c>
    </row>
    <row r="2068">
      <c r="A2068" s="29">
        <v>45960.784570069445</v>
      </c>
      <c r="B2068" s="30">
        <v>45960.0</v>
      </c>
      <c r="C2068" s="31" t="s">
        <v>6355</v>
      </c>
      <c r="D2068" s="32" t="s">
        <v>6356</v>
      </c>
      <c r="E2068" s="31" t="s">
        <v>199</v>
      </c>
      <c r="F2068" s="31">
        <v>6500000.0</v>
      </c>
      <c r="G2068" s="31" t="s">
        <v>45</v>
      </c>
      <c r="I2068" s="31" t="s">
        <v>229</v>
      </c>
      <c r="J2068" s="31" t="s">
        <v>967</v>
      </c>
      <c r="K2068" s="33" t="s">
        <v>6357</v>
      </c>
      <c r="L2068" s="31" t="s">
        <v>202</v>
      </c>
      <c r="N2068" s="31" t="s">
        <v>220</v>
      </c>
      <c r="S2068" s="31" t="s">
        <v>466</v>
      </c>
    </row>
    <row r="2069">
      <c r="A2069" s="29">
        <v>45960.82394938657</v>
      </c>
      <c r="B2069" s="30">
        <v>45960.0</v>
      </c>
      <c r="C2069" s="31" t="s">
        <v>6358</v>
      </c>
      <c r="D2069" s="32" t="s">
        <v>6359</v>
      </c>
      <c r="E2069" s="31" t="s">
        <v>43</v>
      </c>
      <c r="F2069" s="31">
        <v>3000000.0</v>
      </c>
      <c r="G2069" s="31" t="s">
        <v>23</v>
      </c>
      <c r="I2069" s="31" t="s">
        <v>229</v>
      </c>
      <c r="J2069" s="31" t="s">
        <v>967</v>
      </c>
      <c r="K2069" s="33" t="s">
        <v>6360</v>
      </c>
      <c r="L2069" s="31" t="s">
        <v>252</v>
      </c>
      <c r="O2069" s="31" t="s">
        <v>257</v>
      </c>
      <c r="P2069" s="31" t="s">
        <v>2453</v>
      </c>
    </row>
    <row r="2070">
      <c r="A2070" s="29">
        <v>45960.837055717595</v>
      </c>
      <c r="B2070" s="30">
        <v>45960.0</v>
      </c>
      <c r="C2070" s="31" t="s">
        <v>6361</v>
      </c>
      <c r="D2070" s="32" t="s">
        <v>6362</v>
      </c>
      <c r="E2070" s="31" t="s">
        <v>199</v>
      </c>
      <c r="F2070" s="31">
        <v>5999000.0</v>
      </c>
      <c r="G2070" s="31" t="s">
        <v>45</v>
      </c>
      <c r="H2070" s="31">
        <v>3000000.0</v>
      </c>
      <c r="I2070" s="31" t="s">
        <v>200</v>
      </c>
      <c r="K2070" s="33" t="s">
        <v>6363</v>
      </c>
      <c r="L2070" s="31" t="s">
        <v>202</v>
      </c>
      <c r="M2070" s="31" t="s">
        <v>5638</v>
      </c>
      <c r="N2070" s="31" t="s">
        <v>204</v>
      </c>
      <c r="R2070" s="31" t="s">
        <v>207</v>
      </c>
    </row>
    <row r="2071">
      <c r="A2071" s="29">
        <v>45960.89492622685</v>
      </c>
      <c r="B2071" s="30">
        <v>45960.0</v>
      </c>
      <c r="C2071" s="31" t="s">
        <v>6364</v>
      </c>
      <c r="D2071" s="32" t="s">
        <v>6365</v>
      </c>
      <c r="E2071" s="31" t="s">
        <v>43</v>
      </c>
      <c r="F2071" s="31">
        <v>6000000.0</v>
      </c>
      <c r="G2071" s="31" t="s">
        <v>23</v>
      </c>
      <c r="H2071" s="31">
        <v>7000000.0</v>
      </c>
      <c r="I2071" s="31" t="s">
        <v>200</v>
      </c>
      <c r="K2071" s="33" t="s">
        <v>6366</v>
      </c>
      <c r="L2071" s="31" t="s">
        <v>202</v>
      </c>
      <c r="M2071" s="31" t="s">
        <v>605</v>
      </c>
      <c r="N2071" s="31" t="s">
        <v>204</v>
      </c>
      <c r="R2071" s="31" t="s">
        <v>98</v>
      </c>
    </row>
    <row r="2072">
      <c r="A2072" s="29">
        <v>45960.896436875</v>
      </c>
      <c r="B2072" s="30">
        <v>45960.0</v>
      </c>
      <c r="C2072" s="31" t="s">
        <v>6367</v>
      </c>
      <c r="D2072" s="32" t="s">
        <v>6368</v>
      </c>
      <c r="E2072" s="31" t="s">
        <v>213</v>
      </c>
      <c r="F2072" s="31">
        <v>6000000.0</v>
      </c>
      <c r="G2072" s="31" t="s">
        <v>23</v>
      </c>
      <c r="H2072" s="31">
        <v>3000000.0</v>
      </c>
      <c r="I2072" s="31" t="s">
        <v>413</v>
      </c>
      <c r="K2072" s="33" t="s">
        <v>6369</v>
      </c>
      <c r="L2072" s="31" t="s">
        <v>202</v>
      </c>
      <c r="M2072" s="31" t="s">
        <v>926</v>
      </c>
      <c r="N2072" s="31" t="s">
        <v>204</v>
      </c>
      <c r="R2072" s="31" t="s">
        <v>98</v>
      </c>
    </row>
    <row r="2073">
      <c r="A2073" s="29">
        <v>45960.89845071759</v>
      </c>
      <c r="B2073" s="30">
        <v>45960.0</v>
      </c>
      <c r="C2073" s="31" t="s">
        <v>6370</v>
      </c>
      <c r="D2073" s="32" t="s">
        <v>6371</v>
      </c>
      <c r="E2073" s="31" t="s">
        <v>784</v>
      </c>
      <c r="F2073" s="31">
        <v>6000000.0</v>
      </c>
      <c r="G2073" s="31" t="s">
        <v>23</v>
      </c>
      <c r="H2073" s="31">
        <v>5000000.0</v>
      </c>
      <c r="I2073" s="31" t="s">
        <v>200</v>
      </c>
      <c r="K2073" s="33" t="s">
        <v>6372</v>
      </c>
      <c r="L2073" s="31" t="s">
        <v>252</v>
      </c>
      <c r="M2073" s="31" t="s">
        <v>203</v>
      </c>
      <c r="O2073" s="31" t="s">
        <v>205</v>
      </c>
      <c r="X2073" s="31" t="s">
        <v>487</v>
      </c>
    </row>
    <row r="2074">
      <c r="A2074" s="29">
        <v>45961.431881192126</v>
      </c>
      <c r="B2074" s="30">
        <v>45961.0</v>
      </c>
      <c r="C2074" s="31" t="s">
        <v>6373</v>
      </c>
      <c r="D2074" s="32" t="s">
        <v>4950</v>
      </c>
      <c r="E2074" s="31" t="s">
        <v>199</v>
      </c>
      <c r="F2074" s="31">
        <v>7800000.0</v>
      </c>
      <c r="G2074" s="31" t="s">
        <v>23</v>
      </c>
      <c r="I2074" s="31" t="s">
        <v>229</v>
      </c>
      <c r="J2074" s="31" t="s">
        <v>967</v>
      </c>
      <c r="K2074" s="33" t="s">
        <v>6374</v>
      </c>
      <c r="L2074" s="31" t="s">
        <v>202</v>
      </c>
      <c r="N2074" s="31" t="s">
        <v>313</v>
      </c>
      <c r="T2074" s="31" t="s">
        <v>314</v>
      </c>
    </row>
    <row r="2075">
      <c r="A2075" s="29">
        <v>45961.43716498843</v>
      </c>
      <c r="B2075" s="30">
        <v>45961.0</v>
      </c>
      <c r="C2075" s="31" t="s">
        <v>6375</v>
      </c>
      <c r="D2075" s="32" t="s">
        <v>6376</v>
      </c>
      <c r="E2075" s="31" t="s">
        <v>261</v>
      </c>
      <c r="F2075" s="31">
        <v>50.0</v>
      </c>
      <c r="G2075" s="31" t="s">
        <v>23</v>
      </c>
      <c r="I2075" s="31" t="s">
        <v>229</v>
      </c>
      <c r="J2075" s="31" t="s">
        <v>967</v>
      </c>
      <c r="K2075" s="33" t="s">
        <v>6377</v>
      </c>
      <c r="L2075" s="31" t="s">
        <v>202</v>
      </c>
      <c r="N2075" s="31" t="s">
        <v>313</v>
      </c>
      <c r="T2075" s="31" t="s">
        <v>4272</v>
      </c>
    </row>
    <row r="2076">
      <c r="A2076" s="29">
        <v>45961.46350111111</v>
      </c>
      <c r="B2076" s="30">
        <v>45961.0</v>
      </c>
      <c r="C2076" s="31" t="s">
        <v>6378</v>
      </c>
      <c r="D2076" s="32" t="s">
        <v>6379</v>
      </c>
      <c r="E2076" s="31" t="s">
        <v>199</v>
      </c>
      <c r="F2076" s="31">
        <v>3000000.0</v>
      </c>
      <c r="G2076" s="31" t="s">
        <v>23</v>
      </c>
      <c r="I2076" s="31" t="s">
        <v>229</v>
      </c>
      <c r="J2076" s="31" t="s">
        <v>967</v>
      </c>
      <c r="K2076" s="33" t="s">
        <v>6380</v>
      </c>
      <c r="L2076" s="31" t="s">
        <v>202</v>
      </c>
      <c r="N2076" s="31" t="s">
        <v>871</v>
      </c>
      <c r="Q2076" s="31" t="s">
        <v>872</v>
      </c>
    </row>
    <row r="2077">
      <c r="A2077" s="29">
        <v>45961.47452163194</v>
      </c>
      <c r="B2077" s="30">
        <v>45961.0</v>
      </c>
      <c r="C2077" s="31" t="s">
        <v>6381</v>
      </c>
      <c r="D2077" s="32" t="s">
        <v>6382</v>
      </c>
      <c r="E2077" s="31" t="s">
        <v>43</v>
      </c>
      <c r="F2077" s="31">
        <v>7800009.0</v>
      </c>
      <c r="G2077" s="31" t="s">
        <v>23</v>
      </c>
      <c r="I2077" s="31" t="s">
        <v>229</v>
      </c>
      <c r="J2077" s="31" t="s">
        <v>967</v>
      </c>
      <c r="K2077" s="33" t="s">
        <v>6383</v>
      </c>
      <c r="L2077" s="31" t="s">
        <v>202</v>
      </c>
      <c r="N2077" s="31" t="s">
        <v>313</v>
      </c>
      <c r="T2077" s="31" t="s">
        <v>314</v>
      </c>
    </row>
    <row r="2078">
      <c r="A2078" s="29">
        <v>45961.48065074074</v>
      </c>
      <c r="B2078" s="30">
        <v>45961.0</v>
      </c>
      <c r="C2078" s="31" t="s">
        <v>6384</v>
      </c>
      <c r="D2078" s="32" t="s">
        <v>6385</v>
      </c>
      <c r="E2078" s="31" t="s">
        <v>199</v>
      </c>
      <c r="F2078" s="31">
        <v>3500000.0</v>
      </c>
      <c r="G2078" s="31" t="s">
        <v>45</v>
      </c>
      <c r="H2078" s="31">
        <v>5000000.0</v>
      </c>
      <c r="I2078" s="31" t="s">
        <v>200</v>
      </c>
      <c r="K2078" s="33" t="s">
        <v>6386</v>
      </c>
      <c r="L2078" s="31" t="s">
        <v>252</v>
      </c>
      <c r="M2078" s="31" t="s">
        <v>203</v>
      </c>
      <c r="O2078" s="31" t="s">
        <v>205</v>
      </c>
      <c r="X2078" s="31" t="s">
        <v>569</v>
      </c>
    </row>
    <row r="2079">
      <c r="A2079" s="29">
        <v>45961.48307188657</v>
      </c>
      <c r="B2079" s="30">
        <v>45961.0</v>
      </c>
      <c r="C2079" s="31" t="s">
        <v>2522</v>
      </c>
      <c r="D2079" s="32" t="s">
        <v>6387</v>
      </c>
      <c r="E2079" s="31" t="s">
        <v>43</v>
      </c>
      <c r="F2079" s="31">
        <v>6400000.0</v>
      </c>
      <c r="G2079" s="31" t="s">
        <v>23</v>
      </c>
      <c r="I2079" s="31" t="s">
        <v>229</v>
      </c>
      <c r="J2079" s="31" t="s">
        <v>967</v>
      </c>
      <c r="K2079" s="33" t="s">
        <v>6388</v>
      </c>
      <c r="L2079" s="31" t="s">
        <v>252</v>
      </c>
      <c r="O2079" s="31" t="s">
        <v>205</v>
      </c>
      <c r="X2079" s="31" t="s">
        <v>2335</v>
      </c>
    </row>
    <row r="2080">
      <c r="A2080" s="29">
        <v>45961.49320123842</v>
      </c>
      <c r="B2080" s="30">
        <v>45961.0</v>
      </c>
      <c r="C2080" s="31" t="s">
        <v>6389</v>
      </c>
      <c r="D2080" s="32" t="s">
        <v>6390</v>
      </c>
      <c r="E2080" s="31" t="s">
        <v>43</v>
      </c>
      <c r="F2080" s="31">
        <v>3700000.0</v>
      </c>
      <c r="G2080" s="31" t="s">
        <v>45</v>
      </c>
      <c r="H2080" s="31">
        <v>3000000.0</v>
      </c>
      <c r="I2080" s="31" t="s">
        <v>200</v>
      </c>
      <c r="K2080" s="33" t="s">
        <v>6391</v>
      </c>
      <c r="L2080" s="31" t="s">
        <v>252</v>
      </c>
      <c r="M2080" s="31" t="s">
        <v>383</v>
      </c>
      <c r="O2080" s="31" t="s">
        <v>257</v>
      </c>
      <c r="P2080" s="31" t="s">
        <v>206</v>
      </c>
    </row>
    <row r="2081">
      <c r="A2081" s="29">
        <v>45961.538194583336</v>
      </c>
      <c r="B2081" s="30">
        <v>45961.0</v>
      </c>
      <c r="C2081" s="31" t="s">
        <v>6392</v>
      </c>
      <c r="D2081" s="32" t="s">
        <v>6393</v>
      </c>
      <c r="E2081" s="31" t="s">
        <v>43</v>
      </c>
      <c r="F2081" s="31">
        <v>7000000.0</v>
      </c>
      <c r="G2081" s="31" t="s">
        <v>23</v>
      </c>
      <c r="H2081" s="31">
        <v>3000000.0</v>
      </c>
      <c r="I2081" s="31" t="s">
        <v>413</v>
      </c>
      <c r="K2081" s="33" t="s">
        <v>6394</v>
      </c>
      <c r="L2081" s="31" t="s">
        <v>252</v>
      </c>
      <c r="M2081" s="31" t="s">
        <v>5638</v>
      </c>
      <c r="O2081" s="31" t="s">
        <v>257</v>
      </c>
      <c r="P2081" s="31" t="s">
        <v>3194</v>
      </c>
    </row>
    <row r="2082">
      <c r="A2082" s="29">
        <v>45961.54307033565</v>
      </c>
      <c r="B2082" s="30">
        <v>45961.0</v>
      </c>
      <c r="C2082" s="31" t="s">
        <v>6395</v>
      </c>
      <c r="D2082" s="32" t="s">
        <v>6393</v>
      </c>
      <c r="E2082" s="31" t="s">
        <v>43</v>
      </c>
      <c r="F2082" s="31">
        <v>7000000.0</v>
      </c>
      <c r="G2082" s="31" t="s">
        <v>23</v>
      </c>
      <c r="H2082" s="31">
        <v>3000000.0</v>
      </c>
      <c r="I2082" s="31" t="s">
        <v>200</v>
      </c>
      <c r="K2082" s="33" t="s">
        <v>6396</v>
      </c>
      <c r="L2082" s="31" t="s">
        <v>252</v>
      </c>
      <c r="M2082" s="31" t="s">
        <v>5638</v>
      </c>
      <c r="O2082" s="31" t="s">
        <v>257</v>
      </c>
      <c r="P2082" s="31" t="s">
        <v>3194</v>
      </c>
    </row>
    <row r="2083">
      <c r="A2083" s="29">
        <v>45961.573398657405</v>
      </c>
      <c r="B2083" s="30">
        <v>45961.0</v>
      </c>
      <c r="C2083" s="31" t="s">
        <v>6397</v>
      </c>
      <c r="D2083" s="32" t="s">
        <v>6398</v>
      </c>
      <c r="E2083" s="31" t="s">
        <v>199</v>
      </c>
      <c r="F2083" s="31">
        <v>7000000.0</v>
      </c>
      <c r="G2083" s="31" t="s">
        <v>23</v>
      </c>
      <c r="H2083" s="31">
        <v>3000000.0</v>
      </c>
      <c r="I2083" s="31" t="s">
        <v>413</v>
      </c>
      <c r="K2083" s="33" t="s">
        <v>6399</v>
      </c>
      <c r="L2083" s="31" t="s">
        <v>252</v>
      </c>
      <c r="M2083" s="31" t="s">
        <v>203</v>
      </c>
      <c r="O2083" s="31" t="s">
        <v>257</v>
      </c>
      <c r="P2083" s="31" t="s">
        <v>258</v>
      </c>
    </row>
    <row r="2084">
      <c r="A2084" s="29">
        <v>45961.57943341435</v>
      </c>
      <c r="B2084" s="30">
        <v>45961.0</v>
      </c>
      <c r="C2084" s="31" t="s">
        <v>6400</v>
      </c>
      <c r="D2084" s="32" t="s">
        <v>6401</v>
      </c>
      <c r="E2084" s="31" t="s">
        <v>43</v>
      </c>
      <c r="F2084" s="31">
        <v>5200000.0</v>
      </c>
      <c r="G2084" s="31" t="s">
        <v>45</v>
      </c>
      <c r="H2084" s="31">
        <v>3000000.0</v>
      </c>
      <c r="I2084" s="31" t="s">
        <v>413</v>
      </c>
      <c r="K2084" s="33" t="s">
        <v>6402</v>
      </c>
      <c r="L2084" s="31" t="s">
        <v>252</v>
      </c>
      <c r="M2084" s="31" t="s">
        <v>203</v>
      </c>
      <c r="O2084" s="31" t="s">
        <v>205</v>
      </c>
      <c r="X2084" s="31" t="s">
        <v>716</v>
      </c>
    </row>
    <row r="2085">
      <c r="A2085" s="29">
        <v>45961.59215056713</v>
      </c>
      <c r="B2085" s="30">
        <v>45961.0</v>
      </c>
      <c r="C2085" s="31" t="s">
        <v>6403</v>
      </c>
      <c r="D2085" s="32" t="s">
        <v>6404</v>
      </c>
      <c r="E2085" s="31" t="s">
        <v>43</v>
      </c>
      <c r="F2085" s="31">
        <v>7200000.0</v>
      </c>
      <c r="G2085" s="31" t="s">
        <v>23</v>
      </c>
      <c r="I2085" s="31" t="s">
        <v>229</v>
      </c>
      <c r="J2085" s="31" t="s">
        <v>967</v>
      </c>
      <c r="K2085" s="33" t="s">
        <v>6405</v>
      </c>
      <c r="L2085" s="31" t="s">
        <v>202</v>
      </c>
      <c r="N2085" s="31" t="s">
        <v>313</v>
      </c>
      <c r="T2085" s="31" t="s">
        <v>314</v>
      </c>
    </row>
    <row r="2086">
      <c r="A2086" s="29">
        <v>45961.59257212963</v>
      </c>
      <c r="B2086" s="30">
        <v>45961.0</v>
      </c>
      <c r="C2086" s="31" t="s">
        <v>6406</v>
      </c>
      <c r="D2086" s="32" t="s">
        <v>6407</v>
      </c>
      <c r="E2086" s="31" t="s">
        <v>43</v>
      </c>
      <c r="F2086" s="31">
        <v>8200000.0</v>
      </c>
      <c r="G2086" s="31" t="s">
        <v>23</v>
      </c>
      <c r="I2086" s="31" t="s">
        <v>229</v>
      </c>
      <c r="J2086" s="31" t="s">
        <v>967</v>
      </c>
      <c r="K2086" s="33" t="s">
        <v>6408</v>
      </c>
      <c r="L2086" s="31" t="s">
        <v>202</v>
      </c>
      <c r="N2086" s="31" t="s">
        <v>313</v>
      </c>
      <c r="T2086" s="31" t="s">
        <v>329</v>
      </c>
    </row>
    <row r="2087">
      <c r="A2087" s="29">
        <v>45961.59487056713</v>
      </c>
      <c r="B2087" s="30">
        <v>45961.0</v>
      </c>
      <c r="C2087" s="31" t="s">
        <v>6409</v>
      </c>
      <c r="D2087" s="32" t="s">
        <v>6410</v>
      </c>
      <c r="E2087" s="31" t="s">
        <v>43</v>
      </c>
      <c r="F2087" s="31">
        <v>7200000.0</v>
      </c>
      <c r="G2087" s="31" t="s">
        <v>23</v>
      </c>
      <c r="H2087" s="31">
        <v>3000000.0</v>
      </c>
      <c r="I2087" s="31" t="s">
        <v>413</v>
      </c>
      <c r="K2087" s="33" t="s">
        <v>6411</v>
      </c>
      <c r="L2087" s="31" t="s">
        <v>202</v>
      </c>
      <c r="M2087" s="31" t="s">
        <v>5638</v>
      </c>
      <c r="N2087" s="31" t="s">
        <v>313</v>
      </c>
      <c r="T2087" s="31" t="s">
        <v>329</v>
      </c>
    </row>
    <row r="2088">
      <c r="A2088" s="29">
        <v>45961.61082453704</v>
      </c>
      <c r="B2088" s="30">
        <v>45961.0</v>
      </c>
      <c r="C2088" s="31" t="s">
        <v>6412</v>
      </c>
      <c r="D2088" s="32" t="s">
        <v>6413</v>
      </c>
      <c r="E2088" s="31" t="s">
        <v>228</v>
      </c>
      <c r="F2088" s="31">
        <v>8000000.0</v>
      </c>
      <c r="G2088" s="31" t="s">
        <v>23</v>
      </c>
      <c r="I2088" s="31" t="s">
        <v>229</v>
      </c>
      <c r="J2088" s="31" t="s">
        <v>967</v>
      </c>
      <c r="K2088" s="33" t="s">
        <v>6414</v>
      </c>
      <c r="L2088" s="31" t="s">
        <v>252</v>
      </c>
      <c r="O2088" s="31" t="s">
        <v>257</v>
      </c>
      <c r="P2088" s="31" t="s">
        <v>258</v>
      </c>
    </row>
    <row r="2089">
      <c r="A2089" s="29">
        <v>45961.76098878472</v>
      </c>
      <c r="B2089" s="30">
        <v>45961.0</v>
      </c>
      <c r="C2089" s="31" t="s">
        <v>6415</v>
      </c>
      <c r="D2089" s="32" t="s">
        <v>6416</v>
      </c>
      <c r="E2089" s="31" t="s">
        <v>409</v>
      </c>
      <c r="F2089" s="31">
        <v>3000000.0</v>
      </c>
      <c r="G2089" s="31" t="s">
        <v>23</v>
      </c>
      <c r="I2089" s="31" t="s">
        <v>229</v>
      </c>
      <c r="J2089" s="31" t="s">
        <v>967</v>
      </c>
      <c r="K2089" s="33" t="s">
        <v>6417</v>
      </c>
      <c r="L2089" s="31" t="s">
        <v>202</v>
      </c>
      <c r="N2089" s="31" t="s">
        <v>220</v>
      </c>
      <c r="S2089" s="31" t="s">
        <v>5512</v>
      </c>
    </row>
    <row r="2090">
      <c r="A2090" s="29">
        <v>45961.77177670139</v>
      </c>
      <c r="B2090" s="30">
        <v>45961.0</v>
      </c>
      <c r="C2090" s="31" t="s">
        <v>6418</v>
      </c>
      <c r="D2090" s="32" t="s">
        <v>6419</v>
      </c>
      <c r="E2090" s="31" t="s">
        <v>199</v>
      </c>
      <c r="F2090" s="31">
        <v>6400000.0</v>
      </c>
      <c r="G2090" s="31" t="s">
        <v>45</v>
      </c>
      <c r="H2090" s="31">
        <v>3000000.0</v>
      </c>
      <c r="I2090" s="31" t="s">
        <v>200</v>
      </c>
      <c r="K2090" s="33" t="s">
        <v>6420</v>
      </c>
      <c r="L2090" s="31" t="s">
        <v>252</v>
      </c>
      <c r="M2090" s="31" t="s">
        <v>203</v>
      </c>
      <c r="O2090" s="31" t="s">
        <v>205</v>
      </c>
      <c r="X2090" s="31" t="s">
        <v>2335</v>
      </c>
    </row>
    <row r="2091">
      <c r="A2091" s="29">
        <v>45961.77738783565</v>
      </c>
      <c r="B2091" s="30">
        <v>45961.0</v>
      </c>
      <c r="C2091" s="31" t="s">
        <v>6397</v>
      </c>
      <c r="D2091" s="32" t="s">
        <v>6398</v>
      </c>
      <c r="E2091" s="31" t="s">
        <v>199</v>
      </c>
      <c r="F2091" s="31">
        <v>7000000.0</v>
      </c>
      <c r="G2091" s="31" t="s">
        <v>23</v>
      </c>
      <c r="H2091" s="31">
        <v>3000000.0</v>
      </c>
      <c r="I2091" s="31" t="s">
        <v>200</v>
      </c>
      <c r="K2091" s="33" t="s">
        <v>6421</v>
      </c>
      <c r="L2091" s="31" t="s">
        <v>252</v>
      </c>
      <c r="M2091" s="31" t="s">
        <v>203</v>
      </c>
      <c r="O2091" s="31" t="s">
        <v>257</v>
      </c>
      <c r="P2091" s="31" t="s">
        <v>258</v>
      </c>
    </row>
    <row r="2092">
      <c r="A2092" s="29">
        <v>45961.81886586806</v>
      </c>
      <c r="B2092" s="30">
        <v>45961.0</v>
      </c>
      <c r="C2092" s="31" t="s">
        <v>6422</v>
      </c>
      <c r="D2092" s="32" t="s">
        <v>6423</v>
      </c>
      <c r="E2092" s="31" t="s">
        <v>31</v>
      </c>
      <c r="F2092" s="31">
        <v>1.03E7</v>
      </c>
      <c r="G2092" s="31" t="s">
        <v>23</v>
      </c>
      <c r="H2092" s="31">
        <v>3000000.0</v>
      </c>
      <c r="I2092" s="31" t="s">
        <v>413</v>
      </c>
      <c r="K2092" s="33" t="s">
        <v>6424</v>
      </c>
      <c r="L2092" s="31" t="s">
        <v>202</v>
      </c>
      <c r="M2092" s="31" t="s">
        <v>605</v>
      </c>
      <c r="N2092" s="31" t="s">
        <v>667</v>
      </c>
      <c r="U2092" s="31" t="s">
        <v>668</v>
      </c>
    </row>
    <row r="2093">
      <c r="A2093" s="29">
        <v>45961.821455983794</v>
      </c>
      <c r="B2093" s="30">
        <v>45961.0</v>
      </c>
      <c r="C2093" s="31" t="s">
        <v>6425</v>
      </c>
      <c r="D2093" s="32" t="s">
        <v>6426</v>
      </c>
      <c r="E2093" s="31" t="s">
        <v>43</v>
      </c>
      <c r="F2093" s="31">
        <v>1.7E8</v>
      </c>
      <c r="G2093" s="31" t="s">
        <v>23</v>
      </c>
      <c r="I2093" s="31" t="s">
        <v>229</v>
      </c>
      <c r="J2093" s="31" t="s">
        <v>967</v>
      </c>
      <c r="K2093" s="33" t="s">
        <v>6427</v>
      </c>
      <c r="L2093" s="31" t="s">
        <v>202</v>
      </c>
      <c r="N2093" s="31" t="s">
        <v>204</v>
      </c>
      <c r="R2093" s="31" t="s">
        <v>471</v>
      </c>
    </row>
    <row r="2094">
      <c r="A2094" s="29">
        <v>45962.403202291665</v>
      </c>
      <c r="B2094" s="30">
        <v>45962.0</v>
      </c>
      <c r="C2094" s="31" t="s">
        <v>6428</v>
      </c>
      <c r="D2094" s="32" t="s">
        <v>6429</v>
      </c>
      <c r="E2094" s="31" t="s">
        <v>239</v>
      </c>
      <c r="F2094" s="31">
        <v>3.0000999E7</v>
      </c>
      <c r="G2094" s="31" t="s">
        <v>23</v>
      </c>
      <c r="I2094" s="31" t="s">
        <v>229</v>
      </c>
      <c r="J2094" s="31" t="s">
        <v>967</v>
      </c>
      <c r="K2094" s="33" t="s">
        <v>6430</v>
      </c>
      <c r="L2094" s="31" t="s">
        <v>202</v>
      </c>
      <c r="N2094" s="31" t="s">
        <v>871</v>
      </c>
      <c r="Q2094" s="31" t="s">
        <v>872</v>
      </c>
    </row>
    <row r="2095">
      <c r="A2095" s="29">
        <v>45962.43268033565</v>
      </c>
      <c r="B2095" s="30">
        <v>45962.0</v>
      </c>
      <c r="C2095" s="31" t="s">
        <v>6431</v>
      </c>
      <c r="D2095" s="32" t="s">
        <v>4253</v>
      </c>
      <c r="E2095" s="31" t="s">
        <v>43</v>
      </c>
      <c r="F2095" s="31">
        <v>3500000.0</v>
      </c>
      <c r="G2095" s="31" t="s">
        <v>23</v>
      </c>
      <c r="I2095" s="31" t="s">
        <v>229</v>
      </c>
      <c r="J2095" s="31" t="s">
        <v>967</v>
      </c>
      <c r="K2095" s="33" t="s">
        <v>6432</v>
      </c>
      <c r="L2095" s="31" t="s">
        <v>252</v>
      </c>
      <c r="O2095" s="31" t="s">
        <v>257</v>
      </c>
      <c r="P2095" s="31" t="s">
        <v>206</v>
      </c>
    </row>
    <row r="2096">
      <c r="A2096" s="29">
        <v>45962.45626928241</v>
      </c>
      <c r="B2096" s="30">
        <v>45962.0</v>
      </c>
      <c r="C2096" s="31" t="s">
        <v>6433</v>
      </c>
      <c r="D2096" s="32" t="s">
        <v>6434</v>
      </c>
      <c r="E2096" s="31" t="s">
        <v>43</v>
      </c>
      <c r="F2096" s="31">
        <v>3500000.0</v>
      </c>
      <c r="G2096" s="31" t="s">
        <v>23</v>
      </c>
      <c r="I2096" s="31" t="s">
        <v>229</v>
      </c>
      <c r="J2096" s="31" t="s">
        <v>967</v>
      </c>
      <c r="K2096" s="33" t="s">
        <v>6435</v>
      </c>
      <c r="L2096" s="31" t="s">
        <v>252</v>
      </c>
      <c r="O2096" s="31" t="s">
        <v>257</v>
      </c>
      <c r="P2096" s="31" t="s">
        <v>3194</v>
      </c>
    </row>
    <row r="2097">
      <c r="A2097" s="29">
        <v>45962.46723284722</v>
      </c>
      <c r="B2097" s="30">
        <v>45962.0</v>
      </c>
      <c r="C2097" s="31" t="s">
        <v>6436</v>
      </c>
      <c r="D2097" s="32" t="s">
        <v>6437</v>
      </c>
      <c r="E2097" s="31" t="s">
        <v>335</v>
      </c>
      <c r="F2097" s="31">
        <v>4500000.0</v>
      </c>
      <c r="G2097" s="31" t="s">
        <v>23</v>
      </c>
      <c r="I2097" s="31" t="s">
        <v>229</v>
      </c>
      <c r="J2097" s="31" t="s">
        <v>967</v>
      </c>
      <c r="K2097" s="33" t="s">
        <v>6438</v>
      </c>
      <c r="L2097" s="31" t="s">
        <v>202</v>
      </c>
      <c r="N2097" s="31" t="s">
        <v>667</v>
      </c>
      <c r="U2097" s="31" t="s">
        <v>668</v>
      </c>
    </row>
    <row r="2098">
      <c r="A2098" s="29">
        <v>45962.46954517361</v>
      </c>
      <c r="B2098" s="30">
        <v>45962.0</v>
      </c>
      <c r="C2098" s="31" t="s">
        <v>6439</v>
      </c>
      <c r="D2098" s="32" t="s">
        <v>6440</v>
      </c>
      <c r="E2098" s="31" t="s">
        <v>31</v>
      </c>
      <c r="F2098" s="31">
        <v>4500000.0</v>
      </c>
      <c r="G2098" s="31" t="s">
        <v>23</v>
      </c>
      <c r="I2098" s="31" t="s">
        <v>229</v>
      </c>
      <c r="J2098" s="31" t="s">
        <v>967</v>
      </c>
      <c r="K2098" s="33" t="s">
        <v>6441</v>
      </c>
      <c r="L2098" s="31" t="s">
        <v>202</v>
      </c>
      <c r="N2098" s="31" t="s">
        <v>667</v>
      </c>
      <c r="U2098" s="31" t="s">
        <v>668</v>
      </c>
    </row>
    <row r="2099">
      <c r="A2099" s="29">
        <v>45962.47254043982</v>
      </c>
      <c r="B2099" s="30">
        <v>45962.0</v>
      </c>
      <c r="C2099" s="31" t="s">
        <v>6442</v>
      </c>
      <c r="D2099" s="32" t="s">
        <v>6443</v>
      </c>
      <c r="E2099" s="31" t="s">
        <v>1093</v>
      </c>
      <c r="F2099" s="31">
        <v>3000000.0</v>
      </c>
      <c r="G2099" s="31" t="s">
        <v>23</v>
      </c>
      <c r="H2099" s="31">
        <v>5000000.0</v>
      </c>
      <c r="I2099" s="31" t="s">
        <v>200</v>
      </c>
      <c r="K2099" s="33" t="s">
        <v>6444</v>
      </c>
      <c r="L2099" s="31" t="s">
        <v>252</v>
      </c>
      <c r="M2099" s="31" t="s">
        <v>5638</v>
      </c>
      <c r="O2099" s="31" t="s">
        <v>205</v>
      </c>
      <c r="X2099" s="31" t="s">
        <v>549</v>
      </c>
    </row>
    <row r="2100">
      <c r="A2100" s="29">
        <v>45962.49724067129</v>
      </c>
      <c r="B2100" s="30">
        <v>45962.0</v>
      </c>
      <c r="C2100" s="31" t="s">
        <v>6445</v>
      </c>
      <c r="D2100" s="32" t="s">
        <v>6446</v>
      </c>
      <c r="E2100" s="31" t="s">
        <v>31</v>
      </c>
      <c r="F2100" s="31">
        <v>6300000.0</v>
      </c>
      <c r="G2100" s="31" t="s">
        <v>23</v>
      </c>
      <c r="H2100" s="31">
        <v>3000000.0</v>
      </c>
      <c r="I2100" s="31" t="s">
        <v>200</v>
      </c>
      <c r="K2100" s="33" t="s">
        <v>6447</v>
      </c>
      <c r="L2100" s="31" t="s">
        <v>202</v>
      </c>
      <c r="M2100" s="31" t="s">
        <v>5638</v>
      </c>
      <c r="N2100" s="31" t="s">
        <v>313</v>
      </c>
      <c r="T2100" s="31" t="s">
        <v>329</v>
      </c>
    </row>
    <row r="2101">
      <c r="A2101" s="29">
        <v>45962.517582245375</v>
      </c>
      <c r="B2101" s="30">
        <v>45962.0</v>
      </c>
      <c r="C2101" s="31" t="s">
        <v>6448</v>
      </c>
      <c r="D2101" s="32" t="s">
        <v>6449</v>
      </c>
      <c r="E2101" s="31" t="s">
        <v>288</v>
      </c>
      <c r="F2101" s="34">
        <v>3000.0</v>
      </c>
      <c r="G2101" s="31" t="s">
        <v>23</v>
      </c>
      <c r="I2101" s="31" t="s">
        <v>229</v>
      </c>
      <c r="J2101" s="31" t="s">
        <v>967</v>
      </c>
      <c r="K2101" s="33" t="s">
        <v>6450</v>
      </c>
      <c r="L2101" s="31" t="s">
        <v>202</v>
      </c>
      <c r="N2101" s="31" t="s">
        <v>204</v>
      </c>
      <c r="R2101" s="31" t="s">
        <v>167</v>
      </c>
    </row>
    <row r="2102">
      <c r="A2102" s="29">
        <v>45962.55073215278</v>
      </c>
      <c r="B2102" s="30">
        <v>45962.0</v>
      </c>
      <c r="C2102" s="31" t="s">
        <v>6451</v>
      </c>
      <c r="D2102" s="32" t="s">
        <v>6452</v>
      </c>
      <c r="E2102" s="31" t="s">
        <v>43</v>
      </c>
      <c r="F2102" s="31">
        <v>6000000.0</v>
      </c>
      <c r="G2102" s="31" t="s">
        <v>23</v>
      </c>
      <c r="H2102" s="31">
        <v>3000000.0</v>
      </c>
      <c r="I2102" s="31" t="s">
        <v>200</v>
      </c>
      <c r="K2102" s="31" t="s">
        <v>6453</v>
      </c>
      <c r="L2102" s="31" t="s">
        <v>202</v>
      </c>
      <c r="M2102" s="31" t="s">
        <v>5638</v>
      </c>
      <c r="N2102" s="31" t="s">
        <v>220</v>
      </c>
      <c r="S2102" s="31" t="s">
        <v>124</v>
      </c>
    </row>
    <row r="2103">
      <c r="A2103" s="29">
        <v>45962.55551482639</v>
      </c>
      <c r="B2103" s="30">
        <v>45962.0</v>
      </c>
      <c r="C2103" s="31" t="s">
        <v>6454</v>
      </c>
      <c r="D2103" s="32" t="s">
        <v>6455</v>
      </c>
      <c r="E2103" s="31" t="s">
        <v>43</v>
      </c>
      <c r="F2103" s="31">
        <v>3700000.0</v>
      </c>
      <c r="G2103" s="31" t="s">
        <v>23</v>
      </c>
      <c r="I2103" s="31" t="s">
        <v>229</v>
      </c>
      <c r="J2103" s="31" t="s">
        <v>967</v>
      </c>
      <c r="K2103" s="33" t="s">
        <v>6456</v>
      </c>
      <c r="L2103" s="31" t="s">
        <v>252</v>
      </c>
      <c r="O2103" s="31" t="s">
        <v>257</v>
      </c>
      <c r="P2103" s="31" t="s">
        <v>3194</v>
      </c>
    </row>
    <row r="2104">
      <c r="A2104" s="29">
        <v>45962.581648252315</v>
      </c>
      <c r="B2104" s="30">
        <v>45962.0</v>
      </c>
      <c r="C2104" s="31" t="s">
        <v>6457</v>
      </c>
      <c r="D2104" s="32" t="s">
        <v>6458</v>
      </c>
      <c r="E2104" s="31" t="s">
        <v>43</v>
      </c>
      <c r="F2104" s="31">
        <v>3000000.0</v>
      </c>
      <c r="G2104" s="31" t="s">
        <v>23</v>
      </c>
      <c r="H2104" s="31">
        <v>3000000.0</v>
      </c>
      <c r="I2104" s="31" t="s">
        <v>200</v>
      </c>
      <c r="K2104" s="33" t="s">
        <v>6459</v>
      </c>
      <c r="L2104" s="31" t="s">
        <v>252</v>
      </c>
      <c r="M2104" s="31" t="s">
        <v>203</v>
      </c>
      <c r="O2104" s="31" t="s">
        <v>257</v>
      </c>
      <c r="P2104" s="31" t="s">
        <v>1555</v>
      </c>
    </row>
    <row r="2105">
      <c r="A2105" s="29">
        <v>45962.585078495365</v>
      </c>
      <c r="B2105" s="30">
        <v>45962.0</v>
      </c>
      <c r="C2105" s="31" t="s">
        <v>6460</v>
      </c>
      <c r="D2105" s="32" t="s">
        <v>6461</v>
      </c>
      <c r="E2105" s="31" t="s">
        <v>43</v>
      </c>
      <c r="F2105" s="31">
        <v>3000000.0</v>
      </c>
      <c r="G2105" s="31" t="s">
        <v>23</v>
      </c>
      <c r="I2105" s="31" t="s">
        <v>229</v>
      </c>
      <c r="J2105" s="31" t="s">
        <v>967</v>
      </c>
      <c r="K2105" s="33" t="s">
        <v>6462</v>
      </c>
      <c r="L2105" s="31" t="s">
        <v>252</v>
      </c>
      <c r="O2105" s="31" t="s">
        <v>257</v>
      </c>
      <c r="P2105" s="31" t="s">
        <v>1555</v>
      </c>
    </row>
    <row r="2106">
      <c r="A2106" s="29">
        <v>45962.606887546295</v>
      </c>
      <c r="B2106" s="30">
        <v>45962.0</v>
      </c>
      <c r="C2106" s="31" t="s">
        <v>6463</v>
      </c>
      <c r="D2106" s="32" t="s">
        <v>4253</v>
      </c>
      <c r="E2106" s="31" t="s">
        <v>127</v>
      </c>
      <c r="F2106" s="31">
        <v>3900000.0</v>
      </c>
      <c r="G2106" s="31" t="s">
        <v>23</v>
      </c>
      <c r="I2106" s="31" t="s">
        <v>229</v>
      </c>
      <c r="J2106" s="31" t="s">
        <v>967</v>
      </c>
      <c r="K2106" s="33" t="s">
        <v>6464</v>
      </c>
      <c r="L2106" s="31" t="s">
        <v>252</v>
      </c>
      <c r="O2106" s="31" t="s">
        <v>257</v>
      </c>
      <c r="P2106" s="31" t="s">
        <v>206</v>
      </c>
    </row>
    <row r="2107">
      <c r="A2107" s="29">
        <v>45962.626148634256</v>
      </c>
      <c r="B2107" s="30">
        <v>45962.0</v>
      </c>
      <c r="C2107" s="31" t="s">
        <v>6465</v>
      </c>
      <c r="D2107" s="32" t="s">
        <v>6466</v>
      </c>
      <c r="E2107" s="31" t="s">
        <v>31</v>
      </c>
      <c r="F2107" s="31">
        <v>3000000.0</v>
      </c>
      <c r="G2107" s="31" t="s">
        <v>23</v>
      </c>
      <c r="I2107" s="31" t="s">
        <v>229</v>
      </c>
      <c r="J2107" s="31" t="s">
        <v>967</v>
      </c>
      <c r="K2107" s="33" t="s">
        <v>6467</v>
      </c>
      <c r="L2107" s="31" t="s">
        <v>252</v>
      </c>
      <c r="O2107" s="31" t="s">
        <v>205</v>
      </c>
      <c r="X2107" s="31" t="s">
        <v>452</v>
      </c>
    </row>
    <row r="2108">
      <c r="A2108" s="29">
        <v>45962.67470299768</v>
      </c>
      <c r="B2108" s="30">
        <v>45962.0</v>
      </c>
      <c r="C2108" s="31" t="s">
        <v>6468</v>
      </c>
      <c r="D2108" s="32" t="s">
        <v>6469</v>
      </c>
      <c r="E2108" s="31" t="s">
        <v>31</v>
      </c>
      <c r="F2108" s="31">
        <v>5999000.0</v>
      </c>
      <c r="G2108" s="31" t="s">
        <v>23</v>
      </c>
      <c r="H2108" s="31">
        <v>5000000.0</v>
      </c>
      <c r="I2108" s="31" t="s">
        <v>200</v>
      </c>
      <c r="K2108" s="33" t="s">
        <v>6470</v>
      </c>
      <c r="L2108" s="31" t="s">
        <v>202</v>
      </c>
      <c r="M2108" s="31" t="s">
        <v>926</v>
      </c>
      <c r="N2108" s="31" t="s">
        <v>204</v>
      </c>
      <c r="R2108" s="31" t="s">
        <v>207</v>
      </c>
    </row>
    <row r="2109">
      <c r="A2109" s="29">
        <v>45962.67557131944</v>
      </c>
      <c r="B2109" s="30">
        <v>45962.0</v>
      </c>
      <c r="C2109" s="31" t="s">
        <v>6471</v>
      </c>
      <c r="D2109" s="32" t="s">
        <v>6472</v>
      </c>
      <c r="E2109" s="31" t="s">
        <v>31</v>
      </c>
      <c r="F2109" s="31">
        <v>4999000.0</v>
      </c>
      <c r="G2109" s="31" t="s">
        <v>23</v>
      </c>
      <c r="I2109" s="31" t="s">
        <v>229</v>
      </c>
      <c r="J2109" s="31" t="s">
        <v>967</v>
      </c>
      <c r="K2109" s="33" t="s">
        <v>6473</v>
      </c>
      <c r="L2109" s="31" t="s">
        <v>202</v>
      </c>
      <c r="N2109" s="31" t="s">
        <v>204</v>
      </c>
      <c r="R2109" s="31" t="s">
        <v>207</v>
      </c>
    </row>
    <row r="2110">
      <c r="A2110" s="29">
        <v>45962.696468368056</v>
      </c>
      <c r="B2110" s="30">
        <v>45962.0</v>
      </c>
      <c r="C2110" s="31" t="s">
        <v>6474</v>
      </c>
      <c r="D2110" s="32" t="s">
        <v>6475</v>
      </c>
      <c r="E2110" s="31" t="s">
        <v>239</v>
      </c>
      <c r="F2110" s="31">
        <v>7000000.0</v>
      </c>
      <c r="G2110" s="31" t="s">
        <v>45</v>
      </c>
      <c r="I2110" s="31" t="s">
        <v>229</v>
      </c>
      <c r="J2110" s="31" t="s">
        <v>967</v>
      </c>
      <c r="K2110" s="33" t="s">
        <v>6476</v>
      </c>
      <c r="L2110" s="31" t="s">
        <v>252</v>
      </c>
      <c r="O2110" s="31" t="s">
        <v>257</v>
      </c>
      <c r="P2110" s="31" t="s">
        <v>285</v>
      </c>
    </row>
    <row r="2111">
      <c r="A2111" s="29">
        <v>45962.69875018518</v>
      </c>
      <c r="B2111" s="30">
        <v>45962.0</v>
      </c>
      <c r="C2111" s="31" t="s">
        <v>6477</v>
      </c>
      <c r="D2111" s="32" t="s">
        <v>6478</v>
      </c>
      <c r="E2111" s="31" t="s">
        <v>43</v>
      </c>
      <c r="F2111" s="31">
        <v>5300000.0</v>
      </c>
      <c r="G2111" s="31" t="s">
        <v>23</v>
      </c>
      <c r="I2111" s="31" t="s">
        <v>229</v>
      </c>
      <c r="J2111" s="31" t="s">
        <v>967</v>
      </c>
      <c r="K2111" s="33" t="s">
        <v>6479</v>
      </c>
      <c r="L2111" s="31" t="s">
        <v>202</v>
      </c>
      <c r="N2111" s="31" t="s">
        <v>220</v>
      </c>
      <c r="S2111" s="31" t="s">
        <v>5512</v>
      </c>
    </row>
    <row r="2112">
      <c r="A2112" s="29">
        <v>45962.710480625</v>
      </c>
      <c r="B2112" s="30">
        <v>45962.0</v>
      </c>
      <c r="C2112" s="31" t="s">
        <v>6480</v>
      </c>
      <c r="D2112" s="32" t="s">
        <v>6481</v>
      </c>
      <c r="E2112" s="31" t="s">
        <v>199</v>
      </c>
      <c r="F2112" s="31">
        <v>5000000.0</v>
      </c>
      <c r="G2112" s="31" t="s">
        <v>45</v>
      </c>
      <c r="I2112" s="31" t="s">
        <v>229</v>
      </c>
      <c r="J2112" s="31" t="s">
        <v>967</v>
      </c>
      <c r="K2112" s="33" t="s">
        <v>6482</v>
      </c>
      <c r="L2112" s="31" t="s">
        <v>252</v>
      </c>
      <c r="O2112" s="31" t="s">
        <v>205</v>
      </c>
      <c r="X2112" s="31" t="s">
        <v>452</v>
      </c>
    </row>
    <row r="2113">
      <c r="A2113" s="29">
        <v>45962.71946320602</v>
      </c>
      <c r="B2113" s="30">
        <v>45962.0</v>
      </c>
      <c r="C2113" s="31" t="s">
        <v>6483</v>
      </c>
      <c r="D2113" s="32" t="s">
        <v>6484</v>
      </c>
      <c r="E2113" s="31" t="s">
        <v>43</v>
      </c>
      <c r="F2113" s="31">
        <v>7000000.0</v>
      </c>
      <c r="G2113" s="31" t="s">
        <v>23</v>
      </c>
      <c r="H2113" s="31">
        <v>3000000.0</v>
      </c>
      <c r="I2113" s="31" t="s">
        <v>200</v>
      </c>
      <c r="K2113" s="33" t="s">
        <v>6485</v>
      </c>
      <c r="L2113" s="31" t="s">
        <v>252</v>
      </c>
      <c r="M2113" s="31" t="s">
        <v>5638</v>
      </c>
      <c r="O2113" s="31" t="s">
        <v>257</v>
      </c>
      <c r="P2113" s="31" t="s">
        <v>3194</v>
      </c>
    </row>
    <row r="2114">
      <c r="A2114" s="29">
        <v>45962.72535465278</v>
      </c>
      <c r="B2114" s="30">
        <v>45962.0</v>
      </c>
      <c r="C2114" s="31" t="s">
        <v>6486</v>
      </c>
      <c r="D2114" s="32" t="s">
        <v>6487</v>
      </c>
      <c r="E2114" s="31" t="s">
        <v>43</v>
      </c>
      <c r="F2114" s="31">
        <v>7000000.0</v>
      </c>
      <c r="G2114" s="31" t="s">
        <v>23</v>
      </c>
      <c r="H2114" s="31">
        <v>3000000.0</v>
      </c>
      <c r="I2114" s="31" t="s">
        <v>413</v>
      </c>
      <c r="K2114" s="33" t="s">
        <v>6488</v>
      </c>
      <c r="L2114" s="31" t="s">
        <v>252</v>
      </c>
      <c r="M2114" s="31" t="s">
        <v>5638</v>
      </c>
      <c r="O2114" s="31" t="s">
        <v>257</v>
      </c>
      <c r="P2114" s="31" t="s">
        <v>258</v>
      </c>
    </row>
    <row r="2115">
      <c r="A2115" s="29">
        <v>45962.72631381944</v>
      </c>
      <c r="B2115" s="30">
        <v>45962.0</v>
      </c>
      <c r="C2115" s="31" t="s">
        <v>6489</v>
      </c>
      <c r="D2115" s="32" t="s">
        <v>6490</v>
      </c>
      <c r="E2115" s="31" t="s">
        <v>6491</v>
      </c>
      <c r="F2115" s="31">
        <v>3500000.0</v>
      </c>
      <c r="G2115" s="31" t="s">
        <v>23</v>
      </c>
      <c r="H2115" s="31">
        <v>3000000.0</v>
      </c>
      <c r="I2115" s="31" t="s">
        <v>413</v>
      </c>
      <c r="K2115" s="33" t="s">
        <v>6492</v>
      </c>
      <c r="L2115" s="31" t="s">
        <v>252</v>
      </c>
      <c r="M2115" s="31" t="s">
        <v>203</v>
      </c>
      <c r="O2115" s="31" t="s">
        <v>257</v>
      </c>
      <c r="P2115" s="31" t="s">
        <v>206</v>
      </c>
    </row>
    <row r="2116">
      <c r="A2116" s="29">
        <v>45962.74283657408</v>
      </c>
      <c r="B2116" s="30">
        <v>45962.0</v>
      </c>
      <c r="C2116" s="31" t="s">
        <v>6493</v>
      </c>
      <c r="D2116" s="32" t="s">
        <v>6494</v>
      </c>
      <c r="E2116" s="31" t="s">
        <v>31</v>
      </c>
      <c r="F2116" s="31">
        <v>1500000.0</v>
      </c>
      <c r="G2116" s="31" t="s">
        <v>23</v>
      </c>
      <c r="H2116" s="31">
        <v>3000000.0</v>
      </c>
      <c r="I2116" s="31" t="s">
        <v>200</v>
      </c>
      <c r="K2116" s="33" t="s">
        <v>6495</v>
      </c>
      <c r="L2116" s="31" t="s">
        <v>202</v>
      </c>
      <c r="M2116" s="31" t="s">
        <v>203</v>
      </c>
      <c r="N2116" s="31" t="s">
        <v>215</v>
      </c>
      <c r="W2116" s="31" t="s">
        <v>216</v>
      </c>
    </row>
    <row r="2117">
      <c r="A2117" s="29">
        <v>45962.75344777778</v>
      </c>
      <c r="B2117" s="30">
        <v>45962.0</v>
      </c>
      <c r="C2117" s="31" t="s">
        <v>6496</v>
      </c>
      <c r="D2117" s="32" t="s">
        <v>4950</v>
      </c>
      <c r="E2117" s="31" t="s">
        <v>43</v>
      </c>
      <c r="F2117" s="31">
        <v>8800000.0</v>
      </c>
      <c r="G2117" s="31" t="s">
        <v>23</v>
      </c>
      <c r="I2117" s="31" t="s">
        <v>229</v>
      </c>
      <c r="J2117" s="31" t="s">
        <v>967</v>
      </c>
      <c r="K2117" s="33" t="s">
        <v>6497</v>
      </c>
      <c r="L2117" s="31" t="s">
        <v>202</v>
      </c>
      <c r="N2117" s="31" t="s">
        <v>313</v>
      </c>
      <c r="T2117" s="31" t="s">
        <v>314</v>
      </c>
    </row>
    <row r="2118">
      <c r="A2118" s="29">
        <v>45962.766466932866</v>
      </c>
      <c r="B2118" s="30">
        <v>45962.0</v>
      </c>
      <c r="C2118" s="31" t="s">
        <v>6498</v>
      </c>
      <c r="D2118" s="32" t="s">
        <v>6499</v>
      </c>
      <c r="E2118" s="31" t="s">
        <v>199</v>
      </c>
      <c r="F2118" s="31">
        <v>3500000.0</v>
      </c>
      <c r="G2118" s="31" t="s">
        <v>45</v>
      </c>
      <c r="H2118" s="31">
        <v>3000000.0</v>
      </c>
      <c r="I2118" s="31" t="s">
        <v>200</v>
      </c>
      <c r="K2118" s="33" t="s">
        <v>6500</v>
      </c>
      <c r="L2118" s="31" t="s">
        <v>252</v>
      </c>
      <c r="M2118" s="31" t="s">
        <v>5638</v>
      </c>
      <c r="O2118" s="31" t="s">
        <v>257</v>
      </c>
      <c r="P2118" s="31" t="s">
        <v>206</v>
      </c>
    </row>
    <row r="2119">
      <c r="A2119" s="29">
        <v>45962.768873761575</v>
      </c>
      <c r="B2119" s="30">
        <v>45962.0</v>
      </c>
      <c r="C2119" s="31" t="s">
        <v>6501</v>
      </c>
      <c r="D2119" s="32" t="s">
        <v>6502</v>
      </c>
      <c r="E2119" s="31" t="s">
        <v>228</v>
      </c>
      <c r="F2119" s="31">
        <v>2500000.0</v>
      </c>
      <c r="G2119" s="31" t="s">
        <v>23</v>
      </c>
      <c r="I2119" s="31" t="s">
        <v>229</v>
      </c>
      <c r="J2119" s="31" t="s">
        <v>967</v>
      </c>
      <c r="K2119" s="33" t="s">
        <v>6503</v>
      </c>
      <c r="L2119" s="31" t="s">
        <v>252</v>
      </c>
      <c r="O2119" s="31" t="s">
        <v>257</v>
      </c>
      <c r="P2119" s="31" t="s">
        <v>206</v>
      </c>
    </row>
    <row r="2120">
      <c r="A2120" s="29">
        <v>45962.769127060186</v>
      </c>
      <c r="B2120" s="30">
        <v>45962.0</v>
      </c>
      <c r="C2120" s="31" t="s">
        <v>6504</v>
      </c>
      <c r="D2120" s="32" t="s">
        <v>6505</v>
      </c>
      <c r="E2120" s="31" t="s">
        <v>228</v>
      </c>
      <c r="F2120" s="31">
        <v>3000000.0</v>
      </c>
      <c r="G2120" s="31" t="s">
        <v>23</v>
      </c>
      <c r="I2120" s="31" t="s">
        <v>229</v>
      </c>
      <c r="J2120" s="31" t="s">
        <v>967</v>
      </c>
      <c r="K2120" s="33" t="s">
        <v>6506</v>
      </c>
      <c r="L2120" s="31" t="s">
        <v>202</v>
      </c>
      <c r="N2120" s="31" t="s">
        <v>204</v>
      </c>
      <c r="R2120" s="31" t="s">
        <v>892</v>
      </c>
    </row>
    <row r="2121">
      <c r="A2121" s="29">
        <v>45962.77869497685</v>
      </c>
      <c r="B2121" s="30">
        <v>45962.0</v>
      </c>
      <c r="C2121" s="31" t="s">
        <v>6507</v>
      </c>
      <c r="D2121" s="32" t="s">
        <v>6508</v>
      </c>
      <c r="E2121" s="31" t="s">
        <v>43</v>
      </c>
      <c r="F2121" s="31">
        <v>3400999.0</v>
      </c>
      <c r="G2121" s="31" t="s">
        <v>23</v>
      </c>
      <c r="H2121" s="31">
        <v>3000000.0</v>
      </c>
      <c r="I2121" s="31" t="s">
        <v>413</v>
      </c>
      <c r="K2121" s="33" t="s">
        <v>6509</v>
      </c>
      <c r="L2121" s="31" t="s">
        <v>202</v>
      </c>
      <c r="M2121" s="31" t="s">
        <v>5638</v>
      </c>
      <c r="N2121" s="31" t="s">
        <v>204</v>
      </c>
      <c r="R2121" s="31" t="s">
        <v>148</v>
      </c>
    </row>
    <row r="2122">
      <c r="A2122" s="29">
        <v>45962.78035731481</v>
      </c>
      <c r="B2122" s="30">
        <v>45962.0</v>
      </c>
      <c r="C2122" s="31" t="s">
        <v>6510</v>
      </c>
      <c r="D2122" s="32" t="s">
        <v>6511</v>
      </c>
      <c r="E2122" s="31" t="s">
        <v>43</v>
      </c>
      <c r="F2122" s="31">
        <v>3000000.0</v>
      </c>
      <c r="G2122" s="31" t="s">
        <v>23</v>
      </c>
      <c r="I2122" s="31" t="s">
        <v>229</v>
      </c>
      <c r="J2122" s="31" t="s">
        <v>967</v>
      </c>
      <c r="K2122" s="33" t="s">
        <v>6512</v>
      </c>
      <c r="L2122" s="31" t="s">
        <v>202</v>
      </c>
      <c r="N2122" s="31" t="s">
        <v>220</v>
      </c>
      <c r="S2122" s="31" t="s">
        <v>536</v>
      </c>
    </row>
    <row r="2123">
      <c r="A2123" s="29">
        <v>45962.804686006944</v>
      </c>
      <c r="B2123" s="30">
        <v>45962.0</v>
      </c>
      <c r="C2123" s="31" t="s">
        <v>6513</v>
      </c>
      <c r="D2123" s="32" t="s">
        <v>6514</v>
      </c>
      <c r="E2123" s="31" t="s">
        <v>43</v>
      </c>
      <c r="F2123" s="31">
        <v>3000000.0</v>
      </c>
      <c r="G2123" s="31" t="s">
        <v>23</v>
      </c>
      <c r="H2123" s="31">
        <v>5000000.0</v>
      </c>
      <c r="I2123" s="31" t="s">
        <v>413</v>
      </c>
      <c r="K2123" s="33" t="s">
        <v>6515</v>
      </c>
      <c r="L2123" s="31" t="s">
        <v>202</v>
      </c>
      <c r="M2123" s="31" t="s">
        <v>926</v>
      </c>
      <c r="N2123" s="31" t="s">
        <v>871</v>
      </c>
      <c r="Q2123" s="31" t="s">
        <v>872</v>
      </c>
    </row>
    <row r="2124">
      <c r="A2124" s="29">
        <v>45962.807294293976</v>
      </c>
      <c r="B2124" s="30">
        <v>45962.0</v>
      </c>
      <c r="C2124" s="31" t="s">
        <v>6516</v>
      </c>
      <c r="D2124" s="32" t="s">
        <v>4133</v>
      </c>
      <c r="E2124" s="31" t="s">
        <v>31</v>
      </c>
      <c r="F2124" s="31">
        <v>5999000.0</v>
      </c>
      <c r="G2124" s="31" t="s">
        <v>23</v>
      </c>
      <c r="H2124" s="31">
        <v>3000000.0</v>
      </c>
      <c r="I2124" s="31" t="s">
        <v>200</v>
      </c>
      <c r="K2124" s="31" t="s">
        <v>6517</v>
      </c>
      <c r="L2124" s="31" t="s">
        <v>202</v>
      </c>
      <c r="M2124" s="31" t="s">
        <v>5638</v>
      </c>
      <c r="N2124" s="31" t="s">
        <v>204</v>
      </c>
      <c r="R2124" s="31" t="s">
        <v>207</v>
      </c>
    </row>
    <row r="2125">
      <c r="A2125" s="29">
        <v>45962.81714023148</v>
      </c>
      <c r="B2125" s="30">
        <v>45962.0</v>
      </c>
      <c r="C2125" s="31" t="s">
        <v>6518</v>
      </c>
      <c r="D2125" s="32" t="s">
        <v>6519</v>
      </c>
      <c r="E2125" s="31" t="s">
        <v>43</v>
      </c>
      <c r="F2125" s="31">
        <v>3500000.0</v>
      </c>
      <c r="G2125" s="31" t="s">
        <v>23</v>
      </c>
      <c r="I2125" s="31" t="s">
        <v>229</v>
      </c>
      <c r="J2125" s="31" t="s">
        <v>967</v>
      </c>
      <c r="K2125" s="33" t="s">
        <v>6520</v>
      </c>
      <c r="L2125" s="31" t="s">
        <v>202</v>
      </c>
      <c r="N2125" s="31" t="s">
        <v>204</v>
      </c>
      <c r="R2125" s="31" t="s">
        <v>5256</v>
      </c>
    </row>
    <row r="2126">
      <c r="A2126" s="29">
        <v>45962.854178912035</v>
      </c>
      <c r="B2126" s="30">
        <v>45962.0</v>
      </c>
      <c r="C2126" s="31" t="s">
        <v>6521</v>
      </c>
      <c r="D2126" s="32" t="s">
        <v>6522</v>
      </c>
      <c r="E2126" s="31" t="s">
        <v>43</v>
      </c>
      <c r="F2126" s="31">
        <v>3500000.0</v>
      </c>
      <c r="G2126" s="31" t="s">
        <v>23</v>
      </c>
      <c r="I2126" s="31" t="s">
        <v>229</v>
      </c>
      <c r="J2126" s="31" t="s">
        <v>967</v>
      </c>
      <c r="K2126" s="33" t="s">
        <v>6523</v>
      </c>
      <c r="L2126" s="31" t="s">
        <v>202</v>
      </c>
      <c r="N2126" s="31" t="s">
        <v>220</v>
      </c>
      <c r="S2126" s="31" t="s">
        <v>83</v>
      </c>
    </row>
    <row r="2127">
      <c r="A2127" s="29">
        <v>45962.856573125</v>
      </c>
      <c r="B2127" s="30">
        <v>45962.0</v>
      </c>
      <c r="C2127" s="31" t="s">
        <v>6524</v>
      </c>
      <c r="D2127" s="32" t="s">
        <v>6525</v>
      </c>
      <c r="E2127" s="31" t="s">
        <v>43</v>
      </c>
      <c r="F2127" s="31">
        <v>4000000.0</v>
      </c>
      <c r="G2127" s="31" t="s">
        <v>23</v>
      </c>
      <c r="I2127" s="31" t="s">
        <v>229</v>
      </c>
      <c r="J2127" s="31" t="s">
        <v>967</v>
      </c>
      <c r="K2127" s="33" t="s">
        <v>6526</v>
      </c>
      <c r="L2127" s="31" t="s">
        <v>202</v>
      </c>
      <c r="N2127" s="31" t="s">
        <v>220</v>
      </c>
      <c r="S2127" s="31" t="s">
        <v>83</v>
      </c>
    </row>
    <row r="2128">
      <c r="A2128" s="29">
        <v>45962.86047810185</v>
      </c>
      <c r="B2128" s="30">
        <v>45962.0</v>
      </c>
      <c r="C2128" s="31" t="s">
        <v>6527</v>
      </c>
      <c r="D2128" s="32" t="s">
        <v>6528</v>
      </c>
      <c r="E2128" s="31" t="s">
        <v>43</v>
      </c>
      <c r="F2128" s="31">
        <v>4600000.0</v>
      </c>
      <c r="G2128" s="31" t="s">
        <v>23</v>
      </c>
      <c r="H2128" s="31">
        <v>3000000.0</v>
      </c>
      <c r="I2128" s="31" t="s">
        <v>200</v>
      </c>
      <c r="K2128" s="33" t="s">
        <v>6529</v>
      </c>
      <c r="L2128" s="31" t="s">
        <v>202</v>
      </c>
      <c r="M2128" s="31" t="s">
        <v>926</v>
      </c>
      <c r="N2128" s="31" t="s">
        <v>220</v>
      </c>
      <c r="S2128" s="31" t="s">
        <v>83</v>
      </c>
    </row>
    <row r="2129">
      <c r="A2129" s="29">
        <v>45962.88605234954</v>
      </c>
      <c r="B2129" s="30">
        <v>45962.0</v>
      </c>
      <c r="C2129" s="31" t="s">
        <v>6530</v>
      </c>
      <c r="D2129" s="32" t="s">
        <v>6531</v>
      </c>
      <c r="E2129" s="31" t="s">
        <v>43</v>
      </c>
      <c r="F2129" s="31">
        <v>5100000.0</v>
      </c>
      <c r="G2129" s="31" t="s">
        <v>23</v>
      </c>
      <c r="I2129" s="31" t="s">
        <v>229</v>
      </c>
      <c r="J2129" s="31" t="s">
        <v>967</v>
      </c>
      <c r="K2129" s="33" t="s">
        <v>6532</v>
      </c>
      <c r="L2129" s="31" t="s">
        <v>252</v>
      </c>
      <c r="O2129" s="31" t="s">
        <v>205</v>
      </c>
      <c r="X2129" s="31" t="s">
        <v>2335</v>
      </c>
    </row>
    <row r="2130">
      <c r="A2130" s="29">
        <v>45962.888050127316</v>
      </c>
      <c r="B2130" s="30">
        <v>45962.0</v>
      </c>
      <c r="C2130" s="31" t="s">
        <v>6533</v>
      </c>
      <c r="D2130" s="32" t="s">
        <v>6534</v>
      </c>
      <c r="E2130" s="31" t="s">
        <v>43</v>
      </c>
      <c r="F2130" s="31">
        <v>3200000.0</v>
      </c>
      <c r="G2130" s="31" t="s">
        <v>23</v>
      </c>
      <c r="I2130" s="31" t="s">
        <v>229</v>
      </c>
      <c r="J2130" s="31" t="s">
        <v>967</v>
      </c>
      <c r="K2130" s="33" t="s">
        <v>6535</v>
      </c>
      <c r="L2130" s="31" t="s">
        <v>252</v>
      </c>
      <c r="O2130" s="31" t="s">
        <v>205</v>
      </c>
      <c r="X2130" s="31" t="s">
        <v>452</v>
      </c>
    </row>
    <row r="2131">
      <c r="A2131" s="29">
        <v>45963.59287017361</v>
      </c>
      <c r="B2131" s="30">
        <v>45963.0</v>
      </c>
      <c r="C2131" s="31" t="s">
        <v>6536</v>
      </c>
      <c r="D2131" s="32" t="s">
        <v>6537</v>
      </c>
      <c r="E2131" s="31" t="s">
        <v>43</v>
      </c>
      <c r="F2131" s="31">
        <v>2500000.0</v>
      </c>
      <c r="G2131" s="31" t="s">
        <v>23</v>
      </c>
      <c r="I2131" s="31" t="s">
        <v>229</v>
      </c>
      <c r="J2131" s="31" t="s">
        <v>967</v>
      </c>
      <c r="K2131" s="33" t="s">
        <v>6538</v>
      </c>
      <c r="L2131" s="31" t="s">
        <v>202</v>
      </c>
      <c r="N2131" s="31" t="s">
        <v>204</v>
      </c>
      <c r="R2131" s="31" t="s">
        <v>148</v>
      </c>
    </row>
    <row r="2132">
      <c r="A2132" s="29">
        <v>45963.71067513889</v>
      </c>
      <c r="B2132" s="30">
        <v>45963.0</v>
      </c>
      <c r="C2132" s="31" t="s">
        <v>6539</v>
      </c>
      <c r="D2132" s="31">
        <v>8.9529758476E10</v>
      </c>
      <c r="E2132" s="31" t="s">
        <v>43</v>
      </c>
      <c r="F2132" s="31">
        <v>1500000.0</v>
      </c>
      <c r="G2132" s="31" t="s">
        <v>23</v>
      </c>
      <c r="I2132" s="31" t="s">
        <v>229</v>
      </c>
      <c r="J2132" s="31" t="s">
        <v>967</v>
      </c>
      <c r="K2132" s="33" t="s">
        <v>6540</v>
      </c>
      <c r="L2132" s="31" t="s">
        <v>202</v>
      </c>
      <c r="N2132" s="31" t="s">
        <v>204</v>
      </c>
      <c r="R2132" s="31" t="s">
        <v>148</v>
      </c>
    </row>
    <row r="2133">
      <c r="A2133" s="29">
        <v>45963.71256234954</v>
      </c>
      <c r="B2133" s="30">
        <v>45963.0</v>
      </c>
      <c r="C2133" s="31" t="s">
        <v>6541</v>
      </c>
      <c r="D2133" s="31">
        <v>8.7839637615E10</v>
      </c>
      <c r="E2133" s="31" t="s">
        <v>43</v>
      </c>
      <c r="F2133" s="31">
        <v>1700000.0</v>
      </c>
      <c r="G2133" s="31" t="s">
        <v>23</v>
      </c>
      <c r="I2133" s="31" t="s">
        <v>229</v>
      </c>
      <c r="J2133" s="31" t="s">
        <v>967</v>
      </c>
      <c r="K2133" s="33" t="s">
        <v>6542</v>
      </c>
      <c r="L2133" s="31" t="s">
        <v>202</v>
      </c>
      <c r="N2133" s="31" t="s">
        <v>204</v>
      </c>
      <c r="R2133" s="31" t="s">
        <v>148</v>
      </c>
    </row>
    <row r="2134">
      <c r="A2134" s="29">
        <v>45963.713496006945</v>
      </c>
      <c r="B2134" s="30">
        <v>45963.0</v>
      </c>
      <c r="C2134" s="31" t="s">
        <v>6543</v>
      </c>
      <c r="D2134" s="32" t="s">
        <v>6544</v>
      </c>
      <c r="E2134" s="31" t="s">
        <v>239</v>
      </c>
      <c r="F2134" s="31">
        <v>2100000.0</v>
      </c>
      <c r="G2134" s="31" t="s">
        <v>23</v>
      </c>
      <c r="I2134" s="31" t="s">
        <v>229</v>
      </c>
      <c r="J2134" s="31" t="s">
        <v>967</v>
      </c>
      <c r="K2134" s="33" t="s">
        <v>6545</v>
      </c>
      <c r="L2134" s="31" t="s">
        <v>202</v>
      </c>
      <c r="N2134" s="31" t="s">
        <v>204</v>
      </c>
      <c r="R2134" s="31" t="s">
        <v>148</v>
      </c>
    </row>
    <row r="2135">
      <c r="A2135" s="29">
        <v>45963.71434989583</v>
      </c>
      <c r="B2135" s="30">
        <v>45963.0</v>
      </c>
      <c r="C2135" s="31" t="s">
        <v>6546</v>
      </c>
      <c r="D2135" s="32" t="s">
        <v>6547</v>
      </c>
      <c r="E2135" s="31" t="s">
        <v>288</v>
      </c>
      <c r="F2135" s="31">
        <v>2100000.0</v>
      </c>
      <c r="G2135" s="31" t="s">
        <v>23</v>
      </c>
      <c r="I2135" s="31" t="s">
        <v>229</v>
      </c>
      <c r="J2135" s="31" t="s">
        <v>967</v>
      </c>
      <c r="K2135" s="33" t="s">
        <v>6548</v>
      </c>
      <c r="L2135" s="31" t="s">
        <v>202</v>
      </c>
      <c r="N2135" s="31" t="s">
        <v>204</v>
      </c>
      <c r="R2135" s="31" t="s">
        <v>148</v>
      </c>
    </row>
    <row r="2136">
      <c r="A2136" s="29">
        <v>45963.73729524306</v>
      </c>
      <c r="B2136" s="30">
        <v>45963.0</v>
      </c>
      <c r="C2136" s="31" t="s">
        <v>6549</v>
      </c>
      <c r="D2136" s="32" t="s">
        <v>6550</v>
      </c>
      <c r="E2136" s="31" t="s">
        <v>43</v>
      </c>
      <c r="F2136" s="31">
        <v>5000000.0</v>
      </c>
      <c r="G2136" s="31" t="s">
        <v>45</v>
      </c>
      <c r="I2136" s="31" t="s">
        <v>229</v>
      </c>
      <c r="J2136" s="31" t="s">
        <v>967</v>
      </c>
      <c r="K2136" s="33" t="s">
        <v>6551</v>
      </c>
      <c r="L2136" s="31" t="s">
        <v>252</v>
      </c>
      <c r="O2136" s="31" t="s">
        <v>257</v>
      </c>
      <c r="P2136" s="31" t="s">
        <v>272</v>
      </c>
    </row>
    <row r="2137">
      <c r="A2137" s="29">
        <v>45963.73993322917</v>
      </c>
      <c r="B2137" s="30">
        <v>45963.0</v>
      </c>
      <c r="C2137" s="31" t="s">
        <v>6552</v>
      </c>
      <c r="D2137" s="31">
        <v>0.0</v>
      </c>
      <c r="E2137" s="31" t="s">
        <v>43</v>
      </c>
      <c r="F2137" s="32" t="s">
        <v>5089</v>
      </c>
      <c r="G2137" s="31" t="s">
        <v>23</v>
      </c>
      <c r="H2137" s="31">
        <v>3000000.0</v>
      </c>
      <c r="I2137" s="31" t="s">
        <v>413</v>
      </c>
      <c r="K2137" s="33" t="s">
        <v>6553</v>
      </c>
      <c r="L2137" s="31" t="s">
        <v>252</v>
      </c>
      <c r="M2137" s="31" t="s">
        <v>203</v>
      </c>
      <c r="O2137" s="31" t="s">
        <v>257</v>
      </c>
      <c r="P2137" s="31" t="s">
        <v>992</v>
      </c>
    </row>
    <row r="2138">
      <c r="A2138" s="29">
        <v>45963.7732587037</v>
      </c>
      <c r="B2138" s="30">
        <v>45963.0</v>
      </c>
      <c r="C2138" s="31" t="s">
        <v>6554</v>
      </c>
      <c r="D2138" s="32" t="s">
        <v>6555</v>
      </c>
      <c r="E2138" s="31" t="s">
        <v>228</v>
      </c>
      <c r="F2138" s="31">
        <v>5000000.0</v>
      </c>
      <c r="G2138" s="31" t="s">
        <v>23</v>
      </c>
      <c r="I2138" s="31" t="s">
        <v>229</v>
      </c>
      <c r="J2138" s="31" t="s">
        <v>967</v>
      </c>
      <c r="K2138" s="33" t="s">
        <v>6556</v>
      </c>
      <c r="L2138" s="31" t="s">
        <v>202</v>
      </c>
      <c r="N2138" s="31" t="s">
        <v>220</v>
      </c>
      <c r="S2138" s="31" t="s">
        <v>1406</v>
      </c>
    </row>
    <row r="2139">
      <c r="A2139" s="29">
        <v>45963.837172280095</v>
      </c>
      <c r="B2139" s="30">
        <v>45963.0</v>
      </c>
      <c r="C2139" s="31" t="s">
        <v>6557</v>
      </c>
      <c r="D2139" s="32" t="s">
        <v>6558</v>
      </c>
      <c r="E2139" s="31" t="s">
        <v>31</v>
      </c>
      <c r="F2139" s="31">
        <v>3100000.0</v>
      </c>
      <c r="G2139" s="31" t="s">
        <v>23</v>
      </c>
      <c r="I2139" s="31" t="s">
        <v>229</v>
      </c>
      <c r="J2139" s="31" t="s">
        <v>967</v>
      </c>
      <c r="K2139" s="33" t="s">
        <v>6559</v>
      </c>
      <c r="L2139" s="31" t="s">
        <v>252</v>
      </c>
      <c r="O2139" s="31" t="s">
        <v>205</v>
      </c>
      <c r="X2139" s="31" t="s">
        <v>452</v>
      </c>
    </row>
    <row r="2140">
      <c r="A2140" s="29">
        <v>45963.839164363424</v>
      </c>
      <c r="B2140" s="30">
        <v>45963.0</v>
      </c>
      <c r="C2140" s="31" t="s">
        <v>6560</v>
      </c>
      <c r="D2140" s="32" t="s">
        <v>6561</v>
      </c>
      <c r="E2140" s="31" t="s">
        <v>43</v>
      </c>
      <c r="F2140" s="31">
        <v>3100000.0</v>
      </c>
      <c r="G2140" s="31" t="s">
        <v>23</v>
      </c>
      <c r="I2140" s="31" t="s">
        <v>229</v>
      </c>
      <c r="J2140" s="31" t="s">
        <v>165</v>
      </c>
      <c r="K2140" s="33" t="s">
        <v>6562</v>
      </c>
      <c r="L2140" s="31" t="s">
        <v>252</v>
      </c>
      <c r="O2140" s="31" t="s">
        <v>205</v>
      </c>
      <c r="X2140" s="31" t="s">
        <v>452</v>
      </c>
    </row>
    <row r="2141">
      <c r="A2141" s="29">
        <v>45964.408684571754</v>
      </c>
      <c r="B2141" s="30">
        <v>45964.0</v>
      </c>
      <c r="C2141" s="31" t="s">
        <v>6563</v>
      </c>
      <c r="D2141" s="32" t="s">
        <v>6564</v>
      </c>
      <c r="E2141" s="31" t="s">
        <v>31</v>
      </c>
      <c r="F2141" s="31">
        <v>2000000.0</v>
      </c>
      <c r="G2141" s="31" t="s">
        <v>23</v>
      </c>
      <c r="I2141" s="31" t="s">
        <v>229</v>
      </c>
      <c r="J2141" s="31" t="s">
        <v>967</v>
      </c>
      <c r="K2141" s="33" t="s">
        <v>6565</v>
      </c>
      <c r="L2141" s="31" t="s">
        <v>202</v>
      </c>
      <c r="N2141" s="31" t="s">
        <v>215</v>
      </c>
      <c r="W2141" s="31" t="s">
        <v>216</v>
      </c>
    </row>
    <row r="2142">
      <c r="A2142" s="29">
        <v>45964.44333016204</v>
      </c>
      <c r="B2142" s="30">
        <v>45964.0</v>
      </c>
      <c r="C2142" s="31" t="s">
        <v>6566</v>
      </c>
      <c r="D2142" s="32" t="s">
        <v>6567</v>
      </c>
      <c r="E2142" s="31" t="s">
        <v>409</v>
      </c>
      <c r="F2142" s="31">
        <v>6000000.0</v>
      </c>
      <c r="G2142" s="31" t="s">
        <v>23</v>
      </c>
      <c r="I2142" s="31" t="s">
        <v>229</v>
      </c>
      <c r="J2142" s="31" t="s">
        <v>967</v>
      </c>
      <c r="K2142" s="33" t="s">
        <v>6568</v>
      </c>
      <c r="L2142" s="31" t="s">
        <v>202</v>
      </c>
      <c r="N2142" s="31" t="s">
        <v>220</v>
      </c>
      <c r="S2142" s="31" t="s">
        <v>466</v>
      </c>
    </row>
    <row r="2143">
      <c r="A2143" s="29">
        <v>45964.44773175926</v>
      </c>
      <c r="B2143" s="30">
        <v>45964.0</v>
      </c>
      <c r="C2143" s="31" t="s">
        <v>6569</v>
      </c>
      <c r="D2143" s="32" t="s">
        <v>6570</v>
      </c>
      <c r="E2143" s="31" t="s">
        <v>31</v>
      </c>
      <c r="F2143" s="31">
        <v>3.46E7</v>
      </c>
      <c r="G2143" s="31" t="s">
        <v>23</v>
      </c>
      <c r="H2143" s="31">
        <v>3000000.0</v>
      </c>
      <c r="I2143" s="31" t="s">
        <v>200</v>
      </c>
      <c r="K2143" s="33" t="s">
        <v>6571</v>
      </c>
      <c r="L2143" s="31" t="s">
        <v>252</v>
      </c>
      <c r="M2143" s="31" t="s">
        <v>203</v>
      </c>
      <c r="O2143" s="31" t="s">
        <v>257</v>
      </c>
      <c r="P2143" s="31" t="s">
        <v>206</v>
      </c>
    </row>
    <row r="2144">
      <c r="A2144" s="29">
        <v>45964.47762967592</v>
      </c>
      <c r="B2144" s="30">
        <v>45964.0</v>
      </c>
      <c r="C2144" s="31" t="s">
        <v>6572</v>
      </c>
      <c r="D2144" s="32" t="s">
        <v>6573</v>
      </c>
      <c r="E2144" s="31" t="s">
        <v>6574</v>
      </c>
      <c r="F2144" s="31">
        <v>1.11E7</v>
      </c>
      <c r="G2144" s="31" t="s">
        <v>23</v>
      </c>
      <c r="I2144" s="31" t="s">
        <v>229</v>
      </c>
      <c r="J2144" s="31" t="s">
        <v>967</v>
      </c>
      <c r="K2144" s="33" t="s">
        <v>6575</v>
      </c>
      <c r="L2144" s="31" t="s">
        <v>202</v>
      </c>
      <c r="N2144" s="31" t="s">
        <v>220</v>
      </c>
      <c r="S2144" s="31" t="s">
        <v>5697</v>
      </c>
    </row>
    <row r="2145">
      <c r="A2145" s="29">
        <v>45964.48806957176</v>
      </c>
      <c r="B2145" s="30">
        <v>45964.0</v>
      </c>
      <c r="C2145" s="31" t="s">
        <v>6576</v>
      </c>
      <c r="D2145" s="32" t="s">
        <v>6577</v>
      </c>
      <c r="E2145" s="31" t="s">
        <v>43</v>
      </c>
      <c r="F2145" s="31">
        <v>3200000.0</v>
      </c>
      <c r="G2145" s="31" t="s">
        <v>23</v>
      </c>
      <c r="I2145" s="31" t="s">
        <v>229</v>
      </c>
      <c r="J2145" s="31" t="s">
        <v>967</v>
      </c>
      <c r="K2145" s="33" t="s">
        <v>6578</v>
      </c>
      <c r="L2145" s="31" t="s">
        <v>202</v>
      </c>
      <c r="N2145" s="31" t="s">
        <v>220</v>
      </c>
      <c r="S2145" s="31" t="s">
        <v>59</v>
      </c>
    </row>
    <row r="2146">
      <c r="A2146" s="29">
        <v>45964.491015</v>
      </c>
      <c r="B2146" s="30">
        <v>45964.0</v>
      </c>
      <c r="C2146" s="31" t="s">
        <v>6579</v>
      </c>
      <c r="D2146" s="32" t="s">
        <v>6580</v>
      </c>
      <c r="E2146" s="31" t="s">
        <v>239</v>
      </c>
      <c r="F2146" s="31">
        <v>50.0</v>
      </c>
      <c r="G2146" s="31" t="s">
        <v>23</v>
      </c>
      <c r="I2146" s="31" t="s">
        <v>229</v>
      </c>
      <c r="J2146" s="31" t="s">
        <v>967</v>
      </c>
      <c r="K2146" s="33" t="s">
        <v>6581</v>
      </c>
      <c r="L2146" s="31" t="s">
        <v>202</v>
      </c>
      <c r="N2146" s="31" t="s">
        <v>313</v>
      </c>
      <c r="T2146" s="31" t="s">
        <v>4272</v>
      </c>
    </row>
    <row r="2147">
      <c r="A2147" s="29">
        <v>45964.49631402778</v>
      </c>
      <c r="B2147" s="30">
        <v>45964.0</v>
      </c>
      <c r="C2147" s="31" t="s">
        <v>6582</v>
      </c>
      <c r="D2147" s="32" t="s">
        <v>6583</v>
      </c>
      <c r="E2147" s="31" t="s">
        <v>283</v>
      </c>
      <c r="F2147" s="31">
        <v>5000000.0</v>
      </c>
      <c r="G2147" s="31" t="s">
        <v>23</v>
      </c>
      <c r="H2147" s="31">
        <v>3000000.0</v>
      </c>
      <c r="I2147" s="31" t="s">
        <v>413</v>
      </c>
      <c r="K2147" s="33" t="s">
        <v>6584</v>
      </c>
      <c r="L2147" s="31" t="s">
        <v>252</v>
      </c>
      <c r="M2147" s="31" t="s">
        <v>5638</v>
      </c>
      <c r="O2147" s="31" t="s">
        <v>257</v>
      </c>
      <c r="P2147" s="31" t="s">
        <v>272</v>
      </c>
    </row>
    <row r="2148">
      <c r="A2148" s="29">
        <v>45964.501337256945</v>
      </c>
      <c r="B2148" s="30">
        <v>45964.0</v>
      </c>
      <c r="C2148" s="31" t="s">
        <v>6585</v>
      </c>
      <c r="D2148" s="32" t="s">
        <v>6586</v>
      </c>
      <c r="E2148" s="31" t="s">
        <v>43</v>
      </c>
      <c r="F2148" s="31">
        <v>4000000.0</v>
      </c>
      <c r="G2148" s="31" t="s">
        <v>23</v>
      </c>
      <c r="I2148" s="31" t="s">
        <v>229</v>
      </c>
      <c r="J2148" s="31" t="s">
        <v>967</v>
      </c>
      <c r="K2148" s="33" t="s">
        <v>6587</v>
      </c>
      <c r="L2148" s="31" t="s">
        <v>252</v>
      </c>
      <c r="O2148" s="31" t="s">
        <v>205</v>
      </c>
      <c r="X2148" s="31" t="s">
        <v>2335</v>
      </c>
    </row>
    <row r="2149">
      <c r="A2149" s="29">
        <v>45964.521335150464</v>
      </c>
      <c r="B2149" s="30">
        <v>45964.0</v>
      </c>
      <c r="C2149" s="31" t="s">
        <v>6588</v>
      </c>
      <c r="D2149" s="31">
        <v>6.285165039176E12</v>
      </c>
      <c r="E2149" s="31" t="s">
        <v>228</v>
      </c>
      <c r="F2149" s="31">
        <v>3000000.0</v>
      </c>
      <c r="G2149" s="31" t="s">
        <v>23</v>
      </c>
      <c r="I2149" s="31" t="s">
        <v>229</v>
      </c>
      <c r="J2149" s="31" t="s">
        <v>967</v>
      </c>
      <c r="K2149" s="33" t="s">
        <v>6589</v>
      </c>
      <c r="L2149" s="31" t="s">
        <v>202</v>
      </c>
      <c r="N2149" s="31" t="s">
        <v>204</v>
      </c>
      <c r="R2149" s="31" t="s">
        <v>892</v>
      </c>
    </row>
    <row r="2150">
      <c r="A2150" s="29">
        <v>45964.5253562963</v>
      </c>
      <c r="B2150" s="30">
        <v>45964.0</v>
      </c>
      <c r="C2150" s="31" t="s">
        <v>6590</v>
      </c>
      <c r="D2150" s="32" t="s">
        <v>6591</v>
      </c>
      <c r="E2150" s="31" t="s">
        <v>43</v>
      </c>
      <c r="F2150" s="31">
        <v>3500000.0</v>
      </c>
      <c r="G2150" s="31" t="s">
        <v>23</v>
      </c>
      <c r="I2150" s="31" t="s">
        <v>229</v>
      </c>
      <c r="J2150" s="31" t="s">
        <v>967</v>
      </c>
      <c r="K2150" s="33" t="s">
        <v>6592</v>
      </c>
      <c r="L2150" s="31" t="s">
        <v>252</v>
      </c>
      <c r="O2150" s="31" t="s">
        <v>257</v>
      </c>
      <c r="P2150" s="31" t="s">
        <v>3194</v>
      </c>
    </row>
    <row r="2151">
      <c r="A2151" s="29">
        <v>45964.52728928241</v>
      </c>
      <c r="B2151" s="30">
        <v>45964.0</v>
      </c>
      <c r="C2151" s="31" t="s">
        <v>6593</v>
      </c>
      <c r="D2151" s="32" t="s">
        <v>6594</v>
      </c>
      <c r="E2151" s="31" t="s">
        <v>6595</v>
      </c>
      <c r="F2151" s="31">
        <v>1.8E7</v>
      </c>
      <c r="G2151" s="31" t="s">
        <v>23</v>
      </c>
      <c r="I2151" s="31" t="s">
        <v>229</v>
      </c>
      <c r="J2151" s="31" t="s">
        <v>967</v>
      </c>
      <c r="K2151" s="33" t="s">
        <v>6596</v>
      </c>
      <c r="L2151" s="31" t="s">
        <v>202</v>
      </c>
      <c r="N2151" s="31" t="s">
        <v>500</v>
      </c>
      <c r="V2151" s="31" t="s">
        <v>6597</v>
      </c>
    </row>
    <row r="2152">
      <c r="A2152" s="29">
        <v>45964.52754159722</v>
      </c>
      <c r="B2152" s="30">
        <v>45964.0</v>
      </c>
      <c r="C2152" s="31" t="s">
        <v>6598</v>
      </c>
      <c r="D2152" s="32" t="s">
        <v>6599</v>
      </c>
      <c r="E2152" s="31" t="s">
        <v>43</v>
      </c>
      <c r="F2152" s="34">
        <v>6000.0</v>
      </c>
      <c r="G2152" s="31" t="s">
        <v>23</v>
      </c>
      <c r="I2152" s="31" t="s">
        <v>229</v>
      </c>
      <c r="J2152" s="31" t="s">
        <v>967</v>
      </c>
      <c r="K2152" s="33" t="s">
        <v>6600</v>
      </c>
      <c r="L2152" s="31" t="s">
        <v>202</v>
      </c>
      <c r="N2152" s="31" t="s">
        <v>204</v>
      </c>
      <c r="R2152" s="31" t="s">
        <v>167</v>
      </c>
    </row>
    <row r="2153">
      <c r="A2153" s="29">
        <v>45964.58143657407</v>
      </c>
      <c r="B2153" s="30">
        <v>45964.0</v>
      </c>
      <c r="C2153" s="31" t="s">
        <v>6601</v>
      </c>
      <c r="D2153" s="32" t="s">
        <v>6602</v>
      </c>
      <c r="E2153" s="31" t="s">
        <v>31</v>
      </c>
      <c r="F2153" s="31">
        <v>8200000.0</v>
      </c>
      <c r="G2153" s="31" t="s">
        <v>23</v>
      </c>
      <c r="H2153" s="31">
        <v>3000000.0</v>
      </c>
      <c r="I2153" s="31" t="s">
        <v>200</v>
      </c>
      <c r="K2153" s="33" t="s">
        <v>6603</v>
      </c>
      <c r="L2153" s="31" t="s">
        <v>202</v>
      </c>
      <c r="M2153" s="31" t="s">
        <v>5638</v>
      </c>
      <c r="N2153" s="31" t="s">
        <v>313</v>
      </c>
      <c r="T2153" s="31" t="s">
        <v>329</v>
      </c>
    </row>
    <row r="2154">
      <c r="A2154" s="29">
        <v>45964.58287241898</v>
      </c>
      <c r="B2154" s="30">
        <v>45964.0</v>
      </c>
      <c r="C2154" s="31" t="s">
        <v>6604</v>
      </c>
      <c r="D2154" s="32" t="s">
        <v>6605</v>
      </c>
      <c r="E2154" s="31" t="s">
        <v>31</v>
      </c>
      <c r="F2154" s="31">
        <v>6300000.0</v>
      </c>
      <c r="G2154" s="31" t="s">
        <v>23</v>
      </c>
      <c r="I2154" s="31" t="s">
        <v>229</v>
      </c>
      <c r="J2154" s="31" t="s">
        <v>967</v>
      </c>
      <c r="K2154" s="33" t="s">
        <v>6606</v>
      </c>
      <c r="L2154" s="31" t="s">
        <v>202</v>
      </c>
      <c r="N2154" s="31" t="s">
        <v>313</v>
      </c>
      <c r="T2154" s="31" t="s">
        <v>329</v>
      </c>
    </row>
    <row r="2155">
      <c r="A2155" s="29">
        <v>45964.58538989583</v>
      </c>
      <c r="B2155" s="30">
        <v>45964.0</v>
      </c>
      <c r="C2155" s="31" t="s">
        <v>6607</v>
      </c>
      <c r="D2155" s="32" t="s">
        <v>6608</v>
      </c>
      <c r="E2155" s="31" t="s">
        <v>43</v>
      </c>
      <c r="F2155" s="31">
        <v>3500000.0</v>
      </c>
      <c r="G2155" s="31" t="s">
        <v>23</v>
      </c>
      <c r="I2155" s="31" t="s">
        <v>229</v>
      </c>
      <c r="J2155" s="31" t="s">
        <v>967</v>
      </c>
      <c r="K2155" s="33" t="s">
        <v>6609</v>
      </c>
      <c r="L2155" s="31" t="s">
        <v>202</v>
      </c>
      <c r="N2155" s="31" t="s">
        <v>220</v>
      </c>
      <c r="S2155" s="31" t="s">
        <v>896</v>
      </c>
    </row>
    <row r="2156">
      <c r="A2156" s="29">
        <v>45964.586272395834</v>
      </c>
      <c r="B2156" s="30">
        <v>45964.0</v>
      </c>
      <c r="C2156" s="31" t="s">
        <v>6610</v>
      </c>
      <c r="D2156" s="32" t="s">
        <v>6611</v>
      </c>
      <c r="E2156" s="31" t="s">
        <v>31</v>
      </c>
      <c r="F2156" s="31">
        <v>6000000.0</v>
      </c>
      <c r="G2156" s="31" t="s">
        <v>23</v>
      </c>
      <c r="I2156" s="31" t="s">
        <v>229</v>
      </c>
      <c r="J2156" s="31" t="s">
        <v>967</v>
      </c>
      <c r="K2156" s="33" t="s">
        <v>6612</v>
      </c>
      <c r="L2156" s="31" t="s">
        <v>202</v>
      </c>
      <c r="N2156" s="31" t="s">
        <v>667</v>
      </c>
      <c r="U2156" s="31" t="s">
        <v>668</v>
      </c>
    </row>
    <row r="2157">
      <c r="A2157" s="29">
        <v>45964.60742863426</v>
      </c>
      <c r="B2157" s="30">
        <v>45964.0</v>
      </c>
      <c r="C2157" s="31" t="s">
        <v>6613</v>
      </c>
      <c r="D2157" s="32" t="s">
        <v>6614</v>
      </c>
      <c r="E2157" s="31" t="s">
        <v>199</v>
      </c>
      <c r="F2157" s="31">
        <v>4700000.0</v>
      </c>
      <c r="G2157" s="31" t="s">
        <v>45</v>
      </c>
      <c r="H2157" s="31">
        <v>7000000.0</v>
      </c>
      <c r="I2157" s="31" t="s">
        <v>200</v>
      </c>
      <c r="K2157" s="33" t="s">
        <v>6615</v>
      </c>
      <c r="L2157" s="31" t="s">
        <v>252</v>
      </c>
      <c r="M2157" s="31" t="s">
        <v>926</v>
      </c>
      <c r="O2157" s="31" t="s">
        <v>205</v>
      </c>
      <c r="X2157" s="31" t="s">
        <v>569</v>
      </c>
    </row>
    <row r="2158">
      <c r="A2158" s="29">
        <v>45964.63014903935</v>
      </c>
      <c r="B2158" s="30">
        <v>45964.0</v>
      </c>
      <c r="C2158" s="31" t="s">
        <v>6616</v>
      </c>
      <c r="D2158" s="32" t="s">
        <v>6617</v>
      </c>
      <c r="E2158" s="31" t="s">
        <v>261</v>
      </c>
      <c r="F2158" s="31">
        <v>6000000.0</v>
      </c>
      <c r="G2158" s="31" t="s">
        <v>45</v>
      </c>
      <c r="H2158" s="31">
        <v>3000000.0</v>
      </c>
      <c r="I2158" s="31" t="s">
        <v>413</v>
      </c>
      <c r="K2158" s="33" t="s">
        <v>6618</v>
      </c>
      <c r="L2158" s="31" t="s">
        <v>252</v>
      </c>
      <c r="M2158" s="31" t="s">
        <v>5638</v>
      </c>
      <c r="O2158" s="31" t="s">
        <v>257</v>
      </c>
      <c r="P2158" s="31" t="s">
        <v>285</v>
      </c>
    </row>
    <row r="2159">
      <c r="A2159" s="29">
        <v>45964.651368611114</v>
      </c>
      <c r="B2159" s="30">
        <v>45964.0</v>
      </c>
      <c r="C2159" s="31" t="s">
        <v>6619</v>
      </c>
      <c r="D2159" s="32" t="s">
        <v>6620</v>
      </c>
      <c r="E2159" s="31" t="s">
        <v>199</v>
      </c>
      <c r="F2159" s="31">
        <v>9000000.0</v>
      </c>
      <c r="G2159" s="31" t="s">
        <v>45</v>
      </c>
      <c r="H2159" s="31">
        <v>3000000.0</v>
      </c>
      <c r="I2159" s="31" t="s">
        <v>200</v>
      </c>
      <c r="K2159" s="33" t="s">
        <v>6621</v>
      </c>
      <c r="L2159" s="31" t="s">
        <v>202</v>
      </c>
      <c r="M2159" s="31" t="s">
        <v>5638</v>
      </c>
      <c r="N2159" s="31" t="s">
        <v>667</v>
      </c>
      <c r="U2159" s="31" t="s">
        <v>668</v>
      </c>
    </row>
    <row r="2160">
      <c r="A2160" s="29">
        <v>45964.6751358912</v>
      </c>
      <c r="B2160" s="30">
        <v>45964.0</v>
      </c>
      <c r="C2160" s="31" t="s">
        <v>6622</v>
      </c>
      <c r="D2160" s="32" t="s">
        <v>6623</v>
      </c>
      <c r="E2160" s="31" t="s">
        <v>2902</v>
      </c>
      <c r="F2160" s="31">
        <v>4700000.0</v>
      </c>
      <c r="G2160" s="31" t="s">
        <v>23</v>
      </c>
      <c r="I2160" s="31" t="s">
        <v>229</v>
      </c>
      <c r="J2160" s="31" t="s">
        <v>6624</v>
      </c>
      <c r="K2160" s="33" t="s">
        <v>6625</v>
      </c>
      <c r="L2160" s="31" t="s">
        <v>202</v>
      </c>
      <c r="N2160" s="31" t="s">
        <v>220</v>
      </c>
      <c r="S2160" s="31" t="s">
        <v>36</v>
      </c>
    </row>
    <row r="2161">
      <c r="A2161" s="29">
        <v>45964.69205378472</v>
      </c>
      <c r="B2161" s="30">
        <v>45964.0</v>
      </c>
      <c r="C2161" s="31" t="s">
        <v>6626</v>
      </c>
      <c r="D2161" s="32" t="s">
        <v>6627</v>
      </c>
      <c r="E2161" s="31" t="s">
        <v>31</v>
      </c>
      <c r="F2161" s="31">
        <v>1.0E8</v>
      </c>
      <c r="G2161" s="31" t="s">
        <v>23</v>
      </c>
      <c r="H2161" s="31">
        <v>3.0E7</v>
      </c>
      <c r="I2161" s="31" t="s">
        <v>200</v>
      </c>
      <c r="K2161" s="33" t="s">
        <v>6628</v>
      </c>
      <c r="L2161" s="31" t="s">
        <v>202</v>
      </c>
      <c r="M2161" s="31" t="s">
        <v>5638</v>
      </c>
      <c r="N2161" s="31" t="s">
        <v>204</v>
      </c>
      <c r="R2161" s="31" t="s">
        <v>471</v>
      </c>
    </row>
    <row r="2162">
      <c r="A2162" s="29">
        <v>45964.69655436343</v>
      </c>
      <c r="B2162" s="30">
        <v>45964.0</v>
      </c>
      <c r="C2162" s="31" t="s">
        <v>6629</v>
      </c>
      <c r="D2162" s="32" t="s">
        <v>6630</v>
      </c>
      <c r="E2162" s="31" t="s">
        <v>43</v>
      </c>
      <c r="F2162" s="31">
        <v>3500000.0</v>
      </c>
      <c r="G2162" s="31" t="s">
        <v>23</v>
      </c>
      <c r="I2162" s="31" t="s">
        <v>229</v>
      </c>
      <c r="J2162" s="31" t="s">
        <v>967</v>
      </c>
      <c r="K2162" s="33" t="s">
        <v>6631</v>
      </c>
      <c r="L2162" s="31" t="s">
        <v>202</v>
      </c>
      <c r="N2162" s="31" t="s">
        <v>220</v>
      </c>
      <c r="S2162" s="31" t="s">
        <v>896</v>
      </c>
    </row>
    <row r="2163">
      <c r="A2163" s="29">
        <v>45964.69813716435</v>
      </c>
      <c r="B2163" s="30">
        <v>45964.0</v>
      </c>
      <c r="C2163" s="31" t="s">
        <v>6632</v>
      </c>
      <c r="D2163" s="32" t="s">
        <v>6633</v>
      </c>
      <c r="E2163" s="31" t="s">
        <v>43</v>
      </c>
      <c r="F2163" s="31">
        <v>2300000.0</v>
      </c>
      <c r="G2163" s="31" t="s">
        <v>23</v>
      </c>
      <c r="I2163" s="31" t="s">
        <v>229</v>
      </c>
      <c r="J2163" s="31" t="s">
        <v>967</v>
      </c>
      <c r="K2163" s="33" t="s">
        <v>6634</v>
      </c>
      <c r="L2163" s="31" t="s">
        <v>202</v>
      </c>
      <c r="N2163" s="31" t="s">
        <v>871</v>
      </c>
      <c r="Q2163" s="31" t="s">
        <v>1021</v>
      </c>
    </row>
    <row r="2164">
      <c r="A2164" s="29">
        <v>45964.69968164352</v>
      </c>
      <c r="B2164" s="30">
        <v>45964.0</v>
      </c>
      <c r="C2164" s="31" t="s">
        <v>6635</v>
      </c>
      <c r="D2164" s="32" t="s">
        <v>6636</v>
      </c>
      <c r="E2164" s="31" t="s">
        <v>43</v>
      </c>
      <c r="F2164" s="31">
        <v>3000000.0</v>
      </c>
      <c r="G2164" s="31" t="s">
        <v>23</v>
      </c>
      <c r="H2164" s="31">
        <v>3000000.0</v>
      </c>
      <c r="I2164" s="31" t="s">
        <v>413</v>
      </c>
      <c r="K2164" s="33" t="s">
        <v>6637</v>
      </c>
      <c r="L2164" s="31" t="s">
        <v>202</v>
      </c>
      <c r="M2164" s="31" t="s">
        <v>5638</v>
      </c>
      <c r="N2164" s="31" t="s">
        <v>871</v>
      </c>
      <c r="Q2164" s="31" t="s">
        <v>872</v>
      </c>
    </row>
    <row r="2165">
      <c r="A2165" s="29">
        <v>45964.71353168982</v>
      </c>
      <c r="B2165" s="30">
        <v>45964.0</v>
      </c>
      <c r="C2165" s="31" t="s">
        <v>6638</v>
      </c>
      <c r="D2165" s="32" t="s">
        <v>6639</v>
      </c>
      <c r="E2165" s="31" t="s">
        <v>335</v>
      </c>
      <c r="F2165" s="31">
        <v>7000000.0</v>
      </c>
      <c r="G2165" s="31" t="s">
        <v>23</v>
      </c>
      <c r="I2165" s="31" t="s">
        <v>229</v>
      </c>
      <c r="J2165" s="31" t="s">
        <v>967</v>
      </c>
      <c r="K2165" s="33" t="s">
        <v>6640</v>
      </c>
      <c r="L2165" s="31" t="s">
        <v>252</v>
      </c>
      <c r="O2165" s="31" t="s">
        <v>257</v>
      </c>
      <c r="P2165" s="31" t="s">
        <v>258</v>
      </c>
    </row>
    <row r="2166">
      <c r="A2166" s="29">
        <v>45964.71544806713</v>
      </c>
      <c r="B2166" s="30">
        <v>45964.0</v>
      </c>
      <c r="C2166" s="31" t="s">
        <v>6641</v>
      </c>
      <c r="D2166" s="32" t="s">
        <v>6642</v>
      </c>
      <c r="E2166" s="31" t="s">
        <v>31</v>
      </c>
      <c r="F2166" s="31">
        <v>6800000.0</v>
      </c>
      <c r="G2166" s="31" t="s">
        <v>23</v>
      </c>
      <c r="I2166" s="31" t="s">
        <v>229</v>
      </c>
      <c r="J2166" s="31" t="s">
        <v>967</v>
      </c>
      <c r="K2166" s="33" t="s">
        <v>6643</v>
      </c>
      <c r="L2166" s="31" t="s">
        <v>202</v>
      </c>
      <c r="N2166" s="31" t="s">
        <v>313</v>
      </c>
      <c r="T2166" s="31" t="s">
        <v>329</v>
      </c>
    </row>
    <row r="2167">
      <c r="A2167" s="29">
        <v>45964.71670885417</v>
      </c>
      <c r="B2167" s="30">
        <v>45964.0</v>
      </c>
      <c r="C2167" s="31" t="s">
        <v>6644</v>
      </c>
      <c r="D2167" s="32" t="s">
        <v>6645</v>
      </c>
      <c r="E2167" s="31" t="s">
        <v>228</v>
      </c>
      <c r="F2167" s="34">
        <v>6000.0</v>
      </c>
      <c r="G2167" s="31" t="s">
        <v>23</v>
      </c>
      <c r="I2167" s="31" t="s">
        <v>229</v>
      </c>
      <c r="J2167" s="31" t="s">
        <v>967</v>
      </c>
      <c r="K2167" s="33" t="s">
        <v>6646</v>
      </c>
      <c r="L2167" s="31" t="s">
        <v>202</v>
      </c>
      <c r="N2167" s="31" t="s">
        <v>204</v>
      </c>
      <c r="R2167" s="31" t="s">
        <v>167</v>
      </c>
    </row>
    <row r="2168">
      <c r="A2168" s="29">
        <v>45964.72183425926</v>
      </c>
      <c r="B2168" s="30">
        <v>45964.0</v>
      </c>
      <c r="C2168" s="31" t="s">
        <v>6647</v>
      </c>
      <c r="D2168" s="32" t="s">
        <v>6648</v>
      </c>
      <c r="E2168" s="31" t="s">
        <v>228</v>
      </c>
      <c r="F2168" s="31">
        <v>2200000.0</v>
      </c>
      <c r="G2168" s="31" t="s">
        <v>23</v>
      </c>
      <c r="I2168" s="31" t="s">
        <v>229</v>
      </c>
      <c r="J2168" s="31" t="s">
        <v>967</v>
      </c>
      <c r="K2168" s="33" t="s">
        <v>6649</v>
      </c>
      <c r="L2168" s="31" t="s">
        <v>252</v>
      </c>
      <c r="O2168" s="31" t="s">
        <v>257</v>
      </c>
      <c r="P2168" s="31" t="s">
        <v>2453</v>
      </c>
    </row>
    <row r="2169">
      <c r="A2169" s="29">
        <v>45964.73480494213</v>
      </c>
      <c r="B2169" s="30">
        <v>45964.0</v>
      </c>
      <c r="C2169" s="31" t="s">
        <v>6650</v>
      </c>
      <c r="D2169" s="32" t="s">
        <v>6212</v>
      </c>
      <c r="E2169" s="31" t="s">
        <v>31</v>
      </c>
      <c r="F2169" s="31">
        <v>8.5E7</v>
      </c>
      <c r="G2169" s="31" t="s">
        <v>23</v>
      </c>
      <c r="H2169" s="31">
        <v>5000000.0</v>
      </c>
      <c r="I2169" s="31" t="s">
        <v>413</v>
      </c>
      <c r="K2169" s="33" t="s">
        <v>6651</v>
      </c>
      <c r="L2169" s="31" t="s">
        <v>202</v>
      </c>
      <c r="M2169" s="31" t="s">
        <v>605</v>
      </c>
      <c r="N2169" s="31" t="s">
        <v>667</v>
      </c>
      <c r="U2169" s="31" t="s">
        <v>668</v>
      </c>
    </row>
    <row r="2170">
      <c r="A2170" s="29">
        <v>45964.73852943287</v>
      </c>
      <c r="B2170" s="30">
        <v>45964.0</v>
      </c>
      <c r="C2170" s="31" t="s">
        <v>6652</v>
      </c>
      <c r="D2170" s="32" t="s">
        <v>6653</v>
      </c>
      <c r="E2170" s="31" t="s">
        <v>43</v>
      </c>
      <c r="F2170" s="31">
        <v>2400000.0</v>
      </c>
      <c r="G2170" s="31" t="s">
        <v>23</v>
      </c>
      <c r="I2170" s="31" t="s">
        <v>229</v>
      </c>
      <c r="J2170" s="31" t="s">
        <v>967</v>
      </c>
      <c r="K2170" s="33" t="s">
        <v>6654</v>
      </c>
      <c r="L2170" s="31" t="s">
        <v>252</v>
      </c>
      <c r="O2170" s="31" t="s">
        <v>257</v>
      </c>
      <c r="P2170" s="31" t="s">
        <v>2453</v>
      </c>
    </row>
    <row r="2171">
      <c r="A2171" s="29">
        <v>45964.74053252315</v>
      </c>
      <c r="B2171" s="30">
        <v>45964.0</v>
      </c>
      <c r="C2171" s="31" t="s">
        <v>6655</v>
      </c>
      <c r="D2171" s="32" t="s">
        <v>6656</v>
      </c>
      <c r="E2171" s="31" t="s">
        <v>288</v>
      </c>
      <c r="F2171" s="31">
        <v>50.0</v>
      </c>
      <c r="G2171" s="31" t="s">
        <v>23</v>
      </c>
      <c r="I2171" s="31" t="s">
        <v>229</v>
      </c>
      <c r="J2171" s="31" t="s">
        <v>967</v>
      </c>
      <c r="K2171" s="33" t="s">
        <v>6657</v>
      </c>
      <c r="L2171" s="31" t="s">
        <v>202</v>
      </c>
      <c r="N2171" s="31" t="s">
        <v>313</v>
      </c>
      <c r="T2171" s="31" t="s">
        <v>4272</v>
      </c>
    </row>
    <row r="2172">
      <c r="A2172" s="29">
        <v>45964.75491329861</v>
      </c>
      <c r="B2172" s="30">
        <v>45964.0</v>
      </c>
      <c r="C2172" s="31" t="s">
        <v>6658</v>
      </c>
      <c r="D2172" s="32" t="s">
        <v>6659</v>
      </c>
      <c r="E2172" s="31" t="s">
        <v>31</v>
      </c>
      <c r="F2172" s="31">
        <v>5999000.0</v>
      </c>
      <c r="G2172" s="31" t="s">
        <v>23</v>
      </c>
      <c r="I2172" s="31" t="s">
        <v>229</v>
      </c>
      <c r="J2172" s="31" t="s">
        <v>967</v>
      </c>
      <c r="K2172" s="33" t="s">
        <v>6660</v>
      </c>
      <c r="L2172" s="31" t="s">
        <v>202</v>
      </c>
      <c r="N2172" s="31" t="s">
        <v>204</v>
      </c>
      <c r="R2172" s="31" t="s">
        <v>207</v>
      </c>
    </row>
    <row r="2173">
      <c r="A2173" s="29">
        <v>45964.75616185185</v>
      </c>
      <c r="B2173" s="30">
        <v>45964.0</v>
      </c>
      <c r="C2173" s="31" t="s">
        <v>6661</v>
      </c>
      <c r="D2173" s="32" t="s">
        <v>6662</v>
      </c>
      <c r="E2173" s="31" t="s">
        <v>31</v>
      </c>
      <c r="F2173" s="31">
        <v>4999000.0</v>
      </c>
      <c r="G2173" s="31" t="s">
        <v>45</v>
      </c>
      <c r="I2173" s="31" t="s">
        <v>229</v>
      </c>
      <c r="J2173" s="31" t="s">
        <v>967</v>
      </c>
      <c r="K2173" s="33" t="s">
        <v>6663</v>
      </c>
      <c r="L2173" s="31" t="s">
        <v>202</v>
      </c>
      <c r="N2173" s="31" t="s">
        <v>204</v>
      </c>
      <c r="R2173" s="31" t="s">
        <v>207</v>
      </c>
    </row>
    <row r="2174">
      <c r="A2174" s="29">
        <v>45964.75757761574</v>
      </c>
      <c r="B2174" s="30">
        <v>45964.0</v>
      </c>
      <c r="C2174" s="31" t="s">
        <v>6664</v>
      </c>
      <c r="D2174" s="32" t="s">
        <v>6665</v>
      </c>
      <c r="E2174" s="31" t="s">
        <v>31</v>
      </c>
      <c r="F2174" s="31">
        <v>4999000.0</v>
      </c>
      <c r="G2174" s="31" t="s">
        <v>23</v>
      </c>
      <c r="I2174" s="31" t="s">
        <v>229</v>
      </c>
      <c r="J2174" s="31" t="s">
        <v>967</v>
      </c>
      <c r="K2174" s="33" t="s">
        <v>6666</v>
      </c>
      <c r="L2174" s="31" t="s">
        <v>202</v>
      </c>
      <c r="N2174" s="31" t="s">
        <v>204</v>
      </c>
      <c r="R2174" s="31" t="s">
        <v>207</v>
      </c>
    </row>
    <row r="2175">
      <c r="A2175" s="29">
        <v>45964.75911837963</v>
      </c>
      <c r="B2175" s="30">
        <v>45964.0</v>
      </c>
      <c r="C2175" s="31" t="s">
        <v>6667</v>
      </c>
      <c r="D2175" s="32" t="s">
        <v>6668</v>
      </c>
      <c r="E2175" s="31" t="s">
        <v>31</v>
      </c>
      <c r="F2175" s="31">
        <v>4999000.0</v>
      </c>
      <c r="G2175" s="31" t="s">
        <v>45</v>
      </c>
      <c r="I2175" s="31" t="s">
        <v>229</v>
      </c>
      <c r="J2175" s="31" t="s">
        <v>967</v>
      </c>
      <c r="K2175" s="33" t="s">
        <v>6669</v>
      </c>
      <c r="L2175" s="31" t="s">
        <v>202</v>
      </c>
      <c r="N2175" s="31" t="s">
        <v>204</v>
      </c>
      <c r="R2175" s="31" t="s">
        <v>207</v>
      </c>
    </row>
    <row r="2176">
      <c r="A2176" s="29">
        <v>45964.75980555556</v>
      </c>
      <c r="B2176" s="30">
        <v>45964.0</v>
      </c>
      <c r="C2176" s="31" t="s">
        <v>6670</v>
      </c>
      <c r="D2176" s="32" t="s">
        <v>6671</v>
      </c>
      <c r="E2176" s="31" t="s">
        <v>1104</v>
      </c>
      <c r="F2176" s="31">
        <v>5000000.0</v>
      </c>
      <c r="G2176" s="31" t="s">
        <v>23</v>
      </c>
      <c r="I2176" s="31" t="s">
        <v>229</v>
      </c>
      <c r="J2176" s="31" t="s">
        <v>967</v>
      </c>
      <c r="K2176" s="33" t="s">
        <v>6672</v>
      </c>
      <c r="L2176" s="31" t="s">
        <v>252</v>
      </c>
      <c r="O2176" s="31" t="s">
        <v>257</v>
      </c>
      <c r="P2176" s="31" t="s">
        <v>272</v>
      </c>
    </row>
    <row r="2177">
      <c r="A2177" s="29">
        <v>45964.76009783565</v>
      </c>
      <c r="B2177" s="30">
        <v>45964.0</v>
      </c>
      <c r="C2177" s="31" t="s">
        <v>6673</v>
      </c>
      <c r="D2177" s="32" t="s">
        <v>6674</v>
      </c>
      <c r="E2177" s="31" t="s">
        <v>31</v>
      </c>
      <c r="F2177" s="31">
        <v>5999000.0</v>
      </c>
      <c r="G2177" s="31" t="s">
        <v>23</v>
      </c>
      <c r="I2177" s="31" t="s">
        <v>229</v>
      </c>
      <c r="J2177" s="31" t="s">
        <v>967</v>
      </c>
      <c r="K2177" s="33" t="s">
        <v>6675</v>
      </c>
      <c r="L2177" s="31" t="s">
        <v>202</v>
      </c>
      <c r="N2177" s="31" t="s">
        <v>204</v>
      </c>
      <c r="R2177" s="31" t="s">
        <v>207</v>
      </c>
    </row>
    <row r="2178">
      <c r="A2178" s="29">
        <v>45964.76149898148</v>
      </c>
      <c r="B2178" s="30">
        <v>45964.0</v>
      </c>
      <c r="C2178" s="31" t="s">
        <v>6676</v>
      </c>
      <c r="D2178" s="32" t="s">
        <v>6677</v>
      </c>
      <c r="E2178" s="31" t="s">
        <v>31</v>
      </c>
      <c r="F2178" s="31">
        <v>5999000.0</v>
      </c>
      <c r="G2178" s="31" t="s">
        <v>23</v>
      </c>
      <c r="I2178" s="31" t="s">
        <v>229</v>
      </c>
      <c r="J2178" s="31" t="s">
        <v>967</v>
      </c>
      <c r="K2178" s="33" t="s">
        <v>6678</v>
      </c>
      <c r="L2178" s="31" t="s">
        <v>202</v>
      </c>
      <c r="N2178" s="31" t="s">
        <v>204</v>
      </c>
      <c r="R2178" s="31" t="s">
        <v>207</v>
      </c>
    </row>
    <row r="2179">
      <c r="A2179" s="29">
        <v>45964.77568215277</v>
      </c>
      <c r="B2179" s="30">
        <v>45964.0</v>
      </c>
      <c r="C2179" s="31" t="s">
        <v>6679</v>
      </c>
      <c r="D2179" s="32" t="s">
        <v>6680</v>
      </c>
      <c r="E2179" s="31" t="s">
        <v>1166</v>
      </c>
      <c r="F2179" s="31">
        <v>2500000.0</v>
      </c>
      <c r="G2179" s="31" t="s">
        <v>45</v>
      </c>
      <c r="H2179" s="31">
        <v>5000000.0</v>
      </c>
      <c r="I2179" s="31" t="s">
        <v>413</v>
      </c>
      <c r="K2179" s="33" t="s">
        <v>6681</v>
      </c>
      <c r="L2179" s="31" t="s">
        <v>202</v>
      </c>
      <c r="M2179" s="31" t="s">
        <v>926</v>
      </c>
      <c r="N2179" s="31" t="s">
        <v>313</v>
      </c>
      <c r="T2179" s="31" t="s">
        <v>4272</v>
      </c>
    </row>
    <row r="2180">
      <c r="A2180" s="29">
        <v>45964.810995011576</v>
      </c>
      <c r="B2180" s="30">
        <v>45964.0</v>
      </c>
      <c r="C2180" s="31" t="s">
        <v>6682</v>
      </c>
      <c r="D2180" s="32" t="s">
        <v>6683</v>
      </c>
      <c r="E2180" s="31" t="s">
        <v>228</v>
      </c>
      <c r="F2180" s="31">
        <v>2500.0</v>
      </c>
      <c r="G2180" s="31" t="s">
        <v>23</v>
      </c>
      <c r="I2180" s="31" t="s">
        <v>229</v>
      </c>
      <c r="J2180" s="31" t="s">
        <v>967</v>
      </c>
      <c r="K2180" s="33" t="s">
        <v>6684</v>
      </c>
      <c r="L2180" s="31" t="s">
        <v>202</v>
      </c>
      <c r="N2180" s="31" t="s">
        <v>204</v>
      </c>
      <c r="R2180" s="31" t="s">
        <v>192</v>
      </c>
    </row>
    <row r="2181">
      <c r="A2181" s="29">
        <v>45964.81895365741</v>
      </c>
      <c r="B2181" s="30">
        <v>45964.0</v>
      </c>
      <c r="C2181" s="31" t="s">
        <v>3440</v>
      </c>
      <c r="D2181" s="32" t="s">
        <v>6685</v>
      </c>
      <c r="E2181" s="31" t="s">
        <v>43</v>
      </c>
      <c r="F2181" s="31">
        <v>3700000.0</v>
      </c>
      <c r="G2181" s="31" t="s">
        <v>23</v>
      </c>
      <c r="I2181" s="31" t="s">
        <v>229</v>
      </c>
      <c r="J2181" s="31" t="s">
        <v>967</v>
      </c>
      <c r="K2181" s="33" t="s">
        <v>6686</v>
      </c>
      <c r="L2181" s="31" t="s">
        <v>202</v>
      </c>
      <c r="N2181" s="31" t="s">
        <v>204</v>
      </c>
      <c r="R2181" s="31" t="s">
        <v>53</v>
      </c>
    </row>
    <row r="2182">
      <c r="A2182" s="29">
        <v>45964.829947743056</v>
      </c>
      <c r="B2182" s="30">
        <v>45964.0</v>
      </c>
      <c r="C2182" s="31" t="s">
        <v>6687</v>
      </c>
      <c r="D2182" s="32" t="s">
        <v>6688</v>
      </c>
      <c r="E2182" s="31" t="s">
        <v>31</v>
      </c>
      <c r="F2182" s="31">
        <v>7300000.0</v>
      </c>
      <c r="G2182" s="31" t="s">
        <v>23</v>
      </c>
      <c r="H2182" s="31">
        <v>3000000.0</v>
      </c>
      <c r="I2182" s="31" t="s">
        <v>200</v>
      </c>
      <c r="K2182" s="33" t="s">
        <v>6689</v>
      </c>
      <c r="L2182" s="31" t="s">
        <v>202</v>
      </c>
      <c r="M2182" s="31" t="s">
        <v>203</v>
      </c>
      <c r="N2182" s="31" t="s">
        <v>313</v>
      </c>
      <c r="T2182" s="31" t="s">
        <v>329</v>
      </c>
    </row>
    <row r="2183">
      <c r="A2183" s="29">
        <v>45964.84974686343</v>
      </c>
      <c r="B2183" s="30">
        <v>45964.0</v>
      </c>
      <c r="C2183" s="31" t="s">
        <v>6690</v>
      </c>
      <c r="D2183" s="32" t="s">
        <v>6691</v>
      </c>
      <c r="E2183" s="31" t="s">
        <v>43</v>
      </c>
      <c r="F2183" s="31">
        <v>1.45E7</v>
      </c>
      <c r="G2183" s="31" t="s">
        <v>23</v>
      </c>
      <c r="H2183" s="31">
        <v>7000000.0</v>
      </c>
      <c r="I2183" s="31" t="s">
        <v>413</v>
      </c>
      <c r="K2183" s="33" t="s">
        <v>6692</v>
      </c>
      <c r="L2183" s="31" t="s">
        <v>202</v>
      </c>
      <c r="M2183" s="31" t="s">
        <v>605</v>
      </c>
      <c r="N2183" s="31" t="s">
        <v>220</v>
      </c>
      <c r="S2183" s="31" t="s">
        <v>5512</v>
      </c>
    </row>
    <row r="2184">
      <c r="A2184" s="29">
        <v>45964.86028262731</v>
      </c>
      <c r="B2184" s="30">
        <v>45964.0</v>
      </c>
      <c r="C2184" s="31" t="s">
        <v>6693</v>
      </c>
      <c r="D2184" s="32" t="s">
        <v>907</v>
      </c>
      <c r="E2184" s="31" t="s">
        <v>239</v>
      </c>
      <c r="F2184" s="31">
        <v>1000000.0</v>
      </c>
      <c r="G2184" s="31" t="s">
        <v>23</v>
      </c>
      <c r="I2184" s="31" t="s">
        <v>229</v>
      </c>
      <c r="J2184" s="31" t="s">
        <v>967</v>
      </c>
      <c r="K2184" s="33" t="s">
        <v>6694</v>
      </c>
      <c r="L2184" s="31" t="s">
        <v>202</v>
      </c>
      <c r="N2184" s="31" t="s">
        <v>215</v>
      </c>
      <c r="W2184" s="31" t="s">
        <v>532</v>
      </c>
    </row>
    <row r="2185">
      <c r="A2185" s="29">
        <v>45964.86958732639</v>
      </c>
      <c r="B2185" s="30">
        <v>45964.0</v>
      </c>
      <c r="C2185" s="31" t="s">
        <v>6695</v>
      </c>
      <c r="D2185" s="32" t="s">
        <v>6696</v>
      </c>
      <c r="E2185" s="31" t="s">
        <v>43</v>
      </c>
      <c r="F2185" s="31">
        <v>3700000.0</v>
      </c>
      <c r="G2185" s="31" t="s">
        <v>23</v>
      </c>
      <c r="I2185" s="31" t="s">
        <v>229</v>
      </c>
      <c r="J2185" s="31" t="s">
        <v>967</v>
      </c>
      <c r="K2185" s="33" t="s">
        <v>6697</v>
      </c>
      <c r="L2185" s="31" t="s">
        <v>202</v>
      </c>
      <c r="N2185" s="31" t="s">
        <v>204</v>
      </c>
      <c r="R2185" s="31" t="s">
        <v>148</v>
      </c>
    </row>
    <row r="2186">
      <c r="A2186" s="29">
        <v>45965.42528438657</v>
      </c>
      <c r="B2186" s="30">
        <v>45965.0</v>
      </c>
      <c r="C2186" s="31" t="s">
        <v>6698</v>
      </c>
      <c r="D2186" s="31">
        <v>0.0</v>
      </c>
      <c r="E2186" s="31" t="s">
        <v>6699</v>
      </c>
      <c r="F2186" s="34">
        <v>4500.0</v>
      </c>
      <c r="G2186" s="31" t="s">
        <v>23</v>
      </c>
      <c r="H2186" s="34">
        <v>7000.0</v>
      </c>
      <c r="I2186" s="31" t="s">
        <v>413</v>
      </c>
      <c r="K2186" s="33" t="s">
        <v>6700</v>
      </c>
      <c r="L2186" s="31" t="s">
        <v>202</v>
      </c>
      <c r="M2186" s="31" t="s">
        <v>605</v>
      </c>
      <c r="N2186" s="31" t="s">
        <v>204</v>
      </c>
      <c r="R2186" s="31" t="s">
        <v>171</v>
      </c>
    </row>
    <row r="2187">
      <c r="A2187" s="29">
        <v>45965.43852697917</v>
      </c>
      <c r="B2187" s="30">
        <v>45965.0</v>
      </c>
      <c r="C2187" s="31" t="s">
        <v>6701</v>
      </c>
      <c r="D2187" s="32" t="s">
        <v>4950</v>
      </c>
      <c r="E2187" s="31" t="s">
        <v>199</v>
      </c>
      <c r="F2187" s="31">
        <v>5000000.0</v>
      </c>
      <c r="G2187" s="31" t="s">
        <v>23</v>
      </c>
      <c r="H2187" s="31">
        <v>3000000.0</v>
      </c>
      <c r="I2187" s="31" t="s">
        <v>413</v>
      </c>
      <c r="K2187" s="33" t="s">
        <v>6702</v>
      </c>
      <c r="L2187" s="31" t="s">
        <v>202</v>
      </c>
      <c r="M2187" s="31" t="s">
        <v>5638</v>
      </c>
      <c r="N2187" s="31" t="s">
        <v>313</v>
      </c>
      <c r="T2187" s="31" t="s">
        <v>314</v>
      </c>
    </row>
    <row r="2188">
      <c r="A2188" s="29">
        <v>45965.4387237037</v>
      </c>
      <c r="B2188" s="30">
        <v>45965.0</v>
      </c>
      <c r="C2188" s="31" t="s">
        <v>6703</v>
      </c>
      <c r="D2188" s="31">
        <v>8.1388973188E10</v>
      </c>
      <c r="E2188" s="31" t="s">
        <v>6704</v>
      </c>
      <c r="F2188" s="31">
        <v>3000000.0</v>
      </c>
      <c r="G2188" s="31" t="s">
        <v>23</v>
      </c>
      <c r="I2188" s="31" t="s">
        <v>229</v>
      </c>
      <c r="J2188" s="31" t="s">
        <v>967</v>
      </c>
      <c r="K2188" s="33" t="s">
        <v>6705</v>
      </c>
      <c r="L2188" s="31" t="s">
        <v>202</v>
      </c>
      <c r="N2188" s="31" t="s">
        <v>313</v>
      </c>
      <c r="T2188" s="31" t="s">
        <v>384</v>
      </c>
    </row>
    <row r="2189">
      <c r="A2189" s="29">
        <v>45965.44199179398</v>
      </c>
      <c r="B2189" s="30">
        <v>45965.0</v>
      </c>
      <c r="C2189" s="31" t="s">
        <v>6706</v>
      </c>
      <c r="D2189" s="32" t="s">
        <v>6707</v>
      </c>
      <c r="E2189" s="31" t="s">
        <v>6708</v>
      </c>
      <c r="F2189" s="31">
        <v>6000000.0</v>
      </c>
      <c r="G2189" s="31" t="s">
        <v>23</v>
      </c>
      <c r="I2189" s="31" t="s">
        <v>229</v>
      </c>
      <c r="J2189" s="31" t="s">
        <v>967</v>
      </c>
      <c r="K2189" s="33" t="s">
        <v>6709</v>
      </c>
      <c r="L2189" s="31" t="s">
        <v>202</v>
      </c>
      <c r="N2189" s="31" t="s">
        <v>667</v>
      </c>
      <c r="U2189" s="31" t="s">
        <v>3950</v>
      </c>
    </row>
    <row r="2190">
      <c r="A2190" s="29">
        <v>45965.44269386574</v>
      </c>
      <c r="B2190" s="30">
        <v>45965.0</v>
      </c>
      <c r="C2190" s="31" t="s">
        <v>6710</v>
      </c>
      <c r="D2190" s="32" t="s">
        <v>6711</v>
      </c>
      <c r="E2190" s="31" t="s">
        <v>43</v>
      </c>
      <c r="F2190" s="31">
        <v>3200000.0</v>
      </c>
      <c r="G2190" s="31" t="s">
        <v>23</v>
      </c>
      <c r="H2190" s="31">
        <v>3000000.0</v>
      </c>
      <c r="I2190" s="31" t="s">
        <v>413</v>
      </c>
      <c r="K2190" s="33" t="s">
        <v>6712</v>
      </c>
      <c r="L2190" s="31" t="s">
        <v>202</v>
      </c>
      <c r="M2190" s="31" t="s">
        <v>203</v>
      </c>
      <c r="N2190" s="31" t="s">
        <v>220</v>
      </c>
      <c r="S2190" s="31" t="s">
        <v>59</v>
      </c>
    </row>
    <row r="2191">
      <c r="A2191" s="29">
        <v>45965.45459361111</v>
      </c>
      <c r="B2191" s="30">
        <v>45965.0</v>
      </c>
      <c r="C2191" s="31" t="s">
        <v>6713</v>
      </c>
      <c r="D2191" s="32" t="s">
        <v>6714</v>
      </c>
      <c r="E2191" s="31" t="s">
        <v>43</v>
      </c>
      <c r="F2191" s="31">
        <v>8000000.0</v>
      </c>
      <c r="G2191" s="31" t="s">
        <v>23</v>
      </c>
      <c r="I2191" s="31" t="s">
        <v>229</v>
      </c>
      <c r="J2191" s="31" t="s">
        <v>967</v>
      </c>
      <c r="K2191" s="33" t="s">
        <v>6715</v>
      </c>
      <c r="L2191" s="31" t="s">
        <v>252</v>
      </c>
      <c r="O2191" s="31" t="s">
        <v>257</v>
      </c>
      <c r="P2191" s="31" t="s">
        <v>3194</v>
      </c>
    </row>
    <row r="2192">
      <c r="A2192" s="29">
        <v>45965.476451574075</v>
      </c>
      <c r="B2192" s="30">
        <v>45965.0</v>
      </c>
      <c r="C2192" s="31" t="s">
        <v>6716</v>
      </c>
      <c r="D2192" s="32" t="s">
        <v>6717</v>
      </c>
      <c r="E2192" s="31" t="s">
        <v>43</v>
      </c>
      <c r="F2192" s="31">
        <v>3000000.0</v>
      </c>
      <c r="G2192" s="31" t="s">
        <v>23</v>
      </c>
      <c r="I2192" s="31" t="s">
        <v>229</v>
      </c>
      <c r="J2192" s="31" t="s">
        <v>967</v>
      </c>
      <c r="K2192" s="33" t="s">
        <v>6718</v>
      </c>
      <c r="L2192" s="31" t="s">
        <v>202</v>
      </c>
      <c r="N2192" s="31" t="s">
        <v>204</v>
      </c>
      <c r="R2192" s="31" t="s">
        <v>5256</v>
      </c>
    </row>
    <row r="2193">
      <c r="A2193" s="29">
        <v>45965.49357287037</v>
      </c>
      <c r="B2193" s="30">
        <v>45965.0</v>
      </c>
      <c r="C2193" s="31" t="s">
        <v>6719</v>
      </c>
      <c r="D2193" s="32" t="s">
        <v>4176</v>
      </c>
      <c r="E2193" s="31" t="s">
        <v>43</v>
      </c>
      <c r="F2193" s="31">
        <v>5000000.0</v>
      </c>
      <c r="G2193" s="31" t="s">
        <v>23</v>
      </c>
      <c r="H2193" s="31">
        <v>3000000.0</v>
      </c>
      <c r="I2193" s="31" t="s">
        <v>200</v>
      </c>
      <c r="K2193" s="33" t="s">
        <v>6720</v>
      </c>
      <c r="L2193" s="31" t="s">
        <v>202</v>
      </c>
      <c r="M2193" s="31" t="s">
        <v>5638</v>
      </c>
      <c r="N2193" s="31" t="s">
        <v>313</v>
      </c>
      <c r="T2193" s="31" t="s">
        <v>314</v>
      </c>
    </row>
    <row r="2194">
      <c r="A2194" s="29">
        <v>45965.497637141205</v>
      </c>
      <c r="B2194" s="30">
        <v>45965.0</v>
      </c>
      <c r="C2194" s="31" t="s">
        <v>6721</v>
      </c>
      <c r="D2194" s="32" t="s">
        <v>6722</v>
      </c>
      <c r="E2194" s="31" t="s">
        <v>31</v>
      </c>
      <c r="F2194" s="31">
        <v>9200000.0</v>
      </c>
      <c r="G2194" s="31" t="s">
        <v>23</v>
      </c>
      <c r="I2194" s="31" t="s">
        <v>229</v>
      </c>
      <c r="J2194" s="31" t="s">
        <v>967</v>
      </c>
      <c r="K2194" s="33" t="s">
        <v>6723</v>
      </c>
      <c r="L2194" s="31" t="s">
        <v>202</v>
      </c>
      <c r="N2194" s="31" t="s">
        <v>313</v>
      </c>
      <c r="T2194" s="31" t="s">
        <v>329</v>
      </c>
    </row>
    <row r="2195">
      <c r="A2195" s="29">
        <v>45965.49888263889</v>
      </c>
      <c r="B2195" s="30">
        <v>45965.0</v>
      </c>
      <c r="C2195" s="31" t="s">
        <v>6724</v>
      </c>
      <c r="D2195" s="32" t="s">
        <v>6725</v>
      </c>
      <c r="E2195" s="31" t="s">
        <v>31</v>
      </c>
      <c r="F2195" s="31">
        <v>7300000.0</v>
      </c>
      <c r="G2195" s="31" t="s">
        <v>23</v>
      </c>
      <c r="I2195" s="31" t="s">
        <v>229</v>
      </c>
      <c r="J2195" s="31" t="s">
        <v>967</v>
      </c>
      <c r="K2195" s="33" t="s">
        <v>6726</v>
      </c>
      <c r="L2195" s="31" t="s">
        <v>202</v>
      </c>
      <c r="N2195" s="31" t="s">
        <v>313</v>
      </c>
      <c r="T2195" s="31" t="s">
        <v>329</v>
      </c>
    </row>
    <row r="2196">
      <c r="A2196" s="29">
        <v>45965.50241364584</v>
      </c>
      <c r="B2196" s="30">
        <v>45965.0</v>
      </c>
      <c r="C2196" s="31" t="s">
        <v>6727</v>
      </c>
      <c r="D2196" s="32" t="s">
        <v>6728</v>
      </c>
      <c r="E2196" s="31" t="s">
        <v>43</v>
      </c>
      <c r="F2196" s="31">
        <v>2500000.0</v>
      </c>
      <c r="G2196" s="31" t="s">
        <v>23</v>
      </c>
      <c r="I2196" s="31" t="s">
        <v>229</v>
      </c>
      <c r="J2196" s="31" t="s">
        <v>967</v>
      </c>
      <c r="K2196" s="33" t="s">
        <v>6729</v>
      </c>
      <c r="L2196" s="31" t="s">
        <v>202</v>
      </c>
      <c r="N2196" s="31" t="s">
        <v>204</v>
      </c>
      <c r="R2196" s="31" t="s">
        <v>5256</v>
      </c>
    </row>
    <row r="2197">
      <c r="A2197" s="29">
        <v>45965.50467521991</v>
      </c>
      <c r="B2197" s="30">
        <v>45965.0</v>
      </c>
      <c r="C2197" s="31" t="s">
        <v>6730</v>
      </c>
      <c r="D2197" s="32" t="s">
        <v>6731</v>
      </c>
      <c r="E2197" s="31" t="s">
        <v>31</v>
      </c>
      <c r="F2197" s="31">
        <v>4999000.0</v>
      </c>
      <c r="G2197" s="31" t="s">
        <v>23</v>
      </c>
      <c r="I2197" s="31" t="s">
        <v>229</v>
      </c>
      <c r="J2197" s="31" t="s">
        <v>967</v>
      </c>
      <c r="K2197" s="33" t="s">
        <v>6732</v>
      </c>
      <c r="L2197" s="31" t="s">
        <v>202</v>
      </c>
      <c r="N2197" s="31" t="s">
        <v>204</v>
      </c>
      <c r="R2197" s="31" t="s">
        <v>207</v>
      </c>
    </row>
    <row r="2198">
      <c r="A2198" s="29">
        <v>45965.50578716435</v>
      </c>
      <c r="B2198" s="30">
        <v>45965.0</v>
      </c>
      <c r="C2198" s="31" t="s">
        <v>6733</v>
      </c>
      <c r="D2198" s="32" t="s">
        <v>6734</v>
      </c>
      <c r="E2198" s="31" t="s">
        <v>43</v>
      </c>
      <c r="F2198" s="31">
        <v>6000000.0</v>
      </c>
      <c r="G2198" s="31" t="s">
        <v>45</v>
      </c>
      <c r="H2198" s="31">
        <v>3000000.0</v>
      </c>
      <c r="I2198" s="31" t="s">
        <v>413</v>
      </c>
      <c r="K2198" s="33" t="s">
        <v>6735</v>
      </c>
      <c r="L2198" s="31" t="s">
        <v>202</v>
      </c>
      <c r="M2198" s="31" t="s">
        <v>926</v>
      </c>
      <c r="N2198" s="31" t="s">
        <v>204</v>
      </c>
      <c r="R2198" s="31" t="s">
        <v>207</v>
      </c>
    </row>
    <row r="2199">
      <c r="A2199" s="29">
        <v>45965.5114153125</v>
      </c>
      <c r="B2199" s="30">
        <v>45965.0</v>
      </c>
      <c r="C2199" s="31" t="s">
        <v>6736</v>
      </c>
      <c r="D2199" s="32" t="s">
        <v>6737</v>
      </c>
      <c r="E2199" s="31" t="s">
        <v>288</v>
      </c>
      <c r="F2199" s="31">
        <v>50.0</v>
      </c>
      <c r="G2199" s="31" t="s">
        <v>23</v>
      </c>
      <c r="I2199" s="31" t="s">
        <v>229</v>
      </c>
      <c r="J2199" s="31" t="s">
        <v>967</v>
      </c>
      <c r="K2199" s="33" t="s">
        <v>6738</v>
      </c>
      <c r="L2199" s="31" t="s">
        <v>202</v>
      </c>
      <c r="N2199" s="31" t="s">
        <v>313</v>
      </c>
      <c r="T2199" s="31" t="s">
        <v>4272</v>
      </c>
    </row>
    <row r="2200">
      <c r="A2200" s="29">
        <v>45965.52236739583</v>
      </c>
      <c r="B2200" s="30">
        <v>45965.0</v>
      </c>
      <c r="C2200" s="31" t="s">
        <v>6739</v>
      </c>
      <c r="D2200" s="32" t="s">
        <v>6740</v>
      </c>
      <c r="E2200" s="31" t="s">
        <v>43</v>
      </c>
      <c r="F2200" s="31">
        <v>1500000.0</v>
      </c>
      <c r="G2200" s="31" t="s">
        <v>23</v>
      </c>
      <c r="I2200" s="31" t="s">
        <v>229</v>
      </c>
      <c r="J2200" s="31" t="s">
        <v>967</v>
      </c>
      <c r="K2200" s="33" t="s">
        <v>6741</v>
      </c>
      <c r="L2200" s="31" t="s">
        <v>202</v>
      </c>
      <c r="N2200" s="31" t="s">
        <v>215</v>
      </c>
      <c r="W2200" s="31" t="s">
        <v>216</v>
      </c>
    </row>
    <row r="2201">
      <c r="A2201" s="29">
        <v>45965.527001215276</v>
      </c>
      <c r="B2201" s="30">
        <v>45965.0</v>
      </c>
      <c r="C2201" s="31" t="s">
        <v>6742</v>
      </c>
      <c r="D2201" s="32" t="s">
        <v>6743</v>
      </c>
      <c r="E2201" s="31" t="s">
        <v>43</v>
      </c>
      <c r="F2201" s="31">
        <v>8500000.0</v>
      </c>
      <c r="G2201" s="31" t="s">
        <v>23</v>
      </c>
      <c r="I2201" s="31" t="s">
        <v>229</v>
      </c>
      <c r="J2201" s="31" t="s">
        <v>967</v>
      </c>
      <c r="K2201" s="33" t="s">
        <v>6744</v>
      </c>
      <c r="L2201" s="31" t="s">
        <v>202</v>
      </c>
      <c r="N2201" s="31" t="s">
        <v>667</v>
      </c>
      <c r="U2201" s="31" t="s">
        <v>668</v>
      </c>
    </row>
    <row r="2202">
      <c r="A2202" s="29">
        <v>45965.554245775464</v>
      </c>
      <c r="B2202" s="30">
        <v>45965.0</v>
      </c>
      <c r="C2202" s="31" t="s">
        <v>6745</v>
      </c>
      <c r="D2202" s="31">
        <v>6.282145713644E12</v>
      </c>
      <c r="E2202" s="31" t="s">
        <v>43</v>
      </c>
      <c r="F2202" s="31">
        <v>5000000.0</v>
      </c>
      <c r="G2202" s="31" t="s">
        <v>23</v>
      </c>
      <c r="I2202" s="31" t="s">
        <v>229</v>
      </c>
      <c r="J2202" s="31" t="s">
        <v>967</v>
      </c>
      <c r="K2202" s="33" t="s">
        <v>6746</v>
      </c>
      <c r="L2202" s="31" t="s">
        <v>202</v>
      </c>
      <c r="N2202" s="31" t="s">
        <v>220</v>
      </c>
      <c r="S2202" s="31" t="s">
        <v>536</v>
      </c>
    </row>
    <row r="2203">
      <c r="A2203" s="29">
        <v>45965.60164850694</v>
      </c>
      <c r="B2203" s="30">
        <v>45965.0</v>
      </c>
      <c r="C2203" s="31" t="s">
        <v>6747</v>
      </c>
      <c r="D2203" s="32" t="s">
        <v>6748</v>
      </c>
      <c r="E2203" s="31" t="s">
        <v>43</v>
      </c>
      <c r="F2203" s="31">
        <v>6000000.0</v>
      </c>
      <c r="G2203" s="31" t="s">
        <v>45</v>
      </c>
      <c r="I2203" s="31" t="s">
        <v>229</v>
      </c>
      <c r="J2203" s="31" t="s">
        <v>967</v>
      </c>
      <c r="K2203" s="33" t="s">
        <v>6749</v>
      </c>
      <c r="L2203" s="31" t="s">
        <v>252</v>
      </c>
      <c r="O2203" s="31" t="s">
        <v>257</v>
      </c>
      <c r="P2203" s="31" t="s">
        <v>285</v>
      </c>
    </row>
    <row r="2204">
      <c r="A2204" s="29">
        <v>45965.60501699074</v>
      </c>
      <c r="B2204" s="30">
        <v>45965.0</v>
      </c>
      <c r="C2204" s="31" t="s">
        <v>6750</v>
      </c>
      <c r="D2204" s="32" t="s">
        <v>6714</v>
      </c>
      <c r="E2204" s="31" t="s">
        <v>43</v>
      </c>
      <c r="F2204" s="31">
        <v>3500000.0</v>
      </c>
      <c r="G2204" s="31" t="s">
        <v>23</v>
      </c>
      <c r="H2204" s="31">
        <v>3000000.0</v>
      </c>
      <c r="I2204" s="31" t="s">
        <v>200</v>
      </c>
      <c r="K2204" s="33" t="s">
        <v>6751</v>
      </c>
      <c r="L2204" s="31" t="s">
        <v>252</v>
      </c>
      <c r="M2204" s="31" t="s">
        <v>5638</v>
      </c>
      <c r="O2204" s="31" t="s">
        <v>257</v>
      </c>
      <c r="P2204" s="31" t="s">
        <v>206</v>
      </c>
    </row>
    <row r="2205">
      <c r="A2205" s="29">
        <v>45965.60659438657</v>
      </c>
      <c r="B2205" s="30">
        <v>45965.0</v>
      </c>
      <c r="C2205" s="31" t="s">
        <v>6752</v>
      </c>
      <c r="D2205" s="32" t="s">
        <v>6753</v>
      </c>
      <c r="E2205" s="31" t="s">
        <v>228</v>
      </c>
      <c r="F2205" s="31">
        <v>2.5E7</v>
      </c>
      <c r="G2205" s="31" t="s">
        <v>23</v>
      </c>
      <c r="I2205" s="31" t="s">
        <v>229</v>
      </c>
      <c r="J2205" s="31" t="s">
        <v>967</v>
      </c>
      <c r="K2205" s="33" t="s">
        <v>6754</v>
      </c>
      <c r="L2205" s="31" t="s">
        <v>202</v>
      </c>
      <c r="N2205" s="31" t="s">
        <v>500</v>
      </c>
      <c r="V2205" s="31" t="s">
        <v>6597</v>
      </c>
    </row>
    <row r="2206">
      <c r="A2206" s="29">
        <v>45965.60761795139</v>
      </c>
      <c r="B2206" s="30">
        <v>45965.0</v>
      </c>
      <c r="C2206" s="31" t="s">
        <v>6755</v>
      </c>
      <c r="D2206" s="31">
        <v>0.0</v>
      </c>
      <c r="E2206" s="31" t="s">
        <v>43</v>
      </c>
      <c r="F2206" s="32" t="s">
        <v>5089</v>
      </c>
      <c r="G2206" s="31" t="s">
        <v>23</v>
      </c>
      <c r="H2206" s="31">
        <v>3000000.0</v>
      </c>
      <c r="I2206" s="31" t="s">
        <v>200</v>
      </c>
      <c r="K2206" s="33" t="s">
        <v>6756</v>
      </c>
      <c r="L2206" s="31" t="s">
        <v>252</v>
      </c>
      <c r="M2206" s="31" t="s">
        <v>5638</v>
      </c>
      <c r="O2206" s="31" t="s">
        <v>257</v>
      </c>
      <c r="P2206" s="31" t="s">
        <v>992</v>
      </c>
    </row>
    <row r="2207">
      <c r="A2207" s="29">
        <v>45965.66906694444</v>
      </c>
      <c r="B2207" s="30">
        <v>45965.0</v>
      </c>
      <c r="C2207" s="31" t="s">
        <v>6757</v>
      </c>
      <c r="D2207" s="32" t="s">
        <v>6758</v>
      </c>
      <c r="E2207" s="31" t="s">
        <v>31</v>
      </c>
      <c r="F2207" s="31">
        <v>5000000.0</v>
      </c>
      <c r="G2207" s="31" t="s">
        <v>23</v>
      </c>
      <c r="I2207" s="31" t="s">
        <v>229</v>
      </c>
      <c r="J2207" s="31" t="s">
        <v>967</v>
      </c>
      <c r="K2207" s="33" t="s">
        <v>6759</v>
      </c>
      <c r="L2207" s="31" t="s">
        <v>202</v>
      </c>
      <c r="N2207" s="31" t="s">
        <v>313</v>
      </c>
      <c r="T2207" s="31" t="s">
        <v>329</v>
      </c>
    </row>
    <row r="2208">
      <c r="A2208" s="29">
        <v>45965.67602594907</v>
      </c>
      <c r="B2208" s="30">
        <v>45965.0</v>
      </c>
      <c r="C2208" s="31" t="s">
        <v>6760</v>
      </c>
      <c r="D2208" s="32" t="s">
        <v>6761</v>
      </c>
      <c r="E2208" s="31" t="s">
        <v>43</v>
      </c>
      <c r="F2208" s="31">
        <v>3000000.0</v>
      </c>
      <c r="G2208" s="31" t="s">
        <v>23</v>
      </c>
      <c r="I2208" s="31" t="s">
        <v>229</v>
      </c>
      <c r="J2208" s="31" t="s">
        <v>967</v>
      </c>
      <c r="K2208" s="33" t="s">
        <v>6762</v>
      </c>
      <c r="L2208" s="31" t="s">
        <v>202</v>
      </c>
      <c r="N2208" s="31" t="s">
        <v>871</v>
      </c>
      <c r="Q2208" s="31" t="s">
        <v>872</v>
      </c>
    </row>
    <row r="2209">
      <c r="A2209" s="29">
        <v>45965.68639472222</v>
      </c>
      <c r="B2209" s="30">
        <v>45965.0</v>
      </c>
      <c r="C2209" s="31" t="s">
        <v>6763</v>
      </c>
      <c r="D2209" s="32" t="s">
        <v>6764</v>
      </c>
      <c r="E2209" s="31" t="s">
        <v>199</v>
      </c>
      <c r="F2209" s="31">
        <v>3700000.0</v>
      </c>
      <c r="G2209" s="31" t="s">
        <v>23</v>
      </c>
      <c r="I2209" s="31" t="s">
        <v>229</v>
      </c>
      <c r="J2209" s="31" t="s">
        <v>967</v>
      </c>
      <c r="K2209" s="33" t="s">
        <v>6765</v>
      </c>
      <c r="L2209" s="31" t="s">
        <v>252</v>
      </c>
      <c r="O2209" s="31" t="s">
        <v>257</v>
      </c>
      <c r="P2209" s="31" t="s">
        <v>2453</v>
      </c>
    </row>
    <row r="2210">
      <c r="A2210" s="29">
        <v>45965.68780186343</v>
      </c>
      <c r="B2210" s="30">
        <v>45965.0</v>
      </c>
      <c r="C2210" s="31" t="s">
        <v>2450</v>
      </c>
      <c r="D2210" s="32" t="s">
        <v>6766</v>
      </c>
      <c r="E2210" s="31" t="s">
        <v>43</v>
      </c>
      <c r="F2210" s="31">
        <v>2300000.0</v>
      </c>
      <c r="G2210" s="31" t="s">
        <v>23</v>
      </c>
      <c r="I2210" s="31" t="s">
        <v>229</v>
      </c>
      <c r="J2210" s="31" t="s">
        <v>967</v>
      </c>
      <c r="K2210" s="33" t="s">
        <v>6767</v>
      </c>
      <c r="L2210" s="31" t="s">
        <v>252</v>
      </c>
      <c r="O2210" s="31" t="s">
        <v>257</v>
      </c>
      <c r="P2210" s="31" t="s">
        <v>2453</v>
      </c>
    </row>
    <row r="2211">
      <c r="A2211" s="29">
        <v>45965.68870853009</v>
      </c>
      <c r="B2211" s="30">
        <v>45965.0</v>
      </c>
      <c r="C2211" s="31" t="s">
        <v>6768</v>
      </c>
      <c r="D2211" s="32" t="s">
        <v>6769</v>
      </c>
      <c r="E2211" s="31" t="s">
        <v>239</v>
      </c>
      <c r="F2211" s="31">
        <v>2100000.0</v>
      </c>
      <c r="G2211" s="31" t="s">
        <v>23</v>
      </c>
      <c r="I2211" s="31" t="s">
        <v>229</v>
      </c>
      <c r="J2211" s="31" t="s">
        <v>967</v>
      </c>
      <c r="K2211" s="33" t="s">
        <v>6770</v>
      </c>
      <c r="L2211" s="31" t="s">
        <v>202</v>
      </c>
      <c r="N2211" s="31" t="s">
        <v>204</v>
      </c>
      <c r="R2211" s="31" t="s">
        <v>148</v>
      </c>
    </row>
    <row r="2212">
      <c r="A2212" s="29">
        <v>45965.69811188657</v>
      </c>
      <c r="B2212" s="30">
        <v>45965.0</v>
      </c>
      <c r="C2212" s="31" t="s">
        <v>6771</v>
      </c>
      <c r="D2212" s="32" t="s">
        <v>6772</v>
      </c>
      <c r="E2212" s="31" t="s">
        <v>43</v>
      </c>
      <c r="F2212" s="31">
        <v>4900000.0</v>
      </c>
      <c r="G2212" s="31" t="s">
        <v>45</v>
      </c>
      <c r="H2212" s="31">
        <v>3000000.0</v>
      </c>
      <c r="I2212" s="31" t="s">
        <v>200</v>
      </c>
      <c r="K2212" s="33" t="s">
        <v>6773</v>
      </c>
      <c r="L2212" s="31" t="s">
        <v>252</v>
      </c>
      <c r="M2212" s="31" t="s">
        <v>926</v>
      </c>
      <c r="O2212" s="31" t="s">
        <v>257</v>
      </c>
      <c r="P2212" s="31" t="s">
        <v>272</v>
      </c>
    </row>
    <row r="2213">
      <c r="A2213" s="29">
        <v>45965.70254846065</v>
      </c>
      <c r="B2213" s="30">
        <v>45965.0</v>
      </c>
      <c r="C2213" s="31" t="s">
        <v>6774</v>
      </c>
      <c r="D2213" s="32" t="s">
        <v>6775</v>
      </c>
      <c r="E2213" s="31" t="s">
        <v>43</v>
      </c>
      <c r="F2213" s="31">
        <v>8000000.0</v>
      </c>
      <c r="G2213" s="31" t="s">
        <v>23</v>
      </c>
      <c r="I2213" s="31" t="s">
        <v>229</v>
      </c>
      <c r="J2213" s="31" t="s">
        <v>967</v>
      </c>
      <c r="K2213" s="33" t="s">
        <v>6776</v>
      </c>
      <c r="L2213" s="31" t="s">
        <v>252</v>
      </c>
      <c r="O2213" s="31" t="s">
        <v>257</v>
      </c>
      <c r="P2213" s="31" t="s">
        <v>3194</v>
      </c>
    </row>
    <row r="2214">
      <c r="A2214" s="29">
        <v>45965.70830987269</v>
      </c>
      <c r="B2214" s="30">
        <v>45965.0</v>
      </c>
      <c r="C2214" s="31" t="s">
        <v>6777</v>
      </c>
      <c r="D2214" s="31">
        <v>0.0</v>
      </c>
      <c r="E2214" s="31" t="s">
        <v>199</v>
      </c>
      <c r="F2214" s="32" t="s">
        <v>5089</v>
      </c>
      <c r="G2214" s="31" t="s">
        <v>23</v>
      </c>
      <c r="I2214" s="31" t="s">
        <v>229</v>
      </c>
      <c r="J2214" s="31" t="s">
        <v>967</v>
      </c>
      <c r="K2214" s="33" t="s">
        <v>6778</v>
      </c>
      <c r="L2214" s="31" t="s">
        <v>252</v>
      </c>
      <c r="O2214" s="31" t="s">
        <v>257</v>
      </c>
      <c r="P2214" s="31" t="s">
        <v>992</v>
      </c>
    </row>
    <row r="2215">
      <c r="A2215" s="29">
        <v>45965.71571696759</v>
      </c>
      <c r="B2215" s="30">
        <v>45965.0</v>
      </c>
      <c r="C2215" s="31" t="s">
        <v>6779</v>
      </c>
      <c r="D2215" s="32" t="s">
        <v>6780</v>
      </c>
      <c r="E2215" s="31" t="s">
        <v>213</v>
      </c>
      <c r="F2215" s="31">
        <v>1.0E7</v>
      </c>
      <c r="G2215" s="31" t="s">
        <v>23</v>
      </c>
      <c r="H2215" s="31">
        <v>3000000.0</v>
      </c>
      <c r="I2215" s="31" t="s">
        <v>413</v>
      </c>
      <c r="K2215" s="33" t="s">
        <v>6781</v>
      </c>
      <c r="L2215" s="31" t="s">
        <v>202</v>
      </c>
      <c r="M2215" s="31" t="s">
        <v>605</v>
      </c>
      <c r="N2215" s="31" t="s">
        <v>204</v>
      </c>
      <c r="R2215" s="31" t="s">
        <v>98</v>
      </c>
    </row>
    <row r="2216">
      <c r="A2216" s="29">
        <v>45965.779350219906</v>
      </c>
      <c r="B2216" s="30">
        <v>45965.0</v>
      </c>
      <c r="C2216" s="31" t="s">
        <v>6782</v>
      </c>
      <c r="D2216" s="32" t="s">
        <v>6783</v>
      </c>
      <c r="E2216" s="31" t="s">
        <v>288</v>
      </c>
      <c r="F2216" s="31">
        <v>50.0</v>
      </c>
      <c r="G2216" s="31" t="s">
        <v>23</v>
      </c>
      <c r="I2216" s="31" t="s">
        <v>229</v>
      </c>
      <c r="J2216" s="31" t="s">
        <v>967</v>
      </c>
      <c r="K2216" s="33" t="s">
        <v>6784</v>
      </c>
      <c r="L2216" s="31" t="s">
        <v>202</v>
      </c>
      <c r="N2216" s="31" t="s">
        <v>313</v>
      </c>
      <c r="T2216" s="31" t="s">
        <v>4272</v>
      </c>
    </row>
    <row r="2217">
      <c r="A2217" s="29">
        <v>45965.788292592595</v>
      </c>
      <c r="B2217" s="30">
        <v>45965.0</v>
      </c>
      <c r="C2217" s="31" t="s">
        <v>6785</v>
      </c>
      <c r="D2217" s="32" t="s">
        <v>6786</v>
      </c>
      <c r="E2217" s="31" t="s">
        <v>43</v>
      </c>
      <c r="F2217" s="31">
        <v>6000000.0</v>
      </c>
      <c r="G2217" s="31" t="s">
        <v>45</v>
      </c>
      <c r="I2217" s="31" t="s">
        <v>229</v>
      </c>
      <c r="J2217" s="31" t="s">
        <v>967</v>
      </c>
      <c r="K2217" s="33" t="s">
        <v>6787</v>
      </c>
      <c r="L2217" s="31" t="s">
        <v>202</v>
      </c>
      <c r="N2217" s="31" t="s">
        <v>204</v>
      </c>
      <c r="R2217" s="31" t="s">
        <v>98</v>
      </c>
    </row>
    <row r="2218">
      <c r="A2218" s="29">
        <v>45965.79870658564</v>
      </c>
      <c r="B2218" s="30">
        <v>45965.0</v>
      </c>
      <c r="C2218" s="31" t="s">
        <v>6788</v>
      </c>
      <c r="D2218" s="32" t="s">
        <v>6789</v>
      </c>
      <c r="E2218" s="31" t="s">
        <v>43</v>
      </c>
      <c r="F2218" s="31">
        <v>3500000.0</v>
      </c>
      <c r="G2218" s="31" t="s">
        <v>23</v>
      </c>
      <c r="I2218" s="31" t="s">
        <v>229</v>
      </c>
      <c r="J2218" s="31" t="s">
        <v>967</v>
      </c>
      <c r="K2218" s="33" t="s">
        <v>6790</v>
      </c>
      <c r="L2218" s="31" t="s">
        <v>202</v>
      </c>
      <c r="N2218" s="31" t="s">
        <v>220</v>
      </c>
      <c r="S2218" s="31" t="s">
        <v>896</v>
      </c>
    </row>
    <row r="2219">
      <c r="A2219" s="29">
        <v>45965.87134799769</v>
      </c>
      <c r="B2219" s="30">
        <v>45965.0</v>
      </c>
      <c r="C2219" s="31" t="s">
        <v>6791</v>
      </c>
      <c r="D2219" s="32" t="s">
        <v>6792</v>
      </c>
      <c r="E2219" s="31" t="s">
        <v>31</v>
      </c>
      <c r="F2219" s="31">
        <v>5000000.0</v>
      </c>
      <c r="G2219" s="31" t="s">
        <v>23</v>
      </c>
      <c r="I2219" s="31" t="s">
        <v>229</v>
      </c>
      <c r="J2219" s="31" t="s">
        <v>967</v>
      </c>
      <c r="K2219" s="33" t="s">
        <v>6793</v>
      </c>
      <c r="L2219" s="31" t="s">
        <v>202</v>
      </c>
      <c r="N2219" s="31" t="s">
        <v>313</v>
      </c>
      <c r="T2219" s="31" t="s">
        <v>329</v>
      </c>
    </row>
    <row r="2220">
      <c r="A2220" s="29">
        <v>45965.89113510417</v>
      </c>
      <c r="B2220" s="30">
        <v>45965.0</v>
      </c>
      <c r="C2220" s="31" t="s">
        <v>6794</v>
      </c>
      <c r="D2220" s="32" t="s">
        <v>6795</v>
      </c>
      <c r="E2220" s="31" t="s">
        <v>43</v>
      </c>
      <c r="F2220" s="31">
        <v>3000000.0</v>
      </c>
      <c r="G2220" s="31" t="s">
        <v>23</v>
      </c>
      <c r="I2220" s="31" t="s">
        <v>229</v>
      </c>
      <c r="J2220" s="31" t="s">
        <v>967</v>
      </c>
      <c r="K2220" s="33" t="s">
        <v>6796</v>
      </c>
      <c r="L2220" s="31" t="s">
        <v>202</v>
      </c>
      <c r="N2220" s="31" t="s">
        <v>220</v>
      </c>
      <c r="S2220" s="31" t="s">
        <v>5512</v>
      </c>
    </row>
    <row r="2221">
      <c r="A2221" s="29">
        <v>45965.900545937504</v>
      </c>
      <c r="B2221" s="30">
        <v>45965.0</v>
      </c>
      <c r="C2221" s="31" t="s">
        <v>6797</v>
      </c>
      <c r="D2221" s="32" t="s">
        <v>6798</v>
      </c>
      <c r="E2221" s="31" t="s">
        <v>43</v>
      </c>
      <c r="F2221" s="31">
        <v>5400000.0</v>
      </c>
      <c r="G2221" s="31" t="s">
        <v>23</v>
      </c>
      <c r="H2221" s="31">
        <v>7000000.0</v>
      </c>
      <c r="I2221" s="31" t="s">
        <v>200</v>
      </c>
      <c r="K2221" s="33" t="s">
        <v>6799</v>
      </c>
      <c r="L2221" s="31" t="s">
        <v>202</v>
      </c>
      <c r="M2221" s="31" t="s">
        <v>203</v>
      </c>
      <c r="N2221" s="31" t="s">
        <v>204</v>
      </c>
      <c r="R2221" s="31" t="s">
        <v>148</v>
      </c>
    </row>
    <row r="2222">
      <c r="A2222" s="29">
        <v>45965.90452809028</v>
      </c>
      <c r="B2222" s="30">
        <v>45965.0</v>
      </c>
      <c r="C2222" s="31" t="s">
        <v>4764</v>
      </c>
      <c r="D2222" s="32" t="s">
        <v>6800</v>
      </c>
      <c r="E2222" s="31" t="s">
        <v>43</v>
      </c>
      <c r="F2222" s="31">
        <v>3600000.0</v>
      </c>
      <c r="G2222" s="31" t="s">
        <v>23</v>
      </c>
      <c r="I2222" s="31" t="s">
        <v>229</v>
      </c>
      <c r="J2222" s="31" t="s">
        <v>967</v>
      </c>
      <c r="K2222" s="33" t="s">
        <v>6801</v>
      </c>
      <c r="L2222" s="31" t="s">
        <v>202</v>
      </c>
      <c r="N2222" s="31" t="s">
        <v>220</v>
      </c>
      <c r="S2222" s="31" t="s">
        <v>83</v>
      </c>
    </row>
    <row r="2223">
      <c r="A2223" s="29">
        <v>45965.90992289352</v>
      </c>
      <c r="B2223" s="30">
        <v>45965.0</v>
      </c>
      <c r="C2223" s="31" t="s">
        <v>6802</v>
      </c>
      <c r="D2223" s="32" t="s">
        <v>6803</v>
      </c>
      <c r="E2223" s="31" t="s">
        <v>784</v>
      </c>
      <c r="F2223" s="31">
        <v>3000000.0</v>
      </c>
      <c r="G2223" s="31" t="s">
        <v>23</v>
      </c>
      <c r="I2223" s="31" t="s">
        <v>229</v>
      </c>
      <c r="J2223" s="31" t="s">
        <v>967</v>
      </c>
      <c r="K2223" s="33" t="s">
        <v>6804</v>
      </c>
      <c r="L2223" s="31" t="s">
        <v>202</v>
      </c>
      <c r="N2223" s="31" t="s">
        <v>204</v>
      </c>
      <c r="R2223" s="31" t="s">
        <v>47</v>
      </c>
    </row>
    <row r="2224">
      <c r="A2224" s="29">
        <v>45965.964637453704</v>
      </c>
      <c r="B2224" s="30">
        <v>45965.0</v>
      </c>
      <c r="C2224" s="31" t="s">
        <v>6805</v>
      </c>
      <c r="D2224" s="32" t="s">
        <v>6806</v>
      </c>
      <c r="E2224" s="31" t="s">
        <v>43</v>
      </c>
      <c r="F2224" s="31">
        <v>2500000.0</v>
      </c>
      <c r="G2224" s="31" t="s">
        <v>23</v>
      </c>
      <c r="H2224" s="31">
        <v>3000000.0</v>
      </c>
      <c r="I2224" s="31" t="s">
        <v>413</v>
      </c>
      <c r="K2224" s="33" t="s">
        <v>6807</v>
      </c>
      <c r="L2224" s="31" t="s">
        <v>252</v>
      </c>
      <c r="M2224" s="31" t="s">
        <v>203</v>
      </c>
      <c r="O2224" s="31" t="s">
        <v>205</v>
      </c>
      <c r="X2224" s="31" t="s">
        <v>2280</v>
      </c>
    </row>
    <row r="2225">
      <c r="A2225" s="29">
        <v>45966.42295922454</v>
      </c>
      <c r="B2225" s="30">
        <v>45966.0</v>
      </c>
      <c r="C2225" s="31" t="s">
        <v>6808</v>
      </c>
      <c r="D2225" s="32" t="s">
        <v>6809</v>
      </c>
      <c r="E2225" s="31" t="s">
        <v>199</v>
      </c>
      <c r="F2225" s="31">
        <v>3000000.0</v>
      </c>
      <c r="G2225" s="31" t="s">
        <v>45</v>
      </c>
      <c r="I2225" s="31" t="s">
        <v>229</v>
      </c>
      <c r="J2225" s="31" t="s">
        <v>967</v>
      </c>
      <c r="K2225" s="33" t="s">
        <v>6810</v>
      </c>
      <c r="L2225" s="31" t="s">
        <v>252</v>
      </c>
      <c r="O2225" s="31" t="s">
        <v>205</v>
      </c>
      <c r="X2225" s="31" t="s">
        <v>452</v>
      </c>
    </row>
    <row r="2226">
      <c r="A2226" s="29">
        <v>45966.44038702546</v>
      </c>
      <c r="B2226" s="30">
        <v>45966.0</v>
      </c>
      <c r="C2226" s="31" t="s">
        <v>6811</v>
      </c>
      <c r="D2226" s="31">
        <v>0.0</v>
      </c>
      <c r="E2226" s="31" t="s">
        <v>43</v>
      </c>
      <c r="F2226" s="32" t="s">
        <v>1892</v>
      </c>
      <c r="G2226" s="31" t="s">
        <v>23</v>
      </c>
      <c r="I2226" s="31" t="s">
        <v>229</v>
      </c>
      <c r="J2226" s="31" t="s">
        <v>967</v>
      </c>
      <c r="K2226" s="33" t="s">
        <v>6812</v>
      </c>
      <c r="L2226" s="31" t="s">
        <v>252</v>
      </c>
      <c r="O2226" s="31" t="s">
        <v>257</v>
      </c>
      <c r="P2226" s="31" t="s">
        <v>992</v>
      </c>
    </row>
    <row r="2227">
      <c r="A2227" s="29">
        <v>45966.449517037036</v>
      </c>
      <c r="B2227" s="30">
        <v>45966.0</v>
      </c>
      <c r="C2227" s="31" t="s">
        <v>6813</v>
      </c>
      <c r="D2227" s="32" t="s">
        <v>6795</v>
      </c>
      <c r="E2227" s="31" t="s">
        <v>6814</v>
      </c>
      <c r="F2227" s="31">
        <v>3500000.0</v>
      </c>
      <c r="G2227" s="31" t="s">
        <v>23</v>
      </c>
      <c r="I2227" s="31" t="s">
        <v>229</v>
      </c>
      <c r="J2227" s="31" t="s">
        <v>967</v>
      </c>
      <c r="K2227" s="33" t="s">
        <v>6815</v>
      </c>
      <c r="L2227" s="31" t="s">
        <v>202</v>
      </c>
      <c r="N2227" s="31" t="s">
        <v>220</v>
      </c>
      <c r="S2227" s="31" t="s">
        <v>5512</v>
      </c>
    </row>
    <row r="2228">
      <c r="A2228" s="29">
        <v>45966.45188628472</v>
      </c>
      <c r="B2228" s="30">
        <v>45966.0</v>
      </c>
      <c r="C2228" s="31" t="s">
        <v>6816</v>
      </c>
      <c r="D2228" s="32" t="s">
        <v>6817</v>
      </c>
      <c r="E2228" s="31" t="s">
        <v>2902</v>
      </c>
      <c r="F2228" s="31">
        <v>4700000.0</v>
      </c>
      <c r="G2228" s="31" t="s">
        <v>23</v>
      </c>
      <c r="I2228" s="31" t="s">
        <v>229</v>
      </c>
      <c r="J2228" s="31" t="s">
        <v>967</v>
      </c>
      <c r="K2228" s="33" t="s">
        <v>6818</v>
      </c>
      <c r="L2228" s="31" t="s">
        <v>202</v>
      </c>
      <c r="N2228" s="31" t="s">
        <v>220</v>
      </c>
      <c r="S2228" s="31" t="s">
        <v>36</v>
      </c>
    </row>
    <row r="2229">
      <c r="A2229" s="29">
        <v>45966.45464003472</v>
      </c>
      <c r="B2229" s="30">
        <v>45966.0</v>
      </c>
      <c r="C2229" s="31" t="s">
        <v>6819</v>
      </c>
      <c r="D2229" s="32" t="s">
        <v>6820</v>
      </c>
      <c r="E2229" s="31" t="s">
        <v>43</v>
      </c>
      <c r="F2229" s="31">
        <v>350000.0</v>
      </c>
      <c r="G2229" s="31" t="s">
        <v>45</v>
      </c>
      <c r="H2229" s="31">
        <v>3000000.0</v>
      </c>
      <c r="I2229" s="31" t="s">
        <v>413</v>
      </c>
      <c r="K2229" s="33" t="s">
        <v>6821</v>
      </c>
      <c r="L2229" s="31" t="s">
        <v>202</v>
      </c>
      <c r="M2229" s="31" t="s">
        <v>5638</v>
      </c>
      <c r="N2229" s="31" t="s">
        <v>204</v>
      </c>
      <c r="R2229" s="31" t="s">
        <v>192</v>
      </c>
    </row>
    <row r="2230">
      <c r="A2230" s="29">
        <v>45966.48398636574</v>
      </c>
      <c r="B2230" s="30">
        <v>45966.0</v>
      </c>
      <c r="C2230" s="31" t="s">
        <v>6822</v>
      </c>
      <c r="D2230" s="32" t="s">
        <v>6823</v>
      </c>
      <c r="E2230" s="31" t="s">
        <v>3367</v>
      </c>
      <c r="F2230" s="31">
        <v>3100000.0</v>
      </c>
      <c r="G2230" s="31" t="s">
        <v>23</v>
      </c>
      <c r="I2230" s="31" t="s">
        <v>229</v>
      </c>
      <c r="J2230" s="31" t="s">
        <v>967</v>
      </c>
      <c r="K2230" s="33" t="s">
        <v>6824</v>
      </c>
      <c r="L2230" s="31" t="s">
        <v>202</v>
      </c>
      <c r="N2230" s="31" t="s">
        <v>313</v>
      </c>
      <c r="T2230" s="31" t="s">
        <v>384</v>
      </c>
    </row>
    <row r="2231">
      <c r="A2231" s="29">
        <v>45966.48555859954</v>
      </c>
      <c r="B2231" s="30">
        <v>45966.0</v>
      </c>
      <c r="C2231" s="31" t="s">
        <v>6825</v>
      </c>
      <c r="D2231" s="32" t="s">
        <v>6826</v>
      </c>
      <c r="E2231" s="31" t="s">
        <v>2598</v>
      </c>
      <c r="F2231" s="31">
        <v>7500000.0</v>
      </c>
      <c r="G2231" s="31" t="s">
        <v>23</v>
      </c>
      <c r="I2231" s="31" t="s">
        <v>229</v>
      </c>
      <c r="J2231" s="31" t="s">
        <v>967</v>
      </c>
      <c r="K2231" s="33" t="s">
        <v>6827</v>
      </c>
      <c r="L2231" s="31" t="s">
        <v>202</v>
      </c>
      <c r="N2231" s="31" t="s">
        <v>667</v>
      </c>
      <c r="U2231" s="31" t="s">
        <v>668</v>
      </c>
    </row>
    <row r="2232">
      <c r="A2232" s="29">
        <v>45966.490136712964</v>
      </c>
      <c r="B2232" s="30">
        <v>45965.0</v>
      </c>
      <c r="C2232" s="31" t="s">
        <v>6828</v>
      </c>
      <c r="D2232" s="32" t="s">
        <v>6829</v>
      </c>
      <c r="E2232" s="31" t="s">
        <v>43</v>
      </c>
      <c r="F2232" s="31">
        <v>8500000.0</v>
      </c>
      <c r="G2232" s="31" t="s">
        <v>23</v>
      </c>
      <c r="H2232" s="31">
        <v>3000000.0</v>
      </c>
      <c r="I2232" s="31" t="s">
        <v>200</v>
      </c>
      <c r="K2232" s="33" t="s">
        <v>6830</v>
      </c>
      <c r="L2232" s="31" t="s">
        <v>252</v>
      </c>
      <c r="M2232" s="31" t="s">
        <v>5638</v>
      </c>
      <c r="O2232" s="31" t="s">
        <v>257</v>
      </c>
      <c r="P2232" s="31" t="s">
        <v>258</v>
      </c>
    </row>
    <row r="2233">
      <c r="A2233" s="29">
        <v>45966.49791482639</v>
      </c>
      <c r="B2233" s="30">
        <v>45966.0</v>
      </c>
      <c r="C2233" s="31" t="s">
        <v>6831</v>
      </c>
      <c r="D2233" s="32" t="s">
        <v>6832</v>
      </c>
      <c r="E2233" s="31" t="s">
        <v>43</v>
      </c>
      <c r="F2233" s="31">
        <v>1200000.0</v>
      </c>
      <c r="G2233" s="31" t="s">
        <v>23</v>
      </c>
      <c r="I2233" s="31" t="s">
        <v>229</v>
      </c>
      <c r="J2233" s="31" t="s">
        <v>967</v>
      </c>
      <c r="K2233" s="33" t="s">
        <v>6833</v>
      </c>
      <c r="L2233" s="31" t="s">
        <v>202</v>
      </c>
      <c r="N2233" s="31" t="s">
        <v>667</v>
      </c>
      <c r="U2233" s="31" t="s">
        <v>3950</v>
      </c>
    </row>
    <row r="2234">
      <c r="A2234" s="29">
        <v>45966.49846076389</v>
      </c>
      <c r="B2234" s="30">
        <v>45966.0</v>
      </c>
      <c r="C2234" s="31" t="s">
        <v>6834</v>
      </c>
      <c r="D2234" s="32" t="s">
        <v>6835</v>
      </c>
      <c r="E2234" s="31" t="s">
        <v>43</v>
      </c>
      <c r="F2234" s="31">
        <v>3500000.0</v>
      </c>
      <c r="G2234" s="31" t="s">
        <v>23</v>
      </c>
      <c r="H2234" s="31">
        <v>3000000.0</v>
      </c>
      <c r="I2234" s="31" t="s">
        <v>200</v>
      </c>
      <c r="K2234" s="33" t="s">
        <v>6836</v>
      </c>
      <c r="L2234" s="31" t="s">
        <v>252</v>
      </c>
      <c r="M2234" s="31" t="s">
        <v>5638</v>
      </c>
      <c r="O2234" s="31" t="s">
        <v>257</v>
      </c>
      <c r="P2234" s="31" t="s">
        <v>206</v>
      </c>
    </row>
    <row r="2235">
      <c r="A2235" s="29">
        <v>45966.547450150465</v>
      </c>
      <c r="B2235" s="30">
        <v>45966.0</v>
      </c>
      <c r="C2235" s="31" t="s">
        <v>6837</v>
      </c>
      <c r="D2235" s="32" t="s">
        <v>6838</v>
      </c>
      <c r="E2235" s="31" t="s">
        <v>43</v>
      </c>
      <c r="F2235" s="31">
        <v>2000000.0</v>
      </c>
      <c r="G2235" s="31" t="s">
        <v>23</v>
      </c>
      <c r="I2235" s="31" t="s">
        <v>229</v>
      </c>
      <c r="J2235" s="31" t="s">
        <v>967</v>
      </c>
      <c r="K2235" s="33" t="s">
        <v>6839</v>
      </c>
      <c r="L2235" s="31" t="s">
        <v>202</v>
      </c>
      <c r="N2235" s="31" t="s">
        <v>215</v>
      </c>
      <c r="W2235" s="31" t="s">
        <v>216</v>
      </c>
    </row>
    <row r="2236">
      <c r="A2236" s="29">
        <v>45966.56277878472</v>
      </c>
      <c r="B2236" s="30">
        <v>45966.0</v>
      </c>
      <c r="C2236" s="31" t="s">
        <v>6840</v>
      </c>
      <c r="D2236" s="32" t="s">
        <v>6841</v>
      </c>
      <c r="E2236" s="31" t="s">
        <v>43</v>
      </c>
      <c r="F2236" s="31">
        <v>3500000.0</v>
      </c>
      <c r="G2236" s="31" t="s">
        <v>23</v>
      </c>
      <c r="I2236" s="31" t="s">
        <v>229</v>
      </c>
      <c r="J2236" s="31" t="s">
        <v>967</v>
      </c>
      <c r="K2236" s="33" t="s">
        <v>6842</v>
      </c>
      <c r="L2236" s="31" t="s">
        <v>202</v>
      </c>
      <c r="N2236" s="31" t="s">
        <v>204</v>
      </c>
      <c r="R2236" s="31" t="s">
        <v>5256</v>
      </c>
    </row>
    <row r="2237">
      <c r="A2237" s="29">
        <v>45966.56444508102</v>
      </c>
      <c r="B2237" s="30">
        <v>45966.0</v>
      </c>
      <c r="C2237" s="31" t="s">
        <v>6843</v>
      </c>
      <c r="D2237" s="32" t="s">
        <v>6844</v>
      </c>
      <c r="E2237" s="31" t="s">
        <v>43</v>
      </c>
      <c r="F2237" s="31">
        <v>2600000.0</v>
      </c>
      <c r="G2237" s="31" t="s">
        <v>23</v>
      </c>
      <c r="H2237" s="31">
        <v>1600000.0</v>
      </c>
      <c r="I2237" s="31" t="s">
        <v>413</v>
      </c>
      <c r="K2237" s="33" t="s">
        <v>6845</v>
      </c>
      <c r="L2237" s="31" t="s">
        <v>202</v>
      </c>
      <c r="M2237" s="31" t="s">
        <v>5638</v>
      </c>
      <c r="N2237" s="31" t="s">
        <v>871</v>
      </c>
      <c r="Q2237" s="31" t="s">
        <v>1021</v>
      </c>
    </row>
    <row r="2238">
      <c r="A2238" s="29">
        <v>45966.56552965278</v>
      </c>
      <c r="B2238" s="30">
        <v>45966.0</v>
      </c>
      <c r="C2238" s="31" t="s">
        <v>6846</v>
      </c>
      <c r="D2238" s="32" t="s">
        <v>6847</v>
      </c>
      <c r="E2238" s="31" t="s">
        <v>43</v>
      </c>
      <c r="F2238" s="31">
        <v>3200000.0</v>
      </c>
      <c r="G2238" s="31" t="s">
        <v>23</v>
      </c>
      <c r="H2238" s="31">
        <v>7000000.0</v>
      </c>
      <c r="I2238" s="31" t="s">
        <v>413</v>
      </c>
      <c r="K2238" s="33" t="s">
        <v>6848</v>
      </c>
      <c r="L2238" s="31" t="s">
        <v>202</v>
      </c>
      <c r="M2238" s="31" t="s">
        <v>926</v>
      </c>
      <c r="N2238" s="31" t="s">
        <v>204</v>
      </c>
      <c r="R2238" s="31" t="s">
        <v>5256</v>
      </c>
    </row>
    <row r="2239">
      <c r="A2239" s="29">
        <v>45966.58079869213</v>
      </c>
      <c r="B2239" s="30">
        <v>45966.0</v>
      </c>
      <c r="C2239" s="31" t="s">
        <v>6849</v>
      </c>
      <c r="D2239" s="32" t="s">
        <v>6850</v>
      </c>
      <c r="E2239" s="31" t="s">
        <v>261</v>
      </c>
      <c r="F2239" s="31">
        <v>6000000.0</v>
      </c>
      <c r="G2239" s="31" t="s">
        <v>45</v>
      </c>
      <c r="I2239" s="31" t="s">
        <v>229</v>
      </c>
      <c r="J2239" s="31" t="s">
        <v>967</v>
      </c>
      <c r="K2239" s="33" t="s">
        <v>6851</v>
      </c>
      <c r="L2239" s="31" t="s">
        <v>252</v>
      </c>
      <c r="O2239" s="31" t="s">
        <v>257</v>
      </c>
      <c r="P2239" s="31" t="s">
        <v>285</v>
      </c>
    </row>
    <row r="2240">
      <c r="A2240" s="29">
        <v>45966.582470775465</v>
      </c>
      <c r="B2240" s="30">
        <v>45966.0</v>
      </c>
      <c r="C2240" s="31" t="s">
        <v>6852</v>
      </c>
      <c r="D2240" s="32" t="s">
        <v>6853</v>
      </c>
      <c r="E2240" s="31" t="s">
        <v>43</v>
      </c>
      <c r="F2240" s="31">
        <v>8200000.0</v>
      </c>
      <c r="G2240" s="31" t="s">
        <v>23</v>
      </c>
      <c r="H2240" s="31">
        <v>3000000.0</v>
      </c>
      <c r="I2240" s="31" t="s">
        <v>200</v>
      </c>
      <c r="K2240" s="33" t="s">
        <v>6854</v>
      </c>
      <c r="L2240" s="31" t="s">
        <v>252</v>
      </c>
      <c r="M2240" s="31" t="s">
        <v>5638</v>
      </c>
      <c r="O2240" s="31" t="s">
        <v>257</v>
      </c>
      <c r="P2240" s="31" t="s">
        <v>258</v>
      </c>
    </row>
    <row r="2241">
      <c r="A2241" s="29">
        <v>45966.59269194445</v>
      </c>
      <c r="B2241" s="30">
        <v>45966.0</v>
      </c>
      <c r="C2241" s="31" t="s">
        <v>6855</v>
      </c>
      <c r="D2241" s="32" t="s">
        <v>6856</v>
      </c>
      <c r="E2241" s="31" t="s">
        <v>31</v>
      </c>
      <c r="F2241" s="31">
        <v>4000000.0</v>
      </c>
      <c r="G2241" s="31" t="s">
        <v>23</v>
      </c>
      <c r="I2241" s="31" t="s">
        <v>229</v>
      </c>
      <c r="J2241" s="31" t="s">
        <v>498</v>
      </c>
      <c r="K2241" s="33" t="s">
        <v>6857</v>
      </c>
      <c r="L2241" s="31" t="s">
        <v>202</v>
      </c>
      <c r="N2241" s="31" t="s">
        <v>500</v>
      </c>
      <c r="V2241" s="31" t="s">
        <v>501</v>
      </c>
    </row>
    <row r="2242">
      <c r="A2242" s="29">
        <v>45966.60742289352</v>
      </c>
      <c r="B2242" s="30">
        <v>45966.0</v>
      </c>
      <c r="C2242" s="31" t="s">
        <v>6858</v>
      </c>
      <c r="D2242" s="32" t="s">
        <v>6859</v>
      </c>
      <c r="E2242" s="31" t="s">
        <v>31</v>
      </c>
      <c r="F2242" s="31">
        <v>3500000.0</v>
      </c>
      <c r="G2242" s="31" t="s">
        <v>23</v>
      </c>
      <c r="I2242" s="31" t="s">
        <v>229</v>
      </c>
      <c r="J2242" s="31" t="s">
        <v>498</v>
      </c>
      <c r="K2242" s="33" t="s">
        <v>6860</v>
      </c>
      <c r="L2242" s="31" t="s">
        <v>202</v>
      </c>
      <c r="N2242" s="31" t="s">
        <v>500</v>
      </c>
      <c r="V2242" s="31" t="s">
        <v>501</v>
      </c>
    </row>
    <row r="2243">
      <c r="A2243" s="29">
        <v>45966.61245722222</v>
      </c>
      <c r="B2243" s="30">
        <v>45966.0</v>
      </c>
      <c r="C2243" s="31" t="s">
        <v>6861</v>
      </c>
      <c r="D2243" s="32" t="s">
        <v>6862</v>
      </c>
      <c r="E2243" s="31" t="s">
        <v>6863</v>
      </c>
      <c r="F2243" s="31">
        <v>6000000.0</v>
      </c>
      <c r="G2243" s="31" t="s">
        <v>23</v>
      </c>
      <c r="I2243" s="31" t="s">
        <v>229</v>
      </c>
      <c r="J2243" s="31" t="s">
        <v>967</v>
      </c>
      <c r="K2243" s="33" t="s">
        <v>6864</v>
      </c>
      <c r="L2243" s="31" t="s">
        <v>202</v>
      </c>
      <c r="N2243" s="31" t="s">
        <v>313</v>
      </c>
      <c r="T2243" s="31" t="s">
        <v>384</v>
      </c>
    </row>
    <row r="2244">
      <c r="A2244" s="29">
        <v>45966.61906149305</v>
      </c>
      <c r="B2244" s="30">
        <v>45966.0</v>
      </c>
      <c r="C2244" s="31" t="s">
        <v>6865</v>
      </c>
      <c r="D2244" s="32" t="s">
        <v>6866</v>
      </c>
      <c r="E2244" s="31" t="s">
        <v>2902</v>
      </c>
      <c r="F2244" s="31">
        <v>4600000.0</v>
      </c>
      <c r="G2244" s="31" t="s">
        <v>23</v>
      </c>
      <c r="H2244" s="31">
        <v>700000.0</v>
      </c>
      <c r="I2244" s="31" t="s">
        <v>413</v>
      </c>
      <c r="K2244" s="33" t="s">
        <v>6867</v>
      </c>
      <c r="L2244" s="31" t="s">
        <v>202</v>
      </c>
      <c r="M2244" s="31" t="s">
        <v>5638</v>
      </c>
      <c r="N2244" s="31" t="s">
        <v>220</v>
      </c>
      <c r="S2244" s="31" t="s">
        <v>36</v>
      </c>
    </row>
    <row r="2245">
      <c r="A2245" s="29">
        <v>45966.62649293982</v>
      </c>
      <c r="B2245" s="30">
        <v>45966.0</v>
      </c>
      <c r="C2245" s="31" t="s">
        <v>6868</v>
      </c>
      <c r="D2245" s="32" t="s">
        <v>6869</v>
      </c>
      <c r="E2245" s="31" t="s">
        <v>335</v>
      </c>
      <c r="F2245" s="31">
        <v>5600000.0</v>
      </c>
      <c r="G2245" s="31" t="s">
        <v>45</v>
      </c>
      <c r="I2245" s="31" t="s">
        <v>229</v>
      </c>
      <c r="J2245" s="31" t="s">
        <v>967</v>
      </c>
      <c r="K2245" s="33" t="s">
        <v>6870</v>
      </c>
      <c r="L2245" s="31" t="s">
        <v>252</v>
      </c>
      <c r="O2245" s="31" t="s">
        <v>205</v>
      </c>
      <c r="X2245" s="31" t="s">
        <v>2335</v>
      </c>
    </row>
    <row r="2246">
      <c r="A2246" s="29">
        <v>45966.64496585648</v>
      </c>
      <c r="B2246" s="30">
        <v>45966.0</v>
      </c>
      <c r="C2246" s="31" t="s">
        <v>6871</v>
      </c>
      <c r="D2246" s="32" t="s">
        <v>6872</v>
      </c>
      <c r="E2246" s="31" t="s">
        <v>43</v>
      </c>
      <c r="F2246" s="31">
        <v>3100000.0</v>
      </c>
      <c r="G2246" s="31" t="s">
        <v>23</v>
      </c>
      <c r="H2246" s="31">
        <v>3000000.0</v>
      </c>
      <c r="I2246" s="31" t="s">
        <v>413</v>
      </c>
      <c r="K2246" s="33" t="s">
        <v>6873</v>
      </c>
      <c r="L2246" s="31" t="s">
        <v>252</v>
      </c>
      <c r="M2246" s="31" t="s">
        <v>5638</v>
      </c>
      <c r="O2246" s="31" t="s">
        <v>257</v>
      </c>
      <c r="P2246" s="31" t="s">
        <v>2453</v>
      </c>
    </row>
    <row r="2247">
      <c r="A2247" s="29">
        <v>45966.64757944444</v>
      </c>
      <c r="B2247" s="30">
        <v>45966.0</v>
      </c>
      <c r="C2247" s="31" t="s">
        <v>6874</v>
      </c>
      <c r="D2247" s="32" t="s">
        <v>6875</v>
      </c>
      <c r="E2247" s="31" t="s">
        <v>283</v>
      </c>
      <c r="F2247" s="31">
        <v>4900000.0</v>
      </c>
      <c r="G2247" s="31" t="s">
        <v>23</v>
      </c>
      <c r="I2247" s="31" t="s">
        <v>229</v>
      </c>
      <c r="J2247" s="31" t="s">
        <v>967</v>
      </c>
      <c r="K2247" s="33" t="s">
        <v>6876</v>
      </c>
      <c r="L2247" s="31" t="s">
        <v>252</v>
      </c>
      <c r="O2247" s="31" t="s">
        <v>257</v>
      </c>
      <c r="P2247" s="31" t="s">
        <v>272</v>
      </c>
    </row>
    <row r="2248">
      <c r="A2248" s="29">
        <v>45966.65186238426</v>
      </c>
      <c r="B2248" s="30">
        <v>45966.0</v>
      </c>
      <c r="C2248" s="31" t="s">
        <v>6877</v>
      </c>
      <c r="D2248" s="32" t="s">
        <v>6878</v>
      </c>
      <c r="E2248" s="31" t="s">
        <v>43</v>
      </c>
      <c r="F2248" s="31">
        <v>8000000.0</v>
      </c>
      <c r="G2248" s="31" t="s">
        <v>23</v>
      </c>
      <c r="I2248" s="31" t="s">
        <v>229</v>
      </c>
      <c r="J2248" s="31" t="s">
        <v>967</v>
      </c>
      <c r="K2248" s="33" t="s">
        <v>6879</v>
      </c>
      <c r="L2248" s="31" t="s">
        <v>252</v>
      </c>
      <c r="O2248" s="31" t="s">
        <v>257</v>
      </c>
      <c r="P2248" s="31" t="s">
        <v>3194</v>
      </c>
    </row>
    <row r="2249">
      <c r="A2249" s="29">
        <v>45966.67967532408</v>
      </c>
      <c r="B2249" s="30">
        <v>45966.0</v>
      </c>
      <c r="C2249" s="31" t="s">
        <v>6880</v>
      </c>
      <c r="D2249" s="32" t="s">
        <v>6881</v>
      </c>
      <c r="E2249" s="31" t="s">
        <v>288</v>
      </c>
      <c r="F2249" s="31">
        <v>50.0</v>
      </c>
      <c r="G2249" s="31" t="s">
        <v>23</v>
      </c>
      <c r="I2249" s="31" t="s">
        <v>229</v>
      </c>
      <c r="J2249" s="31" t="s">
        <v>967</v>
      </c>
      <c r="K2249" s="33" t="s">
        <v>6882</v>
      </c>
      <c r="L2249" s="31" t="s">
        <v>202</v>
      </c>
      <c r="N2249" s="31" t="s">
        <v>313</v>
      </c>
      <c r="T2249" s="31" t="s">
        <v>4272</v>
      </c>
    </row>
    <row r="2250">
      <c r="A2250" s="29">
        <v>45966.70226015046</v>
      </c>
      <c r="B2250" s="30">
        <v>45966.0</v>
      </c>
      <c r="C2250" s="31" t="s">
        <v>6883</v>
      </c>
      <c r="D2250" s="32" t="s">
        <v>6884</v>
      </c>
      <c r="E2250" s="31" t="s">
        <v>283</v>
      </c>
      <c r="F2250" s="31">
        <v>6000000.0</v>
      </c>
      <c r="G2250" s="31" t="s">
        <v>45</v>
      </c>
      <c r="I2250" s="31" t="s">
        <v>229</v>
      </c>
      <c r="J2250" s="31" t="s">
        <v>967</v>
      </c>
      <c r="K2250" s="33" t="s">
        <v>6885</v>
      </c>
      <c r="L2250" s="31" t="s">
        <v>252</v>
      </c>
      <c r="O2250" s="31" t="s">
        <v>257</v>
      </c>
      <c r="P2250" s="31" t="s">
        <v>285</v>
      </c>
    </row>
    <row r="2251">
      <c r="A2251" s="29">
        <v>45966.70925528935</v>
      </c>
      <c r="B2251" s="30">
        <v>45966.0</v>
      </c>
      <c r="C2251" s="31" t="s">
        <v>6886</v>
      </c>
      <c r="D2251" s="32" t="s">
        <v>6887</v>
      </c>
      <c r="E2251" s="31" t="s">
        <v>199</v>
      </c>
      <c r="F2251" s="31">
        <v>7500000.0</v>
      </c>
      <c r="G2251" s="31" t="s">
        <v>23</v>
      </c>
      <c r="H2251" s="31">
        <v>5000000.0</v>
      </c>
      <c r="I2251" s="31" t="s">
        <v>413</v>
      </c>
      <c r="K2251" s="33" t="s">
        <v>6888</v>
      </c>
      <c r="L2251" s="31" t="s">
        <v>252</v>
      </c>
      <c r="M2251" s="31" t="s">
        <v>926</v>
      </c>
      <c r="O2251" s="31" t="s">
        <v>257</v>
      </c>
      <c r="P2251" s="31" t="s">
        <v>258</v>
      </c>
    </row>
    <row r="2252">
      <c r="A2252" s="29">
        <v>45966.71067672454</v>
      </c>
      <c r="B2252" s="30">
        <v>45966.0</v>
      </c>
      <c r="C2252" s="31" t="s">
        <v>6889</v>
      </c>
      <c r="D2252" s="32" t="s">
        <v>6890</v>
      </c>
      <c r="E2252" s="31" t="s">
        <v>121</v>
      </c>
      <c r="F2252" s="31">
        <v>5000000.0</v>
      </c>
      <c r="G2252" s="31" t="s">
        <v>23</v>
      </c>
      <c r="I2252" s="31" t="s">
        <v>229</v>
      </c>
      <c r="J2252" s="31" t="s">
        <v>967</v>
      </c>
      <c r="K2252" s="33" t="s">
        <v>6891</v>
      </c>
      <c r="L2252" s="31" t="s">
        <v>252</v>
      </c>
      <c r="O2252" s="31" t="s">
        <v>257</v>
      </c>
      <c r="P2252" s="31" t="s">
        <v>272</v>
      </c>
    </row>
    <row r="2253">
      <c r="A2253" s="29">
        <v>45966.71208170139</v>
      </c>
      <c r="B2253" s="30">
        <v>45966.0</v>
      </c>
      <c r="C2253" s="31" t="s">
        <v>6892</v>
      </c>
      <c r="D2253" s="32" t="s">
        <v>6893</v>
      </c>
      <c r="E2253" s="31" t="s">
        <v>31</v>
      </c>
      <c r="F2253" s="31">
        <v>6000000.0</v>
      </c>
      <c r="G2253" s="31" t="s">
        <v>23</v>
      </c>
      <c r="I2253" s="31" t="s">
        <v>229</v>
      </c>
      <c r="J2253" s="31" t="s">
        <v>967</v>
      </c>
      <c r="K2253" s="33" t="s">
        <v>6894</v>
      </c>
      <c r="L2253" s="31" t="s">
        <v>202</v>
      </c>
      <c r="N2253" s="31" t="s">
        <v>204</v>
      </c>
      <c r="R2253" s="31" t="s">
        <v>98</v>
      </c>
    </row>
    <row r="2254">
      <c r="A2254" s="29">
        <v>45966.71690119213</v>
      </c>
      <c r="B2254" s="30">
        <v>45966.0</v>
      </c>
      <c r="C2254" s="31" t="s">
        <v>6895</v>
      </c>
      <c r="D2254" s="32" t="s">
        <v>6896</v>
      </c>
      <c r="E2254" s="31" t="s">
        <v>239</v>
      </c>
      <c r="F2254" s="31">
        <v>450000.0</v>
      </c>
      <c r="G2254" s="31" t="s">
        <v>23</v>
      </c>
      <c r="I2254" s="31" t="s">
        <v>229</v>
      </c>
      <c r="J2254" s="31" t="s">
        <v>967</v>
      </c>
      <c r="K2254" s="33" t="s">
        <v>6897</v>
      </c>
      <c r="L2254" s="31" t="s">
        <v>202</v>
      </c>
      <c r="N2254" s="31" t="s">
        <v>871</v>
      </c>
      <c r="Q2254" s="31" t="s">
        <v>2403</v>
      </c>
    </row>
    <row r="2255">
      <c r="A2255" s="29">
        <v>45966.73006981482</v>
      </c>
      <c r="B2255" s="30">
        <v>45966.0</v>
      </c>
      <c r="C2255" s="31" t="s">
        <v>6898</v>
      </c>
      <c r="D2255" s="32" t="s">
        <v>6899</v>
      </c>
      <c r="E2255" s="31" t="s">
        <v>43</v>
      </c>
      <c r="F2255" s="31">
        <v>4900000.0</v>
      </c>
      <c r="G2255" s="31" t="s">
        <v>45</v>
      </c>
      <c r="I2255" s="31" t="s">
        <v>229</v>
      </c>
      <c r="J2255" s="31" t="s">
        <v>967</v>
      </c>
      <c r="K2255" s="33" t="s">
        <v>6900</v>
      </c>
      <c r="L2255" s="31" t="s">
        <v>252</v>
      </c>
      <c r="O2255" s="31" t="s">
        <v>257</v>
      </c>
      <c r="P2255" s="31" t="s">
        <v>272</v>
      </c>
    </row>
    <row r="2256">
      <c r="A2256" s="29">
        <v>45966.73182202547</v>
      </c>
      <c r="B2256" s="30">
        <v>45966.0</v>
      </c>
      <c r="C2256" s="31" t="s">
        <v>6901</v>
      </c>
      <c r="D2256" s="32" t="s">
        <v>6902</v>
      </c>
      <c r="E2256" s="31" t="s">
        <v>239</v>
      </c>
      <c r="F2256" s="31">
        <v>300000.0</v>
      </c>
      <c r="G2256" s="31" t="s">
        <v>23</v>
      </c>
      <c r="H2256" s="31">
        <v>300000.0</v>
      </c>
      <c r="I2256" s="31" t="s">
        <v>413</v>
      </c>
      <c r="K2256" s="33" t="s">
        <v>6903</v>
      </c>
      <c r="L2256" s="31" t="s">
        <v>202</v>
      </c>
      <c r="M2256" s="31" t="s">
        <v>203</v>
      </c>
      <c r="N2256" s="31" t="s">
        <v>204</v>
      </c>
      <c r="R2256" s="31" t="s">
        <v>892</v>
      </c>
    </row>
    <row r="2257">
      <c r="A2257" s="29">
        <v>45966.73489423611</v>
      </c>
      <c r="B2257" s="30">
        <v>45966.0</v>
      </c>
      <c r="C2257" s="31" t="s">
        <v>6904</v>
      </c>
      <c r="D2257" s="32" t="s">
        <v>6905</v>
      </c>
      <c r="E2257" s="31" t="s">
        <v>43</v>
      </c>
      <c r="F2257" s="31">
        <v>3000000.0</v>
      </c>
      <c r="G2257" s="31" t="s">
        <v>23</v>
      </c>
      <c r="I2257" s="31" t="s">
        <v>229</v>
      </c>
      <c r="J2257" s="31" t="s">
        <v>967</v>
      </c>
      <c r="K2257" s="33" t="s">
        <v>6906</v>
      </c>
      <c r="L2257" s="31" t="s">
        <v>252</v>
      </c>
      <c r="O2257" s="31" t="s">
        <v>257</v>
      </c>
      <c r="P2257" s="31" t="s">
        <v>1555</v>
      </c>
    </row>
    <row r="2258">
      <c r="A2258" s="29">
        <v>45966.73796388889</v>
      </c>
      <c r="B2258" s="30">
        <v>45966.0</v>
      </c>
      <c r="C2258" s="31" t="s">
        <v>6907</v>
      </c>
      <c r="D2258" s="32" t="s">
        <v>6908</v>
      </c>
      <c r="E2258" s="31" t="s">
        <v>43</v>
      </c>
      <c r="F2258" s="31">
        <v>6500000.0</v>
      </c>
      <c r="G2258" s="31" t="s">
        <v>23</v>
      </c>
      <c r="I2258" s="31" t="s">
        <v>229</v>
      </c>
      <c r="J2258" s="31" t="s">
        <v>967</v>
      </c>
      <c r="K2258" s="33" t="s">
        <v>6909</v>
      </c>
      <c r="L2258" s="31" t="s">
        <v>202</v>
      </c>
      <c r="N2258" s="31" t="s">
        <v>667</v>
      </c>
      <c r="U2258" s="31" t="s">
        <v>668</v>
      </c>
    </row>
    <row r="2259">
      <c r="A2259" s="29">
        <v>45966.76709903935</v>
      </c>
      <c r="B2259" s="30">
        <v>45966.0</v>
      </c>
      <c r="C2259" s="31" t="s">
        <v>6910</v>
      </c>
      <c r="D2259" s="32" t="s">
        <v>6911</v>
      </c>
      <c r="E2259" s="31" t="s">
        <v>335</v>
      </c>
      <c r="F2259" s="31">
        <v>6800000.0</v>
      </c>
      <c r="G2259" s="31" t="s">
        <v>23</v>
      </c>
      <c r="I2259" s="31" t="s">
        <v>229</v>
      </c>
      <c r="J2259" s="31" t="s">
        <v>967</v>
      </c>
      <c r="K2259" s="33" t="s">
        <v>6912</v>
      </c>
      <c r="L2259" s="31" t="s">
        <v>202</v>
      </c>
      <c r="N2259" s="31" t="s">
        <v>667</v>
      </c>
      <c r="U2259" s="31" t="s">
        <v>668</v>
      </c>
    </row>
    <row r="2260">
      <c r="A2260" s="29">
        <v>45966.78258800926</v>
      </c>
      <c r="B2260" s="30">
        <v>45966.0</v>
      </c>
      <c r="C2260" s="31" t="s">
        <v>6913</v>
      </c>
      <c r="D2260" s="32" t="s">
        <v>6914</v>
      </c>
      <c r="E2260" s="31" t="s">
        <v>288</v>
      </c>
      <c r="F2260" s="31">
        <v>6000000.0</v>
      </c>
      <c r="G2260" s="31" t="s">
        <v>45</v>
      </c>
      <c r="I2260" s="31" t="s">
        <v>229</v>
      </c>
      <c r="J2260" s="31" t="s">
        <v>967</v>
      </c>
      <c r="K2260" s="33" t="s">
        <v>6915</v>
      </c>
      <c r="L2260" s="31" t="s">
        <v>252</v>
      </c>
      <c r="O2260" s="31" t="s">
        <v>257</v>
      </c>
      <c r="P2260" s="31" t="s">
        <v>285</v>
      </c>
    </row>
    <row r="2261">
      <c r="A2261" s="29">
        <v>45966.78648763889</v>
      </c>
      <c r="B2261" s="30">
        <v>45966.0</v>
      </c>
      <c r="C2261" s="31" t="s">
        <v>6916</v>
      </c>
      <c r="D2261" s="32" t="s">
        <v>6917</v>
      </c>
      <c r="E2261" s="31" t="s">
        <v>335</v>
      </c>
      <c r="F2261" s="31">
        <v>6500000.0</v>
      </c>
      <c r="G2261" s="31" t="s">
        <v>23</v>
      </c>
      <c r="I2261" s="31" t="s">
        <v>229</v>
      </c>
      <c r="J2261" s="31" t="s">
        <v>967</v>
      </c>
      <c r="K2261" s="33" t="s">
        <v>6918</v>
      </c>
      <c r="L2261" s="31" t="s">
        <v>202</v>
      </c>
      <c r="N2261" s="31" t="s">
        <v>667</v>
      </c>
      <c r="U2261" s="31" t="s">
        <v>668</v>
      </c>
    </row>
    <row r="2262">
      <c r="A2262" s="29">
        <v>45966.81395684028</v>
      </c>
      <c r="B2262" s="30">
        <v>45966.0</v>
      </c>
      <c r="C2262" s="31" t="s">
        <v>6919</v>
      </c>
      <c r="D2262" s="32" t="s">
        <v>6227</v>
      </c>
      <c r="E2262" s="31" t="s">
        <v>43</v>
      </c>
      <c r="F2262" s="31">
        <v>3000000.0</v>
      </c>
      <c r="G2262" s="31" t="s">
        <v>23</v>
      </c>
      <c r="H2262" s="31">
        <v>3000000.0</v>
      </c>
      <c r="I2262" s="31" t="s">
        <v>200</v>
      </c>
      <c r="K2262" s="33" t="s">
        <v>6920</v>
      </c>
      <c r="L2262" s="31" t="s">
        <v>252</v>
      </c>
      <c r="M2262" s="31" t="s">
        <v>5638</v>
      </c>
      <c r="O2262" s="31" t="s">
        <v>205</v>
      </c>
      <c r="X2262" s="31" t="s">
        <v>253</v>
      </c>
    </row>
    <row r="2263">
      <c r="A2263" s="29">
        <v>45966.81738995371</v>
      </c>
      <c r="B2263" s="30">
        <v>45966.0</v>
      </c>
      <c r="C2263" s="31" t="s">
        <v>6921</v>
      </c>
      <c r="D2263" s="32" t="s">
        <v>6922</v>
      </c>
      <c r="E2263" s="31" t="s">
        <v>199</v>
      </c>
      <c r="F2263" s="31">
        <v>9200000.0</v>
      </c>
      <c r="G2263" s="31" t="s">
        <v>23</v>
      </c>
      <c r="I2263" s="31" t="s">
        <v>229</v>
      </c>
      <c r="J2263" s="31" t="s">
        <v>967</v>
      </c>
      <c r="K2263" s="33" t="s">
        <v>6923</v>
      </c>
      <c r="L2263" s="31" t="s">
        <v>202</v>
      </c>
      <c r="N2263" s="31" t="s">
        <v>313</v>
      </c>
      <c r="T2263" s="31" t="s">
        <v>329</v>
      </c>
    </row>
    <row r="2264">
      <c r="A2264" s="29">
        <v>45966.8216983912</v>
      </c>
      <c r="B2264" s="30">
        <v>45966.0</v>
      </c>
      <c r="C2264" s="31" t="s">
        <v>6924</v>
      </c>
      <c r="D2264" s="32" t="s">
        <v>6925</v>
      </c>
      <c r="E2264" s="31" t="s">
        <v>43</v>
      </c>
      <c r="F2264" s="31">
        <v>9100000.0</v>
      </c>
      <c r="G2264" s="31" t="s">
        <v>45</v>
      </c>
      <c r="H2264" s="31">
        <v>3000000.0</v>
      </c>
      <c r="I2264" s="31" t="s">
        <v>413</v>
      </c>
      <c r="K2264" s="33" t="s">
        <v>6926</v>
      </c>
      <c r="L2264" s="31" t="s">
        <v>202</v>
      </c>
      <c r="M2264" s="31" t="s">
        <v>203</v>
      </c>
      <c r="N2264" s="31" t="s">
        <v>220</v>
      </c>
      <c r="S2264" s="31" t="s">
        <v>5670</v>
      </c>
    </row>
    <row r="2265">
      <c r="A2265" s="29">
        <v>45966.82322767361</v>
      </c>
      <c r="B2265" s="30">
        <v>45966.0</v>
      </c>
      <c r="C2265" s="31" t="s">
        <v>6927</v>
      </c>
      <c r="D2265" s="32" t="s">
        <v>6928</v>
      </c>
      <c r="E2265" s="31" t="s">
        <v>228</v>
      </c>
      <c r="F2265" s="31">
        <v>2500000.0</v>
      </c>
      <c r="G2265" s="31" t="s">
        <v>23</v>
      </c>
      <c r="I2265" s="31" t="s">
        <v>229</v>
      </c>
      <c r="J2265" s="31" t="s">
        <v>967</v>
      </c>
      <c r="K2265" s="33" t="s">
        <v>6929</v>
      </c>
      <c r="L2265" s="31" t="s">
        <v>202</v>
      </c>
      <c r="N2265" s="31" t="s">
        <v>204</v>
      </c>
      <c r="R2265" s="31" t="s">
        <v>360</v>
      </c>
    </row>
    <row r="2266">
      <c r="A2266" s="29">
        <v>45966.82456548611</v>
      </c>
      <c r="B2266" s="30">
        <v>45966.0</v>
      </c>
      <c r="C2266" s="31" t="s">
        <v>6930</v>
      </c>
      <c r="D2266" s="32" t="s">
        <v>6931</v>
      </c>
      <c r="E2266" s="31" t="s">
        <v>288</v>
      </c>
      <c r="F2266" s="31">
        <v>150000.0</v>
      </c>
      <c r="G2266" s="31" t="s">
        <v>23</v>
      </c>
      <c r="I2266" s="31" t="s">
        <v>229</v>
      </c>
      <c r="J2266" s="31" t="s">
        <v>967</v>
      </c>
      <c r="K2266" s="33" t="s">
        <v>6932</v>
      </c>
      <c r="L2266" s="31" t="s">
        <v>202</v>
      </c>
      <c r="N2266" s="31" t="s">
        <v>204</v>
      </c>
      <c r="R2266" s="31" t="s">
        <v>360</v>
      </c>
    </row>
    <row r="2267">
      <c r="A2267" s="29">
        <v>45966.84380170139</v>
      </c>
      <c r="B2267" s="30">
        <v>45966.0</v>
      </c>
      <c r="C2267" s="31" t="s">
        <v>6933</v>
      </c>
      <c r="D2267" s="32" t="s">
        <v>6934</v>
      </c>
      <c r="E2267" s="31" t="s">
        <v>43</v>
      </c>
      <c r="F2267" s="31">
        <v>3000000.0</v>
      </c>
      <c r="G2267" s="31" t="s">
        <v>23</v>
      </c>
      <c r="H2267" s="31">
        <v>3000000.0</v>
      </c>
      <c r="I2267" s="31" t="s">
        <v>413</v>
      </c>
      <c r="K2267" s="33" t="s">
        <v>6935</v>
      </c>
      <c r="L2267" s="31" t="s">
        <v>252</v>
      </c>
      <c r="M2267" s="31" t="s">
        <v>203</v>
      </c>
      <c r="O2267" s="31" t="s">
        <v>205</v>
      </c>
      <c r="X2267" s="31" t="s">
        <v>452</v>
      </c>
    </row>
    <row r="2268">
      <c r="A2268" s="29">
        <v>45966.847613171296</v>
      </c>
      <c r="B2268" s="30">
        <v>45966.0</v>
      </c>
      <c r="C2268" s="31" t="s">
        <v>6936</v>
      </c>
      <c r="D2268" s="32" t="s">
        <v>6937</v>
      </c>
      <c r="E2268" s="31" t="s">
        <v>43</v>
      </c>
      <c r="F2268" s="31">
        <v>3100000.0</v>
      </c>
      <c r="G2268" s="31" t="s">
        <v>23</v>
      </c>
      <c r="I2268" s="31" t="s">
        <v>229</v>
      </c>
      <c r="J2268" s="31" t="s">
        <v>967</v>
      </c>
      <c r="K2268" s="33" t="s">
        <v>6938</v>
      </c>
      <c r="L2268" s="31" t="s">
        <v>252</v>
      </c>
      <c r="O2268" s="31" t="s">
        <v>205</v>
      </c>
      <c r="X2268" s="31" t="s">
        <v>452</v>
      </c>
    </row>
    <row r="2269">
      <c r="A2269" s="29">
        <v>45966.85385064815</v>
      </c>
      <c r="B2269" s="30">
        <v>45966.0</v>
      </c>
      <c r="C2269" s="31" t="s">
        <v>6939</v>
      </c>
      <c r="D2269" s="32" t="s">
        <v>6800</v>
      </c>
      <c r="E2269" s="31" t="s">
        <v>31</v>
      </c>
      <c r="F2269" s="31">
        <v>5999000.0</v>
      </c>
      <c r="G2269" s="31" t="s">
        <v>23</v>
      </c>
      <c r="I2269" s="31" t="s">
        <v>229</v>
      </c>
      <c r="J2269" s="31" t="s">
        <v>967</v>
      </c>
      <c r="K2269" s="33" t="s">
        <v>6940</v>
      </c>
      <c r="L2269" s="31" t="s">
        <v>202</v>
      </c>
      <c r="N2269" s="31" t="s">
        <v>204</v>
      </c>
      <c r="R2269" s="31" t="s">
        <v>207</v>
      </c>
    </row>
    <row r="2270">
      <c r="A2270" s="29">
        <v>45966.86153363426</v>
      </c>
      <c r="B2270" s="30">
        <v>45966.0</v>
      </c>
      <c r="C2270" s="31" t="s">
        <v>6941</v>
      </c>
      <c r="D2270" s="32" t="s">
        <v>6942</v>
      </c>
      <c r="E2270" s="31" t="s">
        <v>43</v>
      </c>
      <c r="F2270" s="31">
        <v>3100000.0</v>
      </c>
      <c r="G2270" s="31" t="s">
        <v>23</v>
      </c>
      <c r="H2270" s="31">
        <v>3000000.0</v>
      </c>
      <c r="I2270" s="31" t="s">
        <v>200</v>
      </c>
      <c r="K2270" s="33" t="s">
        <v>6943</v>
      </c>
      <c r="L2270" s="31" t="s">
        <v>252</v>
      </c>
      <c r="M2270" s="31" t="s">
        <v>203</v>
      </c>
      <c r="O2270" s="31" t="s">
        <v>205</v>
      </c>
      <c r="X2270" s="31" t="s">
        <v>452</v>
      </c>
    </row>
    <row r="2271">
      <c r="A2271" s="29">
        <v>45966.869166041666</v>
      </c>
      <c r="B2271" s="30">
        <v>45966.0</v>
      </c>
      <c r="C2271" s="31" t="s">
        <v>6944</v>
      </c>
      <c r="D2271" s="32" t="s">
        <v>6945</v>
      </c>
      <c r="E2271" s="31" t="s">
        <v>199</v>
      </c>
      <c r="F2271" s="31">
        <v>4900000.0</v>
      </c>
      <c r="G2271" s="31" t="s">
        <v>45</v>
      </c>
      <c r="H2271" s="31">
        <v>3000000.0</v>
      </c>
      <c r="I2271" s="31" t="s">
        <v>200</v>
      </c>
      <c r="K2271" s="33" t="s">
        <v>6946</v>
      </c>
      <c r="L2271" s="31" t="s">
        <v>252</v>
      </c>
      <c r="M2271" s="31" t="s">
        <v>5638</v>
      </c>
      <c r="O2271" s="31" t="s">
        <v>257</v>
      </c>
      <c r="P2271" s="31" t="s">
        <v>272</v>
      </c>
    </row>
    <row r="2272">
      <c r="A2272" s="29">
        <v>45966.87606041667</v>
      </c>
      <c r="B2272" s="30">
        <v>45966.0</v>
      </c>
      <c r="C2272" s="31" t="s">
        <v>6947</v>
      </c>
      <c r="D2272" s="32" t="s">
        <v>6948</v>
      </c>
      <c r="E2272" s="31" t="s">
        <v>239</v>
      </c>
      <c r="F2272" s="31">
        <v>2000000.0</v>
      </c>
      <c r="G2272" s="31" t="s">
        <v>23</v>
      </c>
      <c r="I2272" s="31" t="s">
        <v>229</v>
      </c>
      <c r="J2272" s="31" t="s">
        <v>967</v>
      </c>
      <c r="K2272" s="33" t="s">
        <v>6949</v>
      </c>
      <c r="L2272" s="31" t="s">
        <v>252</v>
      </c>
      <c r="O2272" s="31" t="s">
        <v>205</v>
      </c>
      <c r="X2272" s="31" t="s">
        <v>549</v>
      </c>
    </row>
    <row r="2273">
      <c r="A2273" s="29">
        <v>45966.891830486114</v>
      </c>
      <c r="B2273" s="30">
        <v>45966.0</v>
      </c>
      <c r="C2273" s="31" t="s">
        <v>6950</v>
      </c>
      <c r="D2273" s="32" t="s">
        <v>6951</v>
      </c>
      <c r="E2273" s="31" t="s">
        <v>43</v>
      </c>
      <c r="F2273" s="31">
        <v>4000000.0</v>
      </c>
      <c r="G2273" s="31" t="s">
        <v>23</v>
      </c>
      <c r="I2273" s="31" t="s">
        <v>229</v>
      </c>
      <c r="J2273" s="31" t="s">
        <v>967</v>
      </c>
      <c r="K2273" s="33" t="s">
        <v>6952</v>
      </c>
      <c r="L2273" s="31" t="s">
        <v>202</v>
      </c>
      <c r="N2273" s="31" t="s">
        <v>204</v>
      </c>
      <c r="R2273" s="31" t="s">
        <v>98</v>
      </c>
    </row>
    <row r="2274">
      <c r="A2274" s="29">
        <v>45966.92203857639</v>
      </c>
      <c r="B2274" s="30">
        <v>45966.0</v>
      </c>
      <c r="C2274" s="31" t="s">
        <v>6953</v>
      </c>
      <c r="D2274" s="32" t="s">
        <v>6954</v>
      </c>
      <c r="E2274" s="31" t="s">
        <v>31</v>
      </c>
      <c r="F2274" s="31">
        <v>3200000.0</v>
      </c>
      <c r="G2274" s="31" t="s">
        <v>23</v>
      </c>
      <c r="I2274" s="31" t="s">
        <v>229</v>
      </c>
      <c r="J2274" s="31" t="s">
        <v>967</v>
      </c>
      <c r="K2274" s="33" t="s">
        <v>6955</v>
      </c>
      <c r="L2274" s="31" t="s">
        <v>202</v>
      </c>
      <c r="N2274" s="31" t="s">
        <v>204</v>
      </c>
      <c r="R2274" s="31" t="s">
        <v>207</v>
      </c>
    </row>
    <row r="2275">
      <c r="A2275" s="29">
        <v>45966.95815619213</v>
      </c>
      <c r="B2275" s="30">
        <v>45966.0</v>
      </c>
      <c r="C2275" s="31" t="s">
        <v>6956</v>
      </c>
      <c r="D2275" s="32" t="s">
        <v>6957</v>
      </c>
      <c r="E2275" s="31" t="s">
        <v>31</v>
      </c>
      <c r="F2275" s="31">
        <v>3200000.0</v>
      </c>
      <c r="G2275" s="31" t="s">
        <v>23</v>
      </c>
      <c r="H2275" s="31">
        <v>3000000.0</v>
      </c>
      <c r="I2275" s="31" t="s">
        <v>413</v>
      </c>
      <c r="K2275" s="33" t="s">
        <v>6958</v>
      </c>
      <c r="L2275" s="31" t="s">
        <v>202</v>
      </c>
      <c r="M2275" s="31" t="s">
        <v>5638</v>
      </c>
      <c r="N2275" s="31" t="s">
        <v>204</v>
      </c>
      <c r="R2275" s="31" t="s">
        <v>207</v>
      </c>
    </row>
    <row r="2276">
      <c r="A2276" s="29">
        <v>45967.38922591435</v>
      </c>
      <c r="B2276" s="30">
        <v>45967.0</v>
      </c>
      <c r="C2276" s="31" t="s">
        <v>6959</v>
      </c>
      <c r="D2276" s="32" t="s">
        <v>6960</v>
      </c>
      <c r="E2276" s="31" t="s">
        <v>283</v>
      </c>
      <c r="F2276" s="31">
        <v>3200000.0</v>
      </c>
      <c r="G2276" s="31" t="s">
        <v>23</v>
      </c>
      <c r="I2276" s="31" t="s">
        <v>229</v>
      </c>
      <c r="J2276" s="31" t="s">
        <v>967</v>
      </c>
      <c r="K2276" s="33" t="s">
        <v>6961</v>
      </c>
      <c r="L2276" s="31" t="s">
        <v>252</v>
      </c>
      <c r="O2276" s="31" t="s">
        <v>257</v>
      </c>
      <c r="P2276" s="31" t="s">
        <v>3194</v>
      </c>
    </row>
    <row r="2277">
      <c r="A2277" s="29">
        <v>45967.407427812504</v>
      </c>
      <c r="B2277" s="30">
        <v>45967.0</v>
      </c>
      <c r="C2277" s="31" t="s">
        <v>6962</v>
      </c>
      <c r="D2277" s="32" t="s">
        <v>6960</v>
      </c>
      <c r="E2277" s="31" t="s">
        <v>43</v>
      </c>
      <c r="F2277" s="31">
        <v>3200000.0</v>
      </c>
      <c r="G2277" s="31" t="s">
        <v>23</v>
      </c>
      <c r="I2277" s="31" t="s">
        <v>229</v>
      </c>
      <c r="J2277" s="31" t="s">
        <v>967</v>
      </c>
      <c r="K2277" s="33" t="s">
        <v>6963</v>
      </c>
      <c r="L2277" s="31" t="s">
        <v>252</v>
      </c>
      <c r="O2277" s="31" t="s">
        <v>257</v>
      </c>
      <c r="P2277" s="31" t="s">
        <v>3194</v>
      </c>
    </row>
    <row r="2278">
      <c r="A2278" s="29">
        <v>45967.41509040509</v>
      </c>
      <c r="B2278" s="30">
        <v>45967.0</v>
      </c>
      <c r="C2278" s="31" t="s">
        <v>6964</v>
      </c>
      <c r="D2278" s="32" t="s">
        <v>6914</v>
      </c>
      <c r="E2278" s="31" t="s">
        <v>43</v>
      </c>
      <c r="F2278" s="31">
        <v>2300000.0</v>
      </c>
      <c r="G2278" s="31" t="s">
        <v>23</v>
      </c>
      <c r="I2278" s="31" t="s">
        <v>229</v>
      </c>
      <c r="J2278" s="31" t="s">
        <v>967</v>
      </c>
      <c r="K2278" s="33" t="s">
        <v>6965</v>
      </c>
      <c r="L2278" s="31" t="s">
        <v>252</v>
      </c>
      <c r="O2278" s="31" t="s">
        <v>257</v>
      </c>
      <c r="P2278" s="31" t="s">
        <v>2453</v>
      </c>
    </row>
    <row r="2279">
      <c r="A2279" s="29">
        <v>45967.45862831018</v>
      </c>
      <c r="B2279" s="30">
        <v>45967.0</v>
      </c>
      <c r="C2279" s="31" t="s">
        <v>6966</v>
      </c>
      <c r="D2279" s="32" t="s">
        <v>6967</v>
      </c>
      <c r="E2279" s="31" t="s">
        <v>6968</v>
      </c>
      <c r="F2279" s="31">
        <v>3.89E7</v>
      </c>
      <c r="G2279" s="31" t="s">
        <v>23</v>
      </c>
      <c r="I2279" s="31" t="s">
        <v>229</v>
      </c>
      <c r="J2279" s="31" t="s">
        <v>967</v>
      </c>
      <c r="K2279" s="33" t="s">
        <v>6969</v>
      </c>
      <c r="L2279" s="31" t="s">
        <v>202</v>
      </c>
      <c r="N2279" s="31" t="s">
        <v>220</v>
      </c>
      <c r="S2279" s="31" t="s">
        <v>5512</v>
      </c>
    </row>
    <row r="2280">
      <c r="A2280" s="29">
        <v>45967.4601630324</v>
      </c>
      <c r="B2280" s="30">
        <v>45967.0</v>
      </c>
      <c r="C2280" s="31" t="s">
        <v>6970</v>
      </c>
      <c r="D2280" s="32" t="s">
        <v>4950</v>
      </c>
      <c r="E2280" s="31" t="s">
        <v>43</v>
      </c>
      <c r="F2280" s="31">
        <v>8000000.0</v>
      </c>
      <c r="G2280" s="31" t="s">
        <v>23</v>
      </c>
      <c r="H2280" s="31">
        <v>3000000.0</v>
      </c>
      <c r="I2280" s="31" t="s">
        <v>413</v>
      </c>
      <c r="K2280" s="33" t="s">
        <v>6971</v>
      </c>
      <c r="L2280" s="31" t="s">
        <v>202</v>
      </c>
      <c r="M2280" s="31" t="s">
        <v>5638</v>
      </c>
      <c r="N2280" s="31" t="s">
        <v>313</v>
      </c>
      <c r="T2280" s="31" t="s">
        <v>314</v>
      </c>
    </row>
    <row r="2281">
      <c r="A2281" s="29">
        <v>45967.48564324074</v>
      </c>
      <c r="B2281" s="30">
        <v>45967.0</v>
      </c>
      <c r="C2281" s="31" t="s">
        <v>6972</v>
      </c>
      <c r="D2281" s="32" t="s">
        <v>6973</v>
      </c>
      <c r="E2281" s="31" t="s">
        <v>1104</v>
      </c>
      <c r="F2281" s="31">
        <v>1000000.0</v>
      </c>
      <c r="G2281" s="31" t="s">
        <v>23</v>
      </c>
      <c r="I2281" s="31" t="s">
        <v>229</v>
      </c>
      <c r="J2281" s="31" t="s">
        <v>967</v>
      </c>
      <c r="K2281" s="33" t="s">
        <v>6974</v>
      </c>
      <c r="L2281" s="31" t="s">
        <v>202</v>
      </c>
      <c r="N2281" s="31" t="s">
        <v>871</v>
      </c>
      <c r="Q2281" s="31" t="s">
        <v>872</v>
      </c>
    </row>
    <row r="2282">
      <c r="A2282" s="29">
        <v>45967.49276383102</v>
      </c>
      <c r="B2282" s="30">
        <v>45967.0</v>
      </c>
      <c r="C2282" s="31" t="s">
        <v>6975</v>
      </c>
      <c r="D2282" s="32" t="s">
        <v>6976</v>
      </c>
      <c r="E2282" s="31" t="s">
        <v>43</v>
      </c>
      <c r="F2282" s="31">
        <v>5000000.0</v>
      </c>
      <c r="G2282" s="31" t="s">
        <v>23</v>
      </c>
      <c r="I2282" s="31" t="s">
        <v>229</v>
      </c>
      <c r="J2282" s="31" t="s">
        <v>967</v>
      </c>
      <c r="K2282" s="33" t="s">
        <v>6977</v>
      </c>
      <c r="L2282" s="31" t="s">
        <v>252</v>
      </c>
      <c r="O2282" s="31" t="s">
        <v>205</v>
      </c>
      <c r="X2282" s="31" t="s">
        <v>716</v>
      </c>
    </row>
    <row r="2283">
      <c r="A2283" s="29">
        <v>45967.50881846064</v>
      </c>
      <c r="B2283" s="30">
        <v>45967.0</v>
      </c>
      <c r="C2283" s="31" t="s">
        <v>6978</v>
      </c>
      <c r="D2283" s="32" t="s">
        <v>6979</v>
      </c>
      <c r="E2283" s="31" t="s">
        <v>43</v>
      </c>
      <c r="F2283" s="31">
        <v>3000000.0</v>
      </c>
      <c r="G2283" s="31" t="s">
        <v>45</v>
      </c>
      <c r="I2283" s="31" t="s">
        <v>229</v>
      </c>
      <c r="J2283" s="31" t="s">
        <v>5762</v>
      </c>
      <c r="K2283" s="33" t="s">
        <v>6980</v>
      </c>
      <c r="L2283" s="31" t="s">
        <v>202</v>
      </c>
      <c r="N2283" s="31" t="s">
        <v>215</v>
      </c>
      <c r="W2283" s="31" t="s">
        <v>216</v>
      </c>
    </row>
    <row r="2284">
      <c r="A2284" s="29">
        <v>45967.5126699074</v>
      </c>
      <c r="B2284" s="30">
        <v>45967.0</v>
      </c>
      <c r="C2284" s="31" t="s">
        <v>6981</v>
      </c>
      <c r="D2284" s="32" t="s">
        <v>6982</v>
      </c>
      <c r="E2284" s="31" t="s">
        <v>31</v>
      </c>
      <c r="F2284" s="31">
        <v>5400000.0</v>
      </c>
      <c r="G2284" s="31" t="s">
        <v>23</v>
      </c>
      <c r="H2284" s="31">
        <v>3000000.0</v>
      </c>
      <c r="I2284" s="31" t="s">
        <v>200</v>
      </c>
      <c r="K2284" s="33" t="s">
        <v>6983</v>
      </c>
      <c r="L2284" s="31" t="s">
        <v>202</v>
      </c>
      <c r="M2284" s="31" t="s">
        <v>5638</v>
      </c>
      <c r="N2284" s="31" t="s">
        <v>204</v>
      </c>
      <c r="R2284" s="31" t="s">
        <v>148</v>
      </c>
    </row>
    <row r="2285">
      <c r="A2285" s="29">
        <v>45967.51497420139</v>
      </c>
      <c r="B2285" s="30">
        <v>45967.0</v>
      </c>
      <c r="C2285" s="31" t="s">
        <v>6984</v>
      </c>
      <c r="D2285" s="32" t="s">
        <v>6985</v>
      </c>
      <c r="E2285" s="31" t="s">
        <v>43</v>
      </c>
      <c r="F2285" s="31">
        <v>2800000.0</v>
      </c>
      <c r="G2285" s="31" t="s">
        <v>23</v>
      </c>
      <c r="I2285" s="31" t="s">
        <v>229</v>
      </c>
      <c r="J2285" s="31" t="s">
        <v>967</v>
      </c>
      <c r="K2285" s="33" t="s">
        <v>6986</v>
      </c>
      <c r="L2285" s="31" t="s">
        <v>202</v>
      </c>
      <c r="N2285" s="31" t="s">
        <v>204</v>
      </c>
      <c r="R2285" s="31" t="s">
        <v>148</v>
      </c>
    </row>
    <row r="2286">
      <c r="A2286" s="29">
        <v>45967.517895474535</v>
      </c>
      <c r="B2286" s="30">
        <v>45967.0</v>
      </c>
      <c r="C2286" s="31" t="s">
        <v>6987</v>
      </c>
      <c r="D2286" s="32" t="s">
        <v>6988</v>
      </c>
      <c r="E2286" s="31" t="s">
        <v>239</v>
      </c>
      <c r="F2286" s="31">
        <v>3000000.0</v>
      </c>
      <c r="G2286" s="31" t="s">
        <v>23</v>
      </c>
      <c r="I2286" s="31" t="s">
        <v>229</v>
      </c>
      <c r="J2286" s="31" t="s">
        <v>967</v>
      </c>
      <c r="K2286" s="33" t="s">
        <v>6989</v>
      </c>
      <c r="L2286" s="31" t="s">
        <v>202</v>
      </c>
      <c r="N2286" s="31" t="s">
        <v>871</v>
      </c>
      <c r="Q2286" s="31" t="s">
        <v>872</v>
      </c>
    </row>
    <row r="2287">
      <c r="A2287" s="29">
        <v>45967.544140983795</v>
      </c>
      <c r="B2287" s="30">
        <v>45967.0</v>
      </c>
      <c r="C2287" s="31" t="s">
        <v>6990</v>
      </c>
      <c r="D2287" s="32" t="s">
        <v>6991</v>
      </c>
      <c r="E2287" s="31" t="s">
        <v>31</v>
      </c>
      <c r="F2287" s="31">
        <v>2000000.0</v>
      </c>
      <c r="G2287" s="31" t="s">
        <v>23</v>
      </c>
      <c r="I2287" s="31" t="s">
        <v>229</v>
      </c>
      <c r="J2287" s="31" t="s">
        <v>967</v>
      </c>
      <c r="K2287" s="33" t="s">
        <v>6992</v>
      </c>
      <c r="L2287" s="31" t="s">
        <v>202</v>
      </c>
      <c r="N2287" s="31" t="s">
        <v>215</v>
      </c>
      <c r="W2287" s="31" t="s">
        <v>216</v>
      </c>
    </row>
    <row r="2288">
      <c r="A2288" s="29">
        <v>45967.54417025463</v>
      </c>
      <c r="B2288" s="30">
        <v>45967.0</v>
      </c>
      <c r="C2288" s="31" t="s">
        <v>6993</v>
      </c>
      <c r="D2288" s="32" t="s">
        <v>6994</v>
      </c>
      <c r="E2288" s="31" t="s">
        <v>228</v>
      </c>
      <c r="F2288" s="31">
        <v>200000.0</v>
      </c>
      <c r="G2288" s="31" t="s">
        <v>23</v>
      </c>
      <c r="H2288" s="31">
        <v>300000.0</v>
      </c>
      <c r="I2288" s="31" t="s">
        <v>413</v>
      </c>
      <c r="K2288" s="33" t="s">
        <v>6995</v>
      </c>
      <c r="L2288" s="31" t="s">
        <v>202</v>
      </c>
      <c r="M2288" s="31" t="s">
        <v>203</v>
      </c>
      <c r="N2288" s="31" t="s">
        <v>204</v>
      </c>
      <c r="R2288" s="31" t="s">
        <v>192</v>
      </c>
    </row>
    <row r="2289">
      <c r="A2289" s="29">
        <v>45967.54822680556</v>
      </c>
      <c r="B2289" s="30">
        <v>45967.0</v>
      </c>
      <c r="C2289" s="31" t="s">
        <v>6996</v>
      </c>
      <c r="D2289" s="32" t="s">
        <v>6997</v>
      </c>
      <c r="E2289" s="31" t="s">
        <v>288</v>
      </c>
      <c r="F2289" s="31">
        <v>3000000.0</v>
      </c>
      <c r="G2289" s="31" t="s">
        <v>23</v>
      </c>
      <c r="I2289" s="31" t="s">
        <v>229</v>
      </c>
      <c r="J2289" s="31" t="s">
        <v>498</v>
      </c>
      <c r="K2289" s="33" t="s">
        <v>6998</v>
      </c>
      <c r="L2289" s="31" t="s">
        <v>202</v>
      </c>
      <c r="N2289" s="31" t="s">
        <v>500</v>
      </c>
      <c r="V2289" s="31" t="s">
        <v>501</v>
      </c>
    </row>
    <row r="2290">
      <c r="A2290" s="29">
        <v>45967.558137326385</v>
      </c>
      <c r="B2290" s="30">
        <v>45967.0</v>
      </c>
      <c r="C2290" s="31" t="s">
        <v>6999</v>
      </c>
      <c r="D2290" s="32" t="s">
        <v>7000</v>
      </c>
      <c r="E2290" s="31" t="s">
        <v>43</v>
      </c>
      <c r="F2290" s="31">
        <v>3400000.0</v>
      </c>
      <c r="G2290" s="31" t="s">
        <v>23</v>
      </c>
      <c r="H2290" s="31">
        <v>3000000.0</v>
      </c>
      <c r="I2290" s="31" t="s">
        <v>413</v>
      </c>
      <c r="K2290" s="33" t="s">
        <v>7001</v>
      </c>
      <c r="L2290" s="31" t="s">
        <v>202</v>
      </c>
      <c r="M2290" s="31" t="s">
        <v>5638</v>
      </c>
      <c r="N2290" s="31" t="s">
        <v>667</v>
      </c>
      <c r="U2290" s="31" t="s">
        <v>3950</v>
      </c>
    </row>
    <row r="2291">
      <c r="A2291" s="29">
        <v>45967.5626877662</v>
      </c>
      <c r="B2291" s="30">
        <v>45967.0</v>
      </c>
      <c r="C2291" s="31" t="s">
        <v>7002</v>
      </c>
      <c r="D2291" s="31">
        <v>8.2340305248E10</v>
      </c>
      <c r="E2291" s="31" t="s">
        <v>239</v>
      </c>
      <c r="F2291" s="34">
        <v>3000.0</v>
      </c>
      <c r="G2291" s="31" t="s">
        <v>23</v>
      </c>
      <c r="I2291" s="31" t="s">
        <v>229</v>
      </c>
      <c r="J2291" s="31" t="s">
        <v>967</v>
      </c>
      <c r="K2291" s="33" t="s">
        <v>7003</v>
      </c>
      <c r="L2291" s="31" t="s">
        <v>202</v>
      </c>
      <c r="N2291" s="31" t="s">
        <v>204</v>
      </c>
      <c r="R2291" s="31" t="s">
        <v>167</v>
      </c>
    </row>
    <row r="2292">
      <c r="A2292" s="29">
        <v>45967.5679859838</v>
      </c>
      <c r="B2292" s="30">
        <v>45967.0</v>
      </c>
      <c r="C2292" s="31" t="s">
        <v>7004</v>
      </c>
      <c r="D2292" s="32" t="s">
        <v>7005</v>
      </c>
      <c r="E2292" s="31" t="s">
        <v>335</v>
      </c>
      <c r="F2292" s="31">
        <v>5000000.0</v>
      </c>
      <c r="G2292" s="31" t="s">
        <v>23</v>
      </c>
      <c r="I2292" s="31" t="s">
        <v>229</v>
      </c>
      <c r="J2292" s="31" t="s">
        <v>967</v>
      </c>
      <c r="K2292" s="33" t="s">
        <v>7006</v>
      </c>
      <c r="L2292" s="31" t="s">
        <v>202</v>
      </c>
      <c r="N2292" s="31" t="s">
        <v>220</v>
      </c>
      <c r="S2292" s="31" t="s">
        <v>536</v>
      </c>
    </row>
    <row r="2293">
      <c r="A2293" s="29">
        <v>45967.57102650463</v>
      </c>
      <c r="B2293" s="30">
        <v>45967.0</v>
      </c>
      <c r="C2293" s="31" t="s">
        <v>7007</v>
      </c>
      <c r="D2293" s="32" t="s">
        <v>7008</v>
      </c>
      <c r="E2293" s="31" t="s">
        <v>43</v>
      </c>
      <c r="F2293" s="31">
        <v>1500000.0</v>
      </c>
      <c r="G2293" s="31" t="s">
        <v>23</v>
      </c>
      <c r="I2293" s="31" t="s">
        <v>229</v>
      </c>
      <c r="J2293" s="31" t="s">
        <v>967</v>
      </c>
      <c r="K2293" s="33" t="s">
        <v>7009</v>
      </c>
      <c r="L2293" s="31" t="s">
        <v>202</v>
      </c>
      <c r="N2293" s="31" t="s">
        <v>667</v>
      </c>
      <c r="U2293" s="31" t="s">
        <v>3950</v>
      </c>
    </row>
    <row r="2294">
      <c r="A2294" s="29">
        <v>45967.57692496528</v>
      </c>
      <c r="B2294" s="30">
        <v>45967.0</v>
      </c>
      <c r="C2294" s="31" t="s">
        <v>7010</v>
      </c>
      <c r="D2294" s="32" t="s">
        <v>7011</v>
      </c>
      <c r="E2294" s="31" t="s">
        <v>31</v>
      </c>
      <c r="F2294" s="31">
        <v>5600000.0</v>
      </c>
      <c r="G2294" s="31" t="s">
        <v>23</v>
      </c>
      <c r="I2294" s="31" t="s">
        <v>229</v>
      </c>
      <c r="J2294" s="31" t="s">
        <v>967</v>
      </c>
      <c r="K2294" s="33" t="s">
        <v>7012</v>
      </c>
      <c r="L2294" s="31" t="s">
        <v>202</v>
      </c>
      <c r="N2294" s="31" t="s">
        <v>313</v>
      </c>
      <c r="T2294" s="31" t="s">
        <v>329</v>
      </c>
    </row>
    <row r="2295">
      <c r="A2295" s="29">
        <v>45967.58731335648</v>
      </c>
      <c r="B2295" s="30">
        <v>45967.0</v>
      </c>
      <c r="C2295" s="31" t="s">
        <v>7013</v>
      </c>
      <c r="D2295" s="32" t="s">
        <v>7014</v>
      </c>
      <c r="E2295" s="31" t="s">
        <v>43</v>
      </c>
      <c r="F2295" s="31">
        <v>3500000.0</v>
      </c>
      <c r="G2295" s="31" t="s">
        <v>23</v>
      </c>
      <c r="I2295" s="31" t="s">
        <v>229</v>
      </c>
      <c r="J2295" s="31" t="s">
        <v>967</v>
      </c>
      <c r="K2295" s="33" t="s">
        <v>7015</v>
      </c>
      <c r="L2295" s="31" t="s">
        <v>252</v>
      </c>
      <c r="O2295" s="31" t="s">
        <v>205</v>
      </c>
      <c r="X2295" s="31" t="s">
        <v>2335</v>
      </c>
    </row>
    <row r="2296">
      <c r="A2296" s="29">
        <v>45967.60014059028</v>
      </c>
      <c r="B2296" s="30">
        <v>45967.0</v>
      </c>
      <c r="C2296" s="31" t="s">
        <v>7016</v>
      </c>
      <c r="D2296" s="31">
        <v>0.0</v>
      </c>
      <c r="E2296" s="31" t="s">
        <v>199</v>
      </c>
      <c r="F2296" s="32" t="s">
        <v>5089</v>
      </c>
      <c r="G2296" s="31" t="s">
        <v>23</v>
      </c>
      <c r="H2296" s="31">
        <v>3000000.0</v>
      </c>
      <c r="I2296" s="31" t="s">
        <v>200</v>
      </c>
      <c r="K2296" s="33" t="s">
        <v>7017</v>
      </c>
      <c r="L2296" s="31" t="s">
        <v>252</v>
      </c>
      <c r="M2296" s="31" t="s">
        <v>203</v>
      </c>
      <c r="O2296" s="31" t="s">
        <v>257</v>
      </c>
      <c r="P2296" s="31" t="s">
        <v>992</v>
      </c>
    </row>
    <row r="2297">
      <c r="A2297" s="29">
        <v>45967.63075726852</v>
      </c>
      <c r="B2297" s="30">
        <v>45967.0</v>
      </c>
      <c r="C2297" s="31" t="s">
        <v>7018</v>
      </c>
      <c r="D2297" s="32" t="s">
        <v>7019</v>
      </c>
      <c r="E2297" s="31" t="s">
        <v>283</v>
      </c>
      <c r="F2297" s="31">
        <v>4900000.0</v>
      </c>
      <c r="G2297" s="31" t="s">
        <v>23</v>
      </c>
      <c r="H2297" s="31">
        <v>7000000.0</v>
      </c>
      <c r="I2297" s="31" t="s">
        <v>200</v>
      </c>
      <c r="K2297" s="33" t="s">
        <v>7020</v>
      </c>
      <c r="L2297" s="31" t="s">
        <v>252</v>
      </c>
      <c r="M2297" s="31" t="s">
        <v>926</v>
      </c>
      <c r="O2297" s="31" t="s">
        <v>257</v>
      </c>
      <c r="P2297" s="31" t="s">
        <v>272</v>
      </c>
    </row>
    <row r="2298">
      <c r="A2298" s="29">
        <v>45967.631211423606</v>
      </c>
      <c r="B2298" s="30">
        <v>45967.0</v>
      </c>
      <c r="C2298" s="31" t="s">
        <v>7021</v>
      </c>
      <c r="D2298" s="32" t="s">
        <v>7022</v>
      </c>
      <c r="E2298" s="31" t="s">
        <v>199</v>
      </c>
      <c r="F2298" s="31">
        <v>9500000.0</v>
      </c>
      <c r="G2298" s="31" t="s">
        <v>23</v>
      </c>
      <c r="H2298" s="31">
        <v>3000000.0</v>
      </c>
      <c r="I2298" s="31" t="s">
        <v>200</v>
      </c>
      <c r="K2298" s="33" t="s">
        <v>7023</v>
      </c>
      <c r="L2298" s="31" t="s">
        <v>252</v>
      </c>
      <c r="M2298" s="31" t="s">
        <v>5638</v>
      </c>
      <c r="O2298" s="31" t="s">
        <v>257</v>
      </c>
      <c r="P2298" s="31" t="s">
        <v>258</v>
      </c>
    </row>
    <row r="2299">
      <c r="A2299" s="29">
        <v>45967.63414199074</v>
      </c>
      <c r="B2299" s="30">
        <v>45967.0</v>
      </c>
      <c r="C2299" s="31" t="s">
        <v>7024</v>
      </c>
      <c r="D2299" s="32" t="s">
        <v>7025</v>
      </c>
      <c r="E2299" s="31" t="s">
        <v>199</v>
      </c>
      <c r="F2299" s="31">
        <v>3200000.0</v>
      </c>
      <c r="G2299" s="31" t="s">
        <v>23</v>
      </c>
      <c r="H2299" s="31">
        <v>3000000.0</v>
      </c>
      <c r="I2299" s="31" t="s">
        <v>413</v>
      </c>
      <c r="K2299" s="33" t="s">
        <v>7026</v>
      </c>
      <c r="L2299" s="31" t="s">
        <v>252</v>
      </c>
      <c r="M2299" s="31" t="s">
        <v>5638</v>
      </c>
      <c r="O2299" s="31" t="s">
        <v>257</v>
      </c>
      <c r="P2299" s="31" t="s">
        <v>3194</v>
      </c>
    </row>
    <row r="2300">
      <c r="A2300" s="29">
        <v>45967.635804097226</v>
      </c>
      <c r="B2300" s="30">
        <v>45967.0</v>
      </c>
      <c r="C2300" s="31" t="s">
        <v>7027</v>
      </c>
      <c r="D2300" s="32" t="s">
        <v>7028</v>
      </c>
      <c r="E2300" s="31" t="s">
        <v>43</v>
      </c>
      <c r="F2300" s="31">
        <v>3200000.0</v>
      </c>
      <c r="G2300" s="31" t="s">
        <v>23</v>
      </c>
      <c r="I2300" s="31" t="s">
        <v>229</v>
      </c>
      <c r="J2300" s="31" t="s">
        <v>967</v>
      </c>
      <c r="K2300" s="33" t="s">
        <v>7029</v>
      </c>
      <c r="L2300" s="31" t="s">
        <v>252</v>
      </c>
      <c r="O2300" s="31" t="s">
        <v>257</v>
      </c>
      <c r="P2300" s="31" t="s">
        <v>3194</v>
      </c>
    </row>
    <row r="2301">
      <c r="A2301" s="29">
        <v>45967.66067510417</v>
      </c>
      <c r="B2301" s="30">
        <v>45967.0</v>
      </c>
      <c r="C2301" s="31" t="s">
        <v>7030</v>
      </c>
      <c r="D2301" s="32" t="s">
        <v>7031</v>
      </c>
      <c r="E2301" s="31" t="s">
        <v>7032</v>
      </c>
      <c r="F2301" s="31">
        <v>1800000.0</v>
      </c>
      <c r="G2301" s="31" t="s">
        <v>23</v>
      </c>
      <c r="I2301" s="31" t="s">
        <v>229</v>
      </c>
      <c r="J2301" s="31" t="s">
        <v>967</v>
      </c>
      <c r="K2301" s="33" t="s">
        <v>7033</v>
      </c>
      <c r="L2301" s="31" t="s">
        <v>202</v>
      </c>
      <c r="N2301" s="31" t="s">
        <v>500</v>
      </c>
      <c r="V2301" s="31" t="s">
        <v>6597</v>
      </c>
    </row>
    <row r="2302">
      <c r="A2302" s="29">
        <v>45967.68077982639</v>
      </c>
      <c r="B2302" s="30">
        <v>45967.0</v>
      </c>
      <c r="C2302" s="31" t="s">
        <v>7034</v>
      </c>
      <c r="D2302" s="32" t="s">
        <v>7035</v>
      </c>
      <c r="E2302" s="31" t="s">
        <v>43</v>
      </c>
      <c r="F2302" s="31">
        <v>3200000.0</v>
      </c>
      <c r="G2302" s="31" t="s">
        <v>23</v>
      </c>
      <c r="I2302" s="31" t="s">
        <v>229</v>
      </c>
      <c r="J2302" s="31" t="s">
        <v>967</v>
      </c>
      <c r="K2302" s="33" t="s">
        <v>7036</v>
      </c>
      <c r="L2302" s="31" t="s">
        <v>202</v>
      </c>
      <c r="N2302" s="31" t="s">
        <v>204</v>
      </c>
      <c r="R2302" s="31" t="s">
        <v>207</v>
      </c>
    </row>
    <row r="2303">
      <c r="A2303" s="29">
        <v>45967.698371018516</v>
      </c>
      <c r="B2303" s="30">
        <v>45967.0</v>
      </c>
      <c r="C2303" s="31" t="s">
        <v>7037</v>
      </c>
      <c r="D2303" s="32" t="s">
        <v>7038</v>
      </c>
      <c r="E2303" s="31" t="s">
        <v>261</v>
      </c>
      <c r="F2303" s="31">
        <v>50.0</v>
      </c>
      <c r="G2303" s="31" t="s">
        <v>23</v>
      </c>
      <c r="H2303" s="31">
        <v>3000000.0</v>
      </c>
      <c r="I2303" s="31" t="s">
        <v>200</v>
      </c>
      <c r="K2303" s="33" t="s">
        <v>7039</v>
      </c>
      <c r="L2303" s="31" t="s">
        <v>202</v>
      </c>
      <c r="M2303" s="31" t="s">
        <v>5638</v>
      </c>
      <c r="N2303" s="31" t="s">
        <v>313</v>
      </c>
      <c r="T2303" s="31" t="s">
        <v>4272</v>
      </c>
    </row>
    <row r="2304">
      <c r="A2304" s="29">
        <v>45967.707172118055</v>
      </c>
      <c r="B2304" s="30">
        <v>45967.0</v>
      </c>
      <c r="C2304" s="31" t="s">
        <v>7040</v>
      </c>
      <c r="D2304" s="32" t="s">
        <v>6758</v>
      </c>
      <c r="E2304" s="31" t="s">
        <v>31</v>
      </c>
      <c r="F2304" s="31">
        <v>8200000.0</v>
      </c>
      <c r="G2304" s="31" t="s">
        <v>23</v>
      </c>
      <c r="I2304" s="31" t="s">
        <v>229</v>
      </c>
      <c r="J2304" s="31" t="s">
        <v>967</v>
      </c>
      <c r="K2304" s="33" t="s">
        <v>7041</v>
      </c>
      <c r="L2304" s="31" t="s">
        <v>202</v>
      </c>
      <c r="N2304" s="31" t="s">
        <v>313</v>
      </c>
      <c r="T2304" s="31" t="s">
        <v>329</v>
      </c>
    </row>
    <row r="2305">
      <c r="A2305" s="29">
        <v>45967.73038846065</v>
      </c>
      <c r="B2305" s="30">
        <v>45967.0</v>
      </c>
      <c r="C2305" s="31" t="s">
        <v>7042</v>
      </c>
      <c r="D2305" s="32" t="s">
        <v>3714</v>
      </c>
      <c r="E2305" s="31" t="s">
        <v>239</v>
      </c>
      <c r="F2305" s="31">
        <v>2000000.0</v>
      </c>
      <c r="G2305" s="31" t="s">
        <v>23</v>
      </c>
      <c r="I2305" s="31" t="s">
        <v>229</v>
      </c>
      <c r="J2305" s="31" t="s">
        <v>967</v>
      </c>
      <c r="K2305" s="33" t="s">
        <v>7043</v>
      </c>
      <c r="L2305" s="31" t="s">
        <v>202</v>
      </c>
      <c r="N2305" s="31" t="s">
        <v>215</v>
      </c>
      <c r="W2305" s="31" t="s">
        <v>532</v>
      </c>
    </row>
    <row r="2306">
      <c r="A2306" s="29">
        <v>45967.74163935185</v>
      </c>
      <c r="B2306" s="30">
        <v>45967.0</v>
      </c>
      <c r="C2306" s="31" t="s">
        <v>7044</v>
      </c>
      <c r="D2306" s="32" t="s">
        <v>7045</v>
      </c>
      <c r="E2306" s="31" t="s">
        <v>43</v>
      </c>
      <c r="F2306" s="31">
        <v>5000000.0</v>
      </c>
      <c r="G2306" s="31" t="s">
        <v>45</v>
      </c>
      <c r="H2306" s="31">
        <v>3000000.0</v>
      </c>
      <c r="I2306" s="31" t="s">
        <v>413</v>
      </c>
      <c r="K2306" s="33" t="s">
        <v>7046</v>
      </c>
      <c r="L2306" s="31" t="s">
        <v>252</v>
      </c>
      <c r="M2306" s="31" t="s">
        <v>203</v>
      </c>
      <c r="O2306" s="31" t="s">
        <v>257</v>
      </c>
      <c r="P2306" s="31" t="s">
        <v>285</v>
      </c>
    </row>
    <row r="2307">
      <c r="A2307" s="29">
        <v>45967.744716562505</v>
      </c>
      <c r="B2307" s="30">
        <v>45967.0</v>
      </c>
      <c r="C2307" s="31" t="s">
        <v>7047</v>
      </c>
      <c r="D2307" s="31">
        <v>0.0</v>
      </c>
      <c r="E2307" s="31" t="s">
        <v>43</v>
      </c>
      <c r="F2307" s="32" t="s">
        <v>5089</v>
      </c>
      <c r="G2307" s="31" t="s">
        <v>23</v>
      </c>
      <c r="H2307" s="31">
        <v>5000000.0</v>
      </c>
      <c r="I2307" s="31" t="s">
        <v>413</v>
      </c>
      <c r="K2307" s="33" t="s">
        <v>7048</v>
      </c>
      <c r="L2307" s="31" t="s">
        <v>252</v>
      </c>
      <c r="M2307" s="31" t="s">
        <v>203</v>
      </c>
      <c r="O2307" s="31" t="s">
        <v>257</v>
      </c>
      <c r="P2307" s="31" t="s">
        <v>992</v>
      </c>
    </row>
    <row r="2308">
      <c r="A2308" s="29">
        <v>45967.75183597222</v>
      </c>
      <c r="B2308" s="30">
        <v>45967.0</v>
      </c>
      <c r="C2308" s="31" t="s">
        <v>7049</v>
      </c>
      <c r="D2308" s="32" t="s">
        <v>7050</v>
      </c>
      <c r="E2308" s="31" t="s">
        <v>43</v>
      </c>
      <c r="F2308" s="31">
        <v>2500000.0</v>
      </c>
      <c r="G2308" s="31" t="s">
        <v>23</v>
      </c>
      <c r="I2308" s="31" t="s">
        <v>229</v>
      </c>
      <c r="J2308" s="31" t="s">
        <v>967</v>
      </c>
      <c r="K2308" s="33" t="s">
        <v>7051</v>
      </c>
      <c r="L2308" s="31" t="s">
        <v>252</v>
      </c>
      <c r="O2308" s="31" t="s">
        <v>205</v>
      </c>
      <c r="X2308" s="31" t="s">
        <v>549</v>
      </c>
    </row>
    <row r="2309">
      <c r="A2309" s="29">
        <v>45967.753314560185</v>
      </c>
      <c r="B2309" s="30">
        <v>45967.0</v>
      </c>
      <c r="C2309" s="31" t="s">
        <v>7052</v>
      </c>
      <c r="D2309" s="31">
        <v>0.0</v>
      </c>
      <c r="E2309" s="31" t="s">
        <v>93</v>
      </c>
      <c r="F2309" s="34">
        <v>2800.0</v>
      </c>
      <c r="G2309" s="31" t="s">
        <v>23</v>
      </c>
      <c r="I2309" s="31" t="s">
        <v>229</v>
      </c>
      <c r="J2309" s="31" t="s">
        <v>967</v>
      </c>
      <c r="K2309" s="33" t="s">
        <v>7053</v>
      </c>
      <c r="L2309" s="31" t="s">
        <v>202</v>
      </c>
      <c r="N2309" s="31" t="s">
        <v>204</v>
      </c>
      <c r="R2309" s="31" t="s">
        <v>171</v>
      </c>
    </row>
    <row r="2310">
      <c r="A2310" s="29">
        <v>45967.7560334838</v>
      </c>
      <c r="B2310" s="30">
        <v>45967.0</v>
      </c>
      <c r="C2310" s="31" t="s">
        <v>7054</v>
      </c>
      <c r="D2310" s="31">
        <v>0.0</v>
      </c>
      <c r="E2310" s="31" t="s">
        <v>93</v>
      </c>
      <c r="F2310" s="34">
        <v>2800.0</v>
      </c>
      <c r="G2310" s="31" t="s">
        <v>23</v>
      </c>
      <c r="H2310" s="34">
        <v>1600.0</v>
      </c>
      <c r="I2310" s="31" t="s">
        <v>413</v>
      </c>
      <c r="K2310" s="33" t="s">
        <v>7055</v>
      </c>
      <c r="L2310" s="31" t="s">
        <v>202</v>
      </c>
      <c r="M2310" s="31" t="s">
        <v>5638</v>
      </c>
      <c r="N2310" s="31" t="s">
        <v>204</v>
      </c>
      <c r="R2310" s="31" t="s">
        <v>171</v>
      </c>
    </row>
    <row r="2311">
      <c r="A2311" s="29">
        <v>45967.756421087965</v>
      </c>
      <c r="B2311" s="30">
        <v>45967.0</v>
      </c>
      <c r="C2311" s="31" t="s">
        <v>7056</v>
      </c>
      <c r="D2311" s="32" t="s">
        <v>7057</v>
      </c>
      <c r="E2311" s="31" t="s">
        <v>43</v>
      </c>
      <c r="F2311" s="31">
        <v>5000000.0</v>
      </c>
      <c r="G2311" s="31" t="s">
        <v>23</v>
      </c>
      <c r="I2311" s="31" t="s">
        <v>229</v>
      </c>
      <c r="J2311" s="31" t="s">
        <v>967</v>
      </c>
      <c r="K2311" s="33" t="s">
        <v>7058</v>
      </c>
      <c r="L2311" s="31" t="s">
        <v>202</v>
      </c>
      <c r="N2311" s="31" t="s">
        <v>220</v>
      </c>
      <c r="S2311" s="31" t="s">
        <v>466</v>
      </c>
    </row>
    <row r="2312">
      <c r="A2312" s="29">
        <v>45967.7639208912</v>
      </c>
      <c r="B2312" s="30">
        <v>45967.0</v>
      </c>
      <c r="C2312" s="31" t="s">
        <v>7059</v>
      </c>
      <c r="D2312" s="32" t="s">
        <v>7060</v>
      </c>
      <c r="E2312" s="31" t="s">
        <v>43</v>
      </c>
      <c r="F2312" s="31">
        <v>2500000.0</v>
      </c>
      <c r="G2312" s="31" t="s">
        <v>23</v>
      </c>
      <c r="I2312" s="31" t="s">
        <v>229</v>
      </c>
      <c r="J2312" s="31" t="s">
        <v>967</v>
      </c>
      <c r="K2312" s="33" t="s">
        <v>7061</v>
      </c>
      <c r="L2312" s="31" t="s">
        <v>202</v>
      </c>
      <c r="N2312" s="31" t="s">
        <v>204</v>
      </c>
      <c r="R2312" s="31" t="s">
        <v>5256</v>
      </c>
    </row>
    <row r="2313">
      <c r="A2313" s="29">
        <v>45967.77328684028</v>
      </c>
      <c r="B2313" s="30">
        <v>45967.0</v>
      </c>
      <c r="C2313" s="31" t="s">
        <v>7062</v>
      </c>
      <c r="D2313" s="32" t="s">
        <v>907</v>
      </c>
      <c r="E2313" s="31" t="s">
        <v>228</v>
      </c>
      <c r="F2313" s="31">
        <v>2000000.0</v>
      </c>
      <c r="G2313" s="31" t="s">
        <v>23</v>
      </c>
      <c r="I2313" s="31" t="s">
        <v>229</v>
      </c>
      <c r="J2313" s="31" t="s">
        <v>967</v>
      </c>
      <c r="K2313" s="33" t="s">
        <v>7063</v>
      </c>
      <c r="L2313" s="31" t="s">
        <v>202</v>
      </c>
      <c r="N2313" s="31" t="s">
        <v>215</v>
      </c>
      <c r="W2313" s="31" t="s">
        <v>532</v>
      </c>
    </row>
    <row r="2314">
      <c r="A2314" s="29">
        <v>45967.77495133102</v>
      </c>
      <c r="B2314" s="30">
        <v>35375.0</v>
      </c>
      <c r="C2314" s="31" t="s">
        <v>7064</v>
      </c>
      <c r="D2314" s="32" t="s">
        <v>7065</v>
      </c>
      <c r="E2314" s="31" t="s">
        <v>43</v>
      </c>
      <c r="F2314" s="31">
        <v>50.0</v>
      </c>
      <c r="G2314" s="31" t="s">
        <v>23</v>
      </c>
      <c r="I2314" s="31" t="s">
        <v>229</v>
      </c>
      <c r="J2314" s="31" t="s">
        <v>967</v>
      </c>
      <c r="K2314" s="33" t="s">
        <v>7066</v>
      </c>
      <c r="L2314" s="31" t="s">
        <v>202</v>
      </c>
      <c r="N2314" s="31" t="s">
        <v>313</v>
      </c>
      <c r="T2314" s="31" t="s">
        <v>4272</v>
      </c>
    </row>
    <row r="2315">
      <c r="A2315" s="29">
        <v>45967.77772092592</v>
      </c>
      <c r="B2315" s="30">
        <v>45967.0</v>
      </c>
      <c r="C2315" s="31" t="s">
        <v>7067</v>
      </c>
      <c r="D2315" s="32" t="s">
        <v>7068</v>
      </c>
      <c r="E2315" s="31" t="s">
        <v>43</v>
      </c>
      <c r="F2315" s="31">
        <v>3000000.0</v>
      </c>
      <c r="G2315" s="31" t="s">
        <v>23</v>
      </c>
      <c r="H2315" s="31">
        <v>1600000.0</v>
      </c>
      <c r="I2315" s="31" t="s">
        <v>413</v>
      </c>
      <c r="K2315" s="33" t="s">
        <v>7069</v>
      </c>
      <c r="L2315" s="31" t="s">
        <v>202</v>
      </c>
      <c r="M2315" s="31" t="s">
        <v>5638</v>
      </c>
      <c r="N2315" s="31" t="s">
        <v>215</v>
      </c>
      <c r="W2315" s="31" t="s">
        <v>389</v>
      </c>
    </row>
    <row r="2316">
      <c r="A2316" s="29">
        <v>45967.83100663194</v>
      </c>
      <c r="B2316" s="30">
        <v>45967.0</v>
      </c>
      <c r="C2316" s="31" t="s">
        <v>7070</v>
      </c>
      <c r="D2316" s="32" t="s">
        <v>7071</v>
      </c>
      <c r="E2316" s="31" t="s">
        <v>228</v>
      </c>
      <c r="F2316" s="31">
        <v>3200000.0</v>
      </c>
      <c r="G2316" s="31" t="s">
        <v>23</v>
      </c>
      <c r="I2316" s="31" t="s">
        <v>229</v>
      </c>
      <c r="J2316" s="31" t="s">
        <v>967</v>
      </c>
      <c r="K2316" s="33" t="s">
        <v>7072</v>
      </c>
      <c r="L2316" s="31" t="s">
        <v>202</v>
      </c>
      <c r="N2316" s="31" t="s">
        <v>220</v>
      </c>
      <c r="S2316" s="31" t="s">
        <v>59</v>
      </c>
    </row>
    <row r="2317">
      <c r="A2317" s="29">
        <v>45967.83333445602</v>
      </c>
      <c r="B2317" s="30">
        <v>45967.0</v>
      </c>
      <c r="C2317" s="31" t="s">
        <v>7073</v>
      </c>
      <c r="D2317" s="32" t="s">
        <v>7074</v>
      </c>
      <c r="E2317" s="31" t="s">
        <v>228</v>
      </c>
      <c r="F2317" s="31">
        <v>3800000.0</v>
      </c>
      <c r="G2317" s="31" t="s">
        <v>23</v>
      </c>
      <c r="I2317" s="31" t="s">
        <v>229</v>
      </c>
      <c r="J2317" s="31" t="s">
        <v>967</v>
      </c>
      <c r="K2317" s="33" t="s">
        <v>7075</v>
      </c>
      <c r="L2317" s="31" t="s">
        <v>202</v>
      </c>
      <c r="N2317" s="31" t="s">
        <v>220</v>
      </c>
      <c r="S2317" s="31" t="s">
        <v>59</v>
      </c>
    </row>
    <row r="2318">
      <c r="A2318" s="29">
        <v>45967.850936284725</v>
      </c>
      <c r="B2318" s="30">
        <v>45967.0</v>
      </c>
      <c r="C2318" s="31" t="s">
        <v>7076</v>
      </c>
      <c r="D2318" s="32" t="s">
        <v>7077</v>
      </c>
      <c r="E2318" s="31" t="s">
        <v>31</v>
      </c>
      <c r="F2318" s="31">
        <v>7600000.0</v>
      </c>
      <c r="G2318" s="31" t="s">
        <v>23</v>
      </c>
      <c r="I2318" s="31" t="s">
        <v>229</v>
      </c>
      <c r="J2318" s="31" t="s">
        <v>967</v>
      </c>
      <c r="K2318" s="33" t="s">
        <v>7078</v>
      </c>
      <c r="L2318" s="31" t="s">
        <v>202</v>
      </c>
      <c r="N2318" s="31" t="s">
        <v>667</v>
      </c>
      <c r="U2318" s="31" t="s">
        <v>668</v>
      </c>
    </row>
    <row r="2319">
      <c r="A2319" s="29">
        <v>45967.85765081018</v>
      </c>
      <c r="B2319" s="30">
        <v>45967.0</v>
      </c>
      <c r="C2319" s="31" t="s">
        <v>7079</v>
      </c>
      <c r="D2319" s="32" t="s">
        <v>7080</v>
      </c>
      <c r="E2319" s="31" t="s">
        <v>784</v>
      </c>
      <c r="F2319" s="31">
        <v>3500000.0</v>
      </c>
      <c r="G2319" s="31" t="s">
        <v>23</v>
      </c>
      <c r="I2319" s="31" t="s">
        <v>229</v>
      </c>
      <c r="J2319" s="31" t="s">
        <v>967</v>
      </c>
      <c r="K2319" s="33" t="s">
        <v>7081</v>
      </c>
      <c r="L2319" s="31" t="s">
        <v>202</v>
      </c>
      <c r="N2319" s="31" t="s">
        <v>204</v>
      </c>
      <c r="R2319" s="31" t="s">
        <v>98</v>
      </c>
    </row>
    <row r="2320">
      <c r="A2320" s="29">
        <v>45967.86662457176</v>
      </c>
      <c r="B2320" s="30">
        <v>45967.0</v>
      </c>
      <c r="C2320" s="31" t="s">
        <v>7082</v>
      </c>
      <c r="D2320" s="32" t="s">
        <v>7083</v>
      </c>
      <c r="E2320" s="31" t="s">
        <v>288</v>
      </c>
      <c r="F2320" s="31">
        <v>2400000.0</v>
      </c>
      <c r="G2320" s="31" t="s">
        <v>23</v>
      </c>
      <c r="I2320" s="31" t="s">
        <v>229</v>
      </c>
      <c r="J2320" s="31" t="s">
        <v>967</v>
      </c>
      <c r="K2320" s="33" t="s">
        <v>7084</v>
      </c>
      <c r="L2320" s="31" t="s">
        <v>202</v>
      </c>
      <c r="N2320" s="31" t="s">
        <v>204</v>
      </c>
      <c r="R2320" s="31" t="s">
        <v>148</v>
      </c>
    </row>
    <row r="2321">
      <c r="A2321" s="29">
        <v>45968.42624695602</v>
      </c>
      <c r="B2321" s="30">
        <v>45968.0</v>
      </c>
      <c r="C2321" s="31" t="s">
        <v>7085</v>
      </c>
      <c r="D2321" s="32" t="s">
        <v>7086</v>
      </c>
      <c r="E2321" s="31" t="s">
        <v>31</v>
      </c>
      <c r="F2321" s="31">
        <v>6200000.0</v>
      </c>
      <c r="G2321" s="31" t="s">
        <v>23</v>
      </c>
      <c r="I2321" s="31" t="s">
        <v>229</v>
      </c>
      <c r="J2321" s="31" t="s">
        <v>967</v>
      </c>
      <c r="K2321" s="33" t="s">
        <v>7087</v>
      </c>
      <c r="L2321" s="31" t="s">
        <v>202</v>
      </c>
      <c r="N2321" s="31" t="s">
        <v>204</v>
      </c>
      <c r="R2321" s="31" t="s">
        <v>207</v>
      </c>
    </row>
    <row r="2322">
      <c r="A2322" s="29">
        <v>45968.42724474537</v>
      </c>
      <c r="B2322" s="30">
        <v>45968.0</v>
      </c>
      <c r="C2322" s="31" t="s">
        <v>7088</v>
      </c>
      <c r="D2322" s="32" t="s">
        <v>4253</v>
      </c>
      <c r="E2322" s="31" t="s">
        <v>43</v>
      </c>
      <c r="F2322" s="31">
        <v>2500000.0</v>
      </c>
      <c r="G2322" s="31" t="s">
        <v>23</v>
      </c>
      <c r="I2322" s="31" t="s">
        <v>229</v>
      </c>
      <c r="J2322" s="31" t="s">
        <v>967</v>
      </c>
      <c r="K2322" s="33" t="s">
        <v>7089</v>
      </c>
      <c r="L2322" s="31" t="s">
        <v>252</v>
      </c>
      <c r="O2322" s="31" t="s">
        <v>257</v>
      </c>
      <c r="P2322" s="31" t="s">
        <v>206</v>
      </c>
    </row>
    <row r="2323">
      <c r="A2323" s="29">
        <v>45968.42747505787</v>
      </c>
      <c r="B2323" s="30">
        <v>45968.0</v>
      </c>
      <c r="C2323" s="31" t="s">
        <v>7090</v>
      </c>
      <c r="D2323" s="31">
        <v>0.0</v>
      </c>
      <c r="E2323" s="31" t="s">
        <v>43</v>
      </c>
      <c r="F2323" s="32" t="s">
        <v>5089</v>
      </c>
      <c r="G2323" s="31" t="s">
        <v>23</v>
      </c>
      <c r="H2323" s="31">
        <v>3000000.0</v>
      </c>
      <c r="I2323" s="31" t="s">
        <v>413</v>
      </c>
      <c r="K2323" s="33" t="s">
        <v>7091</v>
      </c>
      <c r="L2323" s="31" t="s">
        <v>252</v>
      </c>
      <c r="M2323" s="31" t="s">
        <v>203</v>
      </c>
      <c r="O2323" s="31" t="s">
        <v>257</v>
      </c>
      <c r="P2323" s="31" t="s">
        <v>992</v>
      </c>
    </row>
    <row r="2324">
      <c r="A2324" s="29">
        <v>45968.43273349537</v>
      </c>
      <c r="B2324" s="30">
        <v>45968.0</v>
      </c>
      <c r="C2324" s="31" t="s">
        <v>7092</v>
      </c>
      <c r="D2324" s="32" t="s">
        <v>7093</v>
      </c>
      <c r="E2324" s="31" t="s">
        <v>239</v>
      </c>
      <c r="F2324" s="31">
        <v>3200000.0</v>
      </c>
      <c r="G2324" s="31" t="s">
        <v>23</v>
      </c>
      <c r="I2324" s="31" t="s">
        <v>229</v>
      </c>
      <c r="J2324" s="31" t="s">
        <v>967</v>
      </c>
      <c r="K2324" s="33" t="s">
        <v>7094</v>
      </c>
      <c r="L2324" s="31" t="s">
        <v>252</v>
      </c>
      <c r="O2324" s="31" t="s">
        <v>205</v>
      </c>
      <c r="X2324" s="31" t="s">
        <v>569</v>
      </c>
    </row>
    <row r="2325">
      <c r="A2325" s="29">
        <v>45968.46612078704</v>
      </c>
      <c r="B2325" s="30">
        <v>45968.0</v>
      </c>
      <c r="C2325" s="31" t="s">
        <v>7095</v>
      </c>
      <c r="D2325" s="32" t="s">
        <v>7096</v>
      </c>
      <c r="E2325" s="31" t="s">
        <v>199</v>
      </c>
      <c r="F2325" s="31">
        <v>7500000.0</v>
      </c>
      <c r="G2325" s="31" t="s">
        <v>23</v>
      </c>
      <c r="I2325" s="31" t="s">
        <v>229</v>
      </c>
      <c r="J2325" s="31" t="s">
        <v>967</v>
      </c>
      <c r="K2325" s="33" t="s">
        <v>7097</v>
      </c>
      <c r="L2325" s="31" t="s">
        <v>252</v>
      </c>
      <c r="O2325" s="31" t="s">
        <v>257</v>
      </c>
      <c r="P2325" s="31" t="s">
        <v>258</v>
      </c>
    </row>
    <row r="2326">
      <c r="A2326" s="29">
        <v>45968.4931312963</v>
      </c>
      <c r="B2326" s="30">
        <v>45968.0</v>
      </c>
      <c r="C2326" s="31" t="s">
        <v>7098</v>
      </c>
      <c r="D2326" s="32" t="s">
        <v>7099</v>
      </c>
      <c r="E2326" s="31" t="s">
        <v>31</v>
      </c>
      <c r="F2326" s="31">
        <v>4999000.0</v>
      </c>
      <c r="G2326" s="31" t="s">
        <v>23</v>
      </c>
      <c r="H2326" s="31">
        <v>3000000.0</v>
      </c>
      <c r="I2326" s="31" t="s">
        <v>200</v>
      </c>
      <c r="K2326" s="33" t="s">
        <v>7100</v>
      </c>
      <c r="L2326" s="31" t="s">
        <v>202</v>
      </c>
      <c r="M2326" s="31" t="s">
        <v>5638</v>
      </c>
      <c r="N2326" s="31" t="s">
        <v>204</v>
      </c>
      <c r="R2326" s="31" t="s">
        <v>207</v>
      </c>
    </row>
    <row r="2327">
      <c r="A2327" s="29">
        <v>45968.50960763889</v>
      </c>
      <c r="B2327" s="30">
        <v>45968.0</v>
      </c>
      <c r="C2327" s="31" t="s">
        <v>7101</v>
      </c>
      <c r="D2327" s="32" t="s">
        <v>7102</v>
      </c>
      <c r="E2327" s="31" t="s">
        <v>43</v>
      </c>
      <c r="F2327" s="31">
        <v>2600000.0</v>
      </c>
      <c r="G2327" s="31" t="s">
        <v>23</v>
      </c>
      <c r="H2327" s="31">
        <v>1600000.0</v>
      </c>
      <c r="I2327" s="31" t="s">
        <v>413</v>
      </c>
      <c r="K2327" s="33" t="s">
        <v>7103</v>
      </c>
      <c r="L2327" s="31" t="s">
        <v>252</v>
      </c>
      <c r="M2327" s="31" t="s">
        <v>203</v>
      </c>
      <c r="O2327" s="31" t="s">
        <v>257</v>
      </c>
      <c r="P2327" s="31" t="s">
        <v>2453</v>
      </c>
    </row>
    <row r="2328">
      <c r="A2328" s="29">
        <v>45968.52976133102</v>
      </c>
      <c r="B2328" s="30">
        <v>45968.0</v>
      </c>
      <c r="C2328" s="31" t="s">
        <v>7104</v>
      </c>
      <c r="D2328" s="32" t="s">
        <v>7105</v>
      </c>
      <c r="E2328" s="31" t="s">
        <v>43</v>
      </c>
      <c r="F2328" s="31">
        <v>8000000.0</v>
      </c>
      <c r="G2328" s="31" t="s">
        <v>23</v>
      </c>
      <c r="H2328" s="31">
        <v>3000000.0</v>
      </c>
      <c r="I2328" s="31" t="s">
        <v>200</v>
      </c>
      <c r="K2328" s="33" t="s">
        <v>7106</v>
      </c>
      <c r="L2328" s="31" t="s">
        <v>202</v>
      </c>
      <c r="M2328" s="31" t="s">
        <v>5638</v>
      </c>
      <c r="N2328" s="31" t="s">
        <v>313</v>
      </c>
      <c r="T2328" s="31" t="s">
        <v>314</v>
      </c>
    </row>
    <row r="2329">
      <c r="A2329" s="29">
        <v>45968.536530694444</v>
      </c>
      <c r="B2329" s="30">
        <v>45968.0</v>
      </c>
      <c r="C2329" s="31" t="s">
        <v>7107</v>
      </c>
      <c r="D2329" s="32" t="s">
        <v>7108</v>
      </c>
      <c r="E2329" s="31" t="s">
        <v>43</v>
      </c>
      <c r="F2329" s="31">
        <v>7000000.0</v>
      </c>
      <c r="G2329" s="31" t="s">
        <v>23</v>
      </c>
      <c r="I2329" s="31" t="s">
        <v>229</v>
      </c>
      <c r="J2329" s="31" t="s">
        <v>967</v>
      </c>
      <c r="K2329" s="33" t="s">
        <v>7109</v>
      </c>
      <c r="L2329" s="31" t="s">
        <v>202</v>
      </c>
      <c r="N2329" s="31" t="s">
        <v>667</v>
      </c>
      <c r="U2329" s="31" t="s">
        <v>668</v>
      </c>
    </row>
    <row r="2330">
      <c r="A2330" s="29">
        <v>45968.546748877314</v>
      </c>
      <c r="B2330" s="30">
        <v>45968.0</v>
      </c>
      <c r="C2330" s="31" t="s">
        <v>7110</v>
      </c>
      <c r="D2330" s="32" t="s">
        <v>7111</v>
      </c>
      <c r="E2330" s="31" t="s">
        <v>43</v>
      </c>
      <c r="F2330" s="31">
        <v>2.5E7</v>
      </c>
      <c r="G2330" s="31" t="s">
        <v>23</v>
      </c>
      <c r="I2330" s="31" t="s">
        <v>229</v>
      </c>
      <c r="J2330" s="31" t="s">
        <v>165</v>
      </c>
      <c r="K2330" s="33" t="s">
        <v>7112</v>
      </c>
      <c r="L2330" s="31" t="s">
        <v>202</v>
      </c>
      <c r="N2330" s="31" t="s">
        <v>204</v>
      </c>
      <c r="R2330" s="31" t="s">
        <v>360</v>
      </c>
    </row>
    <row r="2331">
      <c r="A2331" s="29">
        <v>45968.54740040509</v>
      </c>
      <c r="B2331" s="30">
        <v>45968.0</v>
      </c>
      <c r="C2331" s="31" t="s">
        <v>7113</v>
      </c>
      <c r="D2331" s="32" t="s">
        <v>7114</v>
      </c>
      <c r="E2331" s="31" t="s">
        <v>335</v>
      </c>
      <c r="F2331" s="31">
        <v>1.5E7</v>
      </c>
      <c r="G2331" s="31" t="s">
        <v>23</v>
      </c>
      <c r="I2331" s="31" t="s">
        <v>229</v>
      </c>
      <c r="J2331" s="31" t="s">
        <v>967</v>
      </c>
      <c r="K2331" s="33" t="s">
        <v>7115</v>
      </c>
      <c r="L2331" s="31" t="s">
        <v>202</v>
      </c>
      <c r="N2331" s="31" t="s">
        <v>500</v>
      </c>
      <c r="V2331" s="31" t="s">
        <v>6597</v>
      </c>
    </row>
    <row r="2332">
      <c r="A2332" s="29">
        <v>45968.5511108912</v>
      </c>
      <c r="B2332" s="30">
        <v>45968.0</v>
      </c>
      <c r="C2332" s="31" t="s">
        <v>7116</v>
      </c>
      <c r="D2332" s="32" t="s">
        <v>7117</v>
      </c>
      <c r="E2332" s="31" t="s">
        <v>199</v>
      </c>
      <c r="F2332" s="31">
        <v>6000000.0</v>
      </c>
      <c r="G2332" s="31" t="s">
        <v>45</v>
      </c>
      <c r="H2332" s="31">
        <v>3000000.0</v>
      </c>
      <c r="I2332" s="31" t="s">
        <v>413</v>
      </c>
      <c r="K2332" s="33" t="s">
        <v>7118</v>
      </c>
      <c r="L2332" s="31" t="s">
        <v>252</v>
      </c>
      <c r="M2332" s="31" t="s">
        <v>5638</v>
      </c>
      <c r="O2332" s="31" t="s">
        <v>257</v>
      </c>
      <c r="P2332" s="31" t="s">
        <v>272</v>
      </c>
    </row>
    <row r="2333">
      <c r="A2333" s="29">
        <v>45968.5673790625</v>
      </c>
      <c r="B2333" s="30">
        <v>45968.0</v>
      </c>
      <c r="C2333" s="31" t="s">
        <v>7119</v>
      </c>
      <c r="D2333" s="32" t="s">
        <v>4950</v>
      </c>
      <c r="E2333" s="31" t="s">
        <v>43</v>
      </c>
      <c r="F2333" s="31">
        <v>9900000.0</v>
      </c>
      <c r="G2333" s="31" t="s">
        <v>23</v>
      </c>
      <c r="I2333" s="31" t="s">
        <v>229</v>
      </c>
      <c r="J2333" s="31" t="s">
        <v>967</v>
      </c>
      <c r="K2333" s="33" t="s">
        <v>7120</v>
      </c>
      <c r="L2333" s="31" t="s">
        <v>202</v>
      </c>
      <c r="N2333" s="31" t="s">
        <v>313</v>
      </c>
      <c r="T2333" s="31" t="s">
        <v>314</v>
      </c>
    </row>
    <row r="2334">
      <c r="A2334" s="29">
        <v>45968.58496202546</v>
      </c>
      <c r="B2334" s="30">
        <v>45968.0</v>
      </c>
      <c r="C2334" s="31" t="s">
        <v>7121</v>
      </c>
      <c r="D2334" s="32" t="s">
        <v>7122</v>
      </c>
      <c r="E2334" s="31" t="s">
        <v>43</v>
      </c>
      <c r="F2334" s="31">
        <v>9000000.0</v>
      </c>
      <c r="G2334" s="31" t="s">
        <v>23</v>
      </c>
      <c r="I2334" s="31" t="s">
        <v>229</v>
      </c>
      <c r="J2334" s="31" t="s">
        <v>967</v>
      </c>
      <c r="K2334" s="33" t="s">
        <v>7123</v>
      </c>
      <c r="L2334" s="31" t="s">
        <v>202</v>
      </c>
      <c r="N2334" s="31" t="s">
        <v>313</v>
      </c>
      <c r="T2334" s="31" t="s">
        <v>314</v>
      </c>
    </row>
    <row r="2335">
      <c r="A2335" s="29">
        <v>45968.59697783565</v>
      </c>
      <c r="B2335" s="30">
        <v>45968.0</v>
      </c>
      <c r="C2335" s="31" t="s">
        <v>7124</v>
      </c>
      <c r="D2335" s="32" t="s">
        <v>7125</v>
      </c>
      <c r="E2335" s="31" t="s">
        <v>43</v>
      </c>
      <c r="F2335" s="31">
        <v>2700000.0</v>
      </c>
      <c r="G2335" s="31" t="s">
        <v>23</v>
      </c>
      <c r="I2335" s="31" t="s">
        <v>229</v>
      </c>
      <c r="J2335" s="31" t="s">
        <v>967</v>
      </c>
      <c r="K2335" s="33" t="s">
        <v>7126</v>
      </c>
      <c r="L2335" s="31" t="s">
        <v>252</v>
      </c>
      <c r="O2335" s="31" t="s">
        <v>257</v>
      </c>
      <c r="P2335" s="31" t="s">
        <v>2453</v>
      </c>
    </row>
    <row r="2336">
      <c r="A2336" s="29">
        <v>45968.60698361111</v>
      </c>
      <c r="B2336" s="30">
        <v>45968.0</v>
      </c>
      <c r="C2336" s="31" t="s">
        <v>7127</v>
      </c>
      <c r="D2336" s="32" t="s">
        <v>566</v>
      </c>
      <c r="E2336" s="31" t="s">
        <v>7128</v>
      </c>
      <c r="F2336" s="31">
        <v>3000000.0</v>
      </c>
      <c r="G2336" s="31" t="s">
        <v>23</v>
      </c>
      <c r="I2336" s="31" t="s">
        <v>229</v>
      </c>
      <c r="J2336" s="31" t="s">
        <v>967</v>
      </c>
      <c r="K2336" s="33" t="s">
        <v>7129</v>
      </c>
      <c r="L2336" s="31" t="s">
        <v>252</v>
      </c>
      <c r="O2336" s="31" t="s">
        <v>205</v>
      </c>
      <c r="X2336" s="31" t="s">
        <v>569</v>
      </c>
    </row>
    <row r="2337">
      <c r="A2337" s="29">
        <v>45968.64262097223</v>
      </c>
      <c r="B2337" s="30">
        <v>45968.0</v>
      </c>
      <c r="C2337" s="31" t="s">
        <v>7130</v>
      </c>
      <c r="D2337" s="32" t="s">
        <v>7131</v>
      </c>
      <c r="E2337" s="31" t="s">
        <v>1166</v>
      </c>
      <c r="F2337" s="31">
        <v>2500000.0</v>
      </c>
      <c r="G2337" s="31" t="s">
        <v>23</v>
      </c>
      <c r="I2337" s="31" t="s">
        <v>229</v>
      </c>
      <c r="J2337" s="31" t="s">
        <v>967</v>
      </c>
      <c r="K2337" s="33" t="s">
        <v>7132</v>
      </c>
      <c r="L2337" s="31" t="s">
        <v>202</v>
      </c>
      <c r="N2337" s="31" t="s">
        <v>204</v>
      </c>
      <c r="R2337" s="31" t="s">
        <v>360</v>
      </c>
    </row>
    <row r="2338">
      <c r="A2338" s="29">
        <v>45968.65152310186</v>
      </c>
      <c r="B2338" s="30">
        <v>45968.0</v>
      </c>
      <c r="C2338" s="31" t="s">
        <v>7133</v>
      </c>
      <c r="D2338" s="32" t="s">
        <v>7134</v>
      </c>
      <c r="E2338" s="31" t="s">
        <v>43</v>
      </c>
      <c r="F2338" s="31">
        <v>5600000.0</v>
      </c>
      <c r="G2338" s="31" t="s">
        <v>45</v>
      </c>
      <c r="I2338" s="31" t="s">
        <v>229</v>
      </c>
      <c r="J2338" s="31" t="s">
        <v>967</v>
      </c>
      <c r="K2338" s="33" t="s">
        <v>7135</v>
      </c>
      <c r="L2338" s="31" t="s">
        <v>202</v>
      </c>
      <c r="N2338" s="31" t="s">
        <v>204</v>
      </c>
      <c r="R2338" s="31" t="s">
        <v>207</v>
      </c>
    </row>
    <row r="2339">
      <c r="A2339" s="29">
        <v>45968.652374363424</v>
      </c>
      <c r="B2339" s="30">
        <v>45968.0</v>
      </c>
      <c r="C2339" s="31" t="s">
        <v>7136</v>
      </c>
      <c r="D2339" s="32" t="s">
        <v>7137</v>
      </c>
      <c r="E2339" s="31" t="s">
        <v>31</v>
      </c>
      <c r="F2339" s="31">
        <v>3200000.0</v>
      </c>
      <c r="G2339" s="31" t="s">
        <v>23</v>
      </c>
      <c r="I2339" s="31" t="s">
        <v>229</v>
      </c>
      <c r="J2339" s="31" t="s">
        <v>967</v>
      </c>
      <c r="K2339" s="33" t="s">
        <v>7138</v>
      </c>
      <c r="L2339" s="31" t="s">
        <v>202</v>
      </c>
      <c r="N2339" s="31" t="s">
        <v>204</v>
      </c>
      <c r="R2339" s="31" t="s">
        <v>207</v>
      </c>
    </row>
    <row r="2340">
      <c r="A2340" s="29">
        <v>45968.655133437496</v>
      </c>
      <c r="B2340" s="30">
        <v>45968.0</v>
      </c>
      <c r="C2340" s="31" t="s">
        <v>7139</v>
      </c>
      <c r="D2340" s="31">
        <v>0.0</v>
      </c>
      <c r="E2340" s="31" t="s">
        <v>43</v>
      </c>
      <c r="F2340" s="32" t="s">
        <v>5089</v>
      </c>
      <c r="G2340" s="31" t="s">
        <v>23</v>
      </c>
      <c r="H2340" s="31">
        <v>5000000.0</v>
      </c>
      <c r="I2340" s="31" t="s">
        <v>200</v>
      </c>
      <c r="K2340" s="33" t="s">
        <v>7140</v>
      </c>
      <c r="L2340" s="31" t="s">
        <v>252</v>
      </c>
      <c r="M2340" s="31" t="s">
        <v>203</v>
      </c>
      <c r="O2340" s="31" t="s">
        <v>257</v>
      </c>
      <c r="P2340" s="31" t="s">
        <v>992</v>
      </c>
    </row>
    <row r="2341">
      <c r="A2341" s="29">
        <v>45968.662013761576</v>
      </c>
      <c r="B2341" s="30">
        <v>45968.0</v>
      </c>
      <c r="C2341" s="31" t="s">
        <v>7141</v>
      </c>
      <c r="D2341" s="32" t="s">
        <v>7142</v>
      </c>
      <c r="E2341" s="31" t="s">
        <v>283</v>
      </c>
      <c r="F2341" s="31">
        <v>5000000.0</v>
      </c>
      <c r="G2341" s="31" t="s">
        <v>23</v>
      </c>
      <c r="H2341" s="31">
        <v>5000000.0</v>
      </c>
      <c r="I2341" s="31" t="s">
        <v>413</v>
      </c>
      <c r="K2341" s="33" t="s">
        <v>7143</v>
      </c>
      <c r="L2341" s="31" t="s">
        <v>252</v>
      </c>
      <c r="M2341" s="31" t="s">
        <v>5638</v>
      </c>
      <c r="O2341" s="31" t="s">
        <v>257</v>
      </c>
      <c r="P2341" s="31" t="s">
        <v>272</v>
      </c>
    </row>
    <row r="2342">
      <c r="A2342" s="29">
        <v>45968.685718865745</v>
      </c>
      <c r="B2342" s="30">
        <v>45968.0</v>
      </c>
      <c r="C2342" s="31" t="s">
        <v>7144</v>
      </c>
      <c r="D2342" s="32" t="s">
        <v>7145</v>
      </c>
      <c r="E2342" s="31" t="s">
        <v>43</v>
      </c>
      <c r="F2342" s="31">
        <v>3000000.0</v>
      </c>
      <c r="G2342" s="31" t="s">
        <v>23</v>
      </c>
      <c r="I2342" s="31" t="s">
        <v>229</v>
      </c>
      <c r="J2342" s="31" t="s">
        <v>229</v>
      </c>
      <c r="K2342" s="33" t="s">
        <v>7146</v>
      </c>
      <c r="L2342" s="31" t="s">
        <v>252</v>
      </c>
      <c r="O2342" s="31" t="s">
        <v>205</v>
      </c>
      <c r="X2342" s="31" t="s">
        <v>253</v>
      </c>
    </row>
    <row r="2343">
      <c r="A2343" s="29">
        <v>45968.69237791667</v>
      </c>
      <c r="B2343" s="30">
        <v>45968.0</v>
      </c>
      <c r="C2343" s="31" t="s">
        <v>7147</v>
      </c>
      <c r="D2343" s="32" t="s">
        <v>7148</v>
      </c>
      <c r="E2343" s="31" t="s">
        <v>43</v>
      </c>
      <c r="F2343" s="31">
        <v>3000000.0</v>
      </c>
      <c r="G2343" s="31" t="s">
        <v>23</v>
      </c>
      <c r="I2343" s="31" t="s">
        <v>229</v>
      </c>
      <c r="J2343" s="31" t="s">
        <v>967</v>
      </c>
      <c r="K2343" s="33" t="s">
        <v>7149</v>
      </c>
      <c r="L2343" s="31" t="s">
        <v>252</v>
      </c>
      <c r="O2343" s="31" t="s">
        <v>257</v>
      </c>
      <c r="P2343" s="31" t="s">
        <v>3194</v>
      </c>
    </row>
    <row r="2344">
      <c r="A2344" s="29">
        <v>45968.70604425926</v>
      </c>
      <c r="B2344" s="30">
        <v>45968.0</v>
      </c>
      <c r="C2344" s="31" t="s">
        <v>7150</v>
      </c>
      <c r="D2344" s="32" t="s">
        <v>7151</v>
      </c>
      <c r="E2344" s="31" t="s">
        <v>199</v>
      </c>
      <c r="F2344" s="31">
        <v>6700000.0</v>
      </c>
      <c r="G2344" s="31" t="s">
        <v>45</v>
      </c>
      <c r="H2344" s="31">
        <v>5000000.0</v>
      </c>
      <c r="I2344" s="31" t="s">
        <v>200</v>
      </c>
      <c r="K2344" s="33" t="s">
        <v>7152</v>
      </c>
      <c r="L2344" s="31" t="s">
        <v>202</v>
      </c>
      <c r="M2344" s="31" t="s">
        <v>5638</v>
      </c>
      <c r="N2344" s="31" t="s">
        <v>220</v>
      </c>
      <c r="S2344" s="31" t="s">
        <v>36</v>
      </c>
    </row>
    <row r="2345">
      <c r="A2345" s="29">
        <v>45968.70770503472</v>
      </c>
      <c r="B2345" s="30">
        <v>45968.0</v>
      </c>
      <c r="C2345" s="31" t="s">
        <v>7153</v>
      </c>
      <c r="D2345" s="32" t="s">
        <v>7154</v>
      </c>
      <c r="E2345" s="31" t="s">
        <v>43</v>
      </c>
      <c r="F2345" s="31">
        <v>5600000.0</v>
      </c>
      <c r="G2345" s="31" t="s">
        <v>23</v>
      </c>
      <c r="H2345" s="31">
        <v>7000000.0</v>
      </c>
      <c r="I2345" s="31" t="s">
        <v>413</v>
      </c>
      <c r="K2345" s="33" t="s">
        <v>7155</v>
      </c>
      <c r="L2345" s="31" t="s">
        <v>202</v>
      </c>
      <c r="M2345" s="31" t="s">
        <v>605</v>
      </c>
      <c r="N2345" s="31" t="s">
        <v>220</v>
      </c>
      <c r="S2345" s="31" t="s">
        <v>36</v>
      </c>
    </row>
    <row r="2346">
      <c r="A2346" s="29">
        <v>45968.71503546296</v>
      </c>
      <c r="B2346" s="30">
        <v>45968.0</v>
      </c>
      <c r="C2346" s="31" t="s">
        <v>7156</v>
      </c>
      <c r="D2346" s="31">
        <v>2.85237813716E11</v>
      </c>
      <c r="E2346" s="31" t="s">
        <v>228</v>
      </c>
      <c r="F2346" s="34">
        <v>6000.0</v>
      </c>
      <c r="G2346" s="31" t="s">
        <v>23</v>
      </c>
      <c r="I2346" s="31" t="s">
        <v>229</v>
      </c>
      <c r="J2346" s="31" t="s">
        <v>967</v>
      </c>
      <c r="K2346" s="33" t="s">
        <v>7157</v>
      </c>
      <c r="L2346" s="31" t="s">
        <v>202</v>
      </c>
      <c r="N2346" s="31" t="s">
        <v>204</v>
      </c>
      <c r="R2346" s="31" t="s">
        <v>167</v>
      </c>
    </row>
    <row r="2347">
      <c r="A2347" s="29">
        <v>45968.71663086806</v>
      </c>
      <c r="B2347" s="30">
        <v>45968.0</v>
      </c>
      <c r="C2347" s="31" t="s">
        <v>7158</v>
      </c>
      <c r="D2347" s="31">
        <v>8.5237813716E10</v>
      </c>
      <c r="E2347" s="31" t="s">
        <v>239</v>
      </c>
      <c r="F2347" s="34">
        <v>3000.0</v>
      </c>
      <c r="G2347" s="31" t="s">
        <v>23</v>
      </c>
      <c r="I2347" s="31" t="s">
        <v>229</v>
      </c>
      <c r="J2347" s="31" t="s">
        <v>967</v>
      </c>
      <c r="K2347" s="33" t="s">
        <v>7159</v>
      </c>
      <c r="L2347" s="31" t="s">
        <v>202</v>
      </c>
      <c r="N2347" s="31" t="s">
        <v>204</v>
      </c>
      <c r="R2347" s="31" t="s">
        <v>167</v>
      </c>
    </row>
    <row r="2348">
      <c r="A2348" s="29">
        <v>45968.740697789355</v>
      </c>
      <c r="B2348" s="30">
        <v>45968.0</v>
      </c>
      <c r="C2348" s="31" t="s">
        <v>7160</v>
      </c>
      <c r="D2348" s="32" t="s">
        <v>7161</v>
      </c>
      <c r="E2348" s="31" t="s">
        <v>43</v>
      </c>
      <c r="F2348" s="31">
        <v>5000000.0</v>
      </c>
      <c r="G2348" s="31" t="s">
        <v>23</v>
      </c>
      <c r="I2348" s="31" t="s">
        <v>229</v>
      </c>
      <c r="J2348" s="31" t="s">
        <v>967</v>
      </c>
      <c r="K2348" s="33" t="s">
        <v>7162</v>
      </c>
      <c r="L2348" s="31" t="s">
        <v>202</v>
      </c>
      <c r="N2348" s="31" t="s">
        <v>220</v>
      </c>
      <c r="S2348" s="31" t="s">
        <v>466</v>
      </c>
    </row>
    <row r="2349">
      <c r="A2349" s="29">
        <v>45968.7428153125</v>
      </c>
      <c r="B2349" s="30">
        <v>45968.0</v>
      </c>
      <c r="C2349" s="31" t="s">
        <v>7163</v>
      </c>
      <c r="D2349" s="32" t="s">
        <v>7164</v>
      </c>
      <c r="E2349" s="31" t="s">
        <v>156</v>
      </c>
      <c r="F2349" s="31">
        <v>3500000.0</v>
      </c>
      <c r="G2349" s="31" t="s">
        <v>45</v>
      </c>
      <c r="H2349" s="31">
        <v>5000000.0</v>
      </c>
      <c r="I2349" s="31" t="s">
        <v>200</v>
      </c>
      <c r="K2349" s="33" t="s">
        <v>7165</v>
      </c>
      <c r="L2349" s="31" t="s">
        <v>252</v>
      </c>
      <c r="M2349" s="31" t="s">
        <v>926</v>
      </c>
      <c r="O2349" s="31" t="s">
        <v>205</v>
      </c>
      <c r="X2349" s="31" t="s">
        <v>569</v>
      </c>
    </row>
    <row r="2350">
      <c r="A2350" s="29">
        <v>45968.74683866898</v>
      </c>
      <c r="B2350" s="30">
        <v>45968.0</v>
      </c>
      <c r="C2350" s="31" t="s">
        <v>7166</v>
      </c>
      <c r="D2350" s="32" t="s">
        <v>7167</v>
      </c>
      <c r="E2350" s="31" t="s">
        <v>283</v>
      </c>
      <c r="F2350" s="31">
        <v>5999000.0</v>
      </c>
      <c r="G2350" s="31" t="s">
        <v>23</v>
      </c>
      <c r="H2350" s="31">
        <v>3000000.0</v>
      </c>
      <c r="I2350" s="31" t="s">
        <v>413</v>
      </c>
      <c r="K2350" s="33" t="s">
        <v>7168</v>
      </c>
      <c r="L2350" s="31" t="s">
        <v>202</v>
      </c>
      <c r="M2350" s="31" t="s">
        <v>203</v>
      </c>
      <c r="N2350" s="31" t="s">
        <v>204</v>
      </c>
      <c r="R2350" s="31" t="s">
        <v>207</v>
      </c>
    </row>
    <row r="2351">
      <c r="A2351" s="29">
        <v>45968.75282934028</v>
      </c>
      <c r="B2351" s="30">
        <v>45968.0</v>
      </c>
      <c r="C2351" s="31" t="s">
        <v>7169</v>
      </c>
      <c r="D2351" s="32" t="s">
        <v>7170</v>
      </c>
      <c r="E2351" s="31" t="s">
        <v>31</v>
      </c>
      <c r="F2351" s="31">
        <v>2000000.0</v>
      </c>
      <c r="G2351" s="31" t="s">
        <v>23</v>
      </c>
      <c r="I2351" s="31" t="s">
        <v>229</v>
      </c>
      <c r="J2351" s="31" t="s">
        <v>967</v>
      </c>
      <c r="K2351" s="33" t="s">
        <v>7171</v>
      </c>
      <c r="L2351" s="31" t="s">
        <v>202</v>
      </c>
      <c r="N2351" s="31" t="s">
        <v>215</v>
      </c>
      <c r="W2351" s="31" t="s">
        <v>216</v>
      </c>
    </row>
    <row r="2352">
      <c r="A2352" s="29">
        <v>45968.763238506945</v>
      </c>
      <c r="B2352" s="30">
        <v>45968.0</v>
      </c>
      <c r="C2352" s="31" t="s">
        <v>7172</v>
      </c>
      <c r="D2352" s="32" t="s">
        <v>7173</v>
      </c>
      <c r="E2352" s="31" t="s">
        <v>288</v>
      </c>
      <c r="F2352" s="31">
        <v>450000.0</v>
      </c>
      <c r="G2352" s="31" t="s">
        <v>45</v>
      </c>
      <c r="H2352" s="31">
        <v>3000000.0</v>
      </c>
      <c r="I2352" s="31" t="s">
        <v>413</v>
      </c>
      <c r="K2352" s="33" t="s">
        <v>7174</v>
      </c>
      <c r="L2352" s="31" t="s">
        <v>202</v>
      </c>
      <c r="M2352" s="31" t="s">
        <v>926</v>
      </c>
      <c r="N2352" s="31" t="s">
        <v>204</v>
      </c>
      <c r="R2352" s="31" t="s">
        <v>90</v>
      </c>
    </row>
    <row r="2353">
      <c r="A2353" s="29">
        <v>45968.80887390046</v>
      </c>
      <c r="B2353" s="30">
        <v>45968.0</v>
      </c>
      <c r="C2353" s="31" t="s">
        <v>7175</v>
      </c>
      <c r="D2353" s="32" t="s">
        <v>7176</v>
      </c>
      <c r="E2353" s="31" t="s">
        <v>43</v>
      </c>
      <c r="F2353" s="31">
        <v>3800000.0</v>
      </c>
      <c r="G2353" s="31" t="s">
        <v>23</v>
      </c>
      <c r="I2353" s="31" t="s">
        <v>229</v>
      </c>
      <c r="J2353" s="31" t="s">
        <v>967</v>
      </c>
      <c r="K2353" s="33" t="s">
        <v>7177</v>
      </c>
      <c r="L2353" s="31" t="s">
        <v>202</v>
      </c>
      <c r="N2353" s="31" t="s">
        <v>220</v>
      </c>
      <c r="S2353" s="31" t="s">
        <v>5512</v>
      </c>
    </row>
    <row r="2354">
      <c r="A2354" s="29">
        <v>45968.84591118056</v>
      </c>
      <c r="B2354" s="30">
        <v>45968.0</v>
      </c>
      <c r="C2354" s="31" t="s">
        <v>7178</v>
      </c>
      <c r="D2354" s="32" t="s">
        <v>7179</v>
      </c>
      <c r="E2354" s="31" t="s">
        <v>43</v>
      </c>
      <c r="F2354" s="31">
        <v>5500000.0</v>
      </c>
      <c r="G2354" s="31" t="s">
        <v>23</v>
      </c>
      <c r="I2354" s="31" t="s">
        <v>229</v>
      </c>
      <c r="J2354" s="31" t="s">
        <v>967</v>
      </c>
      <c r="K2354" s="33" t="s">
        <v>7180</v>
      </c>
      <c r="L2354" s="31" t="s">
        <v>252</v>
      </c>
      <c r="O2354" s="31" t="s">
        <v>205</v>
      </c>
      <c r="X2354" s="31" t="s">
        <v>2335</v>
      </c>
    </row>
    <row r="2355">
      <c r="A2355" s="29">
        <v>45968.85016729167</v>
      </c>
      <c r="B2355" s="30">
        <v>45968.0</v>
      </c>
      <c r="C2355" s="31" t="s">
        <v>7181</v>
      </c>
      <c r="D2355" s="32" t="s">
        <v>7182</v>
      </c>
      <c r="E2355" s="31" t="s">
        <v>7183</v>
      </c>
      <c r="F2355" s="31">
        <v>3000000.0</v>
      </c>
      <c r="G2355" s="31" t="s">
        <v>23</v>
      </c>
      <c r="H2355" s="31">
        <v>5000000.0</v>
      </c>
      <c r="I2355" s="31" t="s">
        <v>200</v>
      </c>
      <c r="K2355" s="33" t="s">
        <v>7184</v>
      </c>
      <c r="L2355" s="31" t="s">
        <v>252</v>
      </c>
      <c r="M2355" s="31" t="s">
        <v>203</v>
      </c>
      <c r="O2355" s="31" t="s">
        <v>205</v>
      </c>
      <c r="X2355" s="31" t="s">
        <v>253</v>
      </c>
    </row>
    <row r="2356">
      <c r="A2356" s="29">
        <v>45968.870441990744</v>
      </c>
      <c r="B2356" s="30">
        <v>45968.0</v>
      </c>
      <c r="C2356" s="31" t="s">
        <v>7185</v>
      </c>
      <c r="D2356" s="32" t="s">
        <v>7186</v>
      </c>
      <c r="E2356" s="31" t="s">
        <v>31</v>
      </c>
      <c r="F2356" s="31">
        <v>4000000.0</v>
      </c>
      <c r="G2356" s="31" t="s">
        <v>23</v>
      </c>
      <c r="I2356" s="31" t="s">
        <v>229</v>
      </c>
      <c r="J2356" s="31" t="s">
        <v>498</v>
      </c>
      <c r="K2356" s="33" t="s">
        <v>7187</v>
      </c>
      <c r="L2356" s="31" t="s">
        <v>202</v>
      </c>
      <c r="N2356" s="31" t="s">
        <v>500</v>
      </c>
      <c r="V2356" s="31" t="s">
        <v>501</v>
      </c>
    </row>
    <row r="2357">
      <c r="A2357" s="29">
        <v>45968.87657905092</v>
      </c>
      <c r="B2357" s="30">
        <v>45968.0</v>
      </c>
      <c r="C2357" s="31" t="s">
        <v>7188</v>
      </c>
      <c r="D2357" s="32" t="s">
        <v>7189</v>
      </c>
      <c r="E2357" s="31" t="s">
        <v>2902</v>
      </c>
      <c r="F2357" s="31">
        <v>3400000.0</v>
      </c>
      <c r="G2357" s="31" t="s">
        <v>23</v>
      </c>
      <c r="H2357" s="31">
        <v>3000000.0</v>
      </c>
      <c r="I2357" s="31" t="s">
        <v>413</v>
      </c>
      <c r="K2357" s="33" t="s">
        <v>7190</v>
      </c>
      <c r="L2357" s="31" t="s">
        <v>202</v>
      </c>
      <c r="M2357" s="31" t="s">
        <v>5638</v>
      </c>
      <c r="N2357" s="31" t="s">
        <v>220</v>
      </c>
      <c r="S2357" s="31" t="s">
        <v>36</v>
      </c>
    </row>
    <row r="2358">
      <c r="A2358" s="29">
        <v>45969.321343275464</v>
      </c>
      <c r="B2358" s="30">
        <v>45969.0</v>
      </c>
      <c r="C2358" s="31" t="s">
        <v>7191</v>
      </c>
      <c r="D2358" s="32" t="s">
        <v>7192</v>
      </c>
      <c r="E2358" s="31" t="s">
        <v>43</v>
      </c>
      <c r="F2358" s="31">
        <v>5000000.0</v>
      </c>
      <c r="G2358" s="31" t="s">
        <v>23</v>
      </c>
      <c r="I2358" s="31" t="s">
        <v>229</v>
      </c>
      <c r="J2358" s="31" t="s">
        <v>967</v>
      </c>
      <c r="K2358" s="33" t="s">
        <v>7193</v>
      </c>
      <c r="L2358" s="31" t="s">
        <v>202</v>
      </c>
      <c r="N2358" s="31" t="s">
        <v>220</v>
      </c>
      <c r="S2358" s="31" t="s">
        <v>466</v>
      </c>
    </row>
    <row r="2359">
      <c r="A2359" s="29">
        <v>45969.33166236111</v>
      </c>
      <c r="B2359" s="30">
        <v>45969.0</v>
      </c>
      <c r="C2359" s="31" t="s">
        <v>7194</v>
      </c>
      <c r="D2359" s="32" t="s">
        <v>7195</v>
      </c>
      <c r="E2359" s="31" t="s">
        <v>43</v>
      </c>
      <c r="F2359" s="31">
        <v>5000000.0</v>
      </c>
      <c r="G2359" s="31" t="s">
        <v>23</v>
      </c>
      <c r="I2359" s="31" t="s">
        <v>229</v>
      </c>
      <c r="J2359" s="31" t="s">
        <v>967</v>
      </c>
      <c r="K2359" s="33" t="s">
        <v>7196</v>
      </c>
      <c r="L2359" s="31" t="s">
        <v>202</v>
      </c>
      <c r="N2359" s="31" t="s">
        <v>220</v>
      </c>
      <c r="S2359" s="31" t="s">
        <v>466</v>
      </c>
    </row>
    <row r="2360">
      <c r="A2360" s="29">
        <v>45969.41040320601</v>
      </c>
      <c r="B2360" s="30">
        <v>45969.0</v>
      </c>
      <c r="C2360" s="31" t="s">
        <v>7197</v>
      </c>
      <c r="D2360" s="32" t="s">
        <v>7198</v>
      </c>
      <c r="E2360" s="31" t="s">
        <v>239</v>
      </c>
      <c r="F2360" s="31">
        <v>50.0</v>
      </c>
      <c r="G2360" s="31" t="s">
        <v>23</v>
      </c>
      <c r="I2360" s="31" t="s">
        <v>229</v>
      </c>
      <c r="J2360" s="31" t="s">
        <v>967</v>
      </c>
      <c r="K2360" s="33" t="s">
        <v>7199</v>
      </c>
      <c r="L2360" s="31" t="s">
        <v>202</v>
      </c>
      <c r="N2360" s="31" t="s">
        <v>313</v>
      </c>
      <c r="T2360" s="31" t="s">
        <v>4272</v>
      </c>
    </row>
    <row r="2361">
      <c r="A2361" s="29">
        <v>45969.41144607639</v>
      </c>
      <c r="B2361" s="30">
        <v>45969.0</v>
      </c>
      <c r="C2361" s="31" t="s">
        <v>7200</v>
      </c>
      <c r="D2361" s="32" t="s">
        <v>7201</v>
      </c>
      <c r="E2361" s="31" t="s">
        <v>288</v>
      </c>
      <c r="F2361" s="31">
        <v>50.0</v>
      </c>
      <c r="G2361" s="31" t="s">
        <v>23</v>
      </c>
      <c r="I2361" s="31" t="s">
        <v>229</v>
      </c>
      <c r="J2361" s="31" t="s">
        <v>967</v>
      </c>
      <c r="K2361" s="33" t="s">
        <v>7202</v>
      </c>
      <c r="L2361" s="31" t="s">
        <v>202</v>
      </c>
      <c r="N2361" s="31" t="s">
        <v>313</v>
      </c>
      <c r="T2361" s="31" t="s">
        <v>4272</v>
      </c>
    </row>
    <row r="2362">
      <c r="A2362" s="29">
        <v>45969.415740833334</v>
      </c>
      <c r="B2362" s="30">
        <v>45969.0</v>
      </c>
      <c r="C2362" s="31" t="s">
        <v>7203</v>
      </c>
      <c r="D2362" s="32" t="s">
        <v>7204</v>
      </c>
      <c r="E2362" s="31" t="s">
        <v>43</v>
      </c>
      <c r="F2362" s="31">
        <v>2.0E7</v>
      </c>
      <c r="G2362" s="31" t="s">
        <v>23</v>
      </c>
      <c r="I2362" s="31" t="s">
        <v>229</v>
      </c>
      <c r="J2362" s="31" t="s">
        <v>967</v>
      </c>
      <c r="K2362" s="33" t="s">
        <v>7205</v>
      </c>
      <c r="L2362" s="31" t="s">
        <v>202</v>
      </c>
      <c r="N2362" s="31" t="s">
        <v>500</v>
      </c>
      <c r="V2362" s="31" t="s">
        <v>6597</v>
      </c>
    </row>
    <row r="2363">
      <c r="A2363" s="29">
        <v>45969.42978888889</v>
      </c>
      <c r="B2363" s="30">
        <v>45969.0</v>
      </c>
      <c r="C2363" s="31" t="s">
        <v>7206</v>
      </c>
      <c r="D2363" s="32" t="s">
        <v>7207</v>
      </c>
      <c r="E2363" s="31" t="s">
        <v>43</v>
      </c>
      <c r="F2363" s="31">
        <v>4000000.0</v>
      </c>
      <c r="G2363" s="31" t="s">
        <v>23</v>
      </c>
      <c r="I2363" s="31" t="s">
        <v>229</v>
      </c>
      <c r="J2363" s="31" t="s">
        <v>967</v>
      </c>
      <c r="K2363" s="33" t="s">
        <v>7208</v>
      </c>
      <c r="L2363" s="31" t="s">
        <v>252</v>
      </c>
      <c r="O2363" s="31" t="s">
        <v>205</v>
      </c>
      <c r="X2363" s="31" t="s">
        <v>452</v>
      </c>
    </row>
    <row r="2364">
      <c r="A2364" s="29">
        <v>45969.44752231482</v>
      </c>
      <c r="B2364" s="30">
        <v>45969.0</v>
      </c>
      <c r="C2364" s="31" t="s">
        <v>7209</v>
      </c>
      <c r="D2364" s="31">
        <v>6.281236873051E12</v>
      </c>
      <c r="E2364" s="31" t="s">
        <v>43</v>
      </c>
      <c r="F2364" s="31">
        <v>5000000.0</v>
      </c>
      <c r="G2364" s="31" t="s">
        <v>23</v>
      </c>
      <c r="H2364" s="31">
        <v>3000000.0</v>
      </c>
      <c r="I2364" s="31" t="s">
        <v>200</v>
      </c>
      <c r="K2364" s="33" t="s">
        <v>7210</v>
      </c>
      <c r="L2364" s="31" t="s">
        <v>202</v>
      </c>
      <c r="M2364" s="31" t="s">
        <v>5638</v>
      </c>
      <c r="N2364" s="31" t="s">
        <v>220</v>
      </c>
      <c r="S2364" s="31" t="s">
        <v>536</v>
      </c>
    </row>
    <row r="2365">
      <c r="A2365" s="29">
        <v>45969.4751243287</v>
      </c>
      <c r="B2365" s="30">
        <v>45969.0</v>
      </c>
      <c r="C2365" s="31" t="s">
        <v>7211</v>
      </c>
      <c r="D2365" s="32" t="s">
        <v>7212</v>
      </c>
      <c r="E2365" s="31" t="s">
        <v>43</v>
      </c>
      <c r="F2365" s="31">
        <v>4200000.0</v>
      </c>
      <c r="G2365" s="31" t="s">
        <v>23</v>
      </c>
      <c r="I2365" s="31" t="s">
        <v>229</v>
      </c>
      <c r="J2365" s="31" t="s">
        <v>967</v>
      </c>
      <c r="K2365" s="33" t="s">
        <v>7213</v>
      </c>
      <c r="L2365" s="31" t="s">
        <v>202</v>
      </c>
      <c r="N2365" s="31" t="s">
        <v>204</v>
      </c>
      <c r="R2365" s="31" t="s">
        <v>90</v>
      </c>
    </row>
    <row r="2366">
      <c r="A2366" s="29">
        <v>45969.48393815973</v>
      </c>
      <c r="B2366" s="30">
        <v>45969.0</v>
      </c>
      <c r="C2366" s="31" t="s">
        <v>7214</v>
      </c>
      <c r="D2366" s="32" t="s">
        <v>7215</v>
      </c>
      <c r="E2366" s="31" t="s">
        <v>43</v>
      </c>
      <c r="F2366" s="31">
        <v>2.0E7</v>
      </c>
      <c r="G2366" s="31" t="s">
        <v>23</v>
      </c>
      <c r="I2366" s="31" t="s">
        <v>229</v>
      </c>
      <c r="J2366" s="31" t="s">
        <v>967</v>
      </c>
      <c r="K2366" s="33" t="s">
        <v>7216</v>
      </c>
      <c r="L2366" s="31" t="s">
        <v>202</v>
      </c>
      <c r="N2366" s="31" t="s">
        <v>500</v>
      </c>
      <c r="V2366" s="31" t="s">
        <v>6597</v>
      </c>
    </row>
    <row r="2367">
      <c r="A2367" s="29">
        <v>45969.49711951389</v>
      </c>
      <c r="B2367" s="30">
        <v>45969.0</v>
      </c>
      <c r="C2367" s="31" t="s">
        <v>7217</v>
      </c>
      <c r="D2367" s="32" t="s">
        <v>7218</v>
      </c>
      <c r="E2367" s="31" t="s">
        <v>335</v>
      </c>
      <c r="F2367" s="31">
        <v>7000000.0</v>
      </c>
      <c r="G2367" s="31" t="s">
        <v>45</v>
      </c>
      <c r="H2367" s="31">
        <v>3000000.0</v>
      </c>
      <c r="I2367" s="31" t="s">
        <v>413</v>
      </c>
      <c r="K2367" s="33" t="s">
        <v>7219</v>
      </c>
      <c r="L2367" s="31" t="s">
        <v>252</v>
      </c>
      <c r="M2367" s="31" t="s">
        <v>605</v>
      </c>
      <c r="O2367" s="31" t="s">
        <v>257</v>
      </c>
      <c r="P2367" s="31" t="s">
        <v>272</v>
      </c>
    </row>
    <row r="2368">
      <c r="A2368" s="29">
        <v>45969.49811020833</v>
      </c>
      <c r="B2368" s="30">
        <v>45969.0</v>
      </c>
      <c r="C2368" s="31" t="s">
        <v>7220</v>
      </c>
      <c r="D2368" s="32" t="s">
        <v>7221</v>
      </c>
      <c r="E2368" s="31" t="s">
        <v>31</v>
      </c>
      <c r="F2368" s="31">
        <v>5999000.0</v>
      </c>
      <c r="G2368" s="31" t="s">
        <v>45</v>
      </c>
      <c r="I2368" s="31" t="s">
        <v>229</v>
      </c>
      <c r="J2368" s="31" t="s">
        <v>967</v>
      </c>
      <c r="K2368" s="33" t="s">
        <v>7222</v>
      </c>
      <c r="L2368" s="31" t="s">
        <v>202</v>
      </c>
      <c r="N2368" s="31" t="s">
        <v>204</v>
      </c>
      <c r="R2368" s="31" t="s">
        <v>207</v>
      </c>
    </row>
    <row r="2369">
      <c r="A2369" s="29">
        <v>45969.5036771875</v>
      </c>
      <c r="B2369" s="30">
        <v>45969.0</v>
      </c>
      <c r="C2369" s="31" t="s">
        <v>7223</v>
      </c>
      <c r="D2369" s="32" t="s">
        <v>7224</v>
      </c>
      <c r="E2369" s="31" t="s">
        <v>43</v>
      </c>
      <c r="F2369" s="31">
        <v>5000000.0</v>
      </c>
      <c r="G2369" s="31" t="s">
        <v>23</v>
      </c>
      <c r="H2369" s="31">
        <v>3000000.0</v>
      </c>
      <c r="I2369" s="31" t="s">
        <v>200</v>
      </c>
      <c r="K2369" s="33" t="s">
        <v>7225</v>
      </c>
      <c r="L2369" s="31" t="s">
        <v>252</v>
      </c>
      <c r="M2369" s="31" t="s">
        <v>203</v>
      </c>
      <c r="O2369" s="31" t="s">
        <v>205</v>
      </c>
      <c r="X2369" s="31" t="s">
        <v>716</v>
      </c>
    </row>
    <row r="2370">
      <c r="A2370" s="29">
        <v>45969.505703194445</v>
      </c>
      <c r="B2370" s="30">
        <v>45969.0</v>
      </c>
      <c r="C2370" s="31" t="s">
        <v>7226</v>
      </c>
      <c r="D2370" s="32" t="s">
        <v>7227</v>
      </c>
      <c r="E2370" s="31" t="s">
        <v>43</v>
      </c>
      <c r="F2370" s="31">
        <v>2000000.0</v>
      </c>
      <c r="G2370" s="31" t="s">
        <v>23</v>
      </c>
      <c r="I2370" s="31" t="s">
        <v>229</v>
      </c>
      <c r="J2370" s="31" t="s">
        <v>967</v>
      </c>
      <c r="K2370" s="33" t="s">
        <v>7228</v>
      </c>
      <c r="L2370" s="31" t="s">
        <v>252</v>
      </c>
      <c r="O2370" s="31" t="s">
        <v>205</v>
      </c>
      <c r="X2370" s="31" t="s">
        <v>549</v>
      </c>
    </row>
    <row r="2371">
      <c r="A2371" s="29">
        <v>45969.51162547454</v>
      </c>
      <c r="B2371" s="30">
        <v>45969.0</v>
      </c>
      <c r="C2371" s="31" t="s">
        <v>7229</v>
      </c>
      <c r="D2371" s="32" t="s">
        <v>7230</v>
      </c>
      <c r="E2371" s="31" t="s">
        <v>43</v>
      </c>
      <c r="F2371" s="31">
        <v>3000000.0</v>
      </c>
      <c r="G2371" s="31" t="s">
        <v>23</v>
      </c>
      <c r="I2371" s="31" t="s">
        <v>229</v>
      </c>
      <c r="J2371" s="31" t="s">
        <v>967</v>
      </c>
      <c r="K2371" s="33" t="s">
        <v>7231</v>
      </c>
      <c r="L2371" s="31" t="s">
        <v>252</v>
      </c>
      <c r="O2371" s="31" t="s">
        <v>205</v>
      </c>
      <c r="X2371" s="31" t="s">
        <v>452</v>
      </c>
    </row>
    <row r="2372">
      <c r="A2372" s="29">
        <v>45969.514671192126</v>
      </c>
      <c r="B2372" s="30">
        <v>45969.0</v>
      </c>
      <c r="C2372" s="31" t="s">
        <v>7232</v>
      </c>
      <c r="D2372" s="32" t="s">
        <v>7233</v>
      </c>
      <c r="E2372" s="31" t="s">
        <v>43</v>
      </c>
      <c r="F2372" s="31">
        <v>3000000.0</v>
      </c>
      <c r="G2372" s="31" t="s">
        <v>23</v>
      </c>
      <c r="I2372" s="31" t="s">
        <v>229</v>
      </c>
      <c r="J2372" s="31" t="s">
        <v>967</v>
      </c>
      <c r="K2372" s="33" t="s">
        <v>7234</v>
      </c>
      <c r="L2372" s="31" t="s">
        <v>252</v>
      </c>
      <c r="O2372" s="31" t="s">
        <v>257</v>
      </c>
      <c r="P2372" s="31" t="s">
        <v>1555</v>
      </c>
    </row>
    <row r="2373">
      <c r="A2373" s="29">
        <v>45969.55354952546</v>
      </c>
      <c r="B2373" s="30">
        <v>45969.0</v>
      </c>
      <c r="C2373" s="31" t="s">
        <v>7235</v>
      </c>
      <c r="D2373" s="32" t="s">
        <v>7236</v>
      </c>
      <c r="E2373" s="31" t="s">
        <v>228</v>
      </c>
      <c r="F2373" s="31">
        <v>3000000.0</v>
      </c>
      <c r="G2373" s="31" t="s">
        <v>23</v>
      </c>
      <c r="I2373" s="31" t="s">
        <v>229</v>
      </c>
      <c r="J2373" s="31" t="s">
        <v>967</v>
      </c>
      <c r="K2373" s="33" t="s">
        <v>7237</v>
      </c>
      <c r="L2373" s="31" t="s">
        <v>202</v>
      </c>
      <c r="N2373" s="31" t="s">
        <v>871</v>
      </c>
      <c r="Q2373" s="31" t="s">
        <v>872</v>
      </c>
    </row>
    <row r="2374">
      <c r="A2374" s="29">
        <v>45969.56587518519</v>
      </c>
      <c r="B2374" s="30">
        <v>45969.0</v>
      </c>
      <c r="C2374" s="31" t="s">
        <v>7238</v>
      </c>
      <c r="D2374" s="32" t="s">
        <v>7239</v>
      </c>
      <c r="E2374" s="31" t="s">
        <v>199</v>
      </c>
      <c r="F2374" s="31">
        <v>6300000.0</v>
      </c>
      <c r="G2374" s="31" t="s">
        <v>45</v>
      </c>
      <c r="H2374" s="31">
        <v>3000000.0</v>
      </c>
      <c r="I2374" s="31" t="s">
        <v>413</v>
      </c>
      <c r="K2374" s="33" t="s">
        <v>7240</v>
      </c>
      <c r="L2374" s="31" t="s">
        <v>252</v>
      </c>
      <c r="M2374" s="31" t="s">
        <v>5638</v>
      </c>
      <c r="O2374" s="31" t="s">
        <v>205</v>
      </c>
      <c r="X2374" s="31" t="s">
        <v>569</v>
      </c>
    </row>
    <row r="2375">
      <c r="A2375" s="29">
        <v>45969.585054375</v>
      </c>
      <c r="B2375" s="30">
        <v>45969.0</v>
      </c>
      <c r="C2375" s="31" t="s">
        <v>7241</v>
      </c>
      <c r="D2375" s="32" t="s">
        <v>7242</v>
      </c>
      <c r="E2375" s="31" t="s">
        <v>43</v>
      </c>
      <c r="F2375" s="31">
        <v>2300000.0</v>
      </c>
      <c r="G2375" s="31" t="s">
        <v>23</v>
      </c>
      <c r="I2375" s="31" t="s">
        <v>229</v>
      </c>
      <c r="J2375" s="31" t="s">
        <v>967</v>
      </c>
      <c r="K2375" s="33" t="s">
        <v>7243</v>
      </c>
      <c r="L2375" s="31" t="s">
        <v>252</v>
      </c>
      <c r="O2375" s="31" t="s">
        <v>257</v>
      </c>
      <c r="P2375" s="31" t="s">
        <v>2453</v>
      </c>
    </row>
    <row r="2376">
      <c r="A2376" s="29">
        <v>45969.59368740741</v>
      </c>
      <c r="B2376" s="30">
        <v>45969.0</v>
      </c>
      <c r="C2376" s="31" t="s">
        <v>7244</v>
      </c>
      <c r="D2376" s="32" t="s">
        <v>7245</v>
      </c>
      <c r="E2376" s="31" t="s">
        <v>7246</v>
      </c>
      <c r="F2376" s="31">
        <v>5700000.0</v>
      </c>
      <c r="G2376" s="31" t="s">
        <v>23</v>
      </c>
      <c r="I2376" s="31" t="s">
        <v>229</v>
      </c>
      <c r="J2376" s="31" t="s">
        <v>967</v>
      </c>
      <c r="K2376" s="33" t="s">
        <v>7247</v>
      </c>
      <c r="L2376" s="31" t="s">
        <v>202</v>
      </c>
      <c r="N2376" s="31" t="s">
        <v>220</v>
      </c>
      <c r="S2376" s="31" t="s">
        <v>896</v>
      </c>
    </row>
    <row r="2377">
      <c r="A2377" s="29">
        <v>45969.59409028935</v>
      </c>
      <c r="B2377" s="30">
        <v>45969.0</v>
      </c>
      <c r="C2377" s="31" t="s">
        <v>7248</v>
      </c>
      <c r="D2377" s="32" t="s">
        <v>7249</v>
      </c>
      <c r="E2377" s="31" t="s">
        <v>288</v>
      </c>
      <c r="F2377" s="31">
        <v>3000000.0</v>
      </c>
      <c r="G2377" s="31" t="s">
        <v>23</v>
      </c>
      <c r="H2377" s="31">
        <v>3000000.0</v>
      </c>
      <c r="I2377" s="31" t="s">
        <v>413</v>
      </c>
      <c r="K2377" s="33" t="s">
        <v>7250</v>
      </c>
      <c r="L2377" s="31" t="s">
        <v>202</v>
      </c>
      <c r="M2377" s="31" t="s">
        <v>5638</v>
      </c>
      <c r="N2377" s="31" t="s">
        <v>871</v>
      </c>
      <c r="Q2377" s="31" t="s">
        <v>872</v>
      </c>
    </row>
    <row r="2378">
      <c r="A2378" s="29">
        <v>45969.596725868054</v>
      </c>
      <c r="B2378" s="30">
        <v>45969.0</v>
      </c>
      <c r="C2378" s="31" t="s">
        <v>7251</v>
      </c>
      <c r="D2378" s="32" t="s">
        <v>7252</v>
      </c>
      <c r="E2378" s="31" t="s">
        <v>127</v>
      </c>
      <c r="F2378" s="31">
        <v>8000000.0</v>
      </c>
      <c r="G2378" s="31" t="s">
        <v>23</v>
      </c>
      <c r="H2378" s="31">
        <v>3000000.0</v>
      </c>
      <c r="I2378" s="31" t="s">
        <v>200</v>
      </c>
      <c r="K2378" s="33" t="s">
        <v>7253</v>
      </c>
      <c r="L2378" s="31" t="s">
        <v>252</v>
      </c>
      <c r="M2378" s="31" t="s">
        <v>5638</v>
      </c>
      <c r="O2378" s="31" t="s">
        <v>257</v>
      </c>
      <c r="P2378" s="31" t="s">
        <v>258</v>
      </c>
    </row>
    <row r="2379">
      <c r="A2379" s="29">
        <v>45969.598564224536</v>
      </c>
      <c r="B2379" s="30">
        <v>45969.0</v>
      </c>
      <c r="C2379" s="31" t="s">
        <v>7254</v>
      </c>
      <c r="D2379" s="32" t="s">
        <v>7255</v>
      </c>
      <c r="E2379" s="31" t="s">
        <v>31</v>
      </c>
      <c r="F2379" s="31">
        <v>2500000.0</v>
      </c>
      <c r="G2379" s="31" t="s">
        <v>23</v>
      </c>
      <c r="I2379" s="31" t="s">
        <v>229</v>
      </c>
      <c r="J2379" s="31" t="s">
        <v>967</v>
      </c>
      <c r="K2379" s="33" t="s">
        <v>7256</v>
      </c>
      <c r="L2379" s="31" t="s">
        <v>202</v>
      </c>
      <c r="N2379" s="31" t="s">
        <v>871</v>
      </c>
      <c r="Q2379" s="31" t="s">
        <v>1021</v>
      </c>
    </row>
    <row r="2380">
      <c r="A2380" s="29">
        <v>45969.60175969907</v>
      </c>
      <c r="B2380" s="30">
        <v>45969.0</v>
      </c>
      <c r="C2380" s="31" t="s">
        <v>7257</v>
      </c>
      <c r="D2380" s="32" t="s">
        <v>7258</v>
      </c>
      <c r="E2380" s="31" t="s">
        <v>43</v>
      </c>
      <c r="F2380" s="31">
        <v>3000000.0</v>
      </c>
      <c r="G2380" s="31" t="s">
        <v>23</v>
      </c>
      <c r="I2380" s="31" t="s">
        <v>229</v>
      </c>
      <c r="J2380" s="31" t="s">
        <v>967</v>
      </c>
      <c r="K2380" s="33" t="s">
        <v>7259</v>
      </c>
      <c r="L2380" s="31" t="s">
        <v>202</v>
      </c>
      <c r="N2380" s="31" t="s">
        <v>871</v>
      </c>
      <c r="Q2380" s="31" t="s">
        <v>872</v>
      </c>
    </row>
    <row r="2381">
      <c r="A2381" s="29">
        <v>45969.63403851852</v>
      </c>
      <c r="B2381" s="30">
        <v>45969.0</v>
      </c>
      <c r="C2381" s="31" t="s">
        <v>7260</v>
      </c>
      <c r="D2381" s="32" t="s">
        <v>7261</v>
      </c>
      <c r="E2381" s="31" t="s">
        <v>43</v>
      </c>
      <c r="F2381" s="31">
        <v>7000000.0</v>
      </c>
      <c r="G2381" s="31" t="s">
        <v>23</v>
      </c>
      <c r="I2381" s="31" t="s">
        <v>229</v>
      </c>
      <c r="J2381" s="31" t="s">
        <v>967</v>
      </c>
      <c r="K2381" s="33" t="s">
        <v>7262</v>
      </c>
      <c r="L2381" s="31" t="s">
        <v>252</v>
      </c>
      <c r="O2381" s="31" t="s">
        <v>257</v>
      </c>
      <c r="P2381" s="31" t="s">
        <v>258</v>
      </c>
    </row>
    <row r="2382">
      <c r="A2382" s="29">
        <v>45969.65483388889</v>
      </c>
      <c r="B2382" s="30">
        <v>45969.0</v>
      </c>
      <c r="C2382" s="31" t="s">
        <v>7263</v>
      </c>
      <c r="D2382" s="32" t="s">
        <v>7264</v>
      </c>
      <c r="E2382" s="31" t="s">
        <v>31</v>
      </c>
      <c r="F2382" s="31">
        <v>8700000.0</v>
      </c>
      <c r="G2382" s="31" t="s">
        <v>23</v>
      </c>
      <c r="I2382" s="31" t="s">
        <v>229</v>
      </c>
      <c r="J2382" s="31" t="s">
        <v>967</v>
      </c>
      <c r="K2382" s="33" t="s">
        <v>7265</v>
      </c>
      <c r="L2382" s="31" t="s">
        <v>202</v>
      </c>
      <c r="N2382" s="31" t="s">
        <v>667</v>
      </c>
      <c r="U2382" s="31" t="s">
        <v>668</v>
      </c>
    </row>
    <row r="2383">
      <c r="A2383" s="29">
        <v>45969.67121104167</v>
      </c>
      <c r="B2383" s="30">
        <v>45969.0</v>
      </c>
      <c r="C2383" s="31" t="s">
        <v>7266</v>
      </c>
      <c r="D2383" s="32" t="s">
        <v>7267</v>
      </c>
      <c r="E2383" s="31" t="s">
        <v>199</v>
      </c>
      <c r="F2383" s="31">
        <v>3400000.0</v>
      </c>
      <c r="G2383" s="31" t="s">
        <v>23</v>
      </c>
      <c r="H2383" s="31">
        <v>3000000.0</v>
      </c>
      <c r="I2383" s="31" t="s">
        <v>413</v>
      </c>
      <c r="K2383" s="33" t="s">
        <v>7268</v>
      </c>
      <c r="L2383" s="31" t="s">
        <v>202</v>
      </c>
      <c r="M2383" s="31" t="s">
        <v>5638</v>
      </c>
      <c r="N2383" s="31" t="s">
        <v>667</v>
      </c>
      <c r="U2383" s="31" t="s">
        <v>3950</v>
      </c>
    </row>
    <row r="2384">
      <c r="A2384" s="29">
        <v>45969.721215150465</v>
      </c>
      <c r="B2384" s="30">
        <v>45969.0</v>
      </c>
      <c r="C2384" s="31" t="s">
        <v>7269</v>
      </c>
      <c r="D2384" s="32" t="s">
        <v>7270</v>
      </c>
      <c r="E2384" s="31" t="s">
        <v>31</v>
      </c>
      <c r="F2384" s="31">
        <v>2000000.0</v>
      </c>
      <c r="G2384" s="31" t="s">
        <v>23</v>
      </c>
      <c r="I2384" s="31" t="s">
        <v>229</v>
      </c>
      <c r="J2384" s="31" t="s">
        <v>967</v>
      </c>
      <c r="K2384" s="33" t="s">
        <v>7271</v>
      </c>
      <c r="L2384" s="31" t="s">
        <v>202</v>
      </c>
      <c r="N2384" s="31" t="s">
        <v>215</v>
      </c>
      <c r="W2384" s="31" t="s">
        <v>216</v>
      </c>
    </row>
    <row r="2385">
      <c r="A2385" s="29">
        <v>45969.73633435185</v>
      </c>
      <c r="B2385" s="30">
        <v>45969.0</v>
      </c>
      <c r="C2385" s="31" t="s">
        <v>7272</v>
      </c>
      <c r="D2385" s="32" t="s">
        <v>7273</v>
      </c>
      <c r="E2385" s="31" t="s">
        <v>31</v>
      </c>
      <c r="F2385" s="31">
        <v>5999000.0</v>
      </c>
      <c r="G2385" s="31" t="s">
        <v>23</v>
      </c>
      <c r="I2385" s="31" t="s">
        <v>229</v>
      </c>
      <c r="J2385" s="31" t="s">
        <v>967</v>
      </c>
      <c r="K2385" s="33" t="s">
        <v>7274</v>
      </c>
      <c r="L2385" s="31" t="s">
        <v>202</v>
      </c>
      <c r="N2385" s="31" t="s">
        <v>204</v>
      </c>
      <c r="R2385" s="31" t="s">
        <v>207</v>
      </c>
    </row>
    <row r="2386">
      <c r="A2386" s="29">
        <v>45969.73715789352</v>
      </c>
      <c r="B2386" s="30">
        <v>45969.0</v>
      </c>
      <c r="C2386" s="31" t="s">
        <v>7275</v>
      </c>
      <c r="D2386" s="32" t="s">
        <v>7276</v>
      </c>
      <c r="E2386" s="31" t="s">
        <v>31</v>
      </c>
      <c r="F2386" s="31">
        <v>4999000.0</v>
      </c>
      <c r="G2386" s="31" t="s">
        <v>23</v>
      </c>
      <c r="I2386" s="31" t="s">
        <v>229</v>
      </c>
      <c r="J2386" s="31" t="s">
        <v>967</v>
      </c>
      <c r="K2386" s="33" t="s">
        <v>7277</v>
      </c>
      <c r="L2386" s="31" t="s">
        <v>202</v>
      </c>
      <c r="N2386" s="31" t="s">
        <v>204</v>
      </c>
      <c r="R2386" s="31" t="s">
        <v>207</v>
      </c>
    </row>
    <row r="2387">
      <c r="A2387" s="29">
        <v>45969.74011327546</v>
      </c>
      <c r="B2387" s="30">
        <v>45969.0</v>
      </c>
      <c r="C2387" s="31" t="s">
        <v>7278</v>
      </c>
      <c r="D2387" s="31">
        <v>0.0</v>
      </c>
      <c r="E2387" s="31" t="s">
        <v>43</v>
      </c>
      <c r="F2387" s="32" t="s">
        <v>5089</v>
      </c>
      <c r="G2387" s="31" t="s">
        <v>23</v>
      </c>
      <c r="H2387" s="31">
        <v>3000000.0</v>
      </c>
      <c r="I2387" s="31" t="s">
        <v>200</v>
      </c>
      <c r="K2387" s="33" t="s">
        <v>7279</v>
      </c>
      <c r="L2387" s="31" t="s">
        <v>252</v>
      </c>
      <c r="M2387" s="31" t="s">
        <v>5638</v>
      </c>
      <c r="O2387" s="31" t="s">
        <v>257</v>
      </c>
      <c r="P2387" s="31" t="s">
        <v>992</v>
      </c>
    </row>
    <row r="2388">
      <c r="A2388" s="29">
        <v>45969.74086957176</v>
      </c>
      <c r="B2388" s="30">
        <v>45969.0</v>
      </c>
      <c r="C2388" s="31" t="s">
        <v>7280</v>
      </c>
      <c r="D2388" s="32" t="s">
        <v>7281</v>
      </c>
      <c r="E2388" s="31" t="s">
        <v>7282</v>
      </c>
      <c r="F2388" s="31">
        <v>2300000.0</v>
      </c>
      <c r="G2388" s="31" t="s">
        <v>23</v>
      </c>
      <c r="I2388" s="31" t="s">
        <v>229</v>
      </c>
      <c r="J2388" s="31" t="s">
        <v>967</v>
      </c>
      <c r="K2388" s="33" t="s">
        <v>7283</v>
      </c>
      <c r="L2388" s="31" t="s">
        <v>202</v>
      </c>
      <c r="N2388" s="31" t="s">
        <v>220</v>
      </c>
      <c r="S2388" s="31" t="s">
        <v>59</v>
      </c>
    </row>
    <row r="2389">
      <c r="A2389" s="29">
        <v>45969.74271788195</v>
      </c>
      <c r="B2389" s="30">
        <v>45969.0</v>
      </c>
      <c r="C2389" s="31" t="s">
        <v>7284</v>
      </c>
      <c r="D2389" s="31" t="s">
        <v>7285</v>
      </c>
      <c r="E2389" s="31" t="s">
        <v>228</v>
      </c>
      <c r="F2389" s="31">
        <v>2000000.0</v>
      </c>
      <c r="G2389" s="31" t="s">
        <v>23</v>
      </c>
      <c r="I2389" s="31" t="s">
        <v>229</v>
      </c>
      <c r="J2389" s="31" t="s">
        <v>967</v>
      </c>
      <c r="K2389" s="33" t="s">
        <v>7286</v>
      </c>
      <c r="L2389" s="31" t="s">
        <v>202</v>
      </c>
      <c r="N2389" s="31" t="s">
        <v>204</v>
      </c>
      <c r="R2389" s="31" t="s">
        <v>892</v>
      </c>
    </row>
    <row r="2390">
      <c r="A2390" s="29">
        <v>45969.7427853588</v>
      </c>
      <c r="B2390" s="30">
        <v>45969.0</v>
      </c>
      <c r="C2390" s="31" t="s">
        <v>7287</v>
      </c>
      <c r="D2390" s="32" t="s">
        <v>7288</v>
      </c>
      <c r="E2390" s="31" t="s">
        <v>7289</v>
      </c>
      <c r="F2390" s="31">
        <v>2300000.0</v>
      </c>
      <c r="G2390" s="31" t="s">
        <v>23</v>
      </c>
      <c r="I2390" s="31" t="s">
        <v>229</v>
      </c>
      <c r="J2390" s="31" t="s">
        <v>967</v>
      </c>
      <c r="K2390" s="33" t="s">
        <v>7290</v>
      </c>
      <c r="L2390" s="31" t="s">
        <v>202</v>
      </c>
      <c r="N2390" s="31" t="s">
        <v>220</v>
      </c>
      <c r="S2390" s="31" t="s">
        <v>59</v>
      </c>
    </row>
    <row r="2391">
      <c r="A2391" s="29">
        <v>45969.743723437496</v>
      </c>
      <c r="B2391" s="30">
        <v>45969.0</v>
      </c>
      <c r="C2391" s="31" t="s">
        <v>7291</v>
      </c>
      <c r="D2391" s="32" t="s">
        <v>7292</v>
      </c>
      <c r="E2391" s="31" t="s">
        <v>43</v>
      </c>
      <c r="F2391" s="31">
        <v>300000.0</v>
      </c>
      <c r="G2391" s="31" t="s">
        <v>23</v>
      </c>
      <c r="I2391" s="31" t="s">
        <v>229</v>
      </c>
      <c r="J2391" s="31" t="s">
        <v>229</v>
      </c>
      <c r="K2391" s="33" t="s">
        <v>7293</v>
      </c>
      <c r="L2391" s="31" t="s">
        <v>252</v>
      </c>
      <c r="O2391" s="31" t="s">
        <v>205</v>
      </c>
      <c r="X2391" s="31" t="s">
        <v>253</v>
      </c>
    </row>
    <row r="2392">
      <c r="A2392" s="29">
        <v>45969.745428738424</v>
      </c>
      <c r="B2392" s="30">
        <v>45969.0</v>
      </c>
      <c r="C2392" s="31" t="s">
        <v>7294</v>
      </c>
      <c r="D2392" s="32" t="s">
        <v>7295</v>
      </c>
      <c r="E2392" s="31" t="s">
        <v>43</v>
      </c>
      <c r="F2392" s="31">
        <v>4000000.0</v>
      </c>
      <c r="G2392" s="31" t="s">
        <v>45</v>
      </c>
      <c r="H2392" s="31">
        <v>7000000.0</v>
      </c>
      <c r="I2392" s="31" t="s">
        <v>413</v>
      </c>
      <c r="K2392" s="33" t="s">
        <v>7296</v>
      </c>
      <c r="L2392" s="31" t="s">
        <v>202</v>
      </c>
      <c r="M2392" s="31" t="s">
        <v>5638</v>
      </c>
      <c r="N2392" s="31" t="s">
        <v>204</v>
      </c>
      <c r="R2392" s="31" t="s">
        <v>98</v>
      </c>
    </row>
    <row r="2393">
      <c r="A2393" s="29">
        <v>45969.753591886576</v>
      </c>
      <c r="B2393" s="30">
        <v>45969.0</v>
      </c>
      <c r="C2393" s="31" t="s">
        <v>7297</v>
      </c>
      <c r="D2393" s="32" t="s">
        <v>7298</v>
      </c>
      <c r="E2393" s="31" t="s">
        <v>43</v>
      </c>
      <c r="F2393" s="31">
        <v>2700000.0</v>
      </c>
      <c r="G2393" s="31" t="s">
        <v>23</v>
      </c>
      <c r="I2393" s="31" t="s">
        <v>229</v>
      </c>
      <c r="J2393" s="31" t="s">
        <v>967</v>
      </c>
      <c r="K2393" s="33" t="s">
        <v>7299</v>
      </c>
      <c r="L2393" s="31" t="s">
        <v>202</v>
      </c>
      <c r="N2393" s="31" t="s">
        <v>204</v>
      </c>
      <c r="R2393" s="31" t="s">
        <v>148</v>
      </c>
    </row>
    <row r="2394">
      <c r="A2394" s="29">
        <v>45969.77585155093</v>
      </c>
      <c r="B2394" s="30">
        <v>45969.0</v>
      </c>
      <c r="C2394" s="31" t="s">
        <v>7300</v>
      </c>
      <c r="D2394" s="32" t="s">
        <v>7301</v>
      </c>
      <c r="E2394" s="31" t="s">
        <v>156</v>
      </c>
      <c r="F2394" s="31">
        <v>3600000.0</v>
      </c>
      <c r="G2394" s="31" t="s">
        <v>45</v>
      </c>
      <c r="H2394" s="31">
        <v>5000000.0</v>
      </c>
      <c r="I2394" s="31" t="s">
        <v>413</v>
      </c>
      <c r="K2394" s="33" t="s">
        <v>7302</v>
      </c>
      <c r="L2394" s="31" t="s">
        <v>252</v>
      </c>
      <c r="M2394" s="31" t="s">
        <v>605</v>
      </c>
      <c r="O2394" s="31" t="s">
        <v>205</v>
      </c>
      <c r="X2394" s="31" t="s">
        <v>569</v>
      </c>
    </row>
    <row r="2395">
      <c r="A2395" s="29">
        <v>45969.78279186343</v>
      </c>
      <c r="B2395" s="30">
        <v>45969.0</v>
      </c>
      <c r="C2395" s="31" t="s">
        <v>7303</v>
      </c>
      <c r="D2395" s="32" t="s">
        <v>7304</v>
      </c>
      <c r="E2395" s="31" t="s">
        <v>228</v>
      </c>
      <c r="F2395" s="31">
        <v>5500000.0</v>
      </c>
      <c r="G2395" s="31" t="s">
        <v>23</v>
      </c>
      <c r="I2395" s="31" t="s">
        <v>229</v>
      </c>
      <c r="J2395" s="31" t="s">
        <v>967</v>
      </c>
      <c r="K2395" s="33" t="s">
        <v>7305</v>
      </c>
      <c r="L2395" s="31" t="s">
        <v>202</v>
      </c>
      <c r="N2395" s="31" t="s">
        <v>220</v>
      </c>
      <c r="S2395" s="31" t="s">
        <v>1406</v>
      </c>
    </row>
    <row r="2396">
      <c r="A2396" s="29">
        <v>45969.78831142361</v>
      </c>
      <c r="B2396" s="30">
        <v>45969.0</v>
      </c>
      <c r="C2396" s="31" t="s">
        <v>7306</v>
      </c>
      <c r="D2396" s="32" t="s">
        <v>7307</v>
      </c>
      <c r="E2396" s="31" t="s">
        <v>43</v>
      </c>
      <c r="F2396" s="31">
        <v>2000000.0</v>
      </c>
      <c r="G2396" s="31" t="s">
        <v>23</v>
      </c>
      <c r="H2396" s="31">
        <v>7000000.0</v>
      </c>
      <c r="I2396" s="31" t="s">
        <v>413</v>
      </c>
      <c r="K2396" s="33" t="s">
        <v>7308</v>
      </c>
      <c r="L2396" s="31" t="s">
        <v>202</v>
      </c>
      <c r="M2396" s="31" t="s">
        <v>926</v>
      </c>
      <c r="N2396" s="31" t="s">
        <v>215</v>
      </c>
      <c r="W2396" s="31" t="s">
        <v>216</v>
      </c>
    </row>
    <row r="2397">
      <c r="A2397" s="29">
        <v>45969.7970875</v>
      </c>
      <c r="B2397" s="30">
        <v>45969.0</v>
      </c>
      <c r="C2397" s="31" t="s">
        <v>7309</v>
      </c>
      <c r="D2397" s="32" t="s">
        <v>506</v>
      </c>
      <c r="E2397" s="31" t="s">
        <v>43</v>
      </c>
      <c r="F2397" s="31">
        <v>3100000.0</v>
      </c>
      <c r="G2397" s="31" t="s">
        <v>23</v>
      </c>
      <c r="I2397" s="31" t="s">
        <v>229</v>
      </c>
      <c r="J2397" s="31" t="s">
        <v>967</v>
      </c>
      <c r="K2397" s="33" t="s">
        <v>7310</v>
      </c>
      <c r="L2397" s="31" t="s">
        <v>252</v>
      </c>
      <c r="O2397" s="31" t="s">
        <v>205</v>
      </c>
      <c r="X2397" s="31" t="s">
        <v>452</v>
      </c>
    </row>
    <row r="2398">
      <c r="A2398" s="29">
        <v>45969.808237916666</v>
      </c>
      <c r="B2398" s="30">
        <v>45969.0</v>
      </c>
      <c r="C2398" s="31" t="s">
        <v>7311</v>
      </c>
      <c r="D2398" s="32" t="s">
        <v>1460</v>
      </c>
      <c r="E2398" s="31" t="s">
        <v>288</v>
      </c>
      <c r="F2398" s="31">
        <v>2000000.0</v>
      </c>
      <c r="G2398" s="31" t="s">
        <v>23</v>
      </c>
      <c r="I2398" s="31" t="s">
        <v>229</v>
      </c>
      <c r="J2398" s="31" t="s">
        <v>967</v>
      </c>
      <c r="K2398" s="33" t="s">
        <v>7312</v>
      </c>
      <c r="L2398" s="31" t="s">
        <v>202</v>
      </c>
      <c r="N2398" s="31" t="s">
        <v>871</v>
      </c>
      <c r="Q2398" s="31" t="s">
        <v>872</v>
      </c>
    </row>
    <row r="2399">
      <c r="A2399" s="29">
        <v>45969.822955428244</v>
      </c>
      <c r="B2399" s="30">
        <v>45969.0</v>
      </c>
      <c r="C2399" s="31" t="s">
        <v>7313</v>
      </c>
      <c r="D2399" s="32" t="s">
        <v>7314</v>
      </c>
      <c r="E2399" s="31" t="s">
        <v>43</v>
      </c>
      <c r="F2399" s="31">
        <v>50.0</v>
      </c>
      <c r="G2399" s="31" t="s">
        <v>23</v>
      </c>
      <c r="I2399" s="31" t="s">
        <v>229</v>
      </c>
      <c r="J2399" s="31" t="s">
        <v>967</v>
      </c>
      <c r="K2399" s="33" t="s">
        <v>7315</v>
      </c>
      <c r="L2399" s="31" t="s">
        <v>202</v>
      </c>
      <c r="N2399" s="31" t="s">
        <v>313</v>
      </c>
      <c r="T2399" s="31" t="s">
        <v>4272</v>
      </c>
    </row>
    <row r="2400">
      <c r="A2400" s="29">
        <v>45969.8383903125</v>
      </c>
      <c r="B2400" s="30">
        <v>45969.0</v>
      </c>
      <c r="C2400" s="31" t="s">
        <v>7316</v>
      </c>
      <c r="D2400" s="32" t="s">
        <v>7317</v>
      </c>
      <c r="E2400" s="31" t="s">
        <v>261</v>
      </c>
      <c r="F2400" s="31">
        <v>3700000.0</v>
      </c>
      <c r="G2400" s="31" t="s">
        <v>23</v>
      </c>
      <c r="I2400" s="31" t="s">
        <v>229</v>
      </c>
      <c r="J2400" s="31" t="s">
        <v>967</v>
      </c>
      <c r="K2400" s="33" t="s">
        <v>7318</v>
      </c>
      <c r="L2400" s="31" t="s">
        <v>202</v>
      </c>
      <c r="N2400" s="31" t="s">
        <v>220</v>
      </c>
      <c r="S2400" s="31" t="s">
        <v>90</v>
      </c>
    </row>
    <row r="2401">
      <c r="A2401" s="29">
        <v>45969.84068149306</v>
      </c>
      <c r="B2401" s="30">
        <v>45969.0</v>
      </c>
      <c r="C2401" s="31" t="s">
        <v>7319</v>
      </c>
      <c r="D2401" s="32" t="s">
        <v>7320</v>
      </c>
      <c r="E2401" s="31" t="s">
        <v>228</v>
      </c>
      <c r="F2401" s="31">
        <v>9000000.0</v>
      </c>
      <c r="G2401" s="31" t="s">
        <v>23</v>
      </c>
      <c r="I2401" s="31" t="s">
        <v>229</v>
      </c>
      <c r="J2401" s="31" t="s">
        <v>967</v>
      </c>
      <c r="K2401" s="33" t="s">
        <v>7321</v>
      </c>
      <c r="L2401" s="31" t="s">
        <v>252</v>
      </c>
      <c r="O2401" s="31" t="s">
        <v>205</v>
      </c>
      <c r="X2401" s="31" t="s">
        <v>1471</v>
      </c>
    </row>
    <row r="2402">
      <c r="A2402" s="29">
        <v>45969.845712905095</v>
      </c>
      <c r="B2402" s="30">
        <v>45969.0</v>
      </c>
      <c r="C2402" s="31" t="s">
        <v>7322</v>
      </c>
      <c r="D2402" s="32" t="s">
        <v>7323</v>
      </c>
      <c r="E2402" s="31" t="s">
        <v>288</v>
      </c>
      <c r="F2402" s="31">
        <v>5000000.0</v>
      </c>
      <c r="G2402" s="31" t="s">
        <v>23</v>
      </c>
      <c r="I2402" s="31" t="s">
        <v>229</v>
      </c>
      <c r="J2402" s="31" t="s">
        <v>967</v>
      </c>
      <c r="K2402" s="33" t="s">
        <v>7324</v>
      </c>
      <c r="L2402" s="31" t="s">
        <v>202</v>
      </c>
      <c r="N2402" s="31" t="s">
        <v>220</v>
      </c>
      <c r="S2402" s="31" t="s">
        <v>536</v>
      </c>
    </row>
    <row r="2403">
      <c r="A2403" s="29">
        <v>45969.84960109954</v>
      </c>
      <c r="B2403" s="30">
        <v>45969.0</v>
      </c>
      <c r="C2403" s="31" t="s">
        <v>7325</v>
      </c>
      <c r="D2403" s="32" t="s">
        <v>7326</v>
      </c>
      <c r="E2403" s="31" t="s">
        <v>43</v>
      </c>
      <c r="F2403" s="31">
        <v>850000.0</v>
      </c>
      <c r="G2403" s="31" t="s">
        <v>23</v>
      </c>
      <c r="H2403" s="31">
        <v>1.6E7</v>
      </c>
      <c r="I2403" s="31" t="s">
        <v>200</v>
      </c>
      <c r="K2403" s="33" t="s">
        <v>7327</v>
      </c>
      <c r="L2403" s="31" t="s">
        <v>202</v>
      </c>
      <c r="M2403" s="31" t="s">
        <v>5638</v>
      </c>
      <c r="N2403" s="31" t="s">
        <v>220</v>
      </c>
      <c r="S2403" s="31" t="s">
        <v>83</v>
      </c>
    </row>
    <row r="2404">
      <c r="A2404" s="29">
        <v>45969.91021326389</v>
      </c>
      <c r="B2404" s="30">
        <v>45969.0</v>
      </c>
      <c r="C2404" s="31" t="s">
        <v>7328</v>
      </c>
      <c r="D2404" s="32" t="s">
        <v>7329</v>
      </c>
      <c r="E2404" s="31" t="s">
        <v>43</v>
      </c>
      <c r="F2404" s="31">
        <v>4000000.0</v>
      </c>
      <c r="G2404" s="31" t="s">
        <v>23</v>
      </c>
      <c r="I2404" s="31" t="s">
        <v>229</v>
      </c>
      <c r="J2404" s="31" t="s">
        <v>967</v>
      </c>
      <c r="K2404" s="33" t="s">
        <v>7330</v>
      </c>
      <c r="L2404" s="31" t="s">
        <v>202</v>
      </c>
      <c r="N2404" s="31" t="s">
        <v>220</v>
      </c>
      <c r="S2404" s="31" t="s">
        <v>466</v>
      </c>
    </row>
    <row r="2405">
      <c r="A2405" s="29">
        <v>45970.570920474536</v>
      </c>
      <c r="B2405" s="30">
        <v>45970.0</v>
      </c>
      <c r="C2405" s="31" t="s">
        <v>4441</v>
      </c>
      <c r="D2405" s="32" t="s">
        <v>7331</v>
      </c>
      <c r="E2405" s="31" t="s">
        <v>288</v>
      </c>
      <c r="F2405" s="31">
        <v>2100000.0</v>
      </c>
      <c r="G2405" s="31" t="s">
        <v>23</v>
      </c>
      <c r="I2405" s="31" t="s">
        <v>229</v>
      </c>
      <c r="J2405" s="31" t="s">
        <v>967</v>
      </c>
      <c r="K2405" s="33" t="s">
        <v>7332</v>
      </c>
      <c r="L2405" s="31" t="s">
        <v>202</v>
      </c>
      <c r="N2405" s="31" t="s">
        <v>204</v>
      </c>
      <c r="R2405" s="31" t="s">
        <v>148</v>
      </c>
    </row>
    <row r="2406">
      <c r="A2406" s="29">
        <v>45970.571875740745</v>
      </c>
      <c r="B2406" s="30">
        <v>45970.0</v>
      </c>
      <c r="C2406" s="31" t="s">
        <v>7333</v>
      </c>
      <c r="D2406" s="31">
        <v>0.0</v>
      </c>
      <c r="E2406" s="31" t="s">
        <v>43</v>
      </c>
      <c r="F2406" s="32" t="s">
        <v>5089</v>
      </c>
      <c r="G2406" s="31" t="s">
        <v>23</v>
      </c>
      <c r="I2406" s="31" t="s">
        <v>229</v>
      </c>
      <c r="J2406" s="31" t="s">
        <v>967</v>
      </c>
      <c r="K2406" s="33" t="s">
        <v>7334</v>
      </c>
      <c r="L2406" s="31" t="s">
        <v>252</v>
      </c>
      <c r="O2406" s="31" t="s">
        <v>257</v>
      </c>
      <c r="P2406" s="31" t="s">
        <v>992</v>
      </c>
    </row>
    <row r="2407">
      <c r="A2407" s="29">
        <v>45970.587386087966</v>
      </c>
      <c r="B2407" s="30">
        <v>45970.0</v>
      </c>
      <c r="C2407" s="31" t="s">
        <v>7335</v>
      </c>
      <c r="D2407" s="31">
        <v>0.0</v>
      </c>
      <c r="E2407" s="31" t="s">
        <v>239</v>
      </c>
      <c r="F2407" s="31">
        <v>2000000.0</v>
      </c>
      <c r="G2407" s="31" t="s">
        <v>23</v>
      </c>
      <c r="I2407" s="31" t="s">
        <v>229</v>
      </c>
      <c r="J2407" s="31" t="s">
        <v>967</v>
      </c>
      <c r="K2407" s="33" t="s">
        <v>7336</v>
      </c>
      <c r="L2407" s="31" t="s">
        <v>252</v>
      </c>
      <c r="O2407" s="31" t="s">
        <v>257</v>
      </c>
      <c r="P2407" s="31" t="s">
        <v>2320</v>
      </c>
    </row>
    <row r="2408">
      <c r="A2408" s="29">
        <v>45970.59319271991</v>
      </c>
      <c r="B2408" s="30">
        <v>45970.0</v>
      </c>
      <c r="C2408" s="31" t="s">
        <v>7337</v>
      </c>
      <c r="D2408" s="32" t="s">
        <v>7338</v>
      </c>
      <c r="E2408" s="31" t="s">
        <v>31</v>
      </c>
      <c r="F2408" s="31">
        <v>8200000.0</v>
      </c>
      <c r="G2408" s="31" t="s">
        <v>23</v>
      </c>
      <c r="I2408" s="31" t="s">
        <v>229</v>
      </c>
      <c r="J2408" s="31" t="s">
        <v>967</v>
      </c>
      <c r="K2408" s="33" t="s">
        <v>7339</v>
      </c>
      <c r="L2408" s="31" t="s">
        <v>202</v>
      </c>
      <c r="N2408" s="31" t="s">
        <v>313</v>
      </c>
      <c r="T2408" s="31" t="s">
        <v>329</v>
      </c>
    </row>
    <row r="2409">
      <c r="A2409" s="29">
        <v>45970.63602762732</v>
      </c>
      <c r="B2409" s="30">
        <v>45970.0</v>
      </c>
      <c r="C2409" s="31" t="s">
        <v>7340</v>
      </c>
      <c r="D2409" s="32" t="s">
        <v>7341</v>
      </c>
      <c r="E2409" s="31" t="s">
        <v>31</v>
      </c>
      <c r="F2409" s="31">
        <v>6699000.0</v>
      </c>
      <c r="G2409" s="31" t="s">
        <v>23</v>
      </c>
      <c r="I2409" s="31" t="s">
        <v>229</v>
      </c>
      <c r="J2409" s="31" t="s">
        <v>967</v>
      </c>
      <c r="K2409" s="33" t="s">
        <v>7342</v>
      </c>
      <c r="L2409" s="31" t="s">
        <v>202</v>
      </c>
      <c r="N2409" s="31" t="s">
        <v>204</v>
      </c>
      <c r="R2409" s="31" t="s">
        <v>207</v>
      </c>
    </row>
    <row r="2410">
      <c r="A2410" s="29">
        <v>45970.638704375</v>
      </c>
      <c r="B2410" s="30">
        <v>45970.0</v>
      </c>
      <c r="C2410" s="31" t="s">
        <v>7343</v>
      </c>
      <c r="D2410" s="32" t="s">
        <v>7344</v>
      </c>
      <c r="E2410" s="31" t="s">
        <v>31</v>
      </c>
      <c r="F2410" s="31">
        <v>5999000.0</v>
      </c>
      <c r="G2410" s="31" t="s">
        <v>23</v>
      </c>
      <c r="I2410" s="31" t="s">
        <v>229</v>
      </c>
      <c r="J2410" s="31" t="s">
        <v>967</v>
      </c>
      <c r="K2410" s="33" t="s">
        <v>7345</v>
      </c>
      <c r="L2410" s="31" t="s">
        <v>202</v>
      </c>
      <c r="N2410" s="31" t="s">
        <v>204</v>
      </c>
      <c r="R2410" s="31" t="s">
        <v>207</v>
      </c>
    </row>
    <row r="2411">
      <c r="A2411" s="29">
        <v>45970.71002761574</v>
      </c>
      <c r="B2411" s="30">
        <v>45970.0</v>
      </c>
      <c r="C2411" s="31" t="s">
        <v>7346</v>
      </c>
      <c r="D2411" s="32" t="s">
        <v>7347</v>
      </c>
      <c r="E2411" s="31" t="s">
        <v>228</v>
      </c>
      <c r="F2411" s="31">
        <v>1800000.0</v>
      </c>
      <c r="G2411" s="31" t="s">
        <v>23</v>
      </c>
      <c r="I2411" s="31" t="s">
        <v>229</v>
      </c>
      <c r="J2411" s="31" t="s">
        <v>967</v>
      </c>
      <c r="K2411" s="33" t="s">
        <v>7348</v>
      </c>
      <c r="L2411" s="31" t="s">
        <v>202</v>
      </c>
      <c r="N2411" s="31" t="s">
        <v>204</v>
      </c>
      <c r="R2411" s="31" t="s">
        <v>148</v>
      </c>
    </row>
    <row r="2412">
      <c r="A2412" s="29">
        <v>45970.73080350694</v>
      </c>
      <c r="B2412" s="30">
        <v>45970.0</v>
      </c>
      <c r="C2412" s="31" t="s">
        <v>7349</v>
      </c>
      <c r="D2412" s="32" t="s">
        <v>7350</v>
      </c>
      <c r="E2412" s="31" t="s">
        <v>31</v>
      </c>
      <c r="F2412" s="31">
        <v>3000000.0</v>
      </c>
      <c r="G2412" s="31" t="s">
        <v>23</v>
      </c>
      <c r="I2412" s="31" t="s">
        <v>229</v>
      </c>
      <c r="J2412" s="31" t="s">
        <v>967</v>
      </c>
      <c r="K2412" s="33" t="s">
        <v>7351</v>
      </c>
      <c r="L2412" s="31" t="s">
        <v>202</v>
      </c>
      <c r="N2412" s="31" t="s">
        <v>215</v>
      </c>
      <c r="W2412" s="31" t="s">
        <v>216</v>
      </c>
    </row>
    <row r="2413">
      <c r="A2413" s="29">
        <v>45970.745461956016</v>
      </c>
      <c r="B2413" s="30">
        <v>45970.0</v>
      </c>
      <c r="C2413" s="31" t="s">
        <v>7352</v>
      </c>
      <c r="D2413" s="32" t="s">
        <v>7353</v>
      </c>
      <c r="E2413" s="31" t="s">
        <v>283</v>
      </c>
      <c r="F2413" s="31">
        <v>7000000.0</v>
      </c>
      <c r="G2413" s="31" t="s">
        <v>23</v>
      </c>
      <c r="I2413" s="31" t="s">
        <v>229</v>
      </c>
      <c r="J2413" s="31" t="s">
        <v>165</v>
      </c>
      <c r="K2413" s="33" t="s">
        <v>7354</v>
      </c>
      <c r="L2413" s="31" t="s">
        <v>252</v>
      </c>
      <c r="O2413" s="31" t="s">
        <v>257</v>
      </c>
      <c r="P2413" s="31" t="s">
        <v>272</v>
      </c>
    </row>
    <row r="2414">
      <c r="A2414" s="29">
        <v>45970.76018521991</v>
      </c>
      <c r="B2414" s="30">
        <v>45970.0</v>
      </c>
      <c r="C2414" s="31" t="s">
        <v>7355</v>
      </c>
      <c r="D2414" s="32" t="s">
        <v>7356</v>
      </c>
      <c r="E2414" s="31" t="s">
        <v>31</v>
      </c>
      <c r="F2414" s="31">
        <v>1500000.0</v>
      </c>
      <c r="G2414" s="31" t="s">
        <v>23</v>
      </c>
      <c r="I2414" s="31" t="s">
        <v>229</v>
      </c>
      <c r="J2414" s="31" t="s">
        <v>967</v>
      </c>
      <c r="K2414" s="33" t="s">
        <v>7357</v>
      </c>
      <c r="L2414" s="31" t="s">
        <v>202</v>
      </c>
      <c r="N2414" s="31" t="s">
        <v>215</v>
      </c>
      <c r="W2414" s="31" t="s">
        <v>216</v>
      </c>
    </row>
    <row r="2415">
      <c r="A2415" s="29">
        <v>45970.76162077546</v>
      </c>
      <c r="B2415" s="30">
        <v>45970.0</v>
      </c>
      <c r="C2415" s="31" t="s">
        <v>7358</v>
      </c>
      <c r="D2415" s="32" t="s">
        <v>7359</v>
      </c>
      <c r="E2415" s="31" t="s">
        <v>199</v>
      </c>
      <c r="F2415" s="31">
        <v>3000000.0</v>
      </c>
      <c r="G2415" s="31" t="s">
        <v>23</v>
      </c>
      <c r="I2415" s="31" t="s">
        <v>229</v>
      </c>
      <c r="J2415" s="31" t="s">
        <v>165</v>
      </c>
      <c r="K2415" s="33" t="s">
        <v>7360</v>
      </c>
      <c r="L2415" s="31" t="s">
        <v>202</v>
      </c>
      <c r="N2415" s="31" t="s">
        <v>215</v>
      </c>
      <c r="W2415" s="31" t="s">
        <v>216</v>
      </c>
    </row>
    <row r="2416">
      <c r="A2416" s="29">
        <v>45970.76228592593</v>
      </c>
      <c r="B2416" s="30">
        <v>45970.0</v>
      </c>
      <c r="C2416" s="31" t="s">
        <v>7361</v>
      </c>
      <c r="D2416" s="32" t="s">
        <v>7362</v>
      </c>
      <c r="E2416" s="31" t="s">
        <v>228</v>
      </c>
      <c r="F2416" s="31">
        <v>1875000.0</v>
      </c>
      <c r="G2416" s="31" t="s">
        <v>23</v>
      </c>
      <c r="I2416" s="31" t="s">
        <v>229</v>
      </c>
      <c r="J2416" s="31" t="s">
        <v>967</v>
      </c>
      <c r="K2416" s="33" t="s">
        <v>7363</v>
      </c>
      <c r="L2416" s="31" t="s">
        <v>202</v>
      </c>
      <c r="N2416" s="31" t="s">
        <v>204</v>
      </c>
      <c r="R2416" s="31" t="s">
        <v>148</v>
      </c>
    </row>
    <row r="2417">
      <c r="A2417" s="29">
        <v>45970.85021525463</v>
      </c>
      <c r="B2417" s="30">
        <v>45970.0</v>
      </c>
      <c r="C2417" s="31" t="s">
        <v>7364</v>
      </c>
      <c r="D2417" s="32" t="s">
        <v>7365</v>
      </c>
      <c r="E2417" s="31" t="s">
        <v>31</v>
      </c>
      <c r="F2417" s="31">
        <v>3000000.0</v>
      </c>
      <c r="G2417" s="31" t="s">
        <v>23</v>
      </c>
      <c r="H2417" s="31">
        <v>3000000.0</v>
      </c>
      <c r="I2417" s="31" t="s">
        <v>200</v>
      </c>
      <c r="K2417" s="33" t="s">
        <v>7366</v>
      </c>
      <c r="L2417" s="31" t="s">
        <v>202</v>
      </c>
      <c r="M2417" s="31" t="s">
        <v>5638</v>
      </c>
      <c r="N2417" s="31" t="s">
        <v>215</v>
      </c>
      <c r="W2417" s="31" t="s">
        <v>216</v>
      </c>
    </row>
    <row r="2418">
      <c r="A2418" s="29">
        <v>45970.87113075232</v>
      </c>
      <c r="B2418" s="30">
        <v>45970.0</v>
      </c>
      <c r="C2418" s="31" t="s">
        <v>7367</v>
      </c>
      <c r="D2418" s="32" t="s">
        <v>7368</v>
      </c>
      <c r="E2418" s="31" t="s">
        <v>228</v>
      </c>
      <c r="F2418" s="31">
        <v>6300000.0</v>
      </c>
      <c r="G2418" s="31" t="s">
        <v>23</v>
      </c>
      <c r="H2418" s="31">
        <v>7000000.0</v>
      </c>
      <c r="I2418" s="31" t="s">
        <v>200</v>
      </c>
      <c r="K2418" s="33" t="s">
        <v>7369</v>
      </c>
      <c r="L2418" s="31" t="s">
        <v>202</v>
      </c>
      <c r="M2418" s="31" t="s">
        <v>5638</v>
      </c>
      <c r="N2418" s="31" t="s">
        <v>204</v>
      </c>
      <c r="R2418" s="31" t="s">
        <v>148</v>
      </c>
    </row>
    <row r="2419">
      <c r="A2419" s="29">
        <v>45970.87854800926</v>
      </c>
      <c r="B2419" s="30">
        <v>45970.0</v>
      </c>
      <c r="C2419" s="31" t="s">
        <v>7370</v>
      </c>
      <c r="D2419" s="31">
        <v>8.5272123094E10</v>
      </c>
      <c r="E2419" s="31" t="s">
        <v>261</v>
      </c>
      <c r="F2419" s="31">
        <v>4500000.0</v>
      </c>
      <c r="G2419" s="31" t="s">
        <v>23</v>
      </c>
      <c r="I2419" s="31" t="s">
        <v>229</v>
      </c>
      <c r="J2419" s="31" t="s">
        <v>967</v>
      </c>
      <c r="K2419" s="33" t="s">
        <v>7371</v>
      </c>
      <c r="L2419" s="31" t="s">
        <v>202</v>
      </c>
      <c r="N2419" s="31" t="s">
        <v>220</v>
      </c>
      <c r="S2419" s="31" t="s">
        <v>90</v>
      </c>
    </row>
    <row r="2420">
      <c r="A2420" s="29">
        <v>45970.950903564815</v>
      </c>
      <c r="B2420" s="30">
        <v>45970.0</v>
      </c>
      <c r="C2420" s="31" t="s">
        <v>7372</v>
      </c>
      <c r="D2420" s="32" t="s">
        <v>7373</v>
      </c>
      <c r="E2420" s="31" t="s">
        <v>31</v>
      </c>
      <c r="F2420" s="31">
        <v>8300000.0</v>
      </c>
      <c r="G2420" s="31" t="s">
        <v>23</v>
      </c>
      <c r="H2420" s="31">
        <v>5000000.0</v>
      </c>
      <c r="I2420" s="31" t="s">
        <v>413</v>
      </c>
      <c r="K2420" s="33" t="s">
        <v>7374</v>
      </c>
      <c r="L2420" s="31" t="s">
        <v>202</v>
      </c>
      <c r="M2420" s="31" t="s">
        <v>5638</v>
      </c>
      <c r="N2420" s="31" t="s">
        <v>313</v>
      </c>
      <c r="T2420" s="31" t="s">
        <v>329</v>
      </c>
    </row>
    <row r="2421">
      <c r="A2421" s="29">
        <v>45971.40634148148</v>
      </c>
      <c r="B2421" s="30">
        <v>45970.0</v>
      </c>
      <c r="C2421" s="31" t="s">
        <v>7375</v>
      </c>
      <c r="D2421" s="32" t="s">
        <v>7376</v>
      </c>
      <c r="E2421" s="31" t="s">
        <v>283</v>
      </c>
      <c r="F2421" s="31">
        <v>4800000.0</v>
      </c>
      <c r="G2421" s="31" t="s">
        <v>23</v>
      </c>
      <c r="I2421" s="31" t="s">
        <v>229</v>
      </c>
      <c r="J2421" s="31" t="s">
        <v>967</v>
      </c>
      <c r="K2421" s="33" t="s">
        <v>7377</v>
      </c>
      <c r="L2421" s="31" t="s">
        <v>252</v>
      </c>
      <c r="O2421" s="31" t="s">
        <v>257</v>
      </c>
      <c r="P2421" s="31" t="s">
        <v>272</v>
      </c>
    </row>
    <row r="2422">
      <c r="A2422" s="29">
        <v>45971.408916203705</v>
      </c>
      <c r="B2422" s="30">
        <v>45971.0</v>
      </c>
      <c r="C2422" s="31" t="s">
        <v>7378</v>
      </c>
      <c r="D2422" s="32" t="s">
        <v>7379</v>
      </c>
      <c r="E2422" s="31" t="s">
        <v>43</v>
      </c>
      <c r="F2422" s="31">
        <v>3000000.0</v>
      </c>
      <c r="G2422" s="31" t="s">
        <v>23</v>
      </c>
      <c r="I2422" s="31" t="s">
        <v>229</v>
      </c>
      <c r="J2422" s="31" t="s">
        <v>967</v>
      </c>
      <c r="K2422" s="33" t="s">
        <v>7380</v>
      </c>
      <c r="L2422" s="31" t="s">
        <v>202</v>
      </c>
      <c r="N2422" s="31" t="s">
        <v>871</v>
      </c>
      <c r="Q2422" s="31" t="s">
        <v>872</v>
      </c>
    </row>
    <row r="2423">
      <c r="A2423" s="29">
        <v>45971.41075285879</v>
      </c>
      <c r="B2423" s="30">
        <v>45971.0</v>
      </c>
      <c r="C2423" s="31" t="s">
        <v>7381</v>
      </c>
      <c r="D2423" s="32" t="s">
        <v>7382</v>
      </c>
      <c r="E2423" s="31" t="s">
        <v>43</v>
      </c>
      <c r="F2423" s="31">
        <v>3000000.0</v>
      </c>
      <c r="G2423" s="31" t="s">
        <v>23</v>
      </c>
      <c r="I2423" s="31" t="s">
        <v>229</v>
      </c>
      <c r="J2423" s="31" t="s">
        <v>967</v>
      </c>
      <c r="K2423" s="33" t="s">
        <v>7383</v>
      </c>
      <c r="L2423" s="31" t="s">
        <v>202</v>
      </c>
      <c r="N2423" s="31" t="s">
        <v>871</v>
      </c>
      <c r="Q2423" s="31" t="s">
        <v>872</v>
      </c>
    </row>
    <row r="2424">
      <c r="A2424" s="29">
        <v>45971.41489046296</v>
      </c>
      <c r="B2424" s="30">
        <v>45971.0</v>
      </c>
      <c r="C2424" s="31" t="s">
        <v>7384</v>
      </c>
      <c r="D2424" s="32" t="s">
        <v>7385</v>
      </c>
      <c r="E2424" s="31" t="s">
        <v>199</v>
      </c>
      <c r="F2424" s="31">
        <v>400000.0</v>
      </c>
      <c r="G2424" s="31" t="s">
        <v>23</v>
      </c>
      <c r="I2424" s="31" t="s">
        <v>229</v>
      </c>
      <c r="J2424" s="31" t="s">
        <v>498</v>
      </c>
      <c r="K2424" s="33" t="s">
        <v>7386</v>
      </c>
      <c r="L2424" s="31" t="s">
        <v>202</v>
      </c>
      <c r="N2424" s="31" t="s">
        <v>500</v>
      </c>
      <c r="V2424" s="31" t="s">
        <v>501</v>
      </c>
    </row>
    <row r="2425">
      <c r="A2425" s="29">
        <v>45971.41773248842</v>
      </c>
      <c r="B2425" s="30">
        <v>45971.0</v>
      </c>
      <c r="C2425" s="31" t="s">
        <v>7387</v>
      </c>
      <c r="D2425" s="32" t="s">
        <v>7388</v>
      </c>
      <c r="E2425" s="31" t="s">
        <v>288</v>
      </c>
      <c r="F2425" s="31">
        <v>1000000.0</v>
      </c>
      <c r="G2425" s="31" t="s">
        <v>23</v>
      </c>
      <c r="I2425" s="31" t="s">
        <v>229</v>
      </c>
      <c r="J2425" s="31" t="s">
        <v>165</v>
      </c>
      <c r="K2425" s="33" t="s">
        <v>7389</v>
      </c>
      <c r="L2425" s="31" t="s">
        <v>202</v>
      </c>
      <c r="N2425" s="31" t="s">
        <v>215</v>
      </c>
      <c r="W2425" s="31" t="s">
        <v>216</v>
      </c>
    </row>
    <row r="2426">
      <c r="A2426" s="29">
        <v>45971.436216319446</v>
      </c>
      <c r="B2426" s="30">
        <v>45971.0</v>
      </c>
      <c r="C2426" s="31" t="s">
        <v>7390</v>
      </c>
      <c r="D2426" s="32" t="s">
        <v>7391</v>
      </c>
      <c r="E2426" s="31" t="s">
        <v>43</v>
      </c>
      <c r="F2426" s="31">
        <v>2900000.0</v>
      </c>
      <c r="G2426" s="31" t="s">
        <v>23</v>
      </c>
      <c r="H2426" s="31">
        <v>3000000.0</v>
      </c>
      <c r="I2426" s="31" t="s">
        <v>413</v>
      </c>
      <c r="K2426" s="33" t="s">
        <v>7392</v>
      </c>
      <c r="L2426" s="31" t="s">
        <v>202</v>
      </c>
      <c r="M2426" s="31" t="s">
        <v>5638</v>
      </c>
      <c r="N2426" s="31" t="s">
        <v>871</v>
      </c>
      <c r="Q2426" s="31" t="s">
        <v>1021</v>
      </c>
    </row>
    <row r="2427">
      <c r="A2427" s="29">
        <v>45971.44729991898</v>
      </c>
      <c r="B2427" s="30">
        <v>45971.0</v>
      </c>
      <c r="C2427" s="31" t="s">
        <v>7393</v>
      </c>
      <c r="D2427" s="32" t="s">
        <v>7394</v>
      </c>
      <c r="E2427" s="31" t="s">
        <v>43</v>
      </c>
      <c r="F2427" s="31">
        <v>3000000.0</v>
      </c>
      <c r="G2427" s="31" t="s">
        <v>23</v>
      </c>
      <c r="H2427" s="31">
        <v>3000000.0</v>
      </c>
      <c r="I2427" s="31" t="s">
        <v>200</v>
      </c>
      <c r="K2427" s="33" t="s">
        <v>7395</v>
      </c>
      <c r="L2427" s="31" t="s">
        <v>252</v>
      </c>
      <c r="M2427" s="31" t="s">
        <v>5638</v>
      </c>
      <c r="O2427" s="31" t="s">
        <v>205</v>
      </c>
      <c r="X2427" s="31" t="s">
        <v>2335</v>
      </c>
    </row>
    <row r="2428">
      <c r="A2428" s="29">
        <v>45971.44787375</v>
      </c>
      <c r="B2428" s="30">
        <v>45971.0</v>
      </c>
      <c r="C2428" s="31" t="s">
        <v>7396</v>
      </c>
      <c r="D2428" s="32" t="s">
        <v>7397</v>
      </c>
      <c r="E2428" s="31" t="s">
        <v>2315</v>
      </c>
      <c r="F2428" s="31">
        <v>2400000.0</v>
      </c>
      <c r="G2428" s="31" t="s">
        <v>23</v>
      </c>
      <c r="I2428" s="31" t="s">
        <v>229</v>
      </c>
      <c r="J2428" s="31" t="s">
        <v>967</v>
      </c>
      <c r="K2428" s="33" t="s">
        <v>7398</v>
      </c>
      <c r="L2428" s="31" t="s">
        <v>202</v>
      </c>
      <c r="N2428" s="31" t="s">
        <v>667</v>
      </c>
      <c r="U2428" s="31" t="s">
        <v>3950</v>
      </c>
    </row>
    <row r="2429">
      <c r="A2429" s="29">
        <v>45971.451083576394</v>
      </c>
      <c r="B2429" s="30">
        <v>45971.0</v>
      </c>
      <c r="C2429" s="31" t="s">
        <v>4940</v>
      </c>
      <c r="D2429" s="32" t="s">
        <v>4941</v>
      </c>
      <c r="E2429" s="31" t="s">
        <v>199</v>
      </c>
      <c r="F2429" s="31">
        <v>3800000.0</v>
      </c>
      <c r="G2429" s="31" t="s">
        <v>23</v>
      </c>
      <c r="I2429" s="31" t="s">
        <v>229</v>
      </c>
      <c r="J2429" s="31" t="s">
        <v>967</v>
      </c>
      <c r="K2429" s="33" t="s">
        <v>7399</v>
      </c>
      <c r="L2429" s="31" t="s">
        <v>202</v>
      </c>
      <c r="N2429" s="31" t="s">
        <v>667</v>
      </c>
      <c r="U2429" s="31" t="s">
        <v>3950</v>
      </c>
    </row>
    <row r="2430">
      <c r="A2430" s="29">
        <v>45971.48088079861</v>
      </c>
      <c r="B2430" s="30">
        <v>45971.0</v>
      </c>
      <c r="C2430" s="31" t="s">
        <v>7400</v>
      </c>
      <c r="D2430" s="32" t="s">
        <v>7401</v>
      </c>
      <c r="E2430" s="31" t="s">
        <v>199</v>
      </c>
      <c r="F2430" s="34">
        <v>4700.0</v>
      </c>
      <c r="G2430" s="31" t="s">
        <v>45</v>
      </c>
      <c r="H2430" s="34">
        <v>3000.0</v>
      </c>
      <c r="I2430" s="31" t="s">
        <v>200</v>
      </c>
      <c r="K2430" s="33" t="s">
        <v>7402</v>
      </c>
      <c r="L2430" s="31" t="s">
        <v>202</v>
      </c>
      <c r="M2430" s="31" t="s">
        <v>5638</v>
      </c>
      <c r="N2430" s="31" t="s">
        <v>871</v>
      </c>
      <c r="Q2430" s="31" t="s">
        <v>2403</v>
      </c>
    </row>
    <row r="2431">
      <c r="A2431" s="29">
        <v>45971.489798055554</v>
      </c>
      <c r="B2431" s="30">
        <v>45971.0</v>
      </c>
      <c r="C2431" s="31" t="s">
        <v>7403</v>
      </c>
      <c r="D2431" s="32" t="s">
        <v>7404</v>
      </c>
      <c r="E2431" s="31" t="s">
        <v>7405</v>
      </c>
      <c r="F2431" s="31">
        <v>2.06E9</v>
      </c>
      <c r="G2431" s="31" t="s">
        <v>23</v>
      </c>
      <c r="H2431" s="31">
        <v>3000000.0</v>
      </c>
      <c r="I2431" s="31" t="s">
        <v>200</v>
      </c>
      <c r="K2431" s="33" t="s">
        <v>7406</v>
      </c>
      <c r="L2431" s="31" t="s">
        <v>202</v>
      </c>
      <c r="M2431" s="31" t="s">
        <v>203</v>
      </c>
      <c r="N2431" s="31" t="s">
        <v>500</v>
      </c>
      <c r="V2431" s="31" t="s">
        <v>6597</v>
      </c>
    </row>
    <row r="2432">
      <c r="A2432" s="29">
        <v>45971.49133609954</v>
      </c>
      <c r="B2432" s="30">
        <v>45971.0</v>
      </c>
      <c r="C2432" s="31" t="s">
        <v>7407</v>
      </c>
      <c r="D2432" s="32" t="s">
        <v>7408</v>
      </c>
      <c r="E2432" s="31" t="s">
        <v>239</v>
      </c>
      <c r="F2432" s="31">
        <v>3000000.0</v>
      </c>
      <c r="G2432" s="31" t="s">
        <v>23</v>
      </c>
      <c r="H2432" s="31">
        <v>3000000.0</v>
      </c>
      <c r="I2432" s="31" t="s">
        <v>200</v>
      </c>
      <c r="K2432" s="33" t="s">
        <v>7409</v>
      </c>
      <c r="L2432" s="31" t="s">
        <v>202</v>
      </c>
      <c r="M2432" s="31" t="s">
        <v>5638</v>
      </c>
      <c r="N2432" s="31" t="s">
        <v>871</v>
      </c>
      <c r="Q2432" s="31" t="s">
        <v>872</v>
      </c>
    </row>
    <row r="2433">
      <c r="A2433" s="29">
        <v>45971.49348900463</v>
      </c>
      <c r="B2433" s="30">
        <v>45971.0</v>
      </c>
      <c r="C2433" s="31" t="s">
        <v>7410</v>
      </c>
      <c r="D2433" s="32" t="s">
        <v>7411</v>
      </c>
      <c r="E2433" s="31" t="s">
        <v>31</v>
      </c>
      <c r="F2433" s="31">
        <v>5999000.0</v>
      </c>
      <c r="G2433" s="31" t="s">
        <v>23</v>
      </c>
      <c r="I2433" s="31" t="s">
        <v>229</v>
      </c>
      <c r="J2433" s="31" t="s">
        <v>967</v>
      </c>
      <c r="K2433" s="33" t="s">
        <v>7412</v>
      </c>
      <c r="L2433" s="31" t="s">
        <v>202</v>
      </c>
      <c r="N2433" s="31" t="s">
        <v>204</v>
      </c>
      <c r="R2433" s="31" t="s">
        <v>207</v>
      </c>
    </row>
    <row r="2434">
      <c r="A2434" s="29">
        <v>45971.49371224537</v>
      </c>
      <c r="B2434" s="30">
        <v>45971.0</v>
      </c>
      <c r="C2434" s="31" t="s">
        <v>7413</v>
      </c>
      <c r="D2434" s="32" t="s">
        <v>7414</v>
      </c>
      <c r="E2434" s="31" t="s">
        <v>43</v>
      </c>
      <c r="F2434" s="31">
        <v>2000000.0</v>
      </c>
      <c r="G2434" s="31" t="s">
        <v>23</v>
      </c>
      <c r="I2434" s="31" t="s">
        <v>229</v>
      </c>
      <c r="J2434" s="31" t="s">
        <v>967</v>
      </c>
      <c r="K2434" s="33" t="s">
        <v>7415</v>
      </c>
      <c r="L2434" s="31" t="s">
        <v>202</v>
      </c>
      <c r="N2434" s="31" t="s">
        <v>204</v>
      </c>
      <c r="R2434" s="31" t="s">
        <v>5256</v>
      </c>
    </row>
    <row r="2435">
      <c r="A2435" s="29">
        <v>45971.494735555556</v>
      </c>
      <c r="B2435" s="30">
        <v>45971.0</v>
      </c>
      <c r="C2435" s="31" t="s">
        <v>7416</v>
      </c>
      <c r="D2435" s="32" t="s">
        <v>7417</v>
      </c>
      <c r="E2435" s="31" t="s">
        <v>31</v>
      </c>
      <c r="F2435" s="31">
        <v>5999000.0</v>
      </c>
      <c r="G2435" s="31" t="s">
        <v>45</v>
      </c>
      <c r="H2435" s="31">
        <v>3000000.0</v>
      </c>
      <c r="I2435" s="31" t="s">
        <v>413</v>
      </c>
      <c r="K2435" s="33" t="s">
        <v>7418</v>
      </c>
      <c r="L2435" s="31" t="s">
        <v>202</v>
      </c>
      <c r="M2435" s="31" t="s">
        <v>203</v>
      </c>
      <c r="N2435" s="31" t="s">
        <v>204</v>
      </c>
      <c r="R2435" s="31" t="s">
        <v>207</v>
      </c>
    </row>
    <row r="2436">
      <c r="A2436" s="29">
        <v>45971.49532765047</v>
      </c>
      <c r="B2436" s="30">
        <v>45971.0</v>
      </c>
      <c r="C2436" s="31" t="s">
        <v>7419</v>
      </c>
      <c r="D2436" s="32" t="s">
        <v>7420</v>
      </c>
      <c r="E2436" s="31" t="s">
        <v>335</v>
      </c>
      <c r="F2436" s="34">
        <v>5700.0</v>
      </c>
      <c r="G2436" s="31" t="s">
        <v>23</v>
      </c>
      <c r="I2436" s="31" t="s">
        <v>229</v>
      </c>
      <c r="J2436" s="31" t="s">
        <v>967</v>
      </c>
      <c r="K2436" s="33" t="s">
        <v>7421</v>
      </c>
      <c r="L2436" s="31" t="s">
        <v>202</v>
      </c>
      <c r="N2436" s="31" t="s">
        <v>871</v>
      </c>
      <c r="Q2436" s="31" t="s">
        <v>2403</v>
      </c>
    </row>
    <row r="2437">
      <c r="A2437" s="29">
        <v>45971.49826763889</v>
      </c>
      <c r="B2437" s="30">
        <v>45967.0</v>
      </c>
      <c r="C2437" s="31" t="s">
        <v>7422</v>
      </c>
      <c r="D2437" s="31">
        <v>8.247889297E9</v>
      </c>
      <c r="E2437" s="31" t="s">
        <v>24</v>
      </c>
      <c r="F2437" s="31">
        <v>1000000.0</v>
      </c>
      <c r="G2437" s="31" t="s">
        <v>23</v>
      </c>
      <c r="I2437" s="31" t="s">
        <v>229</v>
      </c>
      <c r="J2437" s="31" t="s">
        <v>967</v>
      </c>
      <c r="K2437" s="33" t="s">
        <v>7423</v>
      </c>
      <c r="L2437" s="31" t="s">
        <v>202</v>
      </c>
      <c r="N2437" s="31" t="s">
        <v>871</v>
      </c>
      <c r="Q2437" s="31" t="s">
        <v>7424</v>
      </c>
    </row>
    <row r="2438">
      <c r="A2438" s="29">
        <v>45971.50386133102</v>
      </c>
      <c r="B2438" s="30">
        <v>45971.0</v>
      </c>
      <c r="C2438" s="31" t="s">
        <v>7425</v>
      </c>
      <c r="D2438" s="32" t="s">
        <v>7426</v>
      </c>
      <c r="E2438" s="31" t="s">
        <v>7427</v>
      </c>
      <c r="F2438" s="31">
        <v>2600000.0</v>
      </c>
      <c r="G2438" s="31" t="s">
        <v>23</v>
      </c>
      <c r="I2438" s="31" t="s">
        <v>229</v>
      </c>
      <c r="J2438" s="31" t="s">
        <v>967</v>
      </c>
      <c r="K2438" s="33" t="s">
        <v>7428</v>
      </c>
      <c r="L2438" s="31" t="s">
        <v>202</v>
      </c>
      <c r="N2438" s="31" t="s">
        <v>871</v>
      </c>
      <c r="Q2438" s="31" t="s">
        <v>7424</v>
      </c>
    </row>
    <row r="2439">
      <c r="A2439" s="29">
        <v>45971.50451917824</v>
      </c>
      <c r="B2439" s="30">
        <v>45971.0</v>
      </c>
      <c r="C2439" s="31" t="s">
        <v>7429</v>
      </c>
      <c r="D2439" s="32" t="s">
        <v>7430</v>
      </c>
      <c r="E2439" s="31" t="s">
        <v>239</v>
      </c>
      <c r="F2439" s="31">
        <v>3000000.0</v>
      </c>
      <c r="G2439" s="31" t="s">
        <v>23</v>
      </c>
      <c r="I2439" s="31" t="s">
        <v>229</v>
      </c>
      <c r="J2439" s="31" t="s">
        <v>967</v>
      </c>
      <c r="K2439" s="33" t="s">
        <v>7431</v>
      </c>
      <c r="L2439" s="31" t="s">
        <v>202</v>
      </c>
      <c r="N2439" s="31" t="s">
        <v>313</v>
      </c>
      <c r="T2439" s="31" t="s">
        <v>384</v>
      </c>
    </row>
    <row r="2440">
      <c r="A2440" s="29">
        <v>45971.508876238426</v>
      </c>
      <c r="B2440" s="30">
        <v>45971.0</v>
      </c>
      <c r="C2440" s="31" t="s">
        <v>7432</v>
      </c>
      <c r="D2440" s="32" t="s">
        <v>7433</v>
      </c>
      <c r="E2440" s="31" t="s">
        <v>4351</v>
      </c>
      <c r="F2440" s="31">
        <v>3000000.0</v>
      </c>
      <c r="G2440" s="31" t="s">
        <v>23</v>
      </c>
      <c r="I2440" s="31" t="s">
        <v>229</v>
      </c>
      <c r="J2440" s="31" t="s">
        <v>967</v>
      </c>
      <c r="K2440" s="33" t="s">
        <v>7434</v>
      </c>
      <c r="L2440" s="31" t="s">
        <v>202</v>
      </c>
      <c r="N2440" s="31" t="s">
        <v>313</v>
      </c>
      <c r="T2440" s="31" t="s">
        <v>384</v>
      </c>
    </row>
    <row r="2441">
      <c r="A2441" s="29">
        <v>45971.50971518518</v>
      </c>
      <c r="B2441" s="30">
        <v>45971.0</v>
      </c>
      <c r="C2441" s="31" t="s">
        <v>7435</v>
      </c>
      <c r="D2441" s="32" t="s">
        <v>4253</v>
      </c>
      <c r="E2441" s="31" t="s">
        <v>43</v>
      </c>
      <c r="F2441" s="31">
        <v>2500000.0</v>
      </c>
      <c r="G2441" s="31" t="s">
        <v>23</v>
      </c>
      <c r="I2441" s="31" t="s">
        <v>229</v>
      </c>
      <c r="J2441" s="31" t="s">
        <v>967</v>
      </c>
      <c r="K2441" s="33" t="s">
        <v>7436</v>
      </c>
      <c r="L2441" s="31" t="s">
        <v>252</v>
      </c>
      <c r="O2441" s="31" t="s">
        <v>257</v>
      </c>
      <c r="P2441" s="31" t="s">
        <v>206</v>
      </c>
    </row>
    <row r="2442">
      <c r="A2442" s="29">
        <v>45971.511027650464</v>
      </c>
      <c r="B2442" s="30">
        <v>45971.0</v>
      </c>
      <c r="C2442" s="31" t="s">
        <v>7437</v>
      </c>
      <c r="D2442" s="32" t="s">
        <v>7438</v>
      </c>
      <c r="E2442" s="31" t="s">
        <v>43</v>
      </c>
      <c r="F2442" s="31">
        <v>7700000.0</v>
      </c>
      <c r="G2442" s="31" t="s">
        <v>23</v>
      </c>
      <c r="H2442" s="31">
        <v>3000000.0</v>
      </c>
      <c r="I2442" s="31" t="s">
        <v>200</v>
      </c>
      <c r="K2442" s="33" t="s">
        <v>7439</v>
      </c>
      <c r="L2442" s="31" t="s">
        <v>202</v>
      </c>
      <c r="M2442" s="31" t="s">
        <v>203</v>
      </c>
      <c r="N2442" s="31" t="s">
        <v>313</v>
      </c>
      <c r="T2442" s="31" t="s">
        <v>314</v>
      </c>
    </row>
    <row r="2443">
      <c r="A2443" s="29">
        <v>45971.513596122684</v>
      </c>
      <c r="B2443" s="30">
        <v>45971.0</v>
      </c>
      <c r="C2443" s="31" t="s">
        <v>7440</v>
      </c>
      <c r="D2443" s="32" t="s">
        <v>7441</v>
      </c>
      <c r="E2443" s="31" t="s">
        <v>7442</v>
      </c>
      <c r="F2443" s="31">
        <v>9000000.0</v>
      </c>
      <c r="G2443" s="31" t="s">
        <v>23</v>
      </c>
      <c r="H2443" s="31">
        <v>3.0E7</v>
      </c>
      <c r="I2443" s="31" t="s">
        <v>413</v>
      </c>
      <c r="K2443" s="33" t="s">
        <v>7443</v>
      </c>
      <c r="L2443" s="31" t="s">
        <v>202</v>
      </c>
      <c r="M2443" s="31" t="s">
        <v>926</v>
      </c>
      <c r="N2443" s="31" t="s">
        <v>204</v>
      </c>
      <c r="R2443" s="31" t="s">
        <v>471</v>
      </c>
    </row>
    <row r="2444">
      <c r="A2444" s="29">
        <v>45971.515440682866</v>
      </c>
      <c r="B2444" s="30">
        <v>45971.0</v>
      </c>
      <c r="C2444" s="31" t="s">
        <v>7444</v>
      </c>
      <c r="D2444" s="32" t="s">
        <v>7445</v>
      </c>
      <c r="E2444" s="31" t="s">
        <v>43</v>
      </c>
      <c r="F2444" s="31">
        <v>4000000.0</v>
      </c>
      <c r="G2444" s="31" t="s">
        <v>23</v>
      </c>
      <c r="I2444" s="31" t="s">
        <v>229</v>
      </c>
      <c r="J2444" s="31" t="s">
        <v>967</v>
      </c>
      <c r="K2444" s="33" t="s">
        <v>7446</v>
      </c>
      <c r="L2444" s="31" t="s">
        <v>202</v>
      </c>
      <c r="N2444" s="31" t="s">
        <v>204</v>
      </c>
      <c r="R2444" s="31" t="s">
        <v>98</v>
      </c>
    </row>
    <row r="2445">
      <c r="A2445" s="29">
        <v>45971.523155</v>
      </c>
      <c r="B2445" s="30">
        <v>45971.0</v>
      </c>
      <c r="C2445" s="31" t="s">
        <v>5359</v>
      </c>
      <c r="D2445" s="32" t="s">
        <v>7447</v>
      </c>
      <c r="E2445" s="31" t="s">
        <v>2902</v>
      </c>
      <c r="F2445" s="31">
        <v>3200000.0</v>
      </c>
      <c r="G2445" s="31" t="s">
        <v>23</v>
      </c>
      <c r="I2445" s="31" t="s">
        <v>229</v>
      </c>
      <c r="J2445" s="31" t="s">
        <v>967</v>
      </c>
      <c r="K2445" s="33" t="s">
        <v>7448</v>
      </c>
      <c r="L2445" s="31" t="s">
        <v>202</v>
      </c>
      <c r="N2445" s="31" t="s">
        <v>220</v>
      </c>
      <c r="S2445" s="31" t="s">
        <v>36</v>
      </c>
    </row>
    <row r="2446">
      <c r="A2446" s="29">
        <v>45971.52937685185</v>
      </c>
      <c r="B2446" s="30">
        <v>45971.0</v>
      </c>
      <c r="C2446" s="31" t="s">
        <v>7449</v>
      </c>
      <c r="D2446" s="32" t="s">
        <v>7450</v>
      </c>
      <c r="E2446" s="31" t="s">
        <v>7451</v>
      </c>
      <c r="F2446" s="31">
        <v>5000000.0</v>
      </c>
      <c r="G2446" s="31" t="s">
        <v>23</v>
      </c>
      <c r="I2446" s="31" t="s">
        <v>229</v>
      </c>
      <c r="J2446" s="31" t="s">
        <v>967</v>
      </c>
      <c r="K2446" s="33" t="s">
        <v>7452</v>
      </c>
      <c r="L2446" s="31" t="s">
        <v>202</v>
      </c>
      <c r="N2446" s="31" t="s">
        <v>220</v>
      </c>
      <c r="S2446" s="31" t="s">
        <v>1406</v>
      </c>
    </row>
    <row r="2447">
      <c r="A2447" s="29">
        <v>45971.554418078704</v>
      </c>
      <c r="B2447" s="30">
        <v>45971.0</v>
      </c>
      <c r="C2447" s="31" t="s">
        <v>7453</v>
      </c>
      <c r="D2447" s="32" t="s">
        <v>7454</v>
      </c>
      <c r="E2447" s="31" t="s">
        <v>199</v>
      </c>
      <c r="F2447" s="34">
        <v>6700.0</v>
      </c>
      <c r="G2447" s="31" t="s">
        <v>45</v>
      </c>
      <c r="I2447" s="31" t="s">
        <v>229</v>
      </c>
      <c r="J2447" s="31" t="s">
        <v>967</v>
      </c>
      <c r="K2447" s="33" t="s">
        <v>7455</v>
      </c>
      <c r="L2447" s="31" t="s">
        <v>202</v>
      </c>
      <c r="N2447" s="31" t="s">
        <v>871</v>
      </c>
      <c r="Q2447" s="31" t="s">
        <v>2403</v>
      </c>
    </row>
    <row r="2448">
      <c r="A2448" s="29">
        <v>45971.56844180556</v>
      </c>
      <c r="B2448" s="30">
        <v>45971.0</v>
      </c>
      <c r="C2448" s="31" t="s">
        <v>7456</v>
      </c>
      <c r="D2448" s="32" t="s">
        <v>7122</v>
      </c>
      <c r="E2448" s="31" t="s">
        <v>43</v>
      </c>
      <c r="F2448" s="31">
        <v>8000000.0</v>
      </c>
      <c r="G2448" s="31" t="s">
        <v>23</v>
      </c>
      <c r="I2448" s="31" t="s">
        <v>229</v>
      </c>
      <c r="J2448" s="31" t="s">
        <v>967</v>
      </c>
      <c r="K2448" s="33" t="s">
        <v>7457</v>
      </c>
      <c r="L2448" s="31" t="s">
        <v>202</v>
      </c>
      <c r="N2448" s="31" t="s">
        <v>313</v>
      </c>
      <c r="T2448" s="31" t="s">
        <v>314</v>
      </c>
    </row>
    <row r="2449">
      <c r="A2449" s="29">
        <v>45971.57885725694</v>
      </c>
      <c r="B2449" s="30">
        <v>45971.0</v>
      </c>
      <c r="C2449" s="31" t="s">
        <v>7458</v>
      </c>
      <c r="D2449" s="32" t="s">
        <v>7459</v>
      </c>
      <c r="E2449" s="31" t="s">
        <v>43</v>
      </c>
      <c r="F2449" s="31">
        <v>3000000.0</v>
      </c>
      <c r="G2449" s="31" t="s">
        <v>23</v>
      </c>
      <c r="H2449" s="31">
        <v>3000000.0</v>
      </c>
      <c r="I2449" s="31" t="s">
        <v>200</v>
      </c>
      <c r="K2449" s="33" t="s">
        <v>7460</v>
      </c>
      <c r="L2449" s="31" t="s">
        <v>252</v>
      </c>
      <c r="M2449" s="31" t="s">
        <v>5638</v>
      </c>
      <c r="O2449" s="31" t="s">
        <v>205</v>
      </c>
      <c r="X2449" s="31" t="s">
        <v>253</v>
      </c>
    </row>
    <row r="2450">
      <c r="A2450" s="29">
        <v>45971.58305667824</v>
      </c>
      <c r="B2450" s="30">
        <v>45971.0</v>
      </c>
      <c r="C2450" s="31" t="s">
        <v>7461</v>
      </c>
      <c r="D2450" s="32" t="s">
        <v>7462</v>
      </c>
      <c r="E2450" s="31" t="s">
        <v>43</v>
      </c>
      <c r="F2450" s="31">
        <v>3000000.0</v>
      </c>
      <c r="G2450" s="31" t="s">
        <v>23</v>
      </c>
      <c r="I2450" s="31" t="s">
        <v>229</v>
      </c>
      <c r="J2450" s="31" t="s">
        <v>967</v>
      </c>
      <c r="K2450" s="33" t="s">
        <v>7463</v>
      </c>
      <c r="L2450" s="31" t="s">
        <v>202</v>
      </c>
      <c r="N2450" s="31" t="s">
        <v>871</v>
      </c>
      <c r="Q2450" s="31" t="s">
        <v>872</v>
      </c>
    </row>
    <row r="2451">
      <c r="A2451" s="29">
        <v>45971.60702978009</v>
      </c>
      <c r="B2451" s="30">
        <v>45971.0</v>
      </c>
      <c r="C2451" s="31" t="s">
        <v>7464</v>
      </c>
      <c r="D2451" s="32" t="s">
        <v>7465</v>
      </c>
      <c r="E2451" s="31" t="s">
        <v>31</v>
      </c>
      <c r="F2451" s="31">
        <v>2000000.0</v>
      </c>
      <c r="G2451" s="31" t="s">
        <v>23</v>
      </c>
      <c r="I2451" s="31" t="s">
        <v>229</v>
      </c>
      <c r="J2451" s="31" t="s">
        <v>967</v>
      </c>
      <c r="K2451" s="33" t="s">
        <v>7466</v>
      </c>
      <c r="L2451" s="31" t="s">
        <v>202</v>
      </c>
      <c r="N2451" s="31" t="s">
        <v>215</v>
      </c>
      <c r="W2451" s="31" t="s">
        <v>216</v>
      </c>
    </row>
    <row r="2452">
      <c r="A2452" s="29">
        <v>45971.67179818287</v>
      </c>
      <c r="B2452" s="30">
        <v>45971.0</v>
      </c>
      <c r="C2452" s="31" t="s">
        <v>7467</v>
      </c>
      <c r="D2452" s="32" t="s">
        <v>7468</v>
      </c>
      <c r="E2452" s="31" t="s">
        <v>31</v>
      </c>
      <c r="F2452" s="31">
        <v>5999000.0</v>
      </c>
      <c r="G2452" s="31" t="s">
        <v>23</v>
      </c>
      <c r="I2452" s="31" t="s">
        <v>229</v>
      </c>
      <c r="J2452" s="31" t="s">
        <v>967</v>
      </c>
      <c r="K2452" s="33" t="s">
        <v>7469</v>
      </c>
      <c r="L2452" s="31" t="s">
        <v>202</v>
      </c>
      <c r="N2452" s="31" t="s">
        <v>204</v>
      </c>
      <c r="R2452" s="31" t="s">
        <v>207</v>
      </c>
    </row>
    <row r="2453">
      <c r="A2453" s="29">
        <v>45971.68461091435</v>
      </c>
      <c r="B2453" s="30">
        <v>45971.0</v>
      </c>
      <c r="C2453" s="31" t="s">
        <v>7470</v>
      </c>
      <c r="D2453" s="32" t="s">
        <v>7471</v>
      </c>
      <c r="E2453" s="31" t="s">
        <v>2598</v>
      </c>
      <c r="F2453" s="31">
        <v>250000.0</v>
      </c>
      <c r="G2453" s="31" t="s">
        <v>23</v>
      </c>
      <c r="H2453" s="31">
        <v>3000000.0</v>
      </c>
      <c r="I2453" s="31" t="s">
        <v>413</v>
      </c>
      <c r="K2453" s="33" t="s">
        <v>7472</v>
      </c>
      <c r="L2453" s="31" t="s">
        <v>202</v>
      </c>
      <c r="M2453" s="31" t="s">
        <v>5638</v>
      </c>
      <c r="N2453" s="31" t="s">
        <v>313</v>
      </c>
      <c r="T2453" s="31" t="s">
        <v>4272</v>
      </c>
    </row>
    <row r="2454">
      <c r="A2454" s="29">
        <v>45971.68634313658</v>
      </c>
      <c r="B2454" s="30">
        <v>45971.0</v>
      </c>
      <c r="C2454" s="31" t="s">
        <v>7473</v>
      </c>
      <c r="D2454" s="32" t="s">
        <v>7474</v>
      </c>
      <c r="E2454" s="31" t="s">
        <v>228</v>
      </c>
      <c r="F2454" s="31">
        <v>1800000.0</v>
      </c>
      <c r="G2454" s="31" t="s">
        <v>23</v>
      </c>
      <c r="H2454" s="31">
        <v>3000000.0</v>
      </c>
      <c r="I2454" s="31" t="s">
        <v>413</v>
      </c>
      <c r="K2454" s="33" t="s">
        <v>7475</v>
      </c>
      <c r="L2454" s="31" t="s">
        <v>202</v>
      </c>
      <c r="M2454" s="31" t="s">
        <v>5638</v>
      </c>
      <c r="N2454" s="31" t="s">
        <v>204</v>
      </c>
      <c r="R2454" s="31" t="s">
        <v>148</v>
      </c>
    </row>
    <row r="2455">
      <c r="A2455" s="29">
        <v>45971.69029465278</v>
      </c>
      <c r="B2455" s="30">
        <v>45971.0</v>
      </c>
      <c r="C2455" s="31" t="s">
        <v>7476</v>
      </c>
      <c r="D2455" s="32" t="s">
        <v>7477</v>
      </c>
      <c r="E2455" s="31" t="s">
        <v>7478</v>
      </c>
      <c r="F2455" s="31">
        <v>4300000.0</v>
      </c>
      <c r="G2455" s="31" t="s">
        <v>45</v>
      </c>
      <c r="I2455" s="31" t="s">
        <v>229</v>
      </c>
      <c r="J2455" s="31" t="s">
        <v>967</v>
      </c>
      <c r="K2455" s="33" t="s">
        <v>7479</v>
      </c>
      <c r="L2455" s="31" t="s">
        <v>252</v>
      </c>
      <c r="O2455" s="31" t="s">
        <v>205</v>
      </c>
      <c r="X2455" s="31" t="s">
        <v>569</v>
      </c>
    </row>
    <row r="2456">
      <c r="A2456" s="29">
        <v>45971.70262111111</v>
      </c>
      <c r="B2456" s="30">
        <v>45971.0</v>
      </c>
      <c r="C2456" s="31" t="s">
        <v>7480</v>
      </c>
      <c r="D2456" s="32" t="s">
        <v>3667</v>
      </c>
      <c r="E2456" s="31" t="s">
        <v>43</v>
      </c>
      <c r="F2456" s="31">
        <v>3000000.0</v>
      </c>
      <c r="G2456" s="31" t="s">
        <v>23</v>
      </c>
      <c r="H2456" s="31">
        <v>3000000.0</v>
      </c>
      <c r="I2456" s="31" t="s">
        <v>200</v>
      </c>
      <c r="K2456" s="33" t="s">
        <v>7481</v>
      </c>
      <c r="L2456" s="31" t="s">
        <v>202</v>
      </c>
      <c r="M2456" s="31" t="s">
        <v>5638</v>
      </c>
      <c r="N2456" s="31" t="s">
        <v>215</v>
      </c>
      <c r="W2456" s="31" t="s">
        <v>389</v>
      </c>
    </row>
    <row r="2457">
      <c r="A2457" s="29">
        <v>45971.711316898145</v>
      </c>
      <c r="B2457" s="30">
        <v>45971.0</v>
      </c>
      <c r="C2457" s="31" t="s">
        <v>7482</v>
      </c>
      <c r="D2457" s="32" t="s">
        <v>7483</v>
      </c>
      <c r="E2457" s="31" t="s">
        <v>2902</v>
      </c>
      <c r="F2457" s="31">
        <v>5000000.0</v>
      </c>
      <c r="G2457" s="31" t="s">
        <v>23</v>
      </c>
      <c r="H2457" s="31">
        <v>3000000.0</v>
      </c>
      <c r="I2457" s="31" t="s">
        <v>413</v>
      </c>
      <c r="K2457" s="33" t="s">
        <v>7484</v>
      </c>
      <c r="L2457" s="31" t="s">
        <v>202</v>
      </c>
      <c r="M2457" s="31" t="s">
        <v>5638</v>
      </c>
      <c r="N2457" s="31" t="s">
        <v>220</v>
      </c>
      <c r="S2457" s="31" t="s">
        <v>36</v>
      </c>
    </row>
    <row r="2458">
      <c r="A2458" s="29">
        <v>45971.72154157408</v>
      </c>
      <c r="B2458" s="30">
        <v>45971.0</v>
      </c>
      <c r="C2458" s="31" t="s">
        <v>7266</v>
      </c>
      <c r="D2458" s="32" t="s">
        <v>7267</v>
      </c>
      <c r="E2458" s="31" t="s">
        <v>2315</v>
      </c>
      <c r="F2458" s="31">
        <v>3800000.0</v>
      </c>
      <c r="G2458" s="31" t="s">
        <v>23</v>
      </c>
      <c r="H2458" s="31">
        <v>3000000.0</v>
      </c>
      <c r="I2458" s="31" t="s">
        <v>200</v>
      </c>
      <c r="K2458" s="33" t="s">
        <v>7485</v>
      </c>
      <c r="L2458" s="31" t="s">
        <v>202</v>
      </c>
      <c r="M2458" s="31" t="s">
        <v>5638</v>
      </c>
      <c r="N2458" s="31" t="s">
        <v>667</v>
      </c>
      <c r="U2458" s="31" t="s">
        <v>3950</v>
      </c>
    </row>
    <row r="2459">
      <c r="A2459" s="29">
        <v>45971.745096122686</v>
      </c>
      <c r="B2459" s="30">
        <v>45971.0</v>
      </c>
      <c r="C2459" s="31" t="s">
        <v>7486</v>
      </c>
      <c r="D2459" s="32" t="s">
        <v>2373</v>
      </c>
      <c r="E2459" s="31" t="s">
        <v>43</v>
      </c>
      <c r="F2459" s="31">
        <v>8000000.0</v>
      </c>
      <c r="G2459" s="31" t="s">
        <v>23</v>
      </c>
      <c r="H2459" s="31">
        <v>3000000.0</v>
      </c>
      <c r="I2459" s="31" t="s">
        <v>413</v>
      </c>
      <c r="K2459" s="33" t="s">
        <v>7487</v>
      </c>
      <c r="L2459" s="31" t="s">
        <v>202</v>
      </c>
      <c r="M2459" s="31" t="s">
        <v>5638</v>
      </c>
      <c r="N2459" s="31" t="s">
        <v>313</v>
      </c>
      <c r="T2459" s="31" t="s">
        <v>314</v>
      </c>
    </row>
    <row r="2460">
      <c r="A2460" s="29">
        <v>45971.74758430556</v>
      </c>
      <c r="B2460" s="30">
        <v>45971.0</v>
      </c>
      <c r="C2460" s="31" t="s">
        <v>7488</v>
      </c>
      <c r="D2460" s="32" t="s">
        <v>7430</v>
      </c>
      <c r="E2460" s="31" t="s">
        <v>31</v>
      </c>
      <c r="F2460" s="31">
        <v>9100000.0</v>
      </c>
      <c r="G2460" s="31" t="s">
        <v>23</v>
      </c>
      <c r="I2460" s="31" t="s">
        <v>229</v>
      </c>
      <c r="J2460" s="31" t="s">
        <v>967</v>
      </c>
      <c r="K2460" s="33" t="s">
        <v>7489</v>
      </c>
      <c r="L2460" s="31" t="s">
        <v>202</v>
      </c>
      <c r="N2460" s="31" t="s">
        <v>313</v>
      </c>
      <c r="T2460" s="31" t="s">
        <v>329</v>
      </c>
    </row>
    <row r="2461">
      <c r="A2461" s="29">
        <v>45971.74906537037</v>
      </c>
      <c r="B2461" s="30">
        <v>45971.0</v>
      </c>
      <c r="C2461" s="31" t="s">
        <v>7490</v>
      </c>
      <c r="D2461" s="32" t="s">
        <v>7491</v>
      </c>
      <c r="E2461" s="31" t="s">
        <v>288</v>
      </c>
      <c r="F2461" s="31">
        <v>50.0</v>
      </c>
      <c r="G2461" s="31" t="s">
        <v>23</v>
      </c>
      <c r="I2461" s="31" t="s">
        <v>229</v>
      </c>
      <c r="J2461" s="31" t="s">
        <v>967</v>
      </c>
      <c r="K2461" s="33" t="s">
        <v>7492</v>
      </c>
      <c r="L2461" s="31" t="s">
        <v>202</v>
      </c>
      <c r="N2461" s="31" t="s">
        <v>313</v>
      </c>
      <c r="T2461" s="31" t="s">
        <v>4272</v>
      </c>
    </row>
    <row r="2462">
      <c r="A2462" s="29">
        <v>45971.74996710648</v>
      </c>
      <c r="B2462" s="30">
        <v>45971.0</v>
      </c>
      <c r="C2462" s="31" t="s">
        <v>7493</v>
      </c>
      <c r="D2462" s="32" t="s">
        <v>7494</v>
      </c>
      <c r="E2462" s="31" t="s">
        <v>2315</v>
      </c>
      <c r="F2462" s="31">
        <v>3000000.0</v>
      </c>
      <c r="G2462" s="31" t="s">
        <v>23</v>
      </c>
      <c r="I2462" s="31" t="s">
        <v>229</v>
      </c>
      <c r="J2462" s="31" t="s">
        <v>967</v>
      </c>
      <c r="K2462" s="33" t="s">
        <v>7495</v>
      </c>
      <c r="L2462" s="31" t="s">
        <v>202</v>
      </c>
      <c r="N2462" s="31" t="s">
        <v>313</v>
      </c>
      <c r="T2462" s="31" t="s">
        <v>384</v>
      </c>
    </row>
    <row r="2463">
      <c r="A2463" s="29">
        <v>45971.76376126157</v>
      </c>
      <c r="B2463" s="30">
        <v>45971.0</v>
      </c>
      <c r="C2463" s="31" t="s">
        <v>7496</v>
      </c>
      <c r="D2463" s="32" t="s">
        <v>7497</v>
      </c>
      <c r="E2463" s="31" t="s">
        <v>31</v>
      </c>
      <c r="F2463" s="31">
        <v>1.9E7</v>
      </c>
      <c r="G2463" s="31" t="s">
        <v>23</v>
      </c>
      <c r="I2463" s="31" t="s">
        <v>229</v>
      </c>
      <c r="J2463" s="31" t="s">
        <v>967</v>
      </c>
      <c r="K2463" s="33" t="s">
        <v>7498</v>
      </c>
      <c r="L2463" s="31" t="s">
        <v>202</v>
      </c>
      <c r="N2463" s="31" t="s">
        <v>204</v>
      </c>
      <c r="R2463" s="31" t="s">
        <v>471</v>
      </c>
    </row>
    <row r="2464">
      <c r="A2464" s="29">
        <v>45971.765505347226</v>
      </c>
      <c r="B2464" s="30">
        <v>45971.0</v>
      </c>
      <c r="C2464" s="31" t="s">
        <v>7499</v>
      </c>
      <c r="D2464" s="32" t="s">
        <v>7500</v>
      </c>
      <c r="E2464" s="31" t="s">
        <v>3680</v>
      </c>
      <c r="F2464" s="31">
        <v>4500000.0</v>
      </c>
      <c r="G2464" s="31" t="s">
        <v>23</v>
      </c>
      <c r="I2464" s="31" t="s">
        <v>229</v>
      </c>
      <c r="J2464" s="31" t="s">
        <v>967</v>
      </c>
      <c r="K2464" s="33" t="s">
        <v>7501</v>
      </c>
      <c r="L2464" s="31" t="s">
        <v>202</v>
      </c>
      <c r="N2464" s="31" t="s">
        <v>220</v>
      </c>
      <c r="S2464" s="31" t="s">
        <v>5512</v>
      </c>
    </row>
    <row r="2465">
      <c r="A2465" s="29">
        <v>45971.7657671875</v>
      </c>
      <c r="B2465" s="30">
        <v>45971.0</v>
      </c>
      <c r="C2465" s="31" t="s">
        <v>7502</v>
      </c>
      <c r="D2465" s="32" t="s">
        <v>7503</v>
      </c>
      <c r="E2465" s="31" t="s">
        <v>31</v>
      </c>
      <c r="F2465" s="31">
        <v>9.0E8</v>
      </c>
      <c r="G2465" s="31" t="s">
        <v>23</v>
      </c>
      <c r="I2465" s="31" t="s">
        <v>229</v>
      </c>
      <c r="J2465" s="31" t="s">
        <v>967</v>
      </c>
      <c r="K2465" s="33" t="s">
        <v>7504</v>
      </c>
      <c r="L2465" s="31" t="s">
        <v>202</v>
      </c>
      <c r="N2465" s="31" t="s">
        <v>204</v>
      </c>
      <c r="R2465" s="31" t="s">
        <v>471</v>
      </c>
    </row>
    <row r="2466">
      <c r="A2466" s="29">
        <v>45971.7784374537</v>
      </c>
      <c r="B2466" s="30">
        <v>45971.0</v>
      </c>
      <c r="C2466" s="31" t="s">
        <v>7505</v>
      </c>
      <c r="D2466" s="32" t="s">
        <v>7506</v>
      </c>
      <c r="E2466" s="31" t="s">
        <v>6968</v>
      </c>
      <c r="F2466" s="31">
        <v>3000000.0</v>
      </c>
      <c r="G2466" s="31" t="s">
        <v>23</v>
      </c>
      <c r="I2466" s="31" t="s">
        <v>229</v>
      </c>
      <c r="J2466" s="31" t="s">
        <v>967</v>
      </c>
      <c r="K2466" s="33" t="s">
        <v>7507</v>
      </c>
      <c r="L2466" s="31" t="s">
        <v>202</v>
      </c>
      <c r="N2466" s="31" t="s">
        <v>220</v>
      </c>
      <c r="S2466" s="31" t="s">
        <v>5512</v>
      </c>
    </row>
    <row r="2467">
      <c r="A2467" s="29">
        <v>45971.78245747685</v>
      </c>
      <c r="B2467" s="30">
        <v>45971.0</v>
      </c>
      <c r="C2467" s="31" t="s">
        <v>7508</v>
      </c>
      <c r="D2467" s="32" t="s">
        <v>7509</v>
      </c>
      <c r="E2467" s="31" t="s">
        <v>7510</v>
      </c>
      <c r="F2467" s="31">
        <v>4000000.0</v>
      </c>
      <c r="G2467" s="31" t="s">
        <v>23</v>
      </c>
      <c r="I2467" s="31" t="s">
        <v>229</v>
      </c>
      <c r="J2467" s="31" t="s">
        <v>967</v>
      </c>
      <c r="K2467" s="33" t="s">
        <v>7511</v>
      </c>
      <c r="L2467" s="31" t="s">
        <v>202</v>
      </c>
      <c r="N2467" s="31" t="s">
        <v>204</v>
      </c>
      <c r="R2467" s="31" t="s">
        <v>98</v>
      </c>
    </row>
    <row r="2468">
      <c r="A2468" s="29">
        <v>45971.79873876157</v>
      </c>
      <c r="B2468" s="30">
        <v>45971.0</v>
      </c>
      <c r="C2468" s="31" t="s">
        <v>7512</v>
      </c>
      <c r="D2468" s="32" t="s">
        <v>412</v>
      </c>
      <c r="E2468" s="31" t="s">
        <v>288</v>
      </c>
      <c r="F2468" s="31">
        <v>3700000.0</v>
      </c>
      <c r="G2468" s="31" t="s">
        <v>23</v>
      </c>
      <c r="H2468" s="31">
        <v>7000000.0</v>
      </c>
      <c r="I2468" s="31" t="s">
        <v>200</v>
      </c>
      <c r="K2468" s="33" t="s">
        <v>7513</v>
      </c>
      <c r="L2468" s="31" t="s">
        <v>202</v>
      </c>
      <c r="M2468" s="31" t="s">
        <v>203</v>
      </c>
      <c r="N2468" s="31" t="s">
        <v>220</v>
      </c>
      <c r="S2468" s="31" t="s">
        <v>90</v>
      </c>
    </row>
    <row r="2469">
      <c r="A2469" s="29">
        <v>45971.805061701394</v>
      </c>
      <c r="B2469" s="30">
        <v>45971.0</v>
      </c>
      <c r="C2469" s="31" t="s">
        <v>7514</v>
      </c>
      <c r="D2469" s="32" t="s">
        <v>7515</v>
      </c>
      <c r="E2469" s="31" t="s">
        <v>43</v>
      </c>
      <c r="F2469" s="31">
        <v>3000000.0</v>
      </c>
      <c r="G2469" s="31" t="s">
        <v>23</v>
      </c>
      <c r="I2469" s="31" t="s">
        <v>229</v>
      </c>
      <c r="J2469" s="31" t="s">
        <v>967</v>
      </c>
      <c r="K2469" s="33" t="s">
        <v>7516</v>
      </c>
      <c r="L2469" s="31" t="s">
        <v>252</v>
      </c>
      <c r="O2469" s="31" t="s">
        <v>205</v>
      </c>
      <c r="X2469" s="31" t="s">
        <v>2335</v>
      </c>
    </row>
    <row r="2470">
      <c r="A2470" s="29">
        <v>45971.81319189815</v>
      </c>
      <c r="B2470" s="30">
        <v>45971.0</v>
      </c>
      <c r="C2470" s="31" t="s">
        <v>7517</v>
      </c>
      <c r="D2470" s="31">
        <v>0.0</v>
      </c>
      <c r="E2470" s="31" t="s">
        <v>228</v>
      </c>
      <c r="F2470" s="31">
        <v>2000000.0</v>
      </c>
      <c r="G2470" s="31" t="s">
        <v>23</v>
      </c>
      <c r="I2470" s="31" t="s">
        <v>229</v>
      </c>
      <c r="J2470" s="31" t="s">
        <v>967</v>
      </c>
      <c r="K2470" s="33" t="s">
        <v>7518</v>
      </c>
      <c r="L2470" s="31" t="s">
        <v>252</v>
      </c>
      <c r="O2470" s="31" t="s">
        <v>257</v>
      </c>
      <c r="P2470" s="31" t="s">
        <v>2320</v>
      </c>
    </row>
    <row r="2471">
      <c r="A2471" s="29">
        <v>45971.82263052084</v>
      </c>
      <c r="B2471" s="30">
        <v>45971.0</v>
      </c>
      <c r="C2471" s="31" t="s">
        <v>7519</v>
      </c>
      <c r="D2471" s="32" t="s">
        <v>7520</v>
      </c>
      <c r="E2471" s="31" t="s">
        <v>199</v>
      </c>
      <c r="F2471" s="31">
        <v>4500000.0</v>
      </c>
      <c r="G2471" s="31" t="s">
        <v>23</v>
      </c>
      <c r="H2471" s="31">
        <v>5000000.0</v>
      </c>
      <c r="I2471" s="31" t="s">
        <v>200</v>
      </c>
      <c r="K2471" s="33" t="s">
        <v>7521</v>
      </c>
      <c r="L2471" s="31" t="s">
        <v>202</v>
      </c>
      <c r="M2471" s="31" t="s">
        <v>5638</v>
      </c>
      <c r="N2471" s="31" t="s">
        <v>500</v>
      </c>
      <c r="V2471" s="31" t="s">
        <v>501</v>
      </c>
    </row>
    <row r="2472">
      <c r="A2472" s="29">
        <v>45971.82349675926</v>
      </c>
      <c r="B2472" s="30">
        <v>45971.0</v>
      </c>
      <c r="C2472" s="31" t="s">
        <v>7522</v>
      </c>
      <c r="D2472" s="32" t="s">
        <v>7523</v>
      </c>
      <c r="E2472" s="31" t="s">
        <v>31</v>
      </c>
      <c r="F2472" s="31">
        <v>8200000.0</v>
      </c>
      <c r="G2472" s="31" t="s">
        <v>23</v>
      </c>
      <c r="H2472" s="31">
        <v>3000000.0</v>
      </c>
      <c r="I2472" s="31" t="s">
        <v>200</v>
      </c>
      <c r="K2472" s="33" t="s">
        <v>7524</v>
      </c>
      <c r="L2472" s="31" t="s">
        <v>202</v>
      </c>
      <c r="M2472" s="31" t="s">
        <v>5638</v>
      </c>
      <c r="N2472" s="31" t="s">
        <v>313</v>
      </c>
      <c r="T2472" s="31" t="s">
        <v>329</v>
      </c>
    </row>
    <row r="2473">
      <c r="A2473" s="29">
        <v>45971.85598471065</v>
      </c>
      <c r="B2473" s="30">
        <v>45971.0</v>
      </c>
      <c r="C2473" s="31" t="s">
        <v>7525</v>
      </c>
      <c r="D2473" s="32" t="s">
        <v>7526</v>
      </c>
      <c r="E2473" s="31" t="s">
        <v>43</v>
      </c>
      <c r="F2473" s="31">
        <v>2400000.0</v>
      </c>
      <c r="G2473" s="31" t="s">
        <v>23</v>
      </c>
      <c r="H2473" s="31">
        <v>3000000.0</v>
      </c>
      <c r="I2473" s="31" t="s">
        <v>413</v>
      </c>
      <c r="K2473" s="33" t="s">
        <v>7527</v>
      </c>
      <c r="L2473" s="31" t="s">
        <v>202</v>
      </c>
      <c r="M2473" s="31" t="s">
        <v>605</v>
      </c>
      <c r="N2473" s="31" t="s">
        <v>204</v>
      </c>
      <c r="R2473" s="31" t="s">
        <v>892</v>
      </c>
    </row>
    <row r="2474">
      <c r="A2474" s="29">
        <v>45971.856023263885</v>
      </c>
      <c r="B2474" s="30">
        <v>45971.0</v>
      </c>
      <c r="C2474" s="31" t="s">
        <v>7528</v>
      </c>
      <c r="D2474" s="32" t="s">
        <v>7529</v>
      </c>
      <c r="E2474" s="31" t="s">
        <v>31</v>
      </c>
      <c r="F2474" s="31">
        <v>1.0E7</v>
      </c>
      <c r="G2474" s="31" t="s">
        <v>23</v>
      </c>
      <c r="I2474" s="31" t="s">
        <v>229</v>
      </c>
      <c r="J2474" s="31" t="s">
        <v>967</v>
      </c>
      <c r="K2474" s="33" t="s">
        <v>7530</v>
      </c>
      <c r="L2474" s="31" t="s">
        <v>202</v>
      </c>
      <c r="N2474" s="31" t="s">
        <v>204</v>
      </c>
      <c r="R2474" s="31" t="s">
        <v>471</v>
      </c>
    </row>
    <row r="2475">
      <c r="A2475" s="29">
        <v>45971.859279930555</v>
      </c>
      <c r="B2475" s="30">
        <v>45971.0</v>
      </c>
      <c r="C2475" s="31" t="s">
        <v>7531</v>
      </c>
      <c r="D2475" s="32" t="s">
        <v>7532</v>
      </c>
      <c r="E2475" s="31" t="s">
        <v>199</v>
      </c>
      <c r="F2475" s="31">
        <v>3000000.0</v>
      </c>
      <c r="G2475" s="31" t="s">
        <v>45</v>
      </c>
      <c r="H2475" s="31">
        <v>3000000.0</v>
      </c>
      <c r="I2475" s="31" t="s">
        <v>200</v>
      </c>
      <c r="K2475" s="33" t="s">
        <v>7533</v>
      </c>
      <c r="L2475" s="31" t="s">
        <v>252</v>
      </c>
      <c r="M2475" s="31" t="s">
        <v>5638</v>
      </c>
      <c r="O2475" s="31" t="s">
        <v>205</v>
      </c>
      <c r="X2475" s="31" t="s">
        <v>253</v>
      </c>
    </row>
    <row r="2476">
      <c r="A2476" s="29">
        <v>45971.96218954861</v>
      </c>
      <c r="B2476" s="30">
        <v>45971.0</v>
      </c>
      <c r="C2476" s="31" t="s">
        <v>7534</v>
      </c>
      <c r="D2476" s="32" t="s">
        <v>7535</v>
      </c>
      <c r="E2476" s="31" t="s">
        <v>261</v>
      </c>
      <c r="F2476" s="34">
        <v>10000.0</v>
      </c>
      <c r="G2476" s="31" t="s">
        <v>23</v>
      </c>
      <c r="I2476" s="31" t="s">
        <v>229</v>
      </c>
      <c r="J2476" s="31" t="s">
        <v>967</v>
      </c>
      <c r="K2476" s="33" t="s">
        <v>7536</v>
      </c>
      <c r="L2476" s="31" t="s">
        <v>202</v>
      </c>
      <c r="N2476" s="31" t="s">
        <v>500</v>
      </c>
      <c r="V2476" s="31" t="s">
        <v>7537</v>
      </c>
    </row>
    <row r="2477">
      <c r="A2477" s="29">
        <v>45971.96445407407</v>
      </c>
      <c r="B2477" s="30">
        <v>45971.0</v>
      </c>
      <c r="C2477" s="31" t="s">
        <v>7538</v>
      </c>
      <c r="D2477" s="32" t="s">
        <v>7539</v>
      </c>
      <c r="E2477" s="31" t="s">
        <v>409</v>
      </c>
      <c r="F2477" s="31">
        <v>6400000.0</v>
      </c>
      <c r="G2477" s="31" t="s">
        <v>23</v>
      </c>
      <c r="I2477" s="31" t="s">
        <v>229</v>
      </c>
      <c r="J2477" s="31" t="s">
        <v>967</v>
      </c>
      <c r="K2477" s="33" t="s">
        <v>7540</v>
      </c>
      <c r="L2477" s="31" t="s">
        <v>202</v>
      </c>
      <c r="N2477" s="31" t="s">
        <v>500</v>
      </c>
      <c r="V2477" s="31" t="s">
        <v>7537</v>
      </c>
    </row>
    <row r="2478">
      <c r="A2478" s="29">
        <v>45971.969281875005</v>
      </c>
      <c r="B2478" s="30">
        <v>45971.0</v>
      </c>
      <c r="C2478" s="31" t="s">
        <v>7541</v>
      </c>
      <c r="D2478" s="32" t="s">
        <v>7542</v>
      </c>
      <c r="E2478" s="31" t="s">
        <v>409</v>
      </c>
      <c r="F2478" s="31">
        <v>6000000.0</v>
      </c>
      <c r="G2478" s="31" t="s">
        <v>23</v>
      </c>
      <c r="H2478" s="31">
        <v>3000000.0</v>
      </c>
      <c r="I2478" s="31" t="s">
        <v>200</v>
      </c>
      <c r="K2478" s="33" t="s">
        <v>7543</v>
      </c>
      <c r="L2478" s="31" t="s">
        <v>202</v>
      </c>
      <c r="M2478" s="31" t="s">
        <v>5638</v>
      </c>
      <c r="N2478" s="31" t="s">
        <v>500</v>
      </c>
      <c r="V2478" s="31" t="s">
        <v>7537</v>
      </c>
    </row>
    <row r="2479">
      <c r="A2479" s="29">
        <v>45971.97130788195</v>
      </c>
      <c r="B2479" s="30">
        <v>45971.0</v>
      </c>
      <c r="C2479" s="31" t="s">
        <v>7544</v>
      </c>
      <c r="D2479" s="32" t="s">
        <v>7545</v>
      </c>
      <c r="E2479" s="31" t="s">
        <v>199</v>
      </c>
      <c r="F2479" s="31">
        <v>4000000.0</v>
      </c>
      <c r="G2479" s="31" t="s">
        <v>23</v>
      </c>
      <c r="I2479" s="31" t="s">
        <v>229</v>
      </c>
      <c r="J2479" s="31" t="s">
        <v>967</v>
      </c>
      <c r="K2479" s="33" t="s">
        <v>7546</v>
      </c>
      <c r="L2479" s="31" t="s">
        <v>202</v>
      </c>
      <c r="N2479" s="31" t="s">
        <v>500</v>
      </c>
      <c r="V2479" s="31" t="s">
        <v>7537</v>
      </c>
    </row>
    <row r="2480">
      <c r="A2480" s="29">
        <v>45972.399560046295</v>
      </c>
      <c r="B2480" s="30">
        <v>45972.0</v>
      </c>
      <c r="C2480" s="31" t="s">
        <v>7547</v>
      </c>
      <c r="D2480" s="32" t="s">
        <v>7548</v>
      </c>
      <c r="E2480" s="31" t="s">
        <v>1166</v>
      </c>
      <c r="F2480" s="31">
        <v>5400000.0</v>
      </c>
      <c r="G2480" s="31" t="s">
        <v>23</v>
      </c>
      <c r="I2480" s="31" t="s">
        <v>229</v>
      </c>
      <c r="J2480" s="31" t="s">
        <v>967</v>
      </c>
      <c r="K2480" s="33" t="s">
        <v>7549</v>
      </c>
      <c r="L2480" s="31" t="s">
        <v>202</v>
      </c>
      <c r="N2480" s="31" t="s">
        <v>204</v>
      </c>
      <c r="R2480" s="31" t="s">
        <v>148</v>
      </c>
    </row>
    <row r="2481">
      <c r="A2481" s="29">
        <v>45972.407862719905</v>
      </c>
      <c r="B2481" s="30">
        <v>45972.0</v>
      </c>
      <c r="C2481" s="31" t="s">
        <v>7550</v>
      </c>
      <c r="D2481" s="32" t="s">
        <v>7551</v>
      </c>
      <c r="E2481" s="31" t="s">
        <v>7478</v>
      </c>
      <c r="F2481" s="31">
        <v>3700000.0</v>
      </c>
      <c r="G2481" s="31" t="s">
        <v>23</v>
      </c>
      <c r="I2481" s="31" t="s">
        <v>229</v>
      </c>
      <c r="J2481" s="31" t="s">
        <v>967</v>
      </c>
      <c r="K2481" s="33" t="s">
        <v>7552</v>
      </c>
      <c r="L2481" s="31" t="s">
        <v>252</v>
      </c>
      <c r="O2481" s="31" t="s">
        <v>205</v>
      </c>
      <c r="X2481" s="31" t="s">
        <v>569</v>
      </c>
    </row>
    <row r="2482">
      <c r="A2482" s="29">
        <v>45972.409788425924</v>
      </c>
      <c r="B2482" s="30">
        <v>45972.0</v>
      </c>
      <c r="C2482" s="31" t="s">
        <v>7553</v>
      </c>
      <c r="D2482" s="32" t="s">
        <v>7554</v>
      </c>
      <c r="E2482" s="31" t="s">
        <v>43</v>
      </c>
      <c r="F2482" s="31">
        <v>3000000.0</v>
      </c>
      <c r="G2482" s="31" t="s">
        <v>23</v>
      </c>
      <c r="I2482" s="31" t="s">
        <v>229</v>
      </c>
      <c r="J2482" s="31" t="s">
        <v>967</v>
      </c>
      <c r="K2482" s="33" t="s">
        <v>7555</v>
      </c>
      <c r="L2482" s="31" t="s">
        <v>202</v>
      </c>
      <c r="N2482" s="31" t="s">
        <v>215</v>
      </c>
      <c r="W2482" s="31" t="s">
        <v>389</v>
      </c>
    </row>
    <row r="2483">
      <c r="A2483" s="29">
        <v>45972.43107756945</v>
      </c>
      <c r="B2483" s="30">
        <v>45972.0</v>
      </c>
      <c r="C2483" s="31" t="s">
        <v>7556</v>
      </c>
      <c r="D2483" s="32" t="s">
        <v>7557</v>
      </c>
      <c r="E2483" s="31" t="s">
        <v>228</v>
      </c>
      <c r="F2483" s="31">
        <v>2700000.0</v>
      </c>
      <c r="G2483" s="31" t="s">
        <v>23</v>
      </c>
      <c r="I2483" s="31" t="s">
        <v>229</v>
      </c>
      <c r="J2483" s="31" t="s">
        <v>967</v>
      </c>
      <c r="K2483" s="33" t="s">
        <v>7558</v>
      </c>
      <c r="L2483" s="31" t="s">
        <v>202</v>
      </c>
      <c r="N2483" s="31" t="s">
        <v>204</v>
      </c>
      <c r="R2483" s="31" t="s">
        <v>148</v>
      </c>
    </row>
    <row r="2484">
      <c r="A2484" s="29">
        <v>45972.431159375</v>
      </c>
      <c r="B2484" s="30">
        <v>45972.0</v>
      </c>
      <c r="C2484" s="31" t="s">
        <v>7559</v>
      </c>
      <c r="D2484" s="32" t="s">
        <v>7560</v>
      </c>
      <c r="E2484" s="31" t="s">
        <v>43</v>
      </c>
      <c r="F2484" s="31">
        <v>3100000.0</v>
      </c>
      <c r="G2484" s="31" t="s">
        <v>23</v>
      </c>
      <c r="I2484" s="31" t="s">
        <v>229</v>
      </c>
      <c r="J2484" s="31" t="s">
        <v>967</v>
      </c>
      <c r="K2484" s="33" t="s">
        <v>7561</v>
      </c>
      <c r="L2484" s="31" t="s">
        <v>252</v>
      </c>
      <c r="O2484" s="31" t="s">
        <v>205</v>
      </c>
      <c r="X2484" s="31" t="s">
        <v>716</v>
      </c>
    </row>
    <row r="2485">
      <c r="A2485" s="29">
        <v>45972.43300376157</v>
      </c>
      <c r="B2485" s="30">
        <v>45971.0</v>
      </c>
      <c r="C2485" s="31" t="s">
        <v>7562</v>
      </c>
      <c r="D2485" s="32" t="s">
        <v>7563</v>
      </c>
      <c r="E2485" s="31" t="s">
        <v>43</v>
      </c>
      <c r="F2485" s="31">
        <v>5000000.0</v>
      </c>
      <c r="G2485" s="31" t="s">
        <v>23</v>
      </c>
      <c r="I2485" s="31" t="s">
        <v>229</v>
      </c>
      <c r="J2485" s="31" t="s">
        <v>967</v>
      </c>
      <c r="K2485" s="33" t="s">
        <v>7564</v>
      </c>
      <c r="L2485" s="31" t="s">
        <v>252</v>
      </c>
      <c r="O2485" s="31" t="s">
        <v>257</v>
      </c>
      <c r="P2485" s="31" t="s">
        <v>258</v>
      </c>
    </row>
    <row r="2486">
      <c r="A2486" s="29">
        <v>45972.433029074076</v>
      </c>
      <c r="B2486" s="30">
        <v>45972.0</v>
      </c>
      <c r="C2486" s="31" t="s">
        <v>7559</v>
      </c>
      <c r="D2486" s="32" t="s">
        <v>7560</v>
      </c>
      <c r="E2486" s="31" t="s">
        <v>43</v>
      </c>
      <c r="F2486" s="31">
        <v>3100000.0</v>
      </c>
      <c r="G2486" s="31" t="s">
        <v>23</v>
      </c>
      <c r="I2486" s="31" t="s">
        <v>229</v>
      </c>
      <c r="J2486" s="31" t="s">
        <v>967</v>
      </c>
      <c r="K2486" s="33" t="s">
        <v>7565</v>
      </c>
      <c r="L2486" s="31" t="s">
        <v>252</v>
      </c>
      <c r="O2486" s="31" t="s">
        <v>205</v>
      </c>
      <c r="X2486" s="31" t="s">
        <v>716</v>
      </c>
    </row>
    <row r="2487">
      <c r="A2487" s="29">
        <v>45972.451155208335</v>
      </c>
      <c r="B2487" s="30">
        <v>45972.0</v>
      </c>
      <c r="C2487" s="31" t="s">
        <v>7566</v>
      </c>
      <c r="D2487" s="32" t="s">
        <v>7567</v>
      </c>
      <c r="E2487" s="31" t="s">
        <v>199</v>
      </c>
      <c r="F2487" s="31">
        <v>5000000.0</v>
      </c>
      <c r="G2487" s="31" t="s">
        <v>23</v>
      </c>
      <c r="H2487" s="31">
        <v>5000000.0</v>
      </c>
      <c r="I2487" s="31" t="s">
        <v>200</v>
      </c>
      <c r="K2487" s="33" t="s">
        <v>7568</v>
      </c>
      <c r="L2487" s="31" t="s">
        <v>252</v>
      </c>
      <c r="M2487" s="31" t="s">
        <v>926</v>
      </c>
      <c r="O2487" s="31" t="s">
        <v>205</v>
      </c>
      <c r="X2487" s="31" t="s">
        <v>549</v>
      </c>
    </row>
    <row r="2488">
      <c r="A2488" s="29">
        <v>45972.468923622684</v>
      </c>
      <c r="B2488" s="30">
        <v>45972.0</v>
      </c>
      <c r="C2488" s="31" t="s">
        <v>7569</v>
      </c>
      <c r="D2488" s="32" t="s">
        <v>7570</v>
      </c>
      <c r="E2488" s="31" t="s">
        <v>3680</v>
      </c>
      <c r="F2488" s="31">
        <v>3000000.0</v>
      </c>
      <c r="G2488" s="31" t="s">
        <v>23</v>
      </c>
      <c r="I2488" s="31" t="s">
        <v>229</v>
      </c>
      <c r="J2488" s="31" t="s">
        <v>967</v>
      </c>
      <c r="K2488" s="33" t="s">
        <v>7571</v>
      </c>
      <c r="L2488" s="31" t="s">
        <v>202</v>
      </c>
      <c r="N2488" s="31" t="s">
        <v>220</v>
      </c>
      <c r="S2488" s="31" t="s">
        <v>5512</v>
      </c>
    </row>
    <row r="2489">
      <c r="A2489" s="29">
        <v>45972.4945112037</v>
      </c>
      <c r="B2489" s="30">
        <v>45972.0</v>
      </c>
      <c r="C2489" s="31" t="s">
        <v>7572</v>
      </c>
      <c r="D2489" s="32" t="s">
        <v>7573</v>
      </c>
      <c r="E2489" s="31" t="s">
        <v>7574</v>
      </c>
      <c r="F2489" s="31">
        <v>3400000.0</v>
      </c>
      <c r="G2489" s="31" t="s">
        <v>23</v>
      </c>
      <c r="I2489" s="31" t="s">
        <v>229</v>
      </c>
      <c r="J2489" s="31" t="s">
        <v>967</v>
      </c>
      <c r="K2489" s="33" t="s">
        <v>7575</v>
      </c>
      <c r="L2489" s="31" t="s">
        <v>202</v>
      </c>
      <c r="N2489" s="31" t="s">
        <v>667</v>
      </c>
      <c r="U2489" s="31" t="s">
        <v>3950</v>
      </c>
    </row>
    <row r="2490">
      <c r="A2490" s="29">
        <v>45972.49647966435</v>
      </c>
      <c r="B2490" s="30">
        <v>45972.0</v>
      </c>
      <c r="C2490" s="31" t="s">
        <v>7576</v>
      </c>
      <c r="D2490" s="32" t="s">
        <v>7577</v>
      </c>
      <c r="E2490" s="31" t="s">
        <v>43</v>
      </c>
      <c r="F2490" s="31">
        <v>2.0E7</v>
      </c>
      <c r="G2490" s="31" t="s">
        <v>23</v>
      </c>
      <c r="I2490" s="31" t="s">
        <v>229</v>
      </c>
      <c r="J2490" s="31" t="s">
        <v>967</v>
      </c>
      <c r="K2490" s="33" t="s">
        <v>7578</v>
      </c>
      <c r="L2490" s="31" t="s">
        <v>202</v>
      </c>
      <c r="N2490" s="31" t="s">
        <v>500</v>
      </c>
      <c r="V2490" s="31" t="s">
        <v>6597</v>
      </c>
    </row>
    <row r="2491">
      <c r="A2491" s="29">
        <v>45972.498220925925</v>
      </c>
      <c r="B2491" s="30">
        <v>45972.0</v>
      </c>
      <c r="C2491" s="31" t="s">
        <v>4215</v>
      </c>
      <c r="D2491" s="32" t="s">
        <v>4216</v>
      </c>
      <c r="E2491" s="31" t="s">
        <v>2071</v>
      </c>
      <c r="F2491" s="31">
        <v>2400000.0</v>
      </c>
      <c r="G2491" s="31" t="s">
        <v>23</v>
      </c>
      <c r="I2491" s="31" t="s">
        <v>229</v>
      </c>
      <c r="J2491" s="31" t="s">
        <v>967</v>
      </c>
      <c r="K2491" s="33" t="s">
        <v>7579</v>
      </c>
      <c r="L2491" s="31" t="s">
        <v>202</v>
      </c>
      <c r="N2491" s="31" t="s">
        <v>667</v>
      </c>
      <c r="U2491" s="31" t="s">
        <v>3950</v>
      </c>
    </row>
    <row r="2492">
      <c r="A2492" s="29">
        <v>45972.51509877315</v>
      </c>
      <c r="B2492" s="30">
        <v>45972.0</v>
      </c>
      <c r="C2492" s="31" t="s">
        <v>7580</v>
      </c>
      <c r="D2492" s="32" t="s">
        <v>7581</v>
      </c>
      <c r="E2492" s="31" t="s">
        <v>43</v>
      </c>
      <c r="F2492" s="31">
        <v>2.5E7</v>
      </c>
      <c r="G2492" s="31" t="s">
        <v>23</v>
      </c>
      <c r="I2492" s="31" t="s">
        <v>229</v>
      </c>
      <c r="J2492" s="31" t="s">
        <v>967</v>
      </c>
      <c r="K2492" s="33" t="s">
        <v>7582</v>
      </c>
      <c r="L2492" s="31" t="s">
        <v>202</v>
      </c>
      <c r="N2492" s="31" t="s">
        <v>500</v>
      </c>
      <c r="V2492" s="31" t="s">
        <v>6597</v>
      </c>
    </row>
    <row r="2493">
      <c r="A2493" s="29">
        <v>45972.51750716435</v>
      </c>
      <c r="B2493" s="30">
        <v>45972.0</v>
      </c>
      <c r="C2493" s="31" t="s">
        <v>7583</v>
      </c>
      <c r="D2493" s="32" t="s">
        <v>7584</v>
      </c>
      <c r="E2493" s="31" t="s">
        <v>43</v>
      </c>
      <c r="F2493" s="31">
        <v>3000000.0</v>
      </c>
      <c r="G2493" s="31" t="s">
        <v>23</v>
      </c>
      <c r="I2493" s="31" t="s">
        <v>229</v>
      </c>
      <c r="J2493" s="31" t="s">
        <v>498</v>
      </c>
      <c r="K2493" s="33" t="s">
        <v>7585</v>
      </c>
      <c r="L2493" s="31" t="s">
        <v>202</v>
      </c>
      <c r="N2493" s="31" t="s">
        <v>500</v>
      </c>
      <c r="V2493" s="31" t="s">
        <v>501</v>
      </c>
    </row>
    <row r="2494">
      <c r="A2494" s="29">
        <v>45972.51916358796</v>
      </c>
      <c r="B2494" s="30">
        <v>45972.0</v>
      </c>
      <c r="C2494" s="31" t="s">
        <v>7586</v>
      </c>
      <c r="D2494" s="32" t="s">
        <v>7587</v>
      </c>
      <c r="E2494" s="31" t="s">
        <v>288</v>
      </c>
      <c r="F2494" s="31">
        <v>4000000.0</v>
      </c>
      <c r="G2494" s="31" t="s">
        <v>45</v>
      </c>
      <c r="I2494" s="31" t="s">
        <v>229</v>
      </c>
      <c r="J2494" s="31" t="s">
        <v>967</v>
      </c>
      <c r="K2494" s="33" t="s">
        <v>7588</v>
      </c>
      <c r="L2494" s="31" t="s">
        <v>252</v>
      </c>
      <c r="O2494" s="31" t="s">
        <v>257</v>
      </c>
      <c r="P2494" s="31" t="s">
        <v>285</v>
      </c>
    </row>
    <row r="2495">
      <c r="A2495" s="29">
        <v>45972.53690994213</v>
      </c>
      <c r="B2495" s="30">
        <v>45972.0</v>
      </c>
      <c r="C2495" s="31" t="s">
        <v>7589</v>
      </c>
      <c r="D2495" s="32" t="s">
        <v>7590</v>
      </c>
      <c r="E2495" s="31" t="s">
        <v>228</v>
      </c>
      <c r="F2495" s="34">
        <v>2500000.0</v>
      </c>
      <c r="G2495" s="31" t="s">
        <v>23</v>
      </c>
      <c r="I2495" s="31" t="s">
        <v>229</v>
      </c>
      <c r="J2495" s="31" t="s">
        <v>967</v>
      </c>
      <c r="K2495" s="33" t="s">
        <v>7591</v>
      </c>
      <c r="L2495" s="31" t="s">
        <v>202</v>
      </c>
      <c r="N2495" s="31" t="s">
        <v>204</v>
      </c>
      <c r="R2495" s="31" t="s">
        <v>148</v>
      </c>
    </row>
    <row r="2496">
      <c r="A2496" s="29">
        <v>45972.55661836806</v>
      </c>
      <c r="B2496" s="30">
        <v>45972.0</v>
      </c>
      <c r="C2496" s="31" t="s">
        <v>7592</v>
      </c>
      <c r="D2496" s="32" t="s">
        <v>7593</v>
      </c>
      <c r="E2496" s="31" t="s">
        <v>31</v>
      </c>
      <c r="F2496" s="31">
        <v>1.08E7</v>
      </c>
      <c r="G2496" s="31" t="s">
        <v>23</v>
      </c>
      <c r="H2496" s="31">
        <v>3000000.0</v>
      </c>
      <c r="I2496" s="31" t="s">
        <v>413</v>
      </c>
      <c r="K2496" s="33" t="s">
        <v>7594</v>
      </c>
      <c r="L2496" s="31" t="s">
        <v>202</v>
      </c>
      <c r="M2496" s="31" t="s">
        <v>203</v>
      </c>
      <c r="N2496" s="31" t="s">
        <v>667</v>
      </c>
      <c r="U2496" s="31" t="s">
        <v>668</v>
      </c>
    </row>
    <row r="2497">
      <c r="A2497" s="29">
        <v>45972.59319244213</v>
      </c>
      <c r="B2497" s="30">
        <v>45972.0</v>
      </c>
      <c r="C2497" s="31" t="s">
        <v>7595</v>
      </c>
      <c r="D2497" s="32" t="s">
        <v>7596</v>
      </c>
      <c r="E2497" s="31" t="s">
        <v>43</v>
      </c>
      <c r="F2497" s="31">
        <v>4000000.0</v>
      </c>
      <c r="G2497" s="31" t="s">
        <v>23</v>
      </c>
      <c r="H2497" s="31">
        <v>3000000.0</v>
      </c>
      <c r="I2497" s="31" t="s">
        <v>413</v>
      </c>
      <c r="K2497" s="33" t="s">
        <v>7597</v>
      </c>
      <c r="L2497" s="31" t="s">
        <v>252</v>
      </c>
      <c r="M2497" s="31" t="s">
        <v>203</v>
      </c>
      <c r="O2497" s="31" t="s">
        <v>205</v>
      </c>
      <c r="X2497" s="31" t="s">
        <v>452</v>
      </c>
    </row>
    <row r="2498">
      <c r="A2498" s="29">
        <v>45972.59974075231</v>
      </c>
      <c r="B2498" s="30">
        <v>45972.0</v>
      </c>
      <c r="C2498" s="31" t="s">
        <v>7598</v>
      </c>
      <c r="D2498" s="32" t="s">
        <v>7599</v>
      </c>
      <c r="E2498" s="31" t="s">
        <v>199</v>
      </c>
      <c r="F2498" s="31">
        <v>7500000.0</v>
      </c>
      <c r="G2498" s="31" t="s">
        <v>23</v>
      </c>
      <c r="H2498" s="31">
        <v>7000000.0</v>
      </c>
      <c r="I2498" s="31" t="s">
        <v>200</v>
      </c>
      <c r="K2498" s="33" t="s">
        <v>7600</v>
      </c>
      <c r="L2498" s="31" t="s">
        <v>252</v>
      </c>
      <c r="M2498" s="31" t="s">
        <v>605</v>
      </c>
      <c r="O2498" s="31" t="s">
        <v>257</v>
      </c>
      <c r="P2498" s="31" t="s">
        <v>258</v>
      </c>
    </row>
    <row r="2499">
      <c r="A2499" s="29">
        <v>45972.605607777776</v>
      </c>
      <c r="B2499" s="30">
        <v>45972.0</v>
      </c>
      <c r="C2499" s="31" t="s">
        <v>7601</v>
      </c>
      <c r="D2499" s="32" t="s">
        <v>7602</v>
      </c>
      <c r="E2499" s="31" t="s">
        <v>31</v>
      </c>
      <c r="F2499" s="31">
        <v>3000000.0</v>
      </c>
      <c r="G2499" s="31" t="s">
        <v>23</v>
      </c>
      <c r="I2499" s="31" t="s">
        <v>229</v>
      </c>
      <c r="J2499" s="31" t="s">
        <v>967</v>
      </c>
      <c r="K2499" s="33" t="s">
        <v>7603</v>
      </c>
      <c r="L2499" s="31" t="s">
        <v>252</v>
      </c>
      <c r="O2499" s="31" t="s">
        <v>257</v>
      </c>
      <c r="P2499" s="31" t="s">
        <v>3194</v>
      </c>
    </row>
    <row r="2500">
      <c r="A2500" s="29">
        <v>45972.60584934028</v>
      </c>
      <c r="B2500" s="30">
        <v>45972.0</v>
      </c>
      <c r="C2500" s="31" t="s">
        <v>7604</v>
      </c>
      <c r="D2500" s="32" t="s">
        <v>7605</v>
      </c>
      <c r="E2500" s="31" t="s">
        <v>283</v>
      </c>
      <c r="F2500" s="31">
        <v>6200000.0</v>
      </c>
      <c r="G2500" s="31" t="s">
        <v>23</v>
      </c>
      <c r="I2500" s="31" t="s">
        <v>229</v>
      </c>
      <c r="J2500" s="31" t="s">
        <v>967</v>
      </c>
      <c r="K2500" s="33" t="s">
        <v>7606</v>
      </c>
      <c r="L2500" s="31" t="s">
        <v>252</v>
      </c>
      <c r="O2500" s="31" t="s">
        <v>257</v>
      </c>
      <c r="P2500" s="31" t="s">
        <v>272</v>
      </c>
    </row>
    <row r="2501">
      <c r="A2501" s="29">
        <v>45972.62215601852</v>
      </c>
      <c r="B2501" s="30">
        <v>45972.0</v>
      </c>
      <c r="C2501" s="31" t="s">
        <v>7607</v>
      </c>
      <c r="D2501" s="32" t="s">
        <v>4253</v>
      </c>
      <c r="E2501" s="31" t="s">
        <v>228</v>
      </c>
      <c r="F2501" s="31">
        <v>2500000.0</v>
      </c>
      <c r="G2501" s="31" t="s">
        <v>23</v>
      </c>
      <c r="I2501" s="31" t="s">
        <v>229</v>
      </c>
      <c r="J2501" s="31" t="s">
        <v>967</v>
      </c>
      <c r="K2501" s="33" t="s">
        <v>7608</v>
      </c>
      <c r="L2501" s="31" t="s">
        <v>252</v>
      </c>
      <c r="O2501" s="31" t="s">
        <v>257</v>
      </c>
      <c r="P2501" s="31" t="s">
        <v>206</v>
      </c>
    </row>
    <row r="2502">
      <c r="A2502" s="29">
        <v>45972.62560886574</v>
      </c>
      <c r="B2502" s="30">
        <v>45972.0</v>
      </c>
      <c r="C2502" s="31" t="s">
        <v>7609</v>
      </c>
      <c r="D2502" s="32" t="s">
        <v>7610</v>
      </c>
      <c r="E2502" s="31" t="s">
        <v>43</v>
      </c>
      <c r="F2502" s="31">
        <v>5000000.0</v>
      </c>
      <c r="G2502" s="31" t="s">
        <v>23</v>
      </c>
      <c r="I2502" s="31" t="s">
        <v>229</v>
      </c>
      <c r="J2502" s="31" t="s">
        <v>967</v>
      </c>
      <c r="K2502" s="33" t="s">
        <v>7611</v>
      </c>
      <c r="L2502" s="31" t="s">
        <v>202</v>
      </c>
      <c r="N2502" s="31" t="s">
        <v>220</v>
      </c>
      <c r="S2502" s="31" t="s">
        <v>466</v>
      </c>
    </row>
    <row r="2503">
      <c r="A2503" s="29">
        <v>45972.62957456018</v>
      </c>
      <c r="B2503" s="30">
        <v>45972.0</v>
      </c>
      <c r="C2503" s="31" t="s">
        <v>7612</v>
      </c>
      <c r="D2503" s="32" t="s">
        <v>7613</v>
      </c>
      <c r="E2503" s="31" t="s">
        <v>3680</v>
      </c>
      <c r="F2503" s="31">
        <v>3500000.0</v>
      </c>
      <c r="G2503" s="31" t="s">
        <v>23</v>
      </c>
      <c r="H2503" s="31">
        <v>3000000.0</v>
      </c>
      <c r="I2503" s="31" t="s">
        <v>413</v>
      </c>
      <c r="K2503" s="33" t="s">
        <v>7614</v>
      </c>
      <c r="L2503" s="31" t="s">
        <v>202</v>
      </c>
      <c r="M2503" s="31" t="s">
        <v>203</v>
      </c>
      <c r="N2503" s="31" t="s">
        <v>220</v>
      </c>
      <c r="S2503" s="31" t="s">
        <v>5512</v>
      </c>
    </row>
    <row r="2504">
      <c r="A2504" s="29">
        <v>45972.64167773148</v>
      </c>
      <c r="B2504" s="30">
        <v>45972.0</v>
      </c>
      <c r="C2504" s="31" t="s">
        <v>7615</v>
      </c>
      <c r="D2504" s="32" t="s">
        <v>7616</v>
      </c>
      <c r="E2504" s="31" t="s">
        <v>7617</v>
      </c>
      <c r="F2504" s="31">
        <v>3200000.0</v>
      </c>
      <c r="G2504" s="31" t="s">
        <v>23</v>
      </c>
      <c r="I2504" s="31" t="s">
        <v>229</v>
      </c>
      <c r="J2504" s="31" t="s">
        <v>967</v>
      </c>
      <c r="K2504" s="33" t="s">
        <v>7618</v>
      </c>
      <c r="L2504" s="31" t="s">
        <v>202</v>
      </c>
      <c r="N2504" s="31" t="s">
        <v>667</v>
      </c>
      <c r="U2504" s="31" t="s">
        <v>3950</v>
      </c>
    </row>
    <row r="2505">
      <c r="A2505" s="29">
        <v>45972.654320104164</v>
      </c>
      <c r="B2505" s="30">
        <v>45972.0</v>
      </c>
      <c r="C2505" s="31" t="s">
        <v>7619</v>
      </c>
      <c r="D2505" s="32" t="s">
        <v>7620</v>
      </c>
      <c r="E2505" s="31" t="s">
        <v>31</v>
      </c>
      <c r="F2505" s="31">
        <v>4000000.0</v>
      </c>
      <c r="G2505" s="31" t="s">
        <v>23</v>
      </c>
      <c r="I2505" s="31" t="s">
        <v>229</v>
      </c>
      <c r="J2505" s="31" t="s">
        <v>967</v>
      </c>
      <c r="K2505" s="33" t="s">
        <v>7621</v>
      </c>
      <c r="L2505" s="31" t="s">
        <v>252</v>
      </c>
      <c r="O2505" s="31" t="s">
        <v>205</v>
      </c>
      <c r="X2505" s="31" t="s">
        <v>452</v>
      </c>
    </row>
    <row r="2506">
      <c r="A2506" s="29">
        <v>45972.65565015047</v>
      </c>
      <c r="B2506" s="30">
        <v>45972.0</v>
      </c>
      <c r="C2506" s="31" t="s">
        <v>7622</v>
      </c>
      <c r="D2506" s="32" t="s">
        <v>7623</v>
      </c>
      <c r="E2506" s="31" t="s">
        <v>43</v>
      </c>
      <c r="F2506" s="31">
        <v>2000000.0</v>
      </c>
      <c r="G2506" s="31" t="s">
        <v>23</v>
      </c>
      <c r="H2506" s="31">
        <v>3000000.0</v>
      </c>
      <c r="I2506" s="31" t="s">
        <v>200</v>
      </c>
      <c r="K2506" s="33" t="s">
        <v>7624</v>
      </c>
      <c r="L2506" s="31" t="s">
        <v>202</v>
      </c>
      <c r="M2506" s="31" t="s">
        <v>5638</v>
      </c>
      <c r="N2506" s="31" t="s">
        <v>215</v>
      </c>
      <c r="W2506" s="31" t="s">
        <v>216</v>
      </c>
    </row>
    <row r="2507">
      <c r="A2507" s="29">
        <v>45972.673821296296</v>
      </c>
      <c r="B2507" s="30">
        <v>45972.0</v>
      </c>
      <c r="C2507" s="31" t="s">
        <v>7625</v>
      </c>
      <c r="D2507" s="32" t="s">
        <v>7626</v>
      </c>
      <c r="E2507" s="31" t="s">
        <v>335</v>
      </c>
      <c r="F2507" s="31">
        <v>2.07E8</v>
      </c>
      <c r="G2507" s="31" t="s">
        <v>23</v>
      </c>
      <c r="H2507" s="31">
        <v>3000000.0</v>
      </c>
      <c r="I2507" s="31" t="s">
        <v>413</v>
      </c>
      <c r="K2507" s="33" t="s">
        <v>7627</v>
      </c>
      <c r="L2507" s="31" t="s">
        <v>202</v>
      </c>
      <c r="M2507" s="31" t="s">
        <v>203</v>
      </c>
      <c r="N2507" s="31" t="s">
        <v>500</v>
      </c>
      <c r="V2507" s="31" t="s">
        <v>6597</v>
      </c>
    </row>
    <row r="2508">
      <c r="A2508" s="29">
        <v>45972.69045447916</v>
      </c>
      <c r="B2508" s="30">
        <v>45972.0</v>
      </c>
      <c r="C2508" s="31" t="s">
        <v>7628</v>
      </c>
      <c r="D2508" s="32" t="s">
        <v>7629</v>
      </c>
      <c r="E2508" s="31" t="s">
        <v>43</v>
      </c>
      <c r="F2508" s="31">
        <v>2500000.0</v>
      </c>
      <c r="G2508" s="31" t="s">
        <v>23</v>
      </c>
      <c r="I2508" s="31" t="s">
        <v>229</v>
      </c>
      <c r="J2508" s="31" t="s">
        <v>967</v>
      </c>
      <c r="K2508" s="33" t="s">
        <v>7630</v>
      </c>
      <c r="L2508" s="31" t="s">
        <v>202</v>
      </c>
      <c r="N2508" s="31" t="s">
        <v>871</v>
      </c>
      <c r="Q2508" s="31" t="s">
        <v>1021</v>
      </c>
    </row>
    <row r="2509">
      <c r="A2509" s="29">
        <v>45972.694230243054</v>
      </c>
      <c r="B2509" s="30">
        <v>45972.0</v>
      </c>
      <c r="C2509" s="31" t="s">
        <v>7631</v>
      </c>
      <c r="D2509" s="32" t="s">
        <v>7632</v>
      </c>
      <c r="E2509" s="31" t="s">
        <v>43</v>
      </c>
      <c r="F2509" s="31">
        <v>3000000.0</v>
      </c>
      <c r="G2509" s="31" t="s">
        <v>23</v>
      </c>
      <c r="H2509" s="31">
        <v>5000000.0</v>
      </c>
      <c r="I2509" s="31" t="s">
        <v>413</v>
      </c>
      <c r="K2509" s="33" t="s">
        <v>7633</v>
      </c>
      <c r="L2509" s="31" t="s">
        <v>202</v>
      </c>
      <c r="M2509" s="31" t="s">
        <v>203</v>
      </c>
      <c r="N2509" s="31" t="s">
        <v>871</v>
      </c>
      <c r="Q2509" s="31" t="s">
        <v>872</v>
      </c>
    </row>
    <row r="2510">
      <c r="A2510" s="29">
        <v>45972.71060612268</v>
      </c>
      <c r="B2510" s="30">
        <v>45972.0</v>
      </c>
      <c r="C2510" s="31" t="s">
        <v>7634</v>
      </c>
      <c r="D2510" s="32" t="s">
        <v>4253</v>
      </c>
      <c r="E2510" s="31" t="s">
        <v>199</v>
      </c>
      <c r="F2510" s="31">
        <v>3500000.0</v>
      </c>
      <c r="G2510" s="31" t="s">
        <v>23</v>
      </c>
      <c r="I2510" s="31" t="s">
        <v>229</v>
      </c>
      <c r="J2510" s="31" t="s">
        <v>967</v>
      </c>
      <c r="K2510" s="33" t="s">
        <v>7635</v>
      </c>
      <c r="L2510" s="31" t="s">
        <v>252</v>
      </c>
      <c r="O2510" s="31" t="s">
        <v>257</v>
      </c>
      <c r="P2510" s="31" t="s">
        <v>206</v>
      </c>
    </row>
    <row r="2511">
      <c r="A2511" s="29">
        <v>45972.71194298611</v>
      </c>
      <c r="B2511" s="30">
        <v>45972.0</v>
      </c>
      <c r="C2511" s="31" t="s">
        <v>7636</v>
      </c>
      <c r="D2511" s="32" t="s">
        <v>7637</v>
      </c>
      <c r="E2511" s="31" t="s">
        <v>43</v>
      </c>
      <c r="F2511" s="31">
        <v>2800000.0</v>
      </c>
      <c r="G2511" s="31" t="s">
        <v>23</v>
      </c>
      <c r="I2511" s="31" t="s">
        <v>229</v>
      </c>
      <c r="J2511" s="31" t="s">
        <v>967</v>
      </c>
      <c r="K2511" s="33" t="s">
        <v>7638</v>
      </c>
      <c r="L2511" s="31" t="s">
        <v>202</v>
      </c>
      <c r="N2511" s="31" t="s">
        <v>871</v>
      </c>
      <c r="Q2511" s="31" t="s">
        <v>1021</v>
      </c>
    </row>
    <row r="2512">
      <c r="A2512" s="29">
        <v>45972.71758802084</v>
      </c>
      <c r="B2512" s="30">
        <v>45972.0</v>
      </c>
      <c r="C2512" s="31" t="s">
        <v>7639</v>
      </c>
      <c r="D2512" s="32" t="s">
        <v>7640</v>
      </c>
      <c r="E2512" s="31" t="s">
        <v>288</v>
      </c>
      <c r="F2512" s="31">
        <v>50.0</v>
      </c>
      <c r="G2512" s="31" t="s">
        <v>23</v>
      </c>
      <c r="H2512" s="31">
        <v>3000000.0</v>
      </c>
      <c r="I2512" s="31" t="s">
        <v>200</v>
      </c>
      <c r="K2512" s="33" t="s">
        <v>7641</v>
      </c>
      <c r="L2512" s="31" t="s">
        <v>202</v>
      </c>
      <c r="M2512" s="31" t="s">
        <v>5638</v>
      </c>
      <c r="N2512" s="31" t="s">
        <v>313</v>
      </c>
      <c r="T2512" s="31" t="s">
        <v>4272</v>
      </c>
    </row>
    <row r="2513">
      <c r="A2513" s="29">
        <v>45972.7296283912</v>
      </c>
      <c r="B2513" s="30">
        <v>45972.0</v>
      </c>
      <c r="C2513" s="31" t="s">
        <v>7642</v>
      </c>
      <c r="D2513" s="32" t="s">
        <v>7643</v>
      </c>
      <c r="E2513" s="31" t="s">
        <v>228</v>
      </c>
      <c r="F2513" s="34">
        <v>2500.0</v>
      </c>
      <c r="G2513" s="31" t="s">
        <v>23</v>
      </c>
      <c r="I2513" s="31" t="s">
        <v>229</v>
      </c>
      <c r="J2513" s="31" t="s">
        <v>967</v>
      </c>
      <c r="K2513" s="33" t="s">
        <v>7644</v>
      </c>
      <c r="L2513" s="31" t="s">
        <v>202</v>
      </c>
      <c r="N2513" s="31" t="s">
        <v>871</v>
      </c>
      <c r="Q2513" s="31" t="s">
        <v>2403</v>
      </c>
    </row>
    <row r="2514">
      <c r="A2514" s="29">
        <v>45972.75765490741</v>
      </c>
      <c r="B2514" s="30">
        <v>45972.0</v>
      </c>
      <c r="C2514" s="31" t="s">
        <v>7645</v>
      </c>
      <c r="D2514" s="32" t="s">
        <v>7646</v>
      </c>
      <c r="E2514" s="31" t="s">
        <v>43</v>
      </c>
      <c r="F2514" s="31">
        <v>5700000.0</v>
      </c>
      <c r="G2514" s="31" t="s">
        <v>23</v>
      </c>
      <c r="I2514" s="31" t="s">
        <v>229</v>
      </c>
      <c r="J2514" s="31" t="s">
        <v>967</v>
      </c>
      <c r="K2514" s="33" t="s">
        <v>7647</v>
      </c>
      <c r="L2514" s="31" t="s">
        <v>202</v>
      </c>
      <c r="N2514" s="31" t="s">
        <v>220</v>
      </c>
      <c r="S2514" s="31" t="s">
        <v>896</v>
      </c>
    </row>
    <row r="2515">
      <c r="A2515" s="29">
        <v>45972.76853543981</v>
      </c>
      <c r="B2515" s="30">
        <v>45972.0</v>
      </c>
      <c r="C2515" s="31" t="s">
        <v>7648</v>
      </c>
      <c r="D2515" s="32" t="s">
        <v>7649</v>
      </c>
      <c r="E2515" s="31" t="s">
        <v>156</v>
      </c>
      <c r="F2515" s="31">
        <v>4100000.0</v>
      </c>
      <c r="G2515" s="31" t="s">
        <v>45</v>
      </c>
      <c r="I2515" s="31" t="s">
        <v>229</v>
      </c>
      <c r="J2515" s="31" t="s">
        <v>967</v>
      </c>
      <c r="K2515" s="33" t="s">
        <v>7650</v>
      </c>
      <c r="L2515" s="31" t="s">
        <v>252</v>
      </c>
      <c r="O2515" s="31" t="s">
        <v>205</v>
      </c>
      <c r="X2515" s="31" t="s">
        <v>569</v>
      </c>
    </row>
    <row r="2516">
      <c r="A2516" s="29">
        <v>45972.776688784725</v>
      </c>
      <c r="B2516" s="30">
        <v>45972.0</v>
      </c>
      <c r="C2516" s="31" t="s">
        <v>7651</v>
      </c>
      <c r="D2516" s="32" t="s">
        <v>7652</v>
      </c>
      <c r="E2516" s="31" t="s">
        <v>7653</v>
      </c>
      <c r="F2516" s="31">
        <v>3100000.0</v>
      </c>
      <c r="G2516" s="31" t="s">
        <v>23</v>
      </c>
      <c r="I2516" s="31" t="s">
        <v>229</v>
      </c>
      <c r="J2516" s="31" t="s">
        <v>967</v>
      </c>
      <c r="K2516" s="33" t="s">
        <v>7654</v>
      </c>
      <c r="L2516" s="31" t="s">
        <v>202</v>
      </c>
      <c r="N2516" s="31" t="s">
        <v>313</v>
      </c>
      <c r="T2516" s="31" t="s">
        <v>384</v>
      </c>
    </row>
    <row r="2517">
      <c r="A2517" s="29">
        <v>45972.77676180555</v>
      </c>
      <c r="B2517" s="30">
        <v>45972.0</v>
      </c>
      <c r="C2517" s="31" t="s">
        <v>7655</v>
      </c>
      <c r="D2517" s="32" t="s">
        <v>7656</v>
      </c>
      <c r="E2517" s="31" t="s">
        <v>2902</v>
      </c>
      <c r="F2517" s="31">
        <v>3700000.0</v>
      </c>
      <c r="G2517" s="31" t="s">
        <v>23</v>
      </c>
      <c r="I2517" s="31" t="s">
        <v>229</v>
      </c>
      <c r="J2517" s="31" t="s">
        <v>967</v>
      </c>
      <c r="K2517" s="33" t="s">
        <v>7657</v>
      </c>
      <c r="L2517" s="31" t="s">
        <v>202</v>
      </c>
      <c r="N2517" s="31" t="s">
        <v>220</v>
      </c>
      <c r="S2517" s="31" t="s">
        <v>36</v>
      </c>
    </row>
    <row r="2518">
      <c r="A2518" s="29">
        <v>45972.80957946759</v>
      </c>
      <c r="B2518" s="30">
        <v>45972.0</v>
      </c>
      <c r="C2518" s="31" t="s">
        <v>7658</v>
      </c>
      <c r="D2518" s="32" t="s">
        <v>7659</v>
      </c>
      <c r="E2518" s="31" t="s">
        <v>43</v>
      </c>
      <c r="F2518" s="31">
        <v>3700000.0</v>
      </c>
      <c r="G2518" s="31" t="s">
        <v>23</v>
      </c>
      <c r="I2518" s="31" t="s">
        <v>229</v>
      </c>
      <c r="J2518" s="31" t="s">
        <v>967</v>
      </c>
      <c r="K2518" s="33" t="s">
        <v>7660</v>
      </c>
      <c r="L2518" s="31" t="s">
        <v>202</v>
      </c>
      <c r="N2518" s="31" t="s">
        <v>204</v>
      </c>
      <c r="R2518" s="31" t="s">
        <v>5256</v>
      </c>
    </row>
    <row r="2519">
      <c r="A2519" s="29">
        <v>45972.81908667824</v>
      </c>
      <c r="B2519" s="30">
        <v>45972.0</v>
      </c>
      <c r="C2519" s="31" t="s">
        <v>7661</v>
      </c>
      <c r="D2519" s="32" t="s">
        <v>7662</v>
      </c>
      <c r="E2519" s="31" t="s">
        <v>199</v>
      </c>
      <c r="F2519" s="31">
        <v>7000000.0</v>
      </c>
      <c r="G2519" s="31" t="s">
        <v>23</v>
      </c>
      <c r="H2519" s="31">
        <v>3000000.0</v>
      </c>
      <c r="I2519" s="31" t="s">
        <v>413</v>
      </c>
      <c r="K2519" s="33" t="s">
        <v>7663</v>
      </c>
      <c r="L2519" s="31" t="s">
        <v>202</v>
      </c>
      <c r="M2519" s="31" t="s">
        <v>5638</v>
      </c>
      <c r="N2519" s="31" t="s">
        <v>667</v>
      </c>
      <c r="U2519" s="31" t="s">
        <v>668</v>
      </c>
    </row>
    <row r="2520">
      <c r="A2520" s="29">
        <v>45972.82372020833</v>
      </c>
      <c r="B2520" s="30">
        <v>45972.0</v>
      </c>
      <c r="C2520" s="31" t="s">
        <v>7664</v>
      </c>
      <c r="D2520" s="32" t="s">
        <v>7665</v>
      </c>
      <c r="E2520" s="31" t="s">
        <v>43</v>
      </c>
      <c r="F2520" s="31">
        <v>3000000.0</v>
      </c>
      <c r="G2520" s="31" t="s">
        <v>23</v>
      </c>
      <c r="I2520" s="31" t="s">
        <v>229</v>
      </c>
      <c r="J2520" s="31" t="s">
        <v>967</v>
      </c>
      <c r="K2520" s="33" t="s">
        <v>7666</v>
      </c>
      <c r="L2520" s="31" t="s">
        <v>202</v>
      </c>
      <c r="N2520" s="31" t="s">
        <v>215</v>
      </c>
      <c r="W2520" s="31" t="s">
        <v>389</v>
      </c>
    </row>
    <row r="2521">
      <c r="A2521" s="29">
        <v>45972.83655949074</v>
      </c>
      <c r="B2521" s="30">
        <v>45972.0</v>
      </c>
      <c r="C2521" s="31" t="s">
        <v>7667</v>
      </c>
      <c r="D2521" s="32" t="s">
        <v>7668</v>
      </c>
      <c r="E2521" s="31" t="s">
        <v>31</v>
      </c>
      <c r="F2521" s="31">
        <v>1.2E8</v>
      </c>
      <c r="G2521" s="31" t="s">
        <v>23</v>
      </c>
      <c r="I2521" s="31" t="s">
        <v>229</v>
      </c>
      <c r="J2521" s="31" t="s">
        <v>967</v>
      </c>
      <c r="K2521" s="33" t="s">
        <v>7669</v>
      </c>
      <c r="L2521" s="31" t="s">
        <v>202</v>
      </c>
      <c r="N2521" s="31" t="s">
        <v>204</v>
      </c>
      <c r="R2521" s="31" t="s">
        <v>471</v>
      </c>
    </row>
    <row r="2522">
      <c r="A2522" s="29">
        <v>45972.83816293981</v>
      </c>
      <c r="B2522" s="30">
        <v>45972.0</v>
      </c>
      <c r="C2522" s="31" t="s">
        <v>7670</v>
      </c>
      <c r="D2522" s="32" t="s">
        <v>7671</v>
      </c>
      <c r="E2522" s="31" t="s">
        <v>31</v>
      </c>
      <c r="F2522" s="31">
        <v>1.0E7</v>
      </c>
      <c r="G2522" s="31" t="s">
        <v>23</v>
      </c>
      <c r="I2522" s="31" t="s">
        <v>229</v>
      </c>
      <c r="J2522" s="31" t="s">
        <v>967</v>
      </c>
      <c r="K2522" s="33" t="s">
        <v>7672</v>
      </c>
      <c r="L2522" s="31" t="s">
        <v>202</v>
      </c>
      <c r="N2522" s="31" t="s">
        <v>204</v>
      </c>
      <c r="R2522" s="31" t="s">
        <v>471</v>
      </c>
    </row>
    <row r="2523">
      <c r="A2523" s="29">
        <v>45972.84090795139</v>
      </c>
      <c r="B2523" s="30">
        <v>45972.0</v>
      </c>
      <c r="C2523" s="31" t="s">
        <v>7673</v>
      </c>
      <c r="D2523" s="32" t="s">
        <v>7674</v>
      </c>
      <c r="E2523" s="31" t="s">
        <v>559</v>
      </c>
      <c r="F2523" s="31">
        <v>3500000.0</v>
      </c>
      <c r="G2523" s="31" t="s">
        <v>23</v>
      </c>
      <c r="I2523" s="31" t="s">
        <v>229</v>
      </c>
      <c r="J2523" s="31" t="s">
        <v>967</v>
      </c>
      <c r="K2523" s="33" t="s">
        <v>7675</v>
      </c>
      <c r="L2523" s="31" t="s">
        <v>202</v>
      </c>
      <c r="N2523" s="31" t="s">
        <v>220</v>
      </c>
      <c r="S2523" s="31" t="s">
        <v>59</v>
      </c>
    </row>
    <row r="2524">
      <c r="A2524" s="29">
        <v>45972.84197083334</v>
      </c>
      <c r="B2524" s="30">
        <v>45972.0</v>
      </c>
      <c r="C2524" s="31" t="s">
        <v>7676</v>
      </c>
      <c r="D2524" s="31">
        <v>1.0E8</v>
      </c>
      <c r="E2524" s="31" t="s">
        <v>31</v>
      </c>
      <c r="F2524" s="31">
        <v>1.0E8</v>
      </c>
      <c r="G2524" s="31" t="s">
        <v>23</v>
      </c>
      <c r="I2524" s="31" t="s">
        <v>229</v>
      </c>
      <c r="J2524" s="31" t="s">
        <v>967</v>
      </c>
      <c r="K2524" s="33" t="s">
        <v>7677</v>
      </c>
      <c r="L2524" s="31" t="s">
        <v>202</v>
      </c>
      <c r="N2524" s="31" t="s">
        <v>204</v>
      </c>
      <c r="R2524" s="31" t="s">
        <v>471</v>
      </c>
    </row>
    <row r="2525">
      <c r="A2525" s="29">
        <v>45972.860124189814</v>
      </c>
      <c r="B2525" s="30">
        <v>45972.0</v>
      </c>
      <c r="C2525" s="31" t="s">
        <v>7678</v>
      </c>
      <c r="D2525" s="31">
        <v>8.95322375983E11</v>
      </c>
      <c r="E2525" s="31" t="s">
        <v>784</v>
      </c>
      <c r="F2525" s="31">
        <v>3500000.0</v>
      </c>
      <c r="G2525" s="31" t="s">
        <v>23</v>
      </c>
      <c r="I2525" s="31" t="s">
        <v>229</v>
      </c>
      <c r="J2525" s="31" t="s">
        <v>967</v>
      </c>
      <c r="K2525" s="33" t="s">
        <v>7679</v>
      </c>
      <c r="L2525" s="31" t="s">
        <v>202</v>
      </c>
      <c r="N2525" s="31" t="s">
        <v>204</v>
      </c>
      <c r="R2525" s="31" t="s">
        <v>98</v>
      </c>
    </row>
    <row r="2526">
      <c r="A2526" s="29">
        <v>45972.862822118055</v>
      </c>
      <c r="B2526" s="30">
        <v>45972.0</v>
      </c>
      <c r="C2526" s="31" t="s">
        <v>7680</v>
      </c>
      <c r="D2526" s="32" t="s">
        <v>7681</v>
      </c>
      <c r="E2526" s="31" t="s">
        <v>228</v>
      </c>
      <c r="F2526" s="31">
        <v>3000000.0</v>
      </c>
      <c r="G2526" s="31" t="s">
        <v>23</v>
      </c>
      <c r="H2526" s="31">
        <v>3000000.0</v>
      </c>
      <c r="I2526" s="31" t="s">
        <v>200</v>
      </c>
      <c r="K2526" s="33" t="s">
        <v>7682</v>
      </c>
      <c r="L2526" s="31" t="s">
        <v>252</v>
      </c>
      <c r="M2526" s="31" t="s">
        <v>203</v>
      </c>
      <c r="O2526" s="31" t="s">
        <v>205</v>
      </c>
      <c r="X2526" s="31" t="s">
        <v>549</v>
      </c>
    </row>
    <row r="2527">
      <c r="A2527" s="29">
        <v>45973.392517141205</v>
      </c>
      <c r="B2527" s="30">
        <v>45973.0</v>
      </c>
      <c r="C2527" s="31" t="s">
        <v>7683</v>
      </c>
      <c r="D2527" s="32" t="s">
        <v>7684</v>
      </c>
      <c r="E2527" s="31" t="s">
        <v>199</v>
      </c>
      <c r="F2527" s="31">
        <v>4000000.0</v>
      </c>
      <c r="G2527" s="31" t="s">
        <v>23</v>
      </c>
      <c r="I2527" s="31" t="s">
        <v>229</v>
      </c>
      <c r="J2527" s="31" t="s">
        <v>293</v>
      </c>
      <c r="K2527" s="33" t="s">
        <v>7685</v>
      </c>
      <c r="L2527" s="31" t="s">
        <v>252</v>
      </c>
      <c r="O2527" s="31" t="s">
        <v>205</v>
      </c>
      <c r="X2527" s="31" t="s">
        <v>549</v>
      </c>
    </row>
    <row r="2528">
      <c r="A2528" s="29">
        <v>45973.3963571875</v>
      </c>
      <c r="B2528" s="30">
        <v>45971.0</v>
      </c>
      <c r="C2528" s="31" t="s">
        <v>7686</v>
      </c>
      <c r="D2528" s="32" t="s">
        <v>7687</v>
      </c>
      <c r="E2528" s="31" t="s">
        <v>43</v>
      </c>
      <c r="F2528" s="31">
        <v>4000009.0</v>
      </c>
      <c r="G2528" s="31" t="s">
        <v>45</v>
      </c>
      <c r="H2528" s="31">
        <v>3000000.0</v>
      </c>
      <c r="I2528" s="31" t="s">
        <v>413</v>
      </c>
      <c r="K2528" s="33" t="s">
        <v>7688</v>
      </c>
      <c r="L2528" s="31" t="s">
        <v>252</v>
      </c>
      <c r="M2528" s="31" t="s">
        <v>605</v>
      </c>
      <c r="O2528" s="31" t="s">
        <v>205</v>
      </c>
      <c r="X2528" s="31" t="s">
        <v>2335</v>
      </c>
    </row>
    <row r="2529">
      <c r="A2529" s="29">
        <v>45973.40704936342</v>
      </c>
      <c r="B2529" s="30">
        <v>45973.0</v>
      </c>
      <c r="C2529" s="31" t="s">
        <v>7689</v>
      </c>
      <c r="D2529" s="32" t="s">
        <v>7690</v>
      </c>
      <c r="E2529" s="31" t="s">
        <v>199</v>
      </c>
      <c r="F2529" s="31">
        <v>3000000.0</v>
      </c>
      <c r="G2529" s="31" t="s">
        <v>23</v>
      </c>
      <c r="I2529" s="31" t="s">
        <v>229</v>
      </c>
      <c r="J2529" s="31" t="s">
        <v>498</v>
      </c>
      <c r="K2529" s="33" t="s">
        <v>7691</v>
      </c>
      <c r="L2529" s="31" t="s">
        <v>202</v>
      </c>
      <c r="N2529" s="31" t="s">
        <v>500</v>
      </c>
      <c r="V2529" s="31" t="s">
        <v>501</v>
      </c>
    </row>
    <row r="2530">
      <c r="A2530" s="29">
        <v>45973.41736021991</v>
      </c>
      <c r="B2530" s="30">
        <v>45973.0</v>
      </c>
      <c r="C2530" s="31" t="s">
        <v>7692</v>
      </c>
      <c r="D2530" s="32" t="s">
        <v>7693</v>
      </c>
      <c r="E2530" s="31" t="s">
        <v>43</v>
      </c>
      <c r="F2530" s="31">
        <v>8000000.0</v>
      </c>
      <c r="G2530" s="31" t="s">
        <v>23</v>
      </c>
      <c r="H2530" s="31">
        <v>3000000.0</v>
      </c>
      <c r="I2530" s="31" t="s">
        <v>200</v>
      </c>
      <c r="K2530" s="33" t="s">
        <v>7694</v>
      </c>
      <c r="L2530" s="31" t="s">
        <v>252</v>
      </c>
      <c r="M2530" s="31" t="s">
        <v>5638</v>
      </c>
      <c r="O2530" s="31" t="s">
        <v>257</v>
      </c>
      <c r="P2530" s="31" t="s">
        <v>258</v>
      </c>
    </row>
    <row r="2531">
      <c r="A2531" s="29">
        <v>45973.41741579861</v>
      </c>
      <c r="B2531" s="30">
        <v>45973.0</v>
      </c>
      <c r="C2531" s="31" t="s">
        <v>7695</v>
      </c>
      <c r="D2531" s="32" t="s">
        <v>6289</v>
      </c>
      <c r="E2531" s="31" t="s">
        <v>2315</v>
      </c>
      <c r="F2531" s="31">
        <v>3200000.0</v>
      </c>
      <c r="G2531" s="31" t="s">
        <v>23</v>
      </c>
      <c r="I2531" s="31" t="s">
        <v>229</v>
      </c>
      <c r="J2531" s="31" t="s">
        <v>967</v>
      </c>
      <c r="K2531" s="33" t="s">
        <v>7696</v>
      </c>
      <c r="L2531" s="31" t="s">
        <v>202</v>
      </c>
      <c r="N2531" s="31" t="s">
        <v>667</v>
      </c>
      <c r="U2531" s="31" t="s">
        <v>3950</v>
      </c>
    </row>
    <row r="2532">
      <c r="A2532" s="29">
        <v>45973.42778482639</v>
      </c>
      <c r="B2532" s="30">
        <v>45973.0</v>
      </c>
      <c r="C2532" s="31" t="s">
        <v>7697</v>
      </c>
      <c r="D2532" s="32" t="s">
        <v>7698</v>
      </c>
      <c r="E2532" s="31" t="s">
        <v>228</v>
      </c>
      <c r="F2532" s="31">
        <v>1500000.0</v>
      </c>
      <c r="G2532" s="31" t="s">
        <v>23</v>
      </c>
      <c r="I2532" s="31" t="s">
        <v>229</v>
      </c>
      <c r="J2532" s="31" t="s">
        <v>967</v>
      </c>
      <c r="K2532" s="33" t="s">
        <v>7699</v>
      </c>
      <c r="L2532" s="31" t="s">
        <v>202</v>
      </c>
      <c r="N2532" s="31" t="s">
        <v>204</v>
      </c>
      <c r="R2532" s="31" t="s">
        <v>192</v>
      </c>
    </row>
    <row r="2533">
      <c r="A2533" s="29">
        <v>45973.43007271991</v>
      </c>
      <c r="B2533" s="30">
        <v>45973.0</v>
      </c>
      <c r="C2533" s="31" t="s">
        <v>7700</v>
      </c>
      <c r="D2533" s="32" t="s">
        <v>7701</v>
      </c>
      <c r="E2533" s="31" t="s">
        <v>261</v>
      </c>
      <c r="F2533" s="31">
        <v>1200000.0</v>
      </c>
      <c r="G2533" s="31" t="s">
        <v>23</v>
      </c>
      <c r="I2533" s="31" t="s">
        <v>229</v>
      </c>
      <c r="J2533" s="31" t="s">
        <v>967</v>
      </c>
      <c r="K2533" s="33" t="s">
        <v>7702</v>
      </c>
      <c r="L2533" s="31" t="s">
        <v>202</v>
      </c>
      <c r="N2533" s="31" t="s">
        <v>204</v>
      </c>
      <c r="R2533" s="31" t="s">
        <v>192</v>
      </c>
    </row>
    <row r="2534">
      <c r="A2534" s="29">
        <v>45973.431538159726</v>
      </c>
      <c r="B2534" s="30">
        <v>45973.0</v>
      </c>
      <c r="C2534" s="31" t="s">
        <v>7703</v>
      </c>
      <c r="D2534" s="32" t="s">
        <v>7704</v>
      </c>
      <c r="E2534" s="31" t="s">
        <v>228</v>
      </c>
      <c r="F2534" s="31">
        <v>300000.0</v>
      </c>
      <c r="G2534" s="31" t="s">
        <v>23</v>
      </c>
      <c r="H2534" s="31">
        <v>300000.0</v>
      </c>
      <c r="I2534" s="31" t="s">
        <v>413</v>
      </c>
      <c r="K2534" s="33" t="s">
        <v>7705</v>
      </c>
      <c r="L2534" s="31" t="s">
        <v>202</v>
      </c>
      <c r="M2534" s="31" t="s">
        <v>5638</v>
      </c>
      <c r="N2534" s="31" t="s">
        <v>204</v>
      </c>
      <c r="R2534" s="31" t="s">
        <v>192</v>
      </c>
    </row>
    <row r="2535">
      <c r="A2535" s="29">
        <v>45973.44779133102</v>
      </c>
      <c r="B2535" s="30">
        <v>45973.0</v>
      </c>
      <c r="C2535" s="31" t="s">
        <v>7706</v>
      </c>
      <c r="D2535" s="32" t="s">
        <v>7707</v>
      </c>
      <c r="E2535" s="31" t="s">
        <v>31</v>
      </c>
      <c r="F2535" s="31">
        <v>7500000.0</v>
      </c>
      <c r="G2535" s="31" t="s">
        <v>23</v>
      </c>
      <c r="I2535" s="31" t="s">
        <v>229</v>
      </c>
      <c r="J2535" s="31" t="s">
        <v>967</v>
      </c>
      <c r="K2535" s="33" t="s">
        <v>7708</v>
      </c>
      <c r="L2535" s="31" t="s">
        <v>202</v>
      </c>
      <c r="N2535" s="31" t="s">
        <v>667</v>
      </c>
      <c r="U2535" s="31" t="s">
        <v>668</v>
      </c>
    </row>
    <row r="2536">
      <c r="A2536" s="29">
        <v>45973.47638493056</v>
      </c>
      <c r="B2536" s="30">
        <v>45973.0</v>
      </c>
      <c r="C2536" s="31" t="s">
        <v>7709</v>
      </c>
      <c r="D2536" s="32" t="s">
        <v>7710</v>
      </c>
      <c r="E2536" s="31" t="s">
        <v>43</v>
      </c>
      <c r="F2536" s="31">
        <v>3000000.0</v>
      </c>
      <c r="G2536" s="31" t="s">
        <v>23</v>
      </c>
      <c r="I2536" s="31" t="s">
        <v>229</v>
      </c>
      <c r="J2536" s="31" t="s">
        <v>967</v>
      </c>
      <c r="K2536" s="33" t="s">
        <v>7711</v>
      </c>
      <c r="L2536" s="31" t="s">
        <v>202</v>
      </c>
      <c r="N2536" s="31" t="s">
        <v>871</v>
      </c>
      <c r="Q2536" s="31" t="s">
        <v>872</v>
      </c>
    </row>
    <row r="2537">
      <c r="A2537" s="29">
        <v>45973.477528877316</v>
      </c>
      <c r="B2537" s="30">
        <v>45973.0</v>
      </c>
      <c r="C2537" s="31" t="s">
        <v>7712</v>
      </c>
      <c r="D2537" s="32" t="s">
        <v>907</v>
      </c>
      <c r="E2537" s="31" t="s">
        <v>239</v>
      </c>
      <c r="F2537" s="31">
        <v>1000000.0</v>
      </c>
      <c r="G2537" s="31" t="s">
        <v>23</v>
      </c>
      <c r="I2537" s="31" t="s">
        <v>229</v>
      </c>
      <c r="J2537" s="31" t="s">
        <v>967</v>
      </c>
      <c r="K2537" s="33" t="s">
        <v>7713</v>
      </c>
      <c r="L2537" s="31" t="s">
        <v>202</v>
      </c>
      <c r="N2537" s="31" t="s">
        <v>215</v>
      </c>
      <c r="W2537" s="31" t="s">
        <v>532</v>
      </c>
    </row>
    <row r="2538">
      <c r="A2538" s="29">
        <v>45973.478968449075</v>
      </c>
      <c r="B2538" s="30">
        <v>45973.0</v>
      </c>
      <c r="C2538" s="31" t="s">
        <v>7714</v>
      </c>
      <c r="D2538" s="32" t="s">
        <v>7715</v>
      </c>
      <c r="E2538" s="31" t="s">
        <v>43</v>
      </c>
      <c r="F2538" s="31">
        <v>4000000.0</v>
      </c>
      <c r="G2538" s="31" t="s">
        <v>23</v>
      </c>
      <c r="H2538" s="31">
        <v>3000000.0</v>
      </c>
      <c r="I2538" s="31" t="s">
        <v>413</v>
      </c>
      <c r="K2538" s="33" t="s">
        <v>7716</v>
      </c>
      <c r="L2538" s="31" t="s">
        <v>202</v>
      </c>
      <c r="M2538" s="31" t="s">
        <v>926</v>
      </c>
      <c r="N2538" s="31" t="s">
        <v>500</v>
      </c>
      <c r="V2538" s="31" t="s">
        <v>501</v>
      </c>
    </row>
    <row r="2539">
      <c r="A2539" s="29">
        <v>45973.48117517361</v>
      </c>
      <c r="B2539" s="30">
        <v>45973.0</v>
      </c>
      <c r="C2539" s="31" t="s">
        <v>7717</v>
      </c>
      <c r="D2539" s="32" t="s">
        <v>3714</v>
      </c>
      <c r="E2539" s="31" t="s">
        <v>239</v>
      </c>
      <c r="F2539" s="31">
        <v>1000000.0</v>
      </c>
      <c r="G2539" s="31" t="s">
        <v>23</v>
      </c>
      <c r="I2539" s="31" t="s">
        <v>229</v>
      </c>
      <c r="J2539" s="31" t="s">
        <v>967</v>
      </c>
      <c r="K2539" s="33" t="s">
        <v>7718</v>
      </c>
      <c r="L2539" s="31" t="s">
        <v>202</v>
      </c>
      <c r="N2539" s="31" t="s">
        <v>215</v>
      </c>
      <c r="W2539" s="31" t="s">
        <v>532</v>
      </c>
    </row>
    <row r="2540">
      <c r="A2540" s="29">
        <v>45973.48821414352</v>
      </c>
      <c r="B2540" s="30">
        <v>45973.0</v>
      </c>
      <c r="C2540" s="31" t="s">
        <v>7719</v>
      </c>
      <c r="D2540" s="32" t="s">
        <v>7720</v>
      </c>
      <c r="E2540" s="31" t="s">
        <v>43</v>
      </c>
      <c r="F2540" s="31">
        <v>3400000.0</v>
      </c>
      <c r="G2540" s="31" t="s">
        <v>23</v>
      </c>
      <c r="I2540" s="31" t="s">
        <v>229</v>
      </c>
      <c r="J2540" s="31" t="s">
        <v>967</v>
      </c>
      <c r="K2540" s="33" t="s">
        <v>7721</v>
      </c>
      <c r="L2540" s="31" t="s">
        <v>252</v>
      </c>
      <c r="O2540" s="31" t="s">
        <v>205</v>
      </c>
      <c r="X2540" s="31" t="s">
        <v>569</v>
      </c>
    </row>
    <row r="2541">
      <c r="A2541" s="29">
        <v>45973.48849710648</v>
      </c>
      <c r="B2541" s="30">
        <v>45973.0</v>
      </c>
      <c r="C2541" s="31" t="s">
        <v>1527</v>
      </c>
      <c r="D2541" s="32" t="s">
        <v>1528</v>
      </c>
      <c r="E2541" s="31" t="s">
        <v>43</v>
      </c>
      <c r="F2541" s="31">
        <v>3000000.0</v>
      </c>
      <c r="G2541" s="31" t="s">
        <v>23</v>
      </c>
      <c r="I2541" s="31" t="s">
        <v>229</v>
      </c>
      <c r="J2541" s="31" t="s">
        <v>967</v>
      </c>
      <c r="K2541" s="33" t="s">
        <v>7722</v>
      </c>
      <c r="L2541" s="31" t="s">
        <v>202</v>
      </c>
      <c r="N2541" s="31" t="s">
        <v>215</v>
      </c>
      <c r="W2541" s="31" t="s">
        <v>389</v>
      </c>
    </row>
    <row r="2542">
      <c r="A2542" s="29">
        <v>45973.49230846065</v>
      </c>
      <c r="B2542" s="30">
        <v>45973.0</v>
      </c>
      <c r="C2542" s="31" t="s">
        <v>7723</v>
      </c>
      <c r="D2542" s="32" t="s">
        <v>7724</v>
      </c>
      <c r="E2542" s="31" t="s">
        <v>43</v>
      </c>
      <c r="F2542" s="31">
        <v>3000000.0</v>
      </c>
      <c r="G2542" s="31" t="s">
        <v>23</v>
      </c>
      <c r="I2542" s="31" t="s">
        <v>229</v>
      </c>
      <c r="J2542" s="31" t="s">
        <v>967</v>
      </c>
      <c r="K2542" s="33" t="s">
        <v>7725</v>
      </c>
      <c r="L2542" s="31" t="s">
        <v>202</v>
      </c>
      <c r="N2542" s="31" t="s">
        <v>215</v>
      </c>
      <c r="W2542" s="31" t="s">
        <v>389</v>
      </c>
    </row>
    <row r="2543">
      <c r="A2543" s="29">
        <v>45973.49525354167</v>
      </c>
      <c r="B2543" s="30">
        <v>45973.0</v>
      </c>
      <c r="C2543" s="31" t="s">
        <v>7726</v>
      </c>
      <c r="D2543" s="32" t="s">
        <v>7727</v>
      </c>
      <c r="E2543" s="31" t="s">
        <v>7728</v>
      </c>
      <c r="F2543" s="31">
        <v>2200000.0</v>
      </c>
      <c r="G2543" s="31" t="s">
        <v>23</v>
      </c>
      <c r="I2543" s="31" t="s">
        <v>229</v>
      </c>
      <c r="J2543" s="31" t="s">
        <v>967</v>
      </c>
      <c r="K2543" s="33" t="s">
        <v>7729</v>
      </c>
      <c r="L2543" s="31" t="s">
        <v>202</v>
      </c>
      <c r="N2543" s="31" t="s">
        <v>667</v>
      </c>
      <c r="U2543" s="31" t="s">
        <v>3950</v>
      </c>
    </row>
    <row r="2544">
      <c r="A2544" s="29">
        <v>45973.499831458335</v>
      </c>
      <c r="B2544" s="30">
        <v>45973.0</v>
      </c>
      <c r="C2544" s="31" t="s">
        <v>7730</v>
      </c>
      <c r="D2544" s="32" t="s">
        <v>7731</v>
      </c>
      <c r="E2544" s="31" t="s">
        <v>1817</v>
      </c>
      <c r="F2544" s="31">
        <v>2600000.0</v>
      </c>
      <c r="G2544" s="31" t="s">
        <v>23</v>
      </c>
      <c r="I2544" s="31" t="s">
        <v>229</v>
      </c>
      <c r="J2544" s="31" t="s">
        <v>967</v>
      </c>
      <c r="K2544" s="33" t="s">
        <v>7732</v>
      </c>
      <c r="L2544" s="31" t="s">
        <v>202</v>
      </c>
      <c r="N2544" s="31" t="s">
        <v>871</v>
      </c>
      <c r="Q2544" s="31" t="s">
        <v>7424</v>
      </c>
    </row>
    <row r="2545">
      <c r="A2545" s="29">
        <v>45973.5022477662</v>
      </c>
      <c r="B2545" s="30">
        <v>45973.0</v>
      </c>
      <c r="C2545" s="31" t="s">
        <v>7733</v>
      </c>
      <c r="D2545" s="32" t="s">
        <v>4253</v>
      </c>
      <c r="E2545" s="31" t="s">
        <v>127</v>
      </c>
      <c r="F2545" s="31">
        <v>2500000.0</v>
      </c>
      <c r="G2545" s="31" t="s">
        <v>23</v>
      </c>
      <c r="I2545" s="31" t="s">
        <v>229</v>
      </c>
      <c r="J2545" s="31" t="s">
        <v>967</v>
      </c>
      <c r="K2545" s="33" t="s">
        <v>7734</v>
      </c>
      <c r="L2545" s="31" t="s">
        <v>252</v>
      </c>
      <c r="O2545" s="31" t="s">
        <v>257</v>
      </c>
      <c r="P2545" s="31" t="s">
        <v>206</v>
      </c>
    </row>
    <row r="2546">
      <c r="A2546" s="29">
        <v>45973.55219488426</v>
      </c>
      <c r="B2546" s="30">
        <v>45973.0</v>
      </c>
      <c r="C2546" s="31" t="s">
        <v>7735</v>
      </c>
      <c r="D2546" s="32" t="s">
        <v>7736</v>
      </c>
      <c r="E2546" s="31" t="s">
        <v>43</v>
      </c>
      <c r="F2546" s="31">
        <v>4999000.0</v>
      </c>
      <c r="G2546" s="31" t="s">
        <v>23</v>
      </c>
      <c r="I2546" s="31" t="s">
        <v>229</v>
      </c>
      <c r="J2546" s="31" t="s">
        <v>967</v>
      </c>
      <c r="K2546" s="33" t="s">
        <v>7737</v>
      </c>
      <c r="L2546" s="31" t="s">
        <v>202</v>
      </c>
      <c r="N2546" s="31" t="s">
        <v>204</v>
      </c>
      <c r="R2546" s="31" t="s">
        <v>207</v>
      </c>
    </row>
    <row r="2547">
      <c r="A2547" s="29">
        <v>45973.57171078704</v>
      </c>
      <c r="B2547" s="30">
        <v>45973.0</v>
      </c>
      <c r="C2547" s="31" t="s">
        <v>7738</v>
      </c>
      <c r="D2547" s="32" t="s">
        <v>7739</v>
      </c>
      <c r="E2547" s="31" t="s">
        <v>43</v>
      </c>
      <c r="F2547" s="31">
        <v>2500000.0</v>
      </c>
      <c r="G2547" s="31" t="s">
        <v>23</v>
      </c>
      <c r="H2547" s="31">
        <v>3000000.0</v>
      </c>
      <c r="I2547" s="31" t="s">
        <v>200</v>
      </c>
      <c r="K2547" s="33" t="s">
        <v>7740</v>
      </c>
      <c r="L2547" s="31" t="s">
        <v>252</v>
      </c>
      <c r="M2547" s="31" t="s">
        <v>5638</v>
      </c>
      <c r="O2547" s="31" t="s">
        <v>257</v>
      </c>
      <c r="P2547" s="31" t="s">
        <v>206</v>
      </c>
    </row>
    <row r="2548">
      <c r="A2548" s="29">
        <v>45973.58307501157</v>
      </c>
      <c r="B2548" s="30" t="s">
        <v>7741</v>
      </c>
      <c r="C2548" s="31" t="s">
        <v>7742</v>
      </c>
      <c r="D2548" s="32" t="s">
        <v>3092</v>
      </c>
      <c r="E2548" s="31" t="s">
        <v>43</v>
      </c>
      <c r="F2548" s="31">
        <v>2000000.0</v>
      </c>
      <c r="G2548" s="31" t="s">
        <v>23</v>
      </c>
      <c r="H2548" s="31">
        <v>5000000.0</v>
      </c>
      <c r="I2548" s="31" t="s">
        <v>200</v>
      </c>
      <c r="K2548" s="33" t="s">
        <v>7743</v>
      </c>
      <c r="L2548" s="31" t="s">
        <v>202</v>
      </c>
      <c r="M2548" s="31" t="s">
        <v>203</v>
      </c>
      <c r="N2548" s="31" t="s">
        <v>215</v>
      </c>
      <c r="W2548" s="31" t="s">
        <v>216</v>
      </c>
    </row>
    <row r="2549">
      <c r="A2549" s="29">
        <v>45973.60679748842</v>
      </c>
      <c r="B2549" s="30">
        <v>45973.0</v>
      </c>
      <c r="C2549" s="31" t="s">
        <v>7744</v>
      </c>
      <c r="D2549" s="32" t="s">
        <v>7745</v>
      </c>
      <c r="E2549" s="31" t="s">
        <v>2598</v>
      </c>
      <c r="F2549" s="31">
        <v>3000000.0</v>
      </c>
      <c r="G2549" s="31" t="s">
        <v>23</v>
      </c>
      <c r="I2549" s="31" t="s">
        <v>229</v>
      </c>
      <c r="J2549" s="31" t="s">
        <v>967</v>
      </c>
      <c r="K2549" s="33" t="s">
        <v>7746</v>
      </c>
      <c r="L2549" s="31" t="s">
        <v>202</v>
      </c>
      <c r="N2549" s="31" t="s">
        <v>313</v>
      </c>
      <c r="T2549" s="31" t="s">
        <v>384</v>
      </c>
    </row>
    <row r="2550">
      <c r="A2550" s="29">
        <v>45973.60806652778</v>
      </c>
      <c r="B2550" s="30">
        <v>45973.0</v>
      </c>
      <c r="C2550" s="31" t="s">
        <v>7747</v>
      </c>
      <c r="D2550" s="32" t="s">
        <v>7748</v>
      </c>
      <c r="E2550" s="31" t="s">
        <v>4351</v>
      </c>
      <c r="F2550" s="31">
        <v>2800000.0</v>
      </c>
      <c r="G2550" s="31" t="s">
        <v>23</v>
      </c>
      <c r="I2550" s="31" t="s">
        <v>229</v>
      </c>
      <c r="J2550" s="31" t="s">
        <v>967</v>
      </c>
      <c r="K2550" s="33" t="s">
        <v>7749</v>
      </c>
      <c r="L2550" s="31" t="s">
        <v>202</v>
      </c>
      <c r="N2550" s="31" t="s">
        <v>313</v>
      </c>
      <c r="T2550" s="31" t="s">
        <v>384</v>
      </c>
    </row>
    <row r="2551">
      <c r="A2551" s="29">
        <v>45973.60989085648</v>
      </c>
      <c r="B2551" s="30">
        <v>45973.0</v>
      </c>
      <c r="C2551" s="31" t="s">
        <v>7750</v>
      </c>
      <c r="D2551" s="32" t="s">
        <v>7751</v>
      </c>
      <c r="E2551" s="31" t="s">
        <v>288</v>
      </c>
      <c r="F2551" s="34">
        <v>8000.0</v>
      </c>
      <c r="G2551" s="31" t="s">
        <v>23</v>
      </c>
      <c r="I2551" s="31" t="s">
        <v>229</v>
      </c>
      <c r="J2551" s="31" t="s">
        <v>967</v>
      </c>
      <c r="K2551" s="33" t="s">
        <v>7752</v>
      </c>
      <c r="L2551" s="31" t="s">
        <v>202</v>
      </c>
      <c r="N2551" s="31" t="s">
        <v>204</v>
      </c>
      <c r="R2551" s="31" t="s">
        <v>167</v>
      </c>
    </row>
    <row r="2552">
      <c r="A2552" s="29">
        <v>45973.62488821759</v>
      </c>
      <c r="B2552" s="30">
        <v>45973.0</v>
      </c>
      <c r="C2552" s="31" t="s">
        <v>7753</v>
      </c>
      <c r="D2552" s="32" t="s">
        <v>7754</v>
      </c>
      <c r="E2552" s="31" t="s">
        <v>239</v>
      </c>
      <c r="F2552" s="31">
        <v>3000000.0</v>
      </c>
      <c r="G2552" s="31" t="s">
        <v>23</v>
      </c>
      <c r="I2552" s="31" t="s">
        <v>229</v>
      </c>
      <c r="J2552" s="31" t="s">
        <v>967</v>
      </c>
      <c r="K2552" s="33" t="s">
        <v>7755</v>
      </c>
      <c r="L2552" s="31" t="s">
        <v>202</v>
      </c>
      <c r="N2552" s="31" t="s">
        <v>871</v>
      </c>
      <c r="Q2552" s="31" t="s">
        <v>872</v>
      </c>
    </row>
    <row r="2553">
      <c r="A2553" s="29">
        <v>45973.635435613425</v>
      </c>
      <c r="B2553" s="30">
        <v>45973.0</v>
      </c>
      <c r="C2553" s="31" t="s">
        <v>7756</v>
      </c>
      <c r="D2553" s="32" t="s">
        <v>7757</v>
      </c>
      <c r="E2553" s="31" t="s">
        <v>335</v>
      </c>
      <c r="F2553" s="31">
        <v>2.0E7</v>
      </c>
      <c r="G2553" s="31" t="s">
        <v>23</v>
      </c>
      <c r="H2553" s="31">
        <v>3000000.0</v>
      </c>
      <c r="I2553" s="31" t="s">
        <v>413</v>
      </c>
      <c r="K2553" s="33" t="s">
        <v>7758</v>
      </c>
      <c r="L2553" s="31" t="s">
        <v>202</v>
      </c>
      <c r="M2553" s="31" t="s">
        <v>5638</v>
      </c>
      <c r="N2553" s="31" t="s">
        <v>500</v>
      </c>
      <c r="V2553" s="31" t="s">
        <v>6597</v>
      </c>
    </row>
    <row r="2554">
      <c r="A2554" s="29">
        <v>45973.63636127315</v>
      </c>
      <c r="B2554" s="30">
        <v>45973.0</v>
      </c>
      <c r="C2554" s="31" t="s">
        <v>7759</v>
      </c>
      <c r="D2554" s="31">
        <v>0.0</v>
      </c>
      <c r="E2554" s="31" t="s">
        <v>7760</v>
      </c>
      <c r="F2554" s="34">
        <v>5600.0</v>
      </c>
      <c r="G2554" s="31" t="s">
        <v>23</v>
      </c>
      <c r="I2554" s="31" t="s">
        <v>229</v>
      </c>
      <c r="J2554" s="31" t="s">
        <v>967</v>
      </c>
      <c r="K2554" s="33" t="s">
        <v>7761</v>
      </c>
      <c r="L2554" s="31" t="s">
        <v>202</v>
      </c>
      <c r="N2554" s="31" t="s">
        <v>204</v>
      </c>
      <c r="R2554" s="31" t="s">
        <v>171</v>
      </c>
    </row>
    <row r="2555">
      <c r="A2555" s="29">
        <v>45973.663534583335</v>
      </c>
      <c r="B2555" s="30">
        <v>45973.0</v>
      </c>
      <c r="C2555" s="31" t="s">
        <v>7762</v>
      </c>
      <c r="D2555" s="32" t="s">
        <v>7763</v>
      </c>
      <c r="E2555" s="31" t="s">
        <v>43</v>
      </c>
      <c r="F2555" s="31">
        <v>3000000.0</v>
      </c>
      <c r="G2555" s="31" t="s">
        <v>23</v>
      </c>
      <c r="I2555" s="31" t="s">
        <v>229</v>
      </c>
      <c r="J2555" s="31" t="s">
        <v>967</v>
      </c>
      <c r="K2555" s="33" t="s">
        <v>7764</v>
      </c>
      <c r="L2555" s="31" t="s">
        <v>252</v>
      </c>
      <c r="O2555" s="31" t="s">
        <v>205</v>
      </c>
      <c r="X2555" s="31" t="s">
        <v>452</v>
      </c>
    </row>
    <row r="2556">
      <c r="A2556" s="29">
        <v>45973.67481586806</v>
      </c>
      <c r="B2556" s="30">
        <v>45973.0</v>
      </c>
      <c r="C2556" s="31" t="s">
        <v>7765</v>
      </c>
      <c r="D2556" s="32" t="s">
        <v>7766</v>
      </c>
      <c r="E2556" s="31" t="s">
        <v>43</v>
      </c>
      <c r="F2556" s="31">
        <v>5100000.0</v>
      </c>
      <c r="G2556" s="31" t="s">
        <v>45</v>
      </c>
      <c r="H2556" s="31">
        <v>3000000.0</v>
      </c>
      <c r="I2556" s="31" t="s">
        <v>413</v>
      </c>
      <c r="K2556" s="33" t="s">
        <v>7767</v>
      </c>
      <c r="L2556" s="31" t="s">
        <v>252</v>
      </c>
      <c r="M2556" s="31" t="s">
        <v>5638</v>
      </c>
      <c r="O2556" s="31" t="s">
        <v>257</v>
      </c>
      <c r="P2556" s="31" t="s">
        <v>272</v>
      </c>
    </row>
    <row r="2557">
      <c r="A2557" s="29">
        <v>45973.6784340625</v>
      </c>
      <c r="B2557" s="30">
        <v>45973.0</v>
      </c>
      <c r="C2557" s="31" t="s">
        <v>7768</v>
      </c>
      <c r="D2557" s="32" t="s">
        <v>7769</v>
      </c>
      <c r="E2557" s="31" t="s">
        <v>31</v>
      </c>
      <c r="F2557" s="31">
        <v>3700000.0</v>
      </c>
      <c r="G2557" s="31" t="s">
        <v>23</v>
      </c>
      <c r="I2557" s="31" t="s">
        <v>229</v>
      </c>
      <c r="J2557" s="31" t="s">
        <v>967</v>
      </c>
      <c r="K2557" s="33" t="s">
        <v>7770</v>
      </c>
      <c r="L2557" s="31" t="s">
        <v>252</v>
      </c>
      <c r="O2557" s="31" t="s">
        <v>205</v>
      </c>
      <c r="X2557" s="31" t="s">
        <v>569</v>
      </c>
    </row>
    <row r="2558">
      <c r="A2558" s="29">
        <v>45973.681081504634</v>
      </c>
      <c r="B2558" s="30">
        <v>45973.0</v>
      </c>
      <c r="C2558" s="31" t="s">
        <v>7768</v>
      </c>
      <c r="D2558" s="32" t="s">
        <v>7769</v>
      </c>
      <c r="E2558" s="31" t="s">
        <v>31</v>
      </c>
      <c r="F2558" s="31">
        <v>3700000.0</v>
      </c>
      <c r="G2558" s="31" t="s">
        <v>23</v>
      </c>
      <c r="H2558" s="31">
        <v>3000000.0</v>
      </c>
      <c r="I2558" s="31" t="s">
        <v>413</v>
      </c>
      <c r="K2558" s="33" t="s">
        <v>7771</v>
      </c>
      <c r="L2558" s="31" t="s">
        <v>252</v>
      </c>
      <c r="M2558" s="31" t="s">
        <v>5638</v>
      </c>
      <c r="O2558" s="31" t="s">
        <v>205</v>
      </c>
      <c r="X2558" s="31" t="s">
        <v>569</v>
      </c>
    </row>
    <row r="2559">
      <c r="A2559" s="29">
        <v>45973.69043701389</v>
      </c>
      <c r="B2559" s="30" t="s">
        <v>7741</v>
      </c>
      <c r="C2559" s="31" t="s">
        <v>7772</v>
      </c>
      <c r="D2559" s="32" t="s">
        <v>7773</v>
      </c>
      <c r="E2559" s="31" t="s">
        <v>43</v>
      </c>
      <c r="F2559" s="31">
        <v>2000000.0</v>
      </c>
      <c r="G2559" s="31" t="s">
        <v>45</v>
      </c>
      <c r="I2559" s="31" t="s">
        <v>229</v>
      </c>
      <c r="J2559" s="31" t="s">
        <v>967</v>
      </c>
      <c r="K2559" s="33" t="s">
        <v>7774</v>
      </c>
      <c r="L2559" s="31" t="s">
        <v>202</v>
      </c>
      <c r="N2559" s="31" t="s">
        <v>215</v>
      </c>
      <c r="W2559" s="31" t="s">
        <v>216</v>
      </c>
    </row>
    <row r="2560">
      <c r="A2560" s="29">
        <v>45973.69169047454</v>
      </c>
      <c r="B2560" s="30">
        <v>45973.0</v>
      </c>
      <c r="C2560" s="31" t="s">
        <v>7775</v>
      </c>
      <c r="D2560" s="32" t="s">
        <v>4196</v>
      </c>
      <c r="E2560" s="31" t="s">
        <v>213</v>
      </c>
      <c r="F2560" s="31">
        <v>3000000.0</v>
      </c>
      <c r="G2560" s="31" t="s">
        <v>23</v>
      </c>
      <c r="H2560" s="31">
        <v>5000000.0</v>
      </c>
      <c r="I2560" s="31" t="s">
        <v>200</v>
      </c>
      <c r="K2560" s="33" t="s">
        <v>7776</v>
      </c>
      <c r="L2560" s="31" t="s">
        <v>252</v>
      </c>
      <c r="M2560" s="31" t="s">
        <v>926</v>
      </c>
      <c r="O2560" s="31" t="s">
        <v>257</v>
      </c>
      <c r="P2560" s="31" t="s">
        <v>3194</v>
      </c>
    </row>
    <row r="2561">
      <c r="A2561" s="29">
        <v>45973.69858048611</v>
      </c>
      <c r="B2561" s="30">
        <v>45973.0</v>
      </c>
      <c r="C2561" s="31" t="s">
        <v>7777</v>
      </c>
      <c r="D2561" s="31">
        <v>0.0</v>
      </c>
      <c r="E2561" s="31" t="s">
        <v>43</v>
      </c>
      <c r="F2561" s="31">
        <v>3000000.0</v>
      </c>
      <c r="G2561" s="31" t="s">
        <v>45</v>
      </c>
      <c r="I2561" s="31" t="s">
        <v>229</v>
      </c>
      <c r="J2561" s="31" t="s">
        <v>967</v>
      </c>
      <c r="K2561" s="33" t="s">
        <v>7778</v>
      </c>
      <c r="L2561" s="31" t="s">
        <v>252</v>
      </c>
      <c r="O2561" s="31" t="s">
        <v>257</v>
      </c>
      <c r="P2561" s="31" t="s">
        <v>2320</v>
      </c>
    </row>
    <row r="2562">
      <c r="A2562" s="29">
        <v>45973.698669062505</v>
      </c>
      <c r="B2562" s="30">
        <v>45973.0</v>
      </c>
      <c r="C2562" s="31" t="s">
        <v>7779</v>
      </c>
      <c r="D2562" s="32" t="s">
        <v>7780</v>
      </c>
      <c r="E2562" s="31" t="s">
        <v>43</v>
      </c>
      <c r="F2562" s="31">
        <v>3300000.0</v>
      </c>
      <c r="G2562" s="31" t="s">
        <v>23</v>
      </c>
      <c r="I2562" s="31" t="s">
        <v>229</v>
      </c>
      <c r="J2562" s="31" t="s">
        <v>967</v>
      </c>
      <c r="K2562" s="33" t="s">
        <v>7781</v>
      </c>
      <c r="L2562" s="31" t="s">
        <v>252</v>
      </c>
      <c r="O2562" s="31" t="s">
        <v>257</v>
      </c>
      <c r="P2562" s="31" t="s">
        <v>3194</v>
      </c>
    </row>
    <row r="2563">
      <c r="A2563" s="29">
        <v>45973.72264414352</v>
      </c>
      <c r="B2563" s="30">
        <v>45973.0</v>
      </c>
      <c r="C2563" s="31" t="s">
        <v>7782</v>
      </c>
      <c r="D2563" s="32" t="s">
        <v>7783</v>
      </c>
      <c r="E2563" s="31" t="s">
        <v>31</v>
      </c>
      <c r="F2563" s="31">
        <v>5999000.0</v>
      </c>
      <c r="G2563" s="31" t="s">
        <v>23</v>
      </c>
      <c r="I2563" s="31" t="s">
        <v>229</v>
      </c>
      <c r="J2563" s="31" t="s">
        <v>967</v>
      </c>
      <c r="K2563" s="33" t="s">
        <v>7784</v>
      </c>
      <c r="L2563" s="31" t="s">
        <v>202</v>
      </c>
      <c r="N2563" s="31" t="s">
        <v>204</v>
      </c>
      <c r="R2563" s="31" t="s">
        <v>207</v>
      </c>
    </row>
    <row r="2564">
      <c r="A2564" s="29">
        <v>45973.7262746412</v>
      </c>
      <c r="B2564" s="30">
        <v>45973.0</v>
      </c>
      <c r="C2564" s="31" t="s">
        <v>7785</v>
      </c>
      <c r="D2564" s="32" t="s">
        <v>7786</v>
      </c>
      <c r="E2564" s="31" t="s">
        <v>409</v>
      </c>
      <c r="F2564" s="31">
        <v>2.54E7</v>
      </c>
      <c r="G2564" s="31" t="s">
        <v>23</v>
      </c>
      <c r="H2564" s="31">
        <v>3000000.0</v>
      </c>
      <c r="I2564" s="31" t="s">
        <v>413</v>
      </c>
      <c r="K2564" s="33" t="s">
        <v>7787</v>
      </c>
      <c r="L2564" s="31" t="s">
        <v>202</v>
      </c>
      <c r="M2564" s="31" t="s">
        <v>5638</v>
      </c>
      <c r="N2564" s="31" t="s">
        <v>500</v>
      </c>
      <c r="V2564" s="31" t="s">
        <v>7537</v>
      </c>
    </row>
    <row r="2565">
      <c r="A2565" s="29">
        <v>45973.72833450232</v>
      </c>
      <c r="B2565" s="30" t="s">
        <v>7741</v>
      </c>
      <c r="C2565" s="31" t="s">
        <v>7788</v>
      </c>
      <c r="D2565" s="32" t="s">
        <v>7789</v>
      </c>
      <c r="E2565" s="31" t="s">
        <v>31</v>
      </c>
      <c r="F2565" s="31">
        <v>2000000.0</v>
      </c>
      <c r="G2565" s="31" t="s">
        <v>23</v>
      </c>
      <c r="I2565" s="31" t="s">
        <v>229</v>
      </c>
      <c r="J2565" s="31" t="s">
        <v>165</v>
      </c>
      <c r="K2565" s="33" t="s">
        <v>7790</v>
      </c>
      <c r="L2565" s="31" t="s">
        <v>202</v>
      </c>
      <c r="N2565" s="31" t="s">
        <v>215</v>
      </c>
      <c r="W2565" s="31" t="s">
        <v>216</v>
      </c>
    </row>
    <row r="2566">
      <c r="A2566" s="29">
        <v>45973.733237824075</v>
      </c>
      <c r="B2566" s="30">
        <v>45973.0</v>
      </c>
      <c r="C2566" s="31" t="s">
        <v>7791</v>
      </c>
      <c r="D2566" s="32" t="s">
        <v>7792</v>
      </c>
      <c r="E2566" s="31" t="s">
        <v>43</v>
      </c>
      <c r="F2566" s="31">
        <v>4000000.0</v>
      </c>
      <c r="G2566" s="31" t="s">
        <v>23</v>
      </c>
      <c r="I2566" s="31" t="s">
        <v>229</v>
      </c>
      <c r="J2566" s="31" t="s">
        <v>967</v>
      </c>
      <c r="K2566" s="33" t="s">
        <v>7793</v>
      </c>
      <c r="L2566" s="31" t="s">
        <v>202</v>
      </c>
      <c r="N2566" s="31" t="s">
        <v>220</v>
      </c>
      <c r="S2566" s="31" t="s">
        <v>466</v>
      </c>
    </row>
    <row r="2567">
      <c r="A2567" s="29">
        <v>45973.742124027776</v>
      </c>
      <c r="B2567" s="30">
        <v>45973.0</v>
      </c>
      <c r="C2567" s="31" t="s">
        <v>7794</v>
      </c>
      <c r="D2567" s="32" t="s">
        <v>7795</v>
      </c>
      <c r="E2567" s="31" t="s">
        <v>43</v>
      </c>
      <c r="F2567" s="31">
        <v>5500000.0</v>
      </c>
      <c r="G2567" s="31" t="s">
        <v>23</v>
      </c>
      <c r="I2567" s="31" t="s">
        <v>229</v>
      </c>
      <c r="J2567" s="31" t="s">
        <v>967</v>
      </c>
      <c r="K2567" s="33" t="s">
        <v>7796</v>
      </c>
      <c r="L2567" s="31" t="s">
        <v>202</v>
      </c>
      <c r="N2567" s="31" t="s">
        <v>220</v>
      </c>
      <c r="S2567" s="31" t="s">
        <v>536</v>
      </c>
    </row>
    <row r="2568">
      <c r="A2568" s="29">
        <v>45973.74393552083</v>
      </c>
      <c r="B2568" s="30">
        <v>45973.0</v>
      </c>
      <c r="C2568" s="31" t="s">
        <v>7797</v>
      </c>
      <c r="D2568" s="32" t="s">
        <v>7795</v>
      </c>
      <c r="E2568" s="31" t="s">
        <v>43</v>
      </c>
      <c r="F2568" s="31">
        <v>5500000.0</v>
      </c>
      <c r="G2568" s="31" t="s">
        <v>23</v>
      </c>
      <c r="I2568" s="31" t="s">
        <v>229</v>
      </c>
      <c r="J2568" s="31" t="s">
        <v>967</v>
      </c>
      <c r="K2568" s="33" t="s">
        <v>7798</v>
      </c>
      <c r="L2568" s="31" t="s">
        <v>202</v>
      </c>
      <c r="N2568" s="31" t="s">
        <v>220</v>
      </c>
      <c r="S2568" s="31" t="s">
        <v>536</v>
      </c>
    </row>
    <row r="2569">
      <c r="A2569" s="29">
        <v>45973.75037563658</v>
      </c>
      <c r="B2569" s="30">
        <v>45973.0</v>
      </c>
      <c r="C2569" s="31" t="s">
        <v>7799</v>
      </c>
      <c r="D2569" s="32" t="s">
        <v>7800</v>
      </c>
      <c r="E2569" s="31" t="s">
        <v>228</v>
      </c>
      <c r="F2569" s="31">
        <v>250000.0</v>
      </c>
      <c r="G2569" s="31" t="s">
        <v>23</v>
      </c>
      <c r="H2569" s="31">
        <v>300000.0</v>
      </c>
      <c r="I2569" s="31" t="s">
        <v>413</v>
      </c>
      <c r="K2569" s="33" t="s">
        <v>7801</v>
      </c>
      <c r="L2569" s="31" t="s">
        <v>202</v>
      </c>
      <c r="M2569" s="31" t="s">
        <v>5638</v>
      </c>
      <c r="N2569" s="31" t="s">
        <v>204</v>
      </c>
      <c r="R2569" s="31" t="s">
        <v>192</v>
      </c>
    </row>
    <row r="2570">
      <c r="A2570" s="29">
        <v>45973.75094111111</v>
      </c>
      <c r="B2570" s="30">
        <v>45973.0</v>
      </c>
      <c r="C2570" s="31" t="s">
        <v>7802</v>
      </c>
      <c r="D2570" s="32" t="s">
        <v>7803</v>
      </c>
      <c r="E2570" s="31" t="s">
        <v>288</v>
      </c>
      <c r="F2570" s="31">
        <v>2500000.0</v>
      </c>
      <c r="G2570" s="31" t="s">
        <v>23</v>
      </c>
      <c r="I2570" s="31" t="s">
        <v>229</v>
      </c>
      <c r="J2570" s="31" t="s">
        <v>967</v>
      </c>
      <c r="K2570" s="33" t="s">
        <v>7804</v>
      </c>
      <c r="L2570" s="31" t="s">
        <v>202</v>
      </c>
      <c r="N2570" s="31" t="s">
        <v>204</v>
      </c>
      <c r="R2570" s="31" t="s">
        <v>360</v>
      </c>
    </row>
    <row r="2571">
      <c r="A2571" s="29">
        <v>45973.75292791666</v>
      </c>
      <c r="B2571" s="30">
        <v>45973.0</v>
      </c>
      <c r="C2571" s="31" t="s">
        <v>7805</v>
      </c>
      <c r="D2571" s="31">
        <v>0.0</v>
      </c>
      <c r="E2571" s="31" t="s">
        <v>7806</v>
      </c>
      <c r="F2571" s="34">
        <v>5000.0</v>
      </c>
      <c r="G2571" s="31" t="s">
        <v>23</v>
      </c>
      <c r="I2571" s="31" t="s">
        <v>229</v>
      </c>
      <c r="J2571" s="31" t="s">
        <v>967</v>
      </c>
      <c r="K2571" s="33" t="s">
        <v>7807</v>
      </c>
      <c r="L2571" s="31" t="s">
        <v>202</v>
      </c>
      <c r="N2571" s="31" t="s">
        <v>204</v>
      </c>
      <c r="R2571" s="31" t="s">
        <v>171</v>
      </c>
    </row>
    <row r="2572">
      <c r="A2572" s="29">
        <v>45973.75430609954</v>
      </c>
      <c r="B2572" s="30">
        <v>45973.0</v>
      </c>
      <c r="C2572" s="31" t="s">
        <v>7808</v>
      </c>
      <c r="D2572" s="32" t="s">
        <v>3714</v>
      </c>
      <c r="E2572" s="31" t="s">
        <v>239</v>
      </c>
      <c r="F2572" s="31">
        <v>1000000.0</v>
      </c>
      <c r="G2572" s="31" t="s">
        <v>23</v>
      </c>
      <c r="I2572" s="31" t="s">
        <v>229</v>
      </c>
      <c r="J2572" s="31" t="s">
        <v>967</v>
      </c>
      <c r="K2572" s="33" t="s">
        <v>7809</v>
      </c>
      <c r="L2572" s="31" t="s">
        <v>202</v>
      </c>
      <c r="N2572" s="31" t="s">
        <v>215</v>
      </c>
      <c r="W2572" s="31" t="s">
        <v>532</v>
      </c>
    </row>
    <row r="2573">
      <c r="A2573" s="29">
        <v>45973.76041451389</v>
      </c>
      <c r="B2573" s="30">
        <v>45973.0</v>
      </c>
      <c r="C2573" s="31" t="s">
        <v>7810</v>
      </c>
      <c r="D2573" s="32" t="s">
        <v>7811</v>
      </c>
      <c r="E2573" s="31" t="s">
        <v>199</v>
      </c>
      <c r="F2573" s="34">
        <v>3500000.0</v>
      </c>
      <c r="G2573" s="31" t="s">
        <v>45</v>
      </c>
      <c r="I2573" s="31" t="s">
        <v>229</v>
      </c>
      <c r="J2573" s="31" t="s">
        <v>967</v>
      </c>
      <c r="K2573" s="33" t="s">
        <v>7812</v>
      </c>
      <c r="L2573" s="31" t="s">
        <v>252</v>
      </c>
      <c r="O2573" s="31" t="s">
        <v>205</v>
      </c>
      <c r="X2573" s="31" t="s">
        <v>1471</v>
      </c>
    </row>
    <row r="2574">
      <c r="A2574" s="29">
        <v>45973.760536180554</v>
      </c>
      <c r="B2574" s="30">
        <v>45973.0</v>
      </c>
      <c r="C2574" s="31" t="s">
        <v>7813</v>
      </c>
      <c r="D2574" s="31">
        <v>0.0</v>
      </c>
      <c r="E2574" s="31" t="s">
        <v>43</v>
      </c>
      <c r="F2574" s="31">
        <v>2000000.0</v>
      </c>
      <c r="G2574" s="31" t="s">
        <v>23</v>
      </c>
      <c r="I2574" s="31" t="s">
        <v>229</v>
      </c>
      <c r="J2574" s="31" t="s">
        <v>967</v>
      </c>
      <c r="K2574" s="33" t="s">
        <v>7814</v>
      </c>
      <c r="L2574" s="31" t="s">
        <v>252</v>
      </c>
      <c r="O2574" s="31" t="s">
        <v>257</v>
      </c>
      <c r="P2574" s="31" t="s">
        <v>2320</v>
      </c>
    </row>
    <row r="2575">
      <c r="A2575" s="29">
        <v>45973.772561805556</v>
      </c>
      <c r="B2575" s="30">
        <v>45973.0</v>
      </c>
      <c r="C2575" s="31" t="s">
        <v>7815</v>
      </c>
      <c r="D2575" s="32" t="s">
        <v>7816</v>
      </c>
      <c r="E2575" s="31" t="s">
        <v>43</v>
      </c>
      <c r="F2575" s="31">
        <v>3000000.0</v>
      </c>
      <c r="G2575" s="31" t="s">
        <v>23</v>
      </c>
      <c r="I2575" s="31" t="s">
        <v>229</v>
      </c>
      <c r="J2575" s="31" t="s">
        <v>967</v>
      </c>
      <c r="K2575" s="33" t="s">
        <v>7817</v>
      </c>
      <c r="L2575" s="31" t="s">
        <v>202</v>
      </c>
      <c r="N2575" s="31" t="s">
        <v>215</v>
      </c>
      <c r="W2575" s="31" t="s">
        <v>389</v>
      </c>
    </row>
    <row r="2576">
      <c r="A2576" s="29">
        <v>45973.78088175926</v>
      </c>
      <c r="B2576" s="30">
        <v>45973.0</v>
      </c>
      <c r="C2576" s="31" t="s">
        <v>7818</v>
      </c>
      <c r="D2576" s="32" t="s">
        <v>3714</v>
      </c>
      <c r="E2576" s="31" t="s">
        <v>228</v>
      </c>
      <c r="F2576" s="31">
        <v>2000000.0</v>
      </c>
      <c r="G2576" s="31" t="s">
        <v>23</v>
      </c>
      <c r="I2576" s="31" t="s">
        <v>229</v>
      </c>
      <c r="J2576" s="31" t="s">
        <v>967</v>
      </c>
      <c r="K2576" s="33" t="s">
        <v>7819</v>
      </c>
      <c r="L2576" s="31" t="s">
        <v>202</v>
      </c>
      <c r="N2576" s="31" t="s">
        <v>215</v>
      </c>
      <c r="W2576" s="31" t="s">
        <v>532</v>
      </c>
    </row>
    <row r="2577">
      <c r="A2577" s="29">
        <v>45973.78478472222</v>
      </c>
      <c r="B2577" s="30">
        <v>45973.0</v>
      </c>
      <c r="C2577" s="31" t="s">
        <v>7820</v>
      </c>
      <c r="D2577" s="32" t="s">
        <v>7821</v>
      </c>
      <c r="E2577" s="31" t="s">
        <v>43</v>
      </c>
      <c r="F2577" s="31">
        <v>4400000.0</v>
      </c>
      <c r="G2577" s="31" t="s">
        <v>23</v>
      </c>
      <c r="H2577" s="31">
        <v>3000000.0</v>
      </c>
      <c r="I2577" s="31" t="s">
        <v>413</v>
      </c>
      <c r="K2577" s="31" t="s">
        <v>7822</v>
      </c>
      <c r="L2577" s="31" t="s">
        <v>202</v>
      </c>
      <c r="M2577" s="31" t="s">
        <v>5638</v>
      </c>
      <c r="N2577" s="31" t="s">
        <v>220</v>
      </c>
      <c r="S2577" s="31" t="s">
        <v>124</v>
      </c>
    </row>
    <row r="2578">
      <c r="A2578" s="29">
        <v>45973.79246203703</v>
      </c>
      <c r="B2578" s="30">
        <v>45973.0</v>
      </c>
      <c r="C2578" s="31" t="s">
        <v>7823</v>
      </c>
      <c r="D2578" s="32" t="s">
        <v>7824</v>
      </c>
      <c r="E2578" s="31" t="s">
        <v>213</v>
      </c>
      <c r="F2578" s="31">
        <v>1.0E7</v>
      </c>
      <c r="G2578" s="31" t="s">
        <v>23</v>
      </c>
      <c r="I2578" s="31" t="s">
        <v>229</v>
      </c>
      <c r="J2578" s="31" t="s">
        <v>967</v>
      </c>
      <c r="K2578" s="33" t="s">
        <v>7825</v>
      </c>
      <c r="L2578" s="31" t="s">
        <v>252</v>
      </c>
      <c r="O2578" s="31" t="s">
        <v>205</v>
      </c>
      <c r="X2578" s="31" t="s">
        <v>2335</v>
      </c>
    </row>
    <row r="2579">
      <c r="A2579" s="29">
        <v>45973.80989634259</v>
      </c>
      <c r="B2579" s="30">
        <v>45973.0</v>
      </c>
      <c r="C2579" s="31" t="s">
        <v>7826</v>
      </c>
      <c r="D2579" s="32" t="s">
        <v>7827</v>
      </c>
      <c r="E2579" s="31" t="s">
        <v>43</v>
      </c>
      <c r="F2579" s="31">
        <v>3499000.0</v>
      </c>
      <c r="G2579" s="31" t="s">
        <v>23</v>
      </c>
      <c r="H2579" s="31">
        <v>3000000.0</v>
      </c>
      <c r="I2579" s="31" t="s">
        <v>413</v>
      </c>
      <c r="K2579" s="33" t="s">
        <v>7828</v>
      </c>
      <c r="L2579" s="31" t="s">
        <v>202</v>
      </c>
      <c r="M2579" s="31" t="s">
        <v>5638</v>
      </c>
      <c r="N2579" s="31" t="s">
        <v>204</v>
      </c>
      <c r="R2579" s="31" t="s">
        <v>53</v>
      </c>
    </row>
    <row r="2580">
      <c r="A2580" s="29">
        <v>45973.814054745366</v>
      </c>
      <c r="B2580" s="30">
        <v>45972.0</v>
      </c>
      <c r="C2580" s="31" t="s">
        <v>7829</v>
      </c>
      <c r="D2580" s="32" t="s">
        <v>7830</v>
      </c>
      <c r="E2580" s="31" t="s">
        <v>43</v>
      </c>
      <c r="F2580" s="31">
        <v>4500000.0</v>
      </c>
      <c r="G2580" s="31" t="s">
        <v>23</v>
      </c>
      <c r="H2580" s="31">
        <v>3000000.0</v>
      </c>
      <c r="I2580" s="31" t="s">
        <v>413</v>
      </c>
      <c r="K2580" s="33" t="s">
        <v>7831</v>
      </c>
      <c r="L2580" s="31" t="s">
        <v>202</v>
      </c>
      <c r="M2580" s="31" t="s">
        <v>5638</v>
      </c>
      <c r="N2580" s="31" t="s">
        <v>220</v>
      </c>
      <c r="S2580" s="31" t="s">
        <v>5670</v>
      </c>
    </row>
    <row r="2581">
      <c r="A2581" s="29">
        <v>45973.8180115162</v>
      </c>
      <c r="B2581" s="30">
        <v>45973.0</v>
      </c>
      <c r="C2581" s="31" t="s">
        <v>7832</v>
      </c>
      <c r="D2581" s="32" t="s">
        <v>7833</v>
      </c>
      <c r="E2581" s="31" t="s">
        <v>228</v>
      </c>
      <c r="F2581" s="31">
        <v>250000.0</v>
      </c>
      <c r="G2581" s="31" t="s">
        <v>23</v>
      </c>
      <c r="I2581" s="31" t="s">
        <v>229</v>
      </c>
      <c r="J2581" s="31" t="s">
        <v>967</v>
      </c>
      <c r="K2581" s="33" t="s">
        <v>7834</v>
      </c>
      <c r="L2581" s="31" t="s">
        <v>202</v>
      </c>
      <c r="N2581" s="31" t="s">
        <v>204</v>
      </c>
      <c r="R2581" s="31" t="s">
        <v>360</v>
      </c>
    </row>
    <row r="2582">
      <c r="A2582" s="29">
        <v>45973.825619560186</v>
      </c>
      <c r="B2582" s="30">
        <v>45973.0</v>
      </c>
      <c r="C2582" s="31" t="s">
        <v>7835</v>
      </c>
      <c r="D2582" s="32" t="s">
        <v>7836</v>
      </c>
      <c r="E2582" s="31" t="s">
        <v>261</v>
      </c>
      <c r="F2582" s="31">
        <v>50.0</v>
      </c>
      <c r="G2582" s="31" t="s">
        <v>23</v>
      </c>
      <c r="I2582" s="31" t="s">
        <v>229</v>
      </c>
      <c r="J2582" s="31" t="s">
        <v>967</v>
      </c>
      <c r="K2582" s="33" t="s">
        <v>7837</v>
      </c>
      <c r="L2582" s="31" t="s">
        <v>202</v>
      </c>
      <c r="N2582" s="31" t="s">
        <v>313</v>
      </c>
      <c r="T2582" s="31" t="s">
        <v>4272</v>
      </c>
    </row>
    <row r="2583">
      <c r="A2583" s="29">
        <v>45973.825628715276</v>
      </c>
      <c r="B2583" s="30">
        <v>45973.0</v>
      </c>
      <c r="C2583" s="31" t="s">
        <v>7838</v>
      </c>
      <c r="D2583" s="31" t="s">
        <v>7839</v>
      </c>
      <c r="E2583" s="31" t="s">
        <v>43</v>
      </c>
      <c r="F2583" s="31">
        <v>2300000.0</v>
      </c>
      <c r="G2583" s="31" t="s">
        <v>45</v>
      </c>
      <c r="H2583" s="31">
        <v>7000000.0</v>
      </c>
      <c r="I2583" s="31" t="s">
        <v>200</v>
      </c>
      <c r="K2583" s="33" t="s">
        <v>7840</v>
      </c>
      <c r="L2583" s="31" t="s">
        <v>202</v>
      </c>
      <c r="M2583" s="31" t="s">
        <v>5638</v>
      </c>
      <c r="N2583" s="31" t="s">
        <v>204</v>
      </c>
      <c r="R2583" s="31" t="s">
        <v>892</v>
      </c>
    </row>
    <row r="2584">
      <c r="A2584" s="29">
        <v>45973.82748902778</v>
      </c>
      <c r="B2584" s="30" t="s">
        <v>7741</v>
      </c>
      <c r="C2584" s="31" t="s">
        <v>7841</v>
      </c>
      <c r="D2584" s="32" t="s">
        <v>7842</v>
      </c>
      <c r="E2584" s="31" t="s">
        <v>31</v>
      </c>
      <c r="F2584" s="31">
        <v>1500000.0</v>
      </c>
      <c r="G2584" s="31" t="s">
        <v>23</v>
      </c>
      <c r="I2584" s="31" t="s">
        <v>229</v>
      </c>
      <c r="J2584" s="31" t="s">
        <v>967</v>
      </c>
      <c r="K2584" s="33" t="s">
        <v>7843</v>
      </c>
      <c r="L2584" s="31" t="s">
        <v>202</v>
      </c>
      <c r="N2584" s="31" t="s">
        <v>215</v>
      </c>
      <c r="W2584" s="31" t="s">
        <v>216</v>
      </c>
    </row>
    <row r="2585">
      <c r="A2585" s="29">
        <v>45973.82993943287</v>
      </c>
      <c r="B2585" s="30">
        <v>45973.0</v>
      </c>
      <c r="C2585" s="31" t="s">
        <v>7844</v>
      </c>
      <c r="D2585" s="32" t="s">
        <v>7845</v>
      </c>
      <c r="E2585" s="31" t="s">
        <v>2902</v>
      </c>
      <c r="F2585" s="31">
        <v>4700000.0</v>
      </c>
      <c r="G2585" s="31" t="s">
        <v>23</v>
      </c>
      <c r="I2585" s="31" t="s">
        <v>229</v>
      </c>
      <c r="J2585" s="31" t="s">
        <v>7846</v>
      </c>
      <c r="K2585" s="33" t="s">
        <v>7847</v>
      </c>
      <c r="L2585" s="31" t="s">
        <v>202</v>
      </c>
      <c r="N2585" s="31" t="s">
        <v>220</v>
      </c>
      <c r="S2585" s="31" t="s">
        <v>36</v>
      </c>
    </row>
    <row r="2586">
      <c r="A2586" s="29">
        <v>45973.83118929398</v>
      </c>
      <c r="B2586" s="30">
        <v>45973.0</v>
      </c>
      <c r="C2586" s="31" t="s">
        <v>7848</v>
      </c>
      <c r="D2586" s="32" t="s">
        <v>7849</v>
      </c>
      <c r="E2586" s="31" t="s">
        <v>2491</v>
      </c>
      <c r="F2586" s="31">
        <v>2000000.0</v>
      </c>
      <c r="G2586" s="31" t="s">
        <v>23</v>
      </c>
      <c r="I2586" s="31" t="s">
        <v>229</v>
      </c>
      <c r="J2586" s="31" t="s">
        <v>967</v>
      </c>
      <c r="K2586" s="33" t="s">
        <v>7850</v>
      </c>
      <c r="L2586" s="31" t="s">
        <v>252</v>
      </c>
      <c r="O2586" s="31" t="s">
        <v>205</v>
      </c>
      <c r="X2586" s="31" t="s">
        <v>549</v>
      </c>
    </row>
    <row r="2587">
      <c r="A2587" s="29">
        <v>45973.83580811342</v>
      </c>
      <c r="B2587" s="30">
        <v>45973.0</v>
      </c>
      <c r="C2587" s="31" t="s">
        <v>7851</v>
      </c>
      <c r="D2587" s="32" t="s">
        <v>7852</v>
      </c>
      <c r="E2587" s="31" t="s">
        <v>288</v>
      </c>
      <c r="F2587" s="31">
        <v>50.0</v>
      </c>
      <c r="G2587" s="31" t="s">
        <v>23</v>
      </c>
      <c r="I2587" s="31" t="s">
        <v>229</v>
      </c>
      <c r="J2587" s="31" t="s">
        <v>276</v>
      </c>
      <c r="K2587" s="33" t="s">
        <v>7853</v>
      </c>
      <c r="L2587" s="31" t="s">
        <v>202</v>
      </c>
      <c r="N2587" s="31" t="s">
        <v>313</v>
      </c>
      <c r="T2587" s="31" t="s">
        <v>4272</v>
      </c>
    </row>
    <row r="2588">
      <c r="A2588" s="29">
        <v>45973.84026208334</v>
      </c>
      <c r="B2588" s="30">
        <v>45973.0</v>
      </c>
      <c r="C2588" s="31" t="s">
        <v>7172</v>
      </c>
      <c r="D2588" s="31" t="s">
        <v>7854</v>
      </c>
      <c r="E2588" s="31" t="s">
        <v>288</v>
      </c>
      <c r="F2588" s="31">
        <v>4300000.0</v>
      </c>
      <c r="G2588" s="31" t="s">
        <v>45</v>
      </c>
      <c r="H2588" s="31">
        <v>3000000.0</v>
      </c>
      <c r="I2588" s="31" t="s">
        <v>200</v>
      </c>
      <c r="K2588" s="33" t="s">
        <v>7855</v>
      </c>
      <c r="L2588" s="31" t="s">
        <v>202</v>
      </c>
      <c r="M2588" s="31" t="s">
        <v>203</v>
      </c>
      <c r="N2588" s="31" t="s">
        <v>220</v>
      </c>
      <c r="S2588" s="31" t="s">
        <v>90</v>
      </c>
    </row>
    <row r="2589">
      <c r="A2589" s="29">
        <v>45973.8653853125</v>
      </c>
      <c r="B2589" s="30">
        <v>45973.0</v>
      </c>
      <c r="C2589" s="31" t="s">
        <v>7856</v>
      </c>
      <c r="D2589" s="32" t="s">
        <v>7857</v>
      </c>
      <c r="E2589" s="31" t="s">
        <v>31</v>
      </c>
      <c r="F2589" s="31">
        <v>4400000.0</v>
      </c>
      <c r="G2589" s="31" t="s">
        <v>23</v>
      </c>
      <c r="H2589" s="31">
        <v>3000000.0</v>
      </c>
      <c r="I2589" s="31" t="s">
        <v>413</v>
      </c>
      <c r="K2589" s="33" t="s">
        <v>7858</v>
      </c>
      <c r="L2589" s="31" t="s">
        <v>202</v>
      </c>
      <c r="M2589" s="31" t="s">
        <v>5638</v>
      </c>
      <c r="N2589" s="31" t="s">
        <v>220</v>
      </c>
      <c r="S2589" s="31" t="s">
        <v>83</v>
      </c>
    </row>
    <row r="2590">
      <c r="A2590" s="29">
        <v>45973.866870983795</v>
      </c>
      <c r="B2590" s="30">
        <v>45973.0</v>
      </c>
      <c r="C2590" s="31" t="s">
        <v>7859</v>
      </c>
      <c r="D2590" s="32" t="s">
        <v>7860</v>
      </c>
      <c r="E2590" s="31" t="s">
        <v>31</v>
      </c>
      <c r="F2590" s="31">
        <v>7500000.0</v>
      </c>
      <c r="G2590" s="31" t="s">
        <v>23</v>
      </c>
      <c r="I2590" s="31" t="s">
        <v>229</v>
      </c>
      <c r="J2590" s="31" t="s">
        <v>967</v>
      </c>
      <c r="K2590" s="33" t="s">
        <v>7861</v>
      </c>
      <c r="L2590" s="31" t="s">
        <v>202</v>
      </c>
      <c r="N2590" s="31" t="s">
        <v>220</v>
      </c>
      <c r="S2590" s="31" t="s">
        <v>83</v>
      </c>
    </row>
    <row r="2591">
      <c r="A2591" s="29">
        <v>45973.8830079051</v>
      </c>
      <c r="B2591" s="30">
        <v>45973.0</v>
      </c>
      <c r="C2591" s="31" t="s">
        <v>7862</v>
      </c>
      <c r="D2591" s="32" t="s">
        <v>2373</v>
      </c>
      <c r="E2591" s="31" t="s">
        <v>43</v>
      </c>
      <c r="F2591" s="31">
        <v>8000000.0</v>
      </c>
      <c r="G2591" s="31" t="s">
        <v>23</v>
      </c>
      <c r="H2591" s="31">
        <v>5000000.0</v>
      </c>
      <c r="I2591" s="31" t="s">
        <v>200</v>
      </c>
      <c r="K2591" s="33" t="s">
        <v>7863</v>
      </c>
      <c r="L2591" s="31" t="s">
        <v>202</v>
      </c>
      <c r="M2591" s="31" t="s">
        <v>926</v>
      </c>
      <c r="N2591" s="31" t="s">
        <v>313</v>
      </c>
      <c r="T2591" s="31" t="s">
        <v>314</v>
      </c>
    </row>
    <row r="2592">
      <c r="A2592" s="29">
        <v>45974.40395465278</v>
      </c>
      <c r="B2592" s="30">
        <v>45974.0</v>
      </c>
      <c r="C2592" s="31" t="s">
        <v>7864</v>
      </c>
      <c r="D2592" s="32" t="s">
        <v>7865</v>
      </c>
      <c r="E2592" s="31" t="s">
        <v>239</v>
      </c>
      <c r="F2592" s="31">
        <v>50.0</v>
      </c>
      <c r="G2592" s="31" t="s">
        <v>23</v>
      </c>
      <c r="I2592" s="31" t="s">
        <v>229</v>
      </c>
      <c r="J2592" s="31" t="s">
        <v>967</v>
      </c>
      <c r="K2592" s="33" t="s">
        <v>7866</v>
      </c>
      <c r="L2592" s="31" t="s">
        <v>202</v>
      </c>
      <c r="N2592" s="31" t="s">
        <v>313</v>
      </c>
      <c r="T2592" s="31" t="s">
        <v>4272</v>
      </c>
    </row>
    <row r="2593">
      <c r="A2593" s="29">
        <v>45974.413552847225</v>
      </c>
      <c r="B2593" s="30">
        <v>45974.0</v>
      </c>
      <c r="C2593" s="31" t="s">
        <v>7867</v>
      </c>
      <c r="D2593" s="32" t="s">
        <v>7868</v>
      </c>
      <c r="E2593" s="31" t="s">
        <v>31</v>
      </c>
      <c r="F2593" s="31">
        <v>7800000.0</v>
      </c>
      <c r="G2593" s="31" t="s">
        <v>23</v>
      </c>
      <c r="I2593" s="31" t="s">
        <v>229</v>
      </c>
      <c r="J2593" s="31" t="s">
        <v>967</v>
      </c>
      <c r="K2593" s="33" t="s">
        <v>7869</v>
      </c>
      <c r="L2593" s="31" t="s">
        <v>202</v>
      </c>
      <c r="N2593" s="31" t="s">
        <v>667</v>
      </c>
      <c r="U2593" s="31" t="s">
        <v>668</v>
      </c>
    </row>
    <row r="2594">
      <c r="A2594" s="29">
        <v>45974.42499581019</v>
      </c>
      <c r="B2594" s="30">
        <v>45974.0</v>
      </c>
      <c r="C2594" s="31" t="s">
        <v>385</v>
      </c>
      <c r="D2594" s="32" t="s">
        <v>7870</v>
      </c>
      <c r="E2594" s="31" t="s">
        <v>43</v>
      </c>
      <c r="F2594" s="31">
        <v>3000000.0</v>
      </c>
      <c r="G2594" s="31" t="s">
        <v>23</v>
      </c>
      <c r="I2594" s="31" t="s">
        <v>229</v>
      </c>
      <c r="J2594" s="31" t="s">
        <v>967</v>
      </c>
      <c r="K2594" s="33" t="s">
        <v>7871</v>
      </c>
      <c r="L2594" s="31" t="s">
        <v>202</v>
      </c>
      <c r="N2594" s="31" t="s">
        <v>215</v>
      </c>
      <c r="W2594" s="31" t="s">
        <v>389</v>
      </c>
    </row>
    <row r="2595">
      <c r="A2595" s="29">
        <v>45974.43975229167</v>
      </c>
      <c r="B2595" s="30">
        <v>45974.0</v>
      </c>
      <c r="C2595" s="31" t="s">
        <v>7872</v>
      </c>
      <c r="D2595" s="32" t="s">
        <v>7873</v>
      </c>
      <c r="E2595" s="31" t="s">
        <v>43</v>
      </c>
      <c r="F2595" s="31">
        <v>3700000.0</v>
      </c>
      <c r="G2595" s="31" t="s">
        <v>23</v>
      </c>
      <c r="I2595" s="31" t="s">
        <v>229</v>
      </c>
      <c r="J2595" s="31" t="s">
        <v>967</v>
      </c>
      <c r="K2595" s="33" t="s">
        <v>7874</v>
      </c>
      <c r="L2595" s="31" t="s">
        <v>202</v>
      </c>
      <c r="N2595" s="31" t="s">
        <v>220</v>
      </c>
      <c r="S2595" s="31" t="s">
        <v>36</v>
      </c>
    </row>
    <row r="2596">
      <c r="A2596" s="29">
        <v>45974.44187201389</v>
      </c>
      <c r="B2596" s="30">
        <v>45974.0</v>
      </c>
      <c r="C2596" s="31" t="s">
        <v>7875</v>
      </c>
      <c r="D2596" s="32" t="s">
        <v>7876</v>
      </c>
      <c r="E2596" s="31" t="s">
        <v>335</v>
      </c>
      <c r="F2596" s="31">
        <v>5000000.0</v>
      </c>
      <c r="G2596" s="31" t="s">
        <v>45</v>
      </c>
      <c r="I2596" s="31" t="s">
        <v>229</v>
      </c>
      <c r="J2596" s="31" t="s">
        <v>967</v>
      </c>
      <c r="K2596" s="33" t="s">
        <v>7877</v>
      </c>
      <c r="L2596" s="31" t="s">
        <v>202</v>
      </c>
      <c r="N2596" s="31" t="s">
        <v>204</v>
      </c>
      <c r="R2596" s="31" t="s">
        <v>207</v>
      </c>
    </row>
    <row r="2597">
      <c r="A2597" s="29">
        <v>45974.45013336805</v>
      </c>
      <c r="B2597" s="30">
        <v>45974.0</v>
      </c>
      <c r="C2597" s="31" t="s">
        <v>7878</v>
      </c>
      <c r="D2597" s="32" t="s">
        <v>7879</v>
      </c>
      <c r="E2597" s="31" t="s">
        <v>43</v>
      </c>
      <c r="F2597" s="31">
        <v>2400000.0</v>
      </c>
      <c r="G2597" s="31" t="s">
        <v>23</v>
      </c>
      <c r="I2597" s="31" t="s">
        <v>229</v>
      </c>
      <c r="J2597" s="31" t="s">
        <v>967</v>
      </c>
      <c r="K2597" s="33" t="s">
        <v>7880</v>
      </c>
      <c r="L2597" s="31" t="s">
        <v>202</v>
      </c>
      <c r="N2597" s="31" t="s">
        <v>204</v>
      </c>
      <c r="R2597" s="31" t="s">
        <v>148</v>
      </c>
    </row>
    <row r="2598">
      <c r="A2598" s="29">
        <v>45974.45468101852</v>
      </c>
      <c r="B2598" s="30">
        <v>45974.0</v>
      </c>
      <c r="C2598" s="31" t="s">
        <v>7881</v>
      </c>
      <c r="D2598" s="32" t="s">
        <v>7882</v>
      </c>
      <c r="E2598" s="31" t="s">
        <v>199</v>
      </c>
      <c r="F2598" s="31">
        <v>3000000.0</v>
      </c>
      <c r="G2598" s="31" t="s">
        <v>23</v>
      </c>
      <c r="I2598" s="31" t="s">
        <v>229</v>
      </c>
      <c r="J2598" s="31" t="s">
        <v>967</v>
      </c>
      <c r="K2598" s="33" t="s">
        <v>7883</v>
      </c>
      <c r="L2598" s="31" t="s">
        <v>252</v>
      </c>
      <c r="O2598" s="31" t="s">
        <v>257</v>
      </c>
      <c r="P2598" s="31" t="s">
        <v>3194</v>
      </c>
    </row>
    <row r="2599">
      <c r="A2599" s="29">
        <v>45974.467308391206</v>
      </c>
      <c r="B2599" s="30">
        <v>45974.0</v>
      </c>
      <c r="C2599" s="31" t="s">
        <v>7884</v>
      </c>
      <c r="D2599" s="32" t="s">
        <v>7885</v>
      </c>
      <c r="E2599" s="31" t="s">
        <v>213</v>
      </c>
      <c r="F2599" s="31">
        <v>2.48E7</v>
      </c>
      <c r="G2599" s="31" t="s">
        <v>23</v>
      </c>
      <c r="H2599" s="31">
        <v>3000000.0</v>
      </c>
      <c r="I2599" s="31" t="s">
        <v>413</v>
      </c>
      <c r="K2599" s="33" t="s">
        <v>7886</v>
      </c>
      <c r="L2599" s="31" t="s">
        <v>202</v>
      </c>
      <c r="M2599" s="31" t="s">
        <v>5638</v>
      </c>
      <c r="N2599" s="31" t="s">
        <v>500</v>
      </c>
      <c r="V2599" s="31" t="s">
        <v>7537</v>
      </c>
    </row>
    <row r="2600">
      <c r="A2600" s="29">
        <v>45974.468288460645</v>
      </c>
      <c r="B2600" s="30">
        <v>45974.0</v>
      </c>
      <c r="C2600" s="31" t="s">
        <v>7887</v>
      </c>
      <c r="D2600" s="32" t="s">
        <v>7888</v>
      </c>
      <c r="E2600" s="31" t="s">
        <v>43</v>
      </c>
      <c r="F2600" s="31">
        <v>2800000.0</v>
      </c>
      <c r="G2600" s="31" t="s">
        <v>23</v>
      </c>
      <c r="I2600" s="31" t="s">
        <v>229</v>
      </c>
      <c r="J2600" s="31" t="s">
        <v>967</v>
      </c>
      <c r="K2600" s="33" t="s">
        <v>7889</v>
      </c>
      <c r="L2600" s="31" t="s">
        <v>252</v>
      </c>
      <c r="O2600" s="31" t="s">
        <v>205</v>
      </c>
      <c r="X2600" s="31" t="s">
        <v>452</v>
      </c>
    </row>
    <row r="2601">
      <c r="A2601" s="29">
        <v>45974.479120601856</v>
      </c>
      <c r="B2601" s="30">
        <v>45974.0</v>
      </c>
      <c r="C2601" s="31" t="s">
        <v>7890</v>
      </c>
      <c r="D2601" s="32" t="s">
        <v>7891</v>
      </c>
      <c r="E2601" s="31" t="s">
        <v>239</v>
      </c>
      <c r="F2601" s="31">
        <v>3000000.0</v>
      </c>
      <c r="G2601" s="31" t="s">
        <v>23</v>
      </c>
      <c r="I2601" s="31" t="s">
        <v>229</v>
      </c>
      <c r="J2601" s="31" t="s">
        <v>967</v>
      </c>
      <c r="K2601" s="33" t="s">
        <v>7892</v>
      </c>
      <c r="L2601" s="31" t="s">
        <v>202</v>
      </c>
      <c r="N2601" s="31" t="s">
        <v>871</v>
      </c>
      <c r="Q2601" s="31" t="s">
        <v>872</v>
      </c>
    </row>
    <row r="2602">
      <c r="A2602" s="29">
        <v>45974.47989901621</v>
      </c>
      <c r="B2602" s="30">
        <v>45974.0</v>
      </c>
      <c r="C2602" s="31" t="s">
        <v>7893</v>
      </c>
      <c r="D2602" s="32" t="s">
        <v>7894</v>
      </c>
      <c r="E2602" s="31" t="s">
        <v>43</v>
      </c>
      <c r="F2602" s="31">
        <v>3100000.0</v>
      </c>
      <c r="G2602" s="31" t="s">
        <v>23</v>
      </c>
      <c r="I2602" s="31" t="s">
        <v>229</v>
      </c>
      <c r="J2602" s="31" t="s">
        <v>967</v>
      </c>
      <c r="K2602" s="33" t="s">
        <v>7895</v>
      </c>
      <c r="L2602" s="31" t="s">
        <v>252</v>
      </c>
      <c r="O2602" s="31" t="s">
        <v>205</v>
      </c>
      <c r="X2602" s="31" t="s">
        <v>716</v>
      </c>
    </row>
    <row r="2603">
      <c r="A2603" s="29">
        <v>45974.49124130787</v>
      </c>
      <c r="B2603" s="30">
        <v>45974.0</v>
      </c>
      <c r="C2603" s="31" t="s">
        <v>7896</v>
      </c>
      <c r="D2603" s="32" t="s">
        <v>7897</v>
      </c>
      <c r="E2603" s="31" t="s">
        <v>43</v>
      </c>
      <c r="F2603" s="31">
        <v>7.0E7</v>
      </c>
      <c r="G2603" s="31" t="s">
        <v>23</v>
      </c>
      <c r="I2603" s="31" t="s">
        <v>229</v>
      </c>
      <c r="J2603" s="31" t="s">
        <v>967</v>
      </c>
      <c r="K2603" s="33" t="s">
        <v>7898</v>
      </c>
      <c r="L2603" s="31" t="s">
        <v>202</v>
      </c>
      <c r="N2603" s="31" t="s">
        <v>220</v>
      </c>
      <c r="S2603" s="31" t="s">
        <v>536</v>
      </c>
    </row>
    <row r="2604">
      <c r="A2604" s="29">
        <v>45974.4926225</v>
      </c>
      <c r="B2604" s="30">
        <v>45974.0</v>
      </c>
      <c r="C2604" s="31" t="s">
        <v>7899</v>
      </c>
      <c r="D2604" s="32" t="s">
        <v>7900</v>
      </c>
      <c r="E2604" s="31" t="s">
        <v>228</v>
      </c>
      <c r="F2604" s="34">
        <v>3400.0</v>
      </c>
      <c r="G2604" s="31" t="s">
        <v>23</v>
      </c>
      <c r="I2604" s="31" t="s">
        <v>229</v>
      </c>
      <c r="J2604" s="31" t="s">
        <v>967</v>
      </c>
      <c r="K2604" s="33" t="s">
        <v>7901</v>
      </c>
      <c r="L2604" s="31" t="s">
        <v>202</v>
      </c>
      <c r="N2604" s="31" t="s">
        <v>871</v>
      </c>
      <c r="Q2604" s="31" t="s">
        <v>2403</v>
      </c>
    </row>
    <row r="2605">
      <c r="A2605" s="29">
        <v>45974.49391802083</v>
      </c>
      <c r="B2605" s="30">
        <v>45974.0</v>
      </c>
      <c r="C2605" s="31" t="s">
        <v>7902</v>
      </c>
      <c r="D2605" s="32" t="s">
        <v>7903</v>
      </c>
      <c r="E2605" s="31" t="s">
        <v>43</v>
      </c>
      <c r="F2605" s="31">
        <v>4000.0</v>
      </c>
      <c r="G2605" s="31" t="s">
        <v>23</v>
      </c>
      <c r="I2605" s="31" t="s">
        <v>229</v>
      </c>
      <c r="J2605" s="31" t="s">
        <v>967</v>
      </c>
      <c r="K2605" s="33" t="s">
        <v>7904</v>
      </c>
      <c r="L2605" s="31" t="s">
        <v>202</v>
      </c>
      <c r="N2605" s="31" t="s">
        <v>871</v>
      </c>
      <c r="Q2605" s="31" t="s">
        <v>2403</v>
      </c>
    </row>
    <row r="2606">
      <c r="A2606" s="29">
        <v>45974.504481655094</v>
      </c>
      <c r="B2606" s="30">
        <v>45974.0</v>
      </c>
      <c r="C2606" s="31" t="s">
        <v>7905</v>
      </c>
      <c r="D2606" s="32" t="s">
        <v>7906</v>
      </c>
      <c r="E2606" s="31" t="s">
        <v>43</v>
      </c>
      <c r="F2606" s="31">
        <v>2500000.0</v>
      </c>
      <c r="G2606" s="31" t="s">
        <v>23</v>
      </c>
      <c r="H2606" s="31">
        <v>3000000.0</v>
      </c>
      <c r="I2606" s="31" t="s">
        <v>413</v>
      </c>
      <c r="K2606" s="33" t="s">
        <v>7907</v>
      </c>
      <c r="L2606" s="31" t="s">
        <v>252</v>
      </c>
      <c r="M2606" s="31" t="s">
        <v>203</v>
      </c>
      <c r="O2606" s="31" t="s">
        <v>257</v>
      </c>
      <c r="P2606" s="31" t="s">
        <v>2453</v>
      </c>
    </row>
    <row r="2607">
      <c r="A2607" s="29">
        <v>45974.50572663195</v>
      </c>
      <c r="B2607" s="30">
        <v>45974.0</v>
      </c>
      <c r="C2607" s="31" t="s">
        <v>7908</v>
      </c>
      <c r="D2607" s="32" t="s">
        <v>7909</v>
      </c>
      <c r="E2607" s="31" t="s">
        <v>43</v>
      </c>
      <c r="F2607" s="31">
        <v>2500000.0</v>
      </c>
      <c r="G2607" s="31" t="s">
        <v>23</v>
      </c>
      <c r="I2607" s="31" t="s">
        <v>229</v>
      </c>
      <c r="J2607" s="31" t="s">
        <v>967</v>
      </c>
      <c r="K2607" s="33" t="s">
        <v>7910</v>
      </c>
      <c r="L2607" s="31" t="s">
        <v>252</v>
      </c>
      <c r="O2607" s="31" t="s">
        <v>257</v>
      </c>
      <c r="P2607" s="31" t="s">
        <v>2453</v>
      </c>
    </row>
    <row r="2608">
      <c r="A2608" s="29">
        <v>45974.506226377314</v>
      </c>
      <c r="B2608" s="30">
        <v>45974.0</v>
      </c>
      <c r="C2608" s="31" t="s">
        <v>7911</v>
      </c>
      <c r="D2608" s="32" t="s">
        <v>7912</v>
      </c>
      <c r="E2608" s="31" t="s">
        <v>261</v>
      </c>
      <c r="F2608" s="31">
        <v>1000000.0</v>
      </c>
      <c r="G2608" s="31" t="s">
        <v>23</v>
      </c>
      <c r="I2608" s="31" t="s">
        <v>229</v>
      </c>
      <c r="J2608" s="31" t="s">
        <v>967</v>
      </c>
      <c r="K2608" s="33" t="s">
        <v>7913</v>
      </c>
      <c r="L2608" s="31" t="s">
        <v>252</v>
      </c>
      <c r="O2608" s="31" t="s">
        <v>205</v>
      </c>
      <c r="X2608" s="31" t="s">
        <v>549</v>
      </c>
    </row>
    <row r="2609">
      <c r="A2609" s="29">
        <v>45974.50758207176</v>
      </c>
      <c r="B2609" s="30">
        <v>45974.0</v>
      </c>
      <c r="C2609" s="31" t="s">
        <v>7482</v>
      </c>
      <c r="D2609" s="32" t="s">
        <v>7483</v>
      </c>
      <c r="E2609" s="31" t="s">
        <v>2902</v>
      </c>
      <c r="F2609" s="31">
        <v>5000000.0</v>
      </c>
      <c r="G2609" s="31" t="s">
        <v>23</v>
      </c>
      <c r="H2609" s="31">
        <v>3000000.0</v>
      </c>
      <c r="I2609" s="31" t="s">
        <v>200</v>
      </c>
      <c r="K2609" s="33" t="s">
        <v>7914</v>
      </c>
      <c r="L2609" s="31" t="s">
        <v>202</v>
      </c>
      <c r="M2609" s="31" t="s">
        <v>5638</v>
      </c>
      <c r="N2609" s="31" t="s">
        <v>220</v>
      </c>
      <c r="S2609" s="31" t="s">
        <v>36</v>
      </c>
    </row>
    <row r="2610">
      <c r="A2610" s="29">
        <v>45974.52560538195</v>
      </c>
      <c r="B2610" s="30">
        <v>45974.0</v>
      </c>
      <c r="C2610" s="31" t="s">
        <v>7915</v>
      </c>
      <c r="D2610" s="32" t="s">
        <v>7916</v>
      </c>
      <c r="E2610" s="31" t="s">
        <v>288</v>
      </c>
      <c r="F2610" s="31">
        <v>6000000.0</v>
      </c>
      <c r="G2610" s="31" t="s">
        <v>45</v>
      </c>
      <c r="H2610" s="31">
        <v>3000000.0</v>
      </c>
      <c r="I2610" s="31" t="s">
        <v>413</v>
      </c>
      <c r="K2610" s="33" t="s">
        <v>7917</v>
      </c>
      <c r="L2610" s="31" t="s">
        <v>252</v>
      </c>
      <c r="M2610" s="31" t="s">
        <v>203</v>
      </c>
      <c r="O2610" s="31" t="s">
        <v>257</v>
      </c>
      <c r="P2610" s="31" t="s">
        <v>285</v>
      </c>
    </row>
    <row r="2611">
      <c r="A2611" s="29">
        <v>45974.537195729165</v>
      </c>
      <c r="B2611" s="30">
        <v>45974.0</v>
      </c>
      <c r="C2611" s="31" t="s">
        <v>7918</v>
      </c>
      <c r="D2611" s="32" t="s">
        <v>2658</v>
      </c>
      <c r="E2611" s="31" t="s">
        <v>43</v>
      </c>
      <c r="F2611" s="31">
        <v>3000000.0</v>
      </c>
      <c r="G2611" s="31" t="s">
        <v>23</v>
      </c>
      <c r="I2611" s="31" t="s">
        <v>229</v>
      </c>
      <c r="J2611" s="31" t="s">
        <v>967</v>
      </c>
      <c r="K2611" s="33" t="s">
        <v>7919</v>
      </c>
      <c r="L2611" s="31" t="s">
        <v>202</v>
      </c>
      <c r="N2611" s="31" t="s">
        <v>215</v>
      </c>
      <c r="W2611" s="31" t="s">
        <v>389</v>
      </c>
    </row>
    <row r="2612">
      <c r="A2612" s="29">
        <v>45974.54232980324</v>
      </c>
      <c r="B2612" s="30">
        <v>45974.0</v>
      </c>
      <c r="C2612" s="31" t="s">
        <v>7920</v>
      </c>
      <c r="D2612" s="31" t="s">
        <v>7921</v>
      </c>
      <c r="E2612" s="31" t="s">
        <v>43</v>
      </c>
      <c r="F2612" s="31">
        <v>3000000.0</v>
      </c>
      <c r="G2612" s="31" t="s">
        <v>23</v>
      </c>
      <c r="I2612" s="31" t="s">
        <v>229</v>
      </c>
      <c r="J2612" s="31" t="s">
        <v>967</v>
      </c>
      <c r="K2612" s="33" t="s">
        <v>7922</v>
      </c>
      <c r="L2612" s="31" t="s">
        <v>202</v>
      </c>
      <c r="N2612" s="31" t="s">
        <v>215</v>
      </c>
      <c r="W2612" s="31" t="s">
        <v>389</v>
      </c>
    </row>
    <row r="2613">
      <c r="A2613" s="29">
        <v>45974.55135491898</v>
      </c>
      <c r="B2613" s="30">
        <v>45974.0</v>
      </c>
      <c r="C2613" s="31" t="s">
        <v>7923</v>
      </c>
      <c r="D2613" s="32" t="s">
        <v>7924</v>
      </c>
      <c r="E2613" s="31" t="s">
        <v>43</v>
      </c>
      <c r="F2613" s="31">
        <v>2.5E7</v>
      </c>
      <c r="G2613" s="31" t="s">
        <v>23</v>
      </c>
      <c r="I2613" s="31" t="s">
        <v>229</v>
      </c>
      <c r="J2613" s="31" t="s">
        <v>967</v>
      </c>
      <c r="K2613" s="33" t="s">
        <v>7925</v>
      </c>
      <c r="L2613" s="31" t="s">
        <v>202</v>
      </c>
      <c r="N2613" s="31" t="s">
        <v>500</v>
      </c>
      <c r="V2613" s="31" t="s">
        <v>6597</v>
      </c>
    </row>
    <row r="2614">
      <c r="A2614" s="29">
        <v>45974.55272519676</v>
      </c>
      <c r="B2614" s="30">
        <v>45974.0</v>
      </c>
      <c r="C2614" s="31" t="s">
        <v>7926</v>
      </c>
      <c r="D2614" s="32" t="s">
        <v>7927</v>
      </c>
      <c r="E2614" s="31" t="s">
        <v>43</v>
      </c>
      <c r="F2614" s="31">
        <v>2.5E7</v>
      </c>
      <c r="G2614" s="31" t="s">
        <v>23</v>
      </c>
      <c r="I2614" s="31" t="s">
        <v>229</v>
      </c>
      <c r="J2614" s="31" t="s">
        <v>967</v>
      </c>
      <c r="K2614" s="33" t="s">
        <v>7928</v>
      </c>
      <c r="L2614" s="31" t="s">
        <v>202</v>
      </c>
      <c r="N2614" s="31" t="s">
        <v>500</v>
      </c>
      <c r="V2614" s="31" t="s">
        <v>6597</v>
      </c>
    </row>
    <row r="2615">
      <c r="A2615" s="29">
        <v>45974.553298865736</v>
      </c>
      <c r="B2615" s="30">
        <v>45974.0</v>
      </c>
      <c r="C2615" s="31" t="s">
        <v>7929</v>
      </c>
      <c r="D2615" s="32" t="s">
        <v>7930</v>
      </c>
      <c r="E2615" s="31" t="s">
        <v>31</v>
      </c>
      <c r="F2615" s="31">
        <v>3.0E7</v>
      </c>
      <c r="G2615" s="31" t="s">
        <v>23</v>
      </c>
      <c r="I2615" s="31" t="s">
        <v>229</v>
      </c>
      <c r="J2615" s="31" t="s">
        <v>498</v>
      </c>
      <c r="K2615" s="33" t="s">
        <v>7931</v>
      </c>
      <c r="L2615" s="31" t="s">
        <v>202</v>
      </c>
      <c r="N2615" s="31" t="s">
        <v>500</v>
      </c>
      <c r="V2615" s="31" t="s">
        <v>501</v>
      </c>
    </row>
    <row r="2616">
      <c r="A2616" s="29">
        <v>45974.55625732639</v>
      </c>
      <c r="B2616" s="30">
        <v>45974.0</v>
      </c>
      <c r="C2616" s="31" t="s">
        <v>7932</v>
      </c>
      <c r="D2616" s="32" t="s">
        <v>7933</v>
      </c>
      <c r="E2616" s="31" t="s">
        <v>31</v>
      </c>
      <c r="F2616" s="31">
        <v>4000000.0</v>
      </c>
      <c r="G2616" s="31" t="s">
        <v>23</v>
      </c>
      <c r="H2616" s="31">
        <v>3000000.0</v>
      </c>
      <c r="I2616" s="31" t="s">
        <v>413</v>
      </c>
      <c r="K2616" s="33" t="s">
        <v>7934</v>
      </c>
      <c r="L2616" s="31" t="s">
        <v>202</v>
      </c>
      <c r="M2616" s="31" t="s">
        <v>5638</v>
      </c>
      <c r="N2616" s="31" t="s">
        <v>500</v>
      </c>
      <c r="V2616" s="31" t="s">
        <v>501</v>
      </c>
    </row>
    <row r="2617">
      <c r="A2617" s="29">
        <v>45974.56326863426</v>
      </c>
      <c r="B2617" s="30">
        <v>45973.0</v>
      </c>
      <c r="C2617" s="31" t="s">
        <v>7935</v>
      </c>
      <c r="D2617" s="32" t="s">
        <v>7936</v>
      </c>
      <c r="E2617" s="31" t="s">
        <v>43</v>
      </c>
      <c r="F2617" s="31">
        <v>3600000.0</v>
      </c>
      <c r="G2617" s="31" t="s">
        <v>23</v>
      </c>
      <c r="H2617" s="31">
        <v>3000000.0</v>
      </c>
      <c r="I2617" s="31" t="s">
        <v>413</v>
      </c>
      <c r="K2617" s="33" t="s">
        <v>7937</v>
      </c>
      <c r="L2617" s="31" t="s">
        <v>202</v>
      </c>
      <c r="M2617" s="31" t="s">
        <v>5638</v>
      </c>
      <c r="N2617" s="31" t="s">
        <v>204</v>
      </c>
      <c r="R2617" s="31" t="s">
        <v>53</v>
      </c>
    </row>
    <row r="2618">
      <c r="A2618" s="29">
        <v>45974.564746944445</v>
      </c>
      <c r="B2618" s="30">
        <v>45974.0</v>
      </c>
      <c r="C2618" s="31" t="s">
        <v>7938</v>
      </c>
      <c r="D2618" s="32" t="s">
        <v>7939</v>
      </c>
      <c r="E2618" s="31" t="s">
        <v>43</v>
      </c>
      <c r="F2618" s="31">
        <v>6100000.0</v>
      </c>
      <c r="G2618" s="31" t="s">
        <v>23</v>
      </c>
      <c r="H2618" s="31">
        <v>3000000.0</v>
      </c>
      <c r="I2618" s="31" t="s">
        <v>413</v>
      </c>
      <c r="K2618" s="33" t="s">
        <v>7940</v>
      </c>
      <c r="L2618" s="31" t="s">
        <v>202</v>
      </c>
      <c r="M2618" s="31" t="s">
        <v>605</v>
      </c>
      <c r="N2618" s="31" t="s">
        <v>204</v>
      </c>
      <c r="R2618" s="31" t="s">
        <v>53</v>
      </c>
    </row>
    <row r="2619">
      <c r="A2619" s="29">
        <v>45974.56763638889</v>
      </c>
      <c r="B2619" s="30">
        <v>45974.0</v>
      </c>
      <c r="C2619" s="31" t="s">
        <v>7941</v>
      </c>
      <c r="D2619" s="32" t="s">
        <v>7942</v>
      </c>
      <c r="E2619" s="31" t="s">
        <v>31</v>
      </c>
      <c r="F2619" s="31">
        <v>3600000.0</v>
      </c>
      <c r="G2619" s="31" t="s">
        <v>23</v>
      </c>
      <c r="I2619" s="31" t="s">
        <v>229</v>
      </c>
      <c r="J2619" s="31" t="s">
        <v>967</v>
      </c>
      <c r="K2619" s="33" t="s">
        <v>7943</v>
      </c>
      <c r="L2619" s="31" t="s">
        <v>202</v>
      </c>
      <c r="N2619" s="31" t="s">
        <v>204</v>
      </c>
      <c r="R2619" s="31" t="s">
        <v>53</v>
      </c>
    </row>
    <row r="2620">
      <c r="A2620" s="29">
        <v>45974.58375023148</v>
      </c>
      <c r="B2620" s="30">
        <v>45974.0</v>
      </c>
      <c r="C2620" s="31" t="s">
        <v>7944</v>
      </c>
      <c r="D2620" s="32" t="s">
        <v>7945</v>
      </c>
      <c r="E2620" s="31" t="s">
        <v>239</v>
      </c>
      <c r="F2620" s="31">
        <v>3000000.0</v>
      </c>
      <c r="G2620" s="31" t="s">
        <v>23</v>
      </c>
      <c r="H2620" s="31">
        <v>3000009.0</v>
      </c>
      <c r="I2620" s="31" t="s">
        <v>413</v>
      </c>
      <c r="K2620" s="33" t="s">
        <v>7946</v>
      </c>
      <c r="L2620" s="31" t="s">
        <v>202</v>
      </c>
      <c r="M2620" s="31" t="s">
        <v>203</v>
      </c>
      <c r="N2620" s="31" t="s">
        <v>871</v>
      </c>
      <c r="Q2620" s="31" t="s">
        <v>872</v>
      </c>
    </row>
    <row r="2621">
      <c r="A2621" s="29">
        <v>45974.58751898148</v>
      </c>
      <c r="B2621" s="30">
        <v>45974.0</v>
      </c>
      <c r="C2621" s="31" t="s">
        <v>7947</v>
      </c>
      <c r="D2621" s="32" t="s">
        <v>7948</v>
      </c>
      <c r="E2621" s="31" t="s">
        <v>7949</v>
      </c>
      <c r="F2621" s="31">
        <v>1700000.0</v>
      </c>
      <c r="G2621" s="31" t="s">
        <v>23</v>
      </c>
      <c r="I2621" s="31" t="s">
        <v>229</v>
      </c>
      <c r="J2621" s="31" t="s">
        <v>967</v>
      </c>
      <c r="K2621" s="33" t="s">
        <v>7950</v>
      </c>
      <c r="L2621" s="31" t="s">
        <v>252</v>
      </c>
      <c r="O2621" s="31" t="s">
        <v>205</v>
      </c>
      <c r="X2621" s="31" t="s">
        <v>1471</v>
      </c>
    </row>
    <row r="2622">
      <c r="A2622" s="29">
        <v>45974.59698378472</v>
      </c>
      <c r="B2622" s="30">
        <v>45974.0</v>
      </c>
      <c r="C2622" s="31" t="s">
        <v>7951</v>
      </c>
      <c r="D2622" s="31">
        <v>8.2213395412E10</v>
      </c>
      <c r="E2622" s="31" t="s">
        <v>31</v>
      </c>
      <c r="F2622" s="34">
        <v>1.7E8</v>
      </c>
      <c r="G2622" s="31" t="s">
        <v>23</v>
      </c>
      <c r="I2622" s="31" t="s">
        <v>229</v>
      </c>
      <c r="J2622" s="31" t="s">
        <v>967</v>
      </c>
      <c r="K2622" s="33" t="s">
        <v>7952</v>
      </c>
      <c r="L2622" s="31" t="s">
        <v>202</v>
      </c>
      <c r="N2622" s="31" t="s">
        <v>204</v>
      </c>
      <c r="R2622" s="31" t="s">
        <v>471</v>
      </c>
    </row>
    <row r="2623">
      <c r="A2623" s="29">
        <v>45974.59806685185</v>
      </c>
      <c r="B2623" s="30" t="s">
        <v>7953</v>
      </c>
      <c r="C2623" s="31" t="s">
        <v>7954</v>
      </c>
      <c r="D2623" s="32" t="s">
        <v>7955</v>
      </c>
      <c r="E2623" s="31" t="s">
        <v>31</v>
      </c>
      <c r="F2623" s="31">
        <v>1500000.0</v>
      </c>
      <c r="G2623" s="31" t="s">
        <v>23</v>
      </c>
      <c r="H2623" s="31">
        <v>3000000.0</v>
      </c>
      <c r="I2623" s="31" t="s">
        <v>413</v>
      </c>
      <c r="K2623" s="33" t="s">
        <v>7956</v>
      </c>
      <c r="L2623" s="31" t="s">
        <v>202</v>
      </c>
      <c r="M2623" s="31" t="s">
        <v>5638</v>
      </c>
      <c r="N2623" s="31" t="s">
        <v>215</v>
      </c>
      <c r="W2623" s="31" t="s">
        <v>216</v>
      </c>
    </row>
    <row r="2624">
      <c r="A2624" s="29">
        <v>45974.60138461806</v>
      </c>
      <c r="B2624" s="30">
        <v>45943.0</v>
      </c>
      <c r="C2624" s="31" t="s">
        <v>7957</v>
      </c>
      <c r="D2624" s="32" t="s">
        <v>7958</v>
      </c>
      <c r="E2624" s="31" t="s">
        <v>43</v>
      </c>
      <c r="F2624" s="31">
        <v>3000000.0</v>
      </c>
      <c r="G2624" s="31" t="s">
        <v>23</v>
      </c>
      <c r="I2624" s="31" t="s">
        <v>229</v>
      </c>
      <c r="J2624" s="31" t="s">
        <v>967</v>
      </c>
      <c r="K2624" s="33" t="s">
        <v>7959</v>
      </c>
      <c r="L2624" s="31" t="s">
        <v>202</v>
      </c>
      <c r="N2624" s="31" t="s">
        <v>204</v>
      </c>
      <c r="R2624" s="31" t="s">
        <v>5256</v>
      </c>
    </row>
    <row r="2625">
      <c r="A2625" s="29">
        <v>45974.61108171297</v>
      </c>
      <c r="B2625" s="30">
        <v>45974.0</v>
      </c>
      <c r="C2625" s="31" t="s">
        <v>7960</v>
      </c>
      <c r="D2625" s="32" t="s">
        <v>7961</v>
      </c>
      <c r="E2625" s="31" t="s">
        <v>239</v>
      </c>
      <c r="F2625" s="31">
        <v>3000000.0</v>
      </c>
      <c r="G2625" s="31" t="s">
        <v>23</v>
      </c>
      <c r="H2625" s="31">
        <v>3000000.0</v>
      </c>
      <c r="I2625" s="31" t="s">
        <v>413</v>
      </c>
      <c r="K2625" s="33" t="s">
        <v>7962</v>
      </c>
      <c r="L2625" s="31" t="s">
        <v>202</v>
      </c>
      <c r="M2625" s="31" t="s">
        <v>5638</v>
      </c>
      <c r="N2625" s="31" t="s">
        <v>871</v>
      </c>
      <c r="Q2625" s="31" t="s">
        <v>872</v>
      </c>
    </row>
    <row r="2626">
      <c r="A2626" s="29">
        <v>45974.611813587966</v>
      </c>
      <c r="B2626" s="30">
        <v>45974.0</v>
      </c>
      <c r="C2626" s="31" t="s">
        <v>7963</v>
      </c>
      <c r="D2626" s="32" t="s">
        <v>7964</v>
      </c>
      <c r="E2626" s="31" t="s">
        <v>43</v>
      </c>
      <c r="F2626" s="31">
        <v>3000000.0</v>
      </c>
      <c r="G2626" s="31" t="s">
        <v>23</v>
      </c>
      <c r="H2626" s="31">
        <v>3000000.0</v>
      </c>
      <c r="I2626" s="31" t="s">
        <v>200</v>
      </c>
      <c r="K2626" s="33" t="s">
        <v>7965</v>
      </c>
      <c r="L2626" s="31" t="s">
        <v>252</v>
      </c>
      <c r="M2626" s="31" t="s">
        <v>5638</v>
      </c>
      <c r="O2626" s="31" t="s">
        <v>257</v>
      </c>
      <c r="P2626" s="31" t="s">
        <v>1555</v>
      </c>
    </row>
    <row r="2627">
      <c r="A2627" s="29">
        <v>45974.67399751158</v>
      </c>
      <c r="B2627" s="30">
        <v>45974.0</v>
      </c>
      <c r="C2627" s="31" t="s">
        <v>7966</v>
      </c>
      <c r="D2627" s="32" t="s">
        <v>7967</v>
      </c>
      <c r="E2627" s="31" t="s">
        <v>335</v>
      </c>
      <c r="F2627" s="31">
        <v>2.5E7</v>
      </c>
      <c r="G2627" s="31" t="s">
        <v>23</v>
      </c>
      <c r="I2627" s="31" t="s">
        <v>229</v>
      </c>
      <c r="J2627" s="31" t="s">
        <v>967</v>
      </c>
      <c r="K2627" s="33" t="s">
        <v>7968</v>
      </c>
      <c r="L2627" s="31" t="s">
        <v>202</v>
      </c>
      <c r="N2627" s="31" t="s">
        <v>500</v>
      </c>
      <c r="V2627" s="31" t="s">
        <v>6597</v>
      </c>
    </row>
    <row r="2628">
      <c r="A2628" s="29">
        <v>45974.67650393519</v>
      </c>
      <c r="B2628" s="30">
        <v>45974.0</v>
      </c>
      <c r="C2628" s="31" t="s">
        <v>7969</v>
      </c>
      <c r="D2628" s="32" t="s">
        <v>7970</v>
      </c>
      <c r="E2628" s="31" t="s">
        <v>31</v>
      </c>
      <c r="F2628" s="31">
        <v>4000000.0</v>
      </c>
      <c r="G2628" s="31" t="s">
        <v>23</v>
      </c>
      <c r="H2628" s="31">
        <v>3000000.0</v>
      </c>
      <c r="I2628" s="31" t="s">
        <v>200</v>
      </c>
      <c r="K2628" s="33" t="s">
        <v>7971</v>
      </c>
      <c r="L2628" s="31" t="s">
        <v>252</v>
      </c>
      <c r="M2628" s="31" t="s">
        <v>203</v>
      </c>
      <c r="O2628" s="31" t="s">
        <v>205</v>
      </c>
      <c r="X2628" s="31" t="s">
        <v>452</v>
      </c>
    </row>
    <row r="2629">
      <c r="A2629" s="29">
        <v>45974.68270387732</v>
      </c>
      <c r="B2629" s="30">
        <v>45974.0</v>
      </c>
      <c r="C2629" s="31" t="s">
        <v>7972</v>
      </c>
      <c r="D2629" s="32" t="s">
        <v>7973</v>
      </c>
      <c r="E2629" s="31" t="s">
        <v>7974</v>
      </c>
      <c r="F2629" s="31">
        <v>3500000.0</v>
      </c>
      <c r="G2629" s="31" t="s">
        <v>45</v>
      </c>
      <c r="I2629" s="31" t="s">
        <v>229</v>
      </c>
      <c r="J2629" s="31" t="s">
        <v>967</v>
      </c>
      <c r="K2629" s="33" t="s">
        <v>7975</v>
      </c>
      <c r="L2629" s="31" t="s">
        <v>202</v>
      </c>
      <c r="N2629" s="31" t="s">
        <v>220</v>
      </c>
      <c r="S2629" s="31" t="s">
        <v>59</v>
      </c>
    </row>
    <row r="2630">
      <c r="A2630" s="29">
        <v>45974.719511574076</v>
      </c>
      <c r="B2630" s="30">
        <v>45974.0</v>
      </c>
      <c r="C2630" s="31" t="s">
        <v>7976</v>
      </c>
      <c r="D2630" s="32" t="s">
        <v>7977</v>
      </c>
      <c r="E2630" s="31" t="s">
        <v>31</v>
      </c>
      <c r="F2630" s="31">
        <v>8600000.0</v>
      </c>
      <c r="G2630" s="31" t="s">
        <v>23</v>
      </c>
      <c r="H2630" s="31">
        <v>3000000.0</v>
      </c>
      <c r="I2630" s="31" t="s">
        <v>200</v>
      </c>
      <c r="K2630" s="33" t="s">
        <v>7978</v>
      </c>
      <c r="L2630" s="31" t="s">
        <v>202</v>
      </c>
      <c r="M2630" s="31" t="s">
        <v>5638</v>
      </c>
      <c r="N2630" s="31" t="s">
        <v>313</v>
      </c>
      <c r="T2630" s="31" t="s">
        <v>329</v>
      </c>
    </row>
    <row r="2631">
      <c r="A2631" s="29">
        <v>45974.733726238424</v>
      </c>
      <c r="B2631" s="30">
        <v>45974.0</v>
      </c>
      <c r="C2631" s="31" t="s">
        <v>7979</v>
      </c>
      <c r="D2631" s="31">
        <v>8.2147757766E10</v>
      </c>
      <c r="E2631" s="31" t="s">
        <v>43</v>
      </c>
      <c r="F2631" s="34">
        <v>6000.0</v>
      </c>
      <c r="G2631" s="31" t="s">
        <v>23</v>
      </c>
      <c r="I2631" s="31" t="s">
        <v>229</v>
      </c>
      <c r="J2631" s="31" t="s">
        <v>967</v>
      </c>
      <c r="K2631" s="33" t="s">
        <v>7980</v>
      </c>
      <c r="L2631" s="31" t="s">
        <v>202</v>
      </c>
      <c r="N2631" s="31" t="s">
        <v>204</v>
      </c>
      <c r="R2631" s="31" t="s">
        <v>167</v>
      </c>
    </row>
    <row r="2632">
      <c r="A2632" s="29">
        <v>45974.73653391204</v>
      </c>
      <c r="B2632" s="30">
        <v>45974.0</v>
      </c>
      <c r="C2632" s="31" t="s">
        <v>7981</v>
      </c>
      <c r="D2632" s="32" t="s">
        <v>7982</v>
      </c>
      <c r="E2632" s="31" t="s">
        <v>43</v>
      </c>
      <c r="F2632" s="31">
        <v>6200000.0</v>
      </c>
      <c r="G2632" s="31" t="s">
        <v>23</v>
      </c>
      <c r="I2632" s="31" t="s">
        <v>229</v>
      </c>
      <c r="J2632" s="31" t="s">
        <v>967</v>
      </c>
      <c r="K2632" s="33" t="s">
        <v>7983</v>
      </c>
      <c r="L2632" s="31" t="s">
        <v>202</v>
      </c>
      <c r="N2632" s="31" t="s">
        <v>667</v>
      </c>
      <c r="U2632" s="31" t="s">
        <v>3950</v>
      </c>
    </row>
    <row r="2633">
      <c r="A2633" s="29">
        <v>45974.74020299768</v>
      </c>
      <c r="B2633" s="30">
        <v>45974.0</v>
      </c>
      <c r="C2633" s="31" t="s">
        <v>7984</v>
      </c>
      <c r="D2633" s="32" t="s">
        <v>7985</v>
      </c>
      <c r="E2633" s="31" t="s">
        <v>1166</v>
      </c>
      <c r="F2633" s="31">
        <v>2500000.0</v>
      </c>
      <c r="G2633" s="31" t="s">
        <v>45</v>
      </c>
      <c r="I2633" s="31" t="s">
        <v>229</v>
      </c>
      <c r="J2633" s="31" t="s">
        <v>967</v>
      </c>
      <c r="K2633" s="33" t="s">
        <v>7986</v>
      </c>
      <c r="L2633" s="31" t="s">
        <v>202</v>
      </c>
      <c r="N2633" s="31" t="s">
        <v>313</v>
      </c>
      <c r="T2633" s="31" t="s">
        <v>4272</v>
      </c>
    </row>
    <row r="2634">
      <c r="A2634" s="29">
        <v>45974.740856226854</v>
      </c>
      <c r="B2634" s="30">
        <v>45974.0</v>
      </c>
      <c r="C2634" s="31" t="s">
        <v>7987</v>
      </c>
      <c r="D2634" s="32" t="s">
        <v>7988</v>
      </c>
      <c r="E2634" s="31" t="s">
        <v>288</v>
      </c>
      <c r="F2634" s="31">
        <v>2500000.0</v>
      </c>
      <c r="G2634" s="31" t="s">
        <v>23</v>
      </c>
      <c r="I2634" s="31" t="s">
        <v>229</v>
      </c>
      <c r="J2634" s="31" t="s">
        <v>967</v>
      </c>
      <c r="K2634" s="33" t="s">
        <v>7989</v>
      </c>
      <c r="L2634" s="31" t="s">
        <v>202</v>
      </c>
      <c r="N2634" s="31" t="s">
        <v>204</v>
      </c>
      <c r="R2634" s="31" t="s">
        <v>892</v>
      </c>
    </row>
    <row r="2635">
      <c r="A2635" s="29">
        <v>45974.741170312496</v>
      </c>
      <c r="B2635" s="30">
        <v>45974.0</v>
      </c>
      <c r="C2635" s="31" t="s">
        <v>7990</v>
      </c>
      <c r="D2635" s="32" t="s">
        <v>7991</v>
      </c>
      <c r="E2635" s="31" t="s">
        <v>43</v>
      </c>
      <c r="F2635" s="31">
        <v>5000000.0</v>
      </c>
      <c r="G2635" s="31" t="s">
        <v>23</v>
      </c>
      <c r="I2635" s="31" t="s">
        <v>229</v>
      </c>
      <c r="J2635" s="31" t="s">
        <v>967</v>
      </c>
      <c r="K2635" s="33" t="s">
        <v>7992</v>
      </c>
      <c r="L2635" s="31" t="s">
        <v>202</v>
      </c>
      <c r="N2635" s="31" t="s">
        <v>667</v>
      </c>
      <c r="U2635" s="31" t="s">
        <v>3950</v>
      </c>
    </row>
    <row r="2636">
      <c r="A2636" s="29">
        <v>45974.7418002662</v>
      </c>
      <c r="B2636" s="30">
        <v>45974.0</v>
      </c>
      <c r="C2636" s="31" t="s">
        <v>7993</v>
      </c>
      <c r="D2636" s="32" t="s">
        <v>7994</v>
      </c>
      <c r="E2636" s="31" t="s">
        <v>199</v>
      </c>
      <c r="F2636" s="31">
        <v>2500000.0</v>
      </c>
      <c r="G2636" s="31" t="s">
        <v>45</v>
      </c>
      <c r="I2636" s="31" t="s">
        <v>229</v>
      </c>
      <c r="J2636" s="31" t="s">
        <v>967</v>
      </c>
      <c r="K2636" s="33" t="s">
        <v>7995</v>
      </c>
      <c r="L2636" s="31" t="s">
        <v>202</v>
      </c>
      <c r="N2636" s="31" t="s">
        <v>313</v>
      </c>
      <c r="T2636" s="31" t="s">
        <v>4272</v>
      </c>
    </row>
    <row r="2637">
      <c r="A2637" s="29">
        <v>45974.742735775464</v>
      </c>
      <c r="B2637" s="30">
        <v>45974.0</v>
      </c>
      <c r="C2637" s="31" t="s">
        <v>7996</v>
      </c>
      <c r="D2637" s="32" t="s">
        <v>7997</v>
      </c>
      <c r="E2637" s="31" t="s">
        <v>199</v>
      </c>
      <c r="F2637" s="31">
        <v>8500000.0</v>
      </c>
      <c r="G2637" s="31" t="s">
        <v>23</v>
      </c>
      <c r="I2637" s="31" t="s">
        <v>229</v>
      </c>
      <c r="J2637" s="31" t="s">
        <v>967</v>
      </c>
      <c r="K2637" s="33" t="s">
        <v>7998</v>
      </c>
      <c r="L2637" s="31" t="s">
        <v>252</v>
      </c>
      <c r="O2637" s="31" t="s">
        <v>257</v>
      </c>
      <c r="P2637" s="31" t="s">
        <v>258</v>
      </c>
    </row>
    <row r="2638">
      <c r="A2638" s="29">
        <v>45974.75079710648</v>
      </c>
      <c r="B2638" s="30" t="s">
        <v>7953</v>
      </c>
      <c r="C2638" s="31" t="s">
        <v>7999</v>
      </c>
      <c r="D2638" s="32" t="s">
        <v>8000</v>
      </c>
      <c r="E2638" s="31" t="s">
        <v>199</v>
      </c>
      <c r="F2638" s="31">
        <v>3000000.0</v>
      </c>
      <c r="G2638" s="31" t="s">
        <v>45</v>
      </c>
      <c r="H2638" s="31">
        <v>3000000.0</v>
      </c>
      <c r="I2638" s="31" t="s">
        <v>413</v>
      </c>
      <c r="K2638" s="33" t="s">
        <v>8001</v>
      </c>
      <c r="L2638" s="31" t="s">
        <v>202</v>
      </c>
      <c r="M2638" s="31" t="s">
        <v>5638</v>
      </c>
      <c r="N2638" s="31" t="s">
        <v>215</v>
      </c>
      <c r="W2638" s="31" t="s">
        <v>216</v>
      </c>
    </row>
    <row r="2639">
      <c r="A2639" s="29">
        <v>45974.77219042824</v>
      </c>
      <c r="B2639" s="30">
        <v>45974.0</v>
      </c>
      <c r="C2639" s="31" t="s">
        <v>8002</v>
      </c>
      <c r="D2639" s="32" t="s">
        <v>8003</v>
      </c>
      <c r="E2639" s="31" t="s">
        <v>31</v>
      </c>
      <c r="F2639" s="31">
        <v>5999000.0</v>
      </c>
      <c r="G2639" s="31" t="s">
        <v>23</v>
      </c>
      <c r="H2639" s="31">
        <v>3000000.0</v>
      </c>
      <c r="I2639" s="31" t="s">
        <v>200</v>
      </c>
      <c r="K2639" s="33" t="s">
        <v>8004</v>
      </c>
      <c r="L2639" s="31" t="s">
        <v>202</v>
      </c>
      <c r="M2639" s="31" t="s">
        <v>203</v>
      </c>
      <c r="N2639" s="31" t="s">
        <v>204</v>
      </c>
      <c r="R2639" s="31" t="s">
        <v>207</v>
      </c>
    </row>
    <row r="2640">
      <c r="A2640" s="29">
        <v>45974.77342953703</v>
      </c>
      <c r="B2640" s="30">
        <v>45974.0</v>
      </c>
      <c r="C2640" s="31" t="s">
        <v>8005</v>
      </c>
      <c r="D2640" s="32" t="s">
        <v>8006</v>
      </c>
      <c r="E2640" s="31" t="s">
        <v>31</v>
      </c>
      <c r="F2640" s="31">
        <v>5499000.0</v>
      </c>
      <c r="G2640" s="31" t="s">
        <v>23</v>
      </c>
      <c r="I2640" s="31" t="s">
        <v>229</v>
      </c>
      <c r="J2640" s="31" t="s">
        <v>967</v>
      </c>
      <c r="K2640" s="33" t="s">
        <v>8007</v>
      </c>
      <c r="L2640" s="31" t="s">
        <v>202</v>
      </c>
      <c r="N2640" s="31" t="s">
        <v>204</v>
      </c>
      <c r="R2640" s="31" t="s">
        <v>207</v>
      </c>
    </row>
    <row r="2641">
      <c r="A2641" s="29">
        <v>45974.779873321764</v>
      </c>
      <c r="B2641" s="30">
        <v>45974.0</v>
      </c>
      <c r="C2641" s="31" t="s">
        <v>8008</v>
      </c>
      <c r="D2641" s="31">
        <v>0.0</v>
      </c>
      <c r="E2641" s="31" t="s">
        <v>8009</v>
      </c>
      <c r="F2641" s="34">
        <v>3500.0</v>
      </c>
      <c r="G2641" s="31" t="s">
        <v>23</v>
      </c>
      <c r="I2641" s="31" t="s">
        <v>229</v>
      </c>
      <c r="J2641" s="31" t="s">
        <v>967</v>
      </c>
      <c r="K2641" s="33" t="s">
        <v>8010</v>
      </c>
      <c r="L2641" s="31" t="s">
        <v>202</v>
      </c>
      <c r="N2641" s="31" t="s">
        <v>204</v>
      </c>
      <c r="R2641" s="31" t="s">
        <v>171</v>
      </c>
    </row>
    <row r="2642">
      <c r="A2642" s="29">
        <v>45974.780981793985</v>
      </c>
      <c r="B2642" s="30">
        <v>45974.0</v>
      </c>
      <c r="C2642" s="31" t="s">
        <v>8011</v>
      </c>
      <c r="D2642" s="31">
        <v>0.0</v>
      </c>
      <c r="E2642" s="31" t="s">
        <v>8012</v>
      </c>
      <c r="F2642" s="34">
        <v>2800.0</v>
      </c>
      <c r="G2642" s="31" t="s">
        <v>23</v>
      </c>
      <c r="I2642" s="31" t="s">
        <v>229</v>
      </c>
      <c r="J2642" s="31" t="s">
        <v>967</v>
      </c>
      <c r="K2642" s="33" t="s">
        <v>8013</v>
      </c>
      <c r="L2642" s="31" t="s">
        <v>202</v>
      </c>
      <c r="N2642" s="31" t="s">
        <v>204</v>
      </c>
      <c r="R2642" s="31" t="s">
        <v>171</v>
      </c>
    </row>
    <row r="2643">
      <c r="A2643" s="29">
        <v>45974.79887153935</v>
      </c>
      <c r="B2643" s="30">
        <v>45974.0</v>
      </c>
      <c r="C2643" s="31" t="s">
        <v>8014</v>
      </c>
      <c r="D2643" s="32" t="s">
        <v>8015</v>
      </c>
      <c r="E2643" s="31" t="s">
        <v>784</v>
      </c>
      <c r="F2643" s="31">
        <v>3500000.0</v>
      </c>
      <c r="G2643" s="31" t="s">
        <v>23</v>
      </c>
      <c r="I2643" s="31" t="s">
        <v>229</v>
      </c>
      <c r="J2643" s="31" t="s">
        <v>967</v>
      </c>
      <c r="K2643" s="33" t="s">
        <v>8016</v>
      </c>
      <c r="L2643" s="31" t="s">
        <v>202</v>
      </c>
      <c r="N2643" s="31" t="s">
        <v>204</v>
      </c>
      <c r="R2643" s="31" t="s">
        <v>98</v>
      </c>
    </row>
    <row r="2644">
      <c r="A2644" s="29">
        <v>45974.80159631945</v>
      </c>
      <c r="B2644" s="30">
        <v>45974.0</v>
      </c>
      <c r="C2644" s="31" t="s">
        <v>8017</v>
      </c>
      <c r="D2644" s="32" t="s">
        <v>8018</v>
      </c>
      <c r="E2644" s="31" t="s">
        <v>239</v>
      </c>
      <c r="F2644" s="31">
        <v>100000.0</v>
      </c>
      <c r="G2644" s="31" t="s">
        <v>23</v>
      </c>
      <c r="I2644" s="31" t="s">
        <v>229</v>
      </c>
      <c r="J2644" s="31" t="s">
        <v>967</v>
      </c>
      <c r="K2644" s="33" t="s">
        <v>8019</v>
      </c>
      <c r="L2644" s="31" t="s">
        <v>202</v>
      </c>
      <c r="N2644" s="31" t="s">
        <v>204</v>
      </c>
      <c r="R2644" s="31" t="s">
        <v>360</v>
      </c>
    </row>
    <row r="2645">
      <c r="A2645" s="29">
        <v>45974.8314249074</v>
      </c>
      <c r="B2645" s="30">
        <v>45974.0</v>
      </c>
      <c r="C2645" s="31" t="s">
        <v>8020</v>
      </c>
      <c r="D2645" s="32" t="s">
        <v>8021</v>
      </c>
      <c r="E2645" s="31" t="s">
        <v>283</v>
      </c>
      <c r="F2645" s="31">
        <v>1.12E7</v>
      </c>
      <c r="G2645" s="31" t="s">
        <v>23</v>
      </c>
      <c r="I2645" s="31" t="s">
        <v>229</v>
      </c>
      <c r="J2645" s="31" t="s">
        <v>967</v>
      </c>
      <c r="K2645" s="33" t="s">
        <v>8022</v>
      </c>
      <c r="L2645" s="31" t="s">
        <v>202</v>
      </c>
      <c r="N2645" s="31" t="s">
        <v>667</v>
      </c>
      <c r="U2645" s="31" t="s">
        <v>668</v>
      </c>
    </row>
    <row r="2646">
      <c r="A2646" s="29">
        <v>45974.84877438657</v>
      </c>
      <c r="B2646" s="30">
        <v>45974.0</v>
      </c>
      <c r="C2646" s="31" t="s">
        <v>8023</v>
      </c>
      <c r="D2646" s="32" t="s">
        <v>8024</v>
      </c>
      <c r="E2646" s="31" t="s">
        <v>199</v>
      </c>
      <c r="F2646" s="31">
        <v>2000000.0</v>
      </c>
      <c r="G2646" s="31" t="s">
        <v>45</v>
      </c>
      <c r="H2646" s="31">
        <v>5000000.0</v>
      </c>
      <c r="I2646" s="31" t="s">
        <v>200</v>
      </c>
      <c r="K2646" s="33" t="s">
        <v>8025</v>
      </c>
      <c r="L2646" s="31" t="s">
        <v>252</v>
      </c>
      <c r="M2646" s="31" t="s">
        <v>203</v>
      </c>
      <c r="O2646" s="31" t="s">
        <v>205</v>
      </c>
      <c r="X2646" s="31" t="s">
        <v>1471</v>
      </c>
    </row>
    <row r="2647">
      <c r="A2647" s="29">
        <v>45974.8576566088</v>
      </c>
      <c r="B2647" s="30">
        <v>45974.0</v>
      </c>
      <c r="C2647" s="31" t="s">
        <v>8026</v>
      </c>
      <c r="D2647" s="32" t="s">
        <v>8027</v>
      </c>
      <c r="E2647" s="31" t="s">
        <v>228</v>
      </c>
      <c r="F2647" s="31">
        <v>5000000.0</v>
      </c>
      <c r="G2647" s="31" t="s">
        <v>23</v>
      </c>
      <c r="I2647" s="31" t="s">
        <v>229</v>
      </c>
      <c r="J2647" s="31" t="s">
        <v>967</v>
      </c>
      <c r="K2647" s="33" t="s">
        <v>8028</v>
      </c>
      <c r="L2647" s="31" t="s">
        <v>202</v>
      </c>
      <c r="N2647" s="31" t="s">
        <v>220</v>
      </c>
      <c r="S2647" s="31" t="s">
        <v>466</v>
      </c>
    </row>
    <row r="2648">
      <c r="A2648" s="29">
        <v>45975.3951544213</v>
      </c>
      <c r="B2648" s="30">
        <v>45975.0</v>
      </c>
      <c r="C2648" s="31" t="s">
        <v>8029</v>
      </c>
      <c r="D2648" s="32" t="s">
        <v>8030</v>
      </c>
      <c r="E2648" s="31" t="s">
        <v>335</v>
      </c>
      <c r="F2648" s="31">
        <v>2.5E7</v>
      </c>
      <c r="G2648" s="31" t="s">
        <v>23</v>
      </c>
      <c r="I2648" s="31" t="s">
        <v>229</v>
      </c>
      <c r="J2648" s="31" t="s">
        <v>967</v>
      </c>
      <c r="K2648" s="33" t="s">
        <v>8031</v>
      </c>
      <c r="L2648" s="31" t="s">
        <v>202</v>
      </c>
      <c r="N2648" s="31" t="s">
        <v>500</v>
      </c>
      <c r="V2648" s="31" t="s">
        <v>6597</v>
      </c>
    </row>
    <row r="2649">
      <c r="A2649" s="29">
        <v>45975.41399021991</v>
      </c>
      <c r="B2649" s="30">
        <v>45975.0</v>
      </c>
      <c r="C2649" s="31" t="s">
        <v>8032</v>
      </c>
      <c r="D2649" s="32" t="s">
        <v>8033</v>
      </c>
      <c r="E2649" s="31" t="s">
        <v>31</v>
      </c>
      <c r="F2649" s="31">
        <v>2800000.0</v>
      </c>
      <c r="G2649" s="31" t="s">
        <v>23</v>
      </c>
      <c r="I2649" s="31" t="s">
        <v>229</v>
      </c>
      <c r="J2649" s="31" t="s">
        <v>967</v>
      </c>
      <c r="K2649" s="33" t="s">
        <v>8034</v>
      </c>
      <c r="L2649" s="31" t="s">
        <v>202</v>
      </c>
      <c r="N2649" s="31" t="s">
        <v>871</v>
      </c>
      <c r="Q2649" s="31" t="s">
        <v>1021</v>
      </c>
    </row>
    <row r="2650">
      <c r="A2650" s="29">
        <v>45975.41600644676</v>
      </c>
      <c r="B2650" s="30">
        <v>45975.0</v>
      </c>
      <c r="C2650" s="31" t="s">
        <v>8035</v>
      </c>
      <c r="D2650" s="31" t="s">
        <v>8036</v>
      </c>
      <c r="E2650" s="31" t="s">
        <v>43</v>
      </c>
      <c r="F2650" s="31">
        <v>3000000.0</v>
      </c>
      <c r="G2650" s="31" t="s">
        <v>23</v>
      </c>
      <c r="H2650" s="31">
        <v>1600000.0</v>
      </c>
      <c r="I2650" s="31" t="s">
        <v>413</v>
      </c>
      <c r="K2650" s="33" t="s">
        <v>8037</v>
      </c>
      <c r="L2650" s="31" t="s">
        <v>202</v>
      </c>
      <c r="M2650" s="31" t="s">
        <v>5638</v>
      </c>
      <c r="N2650" s="31" t="s">
        <v>215</v>
      </c>
      <c r="W2650" s="31" t="s">
        <v>389</v>
      </c>
    </row>
    <row r="2651">
      <c r="A2651" s="29">
        <v>45975.437862569444</v>
      </c>
      <c r="B2651" s="30">
        <v>45975.0</v>
      </c>
      <c r="C2651" s="31" t="s">
        <v>8038</v>
      </c>
      <c r="D2651" s="31" t="s">
        <v>8039</v>
      </c>
      <c r="E2651" s="31" t="s">
        <v>1104</v>
      </c>
      <c r="F2651" s="31">
        <v>4500000.0</v>
      </c>
      <c r="G2651" s="31" t="s">
        <v>23</v>
      </c>
      <c r="H2651" s="31">
        <v>7000000.0</v>
      </c>
      <c r="I2651" s="31" t="s">
        <v>413</v>
      </c>
      <c r="K2651" s="33" t="s">
        <v>8040</v>
      </c>
      <c r="L2651" s="31" t="s">
        <v>202</v>
      </c>
      <c r="M2651" s="31" t="s">
        <v>203</v>
      </c>
      <c r="N2651" s="31" t="s">
        <v>220</v>
      </c>
      <c r="S2651" s="31" t="s">
        <v>90</v>
      </c>
    </row>
    <row r="2652">
      <c r="A2652" s="29">
        <v>45975.4657394213</v>
      </c>
      <c r="B2652" s="30">
        <v>45975.0</v>
      </c>
      <c r="C2652" s="31" t="s">
        <v>8041</v>
      </c>
      <c r="D2652" s="32" t="s">
        <v>8042</v>
      </c>
      <c r="E2652" s="31" t="s">
        <v>31</v>
      </c>
      <c r="F2652" s="31">
        <v>9000000.0</v>
      </c>
      <c r="G2652" s="31" t="s">
        <v>23</v>
      </c>
      <c r="I2652" s="31" t="s">
        <v>229</v>
      </c>
      <c r="J2652" s="31" t="s">
        <v>967</v>
      </c>
      <c r="K2652" s="33" t="s">
        <v>8043</v>
      </c>
      <c r="L2652" s="31" t="s">
        <v>202</v>
      </c>
      <c r="N2652" s="31" t="s">
        <v>220</v>
      </c>
      <c r="S2652" s="31" t="s">
        <v>83</v>
      </c>
    </row>
    <row r="2653">
      <c r="A2653" s="29">
        <v>45975.466839456014</v>
      </c>
      <c r="B2653" s="30">
        <v>45975.0</v>
      </c>
      <c r="C2653" s="31" t="s">
        <v>8044</v>
      </c>
      <c r="D2653" s="32" t="s">
        <v>8045</v>
      </c>
      <c r="E2653" s="31" t="s">
        <v>261</v>
      </c>
      <c r="F2653" s="31">
        <v>4200000.0</v>
      </c>
      <c r="G2653" s="31" t="s">
        <v>23</v>
      </c>
      <c r="I2653" s="31" t="s">
        <v>229</v>
      </c>
      <c r="J2653" s="31" t="s">
        <v>967</v>
      </c>
      <c r="K2653" s="33" t="s">
        <v>8046</v>
      </c>
      <c r="L2653" s="31" t="s">
        <v>202</v>
      </c>
      <c r="N2653" s="31" t="s">
        <v>220</v>
      </c>
      <c r="S2653" s="31" t="s">
        <v>90</v>
      </c>
    </row>
    <row r="2654">
      <c r="A2654" s="29">
        <v>45975.46718273148</v>
      </c>
      <c r="B2654" s="30">
        <v>45975.0</v>
      </c>
      <c r="C2654" s="31" t="s">
        <v>8047</v>
      </c>
      <c r="D2654" s="32" t="s">
        <v>8048</v>
      </c>
      <c r="E2654" s="31" t="s">
        <v>156</v>
      </c>
      <c r="F2654" s="31">
        <v>3300000.0</v>
      </c>
      <c r="G2654" s="31" t="s">
        <v>45</v>
      </c>
      <c r="H2654" s="31">
        <v>5000000.0</v>
      </c>
      <c r="I2654" s="31" t="s">
        <v>200</v>
      </c>
      <c r="K2654" s="33" t="s">
        <v>8049</v>
      </c>
      <c r="L2654" s="31" t="s">
        <v>252</v>
      </c>
      <c r="M2654" s="31" t="s">
        <v>203</v>
      </c>
      <c r="O2654" s="31" t="s">
        <v>205</v>
      </c>
      <c r="X2654" s="31" t="s">
        <v>569</v>
      </c>
    </row>
    <row r="2655">
      <c r="A2655" s="29">
        <v>45975.472107685186</v>
      </c>
      <c r="B2655" s="30">
        <v>45975.0</v>
      </c>
      <c r="C2655" s="31" t="s">
        <v>8050</v>
      </c>
      <c r="D2655" s="32" t="s">
        <v>8051</v>
      </c>
      <c r="E2655" s="31" t="s">
        <v>43</v>
      </c>
      <c r="F2655" s="31">
        <v>5000000.0</v>
      </c>
      <c r="G2655" s="31" t="s">
        <v>23</v>
      </c>
      <c r="I2655" s="31" t="s">
        <v>229</v>
      </c>
      <c r="J2655" s="31" t="s">
        <v>967</v>
      </c>
      <c r="K2655" s="33" t="s">
        <v>8052</v>
      </c>
      <c r="L2655" s="31" t="s">
        <v>252</v>
      </c>
      <c r="O2655" s="31" t="s">
        <v>205</v>
      </c>
      <c r="X2655" s="31" t="s">
        <v>2335</v>
      </c>
    </row>
    <row r="2656">
      <c r="A2656" s="29">
        <v>45975.484732638884</v>
      </c>
      <c r="B2656" s="30">
        <v>45975.0</v>
      </c>
      <c r="C2656" s="31" t="s">
        <v>8053</v>
      </c>
      <c r="D2656" s="32" t="s">
        <v>8054</v>
      </c>
      <c r="E2656" s="31" t="s">
        <v>8055</v>
      </c>
      <c r="F2656" s="31">
        <v>5000000.0</v>
      </c>
      <c r="G2656" s="31" t="s">
        <v>23</v>
      </c>
      <c r="H2656" s="31">
        <v>5000000.0</v>
      </c>
      <c r="I2656" s="31" t="s">
        <v>200</v>
      </c>
      <c r="K2656" s="31" t="s">
        <v>8056</v>
      </c>
      <c r="L2656" s="31" t="s">
        <v>202</v>
      </c>
      <c r="M2656" s="31" t="s">
        <v>203</v>
      </c>
      <c r="N2656" s="31" t="s">
        <v>215</v>
      </c>
      <c r="W2656" s="31" t="s">
        <v>389</v>
      </c>
    </row>
    <row r="2657">
      <c r="A2657" s="29">
        <v>45975.49192393519</v>
      </c>
      <c r="B2657" s="30">
        <v>45975.0</v>
      </c>
      <c r="C2657" s="31" t="s">
        <v>8057</v>
      </c>
      <c r="D2657" s="32" t="s">
        <v>8058</v>
      </c>
      <c r="E2657" s="31" t="s">
        <v>283</v>
      </c>
      <c r="F2657" s="31">
        <v>3000000.0</v>
      </c>
      <c r="G2657" s="31" t="s">
        <v>23</v>
      </c>
      <c r="I2657" s="31" t="s">
        <v>229</v>
      </c>
      <c r="J2657" s="31" t="s">
        <v>498</v>
      </c>
      <c r="K2657" s="33" t="s">
        <v>8059</v>
      </c>
      <c r="L2657" s="31" t="s">
        <v>202</v>
      </c>
      <c r="N2657" s="31" t="s">
        <v>500</v>
      </c>
      <c r="V2657" s="31" t="s">
        <v>501</v>
      </c>
    </row>
    <row r="2658">
      <c r="A2658" s="29">
        <v>45975.499262303245</v>
      </c>
      <c r="B2658" s="30">
        <v>45975.0</v>
      </c>
      <c r="C2658" s="31" t="s">
        <v>8060</v>
      </c>
      <c r="D2658" s="32" t="s">
        <v>8061</v>
      </c>
      <c r="E2658" s="31" t="s">
        <v>228</v>
      </c>
      <c r="F2658" s="31">
        <v>4000000.0</v>
      </c>
      <c r="G2658" s="31" t="s">
        <v>23</v>
      </c>
      <c r="I2658" s="31" t="s">
        <v>229</v>
      </c>
      <c r="J2658" s="31" t="s">
        <v>967</v>
      </c>
      <c r="K2658" s="33" t="s">
        <v>8062</v>
      </c>
      <c r="L2658" s="31" t="s">
        <v>202</v>
      </c>
      <c r="N2658" s="31" t="s">
        <v>220</v>
      </c>
      <c r="S2658" s="31" t="s">
        <v>466</v>
      </c>
    </row>
    <row r="2659">
      <c r="A2659" s="29">
        <v>45975.503209699076</v>
      </c>
      <c r="B2659" s="30">
        <v>45975.0</v>
      </c>
      <c r="C2659" s="31" t="s">
        <v>8063</v>
      </c>
      <c r="D2659" s="32" t="s">
        <v>8064</v>
      </c>
      <c r="E2659" s="31" t="s">
        <v>43</v>
      </c>
      <c r="F2659" s="31">
        <v>9900000.0</v>
      </c>
      <c r="G2659" s="31" t="s">
        <v>23</v>
      </c>
      <c r="I2659" s="31" t="s">
        <v>229</v>
      </c>
      <c r="J2659" s="31" t="s">
        <v>967</v>
      </c>
      <c r="K2659" s="33" t="s">
        <v>8065</v>
      </c>
      <c r="L2659" s="31" t="s">
        <v>202</v>
      </c>
      <c r="N2659" s="31" t="s">
        <v>313</v>
      </c>
      <c r="T2659" s="31" t="s">
        <v>314</v>
      </c>
    </row>
    <row r="2660">
      <c r="A2660" s="29">
        <v>45975.51218002314</v>
      </c>
      <c r="B2660" s="30">
        <v>45975.0</v>
      </c>
      <c r="C2660" s="31" t="s">
        <v>8066</v>
      </c>
      <c r="D2660" s="32" t="s">
        <v>8067</v>
      </c>
      <c r="E2660" s="31" t="s">
        <v>288</v>
      </c>
      <c r="F2660" s="31">
        <v>1000000.0</v>
      </c>
      <c r="G2660" s="31" t="s">
        <v>23</v>
      </c>
      <c r="I2660" s="31" t="s">
        <v>229</v>
      </c>
      <c r="J2660" s="31" t="s">
        <v>967</v>
      </c>
      <c r="K2660" s="33" t="s">
        <v>8068</v>
      </c>
      <c r="L2660" s="31" t="s">
        <v>252</v>
      </c>
      <c r="O2660" s="31" t="s">
        <v>205</v>
      </c>
      <c r="X2660" s="31" t="s">
        <v>549</v>
      </c>
    </row>
    <row r="2661">
      <c r="A2661" s="29">
        <v>45975.51563472222</v>
      </c>
      <c r="B2661" s="30">
        <v>45975.0</v>
      </c>
      <c r="C2661" s="31" t="s">
        <v>8069</v>
      </c>
      <c r="D2661" s="32" t="s">
        <v>8070</v>
      </c>
      <c r="E2661" s="31" t="s">
        <v>199</v>
      </c>
      <c r="F2661" s="31">
        <v>300000.0</v>
      </c>
      <c r="G2661" s="31" t="s">
        <v>45</v>
      </c>
      <c r="H2661" s="31">
        <v>500000.0</v>
      </c>
      <c r="I2661" s="31" t="s">
        <v>200</v>
      </c>
      <c r="K2661" s="33" t="s">
        <v>8071</v>
      </c>
      <c r="L2661" s="31" t="s">
        <v>252</v>
      </c>
      <c r="M2661" s="31" t="s">
        <v>5638</v>
      </c>
      <c r="O2661" s="31" t="s">
        <v>205</v>
      </c>
      <c r="X2661" s="31" t="s">
        <v>253</v>
      </c>
    </row>
    <row r="2662">
      <c r="A2662" s="29">
        <v>45975.54123665509</v>
      </c>
      <c r="B2662" s="30">
        <v>45975.0</v>
      </c>
      <c r="C2662" s="31" t="s">
        <v>8072</v>
      </c>
      <c r="D2662" s="32" t="s">
        <v>8073</v>
      </c>
      <c r="E2662" s="31" t="s">
        <v>261</v>
      </c>
      <c r="F2662" s="31">
        <v>1000000.0</v>
      </c>
      <c r="G2662" s="31" t="s">
        <v>23</v>
      </c>
      <c r="I2662" s="31" t="s">
        <v>229</v>
      </c>
      <c r="J2662" s="31" t="s">
        <v>967</v>
      </c>
      <c r="K2662" s="33" t="s">
        <v>8074</v>
      </c>
      <c r="L2662" s="31" t="s">
        <v>252</v>
      </c>
      <c r="O2662" s="31" t="s">
        <v>205</v>
      </c>
      <c r="X2662" s="31" t="s">
        <v>549</v>
      </c>
    </row>
    <row r="2663">
      <c r="A2663" s="29">
        <v>45975.55677865741</v>
      </c>
      <c r="B2663" s="30">
        <v>45975.0</v>
      </c>
      <c r="C2663" s="31" t="s">
        <v>8075</v>
      </c>
      <c r="D2663" s="32" t="s">
        <v>8076</v>
      </c>
      <c r="E2663" s="31" t="s">
        <v>199</v>
      </c>
      <c r="F2663" s="31">
        <v>2500.0</v>
      </c>
      <c r="G2663" s="31" t="s">
        <v>45</v>
      </c>
      <c r="H2663" s="31">
        <v>5000000.0</v>
      </c>
      <c r="I2663" s="31" t="s">
        <v>200</v>
      </c>
      <c r="K2663" s="33" t="s">
        <v>8077</v>
      </c>
      <c r="L2663" s="31" t="s">
        <v>202</v>
      </c>
      <c r="M2663" s="31" t="s">
        <v>203</v>
      </c>
      <c r="N2663" s="31" t="s">
        <v>313</v>
      </c>
      <c r="T2663" s="31" t="s">
        <v>4272</v>
      </c>
    </row>
    <row r="2664">
      <c r="A2664" s="29">
        <v>45975.5675565625</v>
      </c>
      <c r="B2664" s="30">
        <v>45975.0</v>
      </c>
      <c r="C2664" s="31" t="s">
        <v>8078</v>
      </c>
      <c r="D2664" s="32" t="s">
        <v>8079</v>
      </c>
      <c r="E2664" s="31" t="s">
        <v>199</v>
      </c>
      <c r="F2664" s="31">
        <v>7500000.0</v>
      </c>
      <c r="G2664" s="31" t="s">
        <v>23</v>
      </c>
      <c r="I2664" s="31" t="s">
        <v>229</v>
      </c>
      <c r="J2664" s="31" t="s">
        <v>967</v>
      </c>
      <c r="K2664" s="33" t="s">
        <v>8080</v>
      </c>
      <c r="L2664" s="31" t="s">
        <v>202</v>
      </c>
      <c r="N2664" s="31" t="s">
        <v>220</v>
      </c>
      <c r="S2664" s="31" t="s">
        <v>5512</v>
      </c>
    </row>
    <row r="2665">
      <c r="A2665" s="29">
        <v>45975.58200729167</v>
      </c>
      <c r="B2665" s="30">
        <v>45975.0</v>
      </c>
      <c r="C2665" s="31" t="s">
        <v>8081</v>
      </c>
      <c r="D2665" s="31">
        <v>6.281239738439E12</v>
      </c>
      <c r="E2665" s="31" t="s">
        <v>409</v>
      </c>
      <c r="F2665" s="31">
        <v>2.48E7</v>
      </c>
      <c r="G2665" s="31" t="s">
        <v>23</v>
      </c>
      <c r="I2665" s="31" t="s">
        <v>229</v>
      </c>
      <c r="J2665" s="31" t="s">
        <v>967</v>
      </c>
      <c r="K2665" s="33" t="s">
        <v>8082</v>
      </c>
      <c r="L2665" s="31" t="s">
        <v>202</v>
      </c>
      <c r="N2665" s="31" t="s">
        <v>500</v>
      </c>
      <c r="V2665" s="31" t="s">
        <v>7537</v>
      </c>
    </row>
    <row r="2666">
      <c r="A2666" s="29">
        <v>45975.58817667824</v>
      </c>
      <c r="B2666" s="30">
        <v>45975.0</v>
      </c>
      <c r="C2666" s="31" t="s">
        <v>8083</v>
      </c>
      <c r="D2666" s="32" t="s">
        <v>8084</v>
      </c>
      <c r="E2666" s="31" t="s">
        <v>199</v>
      </c>
      <c r="F2666" s="31">
        <v>5499000.0</v>
      </c>
      <c r="G2666" s="31" t="s">
        <v>45</v>
      </c>
      <c r="I2666" s="31" t="s">
        <v>229</v>
      </c>
      <c r="J2666" s="31" t="s">
        <v>967</v>
      </c>
      <c r="K2666" s="33" t="s">
        <v>8085</v>
      </c>
      <c r="L2666" s="31" t="s">
        <v>202</v>
      </c>
      <c r="N2666" s="31" t="s">
        <v>204</v>
      </c>
      <c r="R2666" s="31" t="s">
        <v>207</v>
      </c>
    </row>
    <row r="2667">
      <c r="A2667" s="29">
        <v>45975.589671388894</v>
      </c>
      <c r="B2667" s="30">
        <v>45975.0</v>
      </c>
      <c r="C2667" s="31" t="s">
        <v>8086</v>
      </c>
      <c r="D2667" s="32" t="s">
        <v>8087</v>
      </c>
      <c r="E2667" s="31" t="s">
        <v>3680</v>
      </c>
      <c r="F2667" s="31">
        <v>3500000.0</v>
      </c>
      <c r="G2667" s="31" t="s">
        <v>23</v>
      </c>
      <c r="I2667" s="31" t="s">
        <v>229</v>
      </c>
      <c r="J2667" s="31" t="s">
        <v>967</v>
      </c>
      <c r="K2667" s="33" t="s">
        <v>8088</v>
      </c>
      <c r="L2667" s="31" t="s">
        <v>202</v>
      </c>
      <c r="N2667" s="31" t="s">
        <v>220</v>
      </c>
      <c r="S2667" s="31" t="s">
        <v>5512</v>
      </c>
    </row>
    <row r="2668">
      <c r="A2668" s="29">
        <v>45975.59526071759</v>
      </c>
      <c r="B2668" s="30">
        <v>45975.0</v>
      </c>
      <c r="C2668" s="31" t="s">
        <v>8089</v>
      </c>
      <c r="D2668" s="32" t="s">
        <v>8090</v>
      </c>
      <c r="E2668" s="31" t="s">
        <v>288</v>
      </c>
      <c r="F2668" s="34">
        <v>3000.0</v>
      </c>
      <c r="G2668" s="31" t="s">
        <v>23</v>
      </c>
      <c r="I2668" s="31" t="s">
        <v>229</v>
      </c>
      <c r="J2668" s="31" t="s">
        <v>967</v>
      </c>
      <c r="K2668" s="33" t="s">
        <v>8091</v>
      </c>
      <c r="L2668" s="31" t="s">
        <v>202</v>
      </c>
      <c r="N2668" s="31" t="s">
        <v>204</v>
      </c>
      <c r="R2668" s="31" t="s">
        <v>167</v>
      </c>
    </row>
    <row r="2669">
      <c r="A2669" s="29">
        <v>45975.621688969906</v>
      </c>
      <c r="B2669" s="30">
        <v>45975.0</v>
      </c>
      <c r="C2669" s="31" t="s">
        <v>8092</v>
      </c>
      <c r="D2669" s="32" t="s">
        <v>8093</v>
      </c>
      <c r="E2669" s="31" t="s">
        <v>31</v>
      </c>
      <c r="F2669" s="31">
        <v>3500000.0</v>
      </c>
      <c r="G2669" s="31" t="s">
        <v>23</v>
      </c>
      <c r="H2669" s="31">
        <v>3000000.0</v>
      </c>
      <c r="I2669" s="31" t="s">
        <v>413</v>
      </c>
      <c r="K2669" s="33" t="s">
        <v>8094</v>
      </c>
      <c r="L2669" s="31" t="s">
        <v>202</v>
      </c>
      <c r="M2669" s="31" t="s">
        <v>5638</v>
      </c>
      <c r="N2669" s="31" t="s">
        <v>204</v>
      </c>
      <c r="R2669" s="31" t="s">
        <v>53</v>
      </c>
    </row>
    <row r="2670">
      <c r="A2670" s="29">
        <v>45975.64267209491</v>
      </c>
      <c r="B2670" s="30">
        <v>45975.0</v>
      </c>
      <c r="C2670" s="31" t="s">
        <v>8095</v>
      </c>
      <c r="D2670" s="32" t="s">
        <v>8096</v>
      </c>
      <c r="E2670" s="31" t="s">
        <v>31</v>
      </c>
      <c r="F2670" s="31">
        <v>4500000.0</v>
      </c>
      <c r="G2670" s="31" t="s">
        <v>23</v>
      </c>
      <c r="H2670" s="31">
        <v>3000000.0</v>
      </c>
      <c r="I2670" s="31" t="s">
        <v>200</v>
      </c>
      <c r="K2670" s="33" t="s">
        <v>8097</v>
      </c>
      <c r="L2670" s="31" t="s">
        <v>202</v>
      </c>
      <c r="M2670" s="31" t="s">
        <v>203</v>
      </c>
      <c r="N2670" s="31" t="s">
        <v>204</v>
      </c>
      <c r="R2670" s="31" t="s">
        <v>207</v>
      </c>
    </row>
    <row r="2671">
      <c r="A2671" s="29">
        <v>45975.66016572916</v>
      </c>
      <c r="B2671" s="30">
        <v>45975.0</v>
      </c>
      <c r="C2671" s="31" t="s">
        <v>8098</v>
      </c>
      <c r="D2671" s="32" t="s">
        <v>8099</v>
      </c>
      <c r="E2671" s="31" t="s">
        <v>43</v>
      </c>
      <c r="F2671" s="31">
        <v>5000000.0</v>
      </c>
      <c r="G2671" s="31" t="s">
        <v>23</v>
      </c>
      <c r="I2671" s="31" t="s">
        <v>229</v>
      </c>
      <c r="J2671" s="31" t="s">
        <v>967</v>
      </c>
      <c r="K2671" s="33" t="s">
        <v>8100</v>
      </c>
      <c r="L2671" s="31" t="s">
        <v>202</v>
      </c>
      <c r="N2671" s="31" t="s">
        <v>220</v>
      </c>
      <c r="S2671" s="31" t="s">
        <v>5697</v>
      </c>
    </row>
    <row r="2672">
      <c r="A2672" s="29">
        <v>45975.66978494213</v>
      </c>
      <c r="B2672" s="30">
        <v>45975.0</v>
      </c>
      <c r="C2672" s="31" t="s">
        <v>8101</v>
      </c>
      <c r="D2672" s="32" t="s">
        <v>8102</v>
      </c>
      <c r="E2672" s="31" t="s">
        <v>8103</v>
      </c>
      <c r="F2672" s="31">
        <v>4000000.0</v>
      </c>
      <c r="G2672" s="31" t="s">
        <v>23</v>
      </c>
      <c r="H2672" s="31">
        <v>7.0E7</v>
      </c>
      <c r="I2672" s="31" t="s">
        <v>413</v>
      </c>
      <c r="K2672" s="33" t="s">
        <v>8104</v>
      </c>
      <c r="L2672" s="31" t="s">
        <v>202</v>
      </c>
      <c r="M2672" s="31" t="s">
        <v>5638</v>
      </c>
      <c r="N2672" s="31" t="s">
        <v>500</v>
      </c>
      <c r="V2672" s="31" t="s">
        <v>7537</v>
      </c>
    </row>
    <row r="2673">
      <c r="A2673" s="29">
        <v>45975.68699219907</v>
      </c>
      <c r="B2673" s="30">
        <v>45975.0</v>
      </c>
      <c r="C2673" s="31" t="s">
        <v>8105</v>
      </c>
      <c r="D2673" s="32" t="s">
        <v>8106</v>
      </c>
      <c r="E2673" s="31" t="s">
        <v>239</v>
      </c>
      <c r="F2673" s="31">
        <v>50.0</v>
      </c>
      <c r="G2673" s="31" t="s">
        <v>23</v>
      </c>
      <c r="I2673" s="31" t="s">
        <v>229</v>
      </c>
      <c r="J2673" s="31" t="s">
        <v>967</v>
      </c>
      <c r="K2673" s="33" t="s">
        <v>8107</v>
      </c>
      <c r="L2673" s="31" t="s">
        <v>202</v>
      </c>
      <c r="N2673" s="31" t="s">
        <v>313</v>
      </c>
      <c r="T2673" s="31" t="s">
        <v>4272</v>
      </c>
    </row>
    <row r="2674">
      <c r="A2674" s="29">
        <v>45975.6884306713</v>
      </c>
      <c r="B2674" s="30">
        <v>45975.0</v>
      </c>
      <c r="C2674" s="31" t="s">
        <v>8108</v>
      </c>
      <c r="D2674" s="32" t="s">
        <v>8109</v>
      </c>
      <c r="E2674" s="31" t="s">
        <v>43</v>
      </c>
      <c r="F2674" s="31">
        <v>3200000.0</v>
      </c>
      <c r="G2674" s="31" t="s">
        <v>23</v>
      </c>
      <c r="I2674" s="31" t="s">
        <v>229</v>
      </c>
      <c r="J2674" s="31" t="s">
        <v>967</v>
      </c>
      <c r="K2674" s="33" t="s">
        <v>8110</v>
      </c>
      <c r="L2674" s="31" t="s">
        <v>252</v>
      </c>
      <c r="O2674" s="31" t="s">
        <v>257</v>
      </c>
      <c r="P2674" s="31" t="s">
        <v>2453</v>
      </c>
    </row>
    <row r="2675">
      <c r="A2675" s="29">
        <v>45975.70165502315</v>
      </c>
      <c r="B2675" s="30">
        <v>45975.0</v>
      </c>
      <c r="C2675" s="31" t="s">
        <v>8111</v>
      </c>
      <c r="D2675" s="32" t="s">
        <v>8112</v>
      </c>
      <c r="E2675" s="31" t="s">
        <v>31</v>
      </c>
      <c r="F2675" s="31">
        <v>5499000.0</v>
      </c>
      <c r="G2675" s="31" t="s">
        <v>23</v>
      </c>
      <c r="I2675" s="31" t="s">
        <v>229</v>
      </c>
      <c r="J2675" s="31" t="s">
        <v>967</v>
      </c>
      <c r="K2675" s="33" t="s">
        <v>8113</v>
      </c>
      <c r="L2675" s="31" t="s">
        <v>202</v>
      </c>
      <c r="N2675" s="31" t="s">
        <v>204</v>
      </c>
      <c r="R2675" s="31" t="s">
        <v>207</v>
      </c>
    </row>
    <row r="2676">
      <c r="A2676" s="29">
        <v>45975.70597505787</v>
      </c>
      <c r="B2676" s="30">
        <v>45975.0</v>
      </c>
      <c r="C2676" s="31" t="s">
        <v>8114</v>
      </c>
      <c r="D2676" s="32" t="s">
        <v>8115</v>
      </c>
      <c r="E2676" s="31" t="s">
        <v>43</v>
      </c>
      <c r="F2676" s="31">
        <v>8000000.0</v>
      </c>
      <c r="G2676" s="31" t="s">
        <v>23</v>
      </c>
      <c r="H2676" s="31">
        <v>7000000.0</v>
      </c>
      <c r="I2676" s="31" t="s">
        <v>413</v>
      </c>
      <c r="K2676" s="33" t="s">
        <v>8116</v>
      </c>
      <c r="L2676" s="31" t="s">
        <v>202</v>
      </c>
      <c r="M2676" s="31" t="s">
        <v>605</v>
      </c>
      <c r="N2676" s="31" t="s">
        <v>220</v>
      </c>
      <c r="S2676" s="31" t="s">
        <v>5670</v>
      </c>
    </row>
    <row r="2677">
      <c r="A2677" s="29">
        <v>45975.70764709491</v>
      </c>
      <c r="B2677" s="30">
        <v>45975.0</v>
      </c>
      <c r="C2677" s="31" t="s">
        <v>8117</v>
      </c>
      <c r="D2677" s="32" t="s">
        <v>8118</v>
      </c>
      <c r="E2677" s="31" t="s">
        <v>559</v>
      </c>
      <c r="F2677" s="31">
        <v>3500000.0</v>
      </c>
      <c r="G2677" s="31" t="s">
        <v>23</v>
      </c>
      <c r="I2677" s="31" t="s">
        <v>229</v>
      </c>
      <c r="J2677" s="31" t="s">
        <v>967</v>
      </c>
      <c r="K2677" s="33" t="s">
        <v>8119</v>
      </c>
      <c r="L2677" s="31" t="s">
        <v>202</v>
      </c>
      <c r="N2677" s="31" t="s">
        <v>220</v>
      </c>
      <c r="S2677" s="31" t="s">
        <v>59</v>
      </c>
    </row>
    <row r="2678">
      <c r="A2678" s="29">
        <v>45975.71125490741</v>
      </c>
      <c r="B2678" s="30">
        <v>45975.0</v>
      </c>
      <c r="C2678" s="31" t="s">
        <v>8120</v>
      </c>
      <c r="D2678" s="32" t="s">
        <v>8121</v>
      </c>
      <c r="E2678" s="31" t="s">
        <v>239</v>
      </c>
      <c r="F2678" s="31">
        <v>50.0</v>
      </c>
      <c r="G2678" s="31" t="s">
        <v>23</v>
      </c>
      <c r="I2678" s="31" t="s">
        <v>229</v>
      </c>
      <c r="J2678" s="31" t="s">
        <v>967</v>
      </c>
      <c r="K2678" s="33" t="s">
        <v>8122</v>
      </c>
      <c r="L2678" s="31" t="s">
        <v>202</v>
      </c>
      <c r="N2678" s="31" t="s">
        <v>313</v>
      </c>
      <c r="T2678" s="31" t="s">
        <v>4272</v>
      </c>
    </row>
    <row r="2679">
      <c r="A2679" s="29">
        <v>45975.713728518516</v>
      </c>
      <c r="B2679" s="30">
        <v>45975.0</v>
      </c>
      <c r="C2679" s="31" t="s">
        <v>8123</v>
      </c>
      <c r="D2679" s="32" t="s">
        <v>8124</v>
      </c>
      <c r="E2679" s="31" t="s">
        <v>228</v>
      </c>
      <c r="F2679" s="31">
        <v>4000000.0</v>
      </c>
      <c r="G2679" s="31" t="s">
        <v>23</v>
      </c>
      <c r="I2679" s="31" t="s">
        <v>229</v>
      </c>
      <c r="J2679" s="31" t="s">
        <v>967</v>
      </c>
      <c r="K2679" s="33" t="s">
        <v>8125</v>
      </c>
      <c r="L2679" s="31" t="s">
        <v>202</v>
      </c>
      <c r="N2679" s="31" t="s">
        <v>220</v>
      </c>
      <c r="S2679" s="31" t="s">
        <v>5697</v>
      </c>
    </row>
    <row r="2680">
      <c r="A2680" s="29">
        <v>45975.72521260417</v>
      </c>
      <c r="B2680" s="30">
        <v>45975.0</v>
      </c>
      <c r="C2680" s="31" t="s">
        <v>8126</v>
      </c>
      <c r="D2680" s="32" t="s">
        <v>8127</v>
      </c>
      <c r="E2680" s="31" t="s">
        <v>43</v>
      </c>
      <c r="F2680" s="31">
        <v>4000000.0</v>
      </c>
      <c r="G2680" s="31" t="s">
        <v>23</v>
      </c>
      <c r="I2680" s="31" t="s">
        <v>229</v>
      </c>
      <c r="J2680" s="31" t="s">
        <v>967</v>
      </c>
      <c r="K2680" s="33" t="s">
        <v>8128</v>
      </c>
      <c r="L2680" s="31" t="s">
        <v>202</v>
      </c>
      <c r="N2680" s="31" t="s">
        <v>204</v>
      </c>
      <c r="R2680" s="31" t="s">
        <v>98</v>
      </c>
    </row>
    <row r="2681">
      <c r="A2681" s="29">
        <v>45975.73199947916</v>
      </c>
      <c r="B2681" s="30">
        <v>45975.0</v>
      </c>
      <c r="C2681" s="31" t="s">
        <v>8129</v>
      </c>
      <c r="D2681" s="32" t="s">
        <v>8130</v>
      </c>
      <c r="E2681" s="31" t="s">
        <v>43</v>
      </c>
      <c r="F2681" s="31">
        <v>5600000.0</v>
      </c>
      <c r="G2681" s="31" t="s">
        <v>23</v>
      </c>
      <c r="I2681" s="31" t="s">
        <v>229</v>
      </c>
      <c r="J2681" s="31" t="s">
        <v>165</v>
      </c>
      <c r="K2681" s="33" t="s">
        <v>8131</v>
      </c>
      <c r="L2681" s="31" t="s">
        <v>252</v>
      </c>
      <c r="O2681" s="31" t="s">
        <v>205</v>
      </c>
      <c r="X2681" s="31" t="s">
        <v>2335</v>
      </c>
    </row>
    <row r="2682">
      <c r="A2682" s="29">
        <v>45975.734322592594</v>
      </c>
      <c r="B2682" s="30">
        <v>45975.0</v>
      </c>
      <c r="C2682" s="31" t="s">
        <v>8132</v>
      </c>
      <c r="D2682" s="32" t="s">
        <v>8133</v>
      </c>
      <c r="E2682" s="31" t="s">
        <v>31</v>
      </c>
      <c r="F2682" s="31">
        <v>4600000.0</v>
      </c>
      <c r="G2682" s="31" t="s">
        <v>23</v>
      </c>
      <c r="H2682" s="31">
        <v>3000000.0</v>
      </c>
      <c r="I2682" s="31" t="s">
        <v>200</v>
      </c>
      <c r="K2682" s="33" t="s">
        <v>8134</v>
      </c>
      <c r="L2682" s="31" t="s">
        <v>202</v>
      </c>
      <c r="M2682" s="31" t="s">
        <v>5638</v>
      </c>
      <c r="N2682" s="31" t="s">
        <v>220</v>
      </c>
      <c r="S2682" s="31" t="s">
        <v>83</v>
      </c>
    </row>
    <row r="2683">
      <c r="A2683" s="29">
        <v>45975.734670844904</v>
      </c>
      <c r="B2683" s="30">
        <v>45975.0</v>
      </c>
      <c r="C2683" s="31" t="s">
        <v>8135</v>
      </c>
      <c r="D2683" s="32" t="s">
        <v>8136</v>
      </c>
      <c r="E2683" s="31" t="s">
        <v>43</v>
      </c>
      <c r="F2683" s="31">
        <v>5800000.0</v>
      </c>
      <c r="G2683" s="31" t="s">
        <v>23</v>
      </c>
      <c r="H2683" s="31">
        <v>1.0E7</v>
      </c>
      <c r="I2683" s="31" t="s">
        <v>200</v>
      </c>
      <c r="K2683" s="33" t="s">
        <v>8137</v>
      </c>
      <c r="L2683" s="31" t="s">
        <v>252</v>
      </c>
      <c r="M2683" s="31" t="s">
        <v>203</v>
      </c>
      <c r="O2683" s="31" t="s">
        <v>205</v>
      </c>
      <c r="X2683" s="31" t="s">
        <v>1471</v>
      </c>
    </row>
    <row r="2684">
      <c r="A2684" s="29">
        <v>45975.75750226852</v>
      </c>
      <c r="B2684" s="30">
        <v>45974.0</v>
      </c>
      <c r="C2684" s="31" t="s">
        <v>8138</v>
      </c>
      <c r="D2684" s="32" t="s">
        <v>8139</v>
      </c>
      <c r="E2684" s="31" t="s">
        <v>228</v>
      </c>
      <c r="F2684" s="34">
        <v>3000.0</v>
      </c>
      <c r="G2684" s="31" t="s">
        <v>23</v>
      </c>
      <c r="I2684" s="31" t="s">
        <v>229</v>
      </c>
      <c r="J2684" s="31" t="s">
        <v>967</v>
      </c>
      <c r="K2684" s="33" t="s">
        <v>8140</v>
      </c>
      <c r="L2684" s="31" t="s">
        <v>202</v>
      </c>
      <c r="N2684" s="31" t="s">
        <v>871</v>
      </c>
      <c r="Q2684" s="31" t="s">
        <v>2403</v>
      </c>
    </row>
    <row r="2685">
      <c r="A2685" s="29">
        <v>45975.76786771991</v>
      </c>
      <c r="B2685" s="30">
        <v>45975.0</v>
      </c>
      <c r="C2685" s="31" t="s">
        <v>8141</v>
      </c>
      <c r="D2685" s="32" t="s">
        <v>8142</v>
      </c>
      <c r="E2685" s="31" t="s">
        <v>127</v>
      </c>
      <c r="F2685" s="31">
        <v>2.0E7</v>
      </c>
      <c r="G2685" s="31" t="s">
        <v>23</v>
      </c>
      <c r="H2685" s="31">
        <v>3000000.0</v>
      </c>
      <c r="I2685" s="31" t="s">
        <v>413</v>
      </c>
      <c r="K2685" s="33" t="s">
        <v>8143</v>
      </c>
      <c r="L2685" s="31" t="s">
        <v>202</v>
      </c>
      <c r="M2685" s="31" t="s">
        <v>203</v>
      </c>
      <c r="N2685" s="31" t="s">
        <v>500</v>
      </c>
      <c r="V2685" s="31" t="s">
        <v>6597</v>
      </c>
    </row>
    <row r="2686">
      <c r="A2686" s="29">
        <v>45975.78283214121</v>
      </c>
      <c r="B2686" s="30">
        <v>45975.0</v>
      </c>
      <c r="C2686" s="31" t="s">
        <v>8144</v>
      </c>
      <c r="D2686" s="32" t="s">
        <v>8145</v>
      </c>
      <c r="E2686" s="31" t="s">
        <v>199</v>
      </c>
      <c r="F2686" s="31">
        <v>300000.0</v>
      </c>
      <c r="G2686" s="31" t="s">
        <v>45</v>
      </c>
      <c r="I2686" s="31" t="s">
        <v>229</v>
      </c>
      <c r="J2686" s="31" t="s">
        <v>967</v>
      </c>
      <c r="K2686" s="33" t="s">
        <v>8146</v>
      </c>
      <c r="L2686" s="31" t="s">
        <v>252</v>
      </c>
      <c r="O2686" s="31" t="s">
        <v>205</v>
      </c>
      <c r="X2686" s="31" t="s">
        <v>253</v>
      </c>
    </row>
    <row r="2687">
      <c r="A2687" s="29">
        <v>45975.78710688658</v>
      </c>
      <c r="B2687" s="30">
        <v>45975.0</v>
      </c>
      <c r="C2687" s="31" t="s">
        <v>8147</v>
      </c>
      <c r="D2687" s="32" t="s">
        <v>8148</v>
      </c>
      <c r="E2687" s="31" t="s">
        <v>31</v>
      </c>
      <c r="F2687" s="31">
        <v>3000000.0</v>
      </c>
      <c r="G2687" s="31" t="s">
        <v>23</v>
      </c>
      <c r="H2687" s="31">
        <v>3000000.0</v>
      </c>
      <c r="I2687" s="31" t="s">
        <v>200</v>
      </c>
      <c r="K2687" s="33" t="s">
        <v>8149</v>
      </c>
      <c r="L2687" s="31" t="s">
        <v>252</v>
      </c>
      <c r="M2687" s="31" t="s">
        <v>5638</v>
      </c>
      <c r="O2687" s="31" t="s">
        <v>257</v>
      </c>
      <c r="P2687" s="31" t="s">
        <v>206</v>
      </c>
    </row>
    <row r="2688">
      <c r="A2688" s="29">
        <v>45975.79288113426</v>
      </c>
      <c r="B2688" s="30">
        <v>45975.0</v>
      </c>
      <c r="C2688" s="31" t="s">
        <v>8150</v>
      </c>
      <c r="D2688" s="32" t="s">
        <v>8151</v>
      </c>
      <c r="E2688" s="31" t="s">
        <v>8152</v>
      </c>
      <c r="F2688" s="31">
        <v>2000000.0</v>
      </c>
      <c r="G2688" s="31" t="s">
        <v>23</v>
      </c>
      <c r="I2688" s="31" t="s">
        <v>229</v>
      </c>
      <c r="J2688" s="31" t="s">
        <v>967</v>
      </c>
      <c r="K2688" s="33" t="s">
        <v>8153</v>
      </c>
      <c r="L2688" s="31" t="s">
        <v>252</v>
      </c>
      <c r="O2688" s="31" t="s">
        <v>205</v>
      </c>
      <c r="X2688" s="31" t="s">
        <v>1471</v>
      </c>
    </row>
    <row r="2689">
      <c r="A2689" s="29">
        <v>45975.799896805554</v>
      </c>
      <c r="B2689" s="30">
        <v>45975.0</v>
      </c>
      <c r="C2689" s="31" t="s">
        <v>8154</v>
      </c>
      <c r="D2689" s="32" t="s">
        <v>8155</v>
      </c>
      <c r="E2689" s="31" t="s">
        <v>43</v>
      </c>
      <c r="F2689" s="31">
        <v>8800000.0</v>
      </c>
      <c r="G2689" s="31" t="s">
        <v>23</v>
      </c>
      <c r="I2689" s="31" t="s">
        <v>229</v>
      </c>
      <c r="J2689" s="31" t="s">
        <v>967</v>
      </c>
      <c r="K2689" s="33" t="s">
        <v>8156</v>
      </c>
      <c r="L2689" s="31" t="s">
        <v>202</v>
      </c>
      <c r="N2689" s="31" t="s">
        <v>313</v>
      </c>
      <c r="T2689" s="31" t="s">
        <v>314</v>
      </c>
    </row>
    <row r="2690">
      <c r="A2690" s="29">
        <v>45975.80782427083</v>
      </c>
      <c r="B2690" s="30">
        <v>45975.0</v>
      </c>
      <c r="C2690" s="31" t="s">
        <v>8157</v>
      </c>
      <c r="D2690" s="32" t="s">
        <v>4950</v>
      </c>
      <c r="E2690" s="31" t="s">
        <v>43</v>
      </c>
      <c r="F2690" s="31">
        <v>7000000.0</v>
      </c>
      <c r="G2690" s="31" t="s">
        <v>23</v>
      </c>
      <c r="I2690" s="31" t="s">
        <v>229</v>
      </c>
      <c r="J2690" s="31" t="s">
        <v>967</v>
      </c>
      <c r="K2690" s="33" t="s">
        <v>8158</v>
      </c>
      <c r="L2690" s="31" t="s">
        <v>202</v>
      </c>
      <c r="N2690" s="31" t="s">
        <v>313</v>
      </c>
      <c r="T2690" s="31" t="s">
        <v>314</v>
      </c>
    </row>
    <row r="2691">
      <c r="A2691" s="29">
        <v>45975.80828708333</v>
      </c>
      <c r="B2691" s="30">
        <v>45975.0</v>
      </c>
      <c r="C2691" s="31" t="s">
        <v>8159</v>
      </c>
      <c r="D2691" s="32" t="s">
        <v>8160</v>
      </c>
      <c r="E2691" s="31" t="s">
        <v>43</v>
      </c>
      <c r="F2691" s="31">
        <v>6500000.0</v>
      </c>
      <c r="G2691" s="31" t="s">
        <v>23</v>
      </c>
      <c r="H2691" s="31">
        <v>3000000.0</v>
      </c>
      <c r="I2691" s="31" t="s">
        <v>200</v>
      </c>
      <c r="K2691" s="33" t="s">
        <v>8161</v>
      </c>
      <c r="L2691" s="31" t="s">
        <v>202</v>
      </c>
      <c r="M2691" s="31" t="s">
        <v>5638</v>
      </c>
      <c r="N2691" s="31" t="s">
        <v>220</v>
      </c>
      <c r="S2691" s="31" t="s">
        <v>83</v>
      </c>
    </row>
    <row r="2692">
      <c r="A2692" s="29">
        <v>45975.81600878472</v>
      </c>
      <c r="B2692" s="30">
        <v>45975.0</v>
      </c>
      <c r="C2692" s="31" t="s">
        <v>8162</v>
      </c>
      <c r="D2692" s="32" t="s">
        <v>8163</v>
      </c>
      <c r="E2692" s="31" t="s">
        <v>31</v>
      </c>
      <c r="F2692" s="31">
        <v>4000000.0</v>
      </c>
      <c r="G2692" s="31" t="s">
        <v>23</v>
      </c>
      <c r="I2692" s="31" t="s">
        <v>229</v>
      </c>
      <c r="J2692" s="31" t="s">
        <v>165</v>
      </c>
      <c r="K2692" s="33" t="s">
        <v>8164</v>
      </c>
      <c r="L2692" s="31" t="s">
        <v>202</v>
      </c>
      <c r="N2692" s="31" t="s">
        <v>500</v>
      </c>
      <c r="V2692" s="31" t="s">
        <v>501</v>
      </c>
    </row>
    <row r="2693">
      <c r="A2693" s="29">
        <v>45975.82706561343</v>
      </c>
      <c r="B2693" s="30">
        <v>45975.0</v>
      </c>
      <c r="C2693" s="31" t="s">
        <v>8165</v>
      </c>
      <c r="D2693" s="32" t="s">
        <v>8166</v>
      </c>
      <c r="E2693" s="31" t="s">
        <v>31</v>
      </c>
      <c r="F2693" s="31">
        <v>4000000.0</v>
      </c>
      <c r="G2693" s="31" t="s">
        <v>23</v>
      </c>
      <c r="H2693" s="31">
        <v>3000000.0</v>
      </c>
      <c r="I2693" s="31" t="s">
        <v>413</v>
      </c>
      <c r="K2693" s="33" t="s">
        <v>8167</v>
      </c>
      <c r="L2693" s="31" t="s">
        <v>202</v>
      </c>
      <c r="M2693" s="31" t="s">
        <v>203</v>
      </c>
      <c r="N2693" s="31" t="s">
        <v>500</v>
      </c>
      <c r="V2693" s="31" t="s">
        <v>501</v>
      </c>
    </row>
    <row r="2694">
      <c r="A2694" s="29">
        <v>45975.833351388894</v>
      </c>
      <c r="B2694" s="30" t="s">
        <v>8168</v>
      </c>
      <c r="C2694" s="31" t="s">
        <v>7954</v>
      </c>
      <c r="D2694" s="32" t="s">
        <v>7955</v>
      </c>
      <c r="E2694" s="31" t="s">
        <v>31</v>
      </c>
      <c r="F2694" s="31">
        <v>2000000.0</v>
      </c>
      <c r="G2694" s="31" t="s">
        <v>23</v>
      </c>
      <c r="H2694" s="31">
        <v>3000000.0</v>
      </c>
      <c r="I2694" s="31" t="s">
        <v>200</v>
      </c>
      <c r="K2694" s="33" t="s">
        <v>8169</v>
      </c>
      <c r="L2694" s="31" t="s">
        <v>202</v>
      </c>
      <c r="M2694" s="31" t="s">
        <v>5638</v>
      </c>
      <c r="N2694" s="31" t="s">
        <v>215</v>
      </c>
      <c r="W2694" s="31" t="s">
        <v>216</v>
      </c>
    </row>
    <row r="2695">
      <c r="A2695" s="29">
        <v>45975.84368853009</v>
      </c>
      <c r="B2695" s="30">
        <v>45975.0</v>
      </c>
      <c r="C2695" s="31" t="s">
        <v>53</v>
      </c>
      <c r="D2695" s="32" t="s">
        <v>8170</v>
      </c>
      <c r="E2695" s="31" t="s">
        <v>43</v>
      </c>
      <c r="F2695" s="31">
        <v>3600000.0</v>
      </c>
      <c r="G2695" s="31" t="s">
        <v>45</v>
      </c>
      <c r="H2695" s="31">
        <v>7000000.0</v>
      </c>
      <c r="I2695" s="31" t="s">
        <v>413</v>
      </c>
      <c r="K2695" s="33" t="s">
        <v>8171</v>
      </c>
      <c r="L2695" s="31" t="s">
        <v>202</v>
      </c>
      <c r="M2695" s="31" t="s">
        <v>926</v>
      </c>
      <c r="N2695" s="31" t="s">
        <v>204</v>
      </c>
      <c r="R2695" s="31" t="s">
        <v>53</v>
      </c>
    </row>
    <row r="2696">
      <c r="A2696" s="29">
        <v>45975.846426041666</v>
      </c>
      <c r="B2696" s="30">
        <v>45975.0</v>
      </c>
      <c r="C2696" s="31" t="s">
        <v>8172</v>
      </c>
      <c r="D2696" s="32" t="s">
        <v>8173</v>
      </c>
      <c r="E2696" s="31" t="s">
        <v>288</v>
      </c>
      <c r="F2696" s="31">
        <v>2300000.0</v>
      </c>
      <c r="G2696" s="31" t="s">
        <v>23</v>
      </c>
      <c r="I2696" s="31" t="s">
        <v>229</v>
      </c>
      <c r="J2696" s="31" t="s">
        <v>967</v>
      </c>
      <c r="K2696" s="33" t="s">
        <v>8174</v>
      </c>
      <c r="L2696" s="31" t="s">
        <v>202</v>
      </c>
      <c r="N2696" s="31" t="s">
        <v>204</v>
      </c>
      <c r="R2696" s="31" t="s">
        <v>148</v>
      </c>
    </row>
    <row r="2697">
      <c r="A2697" s="29">
        <v>45976.35757502315</v>
      </c>
      <c r="B2697" s="30">
        <v>45976.0</v>
      </c>
      <c r="C2697" s="31" t="s">
        <v>8175</v>
      </c>
      <c r="D2697" s="32" t="s">
        <v>8176</v>
      </c>
      <c r="E2697" s="31" t="s">
        <v>43</v>
      </c>
      <c r="F2697" s="31">
        <v>8000000.0</v>
      </c>
      <c r="G2697" s="31" t="s">
        <v>23</v>
      </c>
      <c r="I2697" s="31" t="s">
        <v>229</v>
      </c>
      <c r="J2697" s="31" t="s">
        <v>967</v>
      </c>
      <c r="K2697" s="33" t="s">
        <v>8177</v>
      </c>
      <c r="L2697" s="31" t="s">
        <v>202</v>
      </c>
      <c r="N2697" s="31" t="s">
        <v>220</v>
      </c>
      <c r="S2697" s="31" t="s">
        <v>5670</v>
      </c>
    </row>
    <row r="2698">
      <c r="A2698" s="29">
        <v>45976.42305755787</v>
      </c>
      <c r="B2698" s="30">
        <v>45976.0</v>
      </c>
      <c r="C2698" s="31" t="s">
        <v>8178</v>
      </c>
      <c r="D2698" s="32" t="s">
        <v>8179</v>
      </c>
      <c r="E2698" s="31" t="s">
        <v>43</v>
      </c>
      <c r="F2698" s="31">
        <v>2500000.0</v>
      </c>
      <c r="G2698" s="31" t="s">
        <v>23</v>
      </c>
      <c r="H2698" s="31">
        <v>1600000.0</v>
      </c>
      <c r="I2698" s="31" t="s">
        <v>413</v>
      </c>
      <c r="K2698" s="33" t="s">
        <v>8180</v>
      </c>
      <c r="L2698" s="31" t="s">
        <v>252</v>
      </c>
      <c r="M2698" s="31" t="s">
        <v>203</v>
      </c>
      <c r="O2698" s="31" t="s">
        <v>257</v>
      </c>
      <c r="P2698" s="31" t="s">
        <v>2453</v>
      </c>
    </row>
    <row r="2699">
      <c r="A2699" s="29">
        <v>45976.42443932871</v>
      </c>
      <c r="B2699" s="30">
        <v>45975.0</v>
      </c>
      <c r="C2699" s="31" t="s">
        <v>8181</v>
      </c>
      <c r="D2699" s="32" t="s">
        <v>8182</v>
      </c>
      <c r="E2699" s="31" t="s">
        <v>228</v>
      </c>
      <c r="F2699" s="31">
        <v>4000000.0</v>
      </c>
      <c r="G2699" s="31" t="s">
        <v>23</v>
      </c>
      <c r="H2699" s="31">
        <v>3000000.0</v>
      </c>
      <c r="I2699" s="31" t="s">
        <v>413</v>
      </c>
      <c r="K2699" s="33" t="s">
        <v>8183</v>
      </c>
      <c r="L2699" s="31" t="s">
        <v>202</v>
      </c>
      <c r="M2699" s="31" t="s">
        <v>203</v>
      </c>
      <c r="N2699" s="31" t="s">
        <v>220</v>
      </c>
      <c r="S2699" s="31" t="s">
        <v>5697</v>
      </c>
    </row>
    <row r="2700">
      <c r="A2700" s="29">
        <v>45976.44503634259</v>
      </c>
      <c r="B2700" s="30">
        <v>45975.0</v>
      </c>
      <c r="C2700" s="31" t="s">
        <v>8184</v>
      </c>
      <c r="D2700" s="32" t="s">
        <v>8185</v>
      </c>
      <c r="E2700" s="31" t="s">
        <v>8186</v>
      </c>
      <c r="F2700" s="31">
        <v>5000000.0</v>
      </c>
      <c r="G2700" s="31" t="s">
        <v>23</v>
      </c>
      <c r="I2700" s="31" t="s">
        <v>229</v>
      </c>
      <c r="J2700" s="31" t="s">
        <v>967</v>
      </c>
      <c r="K2700" s="33" t="s">
        <v>8187</v>
      </c>
      <c r="L2700" s="31" t="s">
        <v>202</v>
      </c>
      <c r="N2700" s="31" t="s">
        <v>204</v>
      </c>
      <c r="R2700" s="31" t="s">
        <v>53</v>
      </c>
    </row>
    <row r="2701">
      <c r="A2701" s="29">
        <v>45976.447393055554</v>
      </c>
      <c r="B2701" s="30">
        <v>45975.0</v>
      </c>
      <c r="C2701" s="31" t="s">
        <v>8188</v>
      </c>
      <c r="D2701" s="32" t="s">
        <v>8189</v>
      </c>
      <c r="E2701" s="31" t="s">
        <v>31</v>
      </c>
      <c r="F2701" s="31">
        <v>3500000.0</v>
      </c>
      <c r="G2701" s="31" t="s">
        <v>23</v>
      </c>
      <c r="I2701" s="31" t="s">
        <v>229</v>
      </c>
      <c r="J2701" s="31" t="s">
        <v>967</v>
      </c>
      <c r="K2701" s="33" t="s">
        <v>8190</v>
      </c>
      <c r="L2701" s="31" t="s">
        <v>202</v>
      </c>
      <c r="N2701" s="31" t="s">
        <v>204</v>
      </c>
      <c r="R2701" s="31" t="s">
        <v>53</v>
      </c>
    </row>
    <row r="2702">
      <c r="A2702" s="29">
        <v>45976.45403069444</v>
      </c>
      <c r="B2702" s="30">
        <v>45976.0</v>
      </c>
      <c r="C2702" s="31" t="s">
        <v>681</v>
      </c>
      <c r="D2702" s="32" t="s">
        <v>8191</v>
      </c>
      <c r="E2702" s="31" t="s">
        <v>8192</v>
      </c>
      <c r="F2702" s="31">
        <v>3000000.0</v>
      </c>
      <c r="G2702" s="31" t="s">
        <v>23</v>
      </c>
      <c r="I2702" s="31" t="s">
        <v>229</v>
      </c>
      <c r="J2702" s="31" t="s">
        <v>967</v>
      </c>
      <c r="K2702" s="33" t="s">
        <v>8193</v>
      </c>
      <c r="L2702" s="31" t="s">
        <v>202</v>
      </c>
      <c r="N2702" s="31" t="s">
        <v>215</v>
      </c>
      <c r="W2702" s="31" t="s">
        <v>389</v>
      </c>
    </row>
    <row r="2703">
      <c r="A2703" s="29">
        <v>45976.456387638886</v>
      </c>
      <c r="B2703" s="30">
        <v>45976.0</v>
      </c>
      <c r="C2703" s="31" t="s">
        <v>8194</v>
      </c>
      <c r="D2703" s="32" t="s">
        <v>8195</v>
      </c>
      <c r="E2703" s="31" t="s">
        <v>43</v>
      </c>
      <c r="F2703" s="31">
        <v>9000000.0</v>
      </c>
      <c r="G2703" s="31" t="s">
        <v>23</v>
      </c>
      <c r="I2703" s="31" t="s">
        <v>229</v>
      </c>
      <c r="J2703" s="31" t="s">
        <v>967</v>
      </c>
      <c r="K2703" s="33" t="s">
        <v>8196</v>
      </c>
      <c r="L2703" s="31" t="s">
        <v>202</v>
      </c>
      <c r="N2703" s="31" t="s">
        <v>313</v>
      </c>
      <c r="T2703" s="31" t="s">
        <v>314</v>
      </c>
    </row>
    <row r="2704">
      <c r="A2704" s="29">
        <v>45976.47327714121</v>
      </c>
      <c r="B2704" s="30">
        <v>45976.0</v>
      </c>
      <c r="C2704" s="31" t="s">
        <v>8197</v>
      </c>
      <c r="D2704" s="32" t="s">
        <v>8198</v>
      </c>
      <c r="E2704" s="31" t="s">
        <v>43</v>
      </c>
      <c r="F2704" s="31">
        <v>7000000.0</v>
      </c>
      <c r="G2704" s="31" t="s">
        <v>45</v>
      </c>
      <c r="H2704" s="31">
        <v>5000000.0</v>
      </c>
      <c r="I2704" s="31" t="s">
        <v>200</v>
      </c>
      <c r="K2704" s="33" t="s">
        <v>8199</v>
      </c>
      <c r="L2704" s="31" t="s">
        <v>252</v>
      </c>
      <c r="M2704" s="31" t="s">
        <v>926</v>
      </c>
      <c r="O2704" s="31" t="s">
        <v>257</v>
      </c>
      <c r="P2704" s="31" t="s">
        <v>285</v>
      </c>
    </row>
    <row r="2705">
      <c r="A2705" s="29">
        <v>45976.4909812963</v>
      </c>
      <c r="B2705" s="30">
        <v>45976.0</v>
      </c>
      <c r="C2705" s="31" t="s">
        <v>8200</v>
      </c>
      <c r="D2705" s="32" t="s">
        <v>8201</v>
      </c>
      <c r="E2705" s="31" t="s">
        <v>1572</v>
      </c>
      <c r="F2705" s="31">
        <v>4000000.0</v>
      </c>
      <c r="G2705" s="31" t="s">
        <v>45</v>
      </c>
      <c r="I2705" s="31" t="s">
        <v>229</v>
      </c>
      <c r="J2705" s="31" t="s">
        <v>967</v>
      </c>
      <c r="K2705" s="33" t="s">
        <v>8202</v>
      </c>
      <c r="L2705" s="31" t="s">
        <v>252</v>
      </c>
      <c r="O2705" s="31" t="s">
        <v>257</v>
      </c>
      <c r="P2705" s="31" t="s">
        <v>285</v>
      </c>
    </row>
    <row r="2706">
      <c r="A2706" s="29">
        <v>45976.49153079861</v>
      </c>
      <c r="B2706" s="30">
        <v>45976.0</v>
      </c>
      <c r="C2706" s="31" t="s">
        <v>8203</v>
      </c>
      <c r="D2706" s="32" t="s">
        <v>7821</v>
      </c>
      <c r="E2706" s="31" t="s">
        <v>8204</v>
      </c>
      <c r="F2706" s="31">
        <v>1000000.0</v>
      </c>
      <c r="G2706" s="31" t="s">
        <v>23</v>
      </c>
      <c r="I2706" s="31" t="s">
        <v>229</v>
      </c>
      <c r="J2706" s="31" t="s">
        <v>967</v>
      </c>
      <c r="K2706" s="33" t="s">
        <v>8205</v>
      </c>
      <c r="L2706" s="31" t="s">
        <v>202</v>
      </c>
      <c r="N2706" s="31" t="s">
        <v>204</v>
      </c>
      <c r="R2706" s="31" t="s">
        <v>8206</v>
      </c>
    </row>
    <row r="2707">
      <c r="A2707" s="29">
        <v>45976.49966649305</v>
      </c>
      <c r="B2707" s="30">
        <v>45976.0</v>
      </c>
      <c r="C2707" s="31" t="s">
        <v>8207</v>
      </c>
      <c r="D2707" s="32" t="s">
        <v>8208</v>
      </c>
      <c r="E2707" s="31" t="s">
        <v>43</v>
      </c>
      <c r="F2707" s="31">
        <v>300000.0</v>
      </c>
      <c r="G2707" s="31" t="s">
        <v>45</v>
      </c>
      <c r="I2707" s="31" t="s">
        <v>229</v>
      </c>
      <c r="J2707" s="31" t="s">
        <v>967</v>
      </c>
      <c r="K2707" s="33" t="s">
        <v>8209</v>
      </c>
      <c r="L2707" s="31" t="s">
        <v>252</v>
      </c>
      <c r="O2707" s="31" t="s">
        <v>257</v>
      </c>
      <c r="P2707" s="31" t="s">
        <v>1555</v>
      </c>
    </row>
    <row r="2708">
      <c r="A2708" s="29">
        <v>45976.49998260417</v>
      </c>
      <c r="B2708" s="30">
        <v>45976.0</v>
      </c>
      <c r="C2708" s="31" t="s">
        <v>8210</v>
      </c>
      <c r="D2708" s="32" t="s">
        <v>8211</v>
      </c>
      <c r="E2708" s="31" t="s">
        <v>43</v>
      </c>
      <c r="F2708" s="31">
        <v>3100000.0</v>
      </c>
      <c r="G2708" s="31" t="s">
        <v>45</v>
      </c>
      <c r="I2708" s="31" t="s">
        <v>229</v>
      </c>
      <c r="J2708" s="31" t="s">
        <v>967</v>
      </c>
      <c r="K2708" s="33" t="s">
        <v>8212</v>
      </c>
      <c r="L2708" s="31" t="s">
        <v>252</v>
      </c>
      <c r="O2708" s="31" t="s">
        <v>205</v>
      </c>
      <c r="X2708" s="31" t="s">
        <v>569</v>
      </c>
    </row>
    <row r="2709">
      <c r="A2709" s="29">
        <v>45976.511721504634</v>
      </c>
      <c r="B2709" s="30" t="s">
        <v>8213</v>
      </c>
      <c r="C2709" s="31" t="s">
        <v>8214</v>
      </c>
      <c r="D2709" s="32" t="s">
        <v>8215</v>
      </c>
      <c r="E2709" s="31" t="s">
        <v>31</v>
      </c>
      <c r="F2709" s="31">
        <v>2000000.0</v>
      </c>
      <c r="G2709" s="31" t="s">
        <v>23</v>
      </c>
      <c r="H2709" s="31">
        <v>3000000.0</v>
      </c>
      <c r="I2709" s="31" t="s">
        <v>200</v>
      </c>
      <c r="K2709" s="33" t="s">
        <v>8216</v>
      </c>
      <c r="L2709" s="31" t="s">
        <v>202</v>
      </c>
      <c r="M2709" s="31" t="s">
        <v>203</v>
      </c>
      <c r="N2709" s="31" t="s">
        <v>215</v>
      </c>
      <c r="W2709" s="31" t="s">
        <v>216</v>
      </c>
    </row>
    <row r="2710">
      <c r="A2710" s="29">
        <v>45976.52146109953</v>
      </c>
      <c r="B2710" s="30">
        <v>45976.0</v>
      </c>
      <c r="C2710" s="31" t="s">
        <v>8217</v>
      </c>
      <c r="D2710" s="32" t="s">
        <v>8218</v>
      </c>
      <c r="E2710" s="31" t="s">
        <v>43</v>
      </c>
      <c r="F2710" s="31">
        <v>4400000.0</v>
      </c>
      <c r="G2710" s="31" t="s">
        <v>23</v>
      </c>
      <c r="H2710" s="31">
        <v>3000000.0</v>
      </c>
      <c r="I2710" s="31" t="s">
        <v>200</v>
      </c>
      <c r="K2710" s="31" t="s">
        <v>8219</v>
      </c>
      <c r="L2710" s="31" t="s">
        <v>202</v>
      </c>
      <c r="M2710" s="31" t="s">
        <v>5638</v>
      </c>
      <c r="N2710" s="31" t="s">
        <v>220</v>
      </c>
      <c r="S2710" s="31" t="s">
        <v>124</v>
      </c>
    </row>
    <row r="2711">
      <c r="A2711" s="29">
        <v>45976.521675428245</v>
      </c>
      <c r="B2711" s="30">
        <v>45976.0</v>
      </c>
      <c r="C2711" s="31" t="s">
        <v>8220</v>
      </c>
      <c r="D2711" s="32" t="s">
        <v>8221</v>
      </c>
      <c r="E2711" s="31" t="s">
        <v>239</v>
      </c>
      <c r="F2711" s="31">
        <v>50.0</v>
      </c>
      <c r="G2711" s="31" t="s">
        <v>23</v>
      </c>
      <c r="I2711" s="31" t="s">
        <v>229</v>
      </c>
      <c r="J2711" s="31" t="s">
        <v>967</v>
      </c>
      <c r="K2711" s="33" t="s">
        <v>8222</v>
      </c>
      <c r="L2711" s="31" t="s">
        <v>202</v>
      </c>
      <c r="N2711" s="31" t="s">
        <v>313</v>
      </c>
      <c r="T2711" s="31" t="s">
        <v>4272</v>
      </c>
    </row>
    <row r="2712">
      <c r="A2712" s="29">
        <v>45976.53220185185</v>
      </c>
      <c r="B2712" s="30">
        <v>45976.0</v>
      </c>
      <c r="C2712" s="31" t="s">
        <v>8223</v>
      </c>
      <c r="D2712" s="32" t="s">
        <v>8224</v>
      </c>
      <c r="E2712" s="31" t="s">
        <v>31</v>
      </c>
      <c r="F2712" s="31">
        <v>2.28E7</v>
      </c>
      <c r="G2712" s="31" t="s">
        <v>23</v>
      </c>
      <c r="H2712" s="31">
        <v>3000000.0</v>
      </c>
      <c r="I2712" s="31" t="s">
        <v>413</v>
      </c>
      <c r="K2712" s="33" t="s">
        <v>8225</v>
      </c>
      <c r="L2712" s="31" t="s">
        <v>202</v>
      </c>
      <c r="M2712" s="31" t="s">
        <v>5638</v>
      </c>
      <c r="N2712" s="31" t="s">
        <v>500</v>
      </c>
      <c r="V2712" s="31" t="s">
        <v>7537</v>
      </c>
    </row>
    <row r="2713">
      <c r="A2713" s="29">
        <v>45976.544903483795</v>
      </c>
      <c r="B2713" s="30">
        <v>45976.0</v>
      </c>
      <c r="C2713" s="31" t="s">
        <v>8226</v>
      </c>
      <c r="D2713" s="32" t="s">
        <v>8227</v>
      </c>
      <c r="E2713" s="31" t="s">
        <v>43</v>
      </c>
      <c r="F2713" s="31">
        <v>3100000.0</v>
      </c>
      <c r="G2713" s="31" t="s">
        <v>23</v>
      </c>
      <c r="I2713" s="31" t="s">
        <v>229</v>
      </c>
      <c r="J2713" s="31" t="s">
        <v>967</v>
      </c>
      <c r="K2713" s="33" t="s">
        <v>8228</v>
      </c>
      <c r="L2713" s="31" t="s">
        <v>252</v>
      </c>
      <c r="O2713" s="31" t="s">
        <v>257</v>
      </c>
      <c r="P2713" s="31" t="s">
        <v>3194</v>
      </c>
    </row>
    <row r="2714">
      <c r="A2714" s="29">
        <v>45976.54729149306</v>
      </c>
      <c r="B2714" s="30">
        <v>45976.0</v>
      </c>
      <c r="C2714" s="31" t="s">
        <v>8226</v>
      </c>
      <c r="D2714" s="32" t="s">
        <v>8227</v>
      </c>
      <c r="E2714" s="31" t="s">
        <v>43</v>
      </c>
      <c r="F2714" s="31">
        <v>3100000.0</v>
      </c>
      <c r="G2714" s="31" t="s">
        <v>23</v>
      </c>
      <c r="I2714" s="31" t="s">
        <v>229</v>
      </c>
      <c r="J2714" s="31" t="s">
        <v>967</v>
      </c>
      <c r="K2714" s="33" t="s">
        <v>8229</v>
      </c>
      <c r="L2714" s="31" t="s">
        <v>252</v>
      </c>
      <c r="O2714" s="31" t="s">
        <v>257</v>
      </c>
      <c r="P2714" s="31" t="s">
        <v>3194</v>
      </c>
    </row>
    <row r="2715">
      <c r="A2715" s="29">
        <v>45976.55982958333</v>
      </c>
      <c r="B2715" s="30">
        <v>45976.0</v>
      </c>
      <c r="C2715" s="31" t="s">
        <v>8230</v>
      </c>
      <c r="D2715" s="32" t="s">
        <v>8231</v>
      </c>
      <c r="E2715" s="31" t="s">
        <v>43</v>
      </c>
      <c r="F2715" s="31">
        <v>1.5E7</v>
      </c>
      <c r="G2715" s="31" t="s">
        <v>23</v>
      </c>
      <c r="I2715" s="31" t="s">
        <v>229</v>
      </c>
      <c r="J2715" s="31" t="s">
        <v>967</v>
      </c>
      <c r="K2715" s="33" t="s">
        <v>8232</v>
      </c>
      <c r="L2715" s="31" t="s">
        <v>202</v>
      </c>
      <c r="N2715" s="31" t="s">
        <v>500</v>
      </c>
      <c r="V2715" s="31" t="s">
        <v>6597</v>
      </c>
    </row>
    <row r="2716">
      <c r="A2716" s="29">
        <v>45976.56815521991</v>
      </c>
      <c r="B2716" s="30">
        <v>45976.0</v>
      </c>
      <c r="C2716" s="31" t="s">
        <v>8233</v>
      </c>
      <c r="D2716" s="32" t="s">
        <v>8234</v>
      </c>
      <c r="E2716" s="31" t="s">
        <v>3680</v>
      </c>
      <c r="F2716" s="31">
        <v>2500000.0</v>
      </c>
      <c r="G2716" s="31" t="s">
        <v>23</v>
      </c>
      <c r="I2716" s="31" t="s">
        <v>229</v>
      </c>
      <c r="J2716" s="31" t="s">
        <v>967</v>
      </c>
      <c r="K2716" s="33" t="s">
        <v>8235</v>
      </c>
      <c r="L2716" s="31" t="s">
        <v>202</v>
      </c>
      <c r="N2716" s="31" t="s">
        <v>220</v>
      </c>
      <c r="S2716" s="31" t="s">
        <v>5512</v>
      </c>
    </row>
    <row r="2717">
      <c r="A2717" s="29">
        <v>45976.58597503472</v>
      </c>
      <c r="B2717" s="30">
        <v>45976.0</v>
      </c>
      <c r="C2717" s="31" t="s">
        <v>8236</v>
      </c>
      <c r="D2717" s="32" t="s">
        <v>8237</v>
      </c>
      <c r="E2717" s="31" t="s">
        <v>43</v>
      </c>
      <c r="F2717" s="31">
        <v>2300000.0</v>
      </c>
      <c r="G2717" s="31" t="s">
        <v>23</v>
      </c>
      <c r="I2717" s="31" t="s">
        <v>229</v>
      </c>
      <c r="J2717" s="31" t="s">
        <v>967</v>
      </c>
      <c r="K2717" s="33" t="s">
        <v>8238</v>
      </c>
      <c r="L2717" s="31" t="s">
        <v>202</v>
      </c>
      <c r="N2717" s="31" t="s">
        <v>871</v>
      </c>
      <c r="Q2717" s="31" t="s">
        <v>1021</v>
      </c>
    </row>
    <row r="2718">
      <c r="A2718" s="29">
        <v>45976.588544618055</v>
      </c>
      <c r="B2718" s="30">
        <v>45976.0</v>
      </c>
      <c r="C2718" s="31" t="s">
        <v>7141</v>
      </c>
      <c r="D2718" s="32" t="s">
        <v>7142</v>
      </c>
      <c r="E2718" s="31" t="s">
        <v>283</v>
      </c>
      <c r="F2718" s="31">
        <v>5100000.0</v>
      </c>
      <c r="G2718" s="31" t="s">
        <v>23</v>
      </c>
      <c r="H2718" s="31">
        <v>5000000.0</v>
      </c>
      <c r="I2718" s="31" t="s">
        <v>200</v>
      </c>
      <c r="K2718" s="33" t="s">
        <v>8239</v>
      </c>
      <c r="L2718" s="31" t="s">
        <v>252</v>
      </c>
      <c r="M2718" s="31" t="s">
        <v>203</v>
      </c>
      <c r="O2718" s="31" t="s">
        <v>257</v>
      </c>
      <c r="P2718" s="31" t="s">
        <v>272</v>
      </c>
    </row>
    <row r="2719">
      <c r="A2719" s="29">
        <v>45976.59416072917</v>
      </c>
      <c r="B2719" s="30">
        <v>45976.0</v>
      </c>
      <c r="C2719" s="31" t="s">
        <v>8240</v>
      </c>
      <c r="D2719" s="32" t="s">
        <v>8241</v>
      </c>
      <c r="E2719" s="31" t="s">
        <v>199</v>
      </c>
      <c r="F2719" s="31">
        <v>3.0E7</v>
      </c>
      <c r="G2719" s="31" t="s">
        <v>23</v>
      </c>
      <c r="I2719" s="31" t="s">
        <v>229</v>
      </c>
      <c r="J2719" s="31" t="s">
        <v>967</v>
      </c>
      <c r="K2719" s="33" t="s">
        <v>8242</v>
      </c>
      <c r="L2719" s="31" t="s">
        <v>202</v>
      </c>
      <c r="N2719" s="31" t="s">
        <v>204</v>
      </c>
      <c r="R2719" s="31" t="s">
        <v>360</v>
      </c>
    </row>
    <row r="2720">
      <c r="A2720" s="29">
        <v>45976.60848916667</v>
      </c>
      <c r="B2720" s="30">
        <v>45976.0</v>
      </c>
      <c r="C2720" s="31" t="s">
        <v>8243</v>
      </c>
      <c r="D2720" s="32" t="s">
        <v>8244</v>
      </c>
      <c r="E2720" s="31" t="s">
        <v>261</v>
      </c>
      <c r="F2720" s="31">
        <v>5100000.0</v>
      </c>
      <c r="G2720" s="31" t="s">
        <v>23</v>
      </c>
      <c r="I2720" s="31" t="s">
        <v>229</v>
      </c>
      <c r="J2720" s="31" t="s">
        <v>967</v>
      </c>
      <c r="K2720" s="33" t="s">
        <v>8245</v>
      </c>
      <c r="L2720" s="31" t="s">
        <v>202</v>
      </c>
      <c r="N2720" s="31" t="s">
        <v>220</v>
      </c>
      <c r="S2720" s="31" t="s">
        <v>90</v>
      </c>
    </row>
    <row r="2721">
      <c r="A2721" s="29">
        <v>45976.64011153935</v>
      </c>
      <c r="B2721" s="30">
        <v>45976.0</v>
      </c>
      <c r="C2721" s="31" t="s">
        <v>8246</v>
      </c>
      <c r="D2721" s="32" t="s">
        <v>8247</v>
      </c>
      <c r="E2721" s="31" t="s">
        <v>881</v>
      </c>
      <c r="F2721" s="31">
        <v>3500000.0</v>
      </c>
      <c r="G2721" s="31" t="s">
        <v>23</v>
      </c>
      <c r="H2721" s="31">
        <v>3000000.0</v>
      </c>
      <c r="I2721" s="31" t="s">
        <v>200</v>
      </c>
      <c r="K2721" s="33" t="s">
        <v>8248</v>
      </c>
      <c r="L2721" s="31" t="s">
        <v>202</v>
      </c>
      <c r="M2721" s="31" t="s">
        <v>5638</v>
      </c>
      <c r="N2721" s="31" t="s">
        <v>220</v>
      </c>
      <c r="S2721" s="31" t="s">
        <v>59</v>
      </c>
    </row>
    <row r="2722">
      <c r="A2722" s="29">
        <v>45976.66184591435</v>
      </c>
      <c r="B2722" s="30">
        <v>45976.0</v>
      </c>
      <c r="C2722" s="31" t="s">
        <v>8249</v>
      </c>
      <c r="D2722" s="32" t="s">
        <v>8250</v>
      </c>
      <c r="E2722" s="31" t="s">
        <v>43</v>
      </c>
      <c r="F2722" s="31">
        <v>6000000.0</v>
      </c>
      <c r="G2722" s="31" t="s">
        <v>23</v>
      </c>
      <c r="I2722" s="31" t="s">
        <v>229</v>
      </c>
      <c r="J2722" s="31" t="s">
        <v>967</v>
      </c>
      <c r="K2722" s="33" t="s">
        <v>8251</v>
      </c>
      <c r="L2722" s="31" t="s">
        <v>202</v>
      </c>
      <c r="N2722" s="31" t="s">
        <v>220</v>
      </c>
      <c r="S2722" s="31" t="s">
        <v>536</v>
      </c>
    </row>
    <row r="2723">
      <c r="A2723" s="29">
        <v>45976.66289047454</v>
      </c>
      <c r="B2723" s="30">
        <v>45976.0</v>
      </c>
      <c r="C2723" s="31">
        <v>5000000.0</v>
      </c>
      <c r="D2723" s="32" t="s">
        <v>8252</v>
      </c>
      <c r="E2723" s="31" t="s">
        <v>43</v>
      </c>
      <c r="F2723" s="31">
        <v>6000000.0</v>
      </c>
      <c r="G2723" s="31" t="s">
        <v>23</v>
      </c>
      <c r="I2723" s="31" t="s">
        <v>229</v>
      </c>
      <c r="J2723" s="31" t="s">
        <v>967</v>
      </c>
      <c r="K2723" s="33" t="s">
        <v>8253</v>
      </c>
      <c r="L2723" s="31" t="s">
        <v>202</v>
      </c>
      <c r="N2723" s="31" t="s">
        <v>220</v>
      </c>
      <c r="S2723" s="31" t="s">
        <v>536</v>
      </c>
    </row>
    <row r="2724">
      <c r="A2724" s="29">
        <v>45976.72049165509</v>
      </c>
      <c r="B2724" s="30">
        <v>45976.0</v>
      </c>
      <c r="C2724" s="31" t="s">
        <v>8254</v>
      </c>
      <c r="D2724" s="32" t="s">
        <v>8255</v>
      </c>
      <c r="E2724" s="31" t="s">
        <v>3680</v>
      </c>
      <c r="F2724" s="31">
        <v>4500000.0</v>
      </c>
      <c r="G2724" s="31" t="s">
        <v>23</v>
      </c>
      <c r="H2724" s="31">
        <v>3000000.0</v>
      </c>
      <c r="I2724" s="31" t="s">
        <v>413</v>
      </c>
      <c r="K2724" s="33" t="s">
        <v>8256</v>
      </c>
      <c r="L2724" s="31" t="s">
        <v>202</v>
      </c>
      <c r="M2724" s="31" t="s">
        <v>5638</v>
      </c>
      <c r="N2724" s="31" t="s">
        <v>220</v>
      </c>
      <c r="S2724" s="31" t="s">
        <v>5512</v>
      </c>
    </row>
    <row r="2725">
      <c r="A2725" s="29">
        <v>45976.7215831713</v>
      </c>
      <c r="B2725" s="30">
        <v>45976.0</v>
      </c>
      <c r="C2725" s="31" t="s">
        <v>8257</v>
      </c>
      <c r="D2725" s="32" t="s">
        <v>8258</v>
      </c>
      <c r="E2725" s="31" t="s">
        <v>31</v>
      </c>
      <c r="F2725" s="31">
        <v>5400000.0</v>
      </c>
      <c r="G2725" s="31" t="s">
        <v>23</v>
      </c>
      <c r="I2725" s="31" t="s">
        <v>229</v>
      </c>
      <c r="J2725" s="31" t="s">
        <v>967</v>
      </c>
      <c r="K2725" s="33" t="s">
        <v>8259</v>
      </c>
      <c r="L2725" s="31" t="s">
        <v>202</v>
      </c>
      <c r="N2725" s="31" t="s">
        <v>204</v>
      </c>
      <c r="R2725" s="31" t="s">
        <v>207</v>
      </c>
    </row>
    <row r="2726">
      <c r="A2726" s="29">
        <v>45976.74384284722</v>
      </c>
      <c r="B2726" s="30" t="s">
        <v>8213</v>
      </c>
      <c r="C2726" s="31" t="s">
        <v>8260</v>
      </c>
      <c r="D2726" s="32" t="s">
        <v>8261</v>
      </c>
      <c r="E2726" s="31" t="s">
        <v>31</v>
      </c>
      <c r="F2726" s="31">
        <v>2000000.0</v>
      </c>
      <c r="G2726" s="31" t="s">
        <v>23</v>
      </c>
      <c r="H2726" s="31">
        <v>3000000.0</v>
      </c>
      <c r="I2726" s="31" t="s">
        <v>413</v>
      </c>
      <c r="K2726" s="33" t="s">
        <v>8262</v>
      </c>
      <c r="L2726" s="31" t="s">
        <v>202</v>
      </c>
      <c r="M2726" s="31" t="s">
        <v>5638</v>
      </c>
      <c r="N2726" s="31" t="s">
        <v>215</v>
      </c>
      <c r="W2726" s="31" t="s">
        <v>216</v>
      </c>
    </row>
    <row r="2727">
      <c r="A2727" s="29">
        <v>45976.74995820602</v>
      </c>
      <c r="B2727" s="30">
        <v>45976.0</v>
      </c>
      <c r="C2727" s="31" t="s">
        <v>8263</v>
      </c>
      <c r="D2727" s="32" t="s">
        <v>8264</v>
      </c>
      <c r="E2727" s="31" t="s">
        <v>31</v>
      </c>
      <c r="F2727" s="31">
        <v>5499000.0</v>
      </c>
      <c r="G2727" s="31" t="s">
        <v>23</v>
      </c>
      <c r="H2727" s="31">
        <v>3000000.0</v>
      </c>
      <c r="I2727" s="31" t="s">
        <v>200</v>
      </c>
      <c r="K2727" s="33" t="s">
        <v>8265</v>
      </c>
      <c r="L2727" s="31" t="s">
        <v>202</v>
      </c>
      <c r="M2727" s="31" t="s">
        <v>203</v>
      </c>
      <c r="N2727" s="31" t="s">
        <v>204</v>
      </c>
      <c r="R2727" s="31" t="s">
        <v>207</v>
      </c>
    </row>
    <row r="2728">
      <c r="A2728" s="29">
        <v>45976.75761273148</v>
      </c>
      <c r="B2728" s="30">
        <v>45976.0</v>
      </c>
      <c r="C2728" s="31" t="s">
        <v>8266</v>
      </c>
      <c r="D2728" s="32" t="s">
        <v>8267</v>
      </c>
      <c r="E2728" s="31" t="s">
        <v>43</v>
      </c>
      <c r="F2728" s="31">
        <v>2700000.0</v>
      </c>
      <c r="G2728" s="31" t="s">
        <v>23</v>
      </c>
      <c r="I2728" s="31" t="s">
        <v>229</v>
      </c>
      <c r="J2728" s="31" t="s">
        <v>7846</v>
      </c>
      <c r="K2728" s="33" t="s">
        <v>8268</v>
      </c>
      <c r="L2728" s="31" t="s">
        <v>202</v>
      </c>
      <c r="N2728" s="31" t="s">
        <v>220</v>
      </c>
      <c r="S2728" s="31" t="s">
        <v>36</v>
      </c>
    </row>
    <row r="2729">
      <c r="A2729" s="29">
        <v>45976.76241498842</v>
      </c>
      <c r="B2729" s="30">
        <v>45976.0</v>
      </c>
      <c r="C2729" s="31" t="s">
        <v>8269</v>
      </c>
      <c r="D2729" s="32" t="s">
        <v>8270</v>
      </c>
      <c r="E2729" s="31" t="s">
        <v>43</v>
      </c>
      <c r="F2729" s="31">
        <v>8000000.0</v>
      </c>
      <c r="G2729" s="31" t="s">
        <v>23</v>
      </c>
      <c r="I2729" s="31" t="s">
        <v>229</v>
      </c>
      <c r="J2729" s="31" t="s">
        <v>967</v>
      </c>
      <c r="K2729" s="33" t="s">
        <v>8271</v>
      </c>
      <c r="L2729" s="31" t="s">
        <v>202</v>
      </c>
      <c r="N2729" s="31" t="s">
        <v>313</v>
      </c>
      <c r="T2729" s="31" t="s">
        <v>314</v>
      </c>
    </row>
    <row r="2730">
      <c r="A2730" s="29">
        <v>45976.77851582176</v>
      </c>
      <c r="B2730" s="30">
        <v>45976.0</v>
      </c>
      <c r="C2730" s="31" t="s">
        <v>8272</v>
      </c>
      <c r="D2730" s="32" t="s">
        <v>8273</v>
      </c>
      <c r="E2730" s="31" t="s">
        <v>288</v>
      </c>
      <c r="F2730" s="31">
        <v>5000000.0</v>
      </c>
      <c r="G2730" s="31" t="s">
        <v>23</v>
      </c>
      <c r="I2730" s="31" t="s">
        <v>229</v>
      </c>
      <c r="J2730" s="31" t="s">
        <v>967</v>
      </c>
      <c r="K2730" s="33" t="s">
        <v>8274</v>
      </c>
      <c r="L2730" s="31" t="s">
        <v>202</v>
      </c>
      <c r="N2730" s="31" t="s">
        <v>220</v>
      </c>
      <c r="S2730" s="31" t="s">
        <v>913</v>
      </c>
    </row>
    <row r="2731">
      <c r="A2731" s="29">
        <v>45976.78215319444</v>
      </c>
      <c r="B2731" s="30">
        <v>45976.0</v>
      </c>
      <c r="C2731" s="31" t="s">
        <v>8275</v>
      </c>
      <c r="D2731" s="32" t="s">
        <v>8276</v>
      </c>
      <c r="E2731" s="31" t="s">
        <v>199</v>
      </c>
      <c r="F2731" s="31">
        <v>5000000.0</v>
      </c>
      <c r="G2731" s="31" t="s">
        <v>23</v>
      </c>
      <c r="I2731" s="31" t="s">
        <v>229</v>
      </c>
      <c r="J2731" s="31" t="s">
        <v>967</v>
      </c>
      <c r="K2731" s="33" t="s">
        <v>8277</v>
      </c>
      <c r="L2731" s="31" t="s">
        <v>202</v>
      </c>
      <c r="N2731" s="31" t="s">
        <v>220</v>
      </c>
      <c r="S2731" s="31" t="s">
        <v>466</v>
      </c>
    </row>
    <row r="2732">
      <c r="A2732" s="29">
        <v>45976.783720555555</v>
      </c>
      <c r="B2732" s="30">
        <v>45976.0</v>
      </c>
      <c r="C2732" s="31" t="s">
        <v>8278</v>
      </c>
      <c r="D2732" s="32" t="s">
        <v>8279</v>
      </c>
      <c r="E2732" s="31" t="s">
        <v>239</v>
      </c>
      <c r="F2732" s="31">
        <v>2500000.0</v>
      </c>
      <c r="G2732" s="31" t="s">
        <v>23</v>
      </c>
      <c r="I2732" s="31" t="s">
        <v>229</v>
      </c>
      <c r="J2732" s="31" t="s">
        <v>967</v>
      </c>
      <c r="K2732" s="33" t="s">
        <v>8280</v>
      </c>
      <c r="L2732" s="31" t="s">
        <v>202</v>
      </c>
      <c r="N2732" s="31" t="s">
        <v>204</v>
      </c>
      <c r="R2732" s="31" t="s">
        <v>892</v>
      </c>
    </row>
    <row r="2733">
      <c r="A2733" s="29">
        <v>45976.80215618055</v>
      </c>
      <c r="B2733" s="30">
        <v>45976.0</v>
      </c>
      <c r="C2733" s="31" t="s">
        <v>8281</v>
      </c>
      <c r="D2733" s="32" t="s">
        <v>8282</v>
      </c>
      <c r="E2733" s="31" t="s">
        <v>43</v>
      </c>
      <c r="F2733" s="31">
        <v>5100000.0</v>
      </c>
      <c r="G2733" s="31" t="s">
        <v>45</v>
      </c>
      <c r="I2733" s="31" t="s">
        <v>229</v>
      </c>
      <c r="J2733" s="31" t="s">
        <v>967</v>
      </c>
      <c r="K2733" s="33" t="s">
        <v>8283</v>
      </c>
      <c r="L2733" s="31" t="s">
        <v>202</v>
      </c>
      <c r="N2733" s="31" t="s">
        <v>204</v>
      </c>
      <c r="R2733" s="31" t="s">
        <v>53</v>
      </c>
    </row>
    <row r="2734">
      <c r="A2734" s="29">
        <v>45976.80481137731</v>
      </c>
      <c r="B2734" s="30">
        <v>45976.0</v>
      </c>
      <c r="C2734" s="31" t="s">
        <v>8284</v>
      </c>
      <c r="D2734" s="32" t="s">
        <v>8285</v>
      </c>
      <c r="E2734" s="31" t="s">
        <v>288</v>
      </c>
      <c r="F2734" s="31">
        <v>5000000.0</v>
      </c>
      <c r="G2734" s="31" t="s">
        <v>45</v>
      </c>
      <c r="H2734" s="31">
        <v>3000000.0</v>
      </c>
      <c r="I2734" s="31" t="s">
        <v>413</v>
      </c>
      <c r="K2734" s="33" t="s">
        <v>8286</v>
      </c>
      <c r="L2734" s="31" t="s">
        <v>252</v>
      </c>
      <c r="M2734" s="31" t="s">
        <v>5638</v>
      </c>
      <c r="O2734" s="31" t="s">
        <v>257</v>
      </c>
      <c r="P2734" s="31" t="s">
        <v>285</v>
      </c>
    </row>
    <row r="2735">
      <c r="A2735" s="29">
        <v>45976.805702997684</v>
      </c>
      <c r="B2735" s="30">
        <v>45976.0</v>
      </c>
      <c r="C2735" s="31" t="s">
        <v>8287</v>
      </c>
      <c r="D2735" s="32" t="s">
        <v>8288</v>
      </c>
      <c r="E2735" s="31" t="s">
        <v>43</v>
      </c>
      <c r="F2735" s="34">
        <v>6000.0</v>
      </c>
      <c r="G2735" s="31" t="s">
        <v>45</v>
      </c>
      <c r="H2735" s="34">
        <v>7000.0</v>
      </c>
      <c r="I2735" s="31" t="s">
        <v>200</v>
      </c>
      <c r="K2735" s="33" t="s">
        <v>8289</v>
      </c>
      <c r="L2735" s="31" t="s">
        <v>202</v>
      </c>
      <c r="M2735" s="31" t="s">
        <v>926</v>
      </c>
      <c r="N2735" s="31" t="s">
        <v>204</v>
      </c>
      <c r="R2735" s="31" t="s">
        <v>171</v>
      </c>
    </row>
    <row r="2736">
      <c r="A2736" s="29">
        <v>45976.806110081016</v>
      </c>
      <c r="B2736" s="30">
        <v>45976.0</v>
      </c>
      <c r="C2736" s="31" t="s">
        <v>8290</v>
      </c>
      <c r="D2736" s="32" t="s">
        <v>8291</v>
      </c>
      <c r="E2736" s="31" t="s">
        <v>288</v>
      </c>
      <c r="F2736" s="31">
        <v>2000000.0</v>
      </c>
      <c r="G2736" s="31" t="s">
        <v>23</v>
      </c>
      <c r="I2736" s="31" t="s">
        <v>229</v>
      </c>
      <c r="J2736" s="31" t="s">
        <v>967</v>
      </c>
      <c r="K2736" s="33" t="s">
        <v>8292</v>
      </c>
      <c r="L2736" s="31" t="s">
        <v>202</v>
      </c>
      <c r="N2736" s="31" t="s">
        <v>220</v>
      </c>
      <c r="S2736" s="31" t="s">
        <v>913</v>
      </c>
    </row>
    <row r="2737">
      <c r="A2737" s="29">
        <v>45976.83594883102</v>
      </c>
      <c r="B2737" s="30">
        <v>45976.0</v>
      </c>
      <c r="C2737" s="31" t="s">
        <v>8293</v>
      </c>
      <c r="D2737" s="32" t="s">
        <v>8294</v>
      </c>
      <c r="E2737" s="31" t="s">
        <v>288</v>
      </c>
      <c r="F2737" s="31">
        <v>2000000.0</v>
      </c>
      <c r="G2737" s="31" t="s">
        <v>23</v>
      </c>
      <c r="I2737" s="31" t="s">
        <v>229</v>
      </c>
      <c r="J2737" s="31" t="s">
        <v>967</v>
      </c>
      <c r="K2737" s="33" t="s">
        <v>8295</v>
      </c>
      <c r="L2737" s="31" t="s">
        <v>202</v>
      </c>
      <c r="N2737" s="31" t="s">
        <v>215</v>
      </c>
      <c r="W2737" s="31" t="s">
        <v>532</v>
      </c>
    </row>
    <row r="2738">
      <c r="A2738" s="29">
        <v>45976.83803064815</v>
      </c>
      <c r="B2738" s="30">
        <v>45976.0</v>
      </c>
      <c r="C2738" s="31" t="s">
        <v>8296</v>
      </c>
      <c r="D2738" s="32" t="s">
        <v>8297</v>
      </c>
      <c r="E2738" s="31" t="s">
        <v>31</v>
      </c>
      <c r="F2738" s="31">
        <v>2700000.0</v>
      </c>
      <c r="G2738" s="31" t="s">
        <v>23</v>
      </c>
      <c r="I2738" s="31" t="s">
        <v>229</v>
      </c>
      <c r="J2738" s="31" t="s">
        <v>967</v>
      </c>
      <c r="K2738" s="33" t="s">
        <v>8298</v>
      </c>
      <c r="L2738" s="31" t="s">
        <v>252</v>
      </c>
      <c r="O2738" s="31" t="s">
        <v>205</v>
      </c>
      <c r="X2738" s="31" t="s">
        <v>452</v>
      </c>
    </row>
    <row r="2739">
      <c r="A2739" s="29">
        <v>45976.86263050926</v>
      </c>
      <c r="B2739" s="30">
        <v>45976.0</v>
      </c>
      <c r="C2739" s="31" t="s">
        <v>8299</v>
      </c>
      <c r="D2739" s="32" t="s">
        <v>8300</v>
      </c>
      <c r="E2739" s="31" t="s">
        <v>8055</v>
      </c>
      <c r="F2739" s="31">
        <v>3000000.0</v>
      </c>
      <c r="G2739" s="31" t="s">
        <v>23</v>
      </c>
      <c r="I2739" s="31" t="s">
        <v>229</v>
      </c>
      <c r="J2739" s="31" t="s">
        <v>967</v>
      </c>
      <c r="K2739" s="33" t="s">
        <v>8301</v>
      </c>
      <c r="L2739" s="31" t="s">
        <v>202</v>
      </c>
      <c r="N2739" s="31" t="s">
        <v>215</v>
      </c>
      <c r="W2739" s="31" t="s">
        <v>389</v>
      </c>
    </row>
    <row r="2740">
      <c r="A2740" s="29">
        <v>45976.88389185185</v>
      </c>
      <c r="B2740" s="30">
        <v>45976.0</v>
      </c>
      <c r="C2740" s="31" t="s">
        <v>8302</v>
      </c>
      <c r="D2740" s="31">
        <v>0.0</v>
      </c>
      <c r="E2740" s="31" t="s">
        <v>43</v>
      </c>
      <c r="F2740" s="32" t="s">
        <v>5089</v>
      </c>
      <c r="G2740" s="31" t="s">
        <v>23</v>
      </c>
      <c r="H2740" s="31">
        <v>3000000.0</v>
      </c>
      <c r="I2740" s="31" t="s">
        <v>200</v>
      </c>
      <c r="K2740" s="33" t="s">
        <v>8303</v>
      </c>
      <c r="L2740" s="31" t="s">
        <v>252</v>
      </c>
      <c r="M2740" s="31" t="s">
        <v>203</v>
      </c>
      <c r="O2740" s="31" t="s">
        <v>257</v>
      </c>
      <c r="P2740" s="31" t="s">
        <v>992</v>
      </c>
    </row>
    <row r="2741">
      <c r="A2741" s="29">
        <v>45976.93034396991</v>
      </c>
      <c r="B2741" s="30" t="s">
        <v>8213</v>
      </c>
      <c r="C2741" s="31" t="s">
        <v>8304</v>
      </c>
      <c r="D2741" s="32" t="s">
        <v>8305</v>
      </c>
      <c r="E2741" s="31" t="s">
        <v>43</v>
      </c>
      <c r="F2741" s="31">
        <v>2000000.0</v>
      </c>
      <c r="G2741" s="31" t="s">
        <v>23</v>
      </c>
      <c r="H2741" s="31">
        <v>1600000.0</v>
      </c>
      <c r="I2741" s="31" t="s">
        <v>413</v>
      </c>
      <c r="K2741" s="33" t="s">
        <v>8306</v>
      </c>
      <c r="L2741" s="31" t="s">
        <v>202</v>
      </c>
      <c r="M2741" s="31" t="s">
        <v>5638</v>
      </c>
      <c r="N2741" s="31" t="s">
        <v>215</v>
      </c>
      <c r="W2741" s="31" t="s">
        <v>216</v>
      </c>
    </row>
    <row r="2742">
      <c r="A2742" s="29">
        <v>45976.93179806713</v>
      </c>
      <c r="B2742" s="30" t="s">
        <v>8213</v>
      </c>
      <c r="C2742" s="31" t="s">
        <v>8307</v>
      </c>
      <c r="D2742" s="32" t="s">
        <v>8308</v>
      </c>
      <c r="E2742" s="31" t="s">
        <v>43</v>
      </c>
      <c r="F2742" s="31">
        <v>1500000.0</v>
      </c>
      <c r="G2742" s="31" t="s">
        <v>23</v>
      </c>
      <c r="I2742" s="31" t="s">
        <v>229</v>
      </c>
      <c r="J2742" s="31" t="s">
        <v>967</v>
      </c>
      <c r="K2742" s="33" t="s">
        <v>8309</v>
      </c>
      <c r="L2742" s="31" t="s">
        <v>202</v>
      </c>
      <c r="N2742" s="31" t="s">
        <v>215</v>
      </c>
      <c r="W2742" s="31" t="s">
        <v>216</v>
      </c>
    </row>
    <row r="2743">
      <c r="A2743" s="29">
        <v>45976.94595472222</v>
      </c>
      <c r="B2743" s="30" t="s">
        <v>8213</v>
      </c>
      <c r="C2743" s="31" t="s">
        <v>8310</v>
      </c>
      <c r="D2743" s="32" t="s">
        <v>8311</v>
      </c>
      <c r="E2743" s="31" t="s">
        <v>43</v>
      </c>
      <c r="F2743" s="31">
        <v>2500000.0</v>
      </c>
      <c r="G2743" s="31" t="s">
        <v>45</v>
      </c>
      <c r="H2743" s="31">
        <v>1.0E7</v>
      </c>
      <c r="I2743" s="31" t="s">
        <v>413</v>
      </c>
      <c r="K2743" s="33" t="s">
        <v>8312</v>
      </c>
      <c r="L2743" s="31" t="s">
        <v>202</v>
      </c>
      <c r="M2743" s="31" t="s">
        <v>926</v>
      </c>
      <c r="N2743" s="31" t="s">
        <v>215</v>
      </c>
      <c r="W2743" s="31" t="s">
        <v>216</v>
      </c>
    </row>
    <row r="2744">
      <c r="A2744" s="29">
        <v>45977.490315717594</v>
      </c>
      <c r="B2744" s="30">
        <v>45977.0</v>
      </c>
      <c r="C2744" s="31" t="s">
        <v>8313</v>
      </c>
      <c r="D2744" s="31">
        <v>0.0</v>
      </c>
      <c r="E2744" s="31" t="s">
        <v>43</v>
      </c>
      <c r="F2744" s="32" t="s">
        <v>5089</v>
      </c>
      <c r="G2744" s="31" t="s">
        <v>23</v>
      </c>
      <c r="I2744" s="31" t="s">
        <v>229</v>
      </c>
      <c r="J2744" s="31" t="s">
        <v>967</v>
      </c>
      <c r="K2744" s="33" t="s">
        <v>8314</v>
      </c>
      <c r="L2744" s="31" t="s">
        <v>252</v>
      </c>
      <c r="O2744" s="31" t="s">
        <v>257</v>
      </c>
      <c r="P2744" s="31" t="s">
        <v>992</v>
      </c>
    </row>
    <row r="2745">
      <c r="A2745" s="29">
        <v>45977.495698645835</v>
      </c>
      <c r="B2745" s="30">
        <v>45977.0</v>
      </c>
      <c r="C2745" s="31" t="s">
        <v>8315</v>
      </c>
      <c r="D2745" s="32" t="s">
        <v>8316</v>
      </c>
      <c r="E2745" s="31" t="s">
        <v>199</v>
      </c>
      <c r="F2745" s="31">
        <v>5000000.0</v>
      </c>
      <c r="G2745" s="31" t="s">
        <v>23</v>
      </c>
      <c r="H2745" s="31">
        <v>5000000.0</v>
      </c>
      <c r="I2745" s="31" t="s">
        <v>413</v>
      </c>
      <c r="K2745" s="33" t="s">
        <v>8317</v>
      </c>
      <c r="L2745" s="31" t="s">
        <v>202</v>
      </c>
      <c r="M2745" s="31" t="s">
        <v>5638</v>
      </c>
      <c r="N2745" s="31" t="s">
        <v>500</v>
      </c>
      <c r="V2745" s="31" t="s">
        <v>501</v>
      </c>
    </row>
    <row r="2746">
      <c r="A2746" s="29">
        <v>45977.50558622685</v>
      </c>
      <c r="B2746" s="30">
        <v>45977.0</v>
      </c>
      <c r="C2746" s="31" t="s">
        <v>8318</v>
      </c>
      <c r="D2746" s="31">
        <v>0.0</v>
      </c>
      <c r="E2746" s="31" t="s">
        <v>228</v>
      </c>
      <c r="F2746" s="31">
        <v>10000.0</v>
      </c>
      <c r="G2746" s="31" t="s">
        <v>23</v>
      </c>
      <c r="I2746" s="31" t="s">
        <v>229</v>
      </c>
      <c r="J2746" s="31" t="s">
        <v>967</v>
      </c>
      <c r="K2746" s="33" t="s">
        <v>8319</v>
      </c>
      <c r="L2746" s="31" t="s">
        <v>252</v>
      </c>
      <c r="O2746" s="31" t="s">
        <v>257</v>
      </c>
      <c r="P2746" s="31" t="s">
        <v>2320</v>
      </c>
    </row>
    <row r="2747">
      <c r="A2747" s="29">
        <v>45977.508872199076</v>
      </c>
      <c r="B2747" s="30">
        <v>45977.0</v>
      </c>
      <c r="C2747" s="31" t="s">
        <v>8320</v>
      </c>
      <c r="D2747" s="32" t="s">
        <v>8321</v>
      </c>
      <c r="E2747" s="31" t="s">
        <v>283</v>
      </c>
      <c r="F2747" s="31">
        <v>5100000.0</v>
      </c>
      <c r="G2747" s="31" t="s">
        <v>23</v>
      </c>
      <c r="I2747" s="31" t="s">
        <v>229</v>
      </c>
      <c r="J2747" s="31" t="s">
        <v>967</v>
      </c>
      <c r="K2747" s="33" t="s">
        <v>8322</v>
      </c>
      <c r="L2747" s="31" t="s">
        <v>252</v>
      </c>
      <c r="O2747" s="31" t="s">
        <v>257</v>
      </c>
      <c r="P2747" s="31" t="s">
        <v>272</v>
      </c>
    </row>
    <row r="2748">
      <c r="A2748" s="29">
        <v>45977.52274526621</v>
      </c>
      <c r="B2748" s="30">
        <v>45977.0</v>
      </c>
      <c r="C2748" s="31" t="s">
        <v>8323</v>
      </c>
      <c r="D2748" s="31">
        <v>0.0</v>
      </c>
      <c r="E2748" s="31" t="s">
        <v>43</v>
      </c>
      <c r="F2748" s="31">
        <v>1.5E8</v>
      </c>
      <c r="G2748" s="31" t="s">
        <v>45</v>
      </c>
      <c r="I2748" s="31" t="s">
        <v>229</v>
      </c>
      <c r="J2748" s="31" t="s">
        <v>967</v>
      </c>
      <c r="K2748" s="33" t="s">
        <v>8324</v>
      </c>
      <c r="L2748" s="31" t="s">
        <v>252</v>
      </c>
      <c r="O2748" s="31" t="s">
        <v>257</v>
      </c>
      <c r="P2748" s="31" t="s">
        <v>2320</v>
      </c>
    </row>
    <row r="2749">
      <c r="A2749" s="29">
        <v>45977.52411971065</v>
      </c>
      <c r="B2749" s="30">
        <v>45977.0</v>
      </c>
      <c r="C2749" s="31" t="s">
        <v>8325</v>
      </c>
      <c r="D2749" s="31">
        <v>0.0</v>
      </c>
      <c r="E2749" s="31" t="s">
        <v>43</v>
      </c>
      <c r="F2749" s="31">
        <v>1500000.0</v>
      </c>
      <c r="G2749" s="31" t="s">
        <v>23</v>
      </c>
      <c r="I2749" s="31" t="s">
        <v>229</v>
      </c>
      <c r="J2749" s="31" t="s">
        <v>967</v>
      </c>
      <c r="K2749" s="33" t="s">
        <v>8326</v>
      </c>
      <c r="L2749" s="31" t="s">
        <v>252</v>
      </c>
      <c r="O2749" s="31" t="s">
        <v>257</v>
      </c>
      <c r="P2749" s="31" t="s">
        <v>2320</v>
      </c>
    </row>
    <row r="2750">
      <c r="A2750" s="29">
        <v>45977.526394120374</v>
      </c>
      <c r="B2750" s="30">
        <v>45977.0</v>
      </c>
      <c r="C2750" s="31" t="s">
        <v>8327</v>
      </c>
      <c r="D2750" s="32" t="s">
        <v>8328</v>
      </c>
      <c r="E2750" s="31" t="s">
        <v>43</v>
      </c>
      <c r="F2750" s="31">
        <v>1900000.0</v>
      </c>
      <c r="G2750" s="31" t="s">
        <v>23</v>
      </c>
      <c r="I2750" s="31" t="s">
        <v>229</v>
      </c>
      <c r="J2750" s="31" t="s">
        <v>967</v>
      </c>
      <c r="K2750" s="33" t="s">
        <v>8329</v>
      </c>
      <c r="L2750" s="31" t="s">
        <v>202</v>
      </c>
      <c r="N2750" s="31" t="s">
        <v>204</v>
      </c>
      <c r="R2750" s="31" t="s">
        <v>148</v>
      </c>
    </row>
    <row r="2751">
      <c r="A2751" s="29">
        <v>45977.573548333334</v>
      </c>
      <c r="B2751" s="30">
        <v>45977.0</v>
      </c>
      <c r="C2751" s="31" t="s">
        <v>8330</v>
      </c>
      <c r="D2751" s="31">
        <v>0.0</v>
      </c>
      <c r="E2751" s="31" t="s">
        <v>228</v>
      </c>
      <c r="F2751" s="31">
        <v>1.4E7</v>
      </c>
      <c r="G2751" s="31" t="s">
        <v>23</v>
      </c>
      <c r="H2751" s="31">
        <v>3000000.0</v>
      </c>
      <c r="I2751" s="31" t="s">
        <v>200</v>
      </c>
      <c r="K2751" s="33" t="s">
        <v>8331</v>
      </c>
      <c r="L2751" s="31" t="s">
        <v>252</v>
      </c>
      <c r="M2751" s="31" t="s">
        <v>5638</v>
      </c>
      <c r="O2751" s="31" t="s">
        <v>257</v>
      </c>
      <c r="P2751" s="31" t="s">
        <v>2320</v>
      </c>
    </row>
    <row r="2752">
      <c r="A2752" s="29">
        <v>45977.60027859954</v>
      </c>
      <c r="B2752" s="30">
        <v>45977.0</v>
      </c>
      <c r="C2752" s="31" t="s">
        <v>8332</v>
      </c>
      <c r="D2752" s="31">
        <v>0.0</v>
      </c>
      <c r="E2752" s="31" t="s">
        <v>228</v>
      </c>
      <c r="F2752" s="31">
        <v>1.6E7</v>
      </c>
      <c r="G2752" s="31" t="s">
        <v>23</v>
      </c>
      <c r="H2752" s="31">
        <v>30000.0</v>
      </c>
      <c r="I2752" s="31" t="s">
        <v>200</v>
      </c>
      <c r="K2752" s="33" t="s">
        <v>8333</v>
      </c>
      <c r="L2752" s="31" t="s">
        <v>252</v>
      </c>
      <c r="M2752" s="31" t="s">
        <v>203</v>
      </c>
      <c r="O2752" s="31" t="s">
        <v>257</v>
      </c>
      <c r="P2752" s="31" t="s">
        <v>2320</v>
      </c>
    </row>
    <row r="2753">
      <c r="A2753" s="29">
        <v>45977.645740844906</v>
      </c>
      <c r="B2753" s="30">
        <v>45977.0</v>
      </c>
      <c r="C2753" s="31" t="s">
        <v>8334</v>
      </c>
      <c r="D2753" s="32" t="s">
        <v>8335</v>
      </c>
      <c r="E2753" s="31" t="s">
        <v>31</v>
      </c>
      <c r="F2753" s="31">
        <v>2400000.0</v>
      </c>
      <c r="G2753" s="31" t="s">
        <v>23</v>
      </c>
      <c r="H2753" s="31">
        <v>3000000.0</v>
      </c>
      <c r="I2753" s="31" t="s">
        <v>413</v>
      </c>
      <c r="K2753" s="33" t="s">
        <v>8336</v>
      </c>
      <c r="L2753" s="31" t="s">
        <v>202</v>
      </c>
      <c r="M2753" s="31" t="s">
        <v>5638</v>
      </c>
      <c r="N2753" s="31" t="s">
        <v>204</v>
      </c>
      <c r="R2753" s="31" t="s">
        <v>148</v>
      </c>
    </row>
    <row r="2754">
      <c r="A2754" s="29">
        <v>45977.66090717593</v>
      </c>
      <c r="B2754" s="30">
        <v>45977.0</v>
      </c>
      <c r="C2754" s="31" t="s">
        <v>8337</v>
      </c>
      <c r="D2754" s="32" t="s">
        <v>8338</v>
      </c>
      <c r="E2754" s="31" t="s">
        <v>43</v>
      </c>
      <c r="F2754" s="31">
        <v>2700000.0</v>
      </c>
      <c r="G2754" s="31" t="s">
        <v>23</v>
      </c>
      <c r="I2754" s="31" t="s">
        <v>229</v>
      </c>
      <c r="J2754" s="31" t="s">
        <v>967</v>
      </c>
      <c r="K2754" s="33" t="s">
        <v>8339</v>
      </c>
      <c r="L2754" s="31" t="s">
        <v>202</v>
      </c>
      <c r="N2754" s="31" t="s">
        <v>871</v>
      </c>
      <c r="Q2754" s="31" t="s">
        <v>7424</v>
      </c>
    </row>
    <row r="2755">
      <c r="A2755" s="29">
        <v>45977.691176493056</v>
      </c>
      <c r="B2755" s="30">
        <v>45977.0</v>
      </c>
      <c r="C2755" s="31" t="s">
        <v>8340</v>
      </c>
      <c r="D2755" s="32" t="s">
        <v>8341</v>
      </c>
      <c r="E2755" s="31" t="s">
        <v>31</v>
      </c>
      <c r="F2755" s="31">
        <v>3200000.0</v>
      </c>
      <c r="G2755" s="31" t="s">
        <v>23</v>
      </c>
      <c r="I2755" s="31" t="s">
        <v>229</v>
      </c>
      <c r="J2755" s="31" t="s">
        <v>967</v>
      </c>
      <c r="K2755" s="33" t="s">
        <v>8342</v>
      </c>
      <c r="L2755" s="31" t="s">
        <v>252</v>
      </c>
      <c r="O2755" s="31" t="s">
        <v>205</v>
      </c>
      <c r="X2755" s="31" t="s">
        <v>452</v>
      </c>
    </row>
    <row r="2756">
      <c r="A2756" s="29">
        <v>45977.72519435185</v>
      </c>
      <c r="B2756" s="30">
        <v>45976.0</v>
      </c>
      <c r="C2756" s="31" t="s">
        <v>8343</v>
      </c>
      <c r="D2756" s="32" t="s">
        <v>8344</v>
      </c>
      <c r="E2756" s="31" t="s">
        <v>199</v>
      </c>
      <c r="F2756" s="31">
        <v>5000000.0</v>
      </c>
      <c r="G2756" s="31" t="s">
        <v>23</v>
      </c>
      <c r="H2756" s="31">
        <v>5000000.0</v>
      </c>
      <c r="I2756" s="31" t="s">
        <v>200</v>
      </c>
      <c r="K2756" s="33" t="s">
        <v>8345</v>
      </c>
      <c r="L2756" s="31" t="s">
        <v>252</v>
      </c>
      <c r="M2756" s="31" t="s">
        <v>203</v>
      </c>
      <c r="O2756" s="31" t="s">
        <v>205</v>
      </c>
      <c r="X2756" s="31" t="s">
        <v>487</v>
      </c>
    </row>
    <row r="2757">
      <c r="A2757" s="29">
        <v>45977.75421125</v>
      </c>
      <c r="B2757" s="30">
        <v>45977.0</v>
      </c>
      <c r="C2757" s="31" t="s">
        <v>8346</v>
      </c>
      <c r="D2757" s="32" t="s">
        <v>8347</v>
      </c>
      <c r="E2757" s="31" t="s">
        <v>43</v>
      </c>
      <c r="F2757" s="31">
        <v>3600000.0</v>
      </c>
      <c r="G2757" s="31" t="s">
        <v>23</v>
      </c>
      <c r="I2757" s="31" t="s">
        <v>229</v>
      </c>
      <c r="J2757" s="31" t="s">
        <v>967</v>
      </c>
      <c r="K2757" s="33" t="s">
        <v>8348</v>
      </c>
      <c r="L2757" s="31" t="s">
        <v>252</v>
      </c>
      <c r="O2757" s="31" t="s">
        <v>205</v>
      </c>
      <c r="X2757" s="31" t="s">
        <v>1471</v>
      </c>
    </row>
    <row r="2758">
      <c r="A2758" s="29">
        <v>45977.756226516205</v>
      </c>
      <c r="B2758" s="30">
        <v>45977.0</v>
      </c>
      <c r="C2758" s="31" t="s">
        <v>8349</v>
      </c>
      <c r="D2758" s="32" t="s">
        <v>8350</v>
      </c>
      <c r="E2758" s="31" t="s">
        <v>43</v>
      </c>
      <c r="F2758" s="31">
        <v>3600000.0</v>
      </c>
      <c r="G2758" s="31" t="s">
        <v>23</v>
      </c>
      <c r="I2758" s="31" t="s">
        <v>229</v>
      </c>
      <c r="J2758" s="31" t="s">
        <v>967</v>
      </c>
      <c r="K2758" s="33" t="s">
        <v>8351</v>
      </c>
      <c r="L2758" s="31" t="s">
        <v>252</v>
      </c>
      <c r="O2758" s="31" t="s">
        <v>205</v>
      </c>
      <c r="X2758" s="31" t="s">
        <v>1471</v>
      </c>
    </row>
    <row r="2759">
      <c r="A2759" s="29">
        <v>45977.775581932874</v>
      </c>
      <c r="B2759" s="30">
        <v>45977.0</v>
      </c>
      <c r="C2759" s="31" t="s">
        <v>8352</v>
      </c>
      <c r="D2759" s="32" t="s">
        <v>8353</v>
      </c>
      <c r="E2759" s="31" t="s">
        <v>288</v>
      </c>
      <c r="F2759" s="34">
        <v>3000.0</v>
      </c>
      <c r="G2759" s="31" t="s">
        <v>23</v>
      </c>
      <c r="I2759" s="31" t="s">
        <v>229</v>
      </c>
      <c r="J2759" s="31" t="s">
        <v>967</v>
      </c>
      <c r="K2759" s="33" t="s">
        <v>8354</v>
      </c>
      <c r="L2759" s="31" t="s">
        <v>202</v>
      </c>
      <c r="N2759" s="31" t="s">
        <v>204</v>
      </c>
      <c r="R2759" s="31" t="s">
        <v>167</v>
      </c>
    </row>
    <row r="2760">
      <c r="A2760" s="29">
        <v>45977.77771888889</v>
      </c>
      <c r="B2760" s="30">
        <v>45977.0</v>
      </c>
      <c r="C2760" s="31" t="s">
        <v>8355</v>
      </c>
      <c r="D2760" s="31">
        <v>8.5932822774E10</v>
      </c>
      <c r="E2760" s="31" t="s">
        <v>239</v>
      </c>
      <c r="F2760" s="34">
        <v>5000.0</v>
      </c>
      <c r="G2760" s="31" t="s">
        <v>23</v>
      </c>
      <c r="I2760" s="31" t="s">
        <v>229</v>
      </c>
      <c r="J2760" s="31" t="s">
        <v>967</v>
      </c>
      <c r="K2760" s="33" t="s">
        <v>8356</v>
      </c>
      <c r="L2760" s="31" t="s">
        <v>202</v>
      </c>
      <c r="N2760" s="31" t="s">
        <v>204</v>
      </c>
      <c r="R2760" s="31" t="s">
        <v>167</v>
      </c>
    </row>
    <row r="2761">
      <c r="A2761" s="29">
        <v>45977.80207243055</v>
      </c>
      <c r="B2761" s="30">
        <v>45976.0</v>
      </c>
      <c r="C2761" s="31" t="s">
        <v>8357</v>
      </c>
      <c r="D2761" s="32" t="s">
        <v>8358</v>
      </c>
      <c r="E2761" s="31" t="s">
        <v>31</v>
      </c>
      <c r="F2761" s="31">
        <v>2500000.0</v>
      </c>
      <c r="G2761" s="31" t="s">
        <v>23</v>
      </c>
      <c r="I2761" s="31" t="s">
        <v>229</v>
      </c>
      <c r="J2761" s="31" t="s">
        <v>967</v>
      </c>
      <c r="K2761" s="33" t="s">
        <v>8359</v>
      </c>
      <c r="L2761" s="31" t="s">
        <v>202</v>
      </c>
      <c r="N2761" s="31" t="s">
        <v>204</v>
      </c>
      <c r="R2761" s="31" t="s">
        <v>8206</v>
      </c>
    </row>
    <row r="2762">
      <c r="A2762" s="29">
        <v>45977.961920092595</v>
      </c>
      <c r="B2762" s="30">
        <v>45977.0</v>
      </c>
      <c r="C2762" s="31" t="s">
        <v>8360</v>
      </c>
      <c r="D2762" s="32" t="s">
        <v>8361</v>
      </c>
      <c r="E2762" s="31" t="s">
        <v>43</v>
      </c>
      <c r="F2762" s="31">
        <v>4100000.0</v>
      </c>
      <c r="G2762" s="31" t="s">
        <v>23</v>
      </c>
      <c r="H2762" s="31">
        <v>3000000.0</v>
      </c>
      <c r="I2762" s="31" t="s">
        <v>413</v>
      </c>
      <c r="K2762" s="33" t="s">
        <v>8362</v>
      </c>
      <c r="L2762" s="31" t="s">
        <v>252</v>
      </c>
      <c r="M2762" s="31" t="s">
        <v>203</v>
      </c>
      <c r="O2762" s="31" t="s">
        <v>205</v>
      </c>
      <c r="X2762" s="31" t="s">
        <v>716</v>
      </c>
    </row>
    <row r="2763">
      <c r="A2763" s="29">
        <v>45977.96213460648</v>
      </c>
      <c r="B2763" s="30">
        <v>45976.0</v>
      </c>
      <c r="C2763" s="31" t="s">
        <v>8363</v>
      </c>
      <c r="D2763" s="31" t="s">
        <v>8364</v>
      </c>
      <c r="E2763" s="31" t="s">
        <v>8365</v>
      </c>
      <c r="F2763" s="31">
        <v>2800000.0</v>
      </c>
      <c r="G2763" s="31" t="s">
        <v>23</v>
      </c>
      <c r="I2763" s="31" t="s">
        <v>229</v>
      </c>
      <c r="J2763" s="31" t="s">
        <v>967</v>
      </c>
      <c r="K2763" s="33" t="s">
        <v>8366</v>
      </c>
      <c r="L2763" s="31" t="s">
        <v>202</v>
      </c>
      <c r="N2763" s="31" t="s">
        <v>500</v>
      </c>
      <c r="V2763" s="31" t="s">
        <v>7537</v>
      </c>
    </row>
    <row r="2764">
      <c r="A2764" s="29">
        <v>45977.96590836806</v>
      </c>
      <c r="B2764" s="30">
        <v>45976.0</v>
      </c>
      <c r="C2764" s="31" t="s">
        <v>8367</v>
      </c>
      <c r="D2764" s="32" t="s">
        <v>8368</v>
      </c>
      <c r="E2764" s="31" t="s">
        <v>31</v>
      </c>
      <c r="F2764" s="31">
        <v>1500000.0</v>
      </c>
      <c r="G2764" s="31" t="s">
        <v>23</v>
      </c>
      <c r="H2764" s="31">
        <v>3000000.0</v>
      </c>
      <c r="I2764" s="31" t="s">
        <v>200</v>
      </c>
      <c r="K2764" s="33" t="s">
        <v>8369</v>
      </c>
      <c r="L2764" s="31" t="s">
        <v>202</v>
      </c>
      <c r="M2764" s="31" t="s">
        <v>5638</v>
      </c>
      <c r="N2764" s="31" t="s">
        <v>500</v>
      </c>
      <c r="V2764" s="31" t="s">
        <v>7537</v>
      </c>
    </row>
    <row r="2765">
      <c r="A2765" s="29">
        <v>45978.183605451384</v>
      </c>
      <c r="B2765" s="30">
        <v>45976.0</v>
      </c>
      <c r="C2765" s="31" t="s">
        <v>8370</v>
      </c>
      <c r="D2765" s="32" t="s">
        <v>8371</v>
      </c>
      <c r="E2765" s="31" t="s">
        <v>8372</v>
      </c>
      <c r="F2765" s="31">
        <v>2.48E7</v>
      </c>
      <c r="G2765" s="31" t="s">
        <v>23</v>
      </c>
      <c r="I2765" s="31" t="s">
        <v>229</v>
      </c>
      <c r="J2765" s="31" t="s">
        <v>967</v>
      </c>
      <c r="K2765" s="33" t="s">
        <v>8373</v>
      </c>
      <c r="L2765" s="31" t="s">
        <v>202</v>
      </c>
      <c r="N2765" s="31" t="s">
        <v>500</v>
      </c>
      <c r="V2765" s="31" t="s">
        <v>7537</v>
      </c>
    </row>
    <row r="2766">
      <c r="A2766" s="29">
        <v>45978.40021600694</v>
      </c>
      <c r="B2766" s="30">
        <v>45978.0</v>
      </c>
      <c r="C2766" s="31" t="s">
        <v>8374</v>
      </c>
      <c r="D2766" s="32" t="s">
        <v>2350</v>
      </c>
      <c r="E2766" s="31" t="s">
        <v>199</v>
      </c>
      <c r="F2766" s="31">
        <v>3000000.0</v>
      </c>
      <c r="G2766" s="31" t="s">
        <v>23</v>
      </c>
      <c r="I2766" s="31" t="s">
        <v>229</v>
      </c>
      <c r="J2766" s="31" t="s">
        <v>498</v>
      </c>
      <c r="K2766" s="33" t="s">
        <v>8375</v>
      </c>
      <c r="L2766" s="31" t="s">
        <v>202</v>
      </c>
      <c r="N2766" s="31" t="s">
        <v>500</v>
      </c>
      <c r="V2766" s="31" t="s">
        <v>501</v>
      </c>
    </row>
    <row r="2767">
      <c r="A2767" s="29">
        <v>45978.44242494213</v>
      </c>
      <c r="B2767" s="30">
        <v>45978.0</v>
      </c>
      <c r="C2767" s="31" t="s">
        <v>8376</v>
      </c>
      <c r="D2767" s="32" t="s">
        <v>8377</v>
      </c>
      <c r="E2767" s="31" t="s">
        <v>199</v>
      </c>
      <c r="F2767" s="31">
        <v>2500000.0</v>
      </c>
      <c r="G2767" s="31" t="s">
        <v>45</v>
      </c>
      <c r="H2767" s="31">
        <v>3000000.0</v>
      </c>
      <c r="I2767" s="31" t="s">
        <v>413</v>
      </c>
      <c r="K2767" s="33" t="s">
        <v>8378</v>
      </c>
      <c r="L2767" s="31" t="s">
        <v>202</v>
      </c>
      <c r="M2767" s="31" t="s">
        <v>605</v>
      </c>
      <c r="N2767" s="31" t="s">
        <v>313</v>
      </c>
      <c r="T2767" s="31" t="s">
        <v>4272</v>
      </c>
    </row>
    <row r="2768">
      <c r="A2768" s="29">
        <v>45978.4438428125</v>
      </c>
      <c r="B2768" s="30">
        <v>45978.0</v>
      </c>
      <c r="C2768" s="31" t="s">
        <v>8379</v>
      </c>
      <c r="D2768" s="32" t="s">
        <v>8380</v>
      </c>
      <c r="E2768" s="31" t="s">
        <v>228</v>
      </c>
      <c r="F2768" s="31">
        <v>5000000.0</v>
      </c>
      <c r="G2768" s="31" t="s">
        <v>23</v>
      </c>
      <c r="I2768" s="31" t="s">
        <v>229</v>
      </c>
      <c r="J2768" s="31" t="s">
        <v>967</v>
      </c>
      <c r="K2768" s="33" t="s">
        <v>8381</v>
      </c>
      <c r="L2768" s="31" t="s">
        <v>202</v>
      </c>
      <c r="N2768" s="31" t="s">
        <v>220</v>
      </c>
      <c r="S2768" s="31" t="s">
        <v>1406</v>
      </c>
    </row>
    <row r="2769">
      <c r="A2769" s="29">
        <v>45978.44810524306</v>
      </c>
      <c r="B2769" s="30">
        <v>45978.0</v>
      </c>
      <c r="C2769" s="31" t="s">
        <v>8382</v>
      </c>
      <c r="D2769" s="32" t="s">
        <v>8070</v>
      </c>
      <c r="E2769" s="31" t="s">
        <v>239</v>
      </c>
      <c r="F2769" s="31">
        <v>3000000.0</v>
      </c>
      <c r="G2769" s="31" t="s">
        <v>23</v>
      </c>
      <c r="I2769" s="31" t="s">
        <v>229</v>
      </c>
      <c r="J2769" s="31" t="s">
        <v>967</v>
      </c>
      <c r="K2769" s="33" t="s">
        <v>8383</v>
      </c>
      <c r="L2769" s="31" t="s">
        <v>252</v>
      </c>
      <c r="O2769" s="31" t="s">
        <v>205</v>
      </c>
      <c r="X2769" s="31" t="s">
        <v>253</v>
      </c>
    </row>
    <row r="2770">
      <c r="A2770" s="29">
        <v>45978.456369328705</v>
      </c>
      <c r="B2770" s="30">
        <v>45978.0</v>
      </c>
      <c r="C2770" s="31" t="s">
        <v>8384</v>
      </c>
      <c r="D2770" s="32" t="s">
        <v>8385</v>
      </c>
      <c r="E2770" s="31" t="s">
        <v>199</v>
      </c>
      <c r="F2770" s="31">
        <v>4000000.0</v>
      </c>
      <c r="G2770" s="31" t="s">
        <v>23</v>
      </c>
      <c r="H2770" s="31">
        <v>5000000.0</v>
      </c>
      <c r="I2770" s="31" t="s">
        <v>413</v>
      </c>
      <c r="K2770" s="33" t="s">
        <v>8386</v>
      </c>
      <c r="L2770" s="31" t="s">
        <v>202</v>
      </c>
      <c r="M2770" s="31" t="s">
        <v>203</v>
      </c>
      <c r="N2770" s="31" t="s">
        <v>500</v>
      </c>
      <c r="V2770" s="31" t="s">
        <v>501</v>
      </c>
    </row>
    <row r="2771">
      <c r="A2771" s="29">
        <v>45978.461894803244</v>
      </c>
      <c r="B2771" s="30">
        <v>45978.0</v>
      </c>
      <c r="C2771" s="31" t="s">
        <v>8387</v>
      </c>
      <c r="D2771" s="32" t="s">
        <v>8388</v>
      </c>
      <c r="E2771" s="31" t="s">
        <v>239</v>
      </c>
      <c r="F2771" s="31">
        <v>3300000.0</v>
      </c>
      <c r="G2771" s="31" t="s">
        <v>23</v>
      </c>
      <c r="H2771" s="31">
        <v>3000000.0</v>
      </c>
      <c r="I2771" s="31" t="s">
        <v>413</v>
      </c>
      <c r="K2771" s="33" t="s">
        <v>8389</v>
      </c>
      <c r="L2771" s="31" t="s">
        <v>202</v>
      </c>
      <c r="M2771" s="31" t="s">
        <v>203</v>
      </c>
      <c r="N2771" s="31" t="s">
        <v>220</v>
      </c>
      <c r="S2771" s="31" t="s">
        <v>90</v>
      </c>
    </row>
    <row r="2772">
      <c r="A2772" s="29">
        <v>45978.47848042824</v>
      </c>
      <c r="B2772" s="30">
        <v>45978.0</v>
      </c>
      <c r="C2772" s="31" t="s">
        <v>8390</v>
      </c>
      <c r="D2772" s="32" t="s">
        <v>8391</v>
      </c>
      <c r="E2772" s="31" t="s">
        <v>199</v>
      </c>
      <c r="F2772" s="31">
        <v>7400000.0</v>
      </c>
      <c r="G2772" s="31" t="s">
        <v>23</v>
      </c>
      <c r="H2772" s="31">
        <v>3000000.0</v>
      </c>
      <c r="I2772" s="31" t="s">
        <v>200</v>
      </c>
      <c r="K2772" s="33" t="s">
        <v>8392</v>
      </c>
      <c r="L2772" s="31" t="s">
        <v>252</v>
      </c>
      <c r="M2772" s="31" t="s">
        <v>5638</v>
      </c>
      <c r="O2772" s="31" t="s">
        <v>257</v>
      </c>
      <c r="P2772" s="31" t="s">
        <v>258</v>
      </c>
    </row>
    <row r="2773">
      <c r="A2773" s="29">
        <v>45978.481776203706</v>
      </c>
      <c r="B2773" s="30">
        <v>45978.0</v>
      </c>
      <c r="C2773" s="31" t="s">
        <v>8393</v>
      </c>
      <c r="D2773" s="32" t="s">
        <v>8388</v>
      </c>
      <c r="E2773" s="31" t="s">
        <v>239</v>
      </c>
      <c r="F2773" s="31">
        <v>3300000.0</v>
      </c>
      <c r="G2773" s="31" t="s">
        <v>23</v>
      </c>
      <c r="H2773" s="31">
        <v>3000000.0</v>
      </c>
      <c r="I2773" s="31" t="s">
        <v>200</v>
      </c>
      <c r="K2773" s="33" t="s">
        <v>8394</v>
      </c>
      <c r="L2773" s="31" t="s">
        <v>202</v>
      </c>
      <c r="M2773" s="31" t="s">
        <v>5638</v>
      </c>
      <c r="N2773" s="31" t="s">
        <v>220</v>
      </c>
      <c r="S2773" s="31" t="s">
        <v>90</v>
      </c>
    </row>
    <row r="2774">
      <c r="A2774" s="29">
        <v>45978.49543163195</v>
      </c>
      <c r="B2774" s="30">
        <v>45978.0</v>
      </c>
      <c r="C2774" s="31" t="s">
        <v>8395</v>
      </c>
      <c r="D2774" s="32" t="s">
        <v>8396</v>
      </c>
      <c r="E2774" s="31" t="s">
        <v>43</v>
      </c>
      <c r="F2774" s="31">
        <v>7100000.0</v>
      </c>
      <c r="G2774" s="31" t="s">
        <v>23</v>
      </c>
      <c r="H2774" s="31">
        <v>1.2E7</v>
      </c>
      <c r="I2774" s="31" t="s">
        <v>413</v>
      </c>
      <c r="K2774" s="33" t="s">
        <v>8397</v>
      </c>
      <c r="L2774" s="31" t="s">
        <v>202</v>
      </c>
      <c r="M2774" s="31" t="s">
        <v>605</v>
      </c>
      <c r="N2774" s="31" t="s">
        <v>220</v>
      </c>
      <c r="S2774" s="31" t="s">
        <v>5670</v>
      </c>
    </row>
    <row r="2775">
      <c r="A2775" s="29">
        <v>45978.50559105324</v>
      </c>
      <c r="B2775" s="30">
        <v>45978.0</v>
      </c>
      <c r="C2775" s="31" t="s">
        <v>8398</v>
      </c>
      <c r="D2775" s="32" t="s">
        <v>8399</v>
      </c>
      <c r="E2775" s="31" t="s">
        <v>239</v>
      </c>
      <c r="F2775" s="31">
        <v>400000.0</v>
      </c>
      <c r="G2775" s="31" t="s">
        <v>45</v>
      </c>
      <c r="I2775" s="31" t="s">
        <v>229</v>
      </c>
      <c r="J2775" s="31" t="s">
        <v>967</v>
      </c>
      <c r="K2775" s="33" t="s">
        <v>8400</v>
      </c>
      <c r="L2775" s="31" t="s">
        <v>202</v>
      </c>
      <c r="N2775" s="31" t="s">
        <v>220</v>
      </c>
      <c r="S2775" s="31" t="s">
        <v>8401</v>
      </c>
    </row>
    <row r="2776">
      <c r="A2776" s="29">
        <v>45978.523089016206</v>
      </c>
      <c r="B2776" s="30">
        <v>45978.0</v>
      </c>
      <c r="C2776" s="31" t="s">
        <v>8402</v>
      </c>
      <c r="D2776" s="31">
        <v>0.0</v>
      </c>
      <c r="E2776" s="31" t="s">
        <v>43</v>
      </c>
      <c r="F2776" s="32" t="s">
        <v>4227</v>
      </c>
      <c r="G2776" s="31" t="s">
        <v>23</v>
      </c>
      <c r="I2776" s="31" t="s">
        <v>229</v>
      </c>
      <c r="J2776" s="31" t="s">
        <v>967</v>
      </c>
      <c r="K2776" s="33" t="s">
        <v>8403</v>
      </c>
      <c r="L2776" s="31" t="s">
        <v>252</v>
      </c>
      <c r="O2776" s="31" t="s">
        <v>257</v>
      </c>
      <c r="P2776" s="31" t="s">
        <v>992</v>
      </c>
    </row>
    <row r="2777">
      <c r="A2777" s="29">
        <v>45978.5260384838</v>
      </c>
      <c r="B2777" s="30">
        <v>45978.0</v>
      </c>
      <c r="C2777" s="31" t="s">
        <v>8404</v>
      </c>
      <c r="D2777" s="31">
        <v>6.282145949738E12</v>
      </c>
      <c r="E2777" s="31" t="s">
        <v>43</v>
      </c>
      <c r="F2777" s="31">
        <v>2500000.0</v>
      </c>
      <c r="G2777" s="31" t="s">
        <v>23</v>
      </c>
      <c r="H2777" s="31">
        <v>9256000.0</v>
      </c>
      <c r="I2777" s="31" t="s">
        <v>200</v>
      </c>
      <c r="K2777" s="33" t="s">
        <v>8405</v>
      </c>
      <c r="L2777" s="31" t="s">
        <v>202</v>
      </c>
      <c r="M2777" s="31" t="s">
        <v>5638</v>
      </c>
      <c r="N2777" s="31" t="s">
        <v>204</v>
      </c>
      <c r="R2777" s="31" t="s">
        <v>360</v>
      </c>
    </row>
    <row r="2778">
      <c r="A2778" s="29">
        <v>45978.53427584491</v>
      </c>
      <c r="B2778" s="30">
        <v>45978.0</v>
      </c>
      <c r="C2778" s="31" t="s">
        <v>8406</v>
      </c>
      <c r="D2778" s="32" t="s">
        <v>8407</v>
      </c>
      <c r="E2778" s="31" t="s">
        <v>2902</v>
      </c>
      <c r="F2778" s="31">
        <v>5500000.0</v>
      </c>
      <c r="G2778" s="31" t="s">
        <v>23</v>
      </c>
      <c r="I2778" s="31" t="s">
        <v>229</v>
      </c>
      <c r="J2778" s="31" t="s">
        <v>8408</v>
      </c>
      <c r="K2778" s="33" t="s">
        <v>8409</v>
      </c>
      <c r="L2778" s="31" t="s">
        <v>202</v>
      </c>
      <c r="N2778" s="31" t="s">
        <v>220</v>
      </c>
      <c r="S2778" s="31" t="s">
        <v>36</v>
      </c>
    </row>
    <row r="2779">
      <c r="A2779" s="29">
        <v>45978.53667453704</v>
      </c>
      <c r="B2779" s="30">
        <v>45978.0</v>
      </c>
      <c r="C2779" s="31" t="s">
        <v>8410</v>
      </c>
      <c r="D2779" s="32" t="s">
        <v>8411</v>
      </c>
      <c r="E2779" s="31" t="s">
        <v>43</v>
      </c>
      <c r="F2779" s="31">
        <v>3300000.0</v>
      </c>
      <c r="G2779" s="31" t="s">
        <v>23</v>
      </c>
      <c r="I2779" s="31" t="s">
        <v>229</v>
      </c>
      <c r="J2779" s="31" t="s">
        <v>967</v>
      </c>
      <c r="K2779" s="33" t="s">
        <v>8412</v>
      </c>
      <c r="L2779" s="31" t="s">
        <v>252</v>
      </c>
      <c r="O2779" s="31" t="s">
        <v>205</v>
      </c>
      <c r="X2779" s="31" t="s">
        <v>2335</v>
      </c>
    </row>
    <row r="2780">
      <c r="A2780" s="29">
        <v>45978.53946703704</v>
      </c>
      <c r="B2780" s="30">
        <v>45975.0</v>
      </c>
      <c r="C2780" s="31" t="s">
        <v>8413</v>
      </c>
      <c r="D2780" s="32" t="s">
        <v>4253</v>
      </c>
      <c r="E2780" s="31" t="s">
        <v>43</v>
      </c>
      <c r="F2780" s="31">
        <v>2500000.0</v>
      </c>
      <c r="G2780" s="31" t="s">
        <v>23</v>
      </c>
      <c r="I2780" s="31" t="s">
        <v>229</v>
      </c>
      <c r="J2780" s="31" t="s">
        <v>967</v>
      </c>
      <c r="K2780" s="33" t="s">
        <v>8414</v>
      </c>
      <c r="L2780" s="31" t="s">
        <v>252</v>
      </c>
      <c r="O2780" s="31" t="s">
        <v>257</v>
      </c>
      <c r="P2780" s="31" t="s">
        <v>206</v>
      </c>
    </row>
    <row r="2781">
      <c r="A2781" s="29">
        <v>45978.544779814816</v>
      </c>
      <c r="B2781" s="30">
        <v>45978.0</v>
      </c>
      <c r="C2781" s="31" t="s">
        <v>8415</v>
      </c>
      <c r="D2781" s="32" t="s">
        <v>8416</v>
      </c>
      <c r="E2781" s="31" t="s">
        <v>43</v>
      </c>
      <c r="F2781" s="31">
        <v>2.0E7</v>
      </c>
      <c r="G2781" s="31" t="s">
        <v>23</v>
      </c>
      <c r="H2781" s="31">
        <v>3000000.0</v>
      </c>
      <c r="I2781" s="31" t="s">
        <v>413</v>
      </c>
      <c r="K2781" s="33" t="s">
        <v>8417</v>
      </c>
      <c r="L2781" s="31" t="s">
        <v>202</v>
      </c>
      <c r="M2781" s="31" t="s">
        <v>5638</v>
      </c>
      <c r="N2781" s="31" t="s">
        <v>500</v>
      </c>
      <c r="V2781" s="31" t="s">
        <v>6597</v>
      </c>
    </row>
    <row r="2782">
      <c r="A2782" s="29">
        <v>45978.554871134256</v>
      </c>
      <c r="B2782" s="30">
        <v>45978.0</v>
      </c>
      <c r="C2782" s="31" t="s">
        <v>8418</v>
      </c>
      <c r="D2782" s="32" t="s">
        <v>8419</v>
      </c>
      <c r="E2782" s="31" t="s">
        <v>31</v>
      </c>
      <c r="F2782" s="31">
        <v>5499000.0</v>
      </c>
      <c r="G2782" s="31" t="s">
        <v>23</v>
      </c>
      <c r="I2782" s="31" t="s">
        <v>229</v>
      </c>
      <c r="J2782" s="31" t="s">
        <v>967</v>
      </c>
      <c r="K2782" s="33" t="s">
        <v>8420</v>
      </c>
      <c r="L2782" s="31" t="s">
        <v>202</v>
      </c>
      <c r="N2782" s="31" t="s">
        <v>204</v>
      </c>
      <c r="R2782" s="31" t="s">
        <v>207</v>
      </c>
    </row>
    <row r="2783">
      <c r="A2783" s="29">
        <v>45978.5554972338</v>
      </c>
      <c r="B2783" s="30">
        <v>45978.0</v>
      </c>
      <c r="C2783" s="31" t="s">
        <v>8421</v>
      </c>
      <c r="D2783" s="32" t="s">
        <v>8422</v>
      </c>
      <c r="E2783" s="31" t="s">
        <v>43</v>
      </c>
      <c r="F2783" s="31">
        <v>6000000.0</v>
      </c>
      <c r="G2783" s="31" t="s">
        <v>23</v>
      </c>
      <c r="I2783" s="31" t="s">
        <v>229</v>
      </c>
      <c r="J2783" s="31" t="s">
        <v>967</v>
      </c>
      <c r="K2783" s="33" t="s">
        <v>8423</v>
      </c>
      <c r="L2783" s="31" t="s">
        <v>202</v>
      </c>
      <c r="N2783" s="31" t="s">
        <v>220</v>
      </c>
      <c r="S2783" s="31" t="s">
        <v>536</v>
      </c>
    </row>
    <row r="2784">
      <c r="A2784" s="29">
        <v>45978.55673921296</v>
      </c>
      <c r="B2784" s="30">
        <v>45978.0</v>
      </c>
      <c r="C2784" s="31" t="s">
        <v>8424</v>
      </c>
      <c r="D2784" s="32" t="s">
        <v>8425</v>
      </c>
      <c r="E2784" s="31" t="s">
        <v>31</v>
      </c>
      <c r="F2784" s="31">
        <v>4599000.0</v>
      </c>
      <c r="G2784" s="31" t="s">
        <v>23</v>
      </c>
      <c r="I2784" s="31" t="s">
        <v>229</v>
      </c>
      <c r="J2784" s="31" t="s">
        <v>967</v>
      </c>
      <c r="K2784" s="33" t="s">
        <v>8426</v>
      </c>
      <c r="L2784" s="31" t="s">
        <v>202</v>
      </c>
      <c r="N2784" s="31" t="s">
        <v>204</v>
      </c>
      <c r="R2784" s="31" t="s">
        <v>207</v>
      </c>
    </row>
    <row r="2785">
      <c r="A2785" s="29">
        <v>45978.5580221875</v>
      </c>
      <c r="B2785" s="30">
        <v>45978.0</v>
      </c>
      <c r="C2785" s="31" t="s">
        <v>8427</v>
      </c>
      <c r="D2785" s="32" t="s">
        <v>8428</v>
      </c>
      <c r="E2785" s="31" t="s">
        <v>31</v>
      </c>
      <c r="F2785" s="31">
        <v>6000000.0</v>
      </c>
      <c r="G2785" s="31" t="s">
        <v>23</v>
      </c>
      <c r="I2785" s="31" t="s">
        <v>229</v>
      </c>
      <c r="J2785" s="31" t="s">
        <v>967</v>
      </c>
      <c r="K2785" s="33" t="s">
        <v>8429</v>
      </c>
      <c r="L2785" s="31" t="s">
        <v>202</v>
      </c>
      <c r="N2785" s="31" t="s">
        <v>667</v>
      </c>
      <c r="U2785" s="31" t="s">
        <v>668</v>
      </c>
    </row>
    <row r="2786">
      <c r="A2786" s="29">
        <v>45978.56145886574</v>
      </c>
      <c r="B2786" s="30">
        <v>45978.0</v>
      </c>
      <c r="C2786" s="31" t="s">
        <v>8430</v>
      </c>
      <c r="D2786" s="32" t="s">
        <v>8431</v>
      </c>
      <c r="E2786" s="31" t="s">
        <v>8432</v>
      </c>
      <c r="F2786" s="31">
        <v>3000000.0</v>
      </c>
      <c r="G2786" s="31" t="s">
        <v>23</v>
      </c>
      <c r="H2786" s="31">
        <v>3000000.0</v>
      </c>
      <c r="I2786" s="31" t="s">
        <v>200</v>
      </c>
      <c r="K2786" s="33" t="s">
        <v>8433</v>
      </c>
      <c r="L2786" s="31" t="s">
        <v>252</v>
      </c>
      <c r="M2786" s="31" t="s">
        <v>383</v>
      </c>
      <c r="O2786" s="31" t="s">
        <v>205</v>
      </c>
      <c r="X2786" s="31" t="s">
        <v>549</v>
      </c>
    </row>
    <row r="2787">
      <c r="A2787" s="29">
        <v>45978.586959583336</v>
      </c>
      <c r="B2787" s="30">
        <v>45978.0</v>
      </c>
      <c r="C2787" s="31" t="s">
        <v>8434</v>
      </c>
      <c r="D2787" s="32" t="s">
        <v>8416</v>
      </c>
      <c r="E2787" s="31" t="s">
        <v>31</v>
      </c>
      <c r="F2787" s="31">
        <v>3000000.0</v>
      </c>
      <c r="G2787" s="31" t="s">
        <v>23</v>
      </c>
      <c r="H2787" s="31">
        <v>3000000.0</v>
      </c>
      <c r="I2787" s="31" t="s">
        <v>200</v>
      </c>
      <c r="K2787" s="33" t="s">
        <v>8435</v>
      </c>
      <c r="L2787" s="31" t="s">
        <v>202</v>
      </c>
      <c r="M2787" s="31" t="s">
        <v>5638</v>
      </c>
      <c r="N2787" s="31" t="s">
        <v>500</v>
      </c>
      <c r="V2787" s="31" t="s">
        <v>501</v>
      </c>
    </row>
    <row r="2788">
      <c r="A2788" s="29">
        <v>45978.59524956018</v>
      </c>
      <c r="B2788" s="30">
        <v>45978.0</v>
      </c>
      <c r="C2788" s="31" t="s">
        <v>8436</v>
      </c>
      <c r="D2788" s="32" t="s">
        <v>8437</v>
      </c>
      <c r="E2788" s="31" t="s">
        <v>43</v>
      </c>
      <c r="F2788" s="31">
        <v>4000000.0</v>
      </c>
      <c r="G2788" s="31" t="s">
        <v>23</v>
      </c>
      <c r="H2788" s="31">
        <v>7000000.0</v>
      </c>
      <c r="I2788" s="31" t="s">
        <v>200</v>
      </c>
      <c r="K2788" s="33" t="s">
        <v>8438</v>
      </c>
      <c r="L2788" s="31" t="s">
        <v>202</v>
      </c>
      <c r="M2788" s="31" t="s">
        <v>5638</v>
      </c>
      <c r="N2788" s="31" t="s">
        <v>204</v>
      </c>
      <c r="R2788" s="31" t="s">
        <v>5256</v>
      </c>
    </row>
    <row r="2789">
      <c r="A2789" s="29">
        <v>45978.596626087965</v>
      </c>
      <c r="B2789" s="30">
        <v>45978.0</v>
      </c>
      <c r="C2789" s="31" t="s">
        <v>8439</v>
      </c>
      <c r="D2789" s="32" t="s">
        <v>8440</v>
      </c>
      <c r="E2789" s="31" t="s">
        <v>43</v>
      </c>
      <c r="F2789" s="31">
        <v>3700000.0</v>
      </c>
      <c r="G2789" s="31" t="s">
        <v>23</v>
      </c>
      <c r="I2789" s="31" t="s">
        <v>229</v>
      </c>
      <c r="J2789" s="31" t="s">
        <v>967</v>
      </c>
      <c r="K2789" s="33" t="s">
        <v>8441</v>
      </c>
      <c r="L2789" s="31" t="s">
        <v>202</v>
      </c>
      <c r="N2789" s="31" t="s">
        <v>204</v>
      </c>
      <c r="R2789" s="31" t="s">
        <v>5256</v>
      </c>
    </row>
    <row r="2790">
      <c r="A2790" s="29">
        <v>45978.598192060184</v>
      </c>
      <c r="B2790" s="30">
        <v>45978.0</v>
      </c>
      <c r="C2790" s="31" t="s">
        <v>8442</v>
      </c>
      <c r="D2790" s="32" t="s">
        <v>8443</v>
      </c>
      <c r="E2790" s="31" t="s">
        <v>43</v>
      </c>
      <c r="F2790" s="31">
        <v>3000000.0</v>
      </c>
      <c r="G2790" s="31" t="s">
        <v>23</v>
      </c>
      <c r="I2790" s="31" t="s">
        <v>229</v>
      </c>
      <c r="J2790" s="31" t="s">
        <v>967</v>
      </c>
      <c r="K2790" s="33" t="s">
        <v>8444</v>
      </c>
      <c r="L2790" s="31" t="s">
        <v>202</v>
      </c>
      <c r="N2790" s="31" t="s">
        <v>204</v>
      </c>
      <c r="R2790" s="31" t="s">
        <v>5256</v>
      </c>
    </row>
    <row r="2791">
      <c r="A2791" s="29">
        <v>45978.61034186343</v>
      </c>
      <c r="B2791" s="30">
        <v>45978.0</v>
      </c>
      <c r="C2791" s="31" t="s">
        <v>8445</v>
      </c>
      <c r="D2791" s="32" t="s">
        <v>8446</v>
      </c>
      <c r="E2791" s="31" t="s">
        <v>43</v>
      </c>
      <c r="F2791" s="31">
        <v>3000000.0</v>
      </c>
      <c r="G2791" s="31" t="s">
        <v>45</v>
      </c>
      <c r="I2791" s="31" t="s">
        <v>229</v>
      </c>
      <c r="J2791" s="31" t="s">
        <v>8447</v>
      </c>
      <c r="K2791" s="33" t="s">
        <v>8448</v>
      </c>
      <c r="L2791" s="31" t="s">
        <v>252</v>
      </c>
      <c r="O2791" s="31" t="s">
        <v>205</v>
      </c>
      <c r="X2791" s="31" t="s">
        <v>452</v>
      </c>
    </row>
    <row r="2792">
      <c r="A2792" s="29">
        <v>45978.61439870371</v>
      </c>
      <c r="B2792" s="30">
        <v>45978.0</v>
      </c>
      <c r="C2792" s="31" t="s">
        <v>8449</v>
      </c>
      <c r="D2792" s="32" t="s">
        <v>4253</v>
      </c>
      <c r="E2792" s="31" t="s">
        <v>43</v>
      </c>
      <c r="F2792" s="31">
        <v>3500000.0</v>
      </c>
      <c r="G2792" s="31" t="s">
        <v>23</v>
      </c>
      <c r="I2792" s="31" t="s">
        <v>229</v>
      </c>
      <c r="J2792" s="31" t="s">
        <v>967</v>
      </c>
      <c r="K2792" s="33" t="s">
        <v>8450</v>
      </c>
      <c r="L2792" s="31" t="s">
        <v>252</v>
      </c>
      <c r="O2792" s="31" t="s">
        <v>257</v>
      </c>
      <c r="P2792" s="31" t="s">
        <v>206</v>
      </c>
    </row>
    <row r="2793">
      <c r="A2793" s="29">
        <v>45978.637943194444</v>
      </c>
      <c r="B2793" s="30">
        <v>45978.0</v>
      </c>
      <c r="C2793" s="31" t="s">
        <v>8451</v>
      </c>
      <c r="D2793" s="32" t="s">
        <v>8452</v>
      </c>
      <c r="E2793" s="31" t="s">
        <v>43</v>
      </c>
      <c r="F2793" s="31">
        <v>5000000.0</v>
      </c>
      <c r="G2793" s="31" t="s">
        <v>45</v>
      </c>
      <c r="H2793" s="31">
        <v>5000000.0</v>
      </c>
      <c r="I2793" s="31" t="s">
        <v>200</v>
      </c>
      <c r="K2793" s="33" t="s">
        <v>8453</v>
      </c>
      <c r="L2793" s="31" t="s">
        <v>252</v>
      </c>
      <c r="M2793" s="31" t="s">
        <v>203</v>
      </c>
      <c r="O2793" s="31" t="s">
        <v>257</v>
      </c>
      <c r="P2793" s="31" t="s">
        <v>272</v>
      </c>
    </row>
    <row r="2794">
      <c r="A2794" s="29">
        <v>45978.638981550925</v>
      </c>
      <c r="B2794" s="30">
        <v>45978.0</v>
      </c>
      <c r="C2794" s="31" t="s">
        <v>8454</v>
      </c>
      <c r="D2794" s="32" t="s">
        <v>8455</v>
      </c>
      <c r="E2794" s="31" t="s">
        <v>8456</v>
      </c>
      <c r="F2794" s="31">
        <v>3000000.0</v>
      </c>
      <c r="G2794" s="31" t="s">
        <v>23</v>
      </c>
      <c r="I2794" s="31" t="s">
        <v>229</v>
      </c>
      <c r="J2794" s="31" t="s">
        <v>967</v>
      </c>
      <c r="K2794" s="33" t="s">
        <v>8457</v>
      </c>
      <c r="L2794" s="31" t="s">
        <v>252</v>
      </c>
      <c r="O2794" s="31" t="s">
        <v>257</v>
      </c>
      <c r="P2794" s="31" t="s">
        <v>3194</v>
      </c>
    </row>
    <row r="2795">
      <c r="A2795" s="29">
        <v>45978.708849930554</v>
      </c>
      <c r="B2795" s="30">
        <v>45978.0</v>
      </c>
      <c r="C2795" s="31" t="s">
        <v>8458</v>
      </c>
      <c r="D2795" s="32" t="s">
        <v>8459</v>
      </c>
      <c r="E2795" s="31" t="s">
        <v>43</v>
      </c>
      <c r="F2795" s="31">
        <v>200000.0</v>
      </c>
      <c r="G2795" s="31" t="s">
        <v>23</v>
      </c>
      <c r="I2795" s="31" t="s">
        <v>229</v>
      </c>
      <c r="J2795" s="31" t="s">
        <v>967</v>
      </c>
      <c r="K2795" s="33" t="s">
        <v>8460</v>
      </c>
      <c r="L2795" s="31" t="s">
        <v>202</v>
      </c>
      <c r="N2795" s="31" t="s">
        <v>871</v>
      </c>
      <c r="Q2795" s="31" t="s">
        <v>1021</v>
      </c>
    </row>
    <row r="2796">
      <c r="A2796" s="29">
        <v>45978.73697106482</v>
      </c>
      <c r="B2796" s="30">
        <v>45978.0</v>
      </c>
      <c r="C2796" s="31" t="s">
        <v>8461</v>
      </c>
      <c r="D2796" s="31">
        <v>8.2144838877E10</v>
      </c>
      <c r="E2796" s="31" t="s">
        <v>239</v>
      </c>
      <c r="F2796" s="31">
        <v>3000000.0</v>
      </c>
      <c r="G2796" s="31" t="s">
        <v>23</v>
      </c>
      <c r="I2796" s="31" t="s">
        <v>229</v>
      </c>
      <c r="J2796" s="31" t="s">
        <v>967</v>
      </c>
      <c r="K2796" s="33" t="s">
        <v>8462</v>
      </c>
      <c r="L2796" s="31" t="s">
        <v>202</v>
      </c>
      <c r="N2796" s="31" t="s">
        <v>220</v>
      </c>
      <c r="S2796" s="31" t="s">
        <v>5697</v>
      </c>
    </row>
    <row r="2797">
      <c r="A2797" s="29">
        <v>45978.75031472222</v>
      </c>
      <c r="B2797" s="30">
        <v>45978.0</v>
      </c>
      <c r="C2797" s="31" t="s">
        <v>8463</v>
      </c>
      <c r="D2797" s="32" t="s">
        <v>3714</v>
      </c>
      <c r="E2797" s="31" t="s">
        <v>228</v>
      </c>
      <c r="F2797" s="31">
        <v>2000000.0</v>
      </c>
      <c r="G2797" s="31" t="s">
        <v>23</v>
      </c>
      <c r="I2797" s="31" t="s">
        <v>229</v>
      </c>
      <c r="J2797" s="31" t="s">
        <v>967</v>
      </c>
      <c r="K2797" s="33" t="s">
        <v>8464</v>
      </c>
      <c r="L2797" s="31" t="s">
        <v>202</v>
      </c>
      <c r="N2797" s="31" t="s">
        <v>215</v>
      </c>
      <c r="W2797" s="31" t="s">
        <v>532</v>
      </c>
    </row>
    <row r="2798">
      <c r="A2798" s="29">
        <v>45978.7516874537</v>
      </c>
      <c r="B2798" s="30">
        <v>45978.0</v>
      </c>
      <c r="C2798" s="31" t="s">
        <v>8465</v>
      </c>
      <c r="D2798" s="32" t="s">
        <v>907</v>
      </c>
      <c r="E2798" s="31" t="s">
        <v>43</v>
      </c>
      <c r="F2798" s="31">
        <v>2000000.0</v>
      </c>
      <c r="G2798" s="31" t="s">
        <v>23</v>
      </c>
      <c r="I2798" s="31" t="s">
        <v>229</v>
      </c>
      <c r="J2798" s="31" t="s">
        <v>967</v>
      </c>
      <c r="K2798" s="33" t="s">
        <v>8466</v>
      </c>
      <c r="L2798" s="31" t="s">
        <v>202</v>
      </c>
      <c r="N2798" s="31" t="s">
        <v>215</v>
      </c>
      <c r="W2798" s="31" t="s">
        <v>532</v>
      </c>
    </row>
    <row r="2799">
      <c r="A2799" s="29">
        <v>45978.75240077546</v>
      </c>
      <c r="B2799" s="30">
        <v>45978.0</v>
      </c>
      <c r="C2799" s="31" t="s">
        <v>8467</v>
      </c>
      <c r="D2799" s="32" t="s">
        <v>8468</v>
      </c>
      <c r="E2799" s="31" t="s">
        <v>31</v>
      </c>
      <c r="F2799" s="31">
        <v>4599000.0</v>
      </c>
      <c r="G2799" s="31" t="s">
        <v>23</v>
      </c>
      <c r="I2799" s="31" t="s">
        <v>229</v>
      </c>
      <c r="J2799" s="31" t="s">
        <v>967</v>
      </c>
      <c r="K2799" s="33" t="s">
        <v>8469</v>
      </c>
      <c r="L2799" s="31" t="s">
        <v>202</v>
      </c>
      <c r="N2799" s="31" t="s">
        <v>204</v>
      </c>
      <c r="R2799" s="31" t="s">
        <v>207</v>
      </c>
    </row>
    <row r="2800">
      <c r="A2800" s="29">
        <v>45978.76836456019</v>
      </c>
      <c r="B2800" s="30">
        <v>45978.0</v>
      </c>
      <c r="C2800" s="31" t="s">
        <v>8470</v>
      </c>
      <c r="D2800" s="32" t="s">
        <v>8471</v>
      </c>
      <c r="E2800" s="31" t="s">
        <v>43</v>
      </c>
      <c r="F2800" s="31">
        <v>6000000.0</v>
      </c>
      <c r="G2800" s="31" t="s">
        <v>23</v>
      </c>
      <c r="I2800" s="31" t="s">
        <v>229</v>
      </c>
      <c r="J2800" s="31" t="s">
        <v>967</v>
      </c>
      <c r="K2800" s="33" t="s">
        <v>8472</v>
      </c>
      <c r="L2800" s="31" t="s">
        <v>202</v>
      </c>
      <c r="N2800" s="31" t="s">
        <v>220</v>
      </c>
      <c r="S2800" s="31" t="s">
        <v>536</v>
      </c>
    </row>
    <row r="2801">
      <c r="A2801" s="29">
        <v>45978.77029865741</v>
      </c>
      <c r="B2801" s="30">
        <v>45978.0</v>
      </c>
      <c r="C2801" s="31" t="s">
        <v>8473</v>
      </c>
      <c r="D2801" s="32" t="s">
        <v>8474</v>
      </c>
      <c r="E2801" s="31" t="s">
        <v>31</v>
      </c>
      <c r="F2801" s="31">
        <v>1.0E7</v>
      </c>
      <c r="G2801" s="31" t="s">
        <v>23</v>
      </c>
      <c r="I2801" s="31" t="s">
        <v>229</v>
      </c>
      <c r="J2801" s="31" t="s">
        <v>967</v>
      </c>
      <c r="K2801" s="33" t="s">
        <v>8475</v>
      </c>
      <c r="L2801" s="31" t="s">
        <v>202</v>
      </c>
      <c r="N2801" s="31" t="s">
        <v>220</v>
      </c>
      <c r="S2801" s="31" t="s">
        <v>83</v>
      </c>
    </row>
    <row r="2802">
      <c r="A2802" s="29">
        <v>45978.791493067125</v>
      </c>
      <c r="B2802" s="30">
        <v>45978.0</v>
      </c>
      <c r="C2802" s="31" t="s">
        <v>8476</v>
      </c>
      <c r="D2802" s="31">
        <v>0.0</v>
      </c>
      <c r="E2802" s="31" t="s">
        <v>199</v>
      </c>
      <c r="F2802" s="34">
        <v>5300.0</v>
      </c>
      <c r="G2802" s="31" t="s">
        <v>45</v>
      </c>
      <c r="H2802" s="34">
        <v>12000.0</v>
      </c>
      <c r="I2802" s="31" t="s">
        <v>413</v>
      </c>
      <c r="K2802" s="33" t="s">
        <v>8477</v>
      </c>
      <c r="L2802" s="31" t="s">
        <v>202</v>
      </c>
      <c r="M2802" s="31" t="s">
        <v>605</v>
      </c>
      <c r="N2802" s="31" t="s">
        <v>204</v>
      </c>
      <c r="R2802" s="31" t="s">
        <v>171</v>
      </c>
    </row>
    <row r="2803">
      <c r="A2803" s="29">
        <v>45978.7941940625</v>
      </c>
      <c r="B2803" s="30">
        <v>45978.0</v>
      </c>
      <c r="C2803" s="31" t="s">
        <v>8478</v>
      </c>
      <c r="D2803" s="31">
        <v>0.0</v>
      </c>
      <c r="E2803" s="31" t="s">
        <v>288</v>
      </c>
      <c r="F2803" s="34">
        <v>2100.0</v>
      </c>
      <c r="G2803" s="31" t="s">
        <v>23</v>
      </c>
      <c r="I2803" s="31" t="s">
        <v>229</v>
      </c>
      <c r="J2803" s="31" t="s">
        <v>967</v>
      </c>
      <c r="K2803" s="33" t="s">
        <v>8479</v>
      </c>
      <c r="L2803" s="31" t="s">
        <v>202</v>
      </c>
      <c r="N2803" s="31" t="s">
        <v>204</v>
      </c>
      <c r="R2803" s="31" t="s">
        <v>171</v>
      </c>
    </row>
    <row r="2804">
      <c r="A2804" s="29">
        <v>45978.79641313657</v>
      </c>
      <c r="B2804" s="30">
        <v>45978.0</v>
      </c>
      <c r="C2804" s="31" t="s">
        <v>8480</v>
      </c>
      <c r="D2804" s="31">
        <v>0.0</v>
      </c>
      <c r="E2804" s="31" t="s">
        <v>228</v>
      </c>
      <c r="F2804" s="34">
        <v>2500.0</v>
      </c>
      <c r="G2804" s="31" t="s">
        <v>23</v>
      </c>
      <c r="I2804" s="31" t="s">
        <v>229</v>
      </c>
      <c r="J2804" s="31" t="s">
        <v>967</v>
      </c>
      <c r="K2804" s="33" t="s">
        <v>8481</v>
      </c>
      <c r="L2804" s="31" t="s">
        <v>202</v>
      </c>
      <c r="N2804" s="31" t="s">
        <v>204</v>
      </c>
      <c r="R2804" s="31" t="s">
        <v>171</v>
      </c>
    </row>
    <row r="2805">
      <c r="A2805" s="29">
        <v>45978.80250150463</v>
      </c>
      <c r="B2805" s="30">
        <v>45978.0</v>
      </c>
      <c r="C2805" s="31" t="s">
        <v>8482</v>
      </c>
      <c r="D2805" s="32" t="s">
        <v>8483</v>
      </c>
      <c r="E2805" s="31" t="s">
        <v>31</v>
      </c>
      <c r="F2805" s="31">
        <v>5499000.0</v>
      </c>
      <c r="G2805" s="31" t="s">
        <v>45</v>
      </c>
      <c r="I2805" s="31" t="s">
        <v>229</v>
      </c>
      <c r="J2805" s="31" t="s">
        <v>967</v>
      </c>
      <c r="K2805" s="33" t="s">
        <v>8484</v>
      </c>
      <c r="L2805" s="31" t="s">
        <v>202</v>
      </c>
      <c r="N2805" s="31" t="s">
        <v>204</v>
      </c>
      <c r="R2805" s="31" t="s">
        <v>207</v>
      </c>
    </row>
    <row r="2806">
      <c r="A2806" s="29">
        <v>45978.81596929398</v>
      </c>
      <c r="B2806" s="30" t="s">
        <v>8485</v>
      </c>
      <c r="C2806" s="31" t="s">
        <v>8486</v>
      </c>
      <c r="D2806" s="32" t="s">
        <v>8487</v>
      </c>
      <c r="E2806" s="31" t="s">
        <v>31</v>
      </c>
      <c r="F2806" s="31">
        <v>1000000.0</v>
      </c>
      <c r="G2806" s="31" t="s">
        <v>23</v>
      </c>
      <c r="I2806" s="31" t="s">
        <v>229</v>
      </c>
      <c r="J2806" s="31" t="s">
        <v>967</v>
      </c>
      <c r="K2806" s="33" t="s">
        <v>8488</v>
      </c>
      <c r="L2806" s="31" t="s">
        <v>202</v>
      </c>
      <c r="N2806" s="31" t="s">
        <v>215</v>
      </c>
      <c r="W2806" s="31" t="s">
        <v>216</v>
      </c>
    </row>
    <row r="2807">
      <c r="A2807" s="29">
        <v>45978.81915519676</v>
      </c>
      <c r="B2807" s="30">
        <v>45978.0</v>
      </c>
      <c r="C2807" s="31" t="s">
        <v>654</v>
      </c>
      <c r="D2807" s="32" t="s">
        <v>655</v>
      </c>
      <c r="E2807" s="31" t="s">
        <v>43</v>
      </c>
      <c r="F2807" s="31">
        <v>3000000.0</v>
      </c>
      <c r="G2807" s="31" t="s">
        <v>23</v>
      </c>
      <c r="I2807" s="31" t="s">
        <v>229</v>
      </c>
      <c r="J2807" s="31" t="s">
        <v>967</v>
      </c>
      <c r="K2807" s="33" t="s">
        <v>8489</v>
      </c>
      <c r="L2807" s="31" t="s">
        <v>202</v>
      </c>
      <c r="N2807" s="31" t="s">
        <v>220</v>
      </c>
      <c r="S2807" s="31" t="s">
        <v>36</v>
      </c>
    </row>
    <row r="2808">
      <c r="A2808" s="29">
        <v>45978.821740810185</v>
      </c>
      <c r="B2808" s="30">
        <v>45978.0</v>
      </c>
      <c r="C2808" s="31" t="s">
        <v>8490</v>
      </c>
      <c r="D2808" s="32" t="s">
        <v>8491</v>
      </c>
      <c r="E2808" s="31" t="s">
        <v>239</v>
      </c>
      <c r="F2808" s="31">
        <v>2000000.0</v>
      </c>
      <c r="G2808" s="31" t="s">
        <v>23</v>
      </c>
      <c r="I2808" s="31" t="s">
        <v>229</v>
      </c>
      <c r="J2808" s="31" t="s">
        <v>967</v>
      </c>
      <c r="K2808" s="33" t="s">
        <v>8492</v>
      </c>
      <c r="L2808" s="31" t="s">
        <v>202</v>
      </c>
      <c r="N2808" s="31" t="s">
        <v>204</v>
      </c>
      <c r="R2808" s="31" t="s">
        <v>892</v>
      </c>
    </row>
    <row r="2809">
      <c r="A2809" s="29">
        <v>45978.828540057875</v>
      </c>
      <c r="B2809" s="30">
        <v>45978.0</v>
      </c>
      <c r="C2809" s="31" t="s">
        <v>8493</v>
      </c>
      <c r="D2809" s="32" t="s">
        <v>8494</v>
      </c>
      <c r="E2809" s="31" t="s">
        <v>156</v>
      </c>
      <c r="F2809" s="31">
        <v>3300000.0</v>
      </c>
      <c r="G2809" s="31" t="s">
        <v>23</v>
      </c>
      <c r="H2809" s="31">
        <v>3000000.0</v>
      </c>
      <c r="I2809" s="31" t="s">
        <v>200</v>
      </c>
      <c r="K2809" s="33" t="s">
        <v>8495</v>
      </c>
      <c r="L2809" s="31" t="s">
        <v>252</v>
      </c>
      <c r="M2809" s="31" t="s">
        <v>5638</v>
      </c>
      <c r="O2809" s="31" t="s">
        <v>205</v>
      </c>
      <c r="X2809" s="31" t="s">
        <v>569</v>
      </c>
    </row>
    <row r="2810">
      <c r="A2810" s="29">
        <v>45978.83271939815</v>
      </c>
      <c r="B2810" s="30">
        <v>45978.0</v>
      </c>
      <c r="C2810" s="31" t="s">
        <v>8496</v>
      </c>
      <c r="D2810" s="32" t="s">
        <v>8497</v>
      </c>
      <c r="E2810" s="31" t="s">
        <v>43</v>
      </c>
      <c r="F2810" s="31">
        <v>3300000.0</v>
      </c>
      <c r="G2810" s="31" t="s">
        <v>23</v>
      </c>
      <c r="I2810" s="31" t="s">
        <v>229</v>
      </c>
      <c r="J2810" s="31" t="s">
        <v>967</v>
      </c>
      <c r="K2810" s="33" t="s">
        <v>8498</v>
      </c>
      <c r="L2810" s="31" t="s">
        <v>252</v>
      </c>
      <c r="O2810" s="31" t="s">
        <v>205</v>
      </c>
      <c r="X2810" s="31" t="s">
        <v>569</v>
      </c>
    </row>
    <row r="2811">
      <c r="A2811" s="29">
        <v>45978.83445726852</v>
      </c>
      <c r="B2811" s="30">
        <v>45978.0</v>
      </c>
      <c r="C2811" s="31" t="s">
        <v>8499</v>
      </c>
      <c r="D2811" s="32" t="s">
        <v>8500</v>
      </c>
      <c r="E2811" s="31" t="s">
        <v>43</v>
      </c>
      <c r="F2811" s="31">
        <v>3600000.0</v>
      </c>
      <c r="G2811" s="31" t="s">
        <v>23</v>
      </c>
      <c r="I2811" s="31" t="s">
        <v>229</v>
      </c>
      <c r="J2811" s="31" t="s">
        <v>967</v>
      </c>
      <c r="K2811" s="33" t="s">
        <v>8501</v>
      </c>
      <c r="L2811" s="31" t="s">
        <v>252</v>
      </c>
      <c r="O2811" s="31" t="s">
        <v>205</v>
      </c>
      <c r="X2811" s="31" t="s">
        <v>569</v>
      </c>
    </row>
    <row r="2812">
      <c r="A2812" s="29">
        <v>45978.83797122685</v>
      </c>
      <c r="B2812" s="30">
        <v>45978.0</v>
      </c>
      <c r="C2812" s="31" t="s">
        <v>8502</v>
      </c>
      <c r="D2812" s="32" t="s">
        <v>8361</v>
      </c>
      <c r="E2812" s="31" t="s">
        <v>43</v>
      </c>
      <c r="F2812" s="31">
        <v>4100000.0</v>
      </c>
      <c r="G2812" s="31" t="s">
        <v>23</v>
      </c>
      <c r="H2812" s="31">
        <v>3000000.0</v>
      </c>
      <c r="I2812" s="31" t="s">
        <v>200</v>
      </c>
      <c r="K2812" s="33" t="s">
        <v>8503</v>
      </c>
      <c r="L2812" s="31" t="s">
        <v>252</v>
      </c>
      <c r="M2812" s="31" t="s">
        <v>203</v>
      </c>
      <c r="O2812" s="31" t="s">
        <v>205</v>
      </c>
      <c r="X2812" s="31" t="s">
        <v>716</v>
      </c>
    </row>
    <row r="2813">
      <c r="A2813" s="29">
        <v>45978.839998043986</v>
      </c>
      <c r="B2813" s="30">
        <v>45978.0</v>
      </c>
      <c r="C2813" s="31" t="s">
        <v>8504</v>
      </c>
      <c r="D2813" s="32" t="s">
        <v>8505</v>
      </c>
      <c r="E2813" s="31" t="s">
        <v>2902</v>
      </c>
      <c r="F2813" s="31">
        <v>3000000.0</v>
      </c>
      <c r="G2813" s="31" t="s">
        <v>23</v>
      </c>
      <c r="H2813" s="31">
        <v>3000000.0</v>
      </c>
      <c r="I2813" s="31" t="s">
        <v>413</v>
      </c>
      <c r="K2813" s="33" t="s">
        <v>8506</v>
      </c>
      <c r="L2813" s="31" t="s">
        <v>202</v>
      </c>
      <c r="M2813" s="31" t="s">
        <v>926</v>
      </c>
      <c r="N2813" s="31" t="s">
        <v>220</v>
      </c>
      <c r="S2813" s="31" t="s">
        <v>36</v>
      </c>
    </row>
    <row r="2814">
      <c r="A2814" s="29">
        <v>45978.84245589121</v>
      </c>
      <c r="B2814" s="30">
        <v>45978.0</v>
      </c>
      <c r="C2814" s="31" t="s">
        <v>8507</v>
      </c>
      <c r="D2814" s="32" t="s">
        <v>8508</v>
      </c>
      <c r="E2814" s="31" t="s">
        <v>2902</v>
      </c>
      <c r="F2814" s="31">
        <v>3000000.0</v>
      </c>
      <c r="G2814" s="31" t="s">
        <v>23</v>
      </c>
      <c r="I2814" s="31" t="s">
        <v>229</v>
      </c>
      <c r="J2814" s="31" t="s">
        <v>967</v>
      </c>
      <c r="K2814" s="33" t="s">
        <v>8509</v>
      </c>
      <c r="L2814" s="31" t="s">
        <v>202</v>
      </c>
      <c r="N2814" s="31" t="s">
        <v>220</v>
      </c>
      <c r="S2814" s="31" t="s">
        <v>36</v>
      </c>
    </row>
    <row r="2815">
      <c r="A2815" s="29">
        <v>45978.84542819444</v>
      </c>
      <c r="B2815" s="30">
        <v>45978.0</v>
      </c>
      <c r="C2815" s="31" t="s">
        <v>8510</v>
      </c>
      <c r="D2815" s="32" t="s">
        <v>8511</v>
      </c>
      <c r="E2815" s="31" t="s">
        <v>43</v>
      </c>
      <c r="F2815" s="31">
        <v>4500000.0</v>
      </c>
      <c r="G2815" s="31" t="s">
        <v>23</v>
      </c>
      <c r="I2815" s="31" t="s">
        <v>229</v>
      </c>
      <c r="J2815" s="31" t="s">
        <v>967</v>
      </c>
      <c r="K2815" s="33" t="s">
        <v>8512</v>
      </c>
      <c r="L2815" s="31" t="s">
        <v>252</v>
      </c>
      <c r="O2815" s="31" t="s">
        <v>205</v>
      </c>
      <c r="X2815" s="31" t="s">
        <v>2335</v>
      </c>
    </row>
    <row r="2816">
      <c r="A2816" s="29">
        <v>45979.395905150464</v>
      </c>
      <c r="B2816" s="30">
        <v>45979.0</v>
      </c>
      <c r="C2816" s="31" t="s">
        <v>8513</v>
      </c>
      <c r="D2816" s="32" t="s">
        <v>8514</v>
      </c>
      <c r="E2816" s="31" t="s">
        <v>43</v>
      </c>
      <c r="F2816" s="31">
        <v>8000000.0</v>
      </c>
      <c r="G2816" s="31" t="s">
        <v>45</v>
      </c>
      <c r="I2816" s="31" t="s">
        <v>229</v>
      </c>
      <c r="J2816" s="31" t="s">
        <v>967</v>
      </c>
      <c r="K2816" s="33" t="s">
        <v>8515</v>
      </c>
      <c r="L2816" s="31" t="s">
        <v>202</v>
      </c>
      <c r="N2816" s="31" t="s">
        <v>220</v>
      </c>
      <c r="S2816" s="31" t="s">
        <v>5670</v>
      </c>
    </row>
    <row r="2817">
      <c r="A2817" s="29">
        <v>45979.41589834491</v>
      </c>
      <c r="B2817" s="30">
        <v>45979.0</v>
      </c>
      <c r="C2817" s="31" t="s">
        <v>8516</v>
      </c>
      <c r="D2817" s="32" t="s">
        <v>8517</v>
      </c>
      <c r="E2817" s="31" t="s">
        <v>239</v>
      </c>
      <c r="F2817" s="31">
        <v>2000000.0</v>
      </c>
      <c r="G2817" s="31" t="s">
        <v>23</v>
      </c>
      <c r="I2817" s="31" t="s">
        <v>229</v>
      </c>
      <c r="J2817" s="31" t="s">
        <v>967</v>
      </c>
      <c r="K2817" s="33" t="s">
        <v>8518</v>
      </c>
      <c r="L2817" s="31" t="s">
        <v>252</v>
      </c>
      <c r="O2817" s="31" t="s">
        <v>205</v>
      </c>
      <c r="X2817" s="31" t="s">
        <v>1471</v>
      </c>
    </row>
    <row r="2818">
      <c r="A2818" s="29">
        <v>45979.43980825231</v>
      </c>
      <c r="B2818" s="30">
        <v>45979.0</v>
      </c>
      <c r="C2818" s="31" t="s">
        <v>8519</v>
      </c>
      <c r="D2818" s="32" t="s">
        <v>8520</v>
      </c>
      <c r="E2818" s="31" t="s">
        <v>8521</v>
      </c>
      <c r="F2818" s="31">
        <v>3000000.0</v>
      </c>
      <c r="G2818" s="31" t="s">
        <v>23</v>
      </c>
      <c r="I2818" s="31" t="s">
        <v>229</v>
      </c>
      <c r="J2818" s="31" t="s">
        <v>967</v>
      </c>
      <c r="K2818" s="33" t="s">
        <v>8522</v>
      </c>
      <c r="L2818" s="31" t="s">
        <v>252</v>
      </c>
      <c r="O2818" s="31" t="s">
        <v>205</v>
      </c>
      <c r="X2818" s="31" t="s">
        <v>1471</v>
      </c>
    </row>
    <row r="2819">
      <c r="A2819" s="29">
        <v>45979.4600722801</v>
      </c>
      <c r="B2819" s="30">
        <v>45979.0</v>
      </c>
      <c r="C2819" s="31" t="s">
        <v>8523</v>
      </c>
      <c r="D2819" s="32" t="s">
        <v>8524</v>
      </c>
      <c r="E2819" s="31" t="s">
        <v>43</v>
      </c>
      <c r="F2819" s="31">
        <v>2700000.0</v>
      </c>
      <c r="G2819" s="31" t="s">
        <v>23</v>
      </c>
      <c r="I2819" s="31" t="s">
        <v>229</v>
      </c>
      <c r="J2819" s="31" t="s">
        <v>967</v>
      </c>
      <c r="K2819" s="33" t="s">
        <v>8525</v>
      </c>
      <c r="L2819" s="31" t="s">
        <v>202</v>
      </c>
      <c r="N2819" s="31" t="s">
        <v>667</v>
      </c>
      <c r="U2819" s="31" t="s">
        <v>3950</v>
      </c>
    </row>
    <row r="2820">
      <c r="A2820" s="29">
        <v>45979.46205364584</v>
      </c>
      <c r="B2820" s="30">
        <v>45979.0</v>
      </c>
      <c r="C2820" s="31" t="s">
        <v>8526</v>
      </c>
      <c r="D2820" s="32" t="s">
        <v>8527</v>
      </c>
      <c r="E2820" s="31" t="s">
        <v>2902</v>
      </c>
      <c r="F2820" s="31">
        <v>3000000.0</v>
      </c>
      <c r="G2820" s="31" t="s">
        <v>23</v>
      </c>
      <c r="H2820" s="31">
        <v>3000000.0</v>
      </c>
      <c r="I2820" s="31" t="s">
        <v>413</v>
      </c>
      <c r="K2820" s="33" t="s">
        <v>8528</v>
      </c>
      <c r="L2820" s="31" t="s">
        <v>202</v>
      </c>
      <c r="M2820" s="31" t="s">
        <v>203</v>
      </c>
      <c r="N2820" s="31" t="s">
        <v>220</v>
      </c>
      <c r="S2820" s="31" t="s">
        <v>36</v>
      </c>
    </row>
    <row r="2821">
      <c r="A2821" s="29">
        <v>45979.469659560185</v>
      </c>
      <c r="B2821" s="30">
        <v>45979.0</v>
      </c>
      <c r="C2821" s="31" t="s">
        <v>8529</v>
      </c>
      <c r="D2821" s="31">
        <v>0.0</v>
      </c>
      <c r="E2821" s="31" t="s">
        <v>43</v>
      </c>
      <c r="F2821" s="32" t="s">
        <v>5089</v>
      </c>
      <c r="G2821" s="31" t="s">
        <v>23</v>
      </c>
      <c r="H2821" s="31">
        <v>3000000.0</v>
      </c>
      <c r="I2821" s="31" t="s">
        <v>200</v>
      </c>
      <c r="K2821" s="33" t="s">
        <v>8530</v>
      </c>
      <c r="L2821" s="31" t="s">
        <v>252</v>
      </c>
      <c r="M2821" s="31" t="s">
        <v>5638</v>
      </c>
      <c r="O2821" s="31" t="s">
        <v>257</v>
      </c>
      <c r="P2821" s="31" t="s">
        <v>992</v>
      </c>
    </row>
    <row r="2822">
      <c r="A2822" s="29">
        <v>45979.48064006944</v>
      </c>
      <c r="B2822" s="30">
        <v>45979.0</v>
      </c>
      <c r="C2822" s="31" t="s">
        <v>8531</v>
      </c>
      <c r="D2822" s="32" t="s">
        <v>5070</v>
      </c>
      <c r="E2822" s="31" t="s">
        <v>31</v>
      </c>
      <c r="F2822" s="31">
        <v>3000000.0</v>
      </c>
      <c r="G2822" s="31" t="s">
        <v>23</v>
      </c>
      <c r="I2822" s="31" t="s">
        <v>229</v>
      </c>
      <c r="J2822" s="31" t="s">
        <v>498</v>
      </c>
      <c r="K2822" s="33" t="s">
        <v>8532</v>
      </c>
      <c r="L2822" s="31" t="s">
        <v>202</v>
      </c>
      <c r="N2822" s="31" t="s">
        <v>500</v>
      </c>
      <c r="V2822" s="31" t="s">
        <v>501</v>
      </c>
    </row>
    <row r="2823">
      <c r="A2823" s="29">
        <v>45979.49279924769</v>
      </c>
      <c r="B2823" s="30">
        <v>45979.0</v>
      </c>
      <c r="C2823" s="31" t="s">
        <v>8533</v>
      </c>
      <c r="D2823" s="32" t="s">
        <v>8534</v>
      </c>
      <c r="E2823" s="31" t="s">
        <v>2902</v>
      </c>
      <c r="F2823" s="31">
        <v>3700000.0</v>
      </c>
      <c r="G2823" s="31" t="s">
        <v>23</v>
      </c>
      <c r="I2823" s="31" t="s">
        <v>229</v>
      </c>
      <c r="J2823" s="31" t="s">
        <v>967</v>
      </c>
      <c r="K2823" s="33" t="s">
        <v>8535</v>
      </c>
      <c r="L2823" s="31" t="s">
        <v>202</v>
      </c>
      <c r="N2823" s="31" t="s">
        <v>220</v>
      </c>
      <c r="S2823" s="31" t="s">
        <v>36</v>
      </c>
    </row>
    <row r="2824">
      <c r="A2824" s="29">
        <v>45979.49323503472</v>
      </c>
      <c r="B2824" s="30">
        <v>45979.0</v>
      </c>
      <c r="C2824" s="31" t="s">
        <v>8536</v>
      </c>
      <c r="D2824" s="32" t="s">
        <v>8537</v>
      </c>
      <c r="E2824" s="31" t="s">
        <v>43</v>
      </c>
      <c r="F2824" s="31">
        <v>3000000.0</v>
      </c>
      <c r="G2824" s="31" t="s">
        <v>23</v>
      </c>
      <c r="I2824" s="31" t="s">
        <v>229</v>
      </c>
      <c r="J2824" s="31" t="s">
        <v>967</v>
      </c>
      <c r="K2824" s="33" t="s">
        <v>8538</v>
      </c>
      <c r="L2824" s="31" t="s">
        <v>252</v>
      </c>
      <c r="O2824" s="31" t="s">
        <v>205</v>
      </c>
      <c r="X2824" s="31" t="s">
        <v>549</v>
      </c>
    </row>
    <row r="2825">
      <c r="A2825" s="29">
        <v>45979.49343153935</v>
      </c>
      <c r="B2825" s="30">
        <v>45979.0</v>
      </c>
      <c r="C2825" s="31" t="s">
        <v>8539</v>
      </c>
      <c r="D2825" s="32" t="s">
        <v>8540</v>
      </c>
      <c r="E2825" s="31" t="s">
        <v>288</v>
      </c>
      <c r="F2825" s="31">
        <v>1300000.0</v>
      </c>
      <c r="G2825" s="31" t="s">
        <v>23</v>
      </c>
      <c r="I2825" s="31" t="s">
        <v>229</v>
      </c>
      <c r="J2825" s="31" t="s">
        <v>967</v>
      </c>
      <c r="K2825" s="33" t="s">
        <v>8541</v>
      </c>
      <c r="L2825" s="31" t="s">
        <v>202</v>
      </c>
      <c r="N2825" s="31" t="s">
        <v>220</v>
      </c>
      <c r="S2825" s="31" t="s">
        <v>913</v>
      </c>
    </row>
    <row r="2826">
      <c r="A2826" s="29">
        <v>45979.51190784722</v>
      </c>
      <c r="B2826" s="30">
        <v>45979.0</v>
      </c>
      <c r="C2826" s="31" t="s">
        <v>8542</v>
      </c>
      <c r="D2826" s="32" t="s">
        <v>8543</v>
      </c>
      <c r="E2826" s="31" t="s">
        <v>43</v>
      </c>
      <c r="F2826" s="31">
        <v>3200000.0</v>
      </c>
      <c r="G2826" s="31" t="s">
        <v>23</v>
      </c>
      <c r="H2826" s="31">
        <v>3000000.0</v>
      </c>
      <c r="I2826" s="31" t="s">
        <v>413</v>
      </c>
      <c r="K2826" s="33" t="s">
        <v>8544</v>
      </c>
      <c r="L2826" s="31" t="s">
        <v>202</v>
      </c>
      <c r="M2826" s="31" t="s">
        <v>5638</v>
      </c>
      <c r="N2826" s="31" t="s">
        <v>204</v>
      </c>
      <c r="R2826" s="31" t="s">
        <v>53</v>
      </c>
    </row>
    <row r="2827">
      <c r="A2827" s="29">
        <v>45979.52117280093</v>
      </c>
      <c r="B2827" s="30">
        <v>45979.0</v>
      </c>
      <c r="C2827" s="31" t="s">
        <v>8545</v>
      </c>
      <c r="D2827" s="32" t="s">
        <v>8546</v>
      </c>
      <c r="E2827" s="31" t="s">
        <v>43</v>
      </c>
      <c r="F2827" s="31">
        <v>9600000.0</v>
      </c>
      <c r="G2827" s="31" t="s">
        <v>23</v>
      </c>
      <c r="H2827" s="31">
        <v>3000000.0</v>
      </c>
      <c r="I2827" s="31" t="s">
        <v>200</v>
      </c>
      <c r="K2827" s="33" t="s">
        <v>8547</v>
      </c>
      <c r="L2827" s="31" t="s">
        <v>202</v>
      </c>
      <c r="M2827" s="31" t="s">
        <v>5638</v>
      </c>
      <c r="N2827" s="31" t="s">
        <v>313</v>
      </c>
      <c r="T2827" s="31" t="s">
        <v>314</v>
      </c>
    </row>
    <row r="2828">
      <c r="A2828" s="29">
        <v>45979.5336114699</v>
      </c>
      <c r="B2828" s="30">
        <v>45979.0</v>
      </c>
      <c r="C2828" s="31" t="s">
        <v>8548</v>
      </c>
      <c r="D2828" s="32" t="s">
        <v>8549</v>
      </c>
      <c r="E2828" s="31" t="s">
        <v>261</v>
      </c>
      <c r="F2828" s="31">
        <v>3000000.0</v>
      </c>
      <c r="G2828" s="31" t="s">
        <v>23</v>
      </c>
      <c r="I2828" s="31" t="s">
        <v>229</v>
      </c>
      <c r="J2828" s="31" t="s">
        <v>967</v>
      </c>
      <c r="K2828" s="33" t="s">
        <v>8550</v>
      </c>
      <c r="L2828" s="31" t="s">
        <v>202</v>
      </c>
      <c r="N2828" s="31" t="s">
        <v>871</v>
      </c>
      <c r="Q2828" s="31" t="s">
        <v>872</v>
      </c>
    </row>
    <row r="2829">
      <c r="A2829" s="29">
        <v>45979.53984695602</v>
      </c>
      <c r="B2829" s="30">
        <v>45979.0</v>
      </c>
      <c r="C2829" s="31" t="s">
        <v>8551</v>
      </c>
      <c r="D2829" s="32" t="s">
        <v>8549</v>
      </c>
      <c r="E2829" s="31" t="s">
        <v>239</v>
      </c>
      <c r="F2829" s="31">
        <v>3000000.0</v>
      </c>
      <c r="G2829" s="31" t="s">
        <v>23</v>
      </c>
      <c r="I2829" s="31" t="s">
        <v>229</v>
      </c>
      <c r="J2829" s="31" t="s">
        <v>967</v>
      </c>
      <c r="K2829" s="33" t="s">
        <v>8552</v>
      </c>
      <c r="L2829" s="31" t="s">
        <v>202</v>
      </c>
      <c r="N2829" s="31" t="s">
        <v>871</v>
      </c>
      <c r="Q2829" s="31" t="s">
        <v>872</v>
      </c>
    </row>
    <row r="2830">
      <c r="A2830" s="29">
        <v>45979.558736782405</v>
      </c>
      <c r="B2830" s="30">
        <v>45979.0</v>
      </c>
      <c r="C2830" s="31" t="s">
        <v>8553</v>
      </c>
      <c r="D2830" s="32" t="s">
        <v>8554</v>
      </c>
      <c r="E2830" s="31" t="s">
        <v>43</v>
      </c>
      <c r="F2830" s="31">
        <v>3000000.0</v>
      </c>
      <c r="G2830" s="31" t="s">
        <v>23</v>
      </c>
      <c r="I2830" s="31" t="s">
        <v>229</v>
      </c>
      <c r="J2830" s="31" t="s">
        <v>967</v>
      </c>
      <c r="K2830" s="33" t="s">
        <v>8555</v>
      </c>
      <c r="L2830" s="31" t="s">
        <v>202</v>
      </c>
      <c r="N2830" s="31" t="s">
        <v>871</v>
      </c>
      <c r="Q2830" s="31" t="s">
        <v>872</v>
      </c>
    </row>
    <row r="2831">
      <c r="A2831" s="29">
        <v>45979.576679756945</v>
      </c>
      <c r="B2831" s="30">
        <v>45979.0</v>
      </c>
      <c r="C2831" s="31" t="s">
        <v>8556</v>
      </c>
      <c r="D2831" s="32" t="s">
        <v>8557</v>
      </c>
      <c r="E2831" s="31" t="s">
        <v>43</v>
      </c>
      <c r="F2831" s="31">
        <v>4000000.0</v>
      </c>
      <c r="G2831" s="31" t="s">
        <v>23</v>
      </c>
      <c r="H2831" s="31">
        <v>7000000.0</v>
      </c>
      <c r="I2831" s="31" t="s">
        <v>413</v>
      </c>
      <c r="K2831" s="31" t="s">
        <v>8558</v>
      </c>
      <c r="L2831" s="31" t="s">
        <v>202</v>
      </c>
      <c r="M2831" s="31" t="s">
        <v>5638</v>
      </c>
      <c r="N2831" s="31" t="s">
        <v>220</v>
      </c>
      <c r="S2831" s="31" t="s">
        <v>8401</v>
      </c>
    </row>
    <row r="2832">
      <c r="A2832" s="29">
        <v>45979.5934472338</v>
      </c>
      <c r="B2832" s="30">
        <v>45979.0</v>
      </c>
      <c r="C2832" s="31" t="s">
        <v>8559</v>
      </c>
      <c r="D2832" s="31" t="s">
        <v>8560</v>
      </c>
      <c r="E2832" s="31" t="s">
        <v>288</v>
      </c>
      <c r="F2832" s="31">
        <v>3000000.0</v>
      </c>
      <c r="G2832" s="31" t="s">
        <v>23</v>
      </c>
      <c r="I2832" s="31" t="s">
        <v>229</v>
      </c>
      <c r="J2832" s="31" t="s">
        <v>967</v>
      </c>
      <c r="K2832" s="33" t="s">
        <v>8561</v>
      </c>
      <c r="L2832" s="31" t="s">
        <v>202</v>
      </c>
      <c r="N2832" s="31" t="s">
        <v>220</v>
      </c>
      <c r="S2832" s="31" t="s">
        <v>8401</v>
      </c>
    </row>
    <row r="2833">
      <c r="A2833" s="29">
        <v>45979.59927229167</v>
      </c>
      <c r="B2833" s="30">
        <v>45979.0</v>
      </c>
      <c r="C2833" s="31" t="s">
        <v>8562</v>
      </c>
      <c r="D2833" s="32" t="s">
        <v>8563</v>
      </c>
      <c r="E2833" s="31" t="s">
        <v>199</v>
      </c>
      <c r="F2833" s="31">
        <v>6800000.0</v>
      </c>
      <c r="G2833" s="31" t="s">
        <v>45</v>
      </c>
      <c r="H2833" s="31">
        <v>5000000.0</v>
      </c>
      <c r="I2833" s="31" t="s">
        <v>200</v>
      </c>
      <c r="K2833" s="33" t="s">
        <v>8564</v>
      </c>
      <c r="L2833" s="31" t="s">
        <v>252</v>
      </c>
      <c r="M2833" s="31" t="s">
        <v>203</v>
      </c>
      <c r="O2833" s="31" t="s">
        <v>205</v>
      </c>
      <c r="X2833" s="31" t="s">
        <v>2335</v>
      </c>
    </row>
    <row r="2834">
      <c r="A2834" s="29">
        <v>45979.60189556713</v>
      </c>
      <c r="B2834" s="30">
        <v>45979.0</v>
      </c>
      <c r="C2834" s="31" t="s">
        <v>8565</v>
      </c>
      <c r="D2834" s="32" t="s">
        <v>8566</v>
      </c>
      <c r="E2834" s="31" t="s">
        <v>43</v>
      </c>
      <c r="F2834" s="31">
        <v>3600000.0</v>
      </c>
      <c r="G2834" s="31" t="s">
        <v>23</v>
      </c>
      <c r="H2834" s="31">
        <v>3000000.0</v>
      </c>
      <c r="I2834" s="31" t="s">
        <v>200</v>
      </c>
      <c r="K2834" s="33" t="s">
        <v>8567</v>
      </c>
      <c r="L2834" s="31" t="s">
        <v>252</v>
      </c>
      <c r="M2834" s="31" t="s">
        <v>5638</v>
      </c>
      <c r="O2834" s="31" t="s">
        <v>205</v>
      </c>
      <c r="X2834" s="31" t="s">
        <v>2335</v>
      </c>
    </row>
    <row r="2835">
      <c r="A2835" s="29">
        <v>45979.62354920139</v>
      </c>
      <c r="B2835" s="30">
        <v>45979.0</v>
      </c>
      <c r="C2835" s="31" t="s">
        <v>8568</v>
      </c>
      <c r="D2835" s="32" t="s">
        <v>8569</v>
      </c>
      <c r="E2835" s="31" t="s">
        <v>43</v>
      </c>
      <c r="F2835" s="31">
        <v>5499000.0</v>
      </c>
      <c r="G2835" s="31" t="s">
        <v>23</v>
      </c>
      <c r="I2835" s="31" t="s">
        <v>229</v>
      </c>
      <c r="J2835" s="31" t="s">
        <v>967</v>
      </c>
      <c r="K2835" s="33" t="s">
        <v>8570</v>
      </c>
      <c r="L2835" s="31" t="s">
        <v>202</v>
      </c>
      <c r="N2835" s="31" t="s">
        <v>204</v>
      </c>
      <c r="R2835" s="31" t="s">
        <v>207</v>
      </c>
    </row>
    <row r="2836">
      <c r="A2836" s="29">
        <v>45979.63819540509</v>
      </c>
      <c r="B2836" s="30">
        <v>45979.0</v>
      </c>
      <c r="C2836" s="31" t="s">
        <v>8571</v>
      </c>
      <c r="D2836" s="32" t="s">
        <v>8572</v>
      </c>
      <c r="E2836" s="31" t="s">
        <v>8365</v>
      </c>
      <c r="F2836" s="31">
        <v>800000.0</v>
      </c>
      <c r="G2836" s="31" t="s">
        <v>23</v>
      </c>
      <c r="I2836" s="31" t="s">
        <v>229</v>
      </c>
      <c r="J2836" s="31" t="s">
        <v>967</v>
      </c>
      <c r="K2836" s="33" t="s">
        <v>8573</v>
      </c>
      <c r="L2836" s="31" t="s">
        <v>202</v>
      </c>
      <c r="N2836" s="31" t="s">
        <v>500</v>
      </c>
      <c r="V2836" s="31" t="s">
        <v>7537</v>
      </c>
    </row>
    <row r="2837">
      <c r="A2837" s="29">
        <v>45979.642261307876</v>
      </c>
      <c r="B2837" s="30" t="s">
        <v>8574</v>
      </c>
      <c r="C2837" s="31" t="s">
        <v>8575</v>
      </c>
      <c r="D2837" s="32" t="s">
        <v>8487</v>
      </c>
      <c r="E2837" s="31" t="s">
        <v>31</v>
      </c>
      <c r="F2837" s="31">
        <v>1500000.0</v>
      </c>
      <c r="G2837" s="31" t="s">
        <v>23</v>
      </c>
      <c r="I2837" s="31" t="s">
        <v>229</v>
      </c>
      <c r="J2837" s="31" t="s">
        <v>967</v>
      </c>
      <c r="K2837" s="33" t="s">
        <v>8576</v>
      </c>
      <c r="L2837" s="31" t="s">
        <v>202</v>
      </c>
      <c r="N2837" s="31" t="s">
        <v>215</v>
      </c>
      <c r="W2837" s="31" t="s">
        <v>216</v>
      </c>
    </row>
    <row r="2838">
      <c r="A2838" s="29">
        <v>45979.67614815972</v>
      </c>
      <c r="B2838" s="30">
        <v>45979.0</v>
      </c>
      <c r="C2838" s="31" t="s">
        <v>8577</v>
      </c>
      <c r="D2838" s="32" t="s">
        <v>8578</v>
      </c>
      <c r="E2838" s="31" t="s">
        <v>43</v>
      </c>
      <c r="F2838" s="31">
        <v>3000000.0</v>
      </c>
      <c r="G2838" s="31" t="s">
        <v>23</v>
      </c>
      <c r="I2838" s="31" t="s">
        <v>229</v>
      </c>
      <c r="J2838" s="31" t="s">
        <v>967</v>
      </c>
      <c r="K2838" s="33" t="s">
        <v>8579</v>
      </c>
      <c r="L2838" s="31" t="s">
        <v>202</v>
      </c>
      <c r="N2838" s="31" t="s">
        <v>871</v>
      </c>
      <c r="Q2838" s="31" t="s">
        <v>872</v>
      </c>
    </row>
    <row r="2839">
      <c r="A2839" s="29">
        <v>45979.71546385417</v>
      </c>
      <c r="B2839" s="30" t="s">
        <v>8574</v>
      </c>
      <c r="C2839" s="31" t="s">
        <v>8580</v>
      </c>
      <c r="D2839" s="32" t="s">
        <v>8581</v>
      </c>
      <c r="E2839" s="31" t="s">
        <v>31</v>
      </c>
      <c r="F2839" s="31">
        <v>2000000.0</v>
      </c>
      <c r="G2839" s="31" t="s">
        <v>23</v>
      </c>
      <c r="H2839" s="31">
        <v>3000000.0</v>
      </c>
      <c r="I2839" s="31" t="s">
        <v>200</v>
      </c>
      <c r="K2839" s="33" t="s">
        <v>8582</v>
      </c>
      <c r="L2839" s="31" t="s">
        <v>202</v>
      </c>
      <c r="M2839" s="31" t="s">
        <v>5638</v>
      </c>
      <c r="N2839" s="31" t="s">
        <v>215</v>
      </c>
      <c r="W2839" s="31" t="s">
        <v>216</v>
      </c>
    </row>
    <row r="2840">
      <c r="A2840" s="29">
        <v>45979.73888638889</v>
      </c>
      <c r="B2840" s="30">
        <v>45979.0</v>
      </c>
      <c r="C2840" s="31" t="s">
        <v>8583</v>
      </c>
      <c r="D2840" s="32" t="s">
        <v>8584</v>
      </c>
      <c r="E2840" s="31" t="s">
        <v>335</v>
      </c>
      <c r="F2840" s="31">
        <v>8500000.0</v>
      </c>
      <c r="G2840" s="31" t="s">
        <v>23</v>
      </c>
      <c r="I2840" s="31" t="s">
        <v>229</v>
      </c>
      <c r="J2840" s="31" t="s">
        <v>967</v>
      </c>
      <c r="K2840" s="33" t="s">
        <v>8585</v>
      </c>
      <c r="L2840" s="31" t="s">
        <v>252</v>
      </c>
      <c r="O2840" s="31" t="s">
        <v>257</v>
      </c>
      <c r="P2840" s="31" t="s">
        <v>258</v>
      </c>
    </row>
    <row r="2841">
      <c r="A2841" s="29">
        <v>45979.749336203706</v>
      </c>
      <c r="B2841" s="30" t="s">
        <v>8574</v>
      </c>
      <c r="C2841" s="31" t="s">
        <v>8586</v>
      </c>
      <c r="D2841" s="32" t="s">
        <v>8587</v>
      </c>
      <c r="E2841" s="31" t="s">
        <v>31</v>
      </c>
      <c r="F2841" s="31">
        <v>1500000.0</v>
      </c>
      <c r="G2841" s="31" t="s">
        <v>23</v>
      </c>
      <c r="H2841" s="31">
        <v>3000000.0</v>
      </c>
      <c r="I2841" s="31" t="s">
        <v>200</v>
      </c>
      <c r="K2841" s="33" t="s">
        <v>8588</v>
      </c>
      <c r="L2841" s="31" t="s">
        <v>202</v>
      </c>
      <c r="M2841" s="31" t="s">
        <v>5638</v>
      </c>
      <c r="N2841" s="31" t="s">
        <v>215</v>
      </c>
      <c r="W2841" s="31" t="s">
        <v>216</v>
      </c>
    </row>
    <row r="2842">
      <c r="A2842" s="29">
        <v>45979.76101299768</v>
      </c>
      <c r="B2842" s="30">
        <v>45979.0</v>
      </c>
      <c r="C2842" s="31" t="s">
        <v>8589</v>
      </c>
      <c r="D2842" s="32" t="s">
        <v>8590</v>
      </c>
      <c r="E2842" s="31" t="s">
        <v>199</v>
      </c>
      <c r="F2842" s="31">
        <v>2900000.0</v>
      </c>
      <c r="G2842" s="31" t="s">
        <v>23</v>
      </c>
      <c r="I2842" s="31" t="s">
        <v>229</v>
      </c>
      <c r="J2842" s="31" t="s">
        <v>967</v>
      </c>
      <c r="K2842" s="33" t="s">
        <v>8591</v>
      </c>
      <c r="L2842" s="31" t="s">
        <v>202</v>
      </c>
      <c r="N2842" s="31" t="s">
        <v>667</v>
      </c>
      <c r="U2842" s="31" t="s">
        <v>3950</v>
      </c>
    </row>
    <row r="2843">
      <c r="A2843" s="29">
        <v>45979.76176434028</v>
      </c>
      <c r="B2843" s="30">
        <v>45979.0</v>
      </c>
      <c r="C2843" s="31" t="s">
        <v>8592</v>
      </c>
      <c r="D2843" s="32" t="s">
        <v>8593</v>
      </c>
      <c r="E2843" s="31" t="s">
        <v>31</v>
      </c>
      <c r="F2843" s="31">
        <v>4599000.0</v>
      </c>
      <c r="G2843" s="31" t="s">
        <v>23</v>
      </c>
      <c r="I2843" s="31" t="s">
        <v>229</v>
      </c>
      <c r="J2843" s="31" t="s">
        <v>967</v>
      </c>
      <c r="K2843" s="33" t="s">
        <v>8594</v>
      </c>
      <c r="L2843" s="31" t="s">
        <v>202</v>
      </c>
      <c r="N2843" s="31" t="s">
        <v>204</v>
      </c>
      <c r="R2843" s="31" t="s">
        <v>207</v>
      </c>
    </row>
    <row r="2844">
      <c r="A2844" s="29">
        <v>45979.765114988426</v>
      </c>
      <c r="B2844" s="30">
        <v>45979.0</v>
      </c>
      <c r="C2844" s="31" t="s">
        <v>8595</v>
      </c>
      <c r="D2844" s="32" t="s">
        <v>8596</v>
      </c>
      <c r="E2844" s="31" t="s">
        <v>288</v>
      </c>
      <c r="F2844" s="31">
        <v>1600000.0</v>
      </c>
      <c r="G2844" s="31" t="s">
        <v>23</v>
      </c>
      <c r="I2844" s="31" t="s">
        <v>229</v>
      </c>
      <c r="J2844" s="31" t="s">
        <v>967</v>
      </c>
      <c r="K2844" s="33" t="s">
        <v>8597</v>
      </c>
      <c r="L2844" s="31" t="s">
        <v>202</v>
      </c>
      <c r="N2844" s="31" t="s">
        <v>871</v>
      </c>
      <c r="Q2844" s="31" t="s">
        <v>7424</v>
      </c>
    </row>
    <row r="2845">
      <c r="A2845" s="29">
        <v>45979.77012811342</v>
      </c>
      <c r="B2845" s="30">
        <v>45979.0</v>
      </c>
      <c r="C2845" s="31" t="s">
        <v>8598</v>
      </c>
      <c r="D2845" s="32" t="s">
        <v>8599</v>
      </c>
      <c r="E2845" s="31" t="s">
        <v>43</v>
      </c>
      <c r="F2845" s="31">
        <v>2300000.0</v>
      </c>
      <c r="G2845" s="31" t="s">
        <v>23</v>
      </c>
      <c r="I2845" s="31" t="s">
        <v>229</v>
      </c>
      <c r="J2845" s="31" t="s">
        <v>967</v>
      </c>
      <c r="K2845" s="33" t="s">
        <v>8600</v>
      </c>
      <c r="L2845" s="31" t="s">
        <v>252</v>
      </c>
      <c r="O2845" s="31" t="s">
        <v>257</v>
      </c>
      <c r="P2845" s="31" t="s">
        <v>2453</v>
      </c>
    </row>
    <row r="2846">
      <c r="A2846" s="29">
        <v>45979.77800396991</v>
      </c>
      <c r="B2846" s="30">
        <v>45979.0</v>
      </c>
      <c r="C2846" s="31" t="s">
        <v>8601</v>
      </c>
      <c r="D2846" s="32" t="s">
        <v>8602</v>
      </c>
      <c r="E2846" s="31" t="s">
        <v>43</v>
      </c>
      <c r="F2846" s="31">
        <v>3000000.0</v>
      </c>
      <c r="G2846" s="31" t="s">
        <v>23</v>
      </c>
      <c r="I2846" s="31" t="s">
        <v>229</v>
      </c>
      <c r="J2846" s="31" t="s">
        <v>967</v>
      </c>
      <c r="K2846" s="33" t="s">
        <v>8603</v>
      </c>
      <c r="L2846" s="31" t="s">
        <v>252</v>
      </c>
      <c r="O2846" s="31" t="s">
        <v>257</v>
      </c>
      <c r="P2846" s="31" t="s">
        <v>3194</v>
      </c>
    </row>
    <row r="2847">
      <c r="A2847" s="29">
        <v>45979.79817037037</v>
      </c>
      <c r="B2847" s="30">
        <v>45979.0</v>
      </c>
      <c r="C2847" s="31" t="s">
        <v>8604</v>
      </c>
      <c r="D2847" s="32" t="s">
        <v>8605</v>
      </c>
      <c r="E2847" s="31" t="s">
        <v>127</v>
      </c>
      <c r="F2847" s="31">
        <v>6800000.0</v>
      </c>
      <c r="G2847" s="31" t="s">
        <v>23</v>
      </c>
      <c r="I2847" s="31" t="s">
        <v>229</v>
      </c>
      <c r="J2847" s="31" t="s">
        <v>967</v>
      </c>
      <c r="K2847" s="33" t="s">
        <v>8606</v>
      </c>
      <c r="L2847" s="31" t="s">
        <v>252</v>
      </c>
      <c r="O2847" s="31" t="s">
        <v>205</v>
      </c>
      <c r="X2847" s="31" t="s">
        <v>2335</v>
      </c>
    </row>
    <row r="2848">
      <c r="A2848" s="29">
        <v>45979.80037099537</v>
      </c>
      <c r="B2848" s="30">
        <v>45979.0</v>
      </c>
      <c r="C2848" s="31" t="s">
        <v>8607</v>
      </c>
      <c r="D2848" s="32" t="s">
        <v>8608</v>
      </c>
      <c r="E2848" s="31" t="s">
        <v>43</v>
      </c>
      <c r="F2848" s="31">
        <v>7000000.0</v>
      </c>
      <c r="G2848" s="31" t="s">
        <v>23</v>
      </c>
      <c r="I2848" s="31" t="s">
        <v>229</v>
      </c>
      <c r="J2848" s="31" t="s">
        <v>967</v>
      </c>
      <c r="K2848" s="33" t="s">
        <v>8609</v>
      </c>
      <c r="L2848" s="31" t="s">
        <v>252</v>
      </c>
      <c r="O2848" s="31" t="s">
        <v>205</v>
      </c>
      <c r="X2848" s="31" t="s">
        <v>2335</v>
      </c>
    </row>
    <row r="2849">
      <c r="A2849" s="29">
        <v>45979.818430740735</v>
      </c>
      <c r="B2849" s="30">
        <v>45979.0</v>
      </c>
      <c r="C2849" s="31" t="s">
        <v>8610</v>
      </c>
      <c r="D2849" s="32" t="s">
        <v>8611</v>
      </c>
      <c r="E2849" s="31" t="s">
        <v>43</v>
      </c>
      <c r="F2849" s="31">
        <v>2400000.0</v>
      </c>
      <c r="G2849" s="31" t="s">
        <v>23</v>
      </c>
      <c r="I2849" s="31" t="s">
        <v>229</v>
      </c>
      <c r="J2849" s="31" t="s">
        <v>967</v>
      </c>
      <c r="K2849" s="33" t="s">
        <v>8612</v>
      </c>
      <c r="L2849" s="31" t="s">
        <v>202</v>
      </c>
      <c r="N2849" s="31" t="s">
        <v>204</v>
      </c>
      <c r="R2849" s="31" t="s">
        <v>148</v>
      </c>
    </row>
    <row r="2850">
      <c r="A2850" s="29">
        <v>45979.82785082176</v>
      </c>
      <c r="B2850" s="30">
        <v>45979.0</v>
      </c>
      <c r="C2850" s="31" t="s">
        <v>8613</v>
      </c>
      <c r="D2850" s="32" t="s">
        <v>8614</v>
      </c>
      <c r="E2850" s="31" t="s">
        <v>31</v>
      </c>
      <c r="F2850" s="31">
        <v>4599000.0</v>
      </c>
      <c r="G2850" s="31" t="s">
        <v>23</v>
      </c>
      <c r="H2850" s="31">
        <v>3000000.0</v>
      </c>
      <c r="I2850" s="31" t="s">
        <v>200</v>
      </c>
      <c r="K2850" s="33" t="s">
        <v>8615</v>
      </c>
      <c r="L2850" s="31" t="s">
        <v>202</v>
      </c>
      <c r="M2850" s="31" t="s">
        <v>5638</v>
      </c>
      <c r="N2850" s="31" t="s">
        <v>204</v>
      </c>
      <c r="R2850" s="31" t="s">
        <v>207</v>
      </c>
    </row>
    <row r="2851">
      <c r="A2851" s="29">
        <v>45979.829299282406</v>
      </c>
      <c r="B2851" s="30">
        <v>45979.0</v>
      </c>
      <c r="C2851" s="31" t="s">
        <v>8616</v>
      </c>
      <c r="D2851" s="32" t="s">
        <v>8617</v>
      </c>
      <c r="E2851" s="31" t="s">
        <v>43</v>
      </c>
      <c r="F2851" s="31">
        <v>4000000.0</v>
      </c>
      <c r="G2851" s="31" t="s">
        <v>23</v>
      </c>
      <c r="I2851" s="31" t="s">
        <v>229</v>
      </c>
      <c r="J2851" s="31" t="s">
        <v>967</v>
      </c>
      <c r="K2851" s="33" t="s">
        <v>8618</v>
      </c>
      <c r="L2851" s="31" t="s">
        <v>202</v>
      </c>
      <c r="N2851" s="31" t="s">
        <v>204</v>
      </c>
      <c r="R2851" s="31" t="s">
        <v>5256</v>
      </c>
    </row>
    <row r="2852">
      <c r="A2852" s="29">
        <v>45979.83099004629</v>
      </c>
      <c r="B2852" s="30">
        <v>45979.0</v>
      </c>
      <c r="C2852" s="31" t="s">
        <v>8619</v>
      </c>
      <c r="D2852" s="32" t="s">
        <v>8620</v>
      </c>
      <c r="E2852" s="31" t="s">
        <v>43</v>
      </c>
      <c r="F2852" s="31">
        <v>3500000.0</v>
      </c>
      <c r="G2852" s="31" t="s">
        <v>23</v>
      </c>
      <c r="I2852" s="31" t="s">
        <v>229</v>
      </c>
      <c r="J2852" s="31" t="s">
        <v>967</v>
      </c>
      <c r="K2852" s="33" t="s">
        <v>8621</v>
      </c>
      <c r="L2852" s="31" t="s">
        <v>202</v>
      </c>
      <c r="N2852" s="31" t="s">
        <v>204</v>
      </c>
      <c r="R2852" s="31" t="s">
        <v>5256</v>
      </c>
    </row>
    <row r="2853">
      <c r="A2853" s="29">
        <v>45979.83264233796</v>
      </c>
      <c r="B2853" s="30">
        <v>45979.0</v>
      </c>
      <c r="C2853" s="31" t="s">
        <v>8622</v>
      </c>
      <c r="D2853" s="32" t="s">
        <v>4253</v>
      </c>
      <c r="E2853" s="31" t="s">
        <v>239</v>
      </c>
      <c r="F2853" s="31">
        <v>2500000.0</v>
      </c>
      <c r="G2853" s="31" t="s">
        <v>23</v>
      </c>
      <c r="H2853" s="31">
        <v>3000000.0</v>
      </c>
      <c r="I2853" s="31" t="s">
        <v>413</v>
      </c>
      <c r="K2853" s="33" t="s">
        <v>8623</v>
      </c>
      <c r="L2853" s="31" t="s">
        <v>252</v>
      </c>
      <c r="M2853" s="31" t="s">
        <v>5638</v>
      </c>
      <c r="O2853" s="31" t="s">
        <v>257</v>
      </c>
      <c r="P2853" s="31" t="s">
        <v>206</v>
      </c>
    </row>
    <row r="2854">
      <c r="A2854" s="29">
        <v>45979.833983969904</v>
      </c>
      <c r="B2854" s="30">
        <v>45979.0</v>
      </c>
      <c r="C2854" s="31" t="s">
        <v>8624</v>
      </c>
      <c r="D2854" s="32" t="s">
        <v>8625</v>
      </c>
      <c r="E2854" s="31" t="s">
        <v>43</v>
      </c>
      <c r="F2854" s="31">
        <v>3500000.0</v>
      </c>
      <c r="G2854" s="31" t="s">
        <v>23</v>
      </c>
      <c r="I2854" s="31" t="s">
        <v>229</v>
      </c>
      <c r="J2854" s="31" t="s">
        <v>967</v>
      </c>
      <c r="K2854" s="33" t="s">
        <v>8626</v>
      </c>
      <c r="L2854" s="31" t="s">
        <v>252</v>
      </c>
      <c r="O2854" s="31" t="s">
        <v>257</v>
      </c>
      <c r="P2854" s="31" t="s">
        <v>206</v>
      </c>
    </row>
    <row r="2855">
      <c r="A2855" s="29">
        <v>45979.84017460648</v>
      </c>
      <c r="B2855" s="30">
        <v>45979.0</v>
      </c>
      <c r="C2855" s="31" t="s">
        <v>8627</v>
      </c>
      <c r="D2855" s="32" t="s">
        <v>8628</v>
      </c>
      <c r="E2855" s="31" t="s">
        <v>43</v>
      </c>
      <c r="F2855" s="31">
        <v>4000000.0</v>
      </c>
      <c r="G2855" s="31" t="s">
        <v>23</v>
      </c>
      <c r="I2855" s="31" t="s">
        <v>229</v>
      </c>
      <c r="J2855" s="31" t="s">
        <v>967</v>
      </c>
      <c r="K2855" s="33" t="s">
        <v>8629</v>
      </c>
      <c r="L2855" s="31" t="s">
        <v>202</v>
      </c>
      <c r="N2855" s="31" t="s">
        <v>220</v>
      </c>
      <c r="S2855" s="31" t="s">
        <v>466</v>
      </c>
    </row>
    <row r="2856">
      <c r="A2856" s="29">
        <v>45979.84804375</v>
      </c>
      <c r="B2856" s="30">
        <v>45979.0</v>
      </c>
      <c r="C2856" s="31" t="s">
        <v>8630</v>
      </c>
      <c r="D2856" s="32" t="s">
        <v>8631</v>
      </c>
      <c r="E2856" s="31" t="s">
        <v>199</v>
      </c>
      <c r="F2856" s="31">
        <v>6000000.0</v>
      </c>
      <c r="G2856" s="31" t="s">
        <v>23</v>
      </c>
      <c r="I2856" s="31" t="s">
        <v>229</v>
      </c>
      <c r="J2856" s="31" t="s">
        <v>967</v>
      </c>
      <c r="K2856" s="33" t="s">
        <v>8632</v>
      </c>
      <c r="L2856" s="31" t="s">
        <v>202</v>
      </c>
      <c r="N2856" s="31" t="s">
        <v>220</v>
      </c>
      <c r="S2856" s="31" t="s">
        <v>536</v>
      </c>
    </row>
    <row r="2857">
      <c r="A2857" s="29">
        <v>45979.848304872685</v>
      </c>
      <c r="B2857" s="30">
        <v>45979.0</v>
      </c>
      <c r="C2857" s="31" t="s">
        <v>8633</v>
      </c>
      <c r="D2857" s="32" t="s">
        <v>8634</v>
      </c>
      <c r="E2857" s="31" t="s">
        <v>31</v>
      </c>
      <c r="F2857" s="31">
        <v>1500000.0</v>
      </c>
      <c r="G2857" s="31" t="s">
        <v>23</v>
      </c>
      <c r="I2857" s="31" t="s">
        <v>229</v>
      </c>
      <c r="J2857" s="31" t="s">
        <v>967</v>
      </c>
      <c r="K2857" s="33" t="s">
        <v>8635</v>
      </c>
      <c r="L2857" s="31" t="s">
        <v>202</v>
      </c>
      <c r="N2857" s="31" t="s">
        <v>215</v>
      </c>
      <c r="W2857" s="31" t="s">
        <v>216</v>
      </c>
    </row>
    <row r="2858">
      <c r="A2858" s="29">
        <v>45979.85372053241</v>
      </c>
      <c r="B2858" s="30">
        <v>45979.0</v>
      </c>
      <c r="C2858" s="31" t="s">
        <v>8636</v>
      </c>
      <c r="D2858" s="32" t="s">
        <v>8637</v>
      </c>
      <c r="E2858" s="31" t="s">
        <v>43</v>
      </c>
      <c r="F2858" s="31">
        <v>4500000.0</v>
      </c>
      <c r="G2858" s="31" t="s">
        <v>23</v>
      </c>
      <c r="I2858" s="31" t="s">
        <v>229</v>
      </c>
      <c r="J2858" s="31" t="s">
        <v>967</v>
      </c>
      <c r="K2858" s="33" t="s">
        <v>8638</v>
      </c>
      <c r="L2858" s="31" t="s">
        <v>202</v>
      </c>
      <c r="N2858" s="31" t="s">
        <v>220</v>
      </c>
      <c r="S2858" s="31" t="s">
        <v>83</v>
      </c>
    </row>
    <row r="2859">
      <c r="A2859" s="29">
        <v>45979.85914943287</v>
      </c>
      <c r="B2859" s="30">
        <v>45979.0</v>
      </c>
      <c r="C2859" s="31" t="s">
        <v>8639</v>
      </c>
      <c r="D2859" s="31">
        <v>0.0</v>
      </c>
      <c r="E2859" s="31" t="s">
        <v>43</v>
      </c>
      <c r="F2859" s="32" t="s">
        <v>8640</v>
      </c>
      <c r="G2859" s="31" t="s">
        <v>23</v>
      </c>
      <c r="H2859" s="31">
        <v>3000000.0</v>
      </c>
      <c r="I2859" s="31" t="s">
        <v>200</v>
      </c>
      <c r="K2859" s="33" t="s">
        <v>8641</v>
      </c>
      <c r="L2859" s="31" t="s">
        <v>252</v>
      </c>
      <c r="M2859" s="31" t="s">
        <v>203</v>
      </c>
      <c r="O2859" s="31" t="s">
        <v>257</v>
      </c>
      <c r="P2859" s="31" t="s">
        <v>992</v>
      </c>
    </row>
    <row r="2860">
      <c r="A2860" s="29">
        <v>45979.87473229167</v>
      </c>
      <c r="B2860" s="30">
        <v>45979.0</v>
      </c>
      <c r="C2860" s="31" t="s">
        <v>8642</v>
      </c>
      <c r="D2860" s="32" t="s">
        <v>8643</v>
      </c>
      <c r="E2860" s="31" t="s">
        <v>31</v>
      </c>
      <c r="F2860" s="31">
        <v>8000000.0</v>
      </c>
      <c r="G2860" s="31" t="s">
        <v>23</v>
      </c>
      <c r="H2860" s="31">
        <v>1.0E7</v>
      </c>
      <c r="I2860" s="31" t="s">
        <v>200</v>
      </c>
      <c r="K2860" s="33" t="s">
        <v>8644</v>
      </c>
      <c r="L2860" s="31" t="s">
        <v>202</v>
      </c>
      <c r="M2860" s="31" t="s">
        <v>926</v>
      </c>
      <c r="N2860" s="31" t="s">
        <v>500</v>
      </c>
      <c r="V2860" s="31" t="s">
        <v>501</v>
      </c>
    </row>
    <row r="2861">
      <c r="A2861" s="29">
        <v>45980.44118329861</v>
      </c>
      <c r="B2861" s="30">
        <v>45980.0</v>
      </c>
      <c r="C2861" s="31" t="s">
        <v>8645</v>
      </c>
      <c r="D2861" s="32" t="s">
        <v>4253</v>
      </c>
      <c r="E2861" s="31" t="s">
        <v>127</v>
      </c>
      <c r="F2861" s="31">
        <v>3500000.0</v>
      </c>
      <c r="G2861" s="31" t="s">
        <v>23</v>
      </c>
      <c r="H2861" s="31">
        <v>3000000.0</v>
      </c>
      <c r="I2861" s="31" t="s">
        <v>200</v>
      </c>
      <c r="K2861" s="33" t="s">
        <v>8646</v>
      </c>
      <c r="L2861" s="31" t="s">
        <v>252</v>
      </c>
      <c r="M2861" s="31" t="s">
        <v>5638</v>
      </c>
      <c r="O2861" s="31" t="s">
        <v>257</v>
      </c>
      <c r="P2861" s="31" t="s">
        <v>206</v>
      </c>
    </row>
    <row r="2862">
      <c r="A2862" s="29">
        <v>45980.45251188657</v>
      </c>
      <c r="B2862" s="30">
        <v>45980.0</v>
      </c>
      <c r="C2862" s="31" t="s">
        <v>8647</v>
      </c>
      <c r="D2862" s="32" t="s">
        <v>6199</v>
      </c>
      <c r="E2862" s="31" t="s">
        <v>43</v>
      </c>
      <c r="F2862" s="31">
        <v>2500000.0</v>
      </c>
      <c r="G2862" s="31" t="s">
        <v>23</v>
      </c>
      <c r="H2862" s="31">
        <v>3000000.0</v>
      </c>
      <c r="I2862" s="31" t="s">
        <v>200</v>
      </c>
      <c r="K2862" s="33" t="s">
        <v>8648</v>
      </c>
      <c r="L2862" s="31" t="s">
        <v>202</v>
      </c>
      <c r="M2862" s="31" t="s">
        <v>203</v>
      </c>
      <c r="N2862" s="31" t="s">
        <v>313</v>
      </c>
      <c r="T2862" s="31" t="s">
        <v>4272</v>
      </c>
    </row>
    <row r="2863">
      <c r="A2863" s="29">
        <v>45980.462819039356</v>
      </c>
      <c r="B2863" s="30">
        <v>45980.0</v>
      </c>
      <c r="C2863" s="31" t="s">
        <v>8649</v>
      </c>
      <c r="D2863" s="32" t="s">
        <v>8650</v>
      </c>
      <c r="E2863" s="31" t="s">
        <v>43</v>
      </c>
      <c r="F2863" s="31">
        <v>7200000.0</v>
      </c>
      <c r="G2863" s="31" t="s">
        <v>23</v>
      </c>
      <c r="I2863" s="31" t="s">
        <v>229</v>
      </c>
      <c r="J2863" s="31" t="s">
        <v>967</v>
      </c>
      <c r="K2863" s="33" t="s">
        <v>8651</v>
      </c>
      <c r="L2863" s="31" t="s">
        <v>252</v>
      </c>
      <c r="O2863" s="31" t="s">
        <v>257</v>
      </c>
      <c r="P2863" s="31" t="s">
        <v>258</v>
      </c>
    </row>
    <row r="2864">
      <c r="A2864" s="29">
        <v>45980.46666464121</v>
      </c>
      <c r="B2864" s="30">
        <v>45980.0</v>
      </c>
      <c r="C2864" s="31" t="s">
        <v>8652</v>
      </c>
      <c r="D2864" s="32" t="s">
        <v>8653</v>
      </c>
      <c r="E2864" s="31" t="s">
        <v>43</v>
      </c>
      <c r="F2864" s="31">
        <v>8100000.0</v>
      </c>
      <c r="G2864" s="31" t="s">
        <v>23</v>
      </c>
      <c r="H2864" s="31">
        <v>7000000.0</v>
      </c>
      <c r="I2864" s="31" t="s">
        <v>413</v>
      </c>
      <c r="K2864" s="33" t="s">
        <v>8654</v>
      </c>
      <c r="L2864" s="31" t="s">
        <v>202</v>
      </c>
      <c r="M2864" s="31" t="s">
        <v>5638</v>
      </c>
      <c r="N2864" s="31" t="s">
        <v>220</v>
      </c>
      <c r="S2864" s="31" t="s">
        <v>5670</v>
      </c>
    </row>
    <row r="2865">
      <c r="A2865" s="29">
        <v>45980.468696192125</v>
      </c>
      <c r="B2865" s="30">
        <v>45980.0</v>
      </c>
      <c r="C2865" s="31" t="s">
        <v>8655</v>
      </c>
      <c r="D2865" s="32" t="s">
        <v>8656</v>
      </c>
      <c r="E2865" s="31" t="s">
        <v>239</v>
      </c>
      <c r="F2865" s="31">
        <v>8000000.0</v>
      </c>
      <c r="G2865" s="31" t="s">
        <v>45</v>
      </c>
      <c r="H2865" s="31">
        <v>5000000.0</v>
      </c>
      <c r="I2865" s="31" t="s">
        <v>200</v>
      </c>
      <c r="K2865" s="33" t="s">
        <v>8657</v>
      </c>
      <c r="L2865" s="31" t="s">
        <v>252</v>
      </c>
      <c r="M2865" s="31" t="s">
        <v>926</v>
      </c>
      <c r="O2865" s="31" t="s">
        <v>257</v>
      </c>
      <c r="P2865" s="31" t="s">
        <v>285</v>
      </c>
    </row>
    <row r="2866">
      <c r="A2866" s="29">
        <v>45980.470244502314</v>
      </c>
      <c r="B2866" s="30">
        <v>45980.0</v>
      </c>
      <c r="C2866" s="31" t="s">
        <v>1291</v>
      </c>
      <c r="D2866" s="31">
        <v>0.0</v>
      </c>
      <c r="E2866" s="31" t="s">
        <v>228</v>
      </c>
      <c r="F2866" s="31">
        <v>1500000.0</v>
      </c>
      <c r="G2866" s="31" t="s">
        <v>23</v>
      </c>
      <c r="H2866" s="31">
        <v>3000000.0</v>
      </c>
      <c r="I2866" s="31" t="s">
        <v>200</v>
      </c>
      <c r="K2866" s="33" t="s">
        <v>8658</v>
      </c>
      <c r="L2866" s="31" t="s">
        <v>252</v>
      </c>
      <c r="M2866" s="31" t="s">
        <v>203</v>
      </c>
      <c r="O2866" s="31" t="s">
        <v>257</v>
      </c>
      <c r="P2866" s="31" t="s">
        <v>2320</v>
      </c>
    </row>
    <row r="2867">
      <c r="A2867" s="29">
        <v>45980.486060358795</v>
      </c>
      <c r="B2867" s="30">
        <v>45980.0</v>
      </c>
      <c r="C2867" s="31" t="s">
        <v>8659</v>
      </c>
      <c r="D2867" s="32" t="s">
        <v>8660</v>
      </c>
      <c r="E2867" s="31" t="s">
        <v>43</v>
      </c>
      <c r="F2867" s="31">
        <v>3000000.0</v>
      </c>
      <c r="G2867" s="31" t="s">
        <v>23</v>
      </c>
      <c r="I2867" s="31" t="s">
        <v>229</v>
      </c>
      <c r="J2867" s="31" t="s">
        <v>967</v>
      </c>
      <c r="K2867" s="33" t="s">
        <v>8661</v>
      </c>
      <c r="L2867" s="31" t="s">
        <v>202</v>
      </c>
      <c r="N2867" s="31" t="s">
        <v>220</v>
      </c>
      <c r="S2867" s="31" t="s">
        <v>466</v>
      </c>
    </row>
    <row r="2868">
      <c r="A2868" s="29">
        <v>45980.50293983796</v>
      </c>
      <c r="B2868" s="30">
        <v>45980.0</v>
      </c>
      <c r="C2868" s="31" t="s">
        <v>8662</v>
      </c>
      <c r="D2868" s="32" t="s">
        <v>8663</v>
      </c>
      <c r="E2868" s="31" t="s">
        <v>967</v>
      </c>
      <c r="F2868" s="31">
        <v>3600000.0</v>
      </c>
      <c r="G2868" s="31" t="s">
        <v>23</v>
      </c>
      <c r="I2868" s="31" t="s">
        <v>229</v>
      </c>
      <c r="J2868" s="31" t="s">
        <v>967</v>
      </c>
      <c r="K2868" s="33" t="s">
        <v>8664</v>
      </c>
      <c r="L2868" s="31" t="s">
        <v>202</v>
      </c>
      <c r="N2868" s="31" t="s">
        <v>871</v>
      </c>
      <c r="Q2868" s="31" t="s">
        <v>7424</v>
      </c>
    </row>
    <row r="2869">
      <c r="A2869" s="29">
        <v>45980.505454479164</v>
      </c>
      <c r="B2869" s="30">
        <v>45980.0</v>
      </c>
      <c r="C2869" s="31" t="s">
        <v>8665</v>
      </c>
      <c r="D2869" s="32" t="s">
        <v>8666</v>
      </c>
      <c r="E2869" s="31" t="s">
        <v>43</v>
      </c>
      <c r="F2869" s="31">
        <v>3000000.0</v>
      </c>
      <c r="G2869" s="31" t="s">
        <v>23</v>
      </c>
      <c r="I2869" s="31" t="s">
        <v>229</v>
      </c>
      <c r="J2869" s="31" t="s">
        <v>967</v>
      </c>
      <c r="K2869" s="33" t="s">
        <v>8667</v>
      </c>
      <c r="L2869" s="31" t="s">
        <v>252</v>
      </c>
      <c r="O2869" s="31" t="s">
        <v>205</v>
      </c>
      <c r="X2869" s="31" t="s">
        <v>452</v>
      </c>
    </row>
    <row r="2870">
      <c r="A2870" s="29">
        <v>45980.51230163194</v>
      </c>
      <c r="B2870" s="30">
        <v>45980.0</v>
      </c>
      <c r="C2870" s="31" t="s">
        <v>8668</v>
      </c>
      <c r="D2870" s="32" t="s">
        <v>8669</v>
      </c>
      <c r="E2870" s="31" t="s">
        <v>2902</v>
      </c>
      <c r="F2870" s="31">
        <v>3100000.0</v>
      </c>
      <c r="G2870" s="31" t="s">
        <v>23</v>
      </c>
      <c r="I2870" s="31" t="s">
        <v>229</v>
      </c>
      <c r="J2870" s="31" t="s">
        <v>967</v>
      </c>
      <c r="K2870" s="33" t="s">
        <v>8670</v>
      </c>
      <c r="L2870" s="31" t="s">
        <v>202</v>
      </c>
      <c r="N2870" s="31" t="s">
        <v>220</v>
      </c>
      <c r="S2870" s="31" t="s">
        <v>36</v>
      </c>
    </row>
    <row r="2871">
      <c r="A2871" s="29">
        <v>45980.52076222222</v>
      </c>
      <c r="B2871" s="30">
        <v>45980.0</v>
      </c>
      <c r="C2871" s="31" t="s">
        <v>8671</v>
      </c>
      <c r="D2871" s="32" t="s">
        <v>8672</v>
      </c>
      <c r="E2871" s="31" t="s">
        <v>43</v>
      </c>
      <c r="F2871" s="31">
        <v>2500000.0</v>
      </c>
      <c r="G2871" s="31" t="s">
        <v>23</v>
      </c>
      <c r="I2871" s="31" t="s">
        <v>229</v>
      </c>
      <c r="J2871" s="31" t="s">
        <v>967</v>
      </c>
      <c r="K2871" s="33" t="s">
        <v>8673</v>
      </c>
      <c r="L2871" s="31" t="s">
        <v>252</v>
      </c>
      <c r="O2871" s="31" t="s">
        <v>257</v>
      </c>
      <c r="P2871" s="31" t="s">
        <v>2453</v>
      </c>
    </row>
    <row r="2872">
      <c r="A2872" s="29">
        <v>45980.535617002315</v>
      </c>
      <c r="B2872" s="30">
        <v>45980.0</v>
      </c>
      <c r="C2872" s="31" t="s">
        <v>8674</v>
      </c>
      <c r="D2872" s="31">
        <v>0.0</v>
      </c>
      <c r="E2872" s="31" t="s">
        <v>228</v>
      </c>
      <c r="F2872" s="31">
        <v>150000.0</v>
      </c>
      <c r="G2872" s="31" t="s">
        <v>23</v>
      </c>
      <c r="I2872" s="31" t="s">
        <v>229</v>
      </c>
      <c r="J2872" s="31" t="s">
        <v>967</v>
      </c>
      <c r="K2872" s="33" t="s">
        <v>8675</v>
      </c>
      <c r="L2872" s="31" t="s">
        <v>252</v>
      </c>
      <c r="O2872" s="31" t="s">
        <v>257</v>
      </c>
      <c r="P2872" s="31" t="s">
        <v>2320</v>
      </c>
    </row>
    <row r="2873">
      <c r="A2873" s="29">
        <v>45980.547535254635</v>
      </c>
      <c r="B2873" s="30">
        <v>45980.0</v>
      </c>
      <c r="C2873" s="31" t="s">
        <v>8676</v>
      </c>
      <c r="D2873" s="31">
        <v>0.0</v>
      </c>
      <c r="E2873" s="31" t="s">
        <v>43</v>
      </c>
      <c r="F2873" s="32" t="s">
        <v>8677</v>
      </c>
      <c r="G2873" s="31" t="s">
        <v>23</v>
      </c>
      <c r="I2873" s="31" t="s">
        <v>229</v>
      </c>
      <c r="J2873" s="31" t="s">
        <v>967</v>
      </c>
      <c r="K2873" s="33" t="s">
        <v>8678</v>
      </c>
      <c r="L2873" s="31" t="s">
        <v>252</v>
      </c>
      <c r="O2873" s="31" t="s">
        <v>257</v>
      </c>
      <c r="P2873" s="31" t="s">
        <v>992</v>
      </c>
    </row>
    <row r="2874">
      <c r="A2874" s="29">
        <v>45980.55339729167</v>
      </c>
      <c r="B2874" s="30">
        <v>45980.0</v>
      </c>
      <c r="C2874" s="31" t="s">
        <v>8679</v>
      </c>
      <c r="D2874" s="32" t="s">
        <v>8680</v>
      </c>
      <c r="E2874" s="31" t="s">
        <v>31</v>
      </c>
      <c r="F2874" s="31">
        <v>7300000.0</v>
      </c>
      <c r="G2874" s="31" t="s">
        <v>23</v>
      </c>
      <c r="I2874" s="31" t="s">
        <v>229</v>
      </c>
      <c r="J2874" s="31" t="s">
        <v>967</v>
      </c>
      <c r="K2874" s="33" t="s">
        <v>8681</v>
      </c>
      <c r="L2874" s="31" t="s">
        <v>202</v>
      </c>
      <c r="N2874" s="31" t="s">
        <v>667</v>
      </c>
      <c r="U2874" s="31" t="s">
        <v>668</v>
      </c>
    </row>
    <row r="2875">
      <c r="A2875" s="29">
        <v>45980.55779167824</v>
      </c>
      <c r="B2875" s="30">
        <v>45979.0</v>
      </c>
      <c r="C2875" s="31" t="s">
        <v>8682</v>
      </c>
      <c r="D2875" s="32" t="s">
        <v>8683</v>
      </c>
      <c r="E2875" s="31" t="s">
        <v>261</v>
      </c>
      <c r="F2875" s="31">
        <v>1000000.0</v>
      </c>
      <c r="G2875" s="31" t="s">
        <v>23</v>
      </c>
      <c r="I2875" s="31" t="s">
        <v>229</v>
      </c>
      <c r="J2875" s="31" t="s">
        <v>967</v>
      </c>
      <c r="K2875" s="33" t="s">
        <v>8684</v>
      </c>
      <c r="L2875" s="31" t="s">
        <v>252</v>
      </c>
      <c r="O2875" s="31" t="s">
        <v>205</v>
      </c>
      <c r="X2875" s="31" t="s">
        <v>549</v>
      </c>
    </row>
    <row r="2876">
      <c r="A2876" s="29">
        <v>45980.565523310186</v>
      </c>
      <c r="B2876" s="30">
        <v>45980.0</v>
      </c>
      <c r="C2876" s="31" t="s">
        <v>8685</v>
      </c>
      <c r="D2876" s="32" t="s">
        <v>8686</v>
      </c>
      <c r="E2876" s="31" t="s">
        <v>43</v>
      </c>
      <c r="F2876" s="31">
        <v>5000000.0</v>
      </c>
      <c r="G2876" s="31" t="s">
        <v>23</v>
      </c>
      <c r="I2876" s="31" t="s">
        <v>229</v>
      </c>
      <c r="J2876" s="31" t="s">
        <v>967</v>
      </c>
      <c r="K2876" s="33" t="s">
        <v>8687</v>
      </c>
      <c r="L2876" s="31" t="s">
        <v>202</v>
      </c>
      <c r="N2876" s="31" t="s">
        <v>204</v>
      </c>
      <c r="R2876" s="31" t="s">
        <v>5606</v>
      </c>
    </row>
    <row r="2877">
      <c r="A2877" s="29">
        <v>45980.56993210648</v>
      </c>
      <c r="B2877" s="30">
        <v>45980.0</v>
      </c>
      <c r="C2877" s="31" t="s">
        <v>8688</v>
      </c>
      <c r="D2877" s="32" t="s">
        <v>8689</v>
      </c>
      <c r="E2877" s="31" t="s">
        <v>43</v>
      </c>
      <c r="F2877" s="31">
        <v>3000000.0</v>
      </c>
      <c r="G2877" s="31" t="s">
        <v>23</v>
      </c>
      <c r="I2877" s="31" t="s">
        <v>229</v>
      </c>
      <c r="J2877" s="31" t="s">
        <v>967</v>
      </c>
      <c r="K2877" s="33" t="s">
        <v>8690</v>
      </c>
      <c r="L2877" s="31" t="s">
        <v>252</v>
      </c>
      <c r="O2877" s="31" t="s">
        <v>257</v>
      </c>
      <c r="P2877" s="31" t="s">
        <v>3194</v>
      </c>
    </row>
    <row r="2878">
      <c r="A2878" s="29">
        <v>45980.572169120365</v>
      </c>
      <c r="B2878" s="30">
        <v>45980.0</v>
      </c>
      <c r="C2878" s="31" t="s">
        <v>8691</v>
      </c>
      <c r="D2878" s="32" t="s">
        <v>8692</v>
      </c>
      <c r="E2878" s="31" t="s">
        <v>43</v>
      </c>
      <c r="F2878" s="31">
        <v>3100000.0</v>
      </c>
      <c r="G2878" s="31" t="s">
        <v>23</v>
      </c>
      <c r="I2878" s="31" t="s">
        <v>229</v>
      </c>
      <c r="J2878" s="31" t="s">
        <v>967</v>
      </c>
      <c r="K2878" s="33" t="s">
        <v>8693</v>
      </c>
      <c r="L2878" s="31" t="s">
        <v>252</v>
      </c>
      <c r="O2878" s="31" t="s">
        <v>257</v>
      </c>
      <c r="P2878" s="31" t="s">
        <v>3194</v>
      </c>
    </row>
    <row r="2879">
      <c r="A2879" s="29">
        <v>45980.580131979164</v>
      </c>
      <c r="B2879" s="30">
        <v>45980.0</v>
      </c>
      <c r="C2879" s="31" t="s">
        <v>8694</v>
      </c>
      <c r="D2879" s="32" t="s">
        <v>8695</v>
      </c>
      <c r="E2879" s="31" t="s">
        <v>283</v>
      </c>
      <c r="F2879" s="31">
        <v>4100000.0</v>
      </c>
      <c r="G2879" s="31" t="s">
        <v>23</v>
      </c>
      <c r="I2879" s="31" t="s">
        <v>229</v>
      </c>
      <c r="J2879" s="31" t="s">
        <v>967</v>
      </c>
      <c r="K2879" s="33" t="s">
        <v>8696</v>
      </c>
      <c r="L2879" s="31" t="s">
        <v>252</v>
      </c>
      <c r="O2879" s="31" t="s">
        <v>257</v>
      </c>
      <c r="P2879" s="31" t="s">
        <v>272</v>
      </c>
    </row>
    <row r="2880">
      <c r="A2880" s="29">
        <v>45980.591913032404</v>
      </c>
      <c r="B2880" s="30">
        <v>45980.0</v>
      </c>
      <c r="C2880" s="31" t="s">
        <v>8697</v>
      </c>
      <c r="D2880" s="32" t="s">
        <v>8698</v>
      </c>
      <c r="E2880" s="31" t="s">
        <v>43</v>
      </c>
      <c r="F2880" s="31">
        <v>2600000.0</v>
      </c>
      <c r="G2880" s="31" t="s">
        <v>23</v>
      </c>
      <c r="H2880" s="31">
        <v>5000000.0</v>
      </c>
      <c r="I2880" s="31" t="s">
        <v>200</v>
      </c>
      <c r="K2880" s="33" t="s">
        <v>8699</v>
      </c>
      <c r="L2880" s="31" t="s">
        <v>252</v>
      </c>
      <c r="M2880" s="31" t="s">
        <v>203</v>
      </c>
      <c r="O2880" s="31" t="s">
        <v>257</v>
      </c>
      <c r="P2880" s="31" t="s">
        <v>2453</v>
      </c>
    </row>
    <row r="2881">
      <c r="A2881" s="29">
        <v>45980.59638582176</v>
      </c>
      <c r="B2881" s="30">
        <v>45980.0</v>
      </c>
      <c r="C2881" s="31" t="s">
        <v>8700</v>
      </c>
      <c r="D2881" s="32" t="s">
        <v>8701</v>
      </c>
      <c r="E2881" s="31" t="s">
        <v>31</v>
      </c>
      <c r="F2881" s="31">
        <v>4599000.0</v>
      </c>
      <c r="G2881" s="31" t="s">
        <v>23</v>
      </c>
      <c r="I2881" s="31" t="s">
        <v>229</v>
      </c>
      <c r="J2881" s="31" t="s">
        <v>967</v>
      </c>
      <c r="K2881" s="33" t="s">
        <v>8702</v>
      </c>
      <c r="L2881" s="31" t="s">
        <v>202</v>
      </c>
      <c r="N2881" s="31" t="s">
        <v>204</v>
      </c>
      <c r="R2881" s="31" t="s">
        <v>207</v>
      </c>
    </row>
    <row r="2882">
      <c r="A2882" s="29">
        <v>45980.59894064815</v>
      </c>
      <c r="B2882" s="30">
        <v>45980.0</v>
      </c>
      <c r="C2882" s="31" t="s">
        <v>8703</v>
      </c>
      <c r="D2882" s="32" t="s">
        <v>8704</v>
      </c>
      <c r="E2882" s="31" t="s">
        <v>43</v>
      </c>
      <c r="F2882" s="31">
        <v>8000000.0</v>
      </c>
      <c r="G2882" s="31" t="s">
        <v>45</v>
      </c>
      <c r="I2882" s="31" t="s">
        <v>229</v>
      </c>
      <c r="J2882" s="31" t="s">
        <v>967</v>
      </c>
      <c r="K2882" s="33" t="s">
        <v>8705</v>
      </c>
      <c r="L2882" s="31" t="s">
        <v>252</v>
      </c>
      <c r="O2882" s="31" t="s">
        <v>257</v>
      </c>
      <c r="P2882" s="31" t="s">
        <v>285</v>
      </c>
    </row>
    <row r="2883">
      <c r="A2883" s="29">
        <v>45980.610010439814</v>
      </c>
      <c r="B2883" s="30">
        <v>45980.0</v>
      </c>
      <c r="C2883" s="31" t="s">
        <v>8706</v>
      </c>
      <c r="D2883" s="32" t="s">
        <v>8707</v>
      </c>
      <c r="E2883" s="31" t="s">
        <v>1166</v>
      </c>
      <c r="F2883" s="31">
        <v>5000000.0</v>
      </c>
      <c r="G2883" s="31" t="s">
        <v>23</v>
      </c>
      <c r="I2883" s="31" t="s">
        <v>229</v>
      </c>
      <c r="J2883" s="31" t="s">
        <v>967</v>
      </c>
      <c r="K2883" s="33" t="s">
        <v>8708</v>
      </c>
      <c r="L2883" s="31" t="s">
        <v>202</v>
      </c>
      <c r="N2883" s="31" t="s">
        <v>204</v>
      </c>
      <c r="R2883" s="31" t="s">
        <v>5606</v>
      </c>
    </row>
    <row r="2884">
      <c r="A2884" s="29">
        <v>45980.63103333334</v>
      </c>
      <c r="B2884" s="30">
        <v>45980.0</v>
      </c>
      <c r="C2884" s="31" t="s">
        <v>8709</v>
      </c>
      <c r="D2884" s="32" t="s">
        <v>8710</v>
      </c>
      <c r="E2884" s="31" t="s">
        <v>288</v>
      </c>
      <c r="F2884" s="31">
        <v>3000000.0</v>
      </c>
      <c r="G2884" s="31" t="s">
        <v>23</v>
      </c>
      <c r="I2884" s="31" t="s">
        <v>229</v>
      </c>
      <c r="J2884" s="31" t="s">
        <v>967</v>
      </c>
      <c r="K2884" s="33" t="s">
        <v>8711</v>
      </c>
      <c r="L2884" s="31" t="s">
        <v>202</v>
      </c>
      <c r="N2884" s="31" t="s">
        <v>220</v>
      </c>
      <c r="S2884" s="31" t="s">
        <v>8401</v>
      </c>
    </row>
    <row r="2885">
      <c r="A2885" s="29">
        <v>45980.6791032176</v>
      </c>
      <c r="B2885" s="30">
        <v>45980.0</v>
      </c>
      <c r="C2885" s="31" t="s">
        <v>8712</v>
      </c>
      <c r="D2885" s="32" t="s">
        <v>8713</v>
      </c>
      <c r="E2885" s="31" t="s">
        <v>43</v>
      </c>
      <c r="F2885" s="31">
        <v>2000000.0</v>
      </c>
      <c r="G2885" s="31" t="s">
        <v>23</v>
      </c>
      <c r="I2885" s="31" t="s">
        <v>229</v>
      </c>
      <c r="J2885" s="31" t="s">
        <v>967</v>
      </c>
      <c r="K2885" s="33" t="s">
        <v>8714</v>
      </c>
      <c r="L2885" s="31" t="s">
        <v>202</v>
      </c>
      <c r="N2885" s="31" t="s">
        <v>667</v>
      </c>
      <c r="U2885" s="31" t="s">
        <v>3950</v>
      </c>
    </row>
    <row r="2886">
      <c r="A2886" s="29">
        <v>45980.692885324075</v>
      </c>
      <c r="B2886" s="30">
        <v>45980.0</v>
      </c>
      <c r="C2886" s="31" t="s">
        <v>5404</v>
      </c>
      <c r="D2886" s="32" t="s">
        <v>5405</v>
      </c>
      <c r="E2886" s="31" t="s">
        <v>43</v>
      </c>
      <c r="F2886" s="31">
        <v>1800000.0</v>
      </c>
      <c r="G2886" s="31" t="s">
        <v>23</v>
      </c>
      <c r="I2886" s="31" t="s">
        <v>229</v>
      </c>
      <c r="J2886" s="31" t="s">
        <v>967</v>
      </c>
      <c r="K2886" s="33" t="s">
        <v>8715</v>
      </c>
      <c r="L2886" s="31" t="s">
        <v>202</v>
      </c>
      <c r="N2886" s="31" t="s">
        <v>667</v>
      </c>
      <c r="U2886" s="31" t="s">
        <v>3950</v>
      </c>
    </row>
    <row r="2887">
      <c r="A2887" s="29">
        <v>45980.69439554398</v>
      </c>
      <c r="B2887" s="30">
        <v>45980.0</v>
      </c>
      <c r="C2887" s="31" t="s">
        <v>7625</v>
      </c>
      <c r="D2887" s="32" t="s">
        <v>7626</v>
      </c>
      <c r="E2887" s="31" t="s">
        <v>335</v>
      </c>
      <c r="F2887" s="31">
        <v>2.0E7</v>
      </c>
      <c r="G2887" s="31" t="s">
        <v>23</v>
      </c>
      <c r="H2887" s="31">
        <v>3000000.0</v>
      </c>
      <c r="I2887" s="31" t="s">
        <v>200</v>
      </c>
      <c r="K2887" s="31" t="s">
        <v>8716</v>
      </c>
      <c r="L2887" s="31" t="s">
        <v>202</v>
      </c>
      <c r="M2887" s="31" t="s">
        <v>203</v>
      </c>
      <c r="N2887" s="31" t="s">
        <v>500</v>
      </c>
      <c r="V2887" s="31" t="s">
        <v>6597</v>
      </c>
    </row>
    <row r="2888">
      <c r="A2888" s="29">
        <v>45980.70915983796</v>
      </c>
      <c r="B2888" s="30">
        <v>45980.0</v>
      </c>
      <c r="C2888" s="31" t="s">
        <v>8717</v>
      </c>
      <c r="D2888" s="32" t="s">
        <v>8718</v>
      </c>
      <c r="E2888" s="31" t="s">
        <v>43</v>
      </c>
      <c r="F2888" s="31">
        <v>3000000.0</v>
      </c>
      <c r="G2888" s="31" t="s">
        <v>23</v>
      </c>
      <c r="I2888" s="31" t="s">
        <v>229</v>
      </c>
      <c r="J2888" s="31" t="s">
        <v>967</v>
      </c>
      <c r="K2888" s="33" t="s">
        <v>8719</v>
      </c>
      <c r="L2888" s="31" t="s">
        <v>252</v>
      </c>
      <c r="O2888" s="31" t="s">
        <v>205</v>
      </c>
      <c r="X2888" s="31" t="s">
        <v>549</v>
      </c>
    </row>
    <row r="2889">
      <c r="A2889" s="29">
        <v>45980.73636214121</v>
      </c>
      <c r="B2889" s="30">
        <v>45980.0</v>
      </c>
      <c r="C2889" s="31" t="s">
        <v>8720</v>
      </c>
      <c r="D2889" s="32" t="s">
        <v>8721</v>
      </c>
      <c r="E2889" s="31" t="s">
        <v>127</v>
      </c>
      <c r="F2889" s="31">
        <v>3500000.0</v>
      </c>
      <c r="G2889" s="31" t="s">
        <v>45</v>
      </c>
      <c r="H2889" s="31">
        <v>5000000.0</v>
      </c>
      <c r="I2889" s="31" t="s">
        <v>200</v>
      </c>
      <c r="K2889" s="33" t="s">
        <v>8722</v>
      </c>
      <c r="L2889" s="31" t="s">
        <v>252</v>
      </c>
      <c r="M2889" s="31" t="s">
        <v>383</v>
      </c>
      <c r="O2889" s="31" t="s">
        <v>257</v>
      </c>
      <c r="P2889" s="31" t="s">
        <v>206</v>
      </c>
    </row>
    <row r="2890">
      <c r="A2890" s="29">
        <v>45980.73711574074</v>
      </c>
      <c r="B2890" s="30">
        <v>45980.0</v>
      </c>
      <c r="C2890" s="31" t="s">
        <v>8723</v>
      </c>
      <c r="D2890" s="32" t="s">
        <v>8724</v>
      </c>
      <c r="E2890" s="31" t="s">
        <v>239</v>
      </c>
      <c r="F2890" s="31">
        <v>1.9E7</v>
      </c>
      <c r="G2890" s="31" t="s">
        <v>23</v>
      </c>
      <c r="I2890" s="31" t="s">
        <v>229</v>
      </c>
      <c r="J2890" s="31" t="s">
        <v>967</v>
      </c>
      <c r="K2890" s="33" t="s">
        <v>8725</v>
      </c>
      <c r="L2890" s="31" t="s">
        <v>252</v>
      </c>
      <c r="O2890" s="31" t="s">
        <v>205</v>
      </c>
      <c r="X2890" s="31" t="s">
        <v>1471</v>
      </c>
    </row>
    <row r="2891">
      <c r="A2891" s="29">
        <v>45980.74727221065</v>
      </c>
      <c r="B2891" s="30">
        <v>45980.0</v>
      </c>
      <c r="C2891" s="31" t="s">
        <v>8726</v>
      </c>
      <c r="D2891" s="32" t="s">
        <v>8727</v>
      </c>
      <c r="E2891" s="31" t="s">
        <v>572</v>
      </c>
      <c r="F2891" s="31">
        <v>3000000.0</v>
      </c>
      <c r="G2891" s="31" t="s">
        <v>23</v>
      </c>
      <c r="I2891" s="31" t="s">
        <v>229</v>
      </c>
      <c r="J2891" s="31" t="s">
        <v>967</v>
      </c>
      <c r="K2891" s="33" t="s">
        <v>8728</v>
      </c>
      <c r="L2891" s="31" t="s">
        <v>202</v>
      </c>
      <c r="N2891" s="31" t="s">
        <v>871</v>
      </c>
      <c r="Q2891" s="31" t="s">
        <v>872</v>
      </c>
    </row>
    <row r="2892">
      <c r="A2892" s="29">
        <v>45980.75120585648</v>
      </c>
      <c r="B2892" s="30">
        <v>45980.0</v>
      </c>
      <c r="C2892" s="31" t="s">
        <v>8729</v>
      </c>
      <c r="D2892" s="32" t="s">
        <v>8730</v>
      </c>
      <c r="E2892" s="31" t="s">
        <v>43</v>
      </c>
      <c r="F2892" s="31">
        <v>5000000.0</v>
      </c>
      <c r="G2892" s="31" t="s">
        <v>45</v>
      </c>
      <c r="I2892" s="31" t="s">
        <v>229</v>
      </c>
      <c r="J2892" s="31" t="s">
        <v>967</v>
      </c>
      <c r="K2892" s="33" t="s">
        <v>8731</v>
      </c>
      <c r="L2892" s="31" t="s">
        <v>202</v>
      </c>
      <c r="N2892" s="31" t="s">
        <v>220</v>
      </c>
      <c r="S2892" s="31" t="s">
        <v>124</v>
      </c>
    </row>
    <row r="2893">
      <c r="A2893" s="29">
        <v>45980.75736368056</v>
      </c>
      <c r="B2893" s="30">
        <v>45980.0</v>
      </c>
      <c r="C2893" s="31" t="s">
        <v>8732</v>
      </c>
      <c r="D2893" s="32" t="s">
        <v>8733</v>
      </c>
      <c r="E2893" s="31" t="s">
        <v>43</v>
      </c>
      <c r="F2893" s="31">
        <v>4400000.0</v>
      </c>
      <c r="G2893" s="31" t="s">
        <v>23</v>
      </c>
      <c r="I2893" s="31" t="s">
        <v>229</v>
      </c>
      <c r="J2893" s="31" t="s">
        <v>967</v>
      </c>
      <c r="K2893" s="33" t="s">
        <v>8734</v>
      </c>
      <c r="L2893" s="31" t="s">
        <v>252</v>
      </c>
      <c r="O2893" s="31" t="s">
        <v>205</v>
      </c>
      <c r="X2893" s="31" t="s">
        <v>569</v>
      </c>
    </row>
    <row r="2894">
      <c r="A2894" s="29">
        <v>45980.760203576385</v>
      </c>
      <c r="B2894" s="30">
        <v>45980.0</v>
      </c>
      <c r="C2894" s="31" t="s">
        <v>8735</v>
      </c>
      <c r="D2894" s="32" t="s">
        <v>8736</v>
      </c>
      <c r="E2894" s="31" t="s">
        <v>43</v>
      </c>
      <c r="F2894" s="31">
        <v>3500000.0</v>
      </c>
      <c r="G2894" s="31" t="s">
        <v>23</v>
      </c>
      <c r="I2894" s="31" t="s">
        <v>229</v>
      </c>
      <c r="J2894" s="31" t="s">
        <v>967</v>
      </c>
      <c r="K2894" s="33" t="s">
        <v>8737</v>
      </c>
      <c r="L2894" s="31" t="s">
        <v>202</v>
      </c>
      <c r="N2894" s="31" t="s">
        <v>204</v>
      </c>
      <c r="R2894" s="31" t="s">
        <v>98</v>
      </c>
    </row>
    <row r="2895">
      <c r="A2895" s="29">
        <v>45980.76154554398</v>
      </c>
      <c r="B2895" s="30">
        <v>45980.0</v>
      </c>
      <c r="C2895" s="31" t="s">
        <v>8738</v>
      </c>
      <c r="D2895" s="32" t="s">
        <v>8739</v>
      </c>
      <c r="E2895" s="31" t="s">
        <v>43</v>
      </c>
      <c r="F2895" s="31">
        <v>4000000.0</v>
      </c>
      <c r="G2895" s="31" t="s">
        <v>23</v>
      </c>
      <c r="I2895" s="31" t="s">
        <v>229</v>
      </c>
      <c r="J2895" s="31" t="s">
        <v>967</v>
      </c>
      <c r="K2895" s="33" t="s">
        <v>8740</v>
      </c>
      <c r="L2895" s="31" t="s">
        <v>202</v>
      </c>
      <c r="N2895" s="31" t="s">
        <v>204</v>
      </c>
      <c r="R2895" s="31" t="s">
        <v>98</v>
      </c>
    </row>
    <row r="2896">
      <c r="A2896" s="29">
        <v>45980.771019594904</v>
      </c>
      <c r="B2896" s="30">
        <v>45980.0</v>
      </c>
      <c r="C2896" s="31" t="s">
        <v>8741</v>
      </c>
      <c r="D2896" s="31">
        <v>8.1238719445E10</v>
      </c>
      <c r="E2896" s="31" t="s">
        <v>43</v>
      </c>
      <c r="F2896" s="31">
        <v>5000000.0</v>
      </c>
      <c r="G2896" s="31" t="s">
        <v>45</v>
      </c>
      <c r="H2896" s="31">
        <v>7000000.0</v>
      </c>
      <c r="I2896" s="31" t="s">
        <v>413</v>
      </c>
      <c r="K2896" s="33" t="s">
        <v>8742</v>
      </c>
      <c r="L2896" s="31" t="s">
        <v>252</v>
      </c>
      <c r="M2896" s="31" t="s">
        <v>926</v>
      </c>
      <c r="O2896" s="31" t="s">
        <v>257</v>
      </c>
      <c r="P2896" s="31" t="s">
        <v>272</v>
      </c>
    </row>
    <row r="2897">
      <c r="A2897" s="29">
        <v>45980.77600038194</v>
      </c>
      <c r="B2897" s="30">
        <v>45980.0</v>
      </c>
      <c r="C2897" s="31" t="s">
        <v>8743</v>
      </c>
      <c r="D2897" s="32" t="s">
        <v>8744</v>
      </c>
      <c r="E2897" s="31" t="s">
        <v>127</v>
      </c>
      <c r="F2897" s="31">
        <v>2500000.0</v>
      </c>
      <c r="G2897" s="31" t="s">
        <v>23</v>
      </c>
      <c r="H2897" s="31">
        <v>3000000.0</v>
      </c>
      <c r="I2897" s="31" t="s">
        <v>200</v>
      </c>
      <c r="K2897" s="33" t="s">
        <v>8745</v>
      </c>
      <c r="L2897" s="31" t="s">
        <v>252</v>
      </c>
      <c r="M2897" s="31" t="s">
        <v>5638</v>
      </c>
      <c r="O2897" s="31" t="s">
        <v>257</v>
      </c>
      <c r="P2897" s="31" t="s">
        <v>206</v>
      </c>
    </row>
    <row r="2898">
      <c r="A2898" s="29">
        <v>45980.781360243054</v>
      </c>
      <c r="B2898" s="30">
        <v>45980.0</v>
      </c>
      <c r="C2898" s="31" t="s">
        <v>8746</v>
      </c>
      <c r="D2898" s="31">
        <v>0.0</v>
      </c>
      <c r="E2898" s="31" t="s">
        <v>228</v>
      </c>
      <c r="F2898" s="34">
        <v>3900.0</v>
      </c>
      <c r="G2898" s="31" t="s">
        <v>23</v>
      </c>
      <c r="I2898" s="31" t="s">
        <v>229</v>
      </c>
      <c r="J2898" s="31" t="s">
        <v>967</v>
      </c>
      <c r="K2898" s="33" t="s">
        <v>8747</v>
      </c>
      <c r="L2898" s="31" t="s">
        <v>202</v>
      </c>
      <c r="N2898" s="31" t="s">
        <v>204</v>
      </c>
      <c r="R2898" s="31" t="s">
        <v>171</v>
      </c>
    </row>
    <row r="2899">
      <c r="A2899" s="29">
        <v>45980.7823328588</v>
      </c>
      <c r="B2899" s="30">
        <v>45980.0</v>
      </c>
      <c r="C2899" s="31" t="s">
        <v>8748</v>
      </c>
      <c r="D2899" s="31">
        <v>0.0</v>
      </c>
      <c r="E2899" s="31" t="s">
        <v>8749</v>
      </c>
      <c r="F2899" s="34">
        <v>2400.0</v>
      </c>
      <c r="G2899" s="31" t="s">
        <v>23</v>
      </c>
      <c r="I2899" s="31" t="s">
        <v>229</v>
      </c>
      <c r="J2899" s="31" t="s">
        <v>967</v>
      </c>
      <c r="K2899" s="33" t="s">
        <v>8750</v>
      </c>
      <c r="L2899" s="31" t="s">
        <v>202</v>
      </c>
      <c r="N2899" s="31" t="s">
        <v>204</v>
      </c>
      <c r="R2899" s="31" t="s">
        <v>171</v>
      </c>
    </row>
    <row r="2900">
      <c r="A2900" s="29">
        <v>45980.78276596065</v>
      </c>
      <c r="B2900" s="30">
        <v>45980.0</v>
      </c>
      <c r="C2900" s="31" t="s">
        <v>8751</v>
      </c>
      <c r="D2900" s="32" t="s">
        <v>8752</v>
      </c>
      <c r="E2900" s="31" t="s">
        <v>239</v>
      </c>
      <c r="F2900" s="31">
        <v>2500000.0</v>
      </c>
      <c r="G2900" s="31" t="s">
        <v>23</v>
      </c>
      <c r="I2900" s="31" t="s">
        <v>229</v>
      </c>
      <c r="J2900" s="31" t="s">
        <v>967</v>
      </c>
      <c r="K2900" s="33" t="s">
        <v>8753</v>
      </c>
      <c r="L2900" s="31" t="s">
        <v>202</v>
      </c>
      <c r="N2900" s="31" t="s">
        <v>204</v>
      </c>
      <c r="R2900" s="31" t="s">
        <v>892</v>
      </c>
    </row>
    <row r="2901">
      <c r="A2901" s="29">
        <v>45980.7895683449</v>
      </c>
      <c r="B2901" s="30">
        <v>45980.0</v>
      </c>
      <c r="C2901" s="31" t="s">
        <v>8754</v>
      </c>
      <c r="D2901" s="32" t="s">
        <v>8755</v>
      </c>
      <c r="E2901" s="31" t="s">
        <v>43</v>
      </c>
      <c r="F2901" s="31">
        <v>3500000.0</v>
      </c>
      <c r="G2901" s="31" t="s">
        <v>23</v>
      </c>
      <c r="H2901" s="31">
        <v>3000000.0</v>
      </c>
      <c r="I2901" s="31" t="s">
        <v>413</v>
      </c>
      <c r="K2901" s="33" t="s">
        <v>8756</v>
      </c>
      <c r="L2901" s="31" t="s">
        <v>202</v>
      </c>
      <c r="M2901" s="31" t="s">
        <v>5638</v>
      </c>
      <c r="N2901" s="31" t="s">
        <v>204</v>
      </c>
      <c r="R2901" s="31" t="s">
        <v>5256</v>
      </c>
    </row>
    <row r="2902">
      <c r="A2902" s="29">
        <v>45980.79141571759</v>
      </c>
      <c r="B2902" s="30">
        <v>45980.0</v>
      </c>
      <c r="C2902" s="31" t="s">
        <v>8757</v>
      </c>
      <c r="D2902" s="32" t="s">
        <v>8758</v>
      </c>
      <c r="E2902" s="31" t="s">
        <v>199</v>
      </c>
      <c r="F2902" s="31">
        <v>4000000.0</v>
      </c>
      <c r="G2902" s="31" t="s">
        <v>23</v>
      </c>
      <c r="I2902" s="31" t="s">
        <v>229</v>
      </c>
      <c r="J2902" s="31" t="s">
        <v>967</v>
      </c>
      <c r="K2902" s="33" t="s">
        <v>8759</v>
      </c>
      <c r="L2902" s="31" t="s">
        <v>202</v>
      </c>
      <c r="N2902" s="31" t="s">
        <v>220</v>
      </c>
      <c r="S2902" s="31" t="s">
        <v>8401</v>
      </c>
    </row>
    <row r="2903">
      <c r="A2903" s="29">
        <v>45980.802743437496</v>
      </c>
      <c r="B2903" s="30">
        <v>45980.0</v>
      </c>
      <c r="C2903" s="31" t="s">
        <v>8760</v>
      </c>
      <c r="D2903" s="32" t="s">
        <v>8761</v>
      </c>
      <c r="E2903" s="31" t="s">
        <v>43</v>
      </c>
      <c r="F2903" s="31">
        <v>3500000.0</v>
      </c>
      <c r="G2903" s="31" t="s">
        <v>23</v>
      </c>
      <c r="I2903" s="31" t="s">
        <v>229</v>
      </c>
      <c r="J2903" s="31" t="s">
        <v>967</v>
      </c>
      <c r="K2903" s="33" t="s">
        <v>8762</v>
      </c>
      <c r="L2903" s="31" t="s">
        <v>202</v>
      </c>
      <c r="N2903" s="31" t="s">
        <v>220</v>
      </c>
      <c r="S2903" s="31" t="s">
        <v>59</v>
      </c>
    </row>
    <row r="2904">
      <c r="A2904" s="29">
        <v>45980.80377701389</v>
      </c>
      <c r="B2904" s="30">
        <v>45980.0</v>
      </c>
      <c r="C2904" s="31" t="s">
        <v>8763</v>
      </c>
      <c r="D2904" s="32" t="s">
        <v>8764</v>
      </c>
      <c r="E2904" s="31" t="s">
        <v>228</v>
      </c>
      <c r="F2904" s="31">
        <v>350000.0</v>
      </c>
      <c r="G2904" s="31" t="s">
        <v>23</v>
      </c>
      <c r="I2904" s="31" t="s">
        <v>229</v>
      </c>
      <c r="J2904" s="31" t="s">
        <v>967</v>
      </c>
      <c r="K2904" s="33" t="s">
        <v>8765</v>
      </c>
      <c r="L2904" s="31" t="s">
        <v>202</v>
      </c>
      <c r="N2904" s="31" t="s">
        <v>204</v>
      </c>
      <c r="R2904" s="31" t="s">
        <v>192</v>
      </c>
    </row>
    <row r="2905">
      <c r="A2905" s="29">
        <v>45980.80518318287</v>
      </c>
      <c r="B2905" s="30">
        <v>45980.0</v>
      </c>
      <c r="C2905" s="31" t="s">
        <v>8766</v>
      </c>
      <c r="D2905" s="32" t="s">
        <v>8767</v>
      </c>
      <c r="E2905" s="31" t="s">
        <v>8768</v>
      </c>
      <c r="F2905" s="31">
        <v>3500000.0</v>
      </c>
      <c r="G2905" s="31" t="s">
        <v>23</v>
      </c>
      <c r="I2905" s="31" t="s">
        <v>229</v>
      </c>
      <c r="J2905" s="31" t="s">
        <v>967</v>
      </c>
      <c r="K2905" s="33" t="s">
        <v>8769</v>
      </c>
      <c r="L2905" s="31" t="s">
        <v>202</v>
      </c>
      <c r="N2905" s="31" t="s">
        <v>220</v>
      </c>
      <c r="S2905" s="31" t="s">
        <v>8401</v>
      </c>
    </row>
    <row r="2906">
      <c r="A2906" s="29">
        <v>45980.805440428245</v>
      </c>
      <c r="B2906" s="30">
        <v>45980.0</v>
      </c>
      <c r="C2906" s="31" t="s">
        <v>8770</v>
      </c>
      <c r="D2906" s="32" t="s">
        <v>8771</v>
      </c>
      <c r="E2906" s="31" t="s">
        <v>43</v>
      </c>
      <c r="F2906" s="31">
        <v>7500000.0</v>
      </c>
      <c r="G2906" s="31" t="s">
        <v>23</v>
      </c>
      <c r="I2906" s="31" t="s">
        <v>229</v>
      </c>
      <c r="J2906" s="31" t="s">
        <v>967</v>
      </c>
      <c r="K2906" s="33" t="s">
        <v>8772</v>
      </c>
      <c r="L2906" s="31" t="s">
        <v>252</v>
      </c>
      <c r="O2906" s="31" t="s">
        <v>205</v>
      </c>
      <c r="X2906" s="31" t="s">
        <v>716</v>
      </c>
    </row>
    <row r="2907">
      <c r="A2907" s="29">
        <v>45980.80596857639</v>
      </c>
      <c r="B2907" s="30">
        <v>45980.0</v>
      </c>
      <c r="C2907" s="31" t="s">
        <v>8773</v>
      </c>
      <c r="D2907" s="32" t="s">
        <v>8774</v>
      </c>
      <c r="E2907" s="31" t="s">
        <v>43</v>
      </c>
      <c r="F2907" s="31">
        <v>3000000.0</v>
      </c>
      <c r="G2907" s="31" t="s">
        <v>23</v>
      </c>
      <c r="I2907" s="31" t="s">
        <v>229</v>
      </c>
      <c r="J2907" s="31" t="s">
        <v>967</v>
      </c>
      <c r="K2907" s="33" t="s">
        <v>8775</v>
      </c>
      <c r="L2907" s="31" t="s">
        <v>202</v>
      </c>
      <c r="N2907" s="31" t="s">
        <v>220</v>
      </c>
      <c r="S2907" s="31" t="s">
        <v>36</v>
      </c>
    </row>
    <row r="2908">
      <c r="A2908" s="29">
        <v>45980.810619236116</v>
      </c>
      <c r="B2908" s="30">
        <v>45980.0</v>
      </c>
      <c r="C2908" s="31" t="s">
        <v>8776</v>
      </c>
      <c r="D2908" s="32" t="s">
        <v>8777</v>
      </c>
      <c r="E2908" s="31" t="s">
        <v>31</v>
      </c>
      <c r="F2908" s="31">
        <v>1500000.0</v>
      </c>
      <c r="G2908" s="31" t="s">
        <v>23</v>
      </c>
      <c r="I2908" s="31" t="s">
        <v>229</v>
      </c>
      <c r="J2908" s="31" t="s">
        <v>967</v>
      </c>
      <c r="K2908" s="33" t="s">
        <v>8778</v>
      </c>
      <c r="L2908" s="31" t="s">
        <v>202</v>
      </c>
      <c r="N2908" s="31" t="s">
        <v>215</v>
      </c>
      <c r="W2908" s="31" t="s">
        <v>216</v>
      </c>
    </row>
    <row r="2909">
      <c r="A2909" s="29">
        <v>45980.81466960648</v>
      </c>
      <c r="B2909" s="30">
        <v>45980.0</v>
      </c>
      <c r="C2909" s="31" t="s">
        <v>8779</v>
      </c>
      <c r="D2909" s="32" t="s">
        <v>8780</v>
      </c>
      <c r="E2909" s="31" t="s">
        <v>43</v>
      </c>
      <c r="F2909" s="31">
        <v>3000000.0</v>
      </c>
      <c r="G2909" s="31" t="s">
        <v>23</v>
      </c>
      <c r="I2909" s="31" t="s">
        <v>229</v>
      </c>
      <c r="J2909" s="31" t="s">
        <v>967</v>
      </c>
      <c r="K2909" s="33" t="s">
        <v>8781</v>
      </c>
      <c r="L2909" s="31" t="s">
        <v>202</v>
      </c>
      <c r="N2909" s="31" t="s">
        <v>215</v>
      </c>
      <c r="W2909" s="31" t="s">
        <v>389</v>
      </c>
    </row>
    <row r="2910">
      <c r="A2910" s="29">
        <v>45980.81885848379</v>
      </c>
      <c r="B2910" s="30">
        <v>45980.0</v>
      </c>
      <c r="C2910" s="31" t="s">
        <v>8782</v>
      </c>
      <c r="D2910" s="32" t="s">
        <v>3714</v>
      </c>
      <c r="E2910" s="31" t="s">
        <v>43</v>
      </c>
      <c r="F2910" s="31">
        <v>2000000.0</v>
      </c>
      <c r="G2910" s="31" t="s">
        <v>23</v>
      </c>
      <c r="I2910" s="31" t="s">
        <v>229</v>
      </c>
      <c r="J2910" s="31" t="s">
        <v>967</v>
      </c>
      <c r="K2910" s="33" t="s">
        <v>8783</v>
      </c>
      <c r="L2910" s="31" t="s">
        <v>202</v>
      </c>
      <c r="N2910" s="31" t="s">
        <v>215</v>
      </c>
      <c r="W2910" s="31" t="s">
        <v>532</v>
      </c>
    </row>
    <row r="2911">
      <c r="A2911" s="29">
        <v>45980.82689459491</v>
      </c>
      <c r="B2911" s="30">
        <v>45980.0</v>
      </c>
      <c r="C2911" s="31" t="s">
        <v>8784</v>
      </c>
      <c r="D2911" s="32" t="s">
        <v>8785</v>
      </c>
      <c r="E2911" s="31" t="s">
        <v>43</v>
      </c>
      <c r="F2911" s="31">
        <v>5500000.0</v>
      </c>
      <c r="G2911" s="31" t="s">
        <v>23</v>
      </c>
      <c r="I2911" s="31" t="s">
        <v>229</v>
      </c>
      <c r="J2911" s="31" t="s">
        <v>967</v>
      </c>
      <c r="K2911" s="33" t="s">
        <v>8786</v>
      </c>
      <c r="L2911" s="31" t="s">
        <v>202</v>
      </c>
      <c r="N2911" s="31" t="s">
        <v>204</v>
      </c>
      <c r="R2911" s="31" t="s">
        <v>53</v>
      </c>
    </row>
    <row r="2912">
      <c r="A2912" s="29">
        <v>45980.83116686343</v>
      </c>
      <c r="B2912" s="30">
        <v>45980.0</v>
      </c>
      <c r="C2912" s="31" t="s">
        <v>8787</v>
      </c>
      <c r="D2912" s="32" t="s">
        <v>8788</v>
      </c>
      <c r="E2912" s="31" t="s">
        <v>43</v>
      </c>
      <c r="F2912" s="31">
        <v>5100000.0</v>
      </c>
      <c r="G2912" s="31" t="s">
        <v>23</v>
      </c>
      <c r="I2912" s="31" t="s">
        <v>229</v>
      </c>
      <c r="J2912" s="31" t="s">
        <v>967</v>
      </c>
      <c r="K2912" s="33" t="s">
        <v>8789</v>
      </c>
      <c r="L2912" s="31" t="s">
        <v>202</v>
      </c>
      <c r="N2912" s="31" t="s">
        <v>204</v>
      </c>
      <c r="R2912" s="31" t="s">
        <v>47</v>
      </c>
    </row>
    <row r="2913">
      <c r="A2913" s="29">
        <v>45980.841081562496</v>
      </c>
      <c r="B2913" s="30">
        <v>45980.0</v>
      </c>
      <c r="C2913" s="31" t="s">
        <v>8790</v>
      </c>
      <c r="D2913" s="32" t="s">
        <v>8791</v>
      </c>
      <c r="E2913" s="31" t="s">
        <v>3182</v>
      </c>
      <c r="F2913" s="31">
        <v>500000.0</v>
      </c>
      <c r="G2913" s="31" t="s">
        <v>23</v>
      </c>
      <c r="I2913" s="31" t="s">
        <v>229</v>
      </c>
      <c r="J2913" s="31" t="s">
        <v>967</v>
      </c>
      <c r="K2913" s="33" t="s">
        <v>8792</v>
      </c>
      <c r="L2913" s="31" t="s">
        <v>202</v>
      </c>
      <c r="N2913" s="31" t="s">
        <v>313</v>
      </c>
      <c r="T2913" s="31" t="s">
        <v>4272</v>
      </c>
    </row>
    <row r="2914">
      <c r="A2914" s="29">
        <v>45980.85239105324</v>
      </c>
      <c r="B2914" s="30">
        <v>45980.0</v>
      </c>
      <c r="C2914" s="31" t="s">
        <v>8793</v>
      </c>
      <c r="D2914" s="32" t="s">
        <v>8794</v>
      </c>
      <c r="E2914" s="31" t="s">
        <v>228</v>
      </c>
      <c r="F2914" s="31">
        <v>2000000.0</v>
      </c>
      <c r="G2914" s="31" t="s">
        <v>23</v>
      </c>
      <c r="H2914" s="31">
        <v>5000000.0</v>
      </c>
      <c r="I2914" s="31" t="s">
        <v>413</v>
      </c>
      <c r="K2914" s="33" t="s">
        <v>8795</v>
      </c>
      <c r="L2914" s="31" t="s">
        <v>202</v>
      </c>
      <c r="M2914" s="31" t="s">
        <v>926</v>
      </c>
      <c r="N2914" s="31" t="s">
        <v>220</v>
      </c>
      <c r="S2914" s="31" t="s">
        <v>913</v>
      </c>
    </row>
    <row r="2915">
      <c r="A2915" s="29">
        <v>45981.421822199074</v>
      </c>
      <c r="B2915" s="30">
        <v>45981.0</v>
      </c>
      <c r="C2915" s="31" t="s">
        <v>8796</v>
      </c>
      <c r="D2915" s="32" t="s">
        <v>8797</v>
      </c>
      <c r="E2915" s="31" t="s">
        <v>43</v>
      </c>
      <c r="F2915" s="31">
        <v>9700000.0</v>
      </c>
      <c r="G2915" s="31" t="s">
        <v>23</v>
      </c>
      <c r="I2915" s="31" t="s">
        <v>229</v>
      </c>
      <c r="J2915" s="31" t="s">
        <v>967</v>
      </c>
      <c r="K2915" s="33" t="s">
        <v>8798</v>
      </c>
      <c r="L2915" s="31" t="s">
        <v>202</v>
      </c>
      <c r="N2915" s="31" t="s">
        <v>313</v>
      </c>
      <c r="T2915" s="31" t="s">
        <v>314</v>
      </c>
    </row>
    <row r="2916">
      <c r="A2916" s="29">
        <v>45981.42905611111</v>
      </c>
      <c r="B2916" s="30" t="s">
        <v>8799</v>
      </c>
      <c r="C2916" s="31" t="s">
        <v>8800</v>
      </c>
      <c r="D2916" s="32" t="s">
        <v>8801</v>
      </c>
      <c r="E2916" s="31" t="s">
        <v>43</v>
      </c>
      <c r="F2916" s="31">
        <v>2500000.0</v>
      </c>
      <c r="G2916" s="31" t="s">
        <v>23</v>
      </c>
      <c r="I2916" s="31" t="s">
        <v>229</v>
      </c>
      <c r="J2916" s="31" t="s">
        <v>967</v>
      </c>
      <c r="K2916" s="33" t="s">
        <v>8802</v>
      </c>
      <c r="L2916" s="31" t="s">
        <v>202</v>
      </c>
      <c r="N2916" s="31" t="s">
        <v>215</v>
      </c>
      <c r="W2916" s="31" t="s">
        <v>216</v>
      </c>
    </row>
    <row r="2917">
      <c r="A2917" s="29">
        <v>45981.46276789352</v>
      </c>
      <c r="B2917" s="30">
        <v>45981.0</v>
      </c>
      <c r="C2917" s="31" t="s">
        <v>8803</v>
      </c>
      <c r="D2917" s="32" t="s">
        <v>8804</v>
      </c>
      <c r="E2917" s="31" t="s">
        <v>199</v>
      </c>
      <c r="F2917" s="31">
        <v>1.0E7</v>
      </c>
      <c r="G2917" s="31" t="s">
        <v>45</v>
      </c>
      <c r="H2917" s="31">
        <v>3000000.0</v>
      </c>
      <c r="I2917" s="31" t="s">
        <v>200</v>
      </c>
      <c r="K2917" s="33" t="s">
        <v>8805</v>
      </c>
      <c r="L2917" s="31" t="s">
        <v>202</v>
      </c>
      <c r="M2917" s="31" t="s">
        <v>203</v>
      </c>
      <c r="N2917" s="31" t="s">
        <v>667</v>
      </c>
      <c r="U2917" s="31" t="s">
        <v>668</v>
      </c>
    </row>
    <row r="2918">
      <c r="A2918" s="29">
        <v>45981.46593622685</v>
      </c>
      <c r="B2918" s="30">
        <v>45981.0</v>
      </c>
      <c r="C2918" s="31" t="s">
        <v>8806</v>
      </c>
      <c r="D2918" s="32" t="s">
        <v>3714</v>
      </c>
      <c r="E2918" s="31" t="s">
        <v>283</v>
      </c>
      <c r="F2918" s="31">
        <v>2000000.0</v>
      </c>
      <c r="G2918" s="31" t="s">
        <v>23</v>
      </c>
      <c r="I2918" s="31" t="s">
        <v>229</v>
      </c>
      <c r="J2918" s="31" t="s">
        <v>967</v>
      </c>
      <c r="K2918" s="33" t="s">
        <v>8807</v>
      </c>
      <c r="L2918" s="31" t="s">
        <v>202</v>
      </c>
      <c r="N2918" s="31" t="s">
        <v>215</v>
      </c>
      <c r="W2918" s="31" t="s">
        <v>532</v>
      </c>
    </row>
    <row r="2919">
      <c r="A2919" s="29">
        <v>45981.47000872685</v>
      </c>
      <c r="B2919" s="30">
        <v>45981.0</v>
      </c>
      <c r="C2919" s="31" t="s">
        <v>8808</v>
      </c>
      <c r="D2919" s="32" t="s">
        <v>8809</v>
      </c>
      <c r="E2919" s="31" t="s">
        <v>228</v>
      </c>
      <c r="F2919" s="31">
        <v>50000.0</v>
      </c>
      <c r="G2919" s="31" t="s">
        <v>23</v>
      </c>
      <c r="I2919" s="31" t="s">
        <v>229</v>
      </c>
      <c r="J2919" s="31" t="s">
        <v>967</v>
      </c>
      <c r="K2919" s="33" t="s">
        <v>8810</v>
      </c>
      <c r="L2919" s="31" t="s">
        <v>202</v>
      </c>
      <c r="N2919" s="31" t="s">
        <v>313</v>
      </c>
      <c r="T2919" s="31" t="s">
        <v>4272</v>
      </c>
    </row>
    <row r="2920">
      <c r="A2920" s="29">
        <v>45981.49328195602</v>
      </c>
      <c r="B2920" s="30">
        <v>45981.0</v>
      </c>
      <c r="C2920" s="31" t="s">
        <v>8811</v>
      </c>
      <c r="D2920" s="32" t="s">
        <v>8812</v>
      </c>
      <c r="E2920" s="31" t="s">
        <v>43</v>
      </c>
      <c r="F2920" s="31">
        <v>3000000.0</v>
      </c>
      <c r="G2920" s="31" t="s">
        <v>23</v>
      </c>
      <c r="I2920" s="31" t="s">
        <v>229</v>
      </c>
      <c r="J2920" s="31" t="s">
        <v>967</v>
      </c>
      <c r="K2920" s="33" t="s">
        <v>8813</v>
      </c>
      <c r="L2920" s="31" t="s">
        <v>252</v>
      </c>
      <c r="O2920" s="31" t="s">
        <v>205</v>
      </c>
      <c r="X2920" s="31" t="s">
        <v>452</v>
      </c>
    </row>
    <row r="2921">
      <c r="A2921" s="29">
        <v>45981.504342361106</v>
      </c>
      <c r="B2921" s="30">
        <v>45981.0</v>
      </c>
      <c r="C2921" s="31" t="s">
        <v>8814</v>
      </c>
      <c r="D2921" s="32" t="s">
        <v>8815</v>
      </c>
      <c r="E2921" s="31" t="s">
        <v>43</v>
      </c>
      <c r="F2921" s="31">
        <v>5500000.0</v>
      </c>
      <c r="G2921" s="31" t="s">
        <v>23</v>
      </c>
      <c r="I2921" s="31" t="s">
        <v>229</v>
      </c>
      <c r="J2921" s="31" t="s">
        <v>967</v>
      </c>
      <c r="K2921" s="33" t="s">
        <v>8816</v>
      </c>
      <c r="L2921" s="31" t="s">
        <v>202</v>
      </c>
      <c r="N2921" s="31" t="s">
        <v>220</v>
      </c>
      <c r="S2921" s="31" t="s">
        <v>536</v>
      </c>
    </row>
    <row r="2922">
      <c r="A2922" s="29">
        <v>45981.504482476856</v>
      </c>
      <c r="B2922" s="30">
        <v>45981.0</v>
      </c>
      <c r="C2922" s="31" t="s">
        <v>8741</v>
      </c>
      <c r="D2922" s="32" t="s">
        <v>8817</v>
      </c>
      <c r="E2922" s="31" t="s">
        <v>43</v>
      </c>
      <c r="F2922" s="31">
        <v>5000000.0</v>
      </c>
      <c r="G2922" s="31" t="s">
        <v>45</v>
      </c>
      <c r="H2922" s="31">
        <v>7000000.0</v>
      </c>
      <c r="I2922" s="31" t="s">
        <v>200</v>
      </c>
      <c r="K2922" s="33" t="s">
        <v>8818</v>
      </c>
      <c r="L2922" s="31" t="s">
        <v>252</v>
      </c>
      <c r="M2922" s="31" t="s">
        <v>926</v>
      </c>
      <c r="O2922" s="31" t="s">
        <v>257</v>
      </c>
      <c r="P2922" s="31" t="s">
        <v>272</v>
      </c>
    </row>
    <row r="2923">
      <c r="A2923" s="29">
        <v>45981.50460042824</v>
      </c>
      <c r="B2923" s="30">
        <v>45981.0</v>
      </c>
      <c r="C2923" s="31" t="s">
        <v>8819</v>
      </c>
      <c r="D2923" s="32" t="s">
        <v>8820</v>
      </c>
      <c r="E2923" s="31" t="s">
        <v>228</v>
      </c>
      <c r="F2923" s="31">
        <v>6000000.0</v>
      </c>
      <c r="G2923" s="31" t="s">
        <v>23</v>
      </c>
      <c r="I2923" s="31" t="s">
        <v>229</v>
      </c>
      <c r="J2923" s="31" t="s">
        <v>967</v>
      </c>
      <c r="K2923" s="33" t="s">
        <v>8821</v>
      </c>
      <c r="L2923" s="31" t="s">
        <v>202</v>
      </c>
      <c r="N2923" s="31" t="s">
        <v>220</v>
      </c>
      <c r="S2923" s="31" t="s">
        <v>1406</v>
      </c>
    </row>
    <row r="2924">
      <c r="A2924" s="29">
        <v>45981.53266888889</v>
      </c>
      <c r="B2924" s="30">
        <v>45981.0</v>
      </c>
      <c r="C2924" s="31" t="s">
        <v>8822</v>
      </c>
      <c r="D2924" s="32" t="s">
        <v>3714</v>
      </c>
      <c r="E2924" s="31" t="s">
        <v>283</v>
      </c>
      <c r="F2924" s="31">
        <v>2000000.0</v>
      </c>
      <c r="G2924" s="31" t="s">
        <v>23</v>
      </c>
      <c r="I2924" s="31" t="s">
        <v>229</v>
      </c>
      <c r="J2924" s="31" t="s">
        <v>967</v>
      </c>
      <c r="K2924" s="33" t="s">
        <v>8823</v>
      </c>
      <c r="L2924" s="31" t="s">
        <v>202</v>
      </c>
      <c r="N2924" s="31" t="s">
        <v>215</v>
      </c>
      <c r="W2924" s="31" t="s">
        <v>532</v>
      </c>
    </row>
    <row r="2925">
      <c r="A2925" s="29">
        <v>45981.53465489583</v>
      </c>
      <c r="B2925" s="30">
        <v>45981.0</v>
      </c>
      <c r="C2925" s="31" t="s">
        <v>8824</v>
      </c>
      <c r="D2925" s="32" t="s">
        <v>907</v>
      </c>
      <c r="E2925" s="31" t="s">
        <v>228</v>
      </c>
      <c r="F2925" s="31">
        <v>2000000.0</v>
      </c>
      <c r="G2925" s="31" t="s">
        <v>23</v>
      </c>
      <c r="I2925" s="31" t="s">
        <v>229</v>
      </c>
      <c r="J2925" s="31" t="s">
        <v>967</v>
      </c>
      <c r="K2925" s="33" t="s">
        <v>8825</v>
      </c>
      <c r="L2925" s="31" t="s">
        <v>202</v>
      </c>
      <c r="N2925" s="31" t="s">
        <v>215</v>
      </c>
      <c r="W2925" s="31" t="s">
        <v>532</v>
      </c>
    </row>
    <row r="2926">
      <c r="A2926" s="29">
        <v>45981.54407885417</v>
      </c>
      <c r="B2926" s="30">
        <v>45981.0</v>
      </c>
      <c r="C2926" s="31" t="s">
        <v>8826</v>
      </c>
      <c r="D2926" s="32" t="s">
        <v>8827</v>
      </c>
      <c r="E2926" s="31" t="s">
        <v>283</v>
      </c>
      <c r="F2926" s="31">
        <v>2000000.0</v>
      </c>
      <c r="G2926" s="31" t="s">
        <v>23</v>
      </c>
      <c r="I2926" s="31" t="s">
        <v>229</v>
      </c>
      <c r="J2926" s="31" t="s">
        <v>967</v>
      </c>
      <c r="K2926" s="33" t="s">
        <v>8828</v>
      </c>
      <c r="L2926" s="31" t="s">
        <v>202</v>
      </c>
      <c r="N2926" s="31" t="s">
        <v>215</v>
      </c>
      <c r="W2926" s="31" t="s">
        <v>532</v>
      </c>
    </row>
    <row r="2927">
      <c r="A2927" s="29">
        <v>45981.54600045139</v>
      </c>
      <c r="B2927" s="30">
        <v>45981.0</v>
      </c>
      <c r="C2927" s="31" t="s">
        <v>8829</v>
      </c>
      <c r="D2927" s="32" t="s">
        <v>8830</v>
      </c>
      <c r="E2927" s="31" t="s">
        <v>31</v>
      </c>
      <c r="F2927" s="31">
        <v>9700000.0</v>
      </c>
      <c r="G2927" s="31" t="s">
        <v>23</v>
      </c>
      <c r="H2927" s="31">
        <v>3000000.0</v>
      </c>
      <c r="I2927" s="31" t="s">
        <v>200</v>
      </c>
      <c r="K2927" s="33" t="s">
        <v>8831</v>
      </c>
      <c r="L2927" s="31" t="s">
        <v>202</v>
      </c>
      <c r="M2927" s="31" t="s">
        <v>5638</v>
      </c>
      <c r="N2927" s="31" t="s">
        <v>313</v>
      </c>
      <c r="T2927" s="31" t="s">
        <v>329</v>
      </c>
    </row>
    <row r="2928">
      <c r="A2928" s="29">
        <v>45981.54856256944</v>
      </c>
      <c r="B2928" s="30">
        <v>45981.0</v>
      </c>
      <c r="C2928" s="31" t="s">
        <v>8832</v>
      </c>
      <c r="D2928" s="32" t="s">
        <v>8833</v>
      </c>
      <c r="E2928" s="31" t="s">
        <v>31</v>
      </c>
      <c r="F2928" s="31">
        <v>3600000.0</v>
      </c>
      <c r="G2928" s="31" t="s">
        <v>23</v>
      </c>
      <c r="I2928" s="31" t="s">
        <v>229</v>
      </c>
      <c r="J2928" s="31" t="s">
        <v>967</v>
      </c>
      <c r="K2928" s="33" t="s">
        <v>8834</v>
      </c>
      <c r="L2928" s="31" t="s">
        <v>252</v>
      </c>
      <c r="O2928" s="31" t="s">
        <v>205</v>
      </c>
      <c r="X2928" s="31" t="s">
        <v>569</v>
      </c>
    </row>
    <row r="2929">
      <c r="A2929" s="29">
        <v>45981.552401875</v>
      </c>
      <c r="B2929" s="30">
        <v>45981.0</v>
      </c>
      <c r="C2929" s="31" t="s">
        <v>8835</v>
      </c>
      <c r="D2929" s="32" t="s">
        <v>8836</v>
      </c>
      <c r="E2929" s="31" t="s">
        <v>43</v>
      </c>
      <c r="F2929" s="31">
        <v>3000000.0</v>
      </c>
      <c r="G2929" s="31" t="s">
        <v>23</v>
      </c>
      <c r="I2929" s="31" t="s">
        <v>229</v>
      </c>
      <c r="J2929" s="31" t="s">
        <v>967</v>
      </c>
      <c r="K2929" s="33" t="s">
        <v>8837</v>
      </c>
      <c r="L2929" s="31" t="s">
        <v>202</v>
      </c>
      <c r="N2929" s="31" t="s">
        <v>871</v>
      </c>
      <c r="Q2929" s="31" t="s">
        <v>872</v>
      </c>
    </row>
    <row r="2930">
      <c r="A2930" s="29">
        <v>45981.6155315162</v>
      </c>
      <c r="B2930" s="30">
        <v>45981.0</v>
      </c>
      <c r="C2930" s="31" t="s">
        <v>8838</v>
      </c>
      <c r="D2930" s="32" t="s">
        <v>4950</v>
      </c>
      <c r="E2930" s="31" t="s">
        <v>43</v>
      </c>
      <c r="F2930" s="31">
        <v>9700000.0</v>
      </c>
      <c r="G2930" s="31" t="s">
        <v>23</v>
      </c>
      <c r="I2930" s="31" t="s">
        <v>229</v>
      </c>
      <c r="J2930" s="31" t="s">
        <v>967</v>
      </c>
      <c r="K2930" s="33" t="s">
        <v>8839</v>
      </c>
      <c r="L2930" s="31" t="s">
        <v>202</v>
      </c>
      <c r="N2930" s="31" t="s">
        <v>313</v>
      </c>
      <c r="T2930" s="31" t="s">
        <v>314</v>
      </c>
    </row>
    <row r="2931">
      <c r="A2931" s="29">
        <v>45981.6347585301</v>
      </c>
      <c r="B2931" s="30">
        <v>45981.0</v>
      </c>
      <c r="C2931" s="31" t="s">
        <v>8840</v>
      </c>
      <c r="D2931" s="32" t="s">
        <v>8841</v>
      </c>
      <c r="E2931" s="31" t="s">
        <v>784</v>
      </c>
      <c r="F2931" s="31">
        <v>2300000.0</v>
      </c>
      <c r="G2931" s="31" t="s">
        <v>23</v>
      </c>
      <c r="I2931" s="31" t="s">
        <v>229</v>
      </c>
      <c r="J2931" s="31" t="s">
        <v>967</v>
      </c>
      <c r="K2931" s="33" t="s">
        <v>8842</v>
      </c>
      <c r="L2931" s="31" t="s">
        <v>252</v>
      </c>
      <c r="O2931" s="31" t="s">
        <v>257</v>
      </c>
      <c r="P2931" s="31" t="s">
        <v>206</v>
      </c>
    </row>
    <row r="2932">
      <c r="A2932" s="29">
        <v>45981.638782256945</v>
      </c>
      <c r="B2932" s="30">
        <v>45981.0</v>
      </c>
      <c r="C2932" s="31" t="s">
        <v>8843</v>
      </c>
      <c r="D2932" s="32" t="s">
        <v>8844</v>
      </c>
      <c r="E2932" s="31" t="s">
        <v>43</v>
      </c>
      <c r="F2932" s="31">
        <v>3000000.0</v>
      </c>
      <c r="G2932" s="31" t="s">
        <v>23</v>
      </c>
      <c r="I2932" s="31" t="s">
        <v>229</v>
      </c>
      <c r="J2932" s="31" t="s">
        <v>967</v>
      </c>
      <c r="K2932" s="33" t="s">
        <v>8845</v>
      </c>
      <c r="L2932" s="31" t="s">
        <v>252</v>
      </c>
      <c r="O2932" s="31" t="s">
        <v>257</v>
      </c>
      <c r="P2932" s="31" t="s">
        <v>3194</v>
      </c>
    </row>
    <row r="2933">
      <c r="A2933" s="29">
        <v>45981.65371962963</v>
      </c>
      <c r="B2933" s="30">
        <v>45981.0</v>
      </c>
      <c r="C2933" s="31" t="s">
        <v>8846</v>
      </c>
      <c r="D2933" s="32" t="s">
        <v>8847</v>
      </c>
      <c r="E2933" s="31" t="s">
        <v>261</v>
      </c>
      <c r="F2933" s="31">
        <v>3000000.0</v>
      </c>
      <c r="G2933" s="31" t="s">
        <v>23</v>
      </c>
      <c r="I2933" s="31" t="s">
        <v>229</v>
      </c>
      <c r="J2933" s="31" t="s">
        <v>967</v>
      </c>
      <c r="K2933" s="33" t="s">
        <v>8848</v>
      </c>
      <c r="L2933" s="31" t="s">
        <v>202</v>
      </c>
      <c r="N2933" s="31" t="s">
        <v>871</v>
      </c>
      <c r="Q2933" s="31" t="s">
        <v>872</v>
      </c>
    </row>
    <row r="2934">
      <c r="A2934" s="29">
        <v>45981.666447881944</v>
      </c>
      <c r="B2934" s="30">
        <v>45981.0</v>
      </c>
      <c r="C2934" s="31" t="s">
        <v>8849</v>
      </c>
      <c r="D2934" s="32" t="s">
        <v>8850</v>
      </c>
      <c r="E2934" s="31" t="s">
        <v>43</v>
      </c>
      <c r="F2934" s="31">
        <v>3000000.0</v>
      </c>
      <c r="G2934" s="31" t="s">
        <v>23</v>
      </c>
      <c r="H2934" s="31">
        <v>1600000.0</v>
      </c>
      <c r="I2934" s="31" t="s">
        <v>413</v>
      </c>
      <c r="K2934" s="33" t="s">
        <v>8851</v>
      </c>
      <c r="L2934" s="31" t="s">
        <v>202</v>
      </c>
      <c r="M2934" s="31" t="s">
        <v>5638</v>
      </c>
      <c r="N2934" s="31" t="s">
        <v>871</v>
      </c>
      <c r="Q2934" s="31" t="s">
        <v>872</v>
      </c>
    </row>
    <row r="2935">
      <c r="A2935" s="29">
        <v>45981.667670219904</v>
      </c>
      <c r="B2935" s="30">
        <v>45981.0</v>
      </c>
      <c r="C2935" s="31" t="s">
        <v>8835</v>
      </c>
      <c r="D2935" s="32" t="s">
        <v>4259</v>
      </c>
      <c r="E2935" s="31" t="s">
        <v>43</v>
      </c>
      <c r="F2935" s="31">
        <v>3000000.0</v>
      </c>
      <c r="G2935" s="31" t="s">
        <v>23</v>
      </c>
      <c r="I2935" s="31" t="s">
        <v>229</v>
      </c>
      <c r="J2935" s="31" t="s">
        <v>967</v>
      </c>
      <c r="K2935" s="33" t="s">
        <v>8852</v>
      </c>
      <c r="L2935" s="31" t="s">
        <v>202</v>
      </c>
      <c r="N2935" s="31" t="s">
        <v>871</v>
      </c>
      <c r="Q2935" s="31" t="s">
        <v>872</v>
      </c>
    </row>
    <row r="2936">
      <c r="A2936" s="29">
        <v>45981.68179826389</v>
      </c>
      <c r="B2936" s="30">
        <v>45981.0</v>
      </c>
      <c r="C2936" s="31" t="s">
        <v>8853</v>
      </c>
      <c r="D2936" s="32" t="s">
        <v>8854</v>
      </c>
      <c r="E2936" s="31" t="s">
        <v>283</v>
      </c>
      <c r="F2936" s="31">
        <v>4000000.0</v>
      </c>
      <c r="G2936" s="31" t="s">
        <v>23</v>
      </c>
      <c r="H2936" s="31">
        <v>3000000.0</v>
      </c>
      <c r="I2936" s="31" t="s">
        <v>413</v>
      </c>
      <c r="K2936" s="33" t="s">
        <v>8855</v>
      </c>
      <c r="L2936" s="31" t="s">
        <v>252</v>
      </c>
      <c r="M2936" s="31" t="s">
        <v>5638</v>
      </c>
      <c r="O2936" s="31" t="s">
        <v>257</v>
      </c>
      <c r="P2936" s="31" t="s">
        <v>272</v>
      </c>
    </row>
    <row r="2937">
      <c r="A2937" s="29">
        <v>45981.72104059027</v>
      </c>
      <c r="B2937" s="30">
        <v>45981.0</v>
      </c>
      <c r="C2937" s="31" t="s">
        <v>8856</v>
      </c>
      <c r="D2937" s="32" t="s">
        <v>8857</v>
      </c>
      <c r="E2937" s="31" t="s">
        <v>43</v>
      </c>
      <c r="F2937" s="31">
        <v>3400000.0</v>
      </c>
      <c r="G2937" s="31" t="s">
        <v>45</v>
      </c>
      <c r="I2937" s="31" t="s">
        <v>229</v>
      </c>
      <c r="J2937" s="31" t="s">
        <v>967</v>
      </c>
      <c r="K2937" s="33" t="s">
        <v>8858</v>
      </c>
      <c r="L2937" s="31" t="s">
        <v>202</v>
      </c>
      <c r="N2937" s="31" t="s">
        <v>204</v>
      </c>
      <c r="R2937" s="31" t="s">
        <v>148</v>
      </c>
    </row>
    <row r="2938">
      <c r="A2938" s="29">
        <v>45981.725838252314</v>
      </c>
      <c r="B2938" s="30">
        <v>45981.0</v>
      </c>
      <c r="C2938" s="31" t="s">
        <v>8859</v>
      </c>
      <c r="D2938" s="32" t="s">
        <v>8860</v>
      </c>
      <c r="E2938" s="31" t="s">
        <v>43</v>
      </c>
      <c r="F2938" s="31">
        <v>8500000.0</v>
      </c>
      <c r="G2938" s="31" t="s">
        <v>23</v>
      </c>
      <c r="I2938" s="31" t="s">
        <v>229</v>
      </c>
      <c r="J2938" s="31" t="s">
        <v>967</v>
      </c>
      <c r="K2938" s="33" t="s">
        <v>8861</v>
      </c>
      <c r="L2938" s="31" t="s">
        <v>202</v>
      </c>
      <c r="N2938" s="31" t="s">
        <v>220</v>
      </c>
      <c r="S2938" s="31" t="s">
        <v>83</v>
      </c>
    </row>
    <row r="2939">
      <c r="A2939" s="29">
        <v>45981.74289393518</v>
      </c>
      <c r="B2939" s="30">
        <v>45981.0</v>
      </c>
      <c r="C2939" s="31" t="s">
        <v>8862</v>
      </c>
      <c r="D2939" s="32" t="s">
        <v>8863</v>
      </c>
      <c r="E2939" s="31" t="s">
        <v>239</v>
      </c>
      <c r="F2939" s="31">
        <v>2000000.0</v>
      </c>
      <c r="G2939" s="31" t="s">
        <v>23</v>
      </c>
      <c r="H2939" s="31">
        <v>3000000.0</v>
      </c>
      <c r="I2939" s="31" t="s">
        <v>200</v>
      </c>
      <c r="K2939" s="33" t="s">
        <v>8864</v>
      </c>
      <c r="L2939" s="31" t="s">
        <v>252</v>
      </c>
      <c r="M2939" s="31" t="s">
        <v>5638</v>
      </c>
      <c r="O2939" s="31" t="s">
        <v>205</v>
      </c>
      <c r="X2939" s="31" t="s">
        <v>549</v>
      </c>
    </row>
    <row r="2940">
      <c r="A2940" s="29">
        <v>45981.74357018519</v>
      </c>
      <c r="B2940" s="30">
        <v>45981.0</v>
      </c>
      <c r="C2940" s="31" t="s">
        <v>7768</v>
      </c>
      <c r="D2940" s="32" t="s">
        <v>7769</v>
      </c>
      <c r="E2940" s="31" t="s">
        <v>31</v>
      </c>
      <c r="F2940" s="31">
        <v>3600000.0</v>
      </c>
      <c r="G2940" s="31" t="s">
        <v>23</v>
      </c>
      <c r="H2940" s="31">
        <v>3000000.0</v>
      </c>
      <c r="I2940" s="31" t="s">
        <v>200</v>
      </c>
      <c r="K2940" s="33" t="s">
        <v>8865</v>
      </c>
      <c r="L2940" s="31" t="s">
        <v>252</v>
      </c>
      <c r="M2940" s="31" t="s">
        <v>5638</v>
      </c>
      <c r="O2940" s="31" t="s">
        <v>205</v>
      </c>
      <c r="X2940" s="31" t="s">
        <v>569</v>
      </c>
    </row>
    <row r="2941">
      <c r="A2941" s="29">
        <v>45981.7472800463</v>
      </c>
      <c r="B2941" s="30" t="s">
        <v>8799</v>
      </c>
      <c r="C2941" s="31" t="s">
        <v>8866</v>
      </c>
      <c r="D2941" s="32" t="s">
        <v>8867</v>
      </c>
      <c r="E2941" s="31" t="s">
        <v>31</v>
      </c>
      <c r="F2941" s="31">
        <v>1500000.0</v>
      </c>
      <c r="G2941" s="31" t="s">
        <v>23</v>
      </c>
      <c r="H2941" s="31">
        <v>3000000.0</v>
      </c>
      <c r="I2941" s="31" t="s">
        <v>413</v>
      </c>
      <c r="K2941" s="33" t="s">
        <v>8868</v>
      </c>
      <c r="L2941" s="31" t="s">
        <v>202</v>
      </c>
      <c r="M2941" s="31" t="s">
        <v>5638</v>
      </c>
      <c r="N2941" s="31" t="s">
        <v>215</v>
      </c>
      <c r="W2941" s="31" t="s">
        <v>216</v>
      </c>
    </row>
    <row r="2942">
      <c r="A2942" s="29">
        <v>45981.74778803241</v>
      </c>
      <c r="B2942" s="30">
        <v>45981.0</v>
      </c>
      <c r="C2942" s="31" t="s">
        <v>8869</v>
      </c>
      <c r="D2942" s="32" t="s">
        <v>8870</v>
      </c>
      <c r="E2942" s="31" t="s">
        <v>31</v>
      </c>
      <c r="F2942" s="31">
        <v>4600000.0</v>
      </c>
      <c r="G2942" s="31" t="s">
        <v>23</v>
      </c>
      <c r="I2942" s="31" t="s">
        <v>229</v>
      </c>
      <c r="J2942" s="31" t="s">
        <v>967</v>
      </c>
      <c r="K2942" s="33" t="s">
        <v>8871</v>
      </c>
      <c r="L2942" s="31" t="s">
        <v>252</v>
      </c>
      <c r="O2942" s="31" t="s">
        <v>205</v>
      </c>
      <c r="X2942" s="31" t="s">
        <v>569</v>
      </c>
    </row>
    <row r="2943">
      <c r="A2943" s="29">
        <v>45981.75170429398</v>
      </c>
      <c r="B2943" s="30">
        <v>45981.0</v>
      </c>
      <c r="C2943" s="31" t="s">
        <v>8872</v>
      </c>
      <c r="D2943" s="32" t="s">
        <v>8873</v>
      </c>
      <c r="E2943" s="31" t="s">
        <v>43</v>
      </c>
      <c r="F2943" s="31">
        <v>3000000.0</v>
      </c>
      <c r="G2943" s="31" t="s">
        <v>23</v>
      </c>
      <c r="I2943" s="31" t="s">
        <v>229</v>
      </c>
      <c r="J2943" s="31" t="s">
        <v>967</v>
      </c>
      <c r="K2943" s="33" t="s">
        <v>8874</v>
      </c>
      <c r="L2943" s="31" t="s">
        <v>202</v>
      </c>
      <c r="N2943" s="31" t="s">
        <v>220</v>
      </c>
      <c r="S2943" s="31" t="s">
        <v>466</v>
      </c>
    </row>
    <row r="2944">
      <c r="A2944" s="29">
        <v>45981.75504533565</v>
      </c>
      <c r="B2944" s="30">
        <v>45981.0</v>
      </c>
      <c r="C2944" s="31" t="s">
        <v>8875</v>
      </c>
      <c r="D2944" s="32" t="s">
        <v>8876</v>
      </c>
      <c r="E2944" s="31" t="s">
        <v>288</v>
      </c>
      <c r="F2944" s="34">
        <v>3009.0</v>
      </c>
      <c r="G2944" s="31" t="s">
        <v>23</v>
      </c>
      <c r="I2944" s="31" t="s">
        <v>229</v>
      </c>
      <c r="J2944" s="31" t="s">
        <v>967</v>
      </c>
      <c r="K2944" s="33" t="s">
        <v>8877</v>
      </c>
      <c r="L2944" s="31" t="s">
        <v>202</v>
      </c>
      <c r="N2944" s="31" t="s">
        <v>204</v>
      </c>
      <c r="R2944" s="31" t="s">
        <v>167</v>
      </c>
    </row>
    <row r="2945">
      <c r="A2945" s="29">
        <v>45981.75709868055</v>
      </c>
      <c r="B2945" s="30">
        <v>45981.0</v>
      </c>
      <c r="C2945" s="31" t="s">
        <v>8878</v>
      </c>
      <c r="D2945" s="32" t="s">
        <v>8879</v>
      </c>
      <c r="E2945" s="31" t="s">
        <v>199</v>
      </c>
      <c r="F2945" s="34">
        <v>6000.0</v>
      </c>
      <c r="G2945" s="31" t="s">
        <v>23</v>
      </c>
      <c r="I2945" s="31" t="s">
        <v>229</v>
      </c>
      <c r="J2945" s="31" t="s">
        <v>967</v>
      </c>
      <c r="K2945" s="33" t="s">
        <v>8880</v>
      </c>
      <c r="L2945" s="31" t="s">
        <v>202</v>
      </c>
      <c r="N2945" s="31" t="s">
        <v>204</v>
      </c>
      <c r="R2945" s="31" t="s">
        <v>167</v>
      </c>
    </row>
    <row r="2946">
      <c r="A2946" s="29">
        <v>45981.76421252315</v>
      </c>
      <c r="B2946" s="30">
        <v>45981.0</v>
      </c>
      <c r="C2946" s="31" t="s">
        <v>8881</v>
      </c>
      <c r="D2946" s="32" t="s">
        <v>5934</v>
      </c>
      <c r="E2946" s="31" t="s">
        <v>43</v>
      </c>
      <c r="F2946" s="31">
        <v>5000000.0</v>
      </c>
      <c r="G2946" s="31" t="s">
        <v>23</v>
      </c>
      <c r="I2946" s="31" t="s">
        <v>229</v>
      </c>
      <c r="J2946" s="31" t="s">
        <v>967</v>
      </c>
      <c r="K2946" s="33" t="s">
        <v>8882</v>
      </c>
      <c r="L2946" s="31" t="s">
        <v>202</v>
      </c>
      <c r="N2946" s="31" t="s">
        <v>313</v>
      </c>
      <c r="T2946" s="31" t="s">
        <v>314</v>
      </c>
    </row>
    <row r="2947">
      <c r="A2947" s="29">
        <v>45981.77004721065</v>
      </c>
      <c r="B2947" s="30">
        <v>45981.0</v>
      </c>
      <c r="C2947" s="31" t="s">
        <v>8883</v>
      </c>
      <c r="D2947" s="32" t="s">
        <v>8884</v>
      </c>
      <c r="E2947" s="31" t="s">
        <v>239</v>
      </c>
      <c r="F2947" s="31">
        <v>4000000.0</v>
      </c>
      <c r="G2947" s="31" t="s">
        <v>23</v>
      </c>
      <c r="I2947" s="31" t="s">
        <v>229</v>
      </c>
      <c r="J2947" s="31" t="s">
        <v>967</v>
      </c>
      <c r="K2947" s="33" t="s">
        <v>8885</v>
      </c>
      <c r="L2947" s="31" t="s">
        <v>202</v>
      </c>
      <c r="N2947" s="31" t="s">
        <v>220</v>
      </c>
      <c r="S2947" s="31" t="s">
        <v>8401</v>
      </c>
    </row>
    <row r="2948">
      <c r="A2948" s="29">
        <v>45981.77609881945</v>
      </c>
      <c r="B2948" s="30">
        <v>45981.0</v>
      </c>
      <c r="C2948" s="31" t="s">
        <v>8886</v>
      </c>
      <c r="D2948" s="32" t="s">
        <v>907</v>
      </c>
      <c r="E2948" s="31" t="s">
        <v>239</v>
      </c>
      <c r="F2948" s="31">
        <v>1000000.0</v>
      </c>
      <c r="G2948" s="31" t="s">
        <v>23</v>
      </c>
      <c r="I2948" s="31" t="s">
        <v>229</v>
      </c>
      <c r="J2948" s="31" t="s">
        <v>967</v>
      </c>
      <c r="K2948" s="33" t="s">
        <v>8887</v>
      </c>
      <c r="L2948" s="31" t="s">
        <v>202</v>
      </c>
      <c r="N2948" s="31" t="s">
        <v>215</v>
      </c>
      <c r="W2948" s="31" t="s">
        <v>532</v>
      </c>
    </row>
    <row r="2949">
      <c r="A2949" s="29">
        <v>45981.77955811343</v>
      </c>
      <c r="B2949" s="30">
        <v>45981.0</v>
      </c>
      <c r="C2949" s="31" t="s">
        <v>8888</v>
      </c>
      <c r="D2949" s="32" t="s">
        <v>8889</v>
      </c>
      <c r="E2949" s="31" t="s">
        <v>43</v>
      </c>
      <c r="F2949" s="31">
        <v>8500000.0</v>
      </c>
      <c r="G2949" s="31" t="s">
        <v>23</v>
      </c>
      <c r="H2949" s="31">
        <v>1.2E7</v>
      </c>
      <c r="I2949" s="31" t="s">
        <v>413</v>
      </c>
      <c r="K2949" s="33" t="s">
        <v>8890</v>
      </c>
      <c r="L2949" s="31" t="s">
        <v>202</v>
      </c>
      <c r="M2949" s="31" t="s">
        <v>605</v>
      </c>
      <c r="N2949" s="31" t="s">
        <v>220</v>
      </c>
      <c r="S2949" s="31" t="s">
        <v>5512</v>
      </c>
    </row>
    <row r="2950">
      <c r="A2950" s="29">
        <v>45981.780012233794</v>
      </c>
      <c r="B2950" s="30">
        <v>45981.0</v>
      </c>
      <c r="C2950" s="31" t="s">
        <v>8379</v>
      </c>
      <c r="D2950" s="32" t="s">
        <v>8891</v>
      </c>
      <c r="E2950" s="31" t="s">
        <v>43</v>
      </c>
      <c r="F2950" s="31">
        <v>4000000.0</v>
      </c>
      <c r="G2950" s="31" t="s">
        <v>23</v>
      </c>
      <c r="I2950" s="31" t="s">
        <v>229</v>
      </c>
      <c r="J2950" s="31" t="s">
        <v>967</v>
      </c>
      <c r="K2950" s="33" t="s">
        <v>8892</v>
      </c>
      <c r="L2950" s="31" t="s">
        <v>202</v>
      </c>
      <c r="N2950" s="31" t="s">
        <v>220</v>
      </c>
      <c r="S2950" s="31" t="s">
        <v>124</v>
      </c>
    </row>
    <row r="2951">
      <c r="A2951" s="29">
        <v>45981.780902638886</v>
      </c>
      <c r="B2951" s="30">
        <v>45981.0</v>
      </c>
      <c r="C2951" s="31" t="s">
        <v>8893</v>
      </c>
      <c r="D2951" s="32" t="s">
        <v>8894</v>
      </c>
      <c r="E2951" s="31" t="s">
        <v>43</v>
      </c>
      <c r="F2951" s="31">
        <v>1.45E7</v>
      </c>
      <c r="G2951" s="31" t="s">
        <v>23</v>
      </c>
      <c r="I2951" s="31" t="s">
        <v>229</v>
      </c>
      <c r="J2951" s="31" t="s">
        <v>967</v>
      </c>
      <c r="K2951" s="33" t="s">
        <v>8895</v>
      </c>
      <c r="L2951" s="31" t="s">
        <v>202</v>
      </c>
      <c r="N2951" s="31" t="s">
        <v>220</v>
      </c>
      <c r="S2951" s="31" t="s">
        <v>5512</v>
      </c>
    </row>
    <row r="2952">
      <c r="A2952" s="29">
        <v>45981.78678299769</v>
      </c>
      <c r="B2952" s="30">
        <v>45981.0</v>
      </c>
      <c r="C2952" s="31" t="s">
        <v>8896</v>
      </c>
      <c r="D2952" s="32" t="s">
        <v>8897</v>
      </c>
      <c r="E2952" s="31" t="s">
        <v>43</v>
      </c>
      <c r="F2952" s="31">
        <v>3000000.0</v>
      </c>
      <c r="G2952" s="31" t="s">
        <v>23</v>
      </c>
      <c r="I2952" s="31" t="s">
        <v>229</v>
      </c>
      <c r="J2952" s="31" t="s">
        <v>967</v>
      </c>
      <c r="K2952" s="33" t="s">
        <v>8898</v>
      </c>
      <c r="L2952" s="31" t="s">
        <v>202</v>
      </c>
      <c r="N2952" s="31" t="s">
        <v>220</v>
      </c>
      <c r="S2952" s="31" t="s">
        <v>466</v>
      </c>
    </row>
    <row r="2953">
      <c r="A2953" s="29">
        <v>45981.7883143287</v>
      </c>
      <c r="B2953" s="30">
        <v>45981.0</v>
      </c>
      <c r="C2953" s="31" t="s">
        <v>8899</v>
      </c>
      <c r="D2953" s="32" t="s">
        <v>8900</v>
      </c>
      <c r="E2953" s="31" t="s">
        <v>199</v>
      </c>
      <c r="F2953" s="31">
        <v>4200000.0</v>
      </c>
      <c r="G2953" s="31" t="s">
        <v>45</v>
      </c>
      <c r="H2953" s="31">
        <v>7000000.0</v>
      </c>
      <c r="I2953" s="31" t="s">
        <v>200</v>
      </c>
      <c r="K2953" s="33" t="s">
        <v>8901</v>
      </c>
      <c r="L2953" s="31" t="s">
        <v>202</v>
      </c>
      <c r="M2953" s="31" t="s">
        <v>605</v>
      </c>
      <c r="N2953" s="31" t="s">
        <v>204</v>
      </c>
      <c r="R2953" s="31" t="s">
        <v>207</v>
      </c>
    </row>
    <row r="2954">
      <c r="A2954" s="29">
        <v>45981.79707409722</v>
      </c>
      <c r="B2954" s="30">
        <v>45981.0</v>
      </c>
      <c r="C2954" s="31" t="s">
        <v>8902</v>
      </c>
      <c r="D2954" s="32" t="s">
        <v>8903</v>
      </c>
      <c r="E2954" s="31" t="s">
        <v>43</v>
      </c>
      <c r="F2954" s="31">
        <v>2500000.0</v>
      </c>
      <c r="G2954" s="31" t="s">
        <v>23</v>
      </c>
      <c r="I2954" s="31" t="s">
        <v>229</v>
      </c>
      <c r="J2954" s="31" t="s">
        <v>967</v>
      </c>
      <c r="K2954" s="33" t="s">
        <v>8904</v>
      </c>
      <c r="L2954" s="31" t="s">
        <v>202</v>
      </c>
      <c r="N2954" s="31" t="s">
        <v>204</v>
      </c>
      <c r="R2954" s="31" t="s">
        <v>148</v>
      </c>
    </row>
    <row r="2955">
      <c r="A2955" s="29">
        <v>45981.80478885416</v>
      </c>
      <c r="B2955" s="30">
        <v>45981.0</v>
      </c>
      <c r="C2955" s="31" t="s">
        <v>8905</v>
      </c>
      <c r="D2955" s="32" t="s">
        <v>8906</v>
      </c>
      <c r="E2955" s="31" t="s">
        <v>43</v>
      </c>
      <c r="F2955" s="31">
        <v>3000000.0</v>
      </c>
      <c r="G2955" s="31" t="s">
        <v>45</v>
      </c>
      <c r="H2955" s="31">
        <v>5000000.0</v>
      </c>
      <c r="I2955" s="31" t="s">
        <v>200</v>
      </c>
      <c r="K2955" s="31" t="s">
        <v>8907</v>
      </c>
      <c r="L2955" s="31" t="s">
        <v>252</v>
      </c>
      <c r="M2955" s="31" t="s">
        <v>383</v>
      </c>
      <c r="O2955" s="31" t="s">
        <v>205</v>
      </c>
      <c r="X2955" s="31" t="s">
        <v>549</v>
      </c>
    </row>
    <row r="2956">
      <c r="A2956" s="29">
        <v>45981.82748461806</v>
      </c>
      <c r="B2956" s="30">
        <v>45981.0</v>
      </c>
      <c r="C2956" s="31" t="s">
        <v>8908</v>
      </c>
      <c r="D2956" s="32" t="s">
        <v>8909</v>
      </c>
      <c r="E2956" s="31" t="s">
        <v>43</v>
      </c>
      <c r="F2956" s="31">
        <v>3000000.0</v>
      </c>
      <c r="G2956" s="31" t="s">
        <v>23</v>
      </c>
      <c r="I2956" s="31" t="s">
        <v>229</v>
      </c>
      <c r="J2956" s="31" t="s">
        <v>967</v>
      </c>
      <c r="K2956" s="33" t="s">
        <v>8910</v>
      </c>
      <c r="L2956" s="31" t="s">
        <v>202</v>
      </c>
      <c r="N2956" s="31" t="s">
        <v>204</v>
      </c>
      <c r="R2956" s="31" t="s">
        <v>892</v>
      </c>
    </row>
    <row r="2957">
      <c r="A2957" s="29">
        <v>45981.82814738426</v>
      </c>
      <c r="B2957" s="30">
        <v>45981.0</v>
      </c>
      <c r="C2957" s="31" t="s">
        <v>8911</v>
      </c>
      <c r="D2957" s="32" t="s">
        <v>8912</v>
      </c>
      <c r="E2957" s="31" t="s">
        <v>43</v>
      </c>
      <c r="F2957" s="31">
        <v>2300000.0</v>
      </c>
      <c r="G2957" s="31" t="s">
        <v>45</v>
      </c>
      <c r="I2957" s="31" t="s">
        <v>229</v>
      </c>
      <c r="J2957" s="31" t="s">
        <v>967</v>
      </c>
      <c r="K2957" s="33" t="s">
        <v>8913</v>
      </c>
      <c r="L2957" s="31" t="s">
        <v>202</v>
      </c>
      <c r="N2957" s="31" t="s">
        <v>204</v>
      </c>
      <c r="R2957" s="31" t="s">
        <v>148</v>
      </c>
    </row>
    <row r="2958">
      <c r="A2958" s="29">
        <v>45981.85652084491</v>
      </c>
      <c r="B2958" s="30">
        <v>45981.0</v>
      </c>
      <c r="C2958" s="31" t="s">
        <v>8914</v>
      </c>
      <c r="D2958" s="32" t="s">
        <v>8915</v>
      </c>
      <c r="E2958" s="31" t="s">
        <v>43</v>
      </c>
      <c r="F2958" s="31">
        <v>9800000.0</v>
      </c>
      <c r="G2958" s="31" t="s">
        <v>23</v>
      </c>
      <c r="I2958" s="31" t="s">
        <v>229</v>
      </c>
      <c r="J2958" s="31" t="s">
        <v>967</v>
      </c>
      <c r="K2958" s="33" t="s">
        <v>8916</v>
      </c>
      <c r="L2958" s="31" t="s">
        <v>202</v>
      </c>
      <c r="N2958" s="31" t="s">
        <v>313</v>
      </c>
      <c r="T2958" s="31" t="s">
        <v>314</v>
      </c>
    </row>
    <row r="2959">
      <c r="A2959" s="29">
        <v>45981.881485405094</v>
      </c>
      <c r="B2959" s="30">
        <v>45981.0</v>
      </c>
      <c r="C2959" s="31" t="s">
        <v>8917</v>
      </c>
      <c r="D2959" s="32" t="s">
        <v>8918</v>
      </c>
      <c r="E2959" s="31" t="s">
        <v>31</v>
      </c>
      <c r="F2959" s="31">
        <v>6100000.0</v>
      </c>
      <c r="G2959" s="31" t="s">
        <v>23</v>
      </c>
      <c r="H2959" s="31">
        <v>3000000.0</v>
      </c>
      <c r="I2959" s="31" t="s">
        <v>413</v>
      </c>
      <c r="K2959" s="33" t="s">
        <v>8919</v>
      </c>
      <c r="L2959" s="31" t="s">
        <v>202</v>
      </c>
      <c r="M2959" s="31" t="s">
        <v>5638</v>
      </c>
      <c r="N2959" s="31" t="s">
        <v>220</v>
      </c>
      <c r="S2959" s="31" t="s">
        <v>83</v>
      </c>
    </row>
    <row r="2960">
      <c r="A2960" s="29">
        <v>45981.926780787035</v>
      </c>
      <c r="B2960" s="30">
        <v>45981.0</v>
      </c>
      <c r="C2960" s="31" t="s">
        <v>8920</v>
      </c>
      <c r="D2960" s="32" t="s">
        <v>8921</v>
      </c>
      <c r="E2960" s="31" t="s">
        <v>199</v>
      </c>
      <c r="F2960" s="31">
        <v>4000000.0</v>
      </c>
      <c r="G2960" s="31" t="s">
        <v>45</v>
      </c>
      <c r="I2960" s="31" t="s">
        <v>229</v>
      </c>
      <c r="J2960" s="31" t="s">
        <v>967</v>
      </c>
      <c r="K2960" s="33" t="s">
        <v>8922</v>
      </c>
      <c r="L2960" s="31" t="s">
        <v>202</v>
      </c>
      <c r="N2960" s="31" t="s">
        <v>204</v>
      </c>
      <c r="R2960" s="31" t="s">
        <v>8206</v>
      </c>
    </row>
    <row r="2961">
      <c r="A2961" s="29">
        <v>45982.4169974074</v>
      </c>
      <c r="B2961" s="30">
        <v>45982.0</v>
      </c>
      <c r="C2961" s="31" t="s">
        <v>8923</v>
      </c>
      <c r="D2961" s="32" t="s">
        <v>8924</v>
      </c>
      <c r="E2961" s="31" t="s">
        <v>43</v>
      </c>
      <c r="F2961" s="31">
        <v>3500000.0</v>
      </c>
      <c r="G2961" s="31" t="s">
        <v>23</v>
      </c>
      <c r="H2961" s="31">
        <v>3000000.0</v>
      </c>
      <c r="I2961" s="31" t="s">
        <v>200</v>
      </c>
      <c r="K2961" s="33" t="s">
        <v>8925</v>
      </c>
      <c r="L2961" s="31" t="s">
        <v>252</v>
      </c>
      <c r="M2961" s="31" t="s">
        <v>203</v>
      </c>
      <c r="O2961" s="31" t="s">
        <v>257</v>
      </c>
      <c r="P2961" s="31" t="s">
        <v>206</v>
      </c>
    </row>
    <row r="2962">
      <c r="A2962" s="29">
        <v>45982.45579197917</v>
      </c>
      <c r="B2962" s="30">
        <v>45982.0</v>
      </c>
      <c r="C2962" s="31" t="s">
        <v>8926</v>
      </c>
      <c r="D2962" s="32" t="s">
        <v>8927</v>
      </c>
      <c r="E2962" s="31" t="s">
        <v>43</v>
      </c>
      <c r="F2962" s="31">
        <v>9800000.0</v>
      </c>
      <c r="G2962" s="31" t="s">
        <v>23</v>
      </c>
      <c r="I2962" s="31" t="s">
        <v>229</v>
      </c>
      <c r="J2962" s="31" t="s">
        <v>967</v>
      </c>
      <c r="K2962" s="33" t="s">
        <v>8928</v>
      </c>
      <c r="L2962" s="31" t="s">
        <v>202</v>
      </c>
      <c r="N2962" s="31" t="s">
        <v>313</v>
      </c>
      <c r="T2962" s="31" t="s">
        <v>314</v>
      </c>
    </row>
    <row r="2963">
      <c r="A2963" s="29">
        <v>45982.45877641204</v>
      </c>
      <c r="B2963" s="30">
        <v>45982.0</v>
      </c>
      <c r="C2963" s="31" t="s">
        <v>8929</v>
      </c>
      <c r="D2963" s="32" t="s">
        <v>2601</v>
      </c>
      <c r="E2963" s="31" t="s">
        <v>8930</v>
      </c>
      <c r="F2963" s="31">
        <v>4000000.0</v>
      </c>
      <c r="G2963" s="31" t="s">
        <v>23</v>
      </c>
      <c r="I2963" s="31" t="s">
        <v>229</v>
      </c>
      <c r="J2963" s="31" t="s">
        <v>967</v>
      </c>
      <c r="K2963" s="33" t="s">
        <v>8931</v>
      </c>
      <c r="L2963" s="31" t="s">
        <v>202</v>
      </c>
      <c r="N2963" s="31" t="s">
        <v>220</v>
      </c>
      <c r="S2963" s="31" t="s">
        <v>5697</v>
      </c>
    </row>
    <row r="2964">
      <c r="A2964" s="29">
        <v>45982.489807499995</v>
      </c>
      <c r="B2964" s="30">
        <v>45982.0</v>
      </c>
      <c r="C2964" s="31" t="s">
        <v>8932</v>
      </c>
      <c r="D2964" s="32" t="s">
        <v>8933</v>
      </c>
      <c r="E2964" s="31" t="s">
        <v>31</v>
      </c>
      <c r="F2964" s="31">
        <v>4599000.0</v>
      </c>
      <c r="G2964" s="31" t="s">
        <v>23</v>
      </c>
      <c r="H2964" s="31">
        <v>3000000.0</v>
      </c>
      <c r="I2964" s="31" t="s">
        <v>200</v>
      </c>
      <c r="K2964" s="33" t="s">
        <v>8934</v>
      </c>
      <c r="L2964" s="31" t="s">
        <v>202</v>
      </c>
      <c r="M2964" s="31" t="s">
        <v>5638</v>
      </c>
      <c r="N2964" s="31" t="s">
        <v>204</v>
      </c>
      <c r="R2964" s="31" t="s">
        <v>207</v>
      </c>
    </row>
    <row r="2965">
      <c r="A2965" s="29">
        <v>45982.49845068287</v>
      </c>
      <c r="B2965" s="30">
        <v>45982.0</v>
      </c>
      <c r="C2965" s="31" t="s">
        <v>8935</v>
      </c>
      <c r="D2965" s="32" t="s">
        <v>8936</v>
      </c>
      <c r="E2965" s="31" t="s">
        <v>784</v>
      </c>
      <c r="F2965" s="31">
        <v>1.5E7</v>
      </c>
      <c r="G2965" s="31" t="s">
        <v>23</v>
      </c>
      <c r="H2965" s="31">
        <v>3000000.0</v>
      </c>
      <c r="I2965" s="31" t="s">
        <v>413</v>
      </c>
      <c r="K2965" s="33" t="s">
        <v>8937</v>
      </c>
      <c r="L2965" s="31" t="s">
        <v>202</v>
      </c>
      <c r="M2965" s="31" t="s">
        <v>5638</v>
      </c>
      <c r="N2965" s="31" t="s">
        <v>500</v>
      </c>
      <c r="V2965" s="31" t="s">
        <v>6597</v>
      </c>
    </row>
    <row r="2966">
      <c r="A2966" s="29">
        <v>45982.49858555556</v>
      </c>
      <c r="B2966" s="30">
        <v>45982.0</v>
      </c>
      <c r="C2966" s="31" t="s">
        <v>8938</v>
      </c>
      <c r="D2966" s="32" t="s">
        <v>8939</v>
      </c>
      <c r="E2966" s="31" t="s">
        <v>1166</v>
      </c>
      <c r="F2966" s="31">
        <v>2800000.0</v>
      </c>
      <c r="G2966" s="31" t="s">
        <v>45</v>
      </c>
      <c r="I2966" s="31" t="s">
        <v>229</v>
      </c>
      <c r="J2966" s="31" t="s">
        <v>967</v>
      </c>
      <c r="K2966" s="33" t="s">
        <v>8940</v>
      </c>
      <c r="L2966" s="31" t="s">
        <v>202</v>
      </c>
      <c r="N2966" s="31" t="s">
        <v>313</v>
      </c>
      <c r="T2966" s="31" t="s">
        <v>4272</v>
      </c>
    </row>
    <row r="2967">
      <c r="A2967" s="29">
        <v>45982.50395359954</v>
      </c>
      <c r="B2967" s="30">
        <v>45982.0</v>
      </c>
      <c r="C2967" s="31" t="s">
        <v>8941</v>
      </c>
      <c r="D2967" s="32" t="s">
        <v>8942</v>
      </c>
      <c r="E2967" s="31" t="s">
        <v>199</v>
      </c>
      <c r="F2967" s="31">
        <v>4000000.0</v>
      </c>
      <c r="G2967" s="31" t="s">
        <v>23</v>
      </c>
      <c r="I2967" s="31" t="s">
        <v>229</v>
      </c>
      <c r="J2967" s="31" t="s">
        <v>967</v>
      </c>
      <c r="K2967" s="33" t="s">
        <v>8943</v>
      </c>
      <c r="L2967" s="31" t="s">
        <v>202</v>
      </c>
      <c r="N2967" s="31" t="s">
        <v>313</v>
      </c>
      <c r="T2967" s="31" t="s">
        <v>314</v>
      </c>
    </row>
    <row r="2968">
      <c r="A2968" s="29">
        <v>45982.504414016206</v>
      </c>
      <c r="B2968" s="30">
        <v>45982.0</v>
      </c>
      <c r="C2968" s="31" t="s">
        <v>8944</v>
      </c>
      <c r="D2968" s="32" t="s">
        <v>4950</v>
      </c>
      <c r="E2968" s="31" t="s">
        <v>43</v>
      </c>
      <c r="F2968" s="31">
        <v>9400000.0</v>
      </c>
      <c r="G2968" s="31" t="s">
        <v>23</v>
      </c>
      <c r="H2968" s="31">
        <v>3000000.0</v>
      </c>
      <c r="I2968" s="31" t="s">
        <v>413</v>
      </c>
      <c r="K2968" s="33" t="s">
        <v>8945</v>
      </c>
      <c r="L2968" s="31" t="s">
        <v>202</v>
      </c>
      <c r="M2968" s="31" t="s">
        <v>5638</v>
      </c>
      <c r="N2968" s="31" t="s">
        <v>313</v>
      </c>
      <c r="T2968" s="31" t="s">
        <v>314</v>
      </c>
    </row>
    <row r="2969">
      <c r="A2969" s="29">
        <v>45982.5103475463</v>
      </c>
      <c r="B2969" s="30">
        <v>45982.0</v>
      </c>
      <c r="C2969" s="31" t="s">
        <v>8946</v>
      </c>
      <c r="D2969" s="32" t="s">
        <v>8947</v>
      </c>
      <c r="E2969" s="31" t="s">
        <v>43</v>
      </c>
      <c r="F2969" s="31">
        <v>7500000.0</v>
      </c>
      <c r="G2969" s="31" t="s">
        <v>23</v>
      </c>
      <c r="I2969" s="31" t="s">
        <v>229</v>
      </c>
      <c r="J2969" s="31" t="s">
        <v>967</v>
      </c>
      <c r="K2969" s="33" t="s">
        <v>8948</v>
      </c>
      <c r="L2969" s="31" t="s">
        <v>202</v>
      </c>
      <c r="N2969" s="31" t="s">
        <v>220</v>
      </c>
      <c r="S2969" s="31" t="s">
        <v>5670</v>
      </c>
    </row>
    <row r="2970">
      <c r="A2970" s="29">
        <v>45982.517786331024</v>
      </c>
      <c r="B2970" s="30">
        <v>45982.0</v>
      </c>
      <c r="C2970" s="31" t="s">
        <v>8949</v>
      </c>
      <c r="D2970" s="32" t="s">
        <v>8950</v>
      </c>
      <c r="E2970" s="31" t="s">
        <v>239</v>
      </c>
      <c r="F2970" s="31">
        <v>3000000.0</v>
      </c>
      <c r="G2970" s="31" t="s">
        <v>23</v>
      </c>
      <c r="H2970" s="31">
        <v>5000000.0</v>
      </c>
      <c r="I2970" s="31" t="s">
        <v>413</v>
      </c>
      <c r="K2970" s="33" t="s">
        <v>8951</v>
      </c>
      <c r="L2970" s="31" t="s">
        <v>202</v>
      </c>
      <c r="M2970" s="31" t="s">
        <v>203</v>
      </c>
      <c r="N2970" s="31" t="s">
        <v>220</v>
      </c>
      <c r="S2970" s="31" t="s">
        <v>8401</v>
      </c>
    </row>
    <row r="2971">
      <c r="A2971" s="29">
        <v>45982.51950275463</v>
      </c>
      <c r="B2971" s="30">
        <v>45982.0</v>
      </c>
      <c r="C2971" s="31" t="s">
        <v>8952</v>
      </c>
      <c r="D2971" s="32" t="s">
        <v>8953</v>
      </c>
      <c r="E2971" s="31" t="s">
        <v>31</v>
      </c>
      <c r="F2971" s="31">
        <v>4399000.0</v>
      </c>
      <c r="G2971" s="31" t="s">
        <v>23</v>
      </c>
      <c r="I2971" s="31" t="s">
        <v>229</v>
      </c>
      <c r="J2971" s="31" t="s">
        <v>967</v>
      </c>
      <c r="K2971" s="33" t="s">
        <v>8954</v>
      </c>
      <c r="L2971" s="31" t="s">
        <v>202</v>
      </c>
      <c r="N2971" s="31" t="s">
        <v>204</v>
      </c>
      <c r="R2971" s="31" t="s">
        <v>207</v>
      </c>
    </row>
    <row r="2972">
      <c r="A2972" s="29">
        <v>45982.53047675926</v>
      </c>
      <c r="B2972" s="30">
        <v>45982.0</v>
      </c>
      <c r="C2972" s="31" t="s">
        <v>8955</v>
      </c>
      <c r="D2972" s="32" t="s">
        <v>8956</v>
      </c>
      <c r="E2972" s="31" t="s">
        <v>2902</v>
      </c>
      <c r="F2972" s="31">
        <v>4700000.0</v>
      </c>
      <c r="G2972" s="31" t="s">
        <v>23</v>
      </c>
      <c r="I2972" s="31" t="s">
        <v>229</v>
      </c>
      <c r="J2972" s="31" t="s">
        <v>967</v>
      </c>
      <c r="K2972" s="33" t="s">
        <v>8957</v>
      </c>
      <c r="L2972" s="31" t="s">
        <v>202</v>
      </c>
      <c r="N2972" s="31" t="s">
        <v>220</v>
      </c>
      <c r="S2972" s="31" t="s">
        <v>36</v>
      </c>
    </row>
    <row r="2973">
      <c r="A2973" s="29">
        <v>45982.54593600694</v>
      </c>
      <c r="B2973" s="30">
        <v>45982.0</v>
      </c>
      <c r="C2973" s="31" t="s">
        <v>8958</v>
      </c>
      <c r="D2973" s="32" t="s">
        <v>8959</v>
      </c>
      <c r="E2973" s="31" t="s">
        <v>31</v>
      </c>
      <c r="F2973" s="31">
        <v>1.27E7</v>
      </c>
      <c r="G2973" s="31" t="s">
        <v>23</v>
      </c>
      <c r="H2973" s="31">
        <v>3000000.0</v>
      </c>
      <c r="I2973" s="31" t="s">
        <v>200</v>
      </c>
      <c r="K2973" s="33" t="s">
        <v>8960</v>
      </c>
      <c r="L2973" s="31" t="s">
        <v>202</v>
      </c>
      <c r="M2973" s="31" t="s">
        <v>5638</v>
      </c>
      <c r="N2973" s="31" t="s">
        <v>313</v>
      </c>
      <c r="T2973" s="31" t="s">
        <v>329</v>
      </c>
    </row>
    <row r="2974">
      <c r="A2974" s="29">
        <v>45982.5467146875</v>
      </c>
      <c r="B2974" s="30">
        <v>45982.0</v>
      </c>
      <c r="C2974" s="31" t="s">
        <v>8961</v>
      </c>
      <c r="D2974" s="32" t="s">
        <v>8962</v>
      </c>
      <c r="E2974" s="31" t="s">
        <v>228</v>
      </c>
      <c r="F2974" s="31">
        <v>2400000.0</v>
      </c>
      <c r="G2974" s="31" t="s">
        <v>23</v>
      </c>
      <c r="I2974" s="31" t="s">
        <v>229</v>
      </c>
      <c r="J2974" s="31" t="s">
        <v>967</v>
      </c>
      <c r="K2974" s="33" t="s">
        <v>8963</v>
      </c>
      <c r="L2974" s="31" t="s">
        <v>202</v>
      </c>
      <c r="N2974" s="31" t="s">
        <v>204</v>
      </c>
      <c r="R2974" s="31" t="s">
        <v>148</v>
      </c>
    </row>
    <row r="2975">
      <c r="A2975" s="29">
        <v>45982.56528784722</v>
      </c>
      <c r="B2975" s="30">
        <v>45982.0</v>
      </c>
      <c r="C2975" s="31" t="s">
        <v>8964</v>
      </c>
      <c r="D2975" s="32" t="s">
        <v>8965</v>
      </c>
      <c r="E2975" s="31" t="s">
        <v>288</v>
      </c>
      <c r="F2975" s="31">
        <v>2000000.0</v>
      </c>
      <c r="G2975" s="31" t="s">
        <v>23</v>
      </c>
      <c r="I2975" s="31" t="s">
        <v>229</v>
      </c>
      <c r="J2975" s="31" t="s">
        <v>967</v>
      </c>
      <c r="K2975" s="33" t="s">
        <v>8966</v>
      </c>
      <c r="L2975" s="31" t="s">
        <v>202</v>
      </c>
      <c r="N2975" s="31" t="s">
        <v>220</v>
      </c>
      <c r="S2975" s="31" t="s">
        <v>913</v>
      </c>
    </row>
    <row r="2976">
      <c r="A2976" s="29">
        <v>45982.576217002315</v>
      </c>
      <c r="B2976" s="30">
        <v>45982.0</v>
      </c>
      <c r="C2976" s="31" t="s">
        <v>8967</v>
      </c>
      <c r="D2976" s="32" t="s">
        <v>8968</v>
      </c>
      <c r="E2976" s="31" t="s">
        <v>199</v>
      </c>
      <c r="F2976" s="31">
        <v>3000000.0</v>
      </c>
      <c r="G2976" s="31" t="s">
        <v>23</v>
      </c>
      <c r="H2976" s="31">
        <v>3000000.0</v>
      </c>
      <c r="I2976" s="31" t="s">
        <v>200</v>
      </c>
      <c r="K2976" s="33" t="s">
        <v>8969</v>
      </c>
      <c r="L2976" s="31" t="s">
        <v>252</v>
      </c>
      <c r="M2976" s="31" t="s">
        <v>203</v>
      </c>
      <c r="O2976" s="31" t="s">
        <v>205</v>
      </c>
      <c r="X2976" s="31" t="s">
        <v>549</v>
      </c>
    </row>
    <row r="2977">
      <c r="A2977" s="29">
        <v>45982.58710471065</v>
      </c>
      <c r="B2977" s="30">
        <v>45982.0</v>
      </c>
      <c r="C2977" s="31" t="s">
        <v>8970</v>
      </c>
      <c r="D2977" s="32" t="s">
        <v>8971</v>
      </c>
      <c r="E2977" s="31" t="s">
        <v>288</v>
      </c>
      <c r="F2977" s="31">
        <v>6000000.0</v>
      </c>
      <c r="G2977" s="31" t="s">
        <v>45</v>
      </c>
      <c r="I2977" s="31" t="s">
        <v>229</v>
      </c>
      <c r="J2977" s="31" t="s">
        <v>967</v>
      </c>
      <c r="K2977" s="33" t="s">
        <v>8972</v>
      </c>
      <c r="L2977" s="31" t="s">
        <v>252</v>
      </c>
      <c r="O2977" s="31" t="s">
        <v>257</v>
      </c>
      <c r="P2977" s="31" t="s">
        <v>285</v>
      </c>
    </row>
    <row r="2978">
      <c r="A2978" s="29">
        <v>45982.60442293981</v>
      </c>
      <c r="B2978" s="30">
        <v>45982.0</v>
      </c>
      <c r="C2978" s="31" t="s">
        <v>8973</v>
      </c>
      <c r="D2978" s="32" t="s">
        <v>8974</v>
      </c>
      <c r="E2978" s="31" t="s">
        <v>43</v>
      </c>
      <c r="F2978" s="31">
        <v>8600000.0</v>
      </c>
      <c r="G2978" s="31" t="s">
        <v>45</v>
      </c>
      <c r="H2978" s="31">
        <v>7000000.0</v>
      </c>
      <c r="I2978" s="31" t="s">
        <v>200</v>
      </c>
      <c r="K2978" s="33" t="s">
        <v>8975</v>
      </c>
      <c r="L2978" s="31" t="s">
        <v>252</v>
      </c>
      <c r="M2978" s="31" t="s">
        <v>5638</v>
      </c>
      <c r="O2978" s="31" t="s">
        <v>257</v>
      </c>
      <c r="P2978" s="31" t="s">
        <v>258</v>
      </c>
    </row>
    <row r="2979">
      <c r="A2979" s="29">
        <v>45982.60631707176</v>
      </c>
      <c r="B2979" s="30">
        <v>45982.0</v>
      </c>
      <c r="C2979" s="31" t="s">
        <v>8976</v>
      </c>
      <c r="D2979" s="32" t="s">
        <v>8977</v>
      </c>
      <c r="E2979" s="31" t="s">
        <v>43</v>
      </c>
      <c r="F2979" s="31">
        <v>6100000.0</v>
      </c>
      <c r="G2979" s="31" t="s">
        <v>23</v>
      </c>
      <c r="H2979" s="31">
        <v>3000000.0</v>
      </c>
      <c r="I2979" s="31" t="s">
        <v>200</v>
      </c>
      <c r="K2979" s="33" t="s">
        <v>8978</v>
      </c>
      <c r="L2979" s="31" t="s">
        <v>252</v>
      </c>
      <c r="M2979" s="31" t="s">
        <v>5638</v>
      </c>
      <c r="O2979" s="31" t="s">
        <v>257</v>
      </c>
      <c r="P2979" s="31" t="s">
        <v>258</v>
      </c>
    </row>
    <row r="2980">
      <c r="A2980" s="29">
        <v>45982.610566979165</v>
      </c>
      <c r="B2980" s="30">
        <v>45982.0</v>
      </c>
      <c r="C2980" s="31" t="s">
        <v>8979</v>
      </c>
      <c r="D2980" s="32" t="s">
        <v>8980</v>
      </c>
      <c r="E2980" s="31" t="s">
        <v>43</v>
      </c>
      <c r="F2980" s="31">
        <v>3300000.0</v>
      </c>
      <c r="G2980" s="31" t="s">
        <v>45</v>
      </c>
      <c r="H2980" s="31">
        <v>3000000.0</v>
      </c>
      <c r="I2980" s="31" t="s">
        <v>200</v>
      </c>
      <c r="K2980" s="33" t="s">
        <v>8981</v>
      </c>
      <c r="L2980" s="31" t="s">
        <v>252</v>
      </c>
      <c r="M2980" s="31" t="s">
        <v>203</v>
      </c>
      <c r="O2980" s="31" t="s">
        <v>205</v>
      </c>
      <c r="X2980" s="31" t="s">
        <v>452</v>
      </c>
    </row>
    <row r="2981">
      <c r="A2981" s="29">
        <v>45982.63453368055</v>
      </c>
      <c r="B2981" s="30">
        <v>45982.0</v>
      </c>
      <c r="C2981" s="31" t="s">
        <v>8982</v>
      </c>
      <c r="D2981" s="32" t="s">
        <v>8983</v>
      </c>
      <c r="E2981" s="31" t="s">
        <v>283</v>
      </c>
      <c r="F2981" s="31">
        <v>4000000.0</v>
      </c>
      <c r="G2981" s="31" t="s">
        <v>23</v>
      </c>
      <c r="I2981" s="31" t="s">
        <v>229</v>
      </c>
      <c r="J2981" s="31" t="s">
        <v>967</v>
      </c>
      <c r="K2981" s="33" t="s">
        <v>8984</v>
      </c>
      <c r="L2981" s="31" t="s">
        <v>252</v>
      </c>
      <c r="O2981" s="31" t="s">
        <v>257</v>
      </c>
      <c r="P2981" s="31" t="s">
        <v>272</v>
      </c>
    </row>
    <row r="2982">
      <c r="A2982" s="29">
        <v>45982.639772152776</v>
      </c>
      <c r="B2982" s="30">
        <v>45982.0</v>
      </c>
      <c r="C2982" s="31" t="s">
        <v>8985</v>
      </c>
      <c r="D2982" s="32" t="s">
        <v>8986</v>
      </c>
      <c r="E2982" s="31" t="s">
        <v>8987</v>
      </c>
      <c r="F2982" s="31">
        <v>2.0E7</v>
      </c>
      <c r="G2982" s="31" t="s">
        <v>23</v>
      </c>
      <c r="I2982" s="31" t="s">
        <v>229</v>
      </c>
      <c r="J2982" s="31" t="s">
        <v>967</v>
      </c>
      <c r="K2982" s="33" t="s">
        <v>8988</v>
      </c>
      <c r="L2982" s="31" t="s">
        <v>202</v>
      </c>
      <c r="N2982" s="31" t="s">
        <v>500</v>
      </c>
      <c r="V2982" s="31" t="s">
        <v>6597</v>
      </c>
    </row>
    <row r="2983">
      <c r="A2983" s="29">
        <v>45982.64549106482</v>
      </c>
      <c r="B2983" s="30">
        <v>45982.0</v>
      </c>
      <c r="C2983" s="31" t="s">
        <v>8989</v>
      </c>
      <c r="D2983" s="32" t="s">
        <v>8990</v>
      </c>
      <c r="E2983" s="31" t="s">
        <v>43</v>
      </c>
      <c r="F2983" s="31">
        <v>4600000.0</v>
      </c>
      <c r="G2983" s="31" t="s">
        <v>23</v>
      </c>
      <c r="I2983" s="31" t="s">
        <v>229</v>
      </c>
      <c r="J2983" s="31" t="s">
        <v>967</v>
      </c>
      <c r="K2983" s="33" t="s">
        <v>8991</v>
      </c>
      <c r="L2983" s="31" t="s">
        <v>252</v>
      </c>
      <c r="O2983" s="31" t="s">
        <v>205</v>
      </c>
      <c r="X2983" s="31" t="s">
        <v>716</v>
      </c>
    </row>
    <row r="2984">
      <c r="A2984" s="29">
        <v>45982.64864141204</v>
      </c>
      <c r="B2984" s="30">
        <v>45982.0</v>
      </c>
      <c r="C2984" s="31" t="s">
        <v>8992</v>
      </c>
      <c r="D2984" s="32" t="s">
        <v>8993</v>
      </c>
      <c r="E2984" s="31" t="s">
        <v>199</v>
      </c>
      <c r="F2984" s="31">
        <v>7100000.0</v>
      </c>
      <c r="G2984" s="31" t="s">
        <v>23</v>
      </c>
      <c r="H2984" s="31">
        <v>5000000.0</v>
      </c>
      <c r="I2984" s="31" t="s">
        <v>200</v>
      </c>
      <c r="K2984" s="33" t="s">
        <v>8994</v>
      </c>
      <c r="L2984" s="31" t="s">
        <v>252</v>
      </c>
      <c r="M2984" s="31" t="s">
        <v>926</v>
      </c>
      <c r="O2984" s="31" t="s">
        <v>257</v>
      </c>
      <c r="P2984" s="31" t="s">
        <v>258</v>
      </c>
    </row>
    <row r="2985">
      <c r="A2985" s="29">
        <v>45982.65524309028</v>
      </c>
      <c r="B2985" s="30">
        <v>45981.0</v>
      </c>
      <c r="C2985" s="31" t="s">
        <v>8995</v>
      </c>
      <c r="D2985" s="32" t="s">
        <v>8996</v>
      </c>
      <c r="E2985" s="31" t="s">
        <v>43</v>
      </c>
      <c r="F2985" s="31">
        <v>6000000.0</v>
      </c>
      <c r="G2985" s="31" t="s">
        <v>23</v>
      </c>
      <c r="I2985" s="31" t="s">
        <v>229</v>
      </c>
      <c r="J2985" s="31" t="s">
        <v>967</v>
      </c>
      <c r="K2985" s="33" t="s">
        <v>8997</v>
      </c>
      <c r="L2985" s="31" t="s">
        <v>202</v>
      </c>
      <c r="N2985" s="31" t="s">
        <v>204</v>
      </c>
      <c r="R2985" s="31" t="s">
        <v>5606</v>
      </c>
    </row>
    <row r="2986">
      <c r="A2986" s="29">
        <v>45982.658621932875</v>
      </c>
      <c r="B2986" s="30">
        <v>45982.0</v>
      </c>
      <c r="C2986" s="31" t="s">
        <v>8998</v>
      </c>
      <c r="D2986" s="32" t="s">
        <v>8999</v>
      </c>
      <c r="E2986" s="31" t="s">
        <v>9000</v>
      </c>
      <c r="F2986" s="31">
        <v>6800000.0</v>
      </c>
      <c r="G2986" s="31" t="s">
        <v>45</v>
      </c>
      <c r="H2986" s="31">
        <v>5000000.0</v>
      </c>
      <c r="I2986" s="31" t="s">
        <v>200</v>
      </c>
      <c r="K2986" s="33" t="s">
        <v>9001</v>
      </c>
      <c r="L2986" s="31" t="s">
        <v>252</v>
      </c>
      <c r="M2986" s="31" t="s">
        <v>926</v>
      </c>
      <c r="O2986" s="31" t="s">
        <v>205</v>
      </c>
      <c r="X2986" s="31" t="s">
        <v>2335</v>
      </c>
    </row>
    <row r="2987">
      <c r="A2987" s="29">
        <v>45982.67566396991</v>
      </c>
      <c r="B2987" s="30">
        <v>45982.0</v>
      </c>
      <c r="C2987" s="31" t="s">
        <v>9002</v>
      </c>
      <c r="D2987" s="31">
        <v>0.0</v>
      </c>
      <c r="E2987" s="31" t="s">
        <v>43</v>
      </c>
      <c r="F2987" s="32" t="s">
        <v>8677</v>
      </c>
      <c r="G2987" s="31" t="s">
        <v>23</v>
      </c>
      <c r="I2987" s="31" t="s">
        <v>229</v>
      </c>
      <c r="J2987" s="31" t="s">
        <v>967</v>
      </c>
      <c r="K2987" s="33" t="s">
        <v>9003</v>
      </c>
      <c r="L2987" s="31" t="s">
        <v>252</v>
      </c>
      <c r="O2987" s="31" t="s">
        <v>257</v>
      </c>
      <c r="P2987" s="31" t="s">
        <v>992</v>
      </c>
    </row>
    <row r="2988">
      <c r="A2988" s="29">
        <v>45982.698884756945</v>
      </c>
      <c r="B2988" s="30">
        <v>45982.0</v>
      </c>
      <c r="C2988" s="31" t="s">
        <v>9004</v>
      </c>
      <c r="D2988" s="32" t="s">
        <v>9005</v>
      </c>
      <c r="E2988" s="31" t="s">
        <v>199</v>
      </c>
      <c r="F2988" s="31">
        <v>4000000.0</v>
      </c>
      <c r="G2988" s="31" t="s">
        <v>23</v>
      </c>
      <c r="I2988" s="31" t="s">
        <v>229</v>
      </c>
      <c r="J2988" s="31" t="s">
        <v>967</v>
      </c>
      <c r="K2988" s="33" t="s">
        <v>9006</v>
      </c>
      <c r="L2988" s="31" t="s">
        <v>202</v>
      </c>
      <c r="N2988" s="31" t="s">
        <v>667</v>
      </c>
      <c r="U2988" s="31" t="s">
        <v>3950</v>
      </c>
    </row>
    <row r="2989">
      <c r="A2989" s="29">
        <v>45982.70023180556</v>
      </c>
      <c r="B2989" s="30">
        <v>45982.0</v>
      </c>
      <c r="C2989" s="31" t="s">
        <v>9007</v>
      </c>
      <c r="D2989" s="32" t="s">
        <v>9008</v>
      </c>
      <c r="E2989" s="31" t="s">
        <v>43</v>
      </c>
      <c r="F2989" s="31">
        <v>2500000.0</v>
      </c>
      <c r="G2989" s="31" t="s">
        <v>23</v>
      </c>
      <c r="I2989" s="31" t="s">
        <v>229</v>
      </c>
      <c r="J2989" s="31" t="s">
        <v>967</v>
      </c>
      <c r="K2989" s="33" t="s">
        <v>9009</v>
      </c>
      <c r="L2989" s="31" t="s">
        <v>202</v>
      </c>
      <c r="N2989" s="31" t="s">
        <v>667</v>
      </c>
      <c r="U2989" s="31" t="s">
        <v>3950</v>
      </c>
    </row>
    <row r="2990">
      <c r="A2990" s="29">
        <v>45982.71181375</v>
      </c>
      <c r="B2990" s="30">
        <v>45982.0</v>
      </c>
      <c r="C2990" s="31" t="s">
        <v>9010</v>
      </c>
      <c r="D2990" s="32" t="s">
        <v>9011</v>
      </c>
      <c r="E2990" s="31" t="s">
        <v>31</v>
      </c>
      <c r="F2990" s="31">
        <v>1.19E7</v>
      </c>
      <c r="G2990" s="31" t="s">
        <v>23</v>
      </c>
      <c r="H2990" s="31">
        <v>3000000.0</v>
      </c>
      <c r="I2990" s="31" t="s">
        <v>413</v>
      </c>
      <c r="K2990" s="33" t="s">
        <v>9012</v>
      </c>
      <c r="L2990" s="31" t="s">
        <v>202</v>
      </c>
      <c r="M2990" s="31" t="s">
        <v>5638</v>
      </c>
      <c r="N2990" s="31" t="s">
        <v>313</v>
      </c>
      <c r="T2990" s="31" t="s">
        <v>329</v>
      </c>
    </row>
    <row r="2991">
      <c r="A2991" s="29">
        <v>45982.728169236114</v>
      </c>
      <c r="B2991" s="30">
        <v>45982.0</v>
      </c>
      <c r="C2991" s="31" t="s">
        <v>9013</v>
      </c>
      <c r="D2991" s="32" t="s">
        <v>9014</v>
      </c>
      <c r="E2991" s="31" t="s">
        <v>43</v>
      </c>
      <c r="F2991" s="31">
        <v>5600000.0</v>
      </c>
      <c r="G2991" s="31" t="s">
        <v>23</v>
      </c>
      <c r="H2991" s="31">
        <v>3000000.0</v>
      </c>
      <c r="I2991" s="31" t="s">
        <v>200</v>
      </c>
      <c r="K2991" s="33" t="s">
        <v>9015</v>
      </c>
      <c r="L2991" s="31" t="s">
        <v>252</v>
      </c>
      <c r="M2991" s="31" t="s">
        <v>203</v>
      </c>
      <c r="O2991" s="31" t="s">
        <v>205</v>
      </c>
      <c r="X2991" s="31" t="s">
        <v>9016</v>
      </c>
    </row>
    <row r="2992">
      <c r="A2992" s="29">
        <v>45982.733453692126</v>
      </c>
      <c r="B2992" s="30">
        <v>45982.0</v>
      </c>
      <c r="C2992" s="31" t="s">
        <v>9017</v>
      </c>
      <c r="D2992" s="32" t="s">
        <v>9018</v>
      </c>
      <c r="E2992" s="31" t="s">
        <v>43</v>
      </c>
      <c r="F2992" s="31">
        <v>9400000.0</v>
      </c>
      <c r="G2992" s="31" t="s">
        <v>23</v>
      </c>
      <c r="H2992" s="31">
        <v>3000000.0</v>
      </c>
      <c r="I2992" s="31" t="s">
        <v>413</v>
      </c>
      <c r="K2992" s="33" t="s">
        <v>9019</v>
      </c>
      <c r="L2992" s="31" t="s">
        <v>202</v>
      </c>
      <c r="M2992" s="31" t="s">
        <v>203</v>
      </c>
      <c r="N2992" s="31" t="s">
        <v>313</v>
      </c>
      <c r="T2992" s="31" t="s">
        <v>314</v>
      </c>
    </row>
    <row r="2993">
      <c r="A2993" s="29">
        <v>45982.73544430555</v>
      </c>
      <c r="B2993" s="30">
        <v>45982.0</v>
      </c>
      <c r="C2993" s="31" t="s">
        <v>9020</v>
      </c>
      <c r="D2993" s="32" t="s">
        <v>9021</v>
      </c>
      <c r="E2993" s="31" t="s">
        <v>239</v>
      </c>
      <c r="F2993" s="31">
        <v>1000000.0</v>
      </c>
      <c r="G2993" s="31" t="s">
        <v>23</v>
      </c>
      <c r="I2993" s="31" t="s">
        <v>229</v>
      </c>
      <c r="J2993" s="31" t="s">
        <v>967</v>
      </c>
      <c r="K2993" s="33" t="s">
        <v>9022</v>
      </c>
      <c r="L2993" s="31" t="s">
        <v>252</v>
      </c>
      <c r="O2993" s="31" t="s">
        <v>205</v>
      </c>
      <c r="X2993" s="31" t="s">
        <v>549</v>
      </c>
    </row>
    <row r="2994">
      <c r="A2994" s="29">
        <v>45982.7429821875</v>
      </c>
      <c r="B2994" s="30">
        <v>45982.0</v>
      </c>
      <c r="C2994" s="31" t="s">
        <v>9023</v>
      </c>
      <c r="D2994" s="32" t="s">
        <v>9024</v>
      </c>
      <c r="E2994" s="31" t="s">
        <v>43</v>
      </c>
      <c r="F2994" s="31">
        <v>3000000.0</v>
      </c>
      <c r="G2994" s="31" t="s">
        <v>23</v>
      </c>
      <c r="I2994" s="31" t="s">
        <v>229</v>
      </c>
      <c r="J2994" s="31" t="s">
        <v>967</v>
      </c>
      <c r="K2994" s="33" t="s">
        <v>9025</v>
      </c>
      <c r="L2994" s="31" t="s">
        <v>252</v>
      </c>
      <c r="O2994" s="31" t="s">
        <v>257</v>
      </c>
      <c r="P2994" s="31" t="s">
        <v>2453</v>
      </c>
    </row>
    <row r="2995">
      <c r="A2995" s="29">
        <v>45982.75272891203</v>
      </c>
      <c r="B2995" s="30">
        <v>45982.0</v>
      </c>
      <c r="C2995" s="31" t="s">
        <v>9026</v>
      </c>
      <c r="D2995" s="31">
        <v>6.282144893398E12</v>
      </c>
      <c r="E2995" s="31" t="s">
        <v>1166</v>
      </c>
      <c r="F2995" s="31">
        <v>280000.0</v>
      </c>
      <c r="G2995" s="31" t="s">
        <v>23</v>
      </c>
      <c r="H2995" s="31">
        <v>1600000.0</v>
      </c>
      <c r="I2995" s="31" t="s">
        <v>413</v>
      </c>
      <c r="K2995" s="33" t="s">
        <v>9027</v>
      </c>
      <c r="L2995" s="31" t="s">
        <v>202</v>
      </c>
      <c r="M2995" s="31" t="s">
        <v>5638</v>
      </c>
      <c r="N2995" s="31" t="s">
        <v>204</v>
      </c>
      <c r="R2995" s="31" t="s">
        <v>360</v>
      </c>
    </row>
    <row r="2996">
      <c r="A2996" s="29">
        <v>45982.78995951389</v>
      </c>
      <c r="B2996" s="30">
        <v>45982.0</v>
      </c>
      <c r="C2996" s="31" t="s">
        <v>9028</v>
      </c>
      <c r="D2996" s="32" t="s">
        <v>9029</v>
      </c>
      <c r="E2996" s="31" t="s">
        <v>43</v>
      </c>
      <c r="F2996" s="31">
        <v>2700000.0</v>
      </c>
      <c r="G2996" s="31" t="s">
        <v>23</v>
      </c>
      <c r="I2996" s="31" t="s">
        <v>229</v>
      </c>
      <c r="J2996" s="31" t="s">
        <v>967</v>
      </c>
      <c r="K2996" s="33" t="s">
        <v>9030</v>
      </c>
      <c r="L2996" s="31" t="s">
        <v>202</v>
      </c>
      <c r="N2996" s="31" t="s">
        <v>220</v>
      </c>
      <c r="S2996" s="31" t="s">
        <v>466</v>
      </c>
    </row>
    <row r="2997">
      <c r="A2997" s="29">
        <v>45982.828273287036</v>
      </c>
      <c r="B2997" s="30">
        <v>45982.0</v>
      </c>
      <c r="C2997" s="31" t="s">
        <v>9031</v>
      </c>
      <c r="D2997" s="32" t="s">
        <v>9032</v>
      </c>
      <c r="E2997" s="31" t="s">
        <v>43</v>
      </c>
      <c r="F2997" s="31">
        <v>9600000.0</v>
      </c>
      <c r="G2997" s="31" t="s">
        <v>23</v>
      </c>
      <c r="I2997" s="31" t="s">
        <v>229</v>
      </c>
      <c r="J2997" s="31" t="s">
        <v>967</v>
      </c>
      <c r="K2997" s="33" t="s">
        <v>9033</v>
      </c>
      <c r="L2997" s="31" t="s">
        <v>202</v>
      </c>
      <c r="N2997" s="31" t="s">
        <v>313</v>
      </c>
      <c r="T2997" s="31" t="s">
        <v>314</v>
      </c>
    </row>
    <row r="2998">
      <c r="A2998" s="29">
        <v>45982.83133561343</v>
      </c>
      <c r="B2998" s="30">
        <v>45982.0</v>
      </c>
      <c r="C2998" s="31" t="s">
        <v>9034</v>
      </c>
      <c r="D2998" s="32" t="s">
        <v>9035</v>
      </c>
      <c r="E2998" s="31" t="s">
        <v>239</v>
      </c>
      <c r="F2998" s="31">
        <v>4000000.0</v>
      </c>
      <c r="G2998" s="31" t="s">
        <v>23</v>
      </c>
      <c r="I2998" s="31" t="s">
        <v>229</v>
      </c>
      <c r="J2998" s="31" t="s">
        <v>967</v>
      </c>
      <c r="K2998" s="33" t="s">
        <v>9036</v>
      </c>
      <c r="L2998" s="31" t="s">
        <v>202</v>
      </c>
      <c r="N2998" s="31" t="s">
        <v>220</v>
      </c>
      <c r="S2998" s="31" t="s">
        <v>536</v>
      </c>
    </row>
    <row r="2999">
      <c r="A2999" s="29">
        <v>45982.83676347222</v>
      </c>
      <c r="B2999" s="30">
        <v>45982.0</v>
      </c>
      <c r="C2999" s="31" t="s">
        <v>9037</v>
      </c>
      <c r="D2999" s="31">
        <v>0.0</v>
      </c>
      <c r="E2999" s="31" t="s">
        <v>31</v>
      </c>
      <c r="F2999" s="32" t="s">
        <v>5089</v>
      </c>
      <c r="G2999" s="31" t="s">
        <v>23</v>
      </c>
      <c r="H2999" s="31">
        <v>3000000.0</v>
      </c>
      <c r="I2999" s="31" t="s">
        <v>200</v>
      </c>
      <c r="K2999" s="33" t="s">
        <v>9038</v>
      </c>
      <c r="L2999" s="31" t="s">
        <v>252</v>
      </c>
      <c r="M2999" s="31" t="s">
        <v>203</v>
      </c>
      <c r="O2999" s="31" t="s">
        <v>257</v>
      </c>
      <c r="P2999" s="31" t="s">
        <v>992</v>
      </c>
    </row>
    <row r="3000">
      <c r="A3000" s="29">
        <v>45982.87336462963</v>
      </c>
      <c r="B3000" s="30">
        <v>45982.0</v>
      </c>
      <c r="C3000" s="31" t="s">
        <v>9039</v>
      </c>
      <c r="D3000" s="32" t="s">
        <v>9040</v>
      </c>
      <c r="E3000" s="31" t="s">
        <v>43</v>
      </c>
      <c r="F3000" s="31">
        <v>2500000.0</v>
      </c>
      <c r="G3000" s="31" t="s">
        <v>23</v>
      </c>
      <c r="H3000" s="31">
        <v>1600000.0</v>
      </c>
      <c r="I3000" s="31" t="s">
        <v>413</v>
      </c>
      <c r="K3000" s="33" t="s">
        <v>9041</v>
      </c>
      <c r="L3000" s="31" t="s">
        <v>252</v>
      </c>
      <c r="M3000" s="31" t="s">
        <v>5638</v>
      </c>
      <c r="O3000" s="31" t="s">
        <v>257</v>
      </c>
      <c r="P3000" s="31" t="s">
        <v>2453</v>
      </c>
    </row>
    <row r="3001">
      <c r="A3001" s="29">
        <v>45982.876553912036</v>
      </c>
      <c r="B3001" s="30">
        <v>45982.0</v>
      </c>
      <c r="C3001" s="31" t="s">
        <v>9042</v>
      </c>
      <c r="D3001" s="32" t="s">
        <v>9043</v>
      </c>
      <c r="E3001" s="31" t="s">
        <v>127</v>
      </c>
      <c r="F3001" s="31">
        <v>3300000.0</v>
      </c>
      <c r="G3001" s="31" t="s">
        <v>23</v>
      </c>
      <c r="I3001" s="31" t="s">
        <v>229</v>
      </c>
      <c r="J3001" s="31" t="s">
        <v>967</v>
      </c>
      <c r="K3001" s="33" t="s">
        <v>9044</v>
      </c>
      <c r="L3001" s="31" t="s">
        <v>252</v>
      </c>
      <c r="O3001" s="31" t="s">
        <v>205</v>
      </c>
      <c r="X3001" s="31" t="s">
        <v>2335</v>
      </c>
    </row>
    <row r="3002">
      <c r="A3002" s="29">
        <v>45982.88935474537</v>
      </c>
      <c r="B3002" s="30">
        <v>45982.0</v>
      </c>
      <c r="C3002" s="31" t="s">
        <v>9045</v>
      </c>
      <c r="D3002" s="32" t="s">
        <v>9046</v>
      </c>
      <c r="E3002" s="31" t="s">
        <v>43</v>
      </c>
      <c r="F3002" s="31">
        <v>2500000.0</v>
      </c>
      <c r="G3002" s="31" t="s">
        <v>23</v>
      </c>
      <c r="I3002" s="31" t="s">
        <v>229</v>
      </c>
      <c r="J3002" s="31" t="s">
        <v>967</v>
      </c>
      <c r="K3002" s="33" t="s">
        <v>9047</v>
      </c>
      <c r="L3002" s="31" t="s">
        <v>252</v>
      </c>
      <c r="O3002" s="31" t="s">
        <v>205</v>
      </c>
      <c r="X3002" s="31" t="s">
        <v>452</v>
      </c>
    </row>
    <row r="3003">
      <c r="A3003" s="29">
        <v>45982.88940649306</v>
      </c>
      <c r="B3003" s="30">
        <v>45982.0</v>
      </c>
      <c r="C3003" s="31" t="s">
        <v>9048</v>
      </c>
      <c r="D3003" s="32" t="s">
        <v>9049</v>
      </c>
      <c r="E3003" s="31" t="s">
        <v>43</v>
      </c>
      <c r="F3003" s="31">
        <v>4400000.0</v>
      </c>
      <c r="G3003" s="31" t="s">
        <v>23</v>
      </c>
      <c r="I3003" s="31" t="s">
        <v>229</v>
      </c>
      <c r="J3003" s="31" t="s">
        <v>967</v>
      </c>
      <c r="K3003" s="33" t="s">
        <v>9050</v>
      </c>
      <c r="L3003" s="31" t="s">
        <v>202</v>
      </c>
      <c r="N3003" s="31" t="s">
        <v>220</v>
      </c>
      <c r="S3003" s="31" t="s">
        <v>536</v>
      </c>
    </row>
    <row r="3004">
      <c r="A3004" s="29">
        <v>45983.39678141204</v>
      </c>
      <c r="B3004" s="30">
        <v>45983.0</v>
      </c>
      <c r="C3004" s="31" t="s">
        <v>9051</v>
      </c>
      <c r="D3004" s="32" t="s">
        <v>9052</v>
      </c>
      <c r="E3004" s="31" t="s">
        <v>43</v>
      </c>
      <c r="F3004" s="31">
        <v>3100000.0</v>
      </c>
      <c r="G3004" s="31" t="s">
        <v>23</v>
      </c>
      <c r="I3004" s="31" t="s">
        <v>229</v>
      </c>
      <c r="J3004" s="31" t="s">
        <v>967</v>
      </c>
      <c r="K3004" s="33" t="s">
        <v>9053</v>
      </c>
      <c r="L3004" s="31" t="s">
        <v>252</v>
      </c>
      <c r="O3004" s="31" t="s">
        <v>257</v>
      </c>
      <c r="P3004" s="31" t="s">
        <v>3194</v>
      </c>
    </row>
    <row r="3005">
      <c r="A3005" s="29">
        <v>45983.41252931713</v>
      </c>
      <c r="B3005" s="30">
        <v>45983.0</v>
      </c>
      <c r="C3005" s="31" t="s">
        <v>9054</v>
      </c>
      <c r="D3005" s="32" t="s">
        <v>9055</v>
      </c>
      <c r="E3005" s="31" t="s">
        <v>8365</v>
      </c>
      <c r="F3005" s="31">
        <v>4400000.0</v>
      </c>
      <c r="G3005" s="31" t="s">
        <v>23</v>
      </c>
      <c r="H3005" s="31">
        <v>5000000.0</v>
      </c>
      <c r="I3005" s="31" t="s">
        <v>413</v>
      </c>
      <c r="K3005" s="33" t="s">
        <v>9056</v>
      </c>
      <c r="L3005" s="31" t="s">
        <v>202</v>
      </c>
      <c r="M3005" s="31" t="s">
        <v>5638</v>
      </c>
      <c r="N3005" s="31" t="s">
        <v>500</v>
      </c>
      <c r="V3005" s="31" t="s">
        <v>7537</v>
      </c>
    </row>
    <row r="3006">
      <c r="A3006" s="29">
        <v>45983.41439048611</v>
      </c>
      <c r="B3006" s="30">
        <v>45983.0</v>
      </c>
      <c r="C3006" s="31" t="s">
        <v>9057</v>
      </c>
      <c r="D3006" s="32" t="s">
        <v>9058</v>
      </c>
      <c r="E3006" s="31" t="s">
        <v>409</v>
      </c>
      <c r="F3006" s="31">
        <v>4000000.0</v>
      </c>
      <c r="G3006" s="31" t="s">
        <v>23</v>
      </c>
      <c r="I3006" s="31" t="s">
        <v>229</v>
      </c>
      <c r="J3006" s="31" t="s">
        <v>967</v>
      </c>
      <c r="K3006" s="33" t="s">
        <v>9059</v>
      </c>
      <c r="L3006" s="31" t="s">
        <v>202</v>
      </c>
      <c r="N3006" s="31" t="s">
        <v>500</v>
      </c>
      <c r="V3006" s="31" t="s">
        <v>7537</v>
      </c>
    </row>
    <row r="3007">
      <c r="A3007" s="29">
        <v>45983.42809778935</v>
      </c>
      <c r="B3007" s="30">
        <v>45983.0</v>
      </c>
      <c r="C3007" s="31" t="s">
        <v>9060</v>
      </c>
      <c r="D3007" s="32" t="s">
        <v>9061</v>
      </c>
      <c r="E3007" s="31" t="s">
        <v>43</v>
      </c>
      <c r="F3007" s="31">
        <v>9500000.0</v>
      </c>
      <c r="G3007" s="31" t="s">
        <v>23</v>
      </c>
      <c r="H3007" s="31">
        <v>3000000.0</v>
      </c>
      <c r="I3007" s="31" t="s">
        <v>200</v>
      </c>
      <c r="K3007" s="33" t="s">
        <v>9062</v>
      </c>
      <c r="L3007" s="31" t="s">
        <v>252</v>
      </c>
      <c r="M3007" s="31" t="s">
        <v>5638</v>
      </c>
      <c r="O3007" s="31" t="s">
        <v>257</v>
      </c>
      <c r="P3007" s="31" t="s">
        <v>258</v>
      </c>
    </row>
    <row r="3008">
      <c r="A3008" s="29">
        <v>45983.4328191088</v>
      </c>
      <c r="B3008" s="30">
        <v>45983.0</v>
      </c>
      <c r="C3008" s="31" t="s">
        <v>9063</v>
      </c>
      <c r="D3008" s="32" t="s">
        <v>9064</v>
      </c>
      <c r="E3008" s="31" t="s">
        <v>9065</v>
      </c>
      <c r="F3008" s="31">
        <v>2100000.0</v>
      </c>
      <c r="G3008" s="31" t="s">
        <v>23</v>
      </c>
      <c r="I3008" s="31" t="s">
        <v>229</v>
      </c>
      <c r="J3008" s="31" t="s">
        <v>967</v>
      </c>
      <c r="K3008" s="33" t="s">
        <v>9066</v>
      </c>
      <c r="L3008" s="31" t="s">
        <v>252</v>
      </c>
      <c r="O3008" s="31" t="s">
        <v>205</v>
      </c>
      <c r="X3008" s="31" t="s">
        <v>452</v>
      </c>
    </row>
    <row r="3009">
      <c r="A3009" s="29">
        <v>45983.4453784375</v>
      </c>
      <c r="B3009" s="30">
        <v>45983.0</v>
      </c>
      <c r="C3009" s="31" t="s">
        <v>9067</v>
      </c>
      <c r="D3009" s="32" t="s">
        <v>9068</v>
      </c>
      <c r="E3009" s="31" t="s">
        <v>43</v>
      </c>
      <c r="F3009" s="31">
        <v>3000000.0</v>
      </c>
      <c r="G3009" s="31" t="s">
        <v>23</v>
      </c>
      <c r="I3009" s="31" t="s">
        <v>229</v>
      </c>
      <c r="J3009" s="31" t="s">
        <v>967</v>
      </c>
      <c r="K3009" s="33" t="s">
        <v>9069</v>
      </c>
      <c r="L3009" s="31" t="s">
        <v>202</v>
      </c>
      <c r="N3009" s="31" t="s">
        <v>667</v>
      </c>
      <c r="U3009" s="31" t="s">
        <v>3950</v>
      </c>
    </row>
    <row r="3010">
      <c r="A3010" s="29">
        <v>45983.460288946764</v>
      </c>
      <c r="B3010" s="30">
        <v>45983.0</v>
      </c>
      <c r="C3010" s="31" t="s">
        <v>9070</v>
      </c>
      <c r="D3010" s="32" t="s">
        <v>4253</v>
      </c>
      <c r="E3010" s="31" t="s">
        <v>127</v>
      </c>
      <c r="F3010" s="31">
        <v>2500000.0</v>
      </c>
      <c r="G3010" s="31" t="s">
        <v>45</v>
      </c>
      <c r="H3010" s="31">
        <v>3000000.0</v>
      </c>
      <c r="I3010" s="31" t="s">
        <v>200</v>
      </c>
      <c r="K3010" s="33" t="s">
        <v>9071</v>
      </c>
      <c r="L3010" s="31" t="s">
        <v>252</v>
      </c>
      <c r="M3010" s="31" t="s">
        <v>203</v>
      </c>
      <c r="O3010" s="31" t="s">
        <v>257</v>
      </c>
      <c r="P3010" s="31" t="s">
        <v>206</v>
      </c>
    </row>
    <row r="3011">
      <c r="A3011" s="29">
        <v>45983.46635747685</v>
      </c>
      <c r="B3011" s="30">
        <v>45983.0</v>
      </c>
      <c r="C3011" s="31" t="s">
        <v>9072</v>
      </c>
      <c r="D3011" s="32" t="s">
        <v>9073</v>
      </c>
      <c r="E3011" s="31" t="s">
        <v>31</v>
      </c>
      <c r="F3011" s="31">
        <v>1.09E7</v>
      </c>
      <c r="G3011" s="31" t="s">
        <v>23</v>
      </c>
      <c r="I3011" s="31" t="s">
        <v>229</v>
      </c>
      <c r="J3011" s="31" t="s">
        <v>967</v>
      </c>
      <c r="K3011" s="33" t="s">
        <v>9074</v>
      </c>
      <c r="L3011" s="31" t="s">
        <v>202</v>
      </c>
      <c r="N3011" s="31" t="s">
        <v>313</v>
      </c>
      <c r="T3011" s="31" t="s">
        <v>329</v>
      </c>
    </row>
    <row r="3012">
      <c r="A3012" s="29">
        <v>45983.469316793984</v>
      </c>
      <c r="B3012" s="30">
        <v>45983.0</v>
      </c>
      <c r="C3012" s="31" t="s">
        <v>9075</v>
      </c>
      <c r="D3012" s="32" t="s">
        <v>9076</v>
      </c>
      <c r="E3012" s="31" t="s">
        <v>43</v>
      </c>
      <c r="F3012" s="31">
        <v>3000000.0</v>
      </c>
      <c r="G3012" s="31" t="s">
        <v>23</v>
      </c>
      <c r="I3012" s="31" t="s">
        <v>229</v>
      </c>
      <c r="J3012" s="31" t="s">
        <v>967</v>
      </c>
      <c r="K3012" s="33" t="s">
        <v>9077</v>
      </c>
      <c r="L3012" s="31" t="s">
        <v>252</v>
      </c>
      <c r="O3012" s="31" t="s">
        <v>257</v>
      </c>
      <c r="P3012" s="31" t="s">
        <v>2453</v>
      </c>
    </row>
    <row r="3013">
      <c r="A3013" s="29">
        <v>45983.492178263885</v>
      </c>
      <c r="B3013" s="30">
        <v>45983.0</v>
      </c>
      <c r="C3013" s="31" t="s">
        <v>9078</v>
      </c>
      <c r="D3013" s="32" t="s">
        <v>9079</v>
      </c>
      <c r="E3013" s="31" t="s">
        <v>228</v>
      </c>
      <c r="F3013" s="31">
        <v>3000000.0</v>
      </c>
      <c r="G3013" s="31" t="s">
        <v>23</v>
      </c>
      <c r="I3013" s="31" t="s">
        <v>229</v>
      </c>
      <c r="J3013" s="31" t="s">
        <v>967</v>
      </c>
      <c r="K3013" s="33" t="s">
        <v>9080</v>
      </c>
      <c r="L3013" s="31" t="s">
        <v>252</v>
      </c>
      <c r="O3013" s="31" t="s">
        <v>205</v>
      </c>
      <c r="X3013" s="31" t="s">
        <v>253</v>
      </c>
    </row>
    <row r="3014">
      <c r="A3014" s="29">
        <v>45983.49952909722</v>
      </c>
      <c r="B3014" s="30">
        <v>45983.0</v>
      </c>
      <c r="C3014" s="31" t="s">
        <v>9081</v>
      </c>
      <c r="D3014" s="32" t="s">
        <v>9082</v>
      </c>
      <c r="E3014" s="31" t="s">
        <v>43</v>
      </c>
      <c r="F3014" s="31">
        <v>5600000.0</v>
      </c>
      <c r="G3014" s="31" t="s">
        <v>23</v>
      </c>
      <c r="H3014" s="31">
        <v>5000000.0</v>
      </c>
      <c r="I3014" s="31" t="s">
        <v>200</v>
      </c>
      <c r="K3014" s="33" t="s">
        <v>9083</v>
      </c>
      <c r="L3014" s="31" t="s">
        <v>252</v>
      </c>
      <c r="M3014" s="31" t="s">
        <v>926</v>
      </c>
      <c r="O3014" s="31" t="s">
        <v>205</v>
      </c>
      <c r="X3014" s="31" t="s">
        <v>716</v>
      </c>
    </row>
    <row r="3015">
      <c r="A3015" s="29">
        <v>45983.50038582176</v>
      </c>
      <c r="B3015" s="30">
        <v>45983.0</v>
      </c>
      <c r="C3015" s="31" t="s">
        <v>9084</v>
      </c>
      <c r="D3015" s="32" t="s">
        <v>9085</v>
      </c>
      <c r="E3015" s="31" t="s">
        <v>43</v>
      </c>
      <c r="F3015" s="31">
        <v>5600000.0</v>
      </c>
      <c r="G3015" s="31" t="s">
        <v>23</v>
      </c>
      <c r="I3015" s="31" t="s">
        <v>229</v>
      </c>
      <c r="J3015" s="31" t="s">
        <v>967</v>
      </c>
      <c r="K3015" s="33" t="s">
        <v>9086</v>
      </c>
      <c r="L3015" s="31" t="s">
        <v>252</v>
      </c>
      <c r="O3015" s="31" t="s">
        <v>205</v>
      </c>
      <c r="X3015" s="31" t="s">
        <v>9016</v>
      </c>
    </row>
    <row r="3016">
      <c r="A3016" s="29">
        <v>45983.50499613426</v>
      </c>
      <c r="B3016" s="30" t="s">
        <v>9087</v>
      </c>
      <c r="C3016" s="31" t="s">
        <v>9088</v>
      </c>
      <c r="D3016" s="32" t="s">
        <v>9089</v>
      </c>
      <c r="E3016" s="31" t="s">
        <v>31</v>
      </c>
      <c r="F3016" s="31">
        <v>2500000.0</v>
      </c>
      <c r="G3016" s="31" t="s">
        <v>23</v>
      </c>
      <c r="I3016" s="31" t="s">
        <v>229</v>
      </c>
      <c r="J3016" s="31" t="s">
        <v>967</v>
      </c>
      <c r="K3016" s="33" t="s">
        <v>9090</v>
      </c>
      <c r="L3016" s="31" t="s">
        <v>202</v>
      </c>
      <c r="N3016" s="31" t="s">
        <v>215</v>
      </c>
      <c r="W3016" s="31" t="s">
        <v>216</v>
      </c>
    </row>
    <row r="3017">
      <c r="A3017" s="29">
        <v>45983.51925832176</v>
      </c>
      <c r="B3017" s="30">
        <v>45983.0</v>
      </c>
      <c r="C3017" s="31" t="s">
        <v>9091</v>
      </c>
      <c r="D3017" s="32" t="s">
        <v>9092</v>
      </c>
      <c r="E3017" s="31" t="s">
        <v>43</v>
      </c>
      <c r="F3017" s="31">
        <v>9400000.0</v>
      </c>
      <c r="G3017" s="31" t="s">
        <v>23</v>
      </c>
      <c r="I3017" s="31" t="s">
        <v>229</v>
      </c>
      <c r="J3017" s="31" t="s">
        <v>967</v>
      </c>
      <c r="K3017" s="33" t="s">
        <v>9093</v>
      </c>
      <c r="L3017" s="31" t="s">
        <v>202</v>
      </c>
      <c r="N3017" s="31" t="s">
        <v>313</v>
      </c>
      <c r="T3017" s="31" t="s">
        <v>314</v>
      </c>
    </row>
    <row r="3018">
      <c r="A3018" s="29">
        <v>45983.540448009255</v>
      </c>
      <c r="B3018" s="30">
        <v>45983.0</v>
      </c>
      <c r="C3018" s="31" t="s">
        <v>9094</v>
      </c>
      <c r="D3018" s="32" t="s">
        <v>9095</v>
      </c>
      <c r="E3018" s="31" t="s">
        <v>288</v>
      </c>
      <c r="F3018" s="31">
        <v>3000000.0</v>
      </c>
      <c r="G3018" s="31" t="s">
        <v>23</v>
      </c>
      <c r="I3018" s="31" t="s">
        <v>229</v>
      </c>
      <c r="J3018" s="31" t="s">
        <v>967</v>
      </c>
      <c r="K3018" s="33" t="s">
        <v>9096</v>
      </c>
      <c r="L3018" s="31" t="s">
        <v>202</v>
      </c>
      <c r="N3018" s="31" t="s">
        <v>871</v>
      </c>
      <c r="Q3018" s="31" t="s">
        <v>872</v>
      </c>
    </row>
    <row r="3019">
      <c r="A3019" s="29">
        <v>45983.55506038194</v>
      </c>
      <c r="B3019" s="30">
        <v>45983.0</v>
      </c>
      <c r="C3019" s="31" t="s">
        <v>9097</v>
      </c>
      <c r="D3019" s="32" t="s">
        <v>9098</v>
      </c>
      <c r="E3019" s="31" t="s">
        <v>43</v>
      </c>
      <c r="F3019" s="31">
        <v>9600000.0</v>
      </c>
      <c r="G3019" s="31" t="s">
        <v>23</v>
      </c>
      <c r="I3019" s="31" t="s">
        <v>229</v>
      </c>
      <c r="J3019" s="31" t="s">
        <v>967</v>
      </c>
      <c r="K3019" s="33" t="s">
        <v>9099</v>
      </c>
      <c r="L3019" s="31" t="s">
        <v>202</v>
      </c>
      <c r="N3019" s="31" t="s">
        <v>313</v>
      </c>
      <c r="T3019" s="31" t="s">
        <v>314</v>
      </c>
    </row>
    <row r="3020">
      <c r="A3020" s="29">
        <v>45983.60562577547</v>
      </c>
      <c r="B3020" s="30">
        <v>45983.0</v>
      </c>
      <c r="C3020" s="31" t="s">
        <v>9100</v>
      </c>
      <c r="D3020" s="32" t="s">
        <v>9101</v>
      </c>
      <c r="E3020" s="31" t="s">
        <v>199</v>
      </c>
      <c r="F3020" s="31">
        <v>8400000.0</v>
      </c>
      <c r="G3020" s="31" t="s">
        <v>23</v>
      </c>
      <c r="H3020" s="31">
        <v>7000000.0</v>
      </c>
      <c r="I3020" s="31" t="s">
        <v>200</v>
      </c>
      <c r="K3020" s="33" t="s">
        <v>9102</v>
      </c>
      <c r="L3020" s="31" t="s">
        <v>252</v>
      </c>
      <c r="M3020" s="31" t="s">
        <v>605</v>
      </c>
      <c r="O3020" s="31" t="s">
        <v>257</v>
      </c>
      <c r="P3020" s="31" t="s">
        <v>258</v>
      </c>
    </row>
    <row r="3021">
      <c r="A3021" s="29">
        <v>45983.623878287035</v>
      </c>
      <c r="B3021" s="30">
        <v>45983.0</v>
      </c>
      <c r="C3021" s="31" t="s">
        <v>9103</v>
      </c>
      <c r="D3021" s="32" t="s">
        <v>9104</v>
      </c>
      <c r="E3021" s="31" t="s">
        <v>43</v>
      </c>
      <c r="F3021" s="31">
        <v>3500000.0</v>
      </c>
      <c r="G3021" s="31" t="s">
        <v>45</v>
      </c>
      <c r="H3021" s="31">
        <v>5000000.0</v>
      </c>
      <c r="I3021" s="31" t="s">
        <v>200</v>
      </c>
      <c r="K3021" s="33" t="s">
        <v>9105</v>
      </c>
      <c r="L3021" s="31" t="s">
        <v>252</v>
      </c>
      <c r="M3021" s="31" t="s">
        <v>383</v>
      </c>
      <c r="O3021" s="31" t="s">
        <v>257</v>
      </c>
      <c r="P3021" s="31" t="s">
        <v>206</v>
      </c>
    </row>
    <row r="3022">
      <c r="A3022" s="29">
        <v>45983.64000681713</v>
      </c>
      <c r="B3022" s="30">
        <v>45983.0</v>
      </c>
      <c r="C3022" s="31" t="s">
        <v>9106</v>
      </c>
      <c r="D3022" s="32" t="s">
        <v>9107</v>
      </c>
      <c r="E3022" s="31" t="s">
        <v>31</v>
      </c>
      <c r="F3022" s="31">
        <v>1.19E7</v>
      </c>
      <c r="G3022" s="31" t="s">
        <v>23</v>
      </c>
      <c r="H3022" s="31">
        <v>3000000.0</v>
      </c>
      <c r="I3022" s="31" t="s">
        <v>413</v>
      </c>
      <c r="K3022" s="33" t="s">
        <v>9108</v>
      </c>
      <c r="L3022" s="31" t="s">
        <v>202</v>
      </c>
      <c r="M3022" s="31" t="s">
        <v>5638</v>
      </c>
      <c r="N3022" s="31" t="s">
        <v>313</v>
      </c>
      <c r="T3022" s="31" t="s">
        <v>329</v>
      </c>
    </row>
    <row r="3023">
      <c r="A3023" s="29">
        <v>45983.65172018518</v>
      </c>
      <c r="B3023" s="30">
        <v>45983.0</v>
      </c>
      <c r="C3023" s="31" t="s">
        <v>9109</v>
      </c>
      <c r="D3023" s="32" t="s">
        <v>9110</v>
      </c>
      <c r="E3023" s="31" t="s">
        <v>8987</v>
      </c>
      <c r="F3023" s="31">
        <v>1.5E7</v>
      </c>
      <c r="G3023" s="31" t="s">
        <v>23</v>
      </c>
      <c r="H3023" s="31">
        <v>3000000.0</v>
      </c>
      <c r="I3023" s="31" t="s">
        <v>413</v>
      </c>
      <c r="K3023" s="33" t="s">
        <v>9111</v>
      </c>
      <c r="L3023" s="31" t="s">
        <v>202</v>
      </c>
      <c r="M3023" s="31" t="s">
        <v>5638</v>
      </c>
      <c r="N3023" s="31" t="s">
        <v>500</v>
      </c>
      <c r="V3023" s="31" t="s">
        <v>6597</v>
      </c>
    </row>
    <row r="3024">
      <c r="A3024" s="29">
        <v>45983.66015052084</v>
      </c>
      <c r="B3024" s="30">
        <v>45983.0</v>
      </c>
      <c r="C3024" s="31" t="s">
        <v>9112</v>
      </c>
      <c r="D3024" s="32" t="s">
        <v>4253</v>
      </c>
      <c r="E3024" s="31" t="s">
        <v>127</v>
      </c>
      <c r="F3024" s="31">
        <v>2500000.0</v>
      </c>
      <c r="G3024" s="31" t="s">
        <v>23</v>
      </c>
      <c r="H3024" s="31">
        <v>5000000.0</v>
      </c>
      <c r="I3024" s="31" t="s">
        <v>200</v>
      </c>
      <c r="K3024" s="33" t="s">
        <v>9113</v>
      </c>
      <c r="L3024" s="31" t="s">
        <v>252</v>
      </c>
      <c r="M3024" s="31" t="s">
        <v>383</v>
      </c>
      <c r="O3024" s="31" t="s">
        <v>257</v>
      </c>
      <c r="P3024" s="31" t="s">
        <v>206</v>
      </c>
    </row>
    <row r="3025">
      <c r="A3025" s="29">
        <v>45983.661382499995</v>
      </c>
      <c r="B3025" s="30">
        <v>45983.0</v>
      </c>
      <c r="C3025" s="31" t="s">
        <v>9114</v>
      </c>
      <c r="D3025" s="32" t="s">
        <v>9115</v>
      </c>
      <c r="E3025" s="31" t="s">
        <v>9116</v>
      </c>
      <c r="F3025" s="31">
        <v>7400000.0</v>
      </c>
      <c r="G3025" s="31" t="s">
        <v>23</v>
      </c>
      <c r="I3025" s="31" t="s">
        <v>229</v>
      </c>
      <c r="J3025" s="31" t="s">
        <v>967</v>
      </c>
      <c r="K3025" s="33" t="s">
        <v>9117</v>
      </c>
      <c r="L3025" s="31" t="s">
        <v>202</v>
      </c>
      <c r="N3025" s="31" t="s">
        <v>667</v>
      </c>
      <c r="U3025" s="31" t="s">
        <v>668</v>
      </c>
    </row>
    <row r="3026">
      <c r="A3026" s="29">
        <v>45983.67609554398</v>
      </c>
      <c r="B3026" s="30">
        <v>45983.0</v>
      </c>
      <c r="C3026" s="31" t="s">
        <v>9118</v>
      </c>
      <c r="D3026" s="32" t="s">
        <v>9119</v>
      </c>
      <c r="E3026" s="31" t="s">
        <v>43</v>
      </c>
      <c r="F3026" s="31">
        <v>2800000.0</v>
      </c>
      <c r="G3026" s="31" t="s">
        <v>23</v>
      </c>
      <c r="I3026" s="31" t="s">
        <v>229</v>
      </c>
      <c r="J3026" s="31" t="s">
        <v>967</v>
      </c>
      <c r="K3026" s="33" t="s">
        <v>9120</v>
      </c>
      <c r="L3026" s="31" t="s">
        <v>202</v>
      </c>
      <c r="N3026" s="31" t="s">
        <v>667</v>
      </c>
      <c r="U3026" s="31" t="s">
        <v>3950</v>
      </c>
    </row>
    <row r="3027">
      <c r="A3027" s="29">
        <v>45983.69768945602</v>
      </c>
      <c r="B3027" s="30">
        <v>45983.0</v>
      </c>
      <c r="C3027" s="31" t="s">
        <v>9121</v>
      </c>
      <c r="D3027" s="32" t="s">
        <v>9122</v>
      </c>
      <c r="E3027" s="31" t="s">
        <v>199</v>
      </c>
      <c r="F3027" s="31">
        <v>8000000.0</v>
      </c>
      <c r="G3027" s="31" t="s">
        <v>45</v>
      </c>
      <c r="I3027" s="31" t="s">
        <v>229</v>
      </c>
      <c r="J3027" s="31" t="s">
        <v>967</v>
      </c>
      <c r="K3027" s="33" t="s">
        <v>9123</v>
      </c>
      <c r="L3027" s="31" t="s">
        <v>252</v>
      </c>
      <c r="O3027" s="31" t="s">
        <v>257</v>
      </c>
      <c r="P3027" s="31" t="s">
        <v>258</v>
      </c>
    </row>
    <row r="3028">
      <c r="A3028" s="29">
        <v>45983.70608729166</v>
      </c>
      <c r="B3028" s="30">
        <v>45983.0</v>
      </c>
      <c r="C3028" s="31" t="s">
        <v>9124</v>
      </c>
      <c r="D3028" s="32" t="s">
        <v>9125</v>
      </c>
      <c r="E3028" s="31" t="s">
        <v>43</v>
      </c>
      <c r="F3028" s="31">
        <v>3500000.0</v>
      </c>
      <c r="G3028" s="31" t="s">
        <v>23</v>
      </c>
      <c r="H3028" s="31">
        <v>3000000.0</v>
      </c>
      <c r="I3028" s="31" t="s">
        <v>200</v>
      </c>
      <c r="K3028" s="33" t="s">
        <v>9126</v>
      </c>
      <c r="L3028" s="31" t="s">
        <v>252</v>
      </c>
      <c r="M3028" s="31" t="s">
        <v>5638</v>
      </c>
      <c r="O3028" s="31" t="s">
        <v>257</v>
      </c>
      <c r="P3028" s="31" t="s">
        <v>2453</v>
      </c>
    </row>
    <row r="3029">
      <c r="A3029" s="29">
        <v>45983.712013032404</v>
      </c>
      <c r="B3029" s="30">
        <v>45983.0</v>
      </c>
      <c r="C3029" s="31" t="s">
        <v>9127</v>
      </c>
      <c r="D3029" s="32" t="s">
        <v>9128</v>
      </c>
      <c r="E3029" s="31" t="s">
        <v>31</v>
      </c>
      <c r="F3029" s="31">
        <v>1.12E7</v>
      </c>
      <c r="G3029" s="31" t="s">
        <v>23</v>
      </c>
      <c r="I3029" s="31" t="s">
        <v>229</v>
      </c>
      <c r="J3029" s="31" t="s">
        <v>967</v>
      </c>
      <c r="K3029" s="33" t="s">
        <v>9129</v>
      </c>
      <c r="L3029" s="31" t="s">
        <v>202</v>
      </c>
      <c r="N3029" s="31" t="s">
        <v>313</v>
      </c>
      <c r="T3029" s="31" t="s">
        <v>329</v>
      </c>
    </row>
    <row r="3030">
      <c r="A3030" s="29">
        <v>45983.71738065973</v>
      </c>
      <c r="B3030" s="30">
        <v>45983.0</v>
      </c>
      <c r="C3030" s="31" t="s">
        <v>9130</v>
      </c>
      <c r="D3030" s="32" t="s">
        <v>9131</v>
      </c>
      <c r="E3030" s="31" t="s">
        <v>199</v>
      </c>
      <c r="F3030" s="31">
        <v>5000000.0</v>
      </c>
      <c r="G3030" s="31" t="s">
        <v>45</v>
      </c>
      <c r="I3030" s="31" t="s">
        <v>229</v>
      </c>
      <c r="J3030" s="31" t="s">
        <v>967</v>
      </c>
      <c r="K3030" s="33" t="s">
        <v>9132</v>
      </c>
      <c r="L3030" s="31" t="s">
        <v>252</v>
      </c>
      <c r="O3030" s="31" t="s">
        <v>205</v>
      </c>
      <c r="X3030" s="31" t="s">
        <v>716</v>
      </c>
    </row>
    <row r="3031">
      <c r="A3031" s="29">
        <v>45983.74126778935</v>
      </c>
      <c r="B3031" s="30">
        <v>45983.0</v>
      </c>
      <c r="C3031" s="31" t="s">
        <v>9133</v>
      </c>
      <c r="D3031" s="32" t="s">
        <v>9134</v>
      </c>
      <c r="E3031" s="31" t="s">
        <v>199</v>
      </c>
      <c r="F3031" s="31">
        <v>8200000.0</v>
      </c>
      <c r="G3031" s="31" t="s">
        <v>45</v>
      </c>
      <c r="I3031" s="31" t="s">
        <v>229</v>
      </c>
      <c r="J3031" s="31" t="s">
        <v>967</v>
      </c>
      <c r="K3031" s="33" t="s">
        <v>9135</v>
      </c>
      <c r="L3031" s="31" t="s">
        <v>252</v>
      </c>
      <c r="O3031" s="31" t="s">
        <v>257</v>
      </c>
      <c r="P3031" s="31" t="s">
        <v>258</v>
      </c>
    </row>
    <row r="3032">
      <c r="A3032" s="29">
        <v>45983.75345791667</v>
      </c>
      <c r="B3032" s="30">
        <v>45983.0</v>
      </c>
      <c r="C3032" s="31" t="s">
        <v>9136</v>
      </c>
      <c r="D3032" s="32" t="s">
        <v>9137</v>
      </c>
      <c r="E3032" s="31" t="s">
        <v>43</v>
      </c>
      <c r="F3032" s="31">
        <v>1000000.0</v>
      </c>
      <c r="G3032" s="31" t="s">
        <v>45</v>
      </c>
      <c r="I3032" s="31" t="s">
        <v>229</v>
      </c>
      <c r="J3032" s="31" t="s">
        <v>967</v>
      </c>
      <c r="K3032" s="33" t="s">
        <v>9138</v>
      </c>
      <c r="L3032" s="31" t="s">
        <v>202</v>
      </c>
      <c r="N3032" s="31" t="s">
        <v>313</v>
      </c>
      <c r="T3032" s="31" t="s">
        <v>314</v>
      </c>
    </row>
    <row r="3033">
      <c r="A3033" s="29">
        <v>45983.75949321759</v>
      </c>
      <c r="B3033" s="30">
        <v>45983.0</v>
      </c>
      <c r="C3033" s="31" t="s">
        <v>9139</v>
      </c>
      <c r="D3033" s="32" t="s">
        <v>9140</v>
      </c>
      <c r="E3033" s="31" t="s">
        <v>43</v>
      </c>
      <c r="F3033" s="31">
        <v>4500000.0</v>
      </c>
      <c r="G3033" s="31" t="s">
        <v>23</v>
      </c>
      <c r="I3033" s="31" t="s">
        <v>229</v>
      </c>
      <c r="J3033" s="31" t="s">
        <v>967</v>
      </c>
      <c r="K3033" s="33" t="s">
        <v>9141</v>
      </c>
      <c r="L3033" s="31" t="s">
        <v>202</v>
      </c>
      <c r="N3033" s="31" t="s">
        <v>204</v>
      </c>
      <c r="R3033" s="31" t="s">
        <v>5256</v>
      </c>
    </row>
    <row r="3034">
      <c r="A3034" s="29">
        <v>45983.76147199074</v>
      </c>
      <c r="B3034" s="30">
        <v>45983.0</v>
      </c>
      <c r="C3034" s="31" t="s">
        <v>9142</v>
      </c>
      <c r="D3034" s="32" t="s">
        <v>9143</v>
      </c>
      <c r="E3034" s="31" t="s">
        <v>43</v>
      </c>
      <c r="F3034" s="31">
        <v>2000000.0</v>
      </c>
      <c r="G3034" s="31" t="s">
        <v>23</v>
      </c>
      <c r="I3034" s="31" t="s">
        <v>229</v>
      </c>
      <c r="J3034" s="31" t="s">
        <v>967</v>
      </c>
      <c r="K3034" s="33" t="s">
        <v>9144</v>
      </c>
      <c r="L3034" s="31" t="s">
        <v>202</v>
      </c>
      <c r="N3034" s="31" t="s">
        <v>204</v>
      </c>
      <c r="R3034" s="31" t="s">
        <v>5256</v>
      </c>
    </row>
    <row r="3035">
      <c r="A3035" s="29">
        <v>45983.76174552084</v>
      </c>
      <c r="B3035" s="30">
        <v>45983.0</v>
      </c>
      <c r="C3035" s="31" t="s">
        <v>9145</v>
      </c>
      <c r="D3035" s="32" t="s">
        <v>9146</v>
      </c>
      <c r="E3035" s="31" t="s">
        <v>31</v>
      </c>
      <c r="F3035" s="31">
        <v>3000000.0</v>
      </c>
      <c r="G3035" s="31" t="s">
        <v>23</v>
      </c>
      <c r="I3035" s="31" t="s">
        <v>229</v>
      </c>
      <c r="J3035" s="31" t="s">
        <v>498</v>
      </c>
      <c r="K3035" s="33" t="s">
        <v>9147</v>
      </c>
      <c r="L3035" s="31" t="s">
        <v>202</v>
      </c>
      <c r="N3035" s="31" t="s">
        <v>500</v>
      </c>
      <c r="V3035" s="31" t="s">
        <v>501</v>
      </c>
    </row>
    <row r="3036">
      <c r="A3036" s="29">
        <v>45983.790399826394</v>
      </c>
      <c r="B3036" s="30">
        <v>45983.0</v>
      </c>
      <c r="C3036" s="31" t="s">
        <v>9148</v>
      </c>
      <c r="D3036" s="32" t="s">
        <v>9149</v>
      </c>
      <c r="E3036" s="31" t="s">
        <v>9150</v>
      </c>
      <c r="F3036" s="31">
        <v>3000000.0</v>
      </c>
      <c r="G3036" s="31" t="s">
        <v>23</v>
      </c>
      <c r="H3036" s="31">
        <v>3000000.0</v>
      </c>
      <c r="I3036" s="31" t="s">
        <v>413</v>
      </c>
      <c r="K3036" s="33" t="s">
        <v>9151</v>
      </c>
      <c r="L3036" s="31" t="s">
        <v>202</v>
      </c>
      <c r="M3036" s="31" t="s">
        <v>203</v>
      </c>
      <c r="N3036" s="31" t="s">
        <v>215</v>
      </c>
      <c r="W3036" s="31" t="s">
        <v>389</v>
      </c>
    </row>
    <row r="3037">
      <c r="A3037" s="29">
        <v>45983.790469444444</v>
      </c>
      <c r="B3037" s="30">
        <v>45983.0</v>
      </c>
      <c r="C3037" s="31" t="s">
        <v>9152</v>
      </c>
      <c r="D3037" s="32" t="s">
        <v>9153</v>
      </c>
      <c r="E3037" s="31" t="s">
        <v>9154</v>
      </c>
      <c r="F3037" s="31">
        <v>2999000.0</v>
      </c>
      <c r="G3037" s="31" t="s">
        <v>23</v>
      </c>
      <c r="I3037" s="31" t="s">
        <v>229</v>
      </c>
      <c r="J3037" s="31" t="s">
        <v>967</v>
      </c>
      <c r="K3037" s="33" t="s">
        <v>9155</v>
      </c>
      <c r="L3037" s="31" t="s">
        <v>202</v>
      </c>
      <c r="N3037" s="31" t="s">
        <v>313</v>
      </c>
      <c r="T3037" s="31" t="s">
        <v>384</v>
      </c>
    </row>
    <row r="3038">
      <c r="A3038" s="29">
        <v>45983.792735613424</v>
      </c>
      <c r="B3038" s="30">
        <v>45983.0</v>
      </c>
      <c r="C3038" s="31" t="s">
        <v>9156</v>
      </c>
      <c r="D3038" s="32" t="s">
        <v>9157</v>
      </c>
      <c r="E3038" s="31" t="s">
        <v>43</v>
      </c>
      <c r="F3038" s="31">
        <v>9400000.0</v>
      </c>
      <c r="G3038" s="31" t="s">
        <v>23</v>
      </c>
      <c r="I3038" s="31" t="s">
        <v>229</v>
      </c>
      <c r="J3038" s="31" t="s">
        <v>967</v>
      </c>
      <c r="K3038" s="33" t="s">
        <v>9158</v>
      </c>
      <c r="L3038" s="31" t="s">
        <v>202</v>
      </c>
      <c r="N3038" s="31" t="s">
        <v>313</v>
      </c>
      <c r="T3038" s="31" t="s">
        <v>314</v>
      </c>
    </row>
    <row r="3039">
      <c r="A3039" s="29">
        <v>45983.79362321759</v>
      </c>
      <c r="B3039" s="30">
        <v>45983.0</v>
      </c>
      <c r="C3039" s="31" t="s">
        <v>9159</v>
      </c>
      <c r="D3039" s="32" t="s">
        <v>9160</v>
      </c>
      <c r="E3039" s="31" t="s">
        <v>9161</v>
      </c>
      <c r="F3039" s="31">
        <v>5499000.0</v>
      </c>
      <c r="G3039" s="31" t="s">
        <v>45</v>
      </c>
      <c r="H3039" s="31">
        <v>7000000.0</v>
      </c>
      <c r="I3039" s="31" t="s">
        <v>413</v>
      </c>
      <c r="K3039" s="33" t="s">
        <v>9162</v>
      </c>
      <c r="L3039" s="31" t="s">
        <v>202</v>
      </c>
      <c r="M3039" s="31" t="s">
        <v>605</v>
      </c>
      <c r="N3039" s="31" t="s">
        <v>204</v>
      </c>
      <c r="R3039" s="31" t="s">
        <v>53</v>
      </c>
    </row>
    <row r="3040">
      <c r="A3040" s="29">
        <v>45983.80450438657</v>
      </c>
      <c r="B3040" s="30">
        <v>45983.0</v>
      </c>
      <c r="C3040" s="31" t="s">
        <v>9163</v>
      </c>
      <c r="D3040" s="31">
        <v>6.281351492193E12</v>
      </c>
      <c r="E3040" s="31" t="s">
        <v>4609</v>
      </c>
      <c r="F3040" s="31">
        <v>2500000.0</v>
      </c>
      <c r="G3040" s="31" t="s">
        <v>23</v>
      </c>
      <c r="H3040" s="31">
        <v>7000000.0</v>
      </c>
      <c r="I3040" s="31" t="s">
        <v>413</v>
      </c>
      <c r="K3040" s="33" t="s">
        <v>9164</v>
      </c>
      <c r="L3040" s="31" t="s">
        <v>202</v>
      </c>
      <c r="M3040" s="31" t="s">
        <v>926</v>
      </c>
      <c r="N3040" s="31" t="s">
        <v>204</v>
      </c>
      <c r="R3040" s="31" t="s">
        <v>360</v>
      </c>
    </row>
    <row r="3041">
      <c r="A3041" s="29">
        <v>45983.80704939815</v>
      </c>
      <c r="B3041" s="30">
        <v>45983.0</v>
      </c>
      <c r="C3041" s="31" t="s">
        <v>9165</v>
      </c>
      <c r="D3041" s="31">
        <v>6.285737393433E12</v>
      </c>
      <c r="E3041" s="31" t="s">
        <v>4609</v>
      </c>
      <c r="F3041" s="31">
        <v>3500000.0</v>
      </c>
      <c r="G3041" s="31" t="s">
        <v>23</v>
      </c>
      <c r="H3041" s="31">
        <v>300000.0</v>
      </c>
      <c r="I3041" s="31" t="s">
        <v>413</v>
      </c>
      <c r="K3041" s="33" t="s">
        <v>9166</v>
      </c>
      <c r="L3041" s="31" t="s">
        <v>202</v>
      </c>
      <c r="M3041" s="31" t="s">
        <v>203</v>
      </c>
      <c r="N3041" s="31" t="s">
        <v>204</v>
      </c>
      <c r="R3041" s="31" t="s">
        <v>360</v>
      </c>
    </row>
    <row r="3042">
      <c r="A3042" s="29">
        <v>45983.807995613424</v>
      </c>
      <c r="B3042" s="30">
        <v>45983.0</v>
      </c>
      <c r="C3042" s="31" t="s">
        <v>9167</v>
      </c>
      <c r="D3042" s="32" t="s">
        <v>9168</v>
      </c>
      <c r="E3042" s="31" t="s">
        <v>261</v>
      </c>
      <c r="F3042" s="31">
        <v>3800000.0</v>
      </c>
      <c r="G3042" s="31" t="s">
        <v>23</v>
      </c>
      <c r="H3042" s="31">
        <v>7000000.0</v>
      </c>
      <c r="I3042" s="31" t="s">
        <v>413</v>
      </c>
      <c r="K3042" s="33" t="s">
        <v>9169</v>
      </c>
      <c r="L3042" s="31" t="s">
        <v>202</v>
      </c>
      <c r="M3042" s="31" t="s">
        <v>203</v>
      </c>
      <c r="N3042" s="31" t="s">
        <v>220</v>
      </c>
      <c r="S3042" s="31" t="s">
        <v>90</v>
      </c>
    </row>
    <row r="3043">
      <c r="A3043" s="29">
        <v>45983.81009461806</v>
      </c>
      <c r="B3043" s="30">
        <v>45983.0</v>
      </c>
      <c r="C3043" s="31" t="s">
        <v>9170</v>
      </c>
      <c r="D3043" s="32" t="s">
        <v>9171</v>
      </c>
      <c r="E3043" s="31" t="s">
        <v>43</v>
      </c>
      <c r="F3043" s="31">
        <v>3100000.0</v>
      </c>
      <c r="G3043" s="31" t="s">
        <v>23</v>
      </c>
      <c r="I3043" s="31" t="s">
        <v>229</v>
      </c>
      <c r="J3043" s="31" t="s">
        <v>967</v>
      </c>
      <c r="K3043" s="33" t="s">
        <v>9172</v>
      </c>
      <c r="L3043" s="31" t="s">
        <v>202</v>
      </c>
      <c r="N3043" s="31" t="s">
        <v>204</v>
      </c>
      <c r="R3043" s="31" t="s">
        <v>47</v>
      </c>
    </row>
    <row r="3044">
      <c r="A3044" s="29">
        <v>45983.81262146991</v>
      </c>
      <c r="B3044" s="30">
        <v>45983.0</v>
      </c>
      <c r="C3044" s="31" t="s">
        <v>9173</v>
      </c>
      <c r="D3044" s="32" t="s">
        <v>9174</v>
      </c>
      <c r="E3044" s="31" t="s">
        <v>43</v>
      </c>
      <c r="F3044" s="31">
        <v>2400000.0</v>
      </c>
      <c r="G3044" s="31" t="s">
        <v>23</v>
      </c>
      <c r="I3044" s="31" t="s">
        <v>229</v>
      </c>
      <c r="J3044" s="31" t="s">
        <v>967</v>
      </c>
      <c r="K3044" s="33" t="s">
        <v>9175</v>
      </c>
      <c r="L3044" s="31" t="s">
        <v>202</v>
      </c>
      <c r="N3044" s="31" t="s">
        <v>204</v>
      </c>
      <c r="R3044" s="31" t="s">
        <v>47</v>
      </c>
    </row>
    <row r="3045">
      <c r="A3045" s="29">
        <v>45983.81691601852</v>
      </c>
      <c r="B3045" s="30">
        <v>45982.0</v>
      </c>
      <c r="C3045" s="31" t="s">
        <v>9176</v>
      </c>
      <c r="D3045" s="32" t="s">
        <v>9177</v>
      </c>
      <c r="E3045" s="31" t="s">
        <v>43</v>
      </c>
      <c r="F3045" s="31">
        <v>3000000.0</v>
      </c>
      <c r="G3045" s="31" t="s">
        <v>23</v>
      </c>
      <c r="I3045" s="31" t="s">
        <v>229</v>
      </c>
      <c r="J3045" s="31" t="s">
        <v>270</v>
      </c>
      <c r="K3045" s="33" t="s">
        <v>9178</v>
      </c>
      <c r="L3045" s="31" t="s">
        <v>202</v>
      </c>
      <c r="N3045" s="31" t="s">
        <v>204</v>
      </c>
      <c r="R3045" s="31" t="s">
        <v>47</v>
      </c>
    </row>
    <row r="3046">
      <c r="A3046" s="29">
        <v>45983.819123298614</v>
      </c>
      <c r="B3046" s="30">
        <v>45982.0</v>
      </c>
      <c r="C3046" s="31" t="s">
        <v>9179</v>
      </c>
      <c r="D3046" s="32" t="s">
        <v>9180</v>
      </c>
      <c r="E3046" s="31" t="s">
        <v>43</v>
      </c>
      <c r="F3046" s="31">
        <v>1000000.0</v>
      </c>
      <c r="G3046" s="31" t="s">
        <v>23</v>
      </c>
      <c r="I3046" s="31" t="s">
        <v>229</v>
      </c>
      <c r="J3046" s="31" t="s">
        <v>270</v>
      </c>
      <c r="K3046" s="33" t="s">
        <v>9181</v>
      </c>
      <c r="L3046" s="31" t="s">
        <v>202</v>
      </c>
      <c r="N3046" s="31" t="s">
        <v>204</v>
      </c>
      <c r="R3046" s="31" t="s">
        <v>47</v>
      </c>
    </row>
    <row r="3047">
      <c r="A3047" s="29">
        <v>45983.82010053241</v>
      </c>
      <c r="B3047" s="30" t="s">
        <v>9087</v>
      </c>
      <c r="C3047" s="31" t="s">
        <v>9182</v>
      </c>
      <c r="D3047" s="32" t="s">
        <v>9183</v>
      </c>
      <c r="E3047" s="31" t="s">
        <v>31</v>
      </c>
      <c r="F3047" s="31">
        <v>1500000.0</v>
      </c>
      <c r="G3047" s="31" t="s">
        <v>23</v>
      </c>
      <c r="I3047" s="31" t="s">
        <v>229</v>
      </c>
      <c r="J3047" s="31" t="s">
        <v>967</v>
      </c>
      <c r="K3047" s="33" t="s">
        <v>9184</v>
      </c>
      <c r="L3047" s="31" t="s">
        <v>202</v>
      </c>
      <c r="N3047" s="31" t="s">
        <v>215</v>
      </c>
      <c r="W3047" s="31" t="s">
        <v>216</v>
      </c>
    </row>
    <row r="3048">
      <c r="A3048" s="29">
        <v>45983.826184652775</v>
      </c>
      <c r="B3048" s="30">
        <v>45982.0</v>
      </c>
      <c r="C3048" s="31" t="s">
        <v>9185</v>
      </c>
      <c r="D3048" s="32" t="s">
        <v>3714</v>
      </c>
      <c r="E3048" s="31" t="s">
        <v>283</v>
      </c>
      <c r="F3048" s="31">
        <v>2000000.0</v>
      </c>
      <c r="G3048" s="31" t="s">
        <v>23</v>
      </c>
      <c r="I3048" s="31" t="s">
        <v>229</v>
      </c>
      <c r="J3048" s="31" t="s">
        <v>967</v>
      </c>
      <c r="K3048" s="33" t="s">
        <v>9186</v>
      </c>
      <c r="L3048" s="31" t="s">
        <v>202</v>
      </c>
      <c r="N3048" s="31" t="s">
        <v>215</v>
      </c>
      <c r="W3048" s="31" t="s">
        <v>532</v>
      </c>
    </row>
    <row r="3049">
      <c r="A3049" s="29">
        <v>45983.827562453705</v>
      </c>
      <c r="B3049" s="30">
        <v>45983.0</v>
      </c>
      <c r="C3049" s="31" t="s">
        <v>9187</v>
      </c>
      <c r="D3049" s="32" t="s">
        <v>907</v>
      </c>
      <c r="E3049" s="31" t="s">
        <v>239</v>
      </c>
      <c r="F3049" s="31">
        <v>2000000.0</v>
      </c>
      <c r="G3049" s="31" t="s">
        <v>23</v>
      </c>
      <c r="I3049" s="31" t="s">
        <v>229</v>
      </c>
      <c r="J3049" s="31" t="s">
        <v>967</v>
      </c>
      <c r="K3049" s="33" t="s">
        <v>9188</v>
      </c>
      <c r="L3049" s="31" t="s">
        <v>202</v>
      </c>
      <c r="N3049" s="31" t="s">
        <v>215</v>
      </c>
      <c r="W3049" s="31" t="s">
        <v>532</v>
      </c>
    </row>
    <row r="3050">
      <c r="A3050" s="29">
        <v>45983.84692644676</v>
      </c>
      <c r="B3050" s="30">
        <v>45983.0</v>
      </c>
      <c r="C3050" s="31" t="s">
        <v>9189</v>
      </c>
      <c r="D3050" s="32" t="s">
        <v>9190</v>
      </c>
      <c r="E3050" s="31" t="s">
        <v>43</v>
      </c>
      <c r="F3050" s="31">
        <v>3200000.0</v>
      </c>
      <c r="G3050" s="31" t="s">
        <v>23</v>
      </c>
      <c r="H3050" s="31">
        <v>7000000.0</v>
      </c>
      <c r="I3050" s="31" t="s">
        <v>413</v>
      </c>
      <c r="K3050" s="33" t="s">
        <v>9191</v>
      </c>
      <c r="L3050" s="31" t="s">
        <v>202</v>
      </c>
      <c r="M3050" s="31" t="s">
        <v>5638</v>
      </c>
      <c r="N3050" s="31" t="s">
        <v>204</v>
      </c>
      <c r="R3050" s="31" t="s">
        <v>148</v>
      </c>
    </row>
    <row r="3051">
      <c r="A3051" s="29">
        <v>45983.85333506945</v>
      </c>
      <c r="B3051" s="30">
        <v>45983.0</v>
      </c>
      <c r="C3051" s="31" t="s">
        <v>9192</v>
      </c>
      <c r="D3051" s="32" t="s">
        <v>9193</v>
      </c>
      <c r="E3051" s="31" t="s">
        <v>288</v>
      </c>
      <c r="F3051" s="31">
        <v>6000000.0</v>
      </c>
      <c r="G3051" s="31" t="s">
        <v>45</v>
      </c>
      <c r="H3051" s="31">
        <v>3000000.0</v>
      </c>
      <c r="I3051" s="31" t="s">
        <v>200</v>
      </c>
      <c r="K3051" s="33" t="s">
        <v>9194</v>
      </c>
      <c r="L3051" s="31" t="s">
        <v>252</v>
      </c>
      <c r="M3051" s="31" t="s">
        <v>5638</v>
      </c>
      <c r="O3051" s="31" t="s">
        <v>257</v>
      </c>
      <c r="P3051" s="31" t="s">
        <v>285</v>
      </c>
    </row>
    <row r="3052">
      <c r="A3052" s="29">
        <v>45983.87383202546</v>
      </c>
      <c r="B3052" s="30">
        <v>45983.0</v>
      </c>
      <c r="C3052" s="31" t="s">
        <v>9195</v>
      </c>
      <c r="D3052" s="32" t="s">
        <v>9196</v>
      </c>
      <c r="E3052" s="31" t="s">
        <v>43</v>
      </c>
      <c r="F3052" s="31">
        <v>3500000.0</v>
      </c>
      <c r="G3052" s="31" t="s">
        <v>23</v>
      </c>
      <c r="I3052" s="31" t="s">
        <v>229</v>
      </c>
      <c r="J3052" s="31" t="s">
        <v>967</v>
      </c>
      <c r="K3052" s="33" t="s">
        <v>9197</v>
      </c>
      <c r="L3052" s="31" t="s">
        <v>252</v>
      </c>
      <c r="O3052" s="31" t="s">
        <v>205</v>
      </c>
      <c r="X3052" s="31" t="s">
        <v>2335</v>
      </c>
    </row>
    <row r="3053">
      <c r="A3053" s="29">
        <v>45983.901902708334</v>
      </c>
      <c r="B3053" s="30">
        <v>45983.0</v>
      </c>
      <c r="C3053" s="31" t="s">
        <v>9167</v>
      </c>
      <c r="D3053" s="32" t="s">
        <v>9168</v>
      </c>
      <c r="E3053" s="31" t="s">
        <v>239</v>
      </c>
      <c r="F3053" s="31">
        <v>3800000.0</v>
      </c>
      <c r="G3053" s="31" t="s">
        <v>23</v>
      </c>
      <c r="H3053" s="31">
        <v>7000000.0</v>
      </c>
      <c r="I3053" s="31" t="s">
        <v>200</v>
      </c>
      <c r="K3053" s="33" t="s">
        <v>9198</v>
      </c>
      <c r="L3053" s="31" t="s">
        <v>202</v>
      </c>
      <c r="M3053" s="31" t="s">
        <v>203</v>
      </c>
      <c r="N3053" s="31" t="s">
        <v>220</v>
      </c>
      <c r="S3053" s="31" t="s">
        <v>90</v>
      </c>
    </row>
    <row r="3054">
      <c r="A3054" s="29">
        <v>45984.498409907406</v>
      </c>
      <c r="B3054" s="30">
        <v>45984.0</v>
      </c>
      <c r="C3054" s="31" t="s">
        <v>9199</v>
      </c>
      <c r="D3054" s="32" t="s">
        <v>9200</v>
      </c>
      <c r="E3054" s="31" t="s">
        <v>43</v>
      </c>
      <c r="F3054" s="31">
        <v>5000000.0</v>
      </c>
      <c r="G3054" s="31" t="s">
        <v>45</v>
      </c>
      <c r="I3054" s="31" t="s">
        <v>229</v>
      </c>
      <c r="J3054" s="31" t="s">
        <v>967</v>
      </c>
      <c r="K3054" s="33" t="s">
        <v>9201</v>
      </c>
      <c r="L3054" s="31" t="s">
        <v>252</v>
      </c>
      <c r="O3054" s="31" t="s">
        <v>257</v>
      </c>
      <c r="P3054" s="31" t="s">
        <v>272</v>
      </c>
    </row>
    <row r="3055">
      <c r="A3055" s="29">
        <v>45984.50124883102</v>
      </c>
      <c r="B3055" s="30">
        <v>45984.0</v>
      </c>
      <c r="C3055" s="31" t="s">
        <v>9202</v>
      </c>
      <c r="D3055" s="31">
        <v>0.0</v>
      </c>
      <c r="E3055" s="31" t="s">
        <v>43</v>
      </c>
      <c r="F3055" s="32" t="s">
        <v>5089</v>
      </c>
      <c r="G3055" s="31" t="s">
        <v>45</v>
      </c>
      <c r="I3055" s="31" t="s">
        <v>229</v>
      </c>
      <c r="J3055" s="31" t="s">
        <v>967</v>
      </c>
      <c r="K3055" s="33" t="s">
        <v>9203</v>
      </c>
      <c r="L3055" s="31" t="s">
        <v>252</v>
      </c>
      <c r="O3055" s="31" t="s">
        <v>257</v>
      </c>
      <c r="P3055" s="31" t="s">
        <v>992</v>
      </c>
    </row>
    <row r="3056">
      <c r="A3056" s="29">
        <v>45984.51184792824</v>
      </c>
      <c r="B3056" s="30">
        <v>45984.0</v>
      </c>
      <c r="C3056" s="31" t="s">
        <v>9204</v>
      </c>
      <c r="D3056" s="32" t="s">
        <v>9205</v>
      </c>
      <c r="E3056" s="31" t="s">
        <v>228</v>
      </c>
      <c r="F3056" s="31">
        <v>6000000.0</v>
      </c>
      <c r="G3056" s="31" t="s">
        <v>23</v>
      </c>
      <c r="I3056" s="31" t="s">
        <v>229</v>
      </c>
      <c r="J3056" s="31" t="s">
        <v>967</v>
      </c>
      <c r="K3056" s="33" t="s">
        <v>9206</v>
      </c>
      <c r="L3056" s="31" t="s">
        <v>202</v>
      </c>
      <c r="N3056" s="31" t="s">
        <v>204</v>
      </c>
      <c r="R3056" s="31" t="s">
        <v>98</v>
      </c>
    </row>
    <row r="3057">
      <c r="A3057" s="29">
        <v>45984.51330388889</v>
      </c>
      <c r="B3057" s="30">
        <v>45984.0</v>
      </c>
      <c r="C3057" s="31" t="s">
        <v>9207</v>
      </c>
      <c r="D3057" s="32" t="s">
        <v>9208</v>
      </c>
      <c r="E3057" s="31" t="s">
        <v>228</v>
      </c>
      <c r="F3057" s="31">
        <v>3500000.0</v>
      </c>
      <c r="G3057" s="31" t="s">
        <v>23</v>
      </c>
      <c r="I3057" s="31" t="s">
        <v>229</v>
      </c>
      <c r="J3057" s="31" t="s">
        <v>967</v>
      </c>
      <c r="K3057" s="33" t="s">
        <v>9209</v>
      </c>
      <c r="L3057" s="31" t="s">
        <v>202</v>
      </c>
      <c r="N3057" s="31" t="s">
        <v>204</v>
      </c>
      <c r="R3057" s="31" t="s">
        <v>98</v>
      </c>
    </row>
    <row r="3058">
      <c r="A3058" s="29">
        <v>45984.51460728009</v>
      </c>
      <c r="B3058" s="30">
        <v>45984.0</v>
      </c>
      <c r="C3058" s="31" t="s">
        <v>9210</v>
      </c>
      <c r="D3058" s="32" t="s">
        <v>9211</v>
      </c>
      <c r="E3058" s="31" t="s">
        <v>43</v>
      </c>
      <c r="F3058" s="31">
        <v>3500000.0</v>
      </c>
      <c r="G3058" s="31" t="s">
        <v>23</v>
      </c>
      <c r="I3058" s="31" t="s">
        <v>229</v>
      </c>
      <c r="J3058" s="31" t="s">
        <v>967</v>
      </c>
      <c r="K3058" s="33" t="s">
        <v>9212</v>
      </c>
      <c r="L3058" s="31" t="s">
        <v>202</v>
      </c>
      <c r="N3058" s="31" t="s">
        <v>204</v>
      </c>
      <c r="R3058" s="31" t="s">
        <v>98</v>
      </c>
    </row>
    <row r="3059">
      <c r="A3059" s="29">
        <v>45984.522145208335</v>
      </c>
      <c r="B3059" s="30">
        <v>45984.0</v>
      </c>
      <c r="C3059" s="31" t="s">
        <v>9213</v>
      </c>
      <c r="D3059" s="32" t="s">
        <v>9214</v>
      </c>
      <c r="E3059" s="31" t="s">
        <v>199</v>
      </c>
      <c r="F3059" s="31">
        <v>5400000.0</v>
      </c>
      <c r="G3059" s="31" t="s">
        <v>45</v>
      </c>
      <c r="H3059" s="31">
        <v>7000000.0</v>
      </c>
      <c r="I3059" s="31" t="s">
        <v>413</v>
      </c>
      <c r="K3059" s="33" t="s">
        <v>9215</v>
      </c>
      <c r="L3059" s="31" t="s">
        <v>202</v>
      </c>
      <c r="M3059" s="31" t="s">
        <v>383</v>
      </c>
      <c r="N3059" s="31" t="s">
        <v>204</v>
      </c>
      <c r="R3059" s="31" t="s">
        <v>148</v>
      </c>
    </row>
    <row r="3060">
      <c r="A3060" s="29">
        <v>45984.52364046296</v>
      </c>
      <c r="B3060" s="30">
        <v>45984.0</v>
      </c>
      <c r="C3060" s="31" t="s">
        <v>9216</v>
      </c>
      <c r="D3060" s="32" t="s">
        <v>9217</v>
      </c>
      <c r="E3060" s="31" t="s">
        <v>784</v>
      </c>
      <c r="F3060" s="31">
        <v>6000000.0</v>
      </c>
      <c r="G3060" s="31" t="s">
        <v>23</v>
      </c>
      <c r="I3060" s="31" t="s">
        <v>229</v>
      </c>
      <c r="J3060" s="31" t="s">
        <v>967</v>
      </c>
      <c r="K3060" s="33" t="s">
        <v>9218</v>
      </c>
      <c r="L3060" s="31" t="s">
        <v>202</v>
      </c>
      <c r="N3060" s="31" t="s">
        <v>204</v>
      </c>
      <c r="R3060" s="31" t="s">
        <v>98</v>
      </c>
    </row>
    <row r="3061">
      <c r="A3061" s="29">
        <v>45984.52672332176</v>
      </c>
      <c r="B3061" s="30">
        <v>45984.0</v>
      </c>
      <c r="C3061" s="31" t="s">
        <v>9219</v>
      </c>
      <c r="D3061" s="32" t="s">
        <v>9220</v>
      </c>
      <c r="E3061" s="31" t="s">
        <v>43</v>
      </c>
      <c r="F3061" s="31">
        <v>8300000.0</v>
      </c>
      <c r="G3061" s="31" t="s">
        <v>45</v>
      </c>
      <c r="H3061" s="31">
        <v>3000000.0</v>
      </c>
      <c r="I3061" s="31" t="s">
        <v>413</v>
      </c>
      <c r="K3061" s="33" t="s">
        <v>9221</v>
      </c>
      <c r="L3061" s="31" t="s">
        <v>202</v>
      </c>
      <c r="M3061" s="31" t="s">
        <v>926</v>
      </c>
      <c r="N3061" s="31" t="s">
        <v>220</v>
      </c>
      <c r="S3061" s="31" t="s">
        <v>5670</v>
      </c>
    </row>
    <row r="3062">
      <c r="A3062" s="29">
        <v>45984.53587707176</v>
      </c>
      <c r="B3062" s="30">
        <v>45984.0</v>
      </c>
      <c r="C3062" s="31" t="s">
        <v>9222</v>
      </c>
      <c r="D3062" s="32" t="s">
        <v>9223</v>
      </c>
      <c r="E3062" s="31" t="s">
        <v>288</v>
      </c>
      <c r="F3062" s="31">
        <v>3200000.0</v>
      </c>
      <c r="G3062" s="31" t="s">
        <v>23</v>
      </c>
      <c r="I3062" s="31" t="s">
        <v>229</v>
      </c>
      <c r="J3062" s="31" t="s">
        <v>967</v>
      </c>
      <c r="K3062" s="33" t="s">
        <v>9224</v>
      </c>
      <c r="L3062" s="31" t="s">
        <v>202</v>
      </c>
      <c r="N3062" s="31" t="s">
        <v>313</v>
      </c>
      <c r="T3062" s="31" t="s">
        <v>384</v>
      </c>
    </row>
    <row r="3063">
      <c r="A3063" s="29">
        <v>45984.53755376158</v>
      </c>
      <c r="B3063" s="30">
        <v>45984.0</v>
      </c>
      <c r="C3063" s="31" t="s">
        <v>9225</v>
      </c>
      <c r="D3063" s="32" t="s">
        <v>9226</v>
      </c>
      <c r="E3063" s="31" t="s">
        <v>9227</v>
      </c>
      <c r="F3063" s="31">
        <v>3200000.0</v>
      </c>
      <c r="G3063" s="31" t="s">
        <v>23</v>
      </c>
      <c r="I3063" s="31" t="s">
        <v>229</v>
      </c>
      <c r="J3063" s="31" t="s">
        <v>967</v>
      </c>
      <c r="K3063" s="33" t="s">
        <v>9228</v>
      </c>
      <c r="L3063" s="31" t="s">
        <v>202</v>
      </c>
      <c r="N3063" s="31" t="s">
        <v>313</v>
      </c>
      <c r="T3063" s="31" t="s">
        <v>384</v>
      </c>
    </row>
    <row r="3064">
      <c r="A3064" s="29">
        <v>45984.66962556713</v>
      </c>
      <c r="B3064" s="30">
        <v>45984.0</v>
      </c>
      <c r="C3064" s="31" t="s">
        <v>9229</v>
      </c>
      <c r="D3064" s="32" t="s">
        <v>9230</v>
      </c>
      <c r="E3064" s="31" t="s">
        <v>283</v>
      </c>
      <c r="F3064" s="31">
        <v>3999000.0</v>
      </c>
      <c r="G3064" s="31" t="s">
        <v>23</v>
      </c>
      <c r="H3064" s="31">
        <v>3000000.0</v>
      </c>
      <c r="I3064" s="31" t="s">
        <v>200</v>
      </c>
      <c r="K3064" s="33" t="s">
        <v>9231</v>
      </c>
      <c r="L3064" s="31" t="s">
        <v>252</v>
      </c>
      <c r="M3064" s="31" t="s">
        <v>203</v>
      </c>
      <c r="O3064" s="31" t="s">
        <v>257</v>
      </c>
      <c r="P3064" s="31" t="s">
        <v>272</v>
      </c>
    </row>
    <row r="3065">
      <c r="A3065" s="29">
        <v>45984.80081886574</v>
      </c>
      <c r="B3065" s="30">
        <v>45984.0</v>
      </c>
      <c r="C3065" s="31" t="s">
        <v>9232</v>
      </c>
      <c r="D3065" s="32" t="s">
        <v>9233</v>
      </c>
      <c r="E3065" s="31" t="s">
        <v>43</v>
      </c>
      <c r="F3065" s="31">
        <v>4700000.0</v>
      </c>
      <c r="G3065" s="31" t="s">
        <v>23</v>
      </c>
      <c r="I3065" s="31" t="s">
        <v>229</v>
      </c>
      <c r="J3065" s="31" t="s">
        <v>967</v>
      </c>
      <c r="K3065" s="33" t="s">
        <v>9234</v>
      </c>
      <c r="L3065" s="31" t="s">
        <v>202</v>
      </c>
      <c r="N3065" s="31" t="s">
        <v>220</v>
      </c>
      <c r="S3065" s="31" t="s">
        <v>536</v>
      </c>
    </row>
    <row r="3066">
      <c r="A3066" s="29">
        <v>45984.80319293981</v>
      </c>
      <c r="B3066" s="30">
        <v>45984.0</v>
      </c>
      <c r="C3066" s="31" t="s">
        <v>9235</v>
      </c>
      <c r="D3066" s="32" t="s">
        <v>9236</v>
      </c>
      <c r="E3066" s="31" t="s">
        <v>43</v>
      </c>
      <c r="F3066" s="31">
        <v>7000000.0</v>
      </c>
      <c r="G3066" s="31" t="s">
        <v>23</v>
      </c>
      <c r="I3066" s="31" t="s">
        <v>229</v>
      </c>
      <c r="J3066" s="31" t="s">
        <v>967</v>
      </c>
      <c r="K3066" s="33" t="s">
        <v>9237</v>
      </c>
      <c r="L3066" s="31" t="s">
        <v>202</v>
      </c>
      <c r="N3066" s="31" t="s">
        <v>220</v>
      </c>
      <c r="S3066" s="31" t="s">
        <v>536</v>
      </c>
    </row>
    <row r="3067">
      <c r="A3067" s="29">
        <v>45984.80474461806</v>
      </c>
      <c r="B3067" s="30">
        <v>45984.0</v>
      </c>
      <c r="C3067" s="31" t="s">
        <v>9238</v>
      </c>
      <c r="D3067" s="32" t="s">
        <v>9239</v>
      </c>
      <c r="E3067" s="31" t="s">
        <v>43</v>
      </c>
      <c r="F3067" s="31">
        <v>3400000.0</v>
      </c>
      <c r="G3067" s="31" t="s">
        <v>23</v>
      </c>
      <c r="I3067" s="31" t="s">
        <v>229</v>
      </c>
      <c r="J3067" s="31" t="s">
        <v>967</v>
      </c>
      <c r="K3067" s="33" t="s">
        <v>9240</v>
      </c>
      <c r="L3067" s="31" t="s">
        <v>202</v>
      </c>
      <c r="N3067" s="31" t="s">
        <v>204</v>
      </c>
      <c r="R3067" s="31" t="s">
        <v>148</v>
      </c>
    </row>
    <row r="3068">
      <c r="A3068" s="29">
        <v>45985.373232928236</v>
      </c>
      <c r="B3068" s="30">
        <v>45985.0</v>
      </c>
      <c r="C3068" s="31" t="s">
        <v>9241</v>
      </c>
      <c r="D3068" s="32" t="s">
        <v>9242</v>
      </c>
      <c r="E3068" s="31" t="s">
        <v>43</v>
      </c>
      <c r="F3068" s="31">
        <v>8000000.0</v>
      </c>
      <c r="G3068" s="31" t="s">
        <v>23</v>
      </c>
      <c r="I3068" s="31" t="s">
        <v>229</v>
      </c>
      <c r="J3068" s="31" t="s">
        <v>967</v>
      </c>
      <c r="K3068" s="33" t="s">
        <v>9243</v>
      </c>
      <c r="L3068" s="31" t="s">
        <v>252</v>
      </c>
      <c r="O3068" s="31" t="s">
        <v>257</v>
      </c>
      <c r="P3068" s="31" t="s">
        <v>258</v>
      </c>
    </row>
    <row r="3069">
      <c r="A3069" s="29">
        <v>45985.42748254629</v>
      </c>
      <c r="B3069" s="30">
        <v>45985.0</v>
      </c>
      <c r="C3069" s="31" t="s">
        <v>9244</v>
      </c>
      <c r="D3069" s="32" t="s">
        <v>9245</v>
      </c>
      <c r="E3069" s="31" t="s">
        <v>261</v>
      </c>
      <c r="F3069" s="31">
        <v>1000000.0</v>
      </c>
      <c r="G3069" s="31" t="s">
        <v>23</v>
      </c>
      <c r="I3069" s="31" t="s">
        <v>229</v>
      </c>
      <c r="J3069" s="31" t="s">
        <v>967</v>
      </c>
      <c r="K3069" s="33" t="s">
        <v>9246</v>
      </c>
      <c r="L3069" s="31" t="s">
        <v>252</v>
      </c>
      <c r="O3069" s="31" t="s">
        <v>205</v>
      </c>
      <c r="X3069" s="31" t="s">
        <v>549</v>
      </c>
    </row>
    <row r="3070">
      <c r="A3070" s="29">
        <v>45985.427689178236</v>
      </c>
      <c r="B3070" s="30">
        <v>45985.0</v>
      </c>
      <c r="C3070" s="31" t="s">
        <v>9247</v>
      </c>
      <c r="D3070" s="32" t="s">
        <v>9018</v>
      </c>
      <c r="E3070" s="31" t="s">
        <v>43</v>
      </c>
      <c r="F3070" s="31">
        <v>9000000.0</v>
      </c>
      <c r="G3070" s="31" t="s">
        <v>23</v>
      </c>
      <c r="I3070" s="31" t="s">
        <v>229</v>
      </c>
      <c r="J3070" s="31" t="s">
        <v>967</v>
      </c>
      <c r="K3070" s="33" t="s">
        <v>9248</v>
      </c>
      <c r="L3070" s="31" t="s">
        <v>202</v>
      </c>
      <c r="N3070" s="31" t="s">
        <v>313</v>
      </c>
      <c r="T3070" s="31" t="s">
        <v>314</v>
      </c>
    </row>
    <row r="3071">
      <c r="A3071" s="29">
        <v>45985.434293819446</v>
      </c>
      <c r="B3071" s="30">
        <v>45985.0</v>
      </c>
      <c r="C3071" s="31" t="s">
        <v>9249</v>
      </c>
      <c r="D3071" s="32" t="s">
        <v>9250</v>
      </c>
      <c r="E3071" s="31" t="s">
        <v>8365</v>
      </c>
      <c r="F3071" s="31">
        <v>5800000.0</v>
      </c>
      <c r="G3071" s="31" t="s">
        <v>23</v>
      </c>
      <c r="H3071" s="31">
        <v>3000000.0</v>
      </c>
      <c r="I3071" s="31" t="s">
        <v>413</v>
      </c>
      <c r="K3071" s="33" t="s">
        <v>9251</v>
      </c>
      <c r="L3071" s="31" t="s">
        <v>202</v>
      </c>
      <c r="M3071" s="31" t="s">
        <v>5638</v>
      </c>
      <c r="N3071" s="31" t="s">
        <v>500</v>
      </c>
      <c r="V3071" s="31" t="s">
        <v>7537</v>
      </c>
    </row>
    <row r="3072">
      <c r="A3072" s="29">
        <v>45985.434804652774</v>
      </c>
      <c r="B3072" s="30">
        <v>45985.0</v>
      </c>
      <c r="C3072" s="31" t="s">
        <v>9252</v>
      </c>
      <c r="D3072" s="32" t="s">
        <v>9253</v>
      </c>
      <c r="E3072" s="31" t="s">
        <v>43</v>
      </c>
      <c r="F3072" s="31">
        <v>4000000.0</v>
      </c>
      <c r="G3072" s="31" t="s">
        <v>23</v>
      </c>
      <c r="I3072" s="31" t="s">
        <v>229</v>
      </c>
      <c r="J3072" s="31" t="s">
        <v>967</v>
      </c>
      <c r="K3072" s="33" t="s">
        <v>9254</v>
      </c>
      <c r="L3072" s="31" t="s">
        <v>202</v>
      </c>
      <c r="N3072" s="31" t="s">
        <v>204</v>
      </c>
      <c r="R3072" s="31" t="s">
        <v>98</v>
      </c>
    </row>
    <row r="3073">
      <c r="A3073" s="29">
        <v>45985.44850561343</v>
      </c>
      <c r="B3073" s="30">
        <v>45985.0</v>
      </c>
      <c r="C3073" s="31" t="s">
        <v>9255</v>
      </c>
      <c r="D3073" s="31">
        <v>0.0</v>
      </c>
      <c r="E3073" s="31" t="s">
        <v>43</v>
      </c>
      <c r="F3073" s="32" t="s">
        <v>4015</v>
      </c>
      <c r="G3073" s="31" t="s">
        <v>23</v>
      </c>
      <c r="I3073" s="31" t="s">
        <v>229</v>
      </c>
      <c r="J3073" s="31" t="s">
        <v>967</v>
      </c>
      <c r="K3073" s="33" t="s">
        <v>9256</v>
      </c>
      <c r="L3073" s="31" t="s">
        <v>252</v>
      </c>
      <c r="O3073" s="31" t="s">
        <v>257</v>
      </c>
      <c r="P3073" s="31" t="s">
        <v>992</v>
      </c>
    </row>
    <row r="3074">
      <c r="A3074" s="29">
        <v>45985.44957039352</v>
      </c>
      <c r="B3074" s="30">
        <v>45985.0</v>
      </c>
      <c r="C3074" s="31" t="s">
        <v>9257</v>
      </c>
      <c r="D3074" s="32" t="s">
        <v>9258</v>
      </c>
      <c r="E3074" s="31" t="s">
        <v>3680</v>
      </c>
      <c r="F3074" s="31">
        <v>3400000.0</v>
      </c>
      <c r="G3074" s="31" t="s">
        <v>23</v>
      </c>
      <c r="H3074" s="31">
        <v>3000000.0</v>
      </c>
      <c r="I3074" s="31" t="s">
        <v>413</v>
      </c>
      <c r="K3074" s="33" t="s">
        <v>9259</v>
      </c>
      <c r="L3074" s="31" t="s">
        <v>202</v>
      </c>
      <c r="M3074" s="31" t="s">
        <v>5638</v>
      </c>
      <c r="N3074" s="31" t="s">
        <v>220</v>
      </c>
      <c r="S3074" s="31" t="s">
        <v>5512</v>
      </c>
    </row>
    <row r="3075">
      <c r="A3075" s="29">
        <v>45985.45440108796</v>
      </c>
      <c r="B3075" s="30">
        <v>45985.0</v>
      </c>
      <c r="C3075" s="31" t="s">
        <v>9260</v>
      </c>
      <c r="D3075" s="32" t="s">
        <v>9261</v>
      </c>
      <c r="E3075" s="31" t="s">
        <v>31</v>
      </c>
      <c r="F3075" s="31">
        <v>1500000.0</v>
      </c>
      <c r="G3075" s="31" t="s">
        <v>23</v>
      </c>
      <c r="I3075" s="31" t="s">
        <v>229</v>
      </c>
      <c r="J3075" s="31" t="s">
        <v>967</v>
      </c>
      <c r="K3075" s="33" t="s">
        <v>9262</v>
      </c>
      <c r="L3075" s="31" t="s">
        <v>202</v>
      </c>
      <c r="N3075" s="31" t="s">
        <v>871</v>
      </c>
      <c r="Q3075" s="31" t="s">
        <v>1021</v>
      </c>
    </row>
    <row r="3076">
      <c r="A3076" s="29">
        <v>45985.464176712965</v>
      </c>
      <c r="B3076" s="30">
        <v>45985.0</v>
      </c>
      <c r="C3076" s="31" t="s">
        <v>9263</v>
      </c>
      <c r="D3076" s="32" t="s">
        <v>9264</v>
      </c>
      <c r="E3076" s="31" t="s">
        <v>31</v>
      </c>
      <c r="F3076" s="31">
        <v>2000000.0</v>
      </c>
      <c r="G3076" s="31" t="s">
        <v>23</v>
      </c>
      <c r="I3076" s="31" t="s">
        <v>229</v>
      </c>
      <c r="J3076" s="31" t="s">
        <v>967</v>
      </c>
      <c r="K3076" s="33" t="s">
        <v>9265</v>
      </c>
      <c r="L3076" s="31" t="s">
        <v>202</v>
      </c>
      <c r="N3076" s="31" t="s">
        <v>871</v>
      </c>
      <c r="Q3076" s="31" t="s">
        <v>1021</v>
      </c>
    </row>
    <row r="3077">
      <c r="A3077" s="29">
        <v>45985.46503091435</v>
      </c>
      <c r="B3077" s="30">
        <v>45985.0</v>
      </c>
      <c r="C3077" s="31" t="s">
        <v>9266</v>
      </c>
      <c r="D3077" s="32" t="s">
        <v>9267</v>
      </c>
      <c r="E3077" s="31" t="s">
        <v>31</v>
      </c>
      <c r="F3077" s="31">
        <v>1.09E7</v>
      </c>
      <c r="G3077" s="31" t="s">
        <v>23</v>
      </c>
      <c r="I3077" s="31" t="s">
        <v>229</v>
      </c>
      <c r="J3077" s="31" t="s">
        <v>967</v>
      </c>
      <c r="K3077" s="33" t="s">
        <v>9268</v>
      </c>
      <c r="L3077" s="31" t="s">
        <v>202</v>
      </c>
      <c r="N3077" s="31" t="s">
        <v>313</v>
      </c>
      <c r="T3077" s="31" t="s">
        <v>329</v>
      </c>
    </row>
    <row r="3078">
      <c r="A3078" s="29">
        <v>45985.486119050925</v>
      </c>
      <c r="B3078" s="30">
        <v>45985.0</v>
      </c>
      <c r="C3078" s="31" t="s">
        <v>9269</v>
      </c>
      <c r="D3078" s="32" t="s">
        <v>9270</v>
      </c>
      <c r="E3078" s="31" t="s">
        <v>43</v>
      </c>
      <c r="F3078" s="31">
        <v>4000000.0</v>
      </c>
      <c r="G3078" s="31" t="s">
        <v>45</v>
      </c>
      <c r="I3078" s="31" t="s">
        <v>229</v>
      </c>
      <c r="J3078" s="31" t="s">
        <v>967</v>
      </c>
      <c r="K3078" s="33" t="s">
        <v>9271</v>
      </c>
      <c r="L3078" s="31" t="s">
        <v>252</v>
      </c>
      <c r="O3078" s="31" t="s">
        <v>257</v>
      </c>
      <c r="P3078" s="31" t="s">
        <v>272</v>
      </c>
    </row>
    <row r="3079">
      <c r="A3079" s="29">
        <v>45985.49722140047</v>
      </c>
      <c r="B3079" s="30">
        <v>45985.0</v>
      </c>
      <c r="C3079" s="31" t="s">
        <v>9272</v>
      </c>
      <c r="D3079" s="32" t="s">
        <v>9273</v>
      </c>
      <c r="E3079" s="31" t="s">
        <v>43</v>
      </c>
      <c r="F3079" s="31">
        <v>3700000.0</v>
      </c>
      <c r="G3079" s="31" t="s">
        <v>23</v>
      </c>
      <c r="I3079" s="31" t="s">
        <v>229</v>
      </c>
      <c r="J3079" s="31" t="s">
        <v>165</v>
      </c>
      <c r="K3079" s="33" t="s">
        <v>9274</v>
      </c>
      <c r="L3079" s="31" t="s">
        <v>252</v>
      </c>
      <c r="O3079" s="31" t="s">
        <v>257</v>
      </c>
      <c r="P3079" s="31" t="s">
        <v>2453</v>
      </c>
    </row>
    <row r="3080">
      <c r="A3080" s="29">
        <v>45985.50127519676</v>
      </c>
      <c r="B3080" s="30">
        <v>45985.0</v>
      </c>
      <c r="C3080" s="31" t="s">
        <v>9275</v>
      </c>
      <c r="D3080" s="32" t="s">
        <v>9276</v>
      </c>
      <c r="E3080" s="31" t="s">
        <v>261</v>
      </c>
      <c r="F3080" s="31">
        <v>1000000.0</v>
      </c>
      <c r="G3080" s="31" t="s">
        <v>23</v>
      </c>
      <c r="I3080" s="31" t="s">
        <v>229</v>
      </c>
      <c r="J3080" s="31" t="s">
        <v>967</v>
      </c>
      <c r="K3080" s="33" t="s">
        <v>9277</v>
      </c>
      <c r="L3080" s="31" t="s">
        <v>252</v>
      </c>
      <c r="O3080" s="31" t="s">
        <v>205</v>
      </c>
      <c r="X3080" s="31" t="s">
        <v>549</v>
      </c>
    </row>
    <row r="3081">
      <c r="A3081" s="29">
        <v>45985.528915682866</v>
      </c>
      <c r="B3081" s="30">
        <v>45985.0</v>
      </c>
      <c r="C3081" s="31" t="s">
        <v>9278</v>
      </c>
      <c r="D3081" s="32" t="s">
        <v>9279</v>
      </c>
      <c r="E3081" s="31" t="s">
        <v>43</v>
      </c>
      <c r="F3081" s="34">
        <v>1.2E8</v>
      </c>
      <c r="G3081" s="31" t="s">
        <v>23</v>
      </c>
      <c r="I3081" s="31" t="s">
        <v>229</v>
      </c>
      <c r="J3081" s="31" t="s">
        <v>967</v>
      </c>
      <c r="K3081" s="33" t="s">
        <v>9280</v>
      </c>
      <c r="L3081" s="31" t="s">
        <v>202</v>
      </c>
      <c r="N3081" s="31" t="s">
        <v>204</v>
      </c>
      <c r="R3081" s="31" t="s">
        <v>471</v>
      </c>
    </row>
    <row r="3082">
      <c r="A3082" s="29">
        <v>45985.532600798615</v>
      </c>
      <c r="B3082" s="30">
        <v>45985.0</v>
      </c>
      <c r="C3082" s="31" t="s">
        <v>9281</v>
      </c>
      <c r="D3082" s="32" t="s">
        <v>9282</v>
      </c>
      <c r="E3082" s="31" t="s">
        <v>31</v>
      </c>
      <c r="F3082" s="31">
        <v>8000000.0</v>
      </c>
      <c r="G3082" s="31" t="s">
        <v>23</v>
      </c>
      <c r="H3082" s="31">
        <v>3000000.0</v>
      </c>
      <c r="I3082" s="31" t="s">
        <v>413</v>
      </c>
      <c r="K3082" s="33" t="s">
        <v>9283</v>
      </c>
      <c r="L3082" s="31" t="s">
        <v>202</v>
      </c>
      <c r="M3082" s="31" t="s">
        <v>203</v>
      </c>
      <c r="N3082" s="31" t="s">
        <v>667</v>
      </c>
      <c r="U3082" s="31" t="s">
        <v>668</v>
      </c>
    </row>
    <row r="3083">
      <c r="A3083" s="29">
        <v>45985.539423043985</v>
      </c>
      <c r="B3083" s="30">
        <v>45985.0</v>
      </c>
      <c r="C3083" s="31" t="s">
        <v>9284</v>
      </c>
      <c r="D3083" s="32" t="s">
        <v>9285</v>
      </c>
      <c r="E3083" s="31" t="s">
        <v>261</v>
      </c>
      <c r="F3083" s="31">
        <v>50.0</v>
      </c>
      <c r="G3083" s="31" t="s">
        <v>23</v>
      </c>
      <c r="I3083" s="31" t="s">
        <v>229</v>
      </c>
      <c r="J3083" s="31" t="s">
        <v>967</v>
      </c>
      <c r="K3083" s="33" t="s">
        <v>9286</v>
      </c>
      <c r="L3083" s="31" t="s">
        <v>202</v>
      </c>
      <c r="N3083" s="31" t="s">
        <v>313</v>
      </c>
      <c r="T3083" s="31" t="s">
        <v>4272</v>
      </c>
    </row>
    <row r="3084">
      <c r="A3084" s="29">
        <v>45985.54620273148</v>
      </c>
      <c r="B3084" s="30">
        <v>45985.0</v>
      </c>
      <c r="C3084" s="31" t="s">
        <v>9287</v>
      </c>
      <c r="D3084" s="32" t="s">
        <v>9288</v>
      </c>
      <c r="E3084" s="31" t="s">
        <v>283</v>
      </c>
      <c r="F3084" s="31">
        <v>2000000.0</v>
      </c>
      <c r="G3084" s="31" t="s">
        <v>23</v>
      </c>
      <c r="H3084" s="31">
        <v>1600000.0</v>
      </c>
      <c r="I3084" s="31" t="s">
        <v>200</v>
      </c>
      <c r="K3084" s="33" t="s">
        <v>9289</v>
      </c>
      <c r="L3084" s="31" t="s">
        <v>252</v>
      </c>
      <c r="M3084" s="31" t="s">
        <v>5638</v>
      </c>
      <c r="O3084" s="31" t="s">
        <v>205</v>
      </c>
      <c r="X3084" s="31" t="s">
        <v>1471</v>
      </c>
    </row>
    <row r="3085">
      <c r="A3085" s="29">
        <v>45985.55155152778</v>
      </c>
      <c r="B3085" s="30">
        <v>45985.0</v>
      </c>
      <c r="C3085" s="31" t="s">
        <v>9290</v>
      </c>
      <c r="D3085" s="32" t="s">
        <v>9291</v>
      </c>
      <c r="E3085" s="31" t="s">
        <v>335</v>
      </c>
      <c r="F3085" s="31">
        <v>2700000.0</v>
      </c>
      <c r="G3085" s="31" t="s">
        <v>23</v>
      </c>
      <c r="I3085" s="31" t="s">
        <v>229</v>
      </c>
      <c r="J3085" s="31" t="s">
        <v>967</v>
      </c>
      <c r="K3085" s="33" t="s">
        <v>9292</v>
      </c>
      <c r="L3085" s="31" t="s">
        <v>252</v>
      </c>
      <c r="O3085" s="31" t="s">
        <v>257</v>
      </c>
      <c r="P3085" s="31" t="s">
        <v>2453</v>
      </c>
    </row>
    <row r="3086">
      <c r="A3086" s="29">
        <v>45985.57303103009</v>
      </c>
      <c r="B3086" s="30">
        <v>45985.0</v>
      </c>
      <c r="C3086" s="31" t="s">
        <v>9293</v>
      </c>
      <c r="D3086" s="32" t="s">
        <v>9294</v>
      </c>
      <c r="E3086" s="31" t="s">
        <v>9295</v>
      </c>
      <c r="F3086" s="31">
        <v>2000000.0</v>
      </c>
      <c r="G3086" s="31" t="s">
        <v>23</v>
      </c>
      <c r="H3086" s="31">
        <v>3000000.0</v>
      </c>
      <c r="I3086" s="31" t="s">
        <v>200</v>
      </c>
      <c r="K3086" s="33" t="s">
        <v>9296</v>
      </c>
      <c r="L3086" s="31" t="s">
        <v>252</v>
      </c>
      <c r="M3086" s="31" t="s">
        <v>5638</v>
      </c>
      <c r="O3086" s="31" t="s">
        <v>205</v>
      </c>
      <c r="X3086" s="31" t="s">
        <v>1471</v>
      </c>
    </row>
    <row r="3087">
      <c r="A3087" s="29">
        <v>45985.58999162037</v>
      </c>
      <c r="B3087" s="30">
        <v>45985.0</v>
      </c>
      <c r="C3087" s="31" t="s">
        <v>9297</v>
      </c>
      <c r="D3087" s="31" t="s">
        <v>9298</v>
      </c>
      <c r="E3087" s="31" t="s">
        <v>43</v>
      </c>
      <c r="F3087" s="31">
        <v>5000000.0</v>
      </c>
      <c r="G3087" s="31" t="s">
        <v>45</v>
      </c>
      <c r="H3087" s="31">
        <v>3000000.0</v>
      </c>
      <c r="I3087" s="31" t="s">
        <v>200</v>
      </c>
      <c r="K3087" s="33" t="s">
        <v>9299</v>
      </c>
      <c r="L3087" s="31" t="s">
        <v>202</v>
      </c>
      <c r="M3087" s="31" t="s">
        <v>926</v>
      </c>
      <c r="N3087" s="31" t="s">
        <v>215</v>
      </c>
      <c r="W3087" s="31" t="s">
        <v>389</v>
      </c>
    </row>
    <row r="3088">
      <c r="A3088" s="29">
        <v>45985.599479004624</v>
      </c>
      <c r="B3088" s="30">
        <v>45985.0</v>
      </c>
      <c r="C3088" s="31" t="s">
        <v>9300</v>
      </c>
      <c r="D3088" s="32" t="s">
        <v>9301</v>
      </c>
      <c r="E3088" s="31" t="s">
        <v>199</v>
      </c>
      <c r="F3088" s="31">
        <v>4000000.0</v>
      </c>
      <c r="G3088" s="31" t="s">
        <v>45</v>
      </c>
      <c r="I3088" s="31" t="s">
        <v>229</v>
      </c>
      <c r="J3088" s="31" t="s">
        <v>967</v>
      </c>
      <c r="K3088" s="33" t="s">
        <v>9302</v>
      </c>
      <c r="L3088" s="31" t="s">
        <v>252</v>
      </c>
      <c r="O3088" s="31" t="s">
        <v>205</v>
      </c>
      <c r="X3088" s="31" t="s">
        <v>452</v>
      </c>
    </row>
    <row r="3089">
      <c r="A3089" s="29">
        <v>45985.61350677084</v>
      </c>
      <c r="B3089" s="30">
        <v>45985.0</v>
      </c>
      <c r="C3089" s="31" t="s">
        <v>9303</v>
      </c>
      <c r="D3089" s="32" t="s">
        <v>9304</v>
      </c>
      <c r="E3089" s="31" t="s">
        <v>2902</v>
      </c>
      <c r="F3089" s="31">
        <v>6000000.0</v>
      </c>
      <c r="G3089" s="31" t="s">
        <v>23</v>
      </c>
      <c r="I3089" s="31" t="s">
        <v>229</v>
      </c>
      <c r="J3089" s="31" t="s">
        <v>967</v>
      </c>
      <c r="K3089" s="33" t="s">
        <v>9305</v>
      </c>
      <c r="L3089" s="31" t="s">
        <v>202</v>
      </c>
      <c r="N3089" s="31" t="s">
        <v>220</v>
      </c>
      <c r="S3089" s="31" t="s">
        <v>36</v>
      </c>
    </row>
    <row r="3090">
      <c r="A3090" s="29">
        <v>45985.61862579861</v>
      </c>
      <c r="B3090" s="30">
        <v>45985.0</v>
      </c>
      <c r="C3090" s="31" t="s">
        <v>9306</v>
      </c>
      <c r="D3090" s="31">
        <v>6.281337697251E12</v>
      </c>
      <c r="E3090" s="31" t="s">
        <v>228</v>
      </c>
      <c r="F3090" s="31">
        <v>3500000.0</v>
      </c>
      <c r="G3090" s="31" t="s">
        <v>23</v>
      </c>
      <c r="H3090" s="31">
        <v>3000000.0</v>
      </c>
      <c r="I3090" s="31" t="s">
        <v>200</v>
      </c>
      <c r="K3090" s="33" t="s">
        <v>9307</v>
      </c>
      <c r="L3090" s="31" t="s">
        <v>202</v>
      </c>
      <c r="M3090" s="31" t="s">
        <v>5638</v>
      </c>
      <c r="N3090" s="31" t="s">
        <v>204</v>
      </c>
      <c r="R3090" s="31" t="s">
        <v>360</v>
      </c>
    </row>
    <row r="3091">
      <c r="A3091" s="29">
        <v>45985.62406619213</v>
      </c>
      <c r="B3091" s="30">
        <v>45985.0</v>
      </c>
      <c r="C3091" s="31" t="s">
        <v>8357</v>
      </c>
      <c r="D3091" s="31">
        <v>0.0</v>
      </c>
      <c r="E3091" s="31" t="s">
        <v>228</v>
      </c>
      <c r="F3091" s="34">
        <v>4500.0</v>
      </c>
      <c r="G3091" s="31" t="s">
        <v>23</v>
      </c>
      <c r="I3091" s="31" t="s">
        <v>229</v>
      </c>
      <c r="J3091" s="31" t="s">
        <v>967</v>
      </c>
      <c r="K3091" s="33" t="s">
        <v>9308</v>
      </c>
      <c r="L3091" s="31" t="s">
        <v>202</v>
      </c>
      <c r="N3091" s="31" t="s">
        <v>204</v>
      </c>
      <c r="R3091" s="31" t="s">
        <v>171</v>
      </c>
    </row>
    <row r="3092">
      <c r="A3092" s="29">
        <v>45985.625882962966</v>
      </c>
      <c r="B3092" s="30">
        <v>45985.0</v>
      </c>
      <c r="C3092" s="31" t="s">
        <v>9309</v>
      </c>
      <c r="D3092" s="31">
        <v>0.0</v>
      </c>
      <c r="E3092" s="31" t="s">
        <v>9310</v>
      </c>
      <c r="F3092" s="34">
        <v>3500.0</v>
      </c>
      <c r="G3092" s="31" t="s">
        <v>23</v>
      </c>
      <c r="I3092" s="31" t="s">
        <v>229</v>
      </c>
      <c r="J3092" s="31" t="s">
        <v>967</v>
      </c>
      <c r="K3092" s="33" t="s">
        <v>9311</v>
      </c>
      <c r="L3092" s="31" t="s">
        <v>202</v>
      </c>
      <c r="N3092" s="31" t="s">
        <v>204</v>
      </c>
      <c r="R3092" s="31" t="s">
        <v>171</v>
      </c>
    </row>
    <row r="3093">
      <c r="A3093" s="29">
        <v>45985.6294718287</v>
      </c>
      <c r="B3093" s="30">
        <v>45985.0</v>
      </c>
      <c r="C3093" s="31" t="s">
        <v>9312</v>
      </c>
      <c r="D3093" s="31">
        <v>0.0</v>
      </c>
      <c r="E3093" s="31" t="s">
        <v>9313</v>
      </c>
      <c r="F3093" s="34">
        <v>5300.0</v>
      </c>
      <c r="G3093" s="31" t="s">
        <v>23</v>
      </c>
      <c r="I3093" s="31" t="s">
        <v>229</v>
      </c>
      <c r="J3093" s="31" t="s">
        <v>967</v>
      </c>
      <c r="K3093" s="33" t="s">
        <v>9314</v>
      </c>
      <c r="L3093" s="31" t="s">
        <v>202</v>
      </c>
      <c r="N3093" s="31" t="s">
        <v>204</v>
      </c>
      <c r="R3093" s="31" t="s">
        <v>171</v>
      </c>
    </row>
    <row r="3094">
      <c r="A3094" s="29">
        <v>45985.63124137731</v>
      </c>
      <c r="B3094" s="30">
        <v>45985.0</v>
      </c>
      <c r="C3094" s="31" t="s">
        <v>9315</v>
      </c>
      <c r="D3094" s="31">
        <v>0.0</v>
      </c>
      <c r="E3094" s="31" t="s">
        <v>228</v>
      </c>
      <c r="F3094" s="34">
        <v>3400.0</v>
      </c>
      <c r="G3094" s="31" t="s">
        <v>23</v>
      </c>
      <c r="I3094" s="31" t="s">
        <v>229</v>
      </c>
      <c r="J3094" s="31" t="s">
        <v>967</v>
      </c>
      <c r="K3094" s="33" t="s">
        <v>9316</v>
      </c>
      <c r="L3094" s="31" t="s">
        <v>202</v>
      </c>
      <c r="N3094" s="31" t="s">
        <v>204</v>
      </c>
      <c r="R3094" s="31" t="s">
        <v>171</v>
      </c>
    </row>
    <row r="3095">
      <c r="A3095" s="29">
        <v>45985.63317328704</v>
      </c>
      <c r="B3095" s="30">
        <v>45985.0</v>
      </c>
      <c r="C3095" s="31" t="s">
        <v>9317</v>
      </c>
      <c r="D3095" s="31">
        <v>0.0</v>
      </c>
      <c r="E3095" s="31" t="s">
        <v>1181</v>
      </c>
      <c r="F3095" s="34">
        <v>5600.0</v>
      </c>
      <c r="G3095" s="31" t="s">
        <v>23</v>
      </c>
      <c r="I3095" s="31" t="s">
        <v>229</v>
      </c>
      <c r="J3095" s="31" t="s">
        <v>967</v>
      </c>
      <c r="K3095" s="33" t="s">
        <v>9318</v>
      </c>
      <c r="L3095" s="31" t="s">
        <v>202</v>
      </c>
      <c r="N3095" s="31" t="s">
        <v>204</v>
      </c>
      <c r="R3095" s="31" t="s">
        <v>171</v>
      </c>
    </row>
    <row r="3096">
      <c r="A3096" s="29">
        <v>45985.63467167824</v>
      </c>
      <c r="B3096" s="30">
        <v>45985.0</v>
      </c>
      <c r="C3096" s="31" t="s">
        <v>9319</v>
      </c>
      <c r="D3096" s="31">
        <v>0.0</v>
      </c>
      <c r="E3096" s="31" t="s">
        <v>9320</v>
      </c>
      <c r="F3096" s="34">
        <v>2500.0</v>
      </c>
      <c r="G3096" s="31" t="s">
        <v>23</v>
      </c>
      <c r="I3096" s="31" t="s">
        <v>229</v>
      </c>
      <c r="J3096" s="31" t="s">
        <v>967</v>
      </c>
      <c r="K3096" s="33" t="s">
        <v>9321</v>
      </c>
      <c r="L3096" s="31" t="s">
        <v>202</v>
      </c>
      <c r="N3096" s="31" t="s">
        <v>204</v>
      </c>
      <c r="R3096" s="31" t="s">
        <v>171</v>
      </c>
    </row>
    <row r="3097">
      <c r="A3097" s="29">
        <v>45985.65015752315</v>
      </c>
      <c r="B3097" s="30">
        <v>45985.0</v>
      </c>
      <c r="C3097" s="31" t="s">
        <v>9322</v>
      </c>
      <c r="D3097" s="31">
        <v>0.0</v>
      </c>
      <c r="E3097" s="31" t="s">
        <v>9323</v>
      </c>
      <c r="F3097" s="34">
        <v>3200.0</v>
      </c>
      <c r="G3097" s="31" t="s">
        <v>23</v>
      </c>
      <c r="I3097" s="31" t="s">
        <v>229</v>
      </c>
      <c r="J3097" s="31" t="s">
        <v>967</v>
      </c>
      <c r="K3097" s="33" t="s">
        <v>9324</v>
      </c>
      <c r="L3097" s="31" t="s">
        <v>202</v>
      </c>
      <c r="N3097" s="31" t="s">
        <v>204</v>
      </c>
      <c r="R3097" s="31" t="s">
        <v>171</v>
      </c>
    </row>
    <row r="3098">
      <c r="A3098" s="29">
        <v>45985.658275821756</v>
      </c>
      <c r="B3098" s="30">
        <v>45985.0</v>
      </c>
      <c r="C3098" s="31" t="s">
        <v>9325</v>
      </c>
      <c r="D3098" s="32" t="s">
        <v>9326</v>
      </c>
      <c r="E3098" s="31" t="s">
        <v>43</v>
      </c>
      <c r="F3098" s="31">
        <v>3000000.0</v>
      </c>
      <c r="G3098" s="31" t="s">
        <v>23</v>
      </c>
      <c r="H3098" s="31">
        <v>3000000.0</v>
      </c>
      <c r="I3098" s="31" t="s">
        <v>200</v>
      </c>
      <c r="K3098" s="33" t="s">
        <v>9327</v>
      </c>
      <c r="L3098" s="31" t="s">
        <v>252</v>
      </c>
      <c r="M3098" s="31" t="s">
        <v>5638</v>
      </c>
      <c r="O3098" s="31" t="s">
        <v>205</v>
      </c>
      <c r="X3098" s="31" t="s">
        <v>9016</v>
      </c>
    </row>
    <row r="3099">
      <c r="A3099" s="29">
        <v>45985.65832591435</v>
      </c>
      <c r="B3099" s="30">
        <v>45985.0</v>
      </c>
      <c r="C3099" s="31" t="s">
        <v>9328</v>
      </c>
      <c r="D3099" s="32" t="s">
        <v>9329</v>
      </c>
      <c r="E3099" s="31" t="s">
        <v>43</v>
      </c>
      <c r="F3099" s="31">
        <v>3900000.0</v>
      </c>
      <c r="G3099" s="31" t="s">
        <v>23</v>
      </c>
      <c r="H3099" s="31">
        <v>5000000.0</v>
      </c>
      <c r="I3099" s="31" t="s">
        <v>200</v>
      </c>
      <c r="K3099" s="33" t="s">
        <v>9330</v>
      </c>
      <c r="L3099" s="31" t="s">
        <v>252</v>
      </c>
      <c r="M3099" s="31" t="s">
        <v>926</v>
      </c>
      <c r="O3099" s="31" t="s">
        <v>257</v>
      </c>
      <c r="P3099" s="31" t="s">
        <v>2453</v>
      </c>
    </row>
    <row r="3100">
      <c r="A3100" s="29">
        <v>45985.663103217594</v>
      </c>
      <c r="B3100" s="30">
        <v>45985.0</v>
      </c>
      <c r="C3100" s="31" t="s">
        <v>9331</v>
      </c>
      <c r="D3100" s="32" t="s">
        <v>9332</v>
      </c>
      <c r="E3100" s="31" t="s">
        <v>199</v>
      </c>
      <c r="F3100" s="31">
        <v>4200000.0</v>
      </c>
      <c r="G3100" s="31" t="s">
        <v>45</v>
      </c>
      <c r="I3100" s="31" t="s">
        <v>229</v>
      </c>
      <c r="J3100" s="31" t="s">
        <v>967</v>
      </c>
      <c r="K3100" s="33" t="s">
        <v>9333</v>
      </c>
      <c r="L3100" s="31" t="s">
        <v>252</v>
      </c>
      <c r="O3100" s="31" t="s">
        <v>205</v>
      </c>
      <c r="X3100" s="31" t="s">
        <v>452</v>
      </c>
    </row>
    <row r="3101">
      <c r="A3101" s="29">
        <v>45985.66883614584</v>
      </c>
      <c r="B3101" s="30">
        <v>45985.0</v>
      </c>
      <c r="C3101" s="31" t="s">
        <v>9334</v>
      </c>
      <c r="D3101" s="32" t="s">
        <v>9335</v>
      </c>
      <c r="E3101" s="31" t="s">
        <v>9336</v>
      </c>
      <c r="F3101" s="31">
        <v>3200000.0</v>
      </c>
      <c r="G3101" s="31" t="s">
        <v>23</v>
      </c>
      <c r="I3101" s="31" t="s">
        <v>229</v>
      </c>
      <c r="J3101" s="31" t="s">
        <v>967</v>
      </c>
      <c r="K3101" s="33" t="s">
        <v>9337</v>
      </c>
      <c r="L3101" s="31" t="s">
        <v>202</v>
      </c>
      <c r="N3101" s="31" t="s">
        <v>220</v>
      </c>
      <c r="S3101" s="31" t="s">
        <v>8401</v>
      </c>
    </row>
    <row r="3102">
      <c r="A3102" s="29">
        <v>45985.68156979167</v>
      </c>
      <c r="B3102" s="30">
        <v>45985.0</v>
      </c>
      <c r="C3102" s="31" t="s">
        <v>9338</v>
      </c>
      <c r="D3102" s="32" t="s">
        <v>9339</v>
      </c>
      <c r="E3102" s="31" t="s">
        <v>8987</v>
      </c>
      <c r="F3102" s="31">
        <v>1.6E7</v>
      </c>
      <c r="G3102" s="31" t="s">
        <v>23</v>
      </c>
      <c r="H3102" s="31">
        <v>7000000.0</v>
      </c>
      <c r="I3102" s="31" t="s">
        <v>413</v>
      </c>
      <c r="K3102" s="33" t="s">
        <v>9340</v>
      </c>
      <c r="L3102" s="31" t="s">
        <v>202</v>
      </c>
      <c r="M3102" s="31" t="s">
        <v>605</v>
      </c>
      <c r="N3102" s="31" t="s">
        <v>500</v>
      </c>
      <c r="V3102" s="31" t="s">
        <v>6597</v>
      </c>
    </row>
    <row r="3103">
      <c r="A3103" s="29">
        <v>45985.695905659726</v>
      </c>
      <c r="B3103" s="30">
        <v>45985.0</v>
      </c>
      <c r="C3103" s="31" t="s">
        <v>9341</v>
      </c>
      <c r="D3103" s="32" t="s">
        <v>9342</v>
      </c>
      <c r="E3103" s="31" t="s">
        <v>8365</v>
      </c>
      <c r="F3103" s="31">
        <v>4400000.0</v>
      </c>
      <c r="G3103" s="31" t="s">
        <v>23</v>
      </c>
      <c r="H3103" s="31">
        <v>3000000.0</v>
      </c>
      <c r="I3103" s="31" t="s">
        <v>200</v>
      </c>
      <c r="K3103" s="33" t="s">
        <v>9343</v>
      </c>
      <c r="L3103" s="31" t="s">
        <v>202</v>
      </c>
      <c r="M3103" s="31" t="s">
        <v>5638</v>
      </c>
      <c r="N3103" s="31" t="s">
        <v>500</v>
      </c>
      <c r="V3103" s="31" t="s">
        <v>7537</v>
      </c>
    </row>
    <row r="3104">
      <c r="A3104" s="29">
        <v>45985.70375883102</v>
      </c>
      <c r="B3104" s="30">
        <v>45985.0</v>
      </c>
      <c r="C3104" s="31" t="s">
        <v>9344</v>
      </c>
      <c r="D3104" s="32" t="s">
        <v>9345</v>
      </c>
      <c r="E3104" s="31" t="s">
        <v>409</v>
      </c>
      <c r="F3104" s="31">
        <v>1.02E7</v>
      </c>
      <c r="G3104" s="31" t="s">
        <v>23</v>
      </c>
      <c r="I3104" s="31" t="s">
        <v>229</v>
      </c>
      <c r="J3104" s="31" t="s">
        <v>967</v>
      </c>
      <c r="K3104" s="33" t="s">
        <v>9346</v>
      </c>
      <c r="L3104" s="31" t="s">
        <v>202</v>
      </c>
      <c r="N3104" s="31" t="s">
        <v>500</v>
      </c>
      <c r="V3104" s="31" t="s">
        <v>7537</v>
      </c>
    </row>
    <row r="3105">
      <c r="A3105" s="29">
        <v>45985.72308292824</v>
      </c>
      <c r="B3105" s="30">
        <v>45985.0</v>
      </c>
      <c r="C3105" s="31" t="s">
        <v>9347</v>
      </c>
      <c r="D3105" s="32" t="s">
        <v>9348</v>
      </c>
      <c r="E3105" s="31" t="s">
        <v>199</v>
      </c>
      <c r="F3105" s="31">
        <v>7400000.0</v>
      </c>
      <c r="G3105" s="31" t="s">
        <v>45</v>
      </c>
      <c r="H3105" s="31">
        <v>1.0E7</v>
      </c>
      <c r="I3105" s="31" t="s">
        <v>200</v>
      </c>
      <c r="K3105" s="33" t="s">
        <v>9349</v>
      </c>
      <c r="L3105" s="31" t="s">
        <v>252</v>
      </c>
      <c r="M3105" s="31" t="s">
        <v>926</v>
      </c>
      <c r="O3105" s="31" t="s">
        <v>205</v>
      </c>
      <c r="X3105" s="31" t="s">
        <v>2335</v>
      </c>
    </row>
    <row r="3106">
      <c r="A3106" s="29">
        <v>45985.723578136574</v>
      </c>
      <c r="B3106" s="30">
        <v>45985.0</v>
      </c>
      <c r="C3106" s="31" t="s">
        <v>9350</v>
      </c>
      <c r="D3106" s="32" t="s">
        <v>386</v>
      </c>
      <c r="E3106" s="31" t="s">
        <v>199</v>
      </c>
      <c r="F3106" s="31">
        <v>5000000.0</v>
      </c>
      <c r="G3106" s="31" t="s">
        <v>45</v>
      </c>
      <c r="H3106" s="31">
        <v>5000000.0</v>
      </c>
      <c r="I3106" s="31" t="s">
        <v>413</v>
      </c>
      <c r="K3106" s="33" t="s">
        <v>9351</v>
      </c>
      <c r="L3106" s="31" t="s">
        <v>202</v>
      </c>
      <c r="M3106" s="31" t="s">
        <v>926</v>
      </c>
      <c r="N3106" s="31" t="s">
        <v>215</v>
      </c>
      <c r="W3106" s="31" t="s">
        <v>389</v>
      </c>
    </row>
    <row r="3107">
      <c r="A3107" s="29">
        <v>45985.731027511574</v>
      </c>
      <c r="B3107" s="30">
        <v>45985.0</v>
      </c>
      <c r="C3107" s="31" t="s">
        <v>9352</v>
      </c>
      <c r="D3107" s="32" t="s">
        <v>907</v>
      </c>
      <c r="E3107" s="31" t="s">
        <v>239</v>
      </c>
      <c r="F3107" s="31">
        <v>1000000.0</v>
      </c>
      <c r="G3107" s="31" t="s">
        <v>23</v>
      </c>
      <c r="I3107" s="31" t="s">
        <v>229</v>
      </c>
      <c r="J3107" s="31" t="s">
        <v>967</v>
      </c>
      <c r="K3107" s="33" t="s">
        <v>9353</v>
      </c>
      <c r="L3107" s="31" t="s">
        <v>202</v>
      </c>
      <c r="N3107" s="31" t="s">
        <v>215</v>
      </c>
      <c r="W3107" s="31" t="s">
        <v>532</v>
      </c>
    </row>
    <row r="3108">
      <c r="A3108" s="29">
        <v>45985.74237791667</v>
      </c>
      <c r="B3108" s="30" t="s">
        <v>9354</v>
      </c>
      <c r="C3108" s="31" t="s">
        <v>9355</v>
      </c>
      <c r="D3108" s="32" t="s">
        <v>9356</v>
      </c>
      <c r="E3108" s="31" t="s">
        <v>43</v>
      </c>
      <c r="F3108" s="31">
        <v>2000000.0</v>
      </c>
      <c r="G3108" s="31" t="s">
        <v>23</v>
      </c>
      <c r="H3108" s="31">
        <v>3000000.0</v>
      </c>
      <c r="I3108" s="31" t="s">
        <v>413</v>
      </c>
      <c r="K3108" s="33" t="s">
        <v>9357</v>
      </c>
      <c r="L3108" s="31" t="s">
        <v>202</v>
      </c>
      <c r="M3108" s="31" t="s">
        <v>203</v>
      </c>
      <c r="N3108" s="31" t="s">
        <v>215</v>
      </c>
      <c r="W3108" s="31" t="s">
        <v>216</v>
      </c>
    </row>
    <row r="3109">
      <c r="A3109" s="29">
        <v>45985.74721015047</v>
      </c>
      <c r="B3109" s="30">
        <v>45985.0</v>
      </c>
      <c r="C3109" s="31" t="s">
        <v>9358</v>
      </c>
      <c r="D3109" s="32" t="s">
        <v>9359</v>
      </c>
      <c r="E3109" s="31" t="s">
        <v>43</v>
      </c>
      <c r="F3109" s="34">
        <v>8000000.0</v>
      </c>
      <c r="G3109" s="31" t="s">
        <v>23</v>
      </c>
      <c r="I3109" s="31" t="s">
        <v>229</v>
      </c>
      <c r="J3109" s="31" t="s">
        <v>967</v>
      </c>
      <c r="K3109" s="33" t="s">
        <v>9360</v>
      </c>
      <c r="L3109" s="31" t="s">
        <v>202</v>
      </c>
      <c r="N3109" s="31" t="s">
        <v>204</v>
      </c>
      <c r="R3109" s="31" t="s">
        <v>471</v>
      </c>
    </row>
    <row r="3110">
      <c r="A3110" s="29">
        <v>45985.74722564815</v>
      </c>
      <c r="B3110" s="30">
        <v>45985.0</v>
      </c>
      <c r="C3110" s="31" t="s">
        <v>9361</v>
      </c>
      <c r="D3110" s="32" t="s">
        <v>9362</v>
      </c>
      <c r="E3110" s="31" t="s">
        <v>228</v>
      </c>
      <c r="F3110" s="31">
        <v>2000000.0</v>
      </c>
      <c r="G3110" s="31" t="s">
        <v>23</v>
      </c>
      <c r="I3110" s="31" t="s">
        <v>229</v>
      </c>
      <c r="J3110" s="31" t="s">
        <v>967</v>
      </c>
      <c r="K3110" s="33" t="s">
        <v>9363</v>
      </c>
      <c r="L3110" s="31" t="s">
        <v>202</v>
      </c>
      <c r="N3110" s="31" t="s">
        <v>204</v>
      </c>
      <c r="R3110" s="31" t="s">
        <v>892</v>
      </c>
    </row>
    <row r="3111">
      <c r="A3111" s="29">
        <v>45985.74940166667</v>
      </c>
      <c r="B3111" s="30">
        <v>45985.0</v>
      </c>
      <c r="C3111" s="31" t="s">
        <v>9364</v>
      </c>
      <c r="D3111" s="32" t="s">
        <v>9365</v>
      </c>
      <c r="E3111" s="31" t="s">
        <v>239</v>
      </c>
      <c r="F3111" s="31">
        <v>3000000.0</v>
      </c>
      <c r="G3111" s="31" t="s">
        <v>23</v>
      </c>
      <c r="I3111" s="31" t="s">
        <v>229</v>
      </c>
      <c r="J3111" s="31" t="s">
        <v>967</v>
      </c>
      <c r="K3111" s="33" t="s">
        <v>9366</v>
      </c>
      <c r="L3111" s="31" t="s">
        <v>202</v>
      </c>
      <c r="N3111" s="31" t="s">
        <v>220</v>
      </c>
      <c r="S3111" s="31" t="s">
        <v>5697</v>
      </c>
    </row>
    <row r="3112">
      <c r="A3112" s="29">
        <v>45985.75950378472</v>
      </c>
      <c r="B3112" s="30">
        <v>45985.0</v>
      </c>
      <c r="C3112" s="31" t="s">
        <v>9367</v>
      </c>
      <c r="D3112" s="32" t="s">
        <v>2373</v>
      </c>
      <c r="E3112" s="31" t="s">
        <v>43</v>
      </c>
      <c r="F3112" s="31">
        <v>9600000.0</v>
      </c>
      <c r="G3112" s="31" t="s">
        <v>23</v>
      </c>
      <c r="I3112" s="31" t="s">
        <v>229</v>
      </c>
      <c r="J3112" s="31" t="s">
        <v>165</v>
      </c>
      <c r="K3112" s="33" t="s">
        <v>9368</v>
      </c>
      <c r="L3112" s="31" t="s">
        <v>202</v>
      </c>
      <c r="N3112" s="31" t="s">
        <v>313</v>
      </c>
      <c r="T3112" s="31" t="s">
        <v>314</v>
      </c>
    </row>
    <row r="3113">
      <c r="A3113" s="29">
        <v>45985.76059106481</v>
      </c>
      <c r="B3113" s="30">
        <v>45985.0</v>
      </c>
      <c r="C3113" s="31" t="s">
        <v>9369</v>
      </c>
      <c r="D3113" s="32" t="s">
        <v>9370</v>
      </c>
      <c r="E3113" s="31" t="s">
        <v>288</v>
      </c>
      <c r="F3113" s="31">
        <v>3200000.0</v>
      </c>
      <c r="G3113" s="31" t="s">
        <v>23</v>
      </c>
      <c r="I3113" s="31" t="s">
        <v>229</v>
      </c>
      <c r="J3113" s="31" t="s">
        <v>967</v>
      </c>
      <c r="K3113" s="33" t="s">
        <v>9371</v>
      </c>
      <c r="L3113" s="31" t="s">
        <v>202</v>
      </c>
      <c r="N3113" s="31" t="s">
        <v>220</v>
      </c>
      <c r="S3113" s="31" t="s">
        <v>8401</v>
      </c>
    </row>
    <row r="3114">
      <c r="A3114" s="29">
        <v>45985.767767881945</v>
      </c>
      <c r="B3114" s="30">
        <v>45985.0</v>
      </c>
      <c r="C3114" s="31" t="s">
        <v>9372</v>
      </c>
      <c r="D3114" s="32" t="s">
        <v>9373</v>
      </c>
      <c r="E3114" s="31" t="s">
        <v>43</v>
      </c>
      <c r="F3114" s="31">
        <v>3000000.0</v>
      </c>
      <c r="G3114" s="31" t="s">
        <v>23</v>
      </c>
      <c r="I3114" s="31" t="s">
        <v>229</v>
      </c>
      <c r="J3114" s="31" t="s">
        <v>967</v>
      </c>
      <c r="K3114" s="33" t="s">
        <v>9374</v>
      </c>
      <c r="L3114" s="31" t="s">
        <v>202</v>
      </c>
      <c r="N3114" s="31" t="s">
        <v>204</v>
      </c>
      <c r="R3114" s="31" t="s">
        <v>5256</v>
      </c>
    </row>
    <row r="3115">
      <c r="A3115" s="29">
        <v>45985.77011759259</v>
      </c>
      <c r="B3115" s="30">
        <v>45985.0</v>
      </c>
      <c r="C3115" s="31" t="s">
        <v>9375</v>
      </c>
      <c r="D3115" s="32" t="s">
        <v>9376</v>
      </c>
      <c r="E3115" s="31" t="s">
        <v>43</v>
      </c>
      <c r="F3115" s="31">
        <v>3000000.0</v>
      </c>
      <c r="G3115" s="31" t="s">
        <v>23</v>
      </c>
      <c r="I3115" s="31" t="s">
        <v>229</v>
      </c>
      <c r="J3115" s="31" t="s">
        <v>967</v>
      </c>
      <c r="K3115" s="33" t="s">
        <v>9377</v>
      </c>
      <c r="L3115" s="31" t="s">
        <v>202</v>
      </c>
      <c r="N3115" s="31" t="s">
        <v>204</v>
      </c>
      <c r="R3115" s="31" t="s">
        <v>5256</v>
      </c>
    </row>
    <row r="3116">
      <c r="A3116" s="29">
        <v>45985.77190994213</v>
      </c>
      <c r="B3116" s="30">
        <v>45985.0</v>
      </c>
      <c r="C3116" s="31" t="s">
        <v>9378</v>
      </c>
      <c r="D3116" s="32" t="s">
        <v>9379</v>
      </c>
      <c r="E3116" s="31" t="s">
        <v>43</v>
      </c>
      <c r="F3116" s="31">
        <v>2500000.0</v>
      </c>
      <c r="G3116" s="31" t="s">
        <v>23</v>
      </c>
      <c r="H3116" s="31">
        <v>3000000.0</v>
      </c>
      <c r="I3116" s="31" t="s">
        <v>413</v>
      </c>
      <c r="K3116" s="33" t="s">
        <v>9380</v>
      </c>
      <c r="L3116" s="31" t="s">
        <v>202</v>
      </c>
      <c r="M3116" s="31" t="s">
        <v>5638</v>
      </c>
      <c r="N3116" s="31" t="s">
        <v>204</v>
      </c>
      <c r="R3116" s="31" t="s">
        <v>5256</v>
      </c>
    </row>
    <row r="3117">
      <c r="A3117" s="29">
        <v>45985.772778541665</v>
      </c>
      <c r="B3117" s="30">
        <v>45985.0</v>
      </c>
      <c r="C3117" s="31" t="s">
        <v>9381</v>
      </c>
      <c r="D3117" s="32" t="s">
        <v>9382</v>
      </c>
      <c r="E3117" s="31" t="s">
        <v>43</v>
      </c>
      <c r="F3117" s="31">
        <v>8000000.0</v>
      </c>
      <c r="G3117" s="31" t="s">
        <v>45</v>
      </c>
      <c r="I3117" s="31" t="s">
        <v>229</v>
      </c>
      <c r="J3117" s="31" t="s">
        <v>967</v>
      </c>
      <c r="K3117" s="33" t="s">
        <v>9383</v>
      </c>
      <c r="L3117" s="31" t="s">
        <v>202</v>
      </c>
      <c r="N3117" s="31" t="s">
        <v>220</v>
      </c>
      <c r="S3117" s="31" t="s">
        <v>5670</v>
      </c>
    </row>
    <row r="3118">
      <c r="A3118" s="29">
        <v>45985.77624587963</v>
      </c>
      <c r="B3118" s="30">
        <v>45985.0</v>
      </c>
      <c r="C3118" s="31" t="s">
        <v>9384</v>
      </c>
      <c r="D3118" s="32" t="s">
        <v>9385</v>
      </c>
      <c r="E3118" s="31" t="s">
        <v>43</v>
      </c>
      <c r="F3118" s="31">
        <v>3000000.0</v>
      </c>
      <c r="G3118" s="31" t="s">
        <v>45</v>
      </c>
      <c r="I3118" s="31" t="s">
        <v>229</v>
      </c>
      <c r="J3118" s="31" t="s">
        <v>967</v>
      </c>
      <c r="K3118" s="33" t="s">
        <v>9386</v>
      </c>
      <c r="L3118" s="31" t="s">
        <v>252</v>
      </c>
      <c r="O3118" s="31" t="s">
        <v>205</v>
      </c>
      <c r="X3118" s="31" t="s">
        <v>253</v>
      </c>
    </row>
    <row r="3119">
      <c r="A3119" s="29">
        <v>45985.780069456014</v>
      </c>
      <c r="B3119" s="30">
        <v>45985.0</v>
      </c>
      <c r="C3119" s="31" t="s">
        <v>9387</v>
      </c>
      <c r="D3119" s="32" t="s">
        <v>9388</v>
      </c>
      <c r="E3119" s="31" t="s">
        <v>283</v>
      </c>
      <c r="F3119" s="31">
        <v>7000000.0</v>
      </c>
      <c r="G3119" s="31" t="s">
        <v>45</v>
      </c>
      <c r="I3119" s="31" t="s">
        <v>229</v>
      </c>
      <c r="J3119" s="31" t="s">
        <v>967</v>
      </c>
      <c r="K3119" s="33" t="s">
        <v>9389</v>
      </c>
      <c r="L3119" s="31" t="s">
        <v>252</v>
      </c>
      <c r="O3119" s="31" t="s">
        <v>257</v>
      </c>
      <c r="P3119" s="31" t="s">
        <v>285</v>
      </c>
    </row>
    <row r="3120">
      <c r="A3120" s="29">
        <v>45985.78566350695</v>
      </c>
      <c r="B3120" s="30">
        <v>45985.0</v>
      </c>
      <c r="C3120" s="31" t="s">
        <v>9390</v>
      </c>
      <c r="D3120" s="32" t="s">
        <v>9391</v>
      </c>
      <c r="E3120" s="31" t="s">
        <v>43</v>
      </c>
      <c r="F3120" s="31">
        <v>6500000.0</v>
      </c>
      <c r="G3120" s="31" t="s">
        <v>23</v>
      </c>
      <c r="I3120" s="31" t="s">
        <v>229</v>
      </c>
      <c r="J3120" s="31" t="s">
        <v>967</v>
      </c>
      <c r="K3120" s="33" t="s">
        <v>9392</v>
      </c>
      <c r="L3120" s="31" t="s">
        <v>252</v>
      </c>
      <c r="O3120" s="31" t="s">
        <v>205</v>
      </c>
      <c r="X3120" s="31" t="s">
        <v>716</v>
      </c>
    </row>
    <row r="3121">
      <c r="A3121" s="29">
        <v>45985.78658701389</v>
      </c>
      <c r="B3121" s="30">
        <v>45985.0</v>
      </c>
      <c r="C3121" s="31" t="s">
        <v>9393</v>
      </c>
      <c r="D3121" s="32" t="s">
        <v>9394</v>
      </c>
      <c r="E3121" s="31" t="s">
        <v>228</v>
      </c>
      <c r="F3121" s="31">
        <v>1000000.0</v>
      </c>
      <c r="G3121" s="31" t="s">
        <v>23</v>
      </c>
      <c r="I3121" s="31" t="s">
        <v>229</v>
      </c>
      <c r="J3121" s="31" t="s">
        <v>967</v>
      </c>
      <c r="K3121" s="33" t="s">
        <v>9395</v>
      </c>
      <c r="L3121" s="31" t="s">
        <v>252</v>
      </c>
      <c r="O3121" s="31" t="s">
        <v>205</v>
      </c>
      <c r="X3121" s="31" t="s">
        <v>1471</v>
      </c>
    </row>
    <row r="3122">
      <c r="A3122" s="29">
        <v>45985.78860111111</v>
      </c>
      <c r="B3122" s="30">
        <v>45985.0</v>
      </c>
      <c r="C3122" s="31" t="s">
        <v>9396</v>
      </c>
      <c r="D3122" s="31" t="s">
        <v>9397</v>
      </c>
      <c r="E3122" s="31" t="s">
        <v>4609</v>
      </c>
      <c r="F3122" s="31">
        <v>2500000.0</v>
      </c>
      <c r="G3122" s="31" t="s">
        <v>23</v>
      </c>
      <c r="I3122" s="31" t="s">
        <v>229</v>
      </c>
      <c r="J3122" s="31" t="s">
        <v>967</v>
      </c>
      <c r="K3122" s="33" t="s">
        <v>9398</v>
      </c>
      <c r="L3122" s="31" t="s">
        <v>202</v>
      </c>
      <c r="N3122" s="31" t="s">
        <v>204</v>
      </c>
      <c r="R3122" s="31" t="s">
        <v>360</v>
      </c>
    </row>
    <row r="3123">
      <c r="A3123" s="29">
        <v>45985.801374409726</v>
      </c>
      <c r="B3123" s="30">
        <v>45985.0</v>
      </c>
      <c r="C3123" s="31" t="s">
        <v>9399</v>
      </c>
      <c r="D3123" s="32" t="s">
        <v>9400</v>
      </c>
      <c r="E3123" s="31" t="s">
        <v>1166</v>
      </c>
      <c r="F3123" s="31">
        <v>5000000.0</v>
      </c>
      <c r="G3123" s="31" t="s">
        <v>23</v>
      </c>
      <c r="I3123" s="31" t="s">
        <v>229</v>
      </c>
      <c r="J3123" s="31" t="s">
        <v>967</v>
      </c>
      <c r="K3123" s="33" t="s">
        <v>9401</v>
      </c>
      <c r="L3123" s="31" t="s">
        <v>202</v>
      </c>
      <c r="N3123" s="31" t="s">
        <v>204</v>
      </c>
      <c r="R3123" s="31" t="s">
        <v>5606</v>
      </c>
    </row>
    <row r="3124">
      <c r="A3124" s="29">
        <v>45985.803520347225</v>
      </c>
      <c r="B3124" s="30">
        <v>45985.0</v>
      </c>
      <c r="C3124" s="31" t="s">
        <v>9402</v>
      </c>
      <c r="D3124" s="32" t="s">
        <v>9403</v>
      </c>
      <c r="E3124" s="31" t="s">
        <v>228</v>
      </c>
      <c r="F3124" s="31">
        <v>3000000.0</v>
      </c>
      <c r="G3124" s="31" t="s">
        <v>23</v>
      </c>
      <c r="I3124" s="31" t="s">
        <v>229</v>
      </c>
      <c r="J3124" s="31" t="s">
        <v>967</v>
      </c>
      <c r="K3124" s="33" t="s">
        <v>9404</v>
      </c>
      <c r="L3124" s="31" t="s">
        <v>252</v>
      </c>
      <c r="O3124" s="31" t="s">
        <v>205</v>
      </c>
      <c r="X3124" s="31" t="s">
        <v>253</v>
      </c>
    </row>
    <row r="3125">
      <c r="A3125" s="29">
        <v>45985.80699604166</v>
      </c>
      <c r="B3125" s="30">
        <v>45985.0</v>
      </c>
      <c r="C3125" s="31" t="s">
        <v>9405</v>
      </c>
      <c r="D3125" s="32" t="s">
        <v>9406</v>
      </c>
      <c r="E3125" s="31" t="s">
        <v>43</v>
      </c>
      <c r="F3125" s="31">
        <v>9800000.0</v>
      </c>
      <c r="G3125" s="31" t="s">
        <v>23</v>
      </c>
      <c r="H3125" s="31">
        <v>5000000.0</v>
      </c>
      <c r="I3125" s="31" t="s">
        <v>200</v>
      </c>
      <c r="K3125" s="33" t="s">
        <v>9407</v>
      </c>
      <c r="L3125" s="31" t="s">
        <v>202</v>
      </c>
      <c r="M3125" s="31" t="s">
        <v>926</v>
      </c>
      <c r="N3125" s="31" t="s">
        <v>313</v>
      </c>
      <c r="T3125" s="31" t="s">
        <v>314</v>
      </c>
    </row>
    <row r="3126">
      <c r="A3126" s="29">
        <v>45985.81629916666</v>
      </c>
      <c r="B3126" s="30">
        <v>45985.0</v>
      </c>
      <c r="C3126" s="31" t="s">
        <v>9408</v>
      </c>
      <c r="D3126" s="32" t="s">
        <v>9409</v>
      </c>
      <c r="E3126" s="31" t="s">
        <v>31</v>
      </c>
      <c r="F3126" s="31">
        <v>1.02E7</v>
      </c>
      <c r="G3126" s="31" t="s">
        <v>23</v>
      </c>
      <c r="I3126" s="31" t="s">
        <v>229</v>
      </c>
      <c r="J3126" s="31" t="s">
        <v>967</v>
      </c>
      <c r="K3126" s="33" t="s">
        <v>9410</v>
      </c>
      <c r="L3126" s="31" t="s">
        <v>202</v>
      </c>
      <c r="N3126" s="31" t="s">
        <v>313</v>
      </c>
      <c r="T3126" s="31" t="s">
        <v>329</v>
      </c>
    </row>
    <row r="3127">
      <c r="A3127" s="29">
        <v>45985.82083979167</v>
      </c>
      <c r="B3127" s="30">
        <v>45985.0</v>
      </c>
      <c r="C3127" s="31" t="s">
        <v>9411</v>
      </c>
      <c r="D3127" s="32" t="s">
        <v>9412</v>
      </c>
      <c r="E3127" s="31" t="s">
        <v>1166</v>
      </c>
      <c r="F3127" s="31">
        <v>9000000.0</v>
      </c>
      <c r="G3127" s="31" t="s">
        <v>45</v>
      </c>
      <c r="I3127" s="31" t="s">
        <v>229</v>
      </c>
      <c r="J3127" s="31" t="s">
        <v>967</v>
      </c>
      <c r="K3127" s="33" t="s">
        <v>9413</v>
      </c>
      <c r="L3127" s="31" t="s">
        <v>202</v>
      </c>
      <c r="N3127" s="31" t="s">
        <v>204</v>
      </c>
      <c r="R3127" s="31" t="s">
        <v>5606</v>
      </c>
    </row>
    <row r="3128">
      <c r="A3128" s="29">
        <v>45985.83224361111</v>
      </c>
      <c r="B3128" s="30">
        <v>45985.0</v>
      </c>
      <c r="C3128" s="31" t="s">
        <v>9414</v>
      </c>
      <c r="D3128" s="32" t="s">
        <v>9415</v>
      </c>
      <c r="E3128" s="31" t="s">
        <v>43</v>
      </c>
      <c r="F3128" s="31">
        <v>6400000.0</v>
      </c>
      <c r="G3128" s="31" t="s">
        <v>45</v>
      </c>
      <c r="I3128" s="31" t="s">
        <v>229</v>
      </c>
      <c r="J3128" s="31" t="s">
        <v>967</v>
      </c>
      <c r="K3128" s="33" t="s">
        <v>9416</v>
      </c>
      <c r="L3128" s="31" t="s">
        <v>252</v>
      </c>
      <c r="O3128" s="31" t="s">
        <v>205</v>
      </c>
      <c r="X3128" s="31" t="s">
        <v>716</v>
      </c>
    </row>
    <row r="3129">
      <c r="A3129" s="29">
        <v>45985.83551333333</v>
      </c>
      <c r="B3129" s="30">
        <v>45985.0</v>
      </c>
      <c r="C3129" s="31" t="s">
        <v>9417</v>
      </c>
      <c r="D3129" s="32" t="s">
        <v>9415</v>
      </c>
      <c r="E3129" s="31" t="s">
        <v>43</v>
      </c>
      <c r="F3129" s="31">
        <v>6400000.0</v>
      </c>
      <c r="G3129" s="31" t="s">
        <v>45</v>
      </c>
      <c r="I3129" s="31" t="s">
        <v>229</v>
      </c>
      <c r="J3129" s="31" t="s">
        <v>967</v>
      </c>
      <c r="K3129" s="33" t="s">
        <v>9418</v>
      </c>
      <c r="L3129" s="31" t="s">
        <v>252</v>
      </c>
      <c r="O3129" s="31" t="s">
        <v>205</v>
      </c>
      <c r="X3129" s="31" t="s">
        <v>716</v>
      </c>
    </row>
    <row r="3130">
      <c r="A3130" s="29">
        <v>45985.840317118054</v>
      </c>
      <c r="B3130" s="30">
        <v>45985.0</v>
      </c>
      <c r="C3130" s="31" t="s">
        <v>9419</v>
      </c>
      <c r="D3130" s="32" t="s">
        <v>9420</v>
      </c>
      <c r="E3130" s="31" t="s">
        <v>228</v>
      </c>
      <c r="F3130" s="31">
        <v>6000000.0</v>
      </c>
      <c r="G3130" s="31" t="s">
        <v>23</v>
      </c>
      <c r="I3130" s="31" t="s">
        <v>229</v>
      </c>
      <c r="J3130" s="31" t="s">
        <v>967</v>
      </c>
      <c r="K3130" s="33" t="s">
        <v>9421</v>
      </c>
      <c r="L3130" s="31" t="s">
        <v>202</v>
      </c>
      <c r="N3130" s="31" t="s">
        <v>220</v>
      </c>
      <c r="S3130" s="31" t="s">
        <v>1406</v>
      </c>
    </row>
    <row r="3131">
      <c r="A3131" s="29">
        <v>45985.85098549769</v>
      </c>
      <c r="B3131" s="30" t="s">
        <v>9354</v>
      </c>
      <c r="C3131" s="31" t="s">
        <v>9422</v>
      </c>
      <c r="D3131" s="32" t="s">
        <v>9423</v>
      </c>
      <c r="E3131" s="31" t="s">
        <v>31</v>
      </c>
      <c r="F3131" s="31">
        <v>1500000.0</v>
      </c>
      <c r="G3131" s="31" t="s">
        <v>23</v>
      </c>
      <c r="I3131" s="31" t="s">
        <v>229</v>
      </c>
      <c r="J3131" s="31" t="s">
        <v>967</v>
      </c>
      <c r="K3131" s="33" t="s">
        <v>9424</v>
      </c>
      <c r="L3131" s="31" t="s">
        <v>202</v>
      </c>
      <c r="N3131" s="31" t="s">
        <v>215</v>
      </c>
      <c r="W3131" s="31" t="s">
        <v>216</v>
      </c>
    </row>
    <row r="3132">
      <c r="A3132" s="29">
        <v>45985.85174885417</v>
      </c>
      <c r="B3132" s="30">
        <v>45985.0</v>
      </c>
      <c r="C3132" s="31" t="s">
        <v>9425</v>
      </c>
      <c r="D3132" s="32" t="s">
        <v>9426</v>
      </c>
      <c r="E3132" s="31" t="s">
        <v>43</v>
      </c>
      <c r="F3132" s="31">
        <v>3000000.0</v>
      </c>
      <c r="G3132" s="31" t="s">
        <v>45</v>
      </c>
      <c r="H3132" s="31">
        <v>3000000.0</v>
      </c>
      <c r="I3132" s="31" t="s">
        <v>200</v>
      </c>
      <c r="K3132" s="33" t="s">
        <v>9427</v>
      </c>
      <c r="L3132" s="31" t="s">
        <v>252</v>
      </c>
      <c r="M3132" s="31" t="s">
        <v>5638</v>
      </c>
      <c r="O3132" s="31" t="s">
        <v>257</v>
      </c>
      <c r="P3132" s="31" t="s">
        <v>1555</v>
      </c>
    </row>
    <row r="3133">
      <c r="A3133" s="29">
        <v>45985.85394861111</v>
      </c>
      <c r="B3133" s="30">
        <v>45985.0</v>
      </c>
      <c r="C3133" s="31" t="s">
        <v>9428</v>
      </c>
      <c r="D3133" s="32" t="s">
        <v>9429</v>
      </c>
      <c r="E3133" s="31" t="s">
        <v>43</v>
      </c>
      <c r="F3133" s="31">
        <v>3000000.0</v>
      </c>
      <c r="G3133" s="31" t="s">
        <v>23</v>
      </c>
      <c r="I3133" s="31" t="s">
        <v>229</v>
      </c>
      <c r="J3133" s="31" t="s">
        <v>967</v>
      </c>
      <c r="K3133" s="33" t="s">
        <v>9430</v>
      </c>
      <c r="L3133" s="31" t="s">
        <v>252</v>
      </c>
      <c r="O3133" s="31" t="s">
        <v>205</v>
      </c>
      <c r="X3133" s="31" t="s">
        <v>253</v>
      </c>
    </row>
    <row r="3134">
      <c r="A3134" s="29">
        <v>45985.865641550925</v>
      </c>
      <c r="B3134" s="30">
        <v>45985.0</v>
      </c>
      <c r="C3134" s="31" t="s">
        <v>9431</v>
      </c>
      <c r="D3134" s="32" t="s">
        <v>9432</v>
      </c>
      <c r="E3134" s="31" t="s">
        <v>199</v>
      </c>
      <c r="F3134" s="31">
        <v>5400000.0</v>
      </c>
      <c r="G3134" s="31" t="s">
        <v>45</v>
      </c>
      <c r="I3134" s="31" t="s">
        <v>229</v>
      </c>
      <c r="J3134" s="31" t="s">
        <v>967</v>
      </c>
      <c r="K3134" s="33" t="s">
        <v>9433</v>
      </c>
      <c r="L3134" s="31" t="s">
        <v>252</v>
      </c>
      <c r="O3134" s="31" t="s">
        <v>205</v>
      </c>
      <c r="X3134" s="31" t="s">
        <v>2335</v>
      </c>
    </row>
    <row r="3135">
      <c r="A3135" s="29">
        <v>45985.86621818287</v>
      </c>
      <c r="B3135" s="30">
        <v>45985.0</v>
      </c>
      <c r="C3135" s="31" t="s">
        <v>9434</v>
      </c>
      <c r="D3135" s="32" t="s">
        <v>9435</v>
      </c>
      <c r="E3135" s="31" t="s">
        <v>43</v>
      </c>
      <c r="F3135" s="31">
        <v>3000000.0</v>
      </c>
      <c r="G3135" s="31" t="s">
        <v>23</v>
      </c>
      <c r="I3135" s="31" t="s">
        <v>229</v>
      </c>
      <c r="J3135" s="31" t="s">
        <v>967</v>
      </c>
      <c r="K3135" s="33" t="s">
        <v>9436</v>
      </c>
      <c r="L3135" s="31" t="s">
        <v>252</v>
      </c>
      <c r="O3135" s="31" t="s">
        <v>257</v>
      </c>
      <c r="P3135" s="31" t="s">
        <v>1555</v>
      </c>
    </row>
    <row r="3136">
      <c r="A3136" s="29">
        <v>45985.92487732639</v>
      </c>
      <c r="B3136" s="30">
        <v>45985.0</v>
      </c>
      <c r="C3136" s="31" t="s">
        <v>9437</v>
      </c>
      <c r="D3136" s="32" t="s">
        <v>9438</v>
      </c>
      <c r="E3136" s="31" t="s">
        <v>9439</v>
      </c>
      <c r="F3136" s="31">
        <v>2000000.0</v>
      </c>
      <c r="G3136" s="31" t="s">
        <v>45</v>
      </c>
      <c r="I3136" s="31" t="s">
        <v>229</v>
      </c>
      <c r="J3136" s="31" t="s">
        <v>967</v>
      </c>
      <c r="K3136" s="33" t="s">
        <v>9440</v>
      </c>
      <c r="L3136" s="31" t="s">
        <v>202</v>
      </c>
      <c r="N3136" s="31" t="s">
        <v>204</v>
      </c>
      <c r="R3136" s="31" t="s">
        <v>8206</v>
      </c>
    </row>
    <row r="3137">
      <c r="A3137" s="29">
        <v>45986.389365324074</v>
      </c>
      <c r="B3137" s="30">
        <v>45986.0</v>
      </c>
      <c r="C3137" s="31" t="s">
        <v>9441</v>
      </c>
      <c r="D3137" s="32" t="s">
        <v>9442</v>
      </c>
      <c r="E3137" s="31" t="s">
        <v>43</v>
      </c>
      <c r="F3137" s="31">
        <v>8100000.0</v>
      </c>
      <c r="G3137" s="31" t="s">
        <v>23</v>
      </c>
      <c r="I3137" s="31" t="s">
        <v>229</v>
      </c>
      <c r="J3137" s="31" t="s">
        <v>967</v>
      </c>
      <c r="K3137" s="33" t="s">
        <v>9443</v>
      </c>
      <c r="L3137" s="31" t="s">
        <v>202</v>
      </c>
      <c r="N3137" s="31" t="s">
        <v>220</v>
      </c>
      <c r="S3137" s="31" t="s">
        <v>5670</v>
      </c>
    </row>
    <row r="3138">
      <c r="A3138" s="29">
        <v>45986.415224930555</v>
      </c>
      <c r="B3138" s="30">
        <v>45986.0</v>
      </c>
      <c r="C3138" s="31" t="s">
        <v>9444</v>
      </c>
      <c r="D3138" s="32" t="s">
        <v>9445</v>
      </c>
      <c r="E3138" s="31" t="s">
        <v>283</v>
      </c>
      <c r="F3138" s="31">
        <v>6000000.0</v>
      </c>
      <c r="G3138" s="31" t="s">
        <v>45</v>
      </c>
      <c r="H3138" s="31">
        <v>3000000.0</v>
      </c>
      <c r="I3138" s="31" t="s">
        <v>413</v>
      </c>
      <c r="K3138" s="33" t="s">
        <v>9446</v>
      </c>
      <c r="L3138" s="31" t="s">
        <v>252</v>
      </c>
      <c r="M3138" s="31" t="s">
        <v>5638</v>
      </c>
      <c r="O3138" s="31" t="s">
        <v>257</v>
      </c>
      <c r="P3138" s="31" t="s">
        <v>285</v>
      </c>
    </row>
    <row r="3139">
      <c r="A3139" s="29">
        <v>45986.44217376158</v>
      </c>
      <c r="B3139" s="30">
        <v>45986.0</v>
      </c>
      <c r="C3139" s="31" t="s">
        <v>9447</v>
      </c>
      <c r="D3139" s="32" t="s">
        <v>9448</v>
      </c>
      <c r="E3139" s="31" t="s">
        <v>31</v>
      </c>
      <c r="F3139" s="31">
        <v>3500000.0</v>
      </c>
      <c r="G3139" s="31" t="s">
        <v>23</v>
      </c>
      <c r="I3139" s="31" t="s">
        <v>229</v>
      </c>
      <c r="J3139" s="31" t="s">
        <v>967</v>
      </c>
      <c r="K3139" s="33" t="s">
        <v>9449</v>
      </c>
      <c r="L3139" s="31" t="s">
        <v>202</v>
      </c>
      <c r="N3139" s="31" t="s">
        <v>204</v>
      </c>
      <c r="R3139" s="31" t="s">
        <v>148</v>
      </c>
    </row>
    <row r="3140">
      <c r="A3140" s="29">
        <v>45986.4439946412</v>
      </c>
      <c r="B3140" s="30">
        <v>45986.0</v>
      </c>
      <c r="C3140" s="31" t="s">
        <v>9450</v>
      </c>
      <c r="D3140" s="32" t="s">
        <v>9451</v>
      </c>
      <c r="E3140" s="31" t="s">
        <v>43</v>
      </c>
      <c r="F3140" s="31">
        <v>8000000.0</v>
      </c>
      <c r="G3140" s="31" t="s">
        <v>23</v>
      </c>
      <c r="H3140" s="31">
        <v>1.2E7</v>
      </c>
      <c r="I3140" s="31" t="s">
        <v>413</v>
      </c>
      <c r="K3140" s="33" t="s">
        <v>9452</v>
      </c>
      <c r="L3140" s="31" t="s">
        <v>202</v>
      </c>
      <c r="M3140" s="31" t="s">
        <v>605</v>
      </c>
      <c r="N3140" s="31" t="s">
        <v>220</v>
      </c>
      <c r="S3140" s="31" t="s">
        <v>466</v>
      </c>
    </row>
    <row r="3141">
      <c r="A3141" s="29">
        <v>45986.472781516204</v>
      </c>
      <c r="B3141" s="30">
        <v>45986.0</v>
      </c>
      <c r="C3141" s="31" t="s">
        <v>9453</v>
      </c>
      <c r="D3141" s="32" t="s">
        <v>9454</v>
      </c>
      <c r="E3141" s="31" t="s">
        <v>283</v>
      </c>
      <c r="F3141" s="31">
        <v>1500000.0</v>
      </c>
      <c r="G3141" s="31" t="s">
        <v>23</v>
      </c>
      <c r="I3141" s="31" t="s">
        <v>229</v>
      </c>
      <c r="J3141" s="31" t="s">
        <v>967</v>
      </c>
      <c r="K3141" s="33" t="s">
        <v>9455</v>
      </c>
      <c r="L3141" s="31" t="s">
        <v>252</v>
      </c>
      <c r="O3141" s="31" t="s">
        <v>205</v>
      </c>
      <c r="X3141" s="31" t="s">
        <v>2280</v>
      </c>
    </row>
    <row r="3142">
      <c r="A3142" s="29">
        <v>45986.50973799769</v>
      </c>
      <c r="B3142" s="30">
        <v>45986.0</v>
      </c>
      <c r="C3142" s="31" t="s">
        <v>9456</v>
      </c>
      <c r="D3142" s="32" t="s">
        <v>9457</v>
      </c>
      <c r="E3142" s="31" t="s">
        <v>43</v>
      </c>
      <c r="F3142" s="31">
        <v>6000000.0</v>
      </c>
      <c r="G3142" s="31" t="s">
        <v>23</v>
      </c>
      <c r="I3142" s="31" t="s">
        <v>229</v>
      </c>
      <c r="J3142" s="31" t="s">
        <v>967</v>
      </c>
      <c r="K3142" s="33" t="s">
        <v>9458</v>
      </c>
      <c r="L3142" s="31" t="s">
        <v>202</v>
      </c>
      <c r="N3142" s="31" t="s">
        <v>667</v>
      </c>
      <c r="U3142" s="31" t="s">
        <v>3950</v>
      </c>
    </row>
    <row r="3143">
      <c r="A3143" s="29">
        <v>45986.51552078704</v>
      </c>
      <c r="B3143" s="30">
        <v>45986.0</v>
      </c>
      <c r="C3143" s="31" t="s">
        <v>9459</v>
      </c>
      <c r="D3143" s="32" t="s">
        <v>9460</v>
      </c>
      <c r="E3143" s="31" t="s">
        <v>43</v>
      </c>
      <c r="F3143" s="31">
        <v>9800000.0</v>
      </c>
      <c r="G3143" s="31" t="s">
        <v>23</v>
      </c>
      <c r="I3143" s="31" t="s">
        <v>229</v>
      </c>
      <c r="J3143" s="31" t="s">
        <v>967</v>
      </c>
      <c r="K3143" s="33" t="s">
        <v>9461</v>
      </c>
      <c r="L3143" s="31" t="s">
        <v>202</v>
      </c>
      <c r="N3143" s="31" t="s">
        <v>313</v>
      </c>
      <c r="T3143" s="31" t="s">
        <v>314</v>
      </c>
    </row>
    <row r="3144">
      <c r="A3144" s="29">
        <v>45986.54054170139</v>
      </c>
      <c r="B3144" s="30">
        <v>45986.0</v>
      </c>
      <c r="C3144" s="31" t="s">
        <v>9462</v>
      </c>
      <c r="D3144" s="32" t="s">
        <v>9463</v>
      </c>
      <c r="E3144" s="31" t="s">
        <v>1432</v>
      </c>
      <c r="F3144" s="31">
        <v>7000000.0</v>
      </c>
      <c r="G3144" s="31" t="s">
        <v>45</v>
      </c>
      <c r="H3144" s="31">
        <v>3000000.0</v>
      </c>
      <c r="I3144" s="31" t="s">
        <v>413</v>
      </c>
      <c r="K3144" s="33" t="s">
        <v>9464</v>
      </c>
      <c r="L3144" s="31" t="s">
        <v>252</v>
      </c>
      <c r="M3144" s="31" t="s">
        <v>5638</v>
      </c>
      <c r="O3144" s="31" t="s">
        <v>257</v>
      </c>
      <c r="P3144" s="31" t="s">
        <v>285</v>
      </c>
    </row>
    <row r="3145">
      <c r="A3145" s="29">
        <v>45986.54186511574</v>
      </c>
      <c r="B3145" s="30">
        <v>45986.0</v>
      </c>
      <c r="C3145" s="31" t="s">
        <v>9465</v>
      </c>
      <c r="D3145" s="32" t="s">
        <v>9466</v>
      </c>
      <c r="E3145" s="31" t="s">
        <v>199</v>
      </c>
      <c r="F3145" s="31">
        <v>9800000.0</v>
      </c>
      <c r="G3145" s="31" t="s">
        <v>45</v>
      </c>
      <c r="H3145" s="31">
        <v>3000000.0</v>
      </c>
      <c r="I3145" s="31" t="s">
        <v>200</v>
      </c>
      <c r="K3145" s="33" t="s">
        <v>9467</v>
      </c>
      <c r="L3145" s="31" t="s">
        <v>202</v>
      </c>
      <c r="M3145" s="31" t="s">
        <v>203</v>
      </c>
      <c r="N3145" s="31" t="s">
        <v>667</v>
      </c>
      <c r="U3145" s="31" t="s">
        <v>668</v>
      </c>
    </row>
    <row r="3146">
      <c r="A3146" s="29">
        <v>45986.54559201389</v>
      </c>
      <c r="B3146" s="30">
        <v>45986.0</v>
      </c>
      <c r="C3146" s="31" t="s">
        <v>9468</v>
      </c>
      <c r="D3146" s="32" t="s">
        <v>9469</v>
      </c>
      <c r="E3146" s="31" t="s">
        <v>239</v>
      </c>
      <c r="F3146" s="31">
        <v>3200000.0</v>
      </c>
      <c r="G3146" s="31" t="s">
        <v>23</v>
      </c>
      <c r="I3146" s="31" t="s">
        <v>229</v>
      </c>
      <c r="J3146" s="31" t="s">
        <v>967</v>
      </c>
      <c r="K3146" s="33" t="s">
        <v>9470</v>
      </c>
      <c r="L3146" s="31" t="s">
        <v>202</v>
      </c>
      <c r="N3146" s="31" t="s">
        <v>220</v>
      </c>
      <c r="S3146" s="31" t="s">
        <v>8401</v>
      </c>
    </row>
    <row r="3147">
      <c r="A3147" s="29">
        <v>45986.56375083333</v>
      </c>
      <c r="B3147" s="30">
        <v>45986.0</v>
      </c>
      <c r="C3147" s="31" t="s">
        <v>9471</v>
      </c>
      <c r="D3147" s="32" t="s">
        <v>9472</v>
      </c>
      <c r="E3147" s="31" t="s">
        <v>43</v>
      </c>
      <c r="F3147" s="31">
        <v>9000000.0</v>
      </c>
      <c r="G3147" s="31" t="s">
        <v>23</v>
      </c>
      <c r="I3147" s="31" t="s">
        <v>229</v>
      </c>
      <c r="J3147" s="31" t="s">
        <v>967</v>
      </c>
      <c r="K3147" s="33" t="s">
        <v>9473</v>
      </c>
      <c r="L3147" s="31" t="s">
        <v>202</v>
      </c>
      <c r="N3147" s="31" t="s">
        <v>204</v>
      </c>
      <c r="R3147" s="31" t="s">
        <v>5606</v>
      </c>
    </row>
    <row r="3148">
      <c r="A3148" s="29">
        <v>45986.586579282404</v>
      </c>
      <c r="B3148" s="30">
        <v>45986.0</v>
      </c>
      <c r="C3148" s="31" t="s">
        <v>9474</v>
      </c>
      <c r="D3148" s="32" t="s">
        <v>9475</v>
      </c>
      <c r="E3148" s="31" t="s">
        <v>43</v>
      </c>
      <c r="F3148" s="31">
        <v>9800000.0</v>
      </c>
      <c r="G3148" s="31" t="s">
        <v>23</v>
      </c>
      <c r="H3148" s="31">
        <v>3000000.0</v>
      </c>
      <c r="I3148" s="31" t="s">
        <v>200</v>
      </c>
      <c r="K3148" s="33" t="s">
        <v>9476</v>
      </c>
      <c r="L3148" s="31" t="s">
        <v>202</v>
      </c>
      <c r="M3148" s="31" t="s">
        <v>5638</v>
      </c>
      <c r="N3148" s="31" t="s">
        <v>313</v>
      </c>
      <c r="T3148" s="31" t="s">
        <v>314</v>
      </c>
    </row>
    <row r="3149">
      <c r="A3149" s="29">
        <v>45986.58980782407</v>
      </c>
      <c r="B3149" s="30">
        <v>45986.0</v>
      </c>
      <c r="C3149" s="31" t="s">
        <v>9477</v>
      </c>
      <c r="D3149" s="31">
        <v>8.7863718707E10</v>
      </c>
      <c r="E3149" s="31" t="s">
        <v>288</v>
      </c>
      <c r="F3149" s="34">
        <v>3000.0</v>
      </c>
      <c r="G3149" s="31" t="s">
        <v>23</v>
      </c>
      <c r="I3149" s="31" t="s">
        <v>229</v>
      </c>
      <c r="J3149" s="31" t="s">
        <v>967</v>
      </c>
      <c r="K3149" s="33" t="s">
        <v>9478</v>
      </c>
      <c r="L3149" s="31" t="s">
        <v>202</v>
      </c>
      <c r="N3149" s="31" t="s">
        <v>204</v>
      </c>
      <c r="R3149" s="31" t="s">
        <v>167</v>
      </c>
    </row>
    <row r="3150">
      <c r="A3150" s="29">
        <v>45986.597727500004</v>
      </c>
      <c r="B3150" s="30">
        <v>45986.0</v>
      </c>
      <c r="C3150" s="31" t="s">
        <v>9479</v>
      </c>
      <c r="D3150" s="32" t="s">
        <v>9480</v>
      </c>
      <c r="E3150" s="31" t="s">
        <v>228</v>
      </c>
      <c r="F3150" s="31">
        <v>7000000.0</v>
      </c>
      <c r="G3150" s="31" t="s">
        <v>23</v>
      </c>
      <c r="I3150" s="31" t="s">
        <v>229</v>
      </c>
      <c r="J3150" s="31" t="s">
        <v>967</v>
      </c>
      <c r="K3150" s="33" t="s">
        <v>9481</v>
      </c>
      <c r="L3150" s="31" t="s">
        <v>202</v>
      </c>
      <c r="N3150" s="31" t="s">
        <v>220</v>
      </c>
      <c r="S3150" s="31" t="s">
        <v>1406</v>
      </c>
    </row>
    <row r="3151">
      <c r="A3151" s="29">
        <v>45986.60034924769</v>
      </c>
      <c r="B3151" s="30">
        <v>45986.0</v>
      </c>
      <c r="C3151" s="31" t="s">
        <v>9482</v>
      </c>
      <c r="D3151" s="32" t="s">
        <v>9483</v>
      </c>
      <c r="E3151" s="31" t="s">
        <v>9484</v>
      </c>
      <c r="F3151" s="31">
        <v>7000000.0</v>
      </c>
      <c r="G3151" s="31" t="s">
        <v>23</v>
      </c>
      <c r="H3151" s="31">
        <v>7000000.0</v>
      </c>
      <c r="I3151" s="31" t="s">
        <v>200</v>
      </c>
      <c r="K3151" s="33" t="s">
        <v>9485</v>
      </c>
      <c r="L3151" s="31" t="s">
        <v>202</v>
      </c>
      <c r="M3151" s="31" t="s">
        <v>5638</v>
      </c>
      <c r="N3151" s="31" t="s">
        <v>220</v>
      </c>
      <c r="S3151" s="31" t="s">
        <v>1406</v>
      </c>
    </row>
    <row r="3152">
      <c r="A3152" s="29">
        <v>45986.60364835648</v>
      </c>
      <c r="B3152" s="30">
        <v>45986.0</v>
      </c>
      <c r="C3152" s="31" t="s">
        <v>9486</v>
      </c>
      <c r="D3152" s="32" t="s">
        <v>9487</v>
      </c>
      <c r="E3152" s="31" t="s">
        <v>43</v>
      </c>
      <c r="F3152" s="31">
        <v>3200000.0</v>
      </c>
      <c r="G3152" s="31" t="s">
        <v>23</v>
      </c>
      <c r="I3152" s="31" t="s">
        <v>229</v>
      </c>
      <c r="J3152" s="31" t="s">
        <v>967</v>
      </c>
      <c r="K3152" s="33" t="s">
        <v>9488</v>
      </c>
      <c r="L3152" s="31" t="s">
        <v>252</v>
      </c>
      <c r="O3152" s="31" t="s">
        <v>205</v>
      </c>
      <c r="X3152" s="31" t="s">
        <v>2335</v>
      </c>
    </row>
    <row r="3153">
      <c r="A3153" s="29">
        <v>45986.63517892361</v>
      </c>
      <c r="B3153" s="30">
        <v>45986.0</v>
      </c>
      <c r="C3153" s="31" t="s">
        <v>9489</v>
      </c>
      <c r="D3153" s="32" t="s">
        <v>9490</v>
      </c>
      <c r="E3153" s="31" t="s">
        <v>43</v>
      </c>
      <c r="F3153" s="31">
        <v>4000000.0</v>
      </c>
      <c r="G3153" s="31" t="s">
        <v>45</v>
      </c>
      <c r="H3153" s="31">
        <v>3000000.0</v>
      </c>
      <c r="I3153" s="31" t="s">
        <v>413</v>
      </c>
      <c r="K3153" s="33" t="s">
        <v>9491</v>
      </c>
      <c r="L3153" s="31" t="s">
        <v>252</v>
      </c>
      <c r="M3153" s="31" t="s">
        <v>5638</v>
      </c>
      <c r="O3153" s="31" t="s">
        <v>257</v>
      </c>
      <c r="P3153" s="31" t="s">
        <v>272</v>
      </c>
    </row>
    <row r="3154">
      <c r="A3154" s="29">
        <v>45986.63744168982</v>
      </c>
      <c r="B3154" s="30">
        <v>45986.0</v>
      </c>
      <c r="C3154" s="31" t="s">
        <v>9492</v>
      </c>
      <c r="D3154" s="32" t="s">
        <v>9493</v>
      </c>
      <c r="E3154" s="31" t="s">
        <v>9494</v>
      </c>
      <c r="F3154" s="31">
        <v>6000000.0</v>
      </c>
      <c r="G3154" s="31" t="s">
        <v>23</v>
      </c>
      <c r="I3154" s="31" t="s">
        <v>229</v>
      </c>
      <c r="J3154" s="31" t="s">
        <v>967</v>
      </c>
      <c r="K3154" s="33" t="s">
        <v>9495</v>
      </c>
      <c r="L3154" s="31" t="s">
        <v>252</v>
      </c>
      <c r="O3154" s="31" t="s">
        <v>257</v>
      </c>
      <c r="P3154" s="31" t="s">
        <v>272</v>
      </c>
    </row>
    <row r="3155">
      <c r="A3155" s="29">
        <v>45986.65479565972</v>
      </c>
      <c r="B3155" s="30">
        <v>45986.0</v>
      </c>
      <c r="C3155" s="31" t="s">
        <v>9496</v>
      </c>
      <c r="D3155" s="32" t="s">
        <v>4253</v>
      </c>
      <c r="E3155" s="31" t="s">
        <v>43</v>
      </c>
      <c r="F3155" s="31">
        <v>3500000.0</v>
      </c>
      <c r="G3155" s="31" t="s">
        <v>23</v>
      </c>
      <c r="I3155" s="31" t="s">
        <v>229</v>
      </c>
      <c r="J3155" s="31" t="s">
        <v>967</v>
      </c>
      <c r="K3155" s="33" t="s">
        <v>9497</v>
      </c>
      <c r="L3155" s="31" t="s">
        <v>252</v>
      </c>
      <c r="O3155" s="31" t="s">
        <v>257</v>
      </c>
      <c r="P3155" s="31" t="s">
        <v>206</v>
      </c>
    </row>
    <row r="3156">
      <c r="A3156" s="29">
        <v>45986.66125145833</v>
      </c>
      <c r="B3156" s="30">
        <v>45986.0</v>
      </c>
      <c r="C3156" s="31" t="s">
        <v>9498</v>
      </c>
      <c r="D3156" s="32" t="s">
        <v>9356</v>
      </c>
      <c r="E3156" s="31" t="s">
        <v>43</v>
      </c>
      <c r="F3156" s="31">
        <v>2500000.0</v>
      </c>
      <c r="G3156" s="31" t="s">
        <v>23</v>
      </c>
      <c r="H3156" s="31">
        <v>3000000.0</v>
      </c>
      <c r="I3156" s="31" t="s">
        <v>200</v>
      </c>
      <c r="K3156" s="33" t="s">
        <v>9499</v>
      </c>
      <c r="L3156" s="31" t="s">
        <v>202</v>
      </c>
      <c r="M3156" s="31" t="s">
        <v>203</v>
      </c>
      <c r="N3156" s="31" t="s">
        <v>215</v>
      </c>
      <c r="W3156" s="31" t="s">
        <v>216</v>
      </c>
    </row>
    <row r="3157">
      <c r="A3157" s="29">
        <v>45986.66457363426</v>
      </c>
      <c r="B3157" s="30">
        <v>45986.0</v>
      </c>
      <c r="C3157" s="31" t="s">
        <v>9500</v>
      </c>
      <c r="D3157" s="32" t="s">
        <v>9501</v>
      </c>
      <c r="E3157" s="31" t="s">
        <v>43</v>
      </c>
      <c r="F3157" s="31">
        <v>2000000.0</v>
      </c>
      <c r="G3157" s="31" t="s">
        <v>23</v>
      </c>
      <c r="H3157" s="31">
        <v>1600000.0</v>
      </c>
      <c r="I3157" s="31" t="s">
        <v>413</v>
      </c>
      <c r="K3157" s="33" t="s">
        <v>9502</v>
      </c>
      <c r="L3157" s="31" t="s">
        <v>202</v>
      </c>
      <c r="M3157" s="31" t="s">
        <v>5638</v>
      </c>
      <c r="N3157" s="31" t="s">
        <v>871</v>
      </c>
      <c r="Q3157" s="31" t="s">
        <v>1021</v>
      </c>
    </row>
    <row r="3158">
      <c r="A3158" s="29">
        <v>45986.664743368055</v>
      </c>
      <c r="B3158" s="30">
        <v>45986.0</v>
      </c>
      <c r="C3158" s="31" t="s">
        <v>9503</v>
      </c>
      <c r="D3158" s="32" t="s">
        <v>9504</v>
      </c>
      <c r="E3158" s="31" t="s">
        <v>335</v>
      </c>
      <c r="F3158" s="31">
        <v>2500000.0</v>
      </c>
      <c r="G3158" s="31" t="s">
        <v>23</v>
      </c>
      <c r="H3158" s="31">
        <v>3000000.0</v>
      </c>
      <c r="I3158" s="31" t="s">
        <v>200</v>
      </c>
      <c r="K3158" s="33" t="s">
        <v>9505</v>
      </c>
      <c r="L3158" s="31" t="s">
        <v>252</v>
      </c>
      <c r="M3158" s="31" t="s">
        <v>5638</v>
      </c>
      <c r="O3158" s="31" t="s">
        <v>257</v>
      </c>
      <c r="P3158" s="31" t="s">
        <v>2453</v>
      </c>
    </row>
    <row r="3159">
      <c r="A3159" s="29">
        <v>45986.68305842593</v>
      </c>
      <c r="B3159" s="30">
        <v>45986.0</v>
      </c>
      <c r="C3159" s="31" t="s">
        <v>9506</v>
      </c>
      <c r="D3159" s="31">
        <v>0.0</v>
      </c>
      <c r="E3159" s="31" t="s">
        <v>43</v>
      </c>
      <c r="F3159" s="32" t="s">
        <v>5089</v>
      </c>
      <c r="G3159" s="31" t="s">
        <v>23</v>
      </c>
      <c r="I3159" s="31" t="s">
        <v>229</v>
      </c>
      <c r="J3159" s="31" t="s">
        <v>967</v>
      </c>
      <c r="K3159" s="33" t="s">
        <v>9507</v>
      </c>
      <c r="L3159" s="31" t="s">
        <v>252</v>
      </c>
      <c r="O3159" s="31" t="s">
        <v>257</v>
      </c>
      <c r="P3159" s="31" t="s">
        <v>992</v>
      </c>
    </row>
    <row r="3160">
      <c r="A3160" s="29">
        <v>45986.69020082176</v>
      </c>
      <c r="B3160" s="30">
        <v>45986.0</v>
      </c>
      <c r="C3160" s="31" t="s">
        <v>9508</v>
      </c>
      <c r="D3160" s="32" t="s">
        <v>5416</v>
      </c>
      <c r="E3160" s="31" t="s">
        <v>228</v>
      </c>
      <c r="F3160" s="31">
        <v>2500000.0</v>
      </c>
      <c r="G3160" s="31" t="s">
        <v>23</v>
      </c>
      <c r="H3160" s="31">
        <v>3000000.0</v>
      </c>
      <c r="I3160" s="31" t="s">
        <v>200</v>
      </c>
      <c r="K3160" s="33" t="s">
        <v>9509</v>
      </c>
      <c r="L3160" s="31" t="s">
        <v>202</v>
      </c>
      <c r="M3160" s="31" t="s">
        <v>5638</v>
      </c>
      <c r="N3160" s="31" t="s">
        <v>204</v>
      </c>
      <c r="R3160" s="31" t="s">
        <v>360</v>
      </c>
    </row>
    <row r="3161">
      <c r="A3161" s="29">
        <v>45986.75057068287</v>
      </c>
      <c r="B3161" s="30">
        <v>45986.0</v>
      </c>
      <c r="C3161" s="31" t="s">
        <v>9510</v>
      </c>
      <c r="D3161" s="32" t="s">
        <v>9511</v>
      </c>
      <c r="E3161" s="31" t="s">
        <v>43</v>
      </c>
      <c r="F3161" s="31">
        <v>3500000.0</v>
      </c>
      <c r="G3161" s="31" t="s">
        <v>23</v>
      </c>
      <c r="I3161" s="31" t="s">
        <v>229</v>
      </c>
      <c r="J3161" s="31" t="s">
        <v>967</v>
      </c>
      <c r="K3161" s="33" t="s">
        <v>9512</v>
      </c>
      <c r="L3161" s="31" t="s">
        <v>202</v>
      </c>
      <c r="N3161" s="31" t="s">
        <v>204</v>
      </c>
      <c r="R3161" s="31" t="s">
        <v>98</v>
      </c>
    </row>
    <row r="3162">
      <c r="A3162" s="29">
        <v>45986.750611678246</v>
      </c>
      <c r="B3162" s="30">
        <v>45986.0</v>
      </c>
      <c r="C3162" s="31" t="s">
        <v>9513</v>
      </c>
      <c r="D3162" s="31">
        <v>0.0</v>
      </c>
      <c r="E3162" s="31" t="s">
        <v>228</v>
      </c>
      <c r="F3162" s="31">
        <v>1600000.0</v>
      </c>
      <c r="G3162" s="31" t="s">
        <v>23</v>
      </c>
      <c r="I3162" s="31" t="s">
        <v>229</v>
      </c>
      <c r="J3162" s="31" t="s">
        <v>967</v>
      </c>
      <c r="K3162" s="33" t="s">
        <v>9514</v>
      </c>
      <c r="L3162" s="31" t="s">
        <v>252</v>
      </c>
      <c r="O3162" s="31" t="s">
        <v>257</v>
      </c>
      <c r="P3162" s="31" t="s">
        <v>2320</v>
      </c>
    </row>
    <row r="3163">
      <c r="A3163" s="29">
        <v>45986.76973671296</v>
      </c>
      <c r="B3163" s="30">
        <v>45986.0</v>
      </c>
      <c r="C3163" s="31" t="s">
        <v>9515</v>
      </c>
      <c r="D3163" s="32" t="s">
        <v>9516</v>
      </c>
      <c r="E3163" s="31" t="s">
        <v>199</v>
      </c>
      <c r="F3163" s="31">
        <v>3000000.0</v>
      </c>
      <c r="G3163" s="31" t="s">
        <v>45</v>
      </c>
      <c r="H3163" s="31">
        <v>5000000.0</v>
      </c>
      <c r="I3163" s="31" t="s">
        <v>200</v>
      </c>
      <c r="K3163" s="33" t="s">
        <v>9517</v>
      </c>
      <c r="L3163" s="31" t="s">
        <v>252</v>
      </c>
      <c r="M3163" s="31" t="s">
        <v>203</v>
      </c>
      <c r="O3163" s="31" t="s">
        <v>205</v>
      </c>
      <c r="X3163" s="31" t="s">
        <v>253</v>
      </c>
    </row>
    <row r="3164">
      <c r="A3164" s="29">
        <v>45986.77231681713</v>
      </c>
      <c r="B3164" s="30">
        <v>45986.0</v>
      </c>
      <c r="C3164" s="31" t="s">
        <v>9518</v>
      </c>
      <c r="D3164" s="32" t="s">
        <v>9519</v>
      </c>
      <c r="E3164" s="31" t="s">
        <v>43</v>
      </c>
      <c r="F3164" s="31">
        <v>2500000.0</v>
      </c>
      <c r="G3164" s="31" t="s">
        <v>23</v>
      </c>
      <c r="I3164" s="31" t="s">
        <v>229</v>
      </c>
      <c r="J3164" s="31" t="s">
        <v>967</v>
      </c>
      <c r="K3164" s="33" t="s">
        <v>9520</v>
      </c>
      <c r="L3164" s="31" t="s">
        <v>252</v>
      </c>
      <c r="O3164" s="31" t="s">
        <v>257</v>
      </c>
      <c r="P3164" s="31" t="s">
        <v>2453</v>
      </c>
    </row>
    <row r="3165">
      <c r="A3165" s="29">
        <v>45986.7761953588</v>
      </c>
      <c r="B3165" s="30">
        <v>45986.0</v>
      </c>
      <c r="C3165" s="31" t="s">
        <v>9521</v>
      </c>
      <c r="D3165" s="32" t="s">
        <v>9522</v>
      </c>
      <c r="E3165" s="31" t="s">
        <v>31</v>
      </c>
      <c r="F3165" s="31">
        <v>3300000.0</v>
      </c>
      <c r="G3165" s="31" t="s">
        <v>23</v>
      </c>
      <c r="H3165" s="31">
        <v>3000000.0</v>
      </c>
      <c r="I3165" s="31" t="s">
        <v>200</v>
      </c>
      <c r="K3165" s="33" t="s">
        <v>9523</v>
      </c>
      <c r="L3165" s="31" t="s">
        <v>252</v>
      </c>
      <c r="M3165" s="31" t="s">
        <v>5638</v>
      </c>
      <c r="O3165" s="31" t="s">
        <v>205</v>
      </c>
      <c r="X3165" s="31" t="s">
        <v>569</v>
      </c>
    </row>
    <row r="3166">
      <c r="A3166" s="29">
        <v>45986.783624421296</v>
      </c>
      <c r="B3166" s="30">
        <v>45986.0</v>
      </c>
      <c r="C3166" s="31" t="s">
        <v>9524</v>
      </c>
      <c r="D3166" s="32" t="s">
        <v>9525</v>
      </c>
      <c r="E3166" s="31" t="s">
        <v>199</v>
      </c>
      <c r="F3166" s="31">
        <v>6100000.0</v>
      </c>
      <c r="G3166" s="31" t="s">
        <v>23</v>
      </c>
      <c r="I3166" s="31" t="s">
        <v>229</v>
      </c>
      <c r="J3166" s="31" t="s">
        <v>967</v>
      </c>
      <c r="K3166" s="33" t="s">
        <v>9526</v>
      </c>
      <c r="L3166" s="31" t="s">
        <v>252</v>
      </c>
      <c r="O3166" s="31" t="s">
        <v>205</v>
      </c>
      <c r="X3166" s="31" t="s">
        <v>716</v>
      </c>
    </row>
    <row r="3167">
      <c r="A3167" s="29">
        <v>45986.80443266204</v>
      </c>
      <c r="B3167" s="30">
        <v>45986.0</v>
      </c>
      <c r="C3167" s="31" t="s">
        <v>9527</v>
      </c>
      <c r="D3167" s="31" t="s">
        <v>9528</v>
      </c>
      <c r="E3167" s="31" t="s">
        <v>228</v>
      </c>
      <c r="F3167" s="31">
        <v>3000000.0</v>
      </c>
      <c r="G3167" s="31" t="s">
        <v>23</v>
      </c>
      <c r="I3167" s="31" t="s">
        <v>229</v>
      </c>
      <c r="J3167" s="31" t="s">
        <v>967</v>
      </c>
      <c r="K3167" s="33" t="s">
        <v>9529</v>
      </c>
      <c r="L3167" s="31" t="s">
        <v>202</v>
      </c>
      <c r="N3167" s="31" t="s">
        <v>204</v>
      </c>
      <c r="R3167" s="31" t="s">
        <v>892</v>
      </c>
    </row>
    <row r="3168">
      <c r="A3168" s="29">
        <v>45986.830605324074</v>
      </c>
      <c r="B3168" s="30">
        <v>45986.0</v>
      </c>
      <c r="C3168" s="31" t="s">
        <v>9530</v>
      </c>
      <c r="D3168" s="32" t="s">
        <v>9531</v>
      </c>
      <c r="E3168" s="31" t="s">
        <v>2902</v>
      </c>
      <c r="F3168" s="31">
        <v>5400000.0</v>
      </c>
      <c r="G3168" s="31" t="s">
        <v>23</v>
      </c>
      <c r="H3168" s="31">
        <v>3000000.0</v>
      </c>
      <c r="I3168" s="31" t="s">
        <v>200</v>
      </c>
      <c r="K3168" s="33" t="s">
        <v>9532</v>
      </c>
      <c r="L3168" s="31" t="s">
        <v>202</v>
      </c>
      <c r="M3168" s="31" t="s">
        <v>5638</v>
      </c>
      <c r="N3168" s="31" t="s">
        <v>220</v>
      </c>
      <c r="S3168" s="31" t="s">
        <v>36</v>
      </c>
    </row>
    <row r="3169">
      <c r="A3169" s="29">
        <v>45986.83357202546</v>
      </c>
      <c r="B3169" s="30">
        <v>45986.0</v>
      </c>
      <c r="C3169" s="31" t="s">
        <v>9533</v>
      </c>
      <c r="D3169" s="32" t="s">
        <v>9534</v>
      </c>
      <c r="E3169" s="31" t="s">
        <v>43</v>
      </c>
      <c r="F3169" s="31">
        <v>4000000.0</v>
      </c>
      <c r="G3169" s="31" t="s">
        <v>23</v>
      </c>
      <c r="I3169" s="31" t="s">
        <v>229</v>
      </c>
      <c r="J3169" s="31" t="s">
        <v>967</v>
      </c>
      <c r="K3169" s="33" t="s">
        <v>9535</v>
      </c>
      <c r="L3169" s="31" t="s">
        <v>202</v>
      </c>
      <c r="N3169" s="31" t="s">
        <v>204</v>
      </c>
      <c r="R3169" s="31" t="s">
        <v>5256</v>
      </c>
    </row>
    <row r="3170">
      <c r="A3170" s="29">
        <v>45986.836721493055</v>
      </c>
      <c r="B3170" s="30">
        <v>45986.0</v>
      </c>
      <c r="C3170" s="31" t="s">
        <v>9536</v>
      </c>
      <c r="D3170" s="32" t="s">
        <v>9537</v>
      </c>
      <c r="E3170" s="31" t="s">
        <v>43</v>
      </c>
      <c r="F3170" s="31">
        <v>3500000.0</v>
      </c>
      <c r="G3170" s="31" t="s">
        <v>23</v>
      </c>
      <c r="I3170" s="31" t="s">
        <v>229</v>
      </c>
      <c r="J3170" s="31" t="s">
        <v>967</v>
      </c>
      <c r="K3170" s="33" t="s">
        <v>9538</v>
      </c>
      <c r="L3170" s="31" t="s">
        <v>202</v>
      </c>
      <c r="N3170" s="31" t="s">
        <v>204</v>
      </c>
      <c r="R3170" s="31" t="s">
        <v>5256</v>
      </c>
    </row>
    <row r="3171">
      <c r="A3171" s="29">
        <v>45986.84168484954</v>
      </c>
      <c r="B3171" s="30">
        <v>45986.0</v>
      </c>
      <c r="C3171" s="31" t="s">
        <v>9539</v>
      </c>
      <c r="D3171" s="32" t="s">
        <v>9451</v>
      </c>
      <c r="E3171" s="31" t="s">
        <v>43</v>
      </c>
      <c r="F3171" s="31">
        <v>8000000.0</v>
      </c>
      <c r="G3171" s="31" t="s">
        <v>23</v>
      </c>
      <c r="H3171" s="31">
        <v>1.2E7</v>
      </c>
      <c r="I3171" s="31" t="s">
        <v>413</v>
      </c>
      <c r="K3171" s="33" t="s">
        <v>9540</v>
      </c>
      <c r="L3171" s="31" t="s">
        <v>202</v>
      </c>
      <c r="M3171" s="31" t="s">
        <v>605</v>
      </c>
      <c r="N3171" s="31" t="s">
        <v>220</v>
      </c>
      <c r="S3171" s="31" t="s">
        <v>466</v>
      </c>
    </row>
    <row r="3172">
      <c r="A3172" s="29">
        <v>45986.84467225695</v>
      </c>
      <c r="B3172" s="30">
        <v>45986.0</v>
      </c>
      <c r="C3172" s="31" t="s">
        <v>9541</v>
      </c>
      <c r="D3172" s="32" t="s">
        <v>9542</v>
      </c>
      <c r="E3172" s="31" t="s">
        <v>228</v>
      </c>
      <c r="F3172" s="31">
        <v>3400000.0</v>
      </c>
      <c r="G3172" s="31" t="s">
        <v>23</v>
      </c>
      <c r="I3172" s="31" t="s">
        <v>229</v>
      </c>
      <c r="J3172" s="31" t="s">
        <v>967</v>
      </c>
      <c r="K3172" s="33" t="s">
        <v>9543</v>
      </c>
      <c r="L3172" s="31" t="s">
        <v>202</v>
      </c>
      <c r="N3172" s="31" t="s">
        <v>204</v>
      </c>
      <c r="R3172" s="31" t="s">
        <v>148</v>
      </c>
    </row>
    <row r="3173">
      <c r="A3173" s="29">
        <v>45986.85615466435</v>
      </c>
      <c r="B3173" s="30">
        <v>45986.0</v>
      </c>
      <c r="C3173" s="31" t="s">
        <v>9544</v>
      </c>
      <c r="D3173" s="32" t="s">
        <v>9545</v>
      </c>
      <c r="E3173" s="31" t="s">
        <v>43</v>
      </c>
      <c r="F3173" s="31">
        <v>1000000.0</v>
      </c>
      <c r="G3173" s="31" t="s">
        <v>23</v>
      </c>
      <c r="I3173" s="31" t="s">
        <v>229</v>
      </c>
      <c r="J3173" s="31" t="s">
        <v>967</v>
      </c>
      <c r="K3173" s="33" t="s">
        <v>9546</v>
      </c>
      <c r="L3173" s="31" t="s">
        <v>252</v>
      </c>
      <c r="O3173" s="31" t="s">
        <v>205</v>
      </c>
      <c r="X3173" s="31" t="s">
        <v>549</v>
      </c>
    </row>
    <row r="3174">
      <c r="A3174" s="29">
        <v>45986.86179851852</v>
      </c>
      <c r="B3174" s="30">
        <v>45986.0</v>
      </c>
      <c r="C3174" s="31" t="s">
        <v>9547</v>
      </c>
      <c r="D3174" s="32" t="s">
        <v>9548</v>
      </c>
      <c r="E3174" s="31" t="s">
        <v>43</v>
      </c>
      <c r="F3174" s="31">
        <v>7000000.0</v>
      </c>
      <c r="G3174" s="31" t="s">
        <v>45</v>
      </c>
      <c r="H3174" s="31">
        <v>7000000.0</v>
      </c>
      <c r="I3174" s="31" t="s">
        <v>200</v>
      </c>
      <c r="K3174" s="33" t="s">
        <v>9549</v>
      </c>
      <c r="L3174" s="31" t="s">
        <v>252</v>
      </c>
      <c r="M3174" s="31" t="s">
        <v>605</v>
      </c>
      <c r="O3174" s="31" t="s">
        <v>257</v>
      </c>
      <c r="P3174" s="31" t="s">
        <v>272</v>
      </c>
    </row>
    <row r="3175">
      <c r="A3175" s="29">
        <v>45986.87489533565</v>
      </c>
      <c r="B3175" s="30">
        <v>45986.0</v>
      </c>
      <c r="C3175" s="31" t="s">
        <v>9550</v>
      </c>
      <c r="D3175" s="32" t="s">
        <v>9551</v>
      </c>
      <c r="E3175" s="31" t="s">
        <v>1166</v>
      </c>
      <c r="F3175" s="31">
        <v>6000000.0</v>
      </c>
      <c r="G3175" s="31" t="s">
        <v>23</v>
      </c>
      <c r="I3175" s="31" t="s">
        <v>229</v>
      </c>
      <c r="J3175" s="31" t="s">
        <v>967</v>
      </c>
      <c r="K3175" s="33" t="s">
        <v>9552</v>
      </c>
      <c r="L3175" s="31" t="s">
        <v>202</v>
      </c>
      <c r="N3175" s="31" t="s">
        <v>220</v>
      </c>
      <c r="S3175" s="31" t="s">
        <v>536</v>
      </c>
    </row>
    <row r="3176">
      <c r="A3176" s="29">
        <v>45986.87628056713</v>
      </c>
      <c r="B3176" s="30">
        <v>45986.0</v>
      </c>
      <c r="C3176" s="31" t="s">
        <v>9553</v>
      </c>
      <c r="D3176" s="32" t="s">
        <v>9554</v>
      </c>
      <c r="E3176" s="31" t="s">
        <v>7451</v>
      </c>
      <c r="F3176" s="31">
        <v>8000000.0</v>
      </c>
      <c r="G3176" s="31" t="s">
        <v>23</v>
      </c>
      <c r="I3176" s="31" t="s">
        <v>229</v>
      </c>
      <c r="J3176" s="31" t="s">
        <v>967</v>
      </c>
      <c r="K3176" s="33" t="s">
        <v>9555</v>
      </c>
      <c r="L3176" s="31" t="s">
        <v>202</v>
      </c>
      <c r="N3176" s="31" t="s">
        <v>220</v>
      </c>
      <c r="S3176" s="31" t="s">
        <v>536</v>
      </c>
    </row>
    <row r="3177">
      <c r="A3177" s="29">
        <v>45986.889648888886</v>
      </c>
      <c r="B3177" s="30">
        <v>45986.0</v>
      </c>
      <c r="C3177" s="31" t="s">
        <v>9556</v>
      </c>
      <c r="D3177" s="32" t="s">
        <v>3714</v>
      </c>
      <c r="E3177" s="31" t="s">
        <v>9557</v>
      </c>
      <c r="F3177" s="31">
        <v>2000000.0</v>
      </c>
      <c r="G3177" s="31" t="s">
        <v>23</v>
      </c>
      <c r="I3177" s="31" t="s">
        <v>229</v>
      </c>
      <c r="J3177" s="31" t="s">
        <v>165</v>
      </c>
      <c r="K3177" s="33" t="s">
        <v>9558</v>
      </c>
      <c r="L3177" s="31" t="s">
        <v>202</v>
      </c>
      <c r="N3177" s="31" t="s">
        <v>215</v>
      </c>
      <c r="W3177" s="31" t="s">
        <v>532</v>
      </c>
    </row>
    <row r="3178">
      <c r="A3178" s="29">
        <v>45986.90299430555</v>
      </c>
      <c r="B3178" s="30">
        <v>45986.0</v>
      </c>
      <c r="C3178" s="31" t="s">
        <v>9559</v>
      </c>
      <c r="D3178" s="32" t="s">
        <v>9560</v>
      </c>
      <c r="E3178" s="31" t="s">
        <v>31</v>
      </c>
      <c r="F3178" s="31">
        <v>5200000.0</v>
      </c>
      <c r="G3178" s="31" t="s">
        <v>23</v>
      </c>
      <c r="I3178" s="31" t="s">
        <v>229</v>
      </c>
      <c r="J3178" s="31" t="s">
        <v>967</v>
      </c>
      <c r="K3178" s="33" t="s">
        <v>9561</v>
      </c>
      <c r="L3178" s="31" t="s">
        <v>202</v>
      </c>
      <c r="N3178" s="31" t="s">
        <v>204</v>
      </c>
      <c r="R3178" s="31" t="s">
        <v>53</v>
      </c>
    </row>
    <row r="3179">
      <c r="A3179" s="29">
        <v>45987.42789577546</v>
      </c>
      <c r="B3179" s="30">
        <v>45987.0</v>
      </c>
      <c r="C3179" s="31" t="s">
        <v>9562</v>
      </c>
      <c r="D3179" s="32" t="s">
        <v>9563</v>
      </c>
      <c r="E3179" s="31" t="s">
        <v>409</v>
      </c>
      <c r="F3179" s="31">
        <v>1.15E7</v>
      </c>
      <c r="G3179" s="31" t="s">
        <v>23</v>
      </c>
      <c r="I3179" s="31" t="s">
        <v>229</v>
      </c>
      <c r="J3179" s="31" t="s">
        <v>967</v>
      </c>
      <c r="K3179" s="33" t="s">
        <v>9564</v>
      </c>
      <c r="L3179" s="31" t="s">
        <v>202</v>
      </c>
      <c r="N3179" s="31" t="s">
        <v>500</v>
      </c>
      <c r="V3179" s="31" t="s">
        <v>7537</v>
      </c>
    </row>
    <row r="3180">
      <c r="A3180" s="29">
        <v>45987.43881037037</v>
      </c>
      <c r="B3180" s="30">
        <v>45987.0</v>
      </c>
      <c r="C3180" s="31" t="s">
        <v>9565</v>
      </c>
      <c r="D3180" s="32" t="s">
        <v>9391</v>
      </c>
      <c r="E3180" s="31" t="s">
        <v>43</v>
      </c>
      <c r="F3180" s="31">
        <v>5200000.0</v>
      </c>
      <c r="G3180" s="31" t="s">
        <v>23</v>
      </c>
      <c r="I3180" s="31" t="s">
        <v>229</v>
      </c>
      <c r="J3180" s="31" t="s">
        <v>967</v>
      </c>
      <c r="K3180" s="33" t="s">
        <v>9566</v>
      </c>
      <c r="L3180" s="31" t="s">
        <v>252</v>
      </c>
      <c r="O3180" s="31" t="s">
        <v>205</v>
      </c>
      <c r="X3180" s="31" t="s">
        <v>716</v>
      </c>
    </row>
    <row r="3181">
      <c r="A3181" s="29">
        <v>45987.45603800926</v>
      </c>
      <c r="B3181" s="30">
        <v>45987.0</v>
      </c>
      <c r="C3181" s="31" t="s">
        <v>9567</v>
      </c>
      <c r="D3181" s="32" t="s">
        <v>9568</v>
      </c>
      <c r="E3181" s="31" t="s">
        <v>43</v>
      </c>
      <c r="F3181" s="31">
        <v>5000000.0</v>
      </c>
      <c r="G3181" s="31" t="s">
        <v>23</v>
      </c>
      <c r="I3181" s="31" t="s">
        <v>229</v>
      </c>
      <c r="J3181" s="31" t="s">
        <v>967</v>
      </c>
      <c r="K3181" s="33" t="s">
        <v>9569</v>
      </c>
      <c r="L3181" s="31" t="s">
        <v>252</v>
      </c>
      <c r="O3181" s="31" t="s">
        <v>205</v>
      </c>
      <c r="X3181" s="31" t="s">
        <v>1471</v>
      </c>
    </row>
    <row r="3182">
      <c r="A3182" s="29">
        <v>45987.466236064814</v>
      </c>
      <c r="B3182" s="30">
        <v>45987.0</v>
      </c>
      <c r="C3182" s="31" t="s">
        <v>9570</v>
      </c>
      <c r="D3182" s="32" t="s">
        <v>9571</v>
      </c>
      <c r="E3182" s="31" t="s">
        <v>31</v>
      </c>
      <c r="F3182" s="31">
        <v>9600000.0</v>
      </c>
      <c r="G3182" s="31" t="s">
        <v>23</v>
      </c>
      <c r="I3182" s="31" t="s">
        <v>229</v>
      </c>
      <c r="J3182" s="31" t="s">
        <v>165</v>
      </c>
      <c r="K3182" s="33" t="s">
        <v>9572</v>
      </c>
      <c r="L3182" s="31" t="s">
        <v>202</v>
      </c>
      <c r="N3182" s="31" t="s">
        <v>667</v>
      </c>
      <c r="U3182" s="31" t="s">
        <v>668</v>
      </c>
    </row>
    <row r="3183">
      <c r="A3183" s="29">
        <v>45987.486033761576</v>
      </c>
      <c r="B3183" s="30">
        <v>45987.0</v>
      </c>
      <c r="C3183" s="31" t="s">
        <v>9573</v>
      </c>
      <c r="D3183" s="32" t="s">
        <v>9574</v>
      </c>
      <c r="E3183" s="31" t="s">
        <v>43</v>
      </c>
      <c r="F3183" s="31">
        <v>7000000.0</v>
      </c>
      <c r="G3183" s="31" t="s">
        <v>23</v>
      </c>
      <c r="H3183" s="31">
        <v>3000000.0</v>
      </c>
      <c r="I3183" s="31" t="s">
        <v>200</v>
      </c>
      <c r="K3183" s="33" t="s">
        <v>9575</v>
      </c>
      <c r="L3183" s="31" t="s">
        <v>252</v>
      </c>
      <c r="M3183" s="31" t="s">
        <v>5638</v>
      </c>
      <c r="O3183" s="31" t="s">
        <v>205</v>
      </c>
      <c r="X3183" s="31" t="s">
        <v>9016</v>
      </c>
    </row>
    <row r="3184">
      <c r="A3184" s="29">
        <v>45987.48929370371</v>
      </c>
      <c r="B3184" s="30">
        <v>45987.0</v>
      </c>
      <c r="C3184" s="31" t="s">
        <v>9576</v>
      </c>
      <c r="D3184" s="32" t="s">
        <v>9577</v>
      </c>
      <c r="E3184" s="31" t="s">
        <v>199</v>
      </c>
      <c r="F3184" s="31">
        <v>9000000.0</v>
      </c>
      <c r="G3184" s="31" t="s">
        <v>23</v>
      </c>
      <c r="H3184" s="31">
        <v>3000000.0</v>
      </c>
      <c r="I3184" s="31" t="s">
        <v>200</v>
      </c>
      <c r="K3184" s="33" t="s">
        <v>9578</v>
      </c>
      <c r="L3184" s="31" t="s">
        <v>252</v>
      </c>
      <c r="M3184" s="31" t="s">
        <v>5638</v>
      </c>
      <c r="O3184" s="31" t="s">
        <v>257</v>
      </c>
      <c r="P3184" s="31" t="s">
        <v>258</v>
      </c>
    </row>
    <row r="3185">
      <c r="A3185" s="29">
        <v>45987.504633969904</v>
      </c>
      <c r="B3185" s="30">
        <v>45987.0</v>
      </c>
      <c r="C3185" s="31" t="s">
        <v>9579</v>
      </c>
      <c r="D3185" s="32" t="s">
        <v>9580</v>
      </c>
      <c r="E3185" s="31" t="s">
        <v>31</v>
      </c>
      <c r="F3185" s="31">
        <v>1.27E7</v>
      </c>
      <c r="G3185" s="31" t="s">
        <v>23</v>
      </c>
      <c r="I3185" s="31" t="s">
        <v>229</v>
      </c>
      <c r="J3185" s="31" t="s">
        <v>967</v>
      </c>
      <c r="K3185" s="33" t="s">
        <v>9581</v>
      </c>
      <c r="L3185" s="31" t="s">
        <v>202</v>
      </c>
      <c r="N3185" s="31" t="s">
        <v>313</v>
      </c>
      <c r="T3185" s="31" t="s">
        <v>329</v>
      </c>
    </row>
    <row r="3186">
      <c r="A3186" s="29">
        <v>45987.50502008102</v>
      </c>
      <c r="B3186" s="30">
        <v>45987.0</v>
      </c>
      <c r="C3186" s="31" t="s">
        <v>9582</v>
      </c>
      <c r="D3186" s="32" t="s">
        <v>9583</v>
      </c>
      <c r="E3186" s="31" t="s">
        <v>43</v>
      </c>
      <c r="F3186" s="31">
        <v>2800000.0</v>
      </c>
      <c r="G3186" s="31" t="s">
        <v>23</v>
      </c>
      <c r="I3186" s="31" t="s">
        <v>229</v>
      </c>
      <c r="J3186" s="31" t="s">
        <v>967</v>
      </c>
      <c r="K3186" s="33" t="s">
        <v>9584</v>
      </c>
      <c r="L3186" s="31" t="s">
        <v>252</v>
      </c>
      <c r="O3186" s="31" t="s">
        <v>205</v>
      </c>
      <c r="X3186" s="31" t="s">
        <v>452</v>
      </c>
    </row>
    <row r="3187">
      <c r="A3187" s="29">
        <v>45987.52525189814</v>
      </c>
      <c r="B3187" s="30">
        <v>45987.0</v>
      </c>
      <c r="C3187" s="31" t="s">
        <v>9585</v>
      </c>
      <c r="D3187" s="32" t="s">
        <v>9586</v>
      </c>
      <c r="E3187" s="31" t="s">
        <v>9587</v>
      </c>
      <c r="F3187" s="31">
        <v>2100000.0</v>
      </c>
      <c r="G3187" s="31" t="s">
        <v>23</v>
      </c>
      <c r="I3187" s="31" t="s">
        <v>229</v>
      </c>
      <c r="J3187" s="31" t="s">
        <v>967</v>
      </c>
      <c r="K3187" s="33" t="s">
        <v>9588</v>
      </c>
      <c r="L3187" s="31" t="s">
        <v>202</v>
      </c>
      <c r="N3187" s="31" t="s">
        <v>871</v>
      </c>
      <c r="Q3187" s="31" t="s">
        <v>1021</v>
      </c>
    </row>
    <row r="3188">
      <c r="A3188" s="29">
        <v>45987.54673398148</v>
      </c>
      <c r="B3188" s="30">
        <v>45987.0</v>
      </c>
      <c r="C3188" s="31" t="s">
        <v>9589</v>
      </c>
      <c r="D3188" s="32" t="s">
        <v>9590</v>
      </c>
      <c r="E3188" s="31" t="s">
        <v>43</v>
      </c>
      <c r="F3188" s="31">
        <v>1.5E7</v>
      </c>
      <c r="G3188" s="31" t="s">
        <v>23</v>
      </c>
      <c r="I3188" s="31" t="s">
        <v>229</v>
      </c>
      <c r="J3188" s="31" t="s">
        <v>967</v>
      </c>
      <c r="K3188" s="33" t="s">
        <v>9591</v>
      </c>
      <c r="L3188" s="31" t="s">
        <v>252</v>
      </c>
      <c r="O3188" s="31" t="s">
        <v>205</v>
      </c>
      <c r="X3188" s="31" t="s">
        <v>9016</v>
      </c>
    </row>
    <row r="3189">
      <c r="A3189" s="29">
        <v>45987.54887297454</v>
      </c>
      <c r="B3189" s="30">
        <v>45987.0</v>
      </c>
      <c r="C3189" s="31" t="s">
        <v>9592</v>
      </c>
      <c r="D3189" s="31">
        <v>6.282146017516E12</v>
      </c>
      <c r="E3189" s="31" t="s">
        <v>288</v>
      </c>
      <c r="F3189" s="31">
        <v>150000.0</v>
      </c>
      <c r="G3189" s="31" t="s">
        <v>23</v>
      </c>
      <c r="I3189" s="31" t="s">
        <v>229</v>
      </c>
      <c r="J3189" s="31" t="s">
        <v>967</v>
      </c>
      <c r="K3189" s="33" t="s">
        <v>9593</v>
      </c>
      <c r="L3189" s="31" t="s">
        <v>202</v>
      </c>
      <c r="N3189" s="31" t="s">
        <v>204</v>
      </c>
      <c r="R3189" s="31" t="s">
        <v>360</v>
      </c>
    </row>
    <row r="3190">
      <c r="A3190" s="29">
        <v>45987.55868853009</v>
      </c>
      <c r="B3190" s="30">
        <v>45987.0</v>
      </c>
      <c r="C3190" s="31" t="s">
        <v>9594</v>
      </c>
      <c r="D3190" s="32" t="s">
        <v>9595</v>
      </c>
      <c r="E3190" s="31" t="s">
        <v>288</v>
      </c>
      <c r="F3190" s="31">
        <v>7000000.0</v>
      </c>
      <c r="G3190" s="31" t="s">
        <v>45</v>
      </c>
      <c r="H3190" s="31">
        <v>3000000.0</v>
      </c>
      <c r="I3190" s="31" t="s">
        <v>413</v>
      </c>
      <c r="K3190" s="33" t="s">
        <v>9596</v>
      </c>
      <c r="L3190" s="31" t="s">
        <v>252</v>
      </c>
      <c r="M3190" s="31" t="s">
        <v>5638</v>
      </c>
      <c r="O3190" s="31" t="s">
        <v>257</v>
      </c>
      <c r="P3190" s="31" t="s">
        <v>285</v>
      </c>
    </row>
    <row r="3191">
      <c r="A3191" s="29">
        <v>45987.56148527778</v>
      </c>
      <c r="B3191" s="30">
        <v>45987.0</v>
      </c>
      <c r="C3191" s="31" t="s">
        <v>9597</v>
      </c>
      <c r="D3191" s="32" t="s">
        <v>9598</v>
      </c>
      <c r="E3191" s="31" t="s">
        <v>9587</v>
      </c>
      <c r="F3191" s="31">
        <v>2000000.0</v>
      </c>
      <c r="G3191" s="31" t="s">
        <v>23</v>
      </c>
      <c r="I3191" s="31" t="s">
        <v>229</v>
      </c>
      <c r="J3191" s="31" t="s">
        <v>967</v>
      </c>
      <c r="K3191" s="33" t="s">
        <v>9599</v>
      </c>
      <c r="L3191" s="31" t="s">
        <v>202</v>
      </c>
      <c r="N3191" s="31" t="s">
        <v>871</v>
      </c>
      <c r="Q3191" s="31" t="s">
        <v>1021</v>
      </c>
    </row>
    <row r="3192">
      <c r="A3192" s="29">
        <v>45987.60642315973</v>
      </c>
      <c r="B3192" s="30">
        <v>45987.0</v>
      </c>
      <c r="C3192" s="31" t="s">
        <v>9600</v>
      </c>
      <c r="D3192" s="32" t="s">
        <v>9601</v>
      </c>
      <c r="E3192" s="31" t="s">
        <v>199</v>
      </c>
      <c r="F3192" s="31">
        <v>7000000.0</v>
      </c>
      <c r="G3192" s="31" t="s">
        <v>23</v>
      </c>
      <c r="H3192" s="31">
        <v>5000000.0</v>
      </c>
      <c r="I3192" s="31" t="s">
        <v>413</v>
      </c>
      <c r="K3192" s="33" t="s">
        <v>9602</v>
      </c>
      <c r="L3192" s="31" t="s">
        <v>202</v>
      </c>
      <c r="M3192" s="31" t="s">
        <v>5638</v>
      </c>
      <c r="N3192" s="31" t="s">
        <v>313</v>
      </c>
      <c r="T3192" s="31" t="s">
        <v>314</v>
      </c>
    </row>
    <row r="3193">
      <c r="A3193" s="29">
        <v>45987.61498326389</v>
      </c>
      <c r="B3193" s="30">
        <v>45987.0</v>
      </c>
      <c r="C3193" s="31" t="s">
        <v>9603</v>
      </c>
      <c r="D3193" s="32" t="s">
        <v>9604</v>
      </c>
      <c r="E3193" s="31" t="s">
        <v>288</v>
      </c>
      <c r="F3193" s="31">
        <v>7000000.0</v>
      </c>
      <c r="G3193" s="31" t="s">
        <v>45</v>
      </c>
      <c r="I3193" s="31" t="s">
        <v>229</v>
      </c>
      <c r="J3193" s="31" t="s">
        <v>967</v>
      </c>
      <c r="K3193" s="33" t="s">
        <v>9605</v>
      </c>
      <c r="L3193" s="31" t="s">
        <v>252</v>
      </c>
      <c r="O3193" s="31" t="s">
        <v>257</v>
      </c>
      <c r="P3193" s="31" t="s">
        <v>285</v>
      </c>
    </row>
    <row r="3194">
      <c r="A3194" s="29">
        <v>45987.62585363426</v>
      </c>
      <c r="B3194" s="30">
        <v>45987.0</v>
      </c>
      <c r="C3194" s="31" t="s">
        <v>9606</v>
      </c>
      <c r="D3194" s="32" t="s">
        <v>9607</v>
      </c>
      <c r="E3194" s="31" t="s">
        <v>31</v>
      </c>
      <c r="F3194" s="31">
        <v>9500000.0</v>
      </c>
      <c r="G3194" s="31" t="s">
        <v>23</v>
      </c>
      <c r="I3194" s="31" t="s">
        <v>229</v>
      </c>
      <c r="J3194" s="31" t="s">
        <v>967</v>
      </c>
      <c r="K3194" s="33" t="s">
        <v>9608</v>
      </c>
      <c r="L3194" s="31" t="s">
        <v>202</v>
      </c>
      <c r="N3194" s="31" t="s">
        <v>313</v>
      </c>
      <c r="T3194" s="31" t="s">
        <v>329</v>
      </c>
    </row>
    <row r="3195">
      <c r="A3195" s="29">
        <v>45987.65335695602</v>
      </c>
      <c r="B3195" s="30">
        <v>45987.0</v>
      </c>
      <c r="C3195" s="31" t="s">
        <v>9609</v>
      </c>
      <c r="D3195" s="32" t="s">
        <v>9610</v>
      </c>
      <c r="E3195" s="31" t="s">
        <v>93</v>
      </c>
      <c r="F3195" s="31">
        <v>2000000.0</v>
      </c>
      <c r="G3195" s="31" t="s">
        <v>23</v>
      </c>
      <c r="I3195" s="31" t="s">
        <v>229</v>
      </c>
      <c r="J3195" s="31" t="s">
        <v>967</v>
      </c>
      <c r="K3195" s="33" t="s">
        <v>9611</v>
      </c>
      <c r="L3195" s="31" t="s">
        <v>252</v>
      </c>
      <c r="O3195" s="31" t="s">
        <v>205</v>
      </c>
      <c r="X3195" s="31" t="s">
        <v>1471</v>
      </c>
    </row>
    <row r="3196">
      <c r="A3196" s="29">
        <v>45987.65636001158</v>
      </c>
      <c r="B3196" s="30">
        <v>45987.0</v>
      </c>
      <c r="C3196" s="31" t="s">
        <v>9612</v>
      </c>
      <c r="D3196" s="32" t="s">
        <v>9613</v>
      </c>
      <c r="E3196" s="31" t="s">
        <v>9614</v>
      </c>
      <c r="F3196" s="31">
        <v>4000000.0</v>
      </c>
      <c r="G3196" s="31" t="s">
        <v>23</v>
      </c>
      <c r="H3196" s="31">
        <v>1600000.0</v>
      </c>
      <c r="I3196" s="31" t="s">
        <v>200</v>
      </c>
      <c r="K3196" s="33" t="s">
        <v>9615</v>
      </c>
      <c r="L3196" s="31" t="s">
        <v>252</v>
      </c>
      <c r="M3196" s="31" t="s">
        <v>5638</v>
      </c>
      <c r="O3196" s="31" t="s">
        <v>205</v>
      </c>
      <c r="X3196" s="31" t="s">
        <v>487</v>
      </c>
    </row>
    <row r="3197">
      <c r="A3197" s="29">
        <v>45987.70187945601</v>
      </c>
      <c r="B3197" s="30">
        <v>45987.0</v>
      </c>
      <c r="C3197" s="31" t="s">
        <v>9616</v>
      </c>
      <c r="D3197" s="32" t="s">
        <v>9617</v>
      </c>
      <c r="E3197" s="31" t="s">
        <v>43</v>
      </c>
      <c r="F3197" s="31">
        <v>3999000.0</v>
      </c>
      <c r="G3197" s="31" t="s">
        <v>45</v>
      </c>
      <c r="H3197" s="31">
        <v>3000000.0</v>
      </c>
      <c r="I3197" s="31" t="s">
        <v>200</v>
      </c>
      <c r="K3197" s="33" t="s">
        <v>9618</v>
      </c>
      <c r="L3197" s="31" t="s">
        <v>252</v>
      </c>
      <c r="M3197" s="31" t="s">
        <v>5638</v>
      </c>
      <c r="O3197" s="31" t="s">
        <v>257</v>
      </c>
      <c r="P3197" s="31" t="s">
        <v>272</v>
      </c>
    </row>
    <row r="3198">
      <c r="A3198" s="29">
        <v>45987.7068116088</v>
      </c>
      <c r="B3198" s="30">
        <v>45987.0</v>
      </c>
      <c r="C3198" s="31" t="s">
        <v>9619</v>
      </c>
      <c r="D3198" s="32" t="s">
        <v>9620</v>
      </c>
      <c r="E3198" s="31" t="s">
        <v>9621</v>
      </c>
      <c r="F3198" s="31">
        <v>9200000.0</v>
      </c>
      <c r="G3198" s="31" t="s">
        <v>23</v>
      </c>
      <c r="I3198" s="31" t="s">
        <v>229</v>
      </c>
      <c r="J3198" s="31" t="s">
        <v>967</v>
      </c>
      <c r="K3198" s="33" t="s">
        <v>9622</v>
      </c>
      <c r="L3198" s="31" t="s">
        <v>202</v>
      </c>
      <c r="N3198" s="31" t="s">
        <v>313</v>
      </c>
      <c r="T3198" s="31" t="s">
        <v>329</v>
      </c>
    </row>
    <row r="3199">
      <c r="A3199" s="29">
        <v>45987.70893631944</v>
      </c>
      <c r="B3199" s="30">
        <v>45987.0</v>
      </c>
      <c r="C3199" s="31" t="s">
        <v>9623</v>
      </c>
      <c r="D3199" s="31">
        <v>0.0</v>
      </c>
      <c r="E3199" s="31" t="s">
        <v>199</v>
      </c>
      <c r="F3199" s="32" t="s">
        <v>9624</v>
      </c>
      <c r="G3199" s="31" t="s">
        <v>23</v>
      </c>
      <c r="I3199" s="31" t="s">
        <v>229</v>
      </c>
      <c r="J3199" s="31" t="s">
        <v>967</v>
      </c>
      <c r="K3199" s="33" t="s">
        <v>9625</v>
      </c>
      <c r="L3199" s="31" t="s">
        <v>252</v>
      </c>
      <c r="O3199" s="31" t="s">
        <v>257</v>
      </c>
      <c r="P3199" s="31" t="s">
        <v>992</v>
      </c>
    </row>
    <row r="3200">
      <c r="A3200" s="29">
        <v>45987.71167675926</v>
      </c>
      <c r="B3200" s="30">
        <v>45987.0</v>
      </c>
      <c r="C3200" s="31" t="s">
        <v>9626</v>
      </c>
      <c r="D3200" s="31">
        <v>0.0</v>
      </c>
      <c r="E3200" s="31" t="s">
        <v>288</v>
      </c>
      <c r="F3200" s="31">
        <v>100000.0</v>
      </c>
      <c r="G3200" s="31" t="s">
        <v>23</v>
      </c>
      <c r="I3200" s="31" t="s">
        <v>229</v>
      </c>
      <c r="J3200" s="31" t="s">
        <v>967</v>
      </c>
      <c r="K3200" s="33" t="s">
        <v>9627</v>
      </c>
      <c r="L3200" s="31" t="s">
        <v>252</v>
      </c>
      <c r="O3200" s="31" t="s">
        <v>257</v>
      </c>
      <c r="P3200" s="31" t="s">
        <v>2320</v>
      </c>
    </row>
    <row r="3201">
      <c r="A3201" s="29">
        <v>45987.736069085644</v>
      </c>
      <c r="B3201" s="30">
        <v>45987.0</v>
      </c>
      <c r="C3201" s="31" t="s">
        <v>9628</v>
      </c>
      <c r="D3201" s="32" t="s">
        <v>9629</v>
      </c>
      <c r="E3201" s="31" t="s">
        <v>2902</v>
      </c>
      <c r="F3201" s="31">
        <v>5500000.0</v>
      </c>
      <c r="G3201" s="31" t="s">
        <v>23</v>
      </c>
      <c r="I3201" s="31" t="s">
        <v>229</v>
      </c>
      <c r="J3201" s="31" t="s">
        <v>967</v>
      </c>
      <c r="K3201" s="33" t="s">
        <v>9630</v>
      </c>
      <c r="L3201" s="31" t="s">
        <v>202</v>
      </c>
      <c r="N3201" s="31" t="s">
        <v>220</v>
      </c>
      <c r="S3201" s="31" t="s">
        <v>36</v>
      </c>
    </row>
    <row r="3202">
      <c r="A3202" s="29">
        <v>45987.76029503472</v>
      </c>
      <c r="B3202" s="30">
        <v>45987.0</v>
      </c>
      <c r="C3202" s="31" t="s">
        <v>9631</v>
      </c>
      <c r="D3202" s="32" t="s">
        <v>9632</v>
      </c>
      <c r="E3202" s="31" t="s">
        <v>43</v>
      </c>
      <c r="F3202" s="31">
        <v>5400000.0</v>
      </c>
      <c r="G3202" s="31" t="s">
        <v>23</v>
      </c>
      <c r="H3202" s="31">
        <v>5400000.0</v>
      </c>
      <c r="I3202" s="31" t="s">
        <v>413</v>
      </c>
      <c r="K3202" s="33" t="s">
        <v>9633</v>
      </c>
      <c r="L3202" s="31" t="s">
        <v>202</v>
      </c>
      <c r="M3202" s="31" t="s">
        <v>5638</v>
      </c>
      <c r="N3202" s="31" t="s">
        <v>204</v>
      </c>
      <c r="R3202" s="31" t="s">
        <v>53</v>
      </c>
    </row>
    <row r="3203">
      <c r="A3203" s="29">
        <v>45987.77585268518</v>
      </c>
      <c r="B3203" s="30">
        <v>45987.0</v>
      </c>
      <c r="C3203" s="31" t="s">
        <v>1300</v>
      </c>
      <c r="D3203" s="32" t="s">
        <v>9634</v>
      </c>
      <c r="E3203" s="31" t="s">
        <v>43</v>
      </c>
      <c r="F3203" s="31">
        <v>3000000.0</v>
      </c>
      <c r="G3203" s="31" t="s">
        <v>23</v>
      </c>
      <c r="H3203" s="31">
        <v>3000000.0</v>
      </c>
      <c r="I3203" s="31" t="s">
        <v>200</v>
      </c>
      <c r="K3203" s="33" t="s">
        <v>9635</v>
      </c>
      <c r="L3203" s="31" t="s">
        <v>202</v>
      </c>
      <c r="M3203" s="31" t="s">
        <v>5638</v>
      </c>
      <c r="N3203" s="31" t="s">
        <v>220</v>
      </c>
      <c r="S3203" s="31" t="s">
        <v>36</v>
      </c>
    </row>
    <row r="3204">
      <c r="A3204" s="29">
        <v>45987.77591012731</v>
      </c>
      <c r="B3204" s="30">
        <v>45987.0</v>
      </c>
      <c r="C3204" s="31" t="s">
        <v>9636</v>
      </c>
      <c r="D3204" s="32" t="s">
        <v>9637</v>
      </c>
      <c r="E3204" s="31" t="s">
        <v>43</v>
      </c>
      <c r="F3204" s="31">
        <v>2500000.0</v>
      </c>
      <c r="G3204" s="31" t="s">
        <v>23</v>
      </c>
      <c r="I3204" s="31" t="s">
        <v>229</v>
      </c>
      <c r="J3204" s="31" t="s">
        <v>967</v>
      </c>
      <c r="K3204" s="33" t="s">
        <v>9638</v>
      </c>
      <c r="L3204" s="31" t="s">
        <v>202</v>
      </c>
      <c r="N3204" s="31" t="s">
        <v>204</v>
      </c>
      <c r="R3204" s="31" t="s">
        <v>5256</v>
      </c>
    </row>
    <row r="3205">
      <c r="A3205" s="29">
        <v>45987.79017594908</v>
      </c>
      <c r="B3205" s="30">
        <v>45987.0</v>
      </c>
      <c r="C3205" s="31" t="s">
        <v>9639</v>
      </c>
      <c r="D3205" s="32" t="s">
        <v>9640</v>
      </c>
      <c r="E3205" s="31" t="s">
        <v>43</v>
      </c>
      <c r="F3205" s="31">
        <v>3000000.0</v>
      </c>
      <c r="G3205" s="31" t="s">
        <v>23</v>
      </c>
      <c r="I3205" s="31" t="s">
        <v>229</v>
      </c>
      <c r="J3205" s="31" t="s">
        <v>967</v>
      </c>
      <c r="K3205" s="33" t="s">
        <v>9641</v>
      </c>
      <c r="L3205" s="31" t="s">
        <v>202</v>
      </c>
      <c r="N3205" s="31" t="s">
        <v>204</v>
      </c>
      <c r="R3205" s="31" t="s">
        <v>5256</v>
      </c>
    </row>
    <row r="3206">
      <c r="A3206" s="29">
        <v>45987.79362172454</v>
      </c>
      <c r="B3206" s="30">
        <v>45987.0</v>
      </c>
      <c r="C3206" s="31" t="s">
        <v>9642</v>
      </c>
      <c r="D3206" s="32" t="s">
        <v>9643</v>
      </c>
      <c r="E3206" s="31" t="s">
        <v>43</v>
      </c>
      <c r="F3206" s="31">
        <v>3000000.0</v>
      </c>
      <c r="G3206" s="31" t="s">
        <v>23</v>
      </c>
      <c r="H3206" s="31">
        <v>3000000.0</v>
      </c>
      <c r="I3206" s="31" t="s">
        <v>413</v>
      </c>
      <c r="K3206" s="33" t="s">
        <v>9644</v>
      </c>
      <c r="L3206" s="31" t="s">
        <v>202</v>
      </c>
      <c r="M3206" s="31" t="s">
        <v>5638</v>
      </c>
      <c r="N3206" s="31" t="s">
        <v>204</v>
      </c>
      <c r="R3206" s="31" t="s">
        <v>5256</v>
      </c>
    </row>
    <row r="3207">
      <c r="A3207" s="29">
        <v>45987.82209574074</v>
      </c>
      <c r="B3207" s="30">
        <v>45987.0</v>
      </c>
      <c r="C3207" s="31" t="s">
        <v>9645</v>
      </c>
      <c r="D3207" s="32" t="s">
        <v>9646</v>
      </c>
      <c r="E3207" s="31" t="s">
        <v>43</v>
      </c>
      <c r="F3207" s="31">
        <v>9800000.0</v>
      </c>
      <c r="G3207" s="31" t="s">
        <v>23</v>
      </c>
      <c r="I3207" s="31" t="s">
        <v>229</v>
      </c>
      <c r="J3207" s="31" t="s">
        <v>967</v>
      </c>
      <c r="K3207" s="33" t="s">
        <v>9647</v>
      </c>
      <c r="L3207" s="31" t="s">
        <v>202</v>
      </c>
      <c r="N3207" s="31" t="s">
        <v>313</v>
      </c>
      <c r="T3207" s="31" t="s">
        <v>314</v>
      </c>
    </row>
    <row r="3208">
      <c r="A3208" s="29">
        <v>45987.82596375</v>
      </c>
      <c r="B3208" s="30">
        <v>45987.0</v>
      </c>
      <c r="C3208" s="31" t="s">
        <v>9648</v>
      </c>
      <c r="D3208" s="32" t="s">
        <v>819</v>
      </c>
      <c r="E3208" s="31" t="s">
        <v>31</v>
      </c>
      <c r="F3208" s="31">
        <v>1.12E7</v>
      </c>
      <c r="G3208" s="31" t="s">
        <v>23</v>
      </c>
      <c r="I3208" s="31" t="s">
        <v>229</v>
      </c>
      <c r="J3208" s="31" t="s">
        <v>967</v>
      </c>
      <c r="K3208" s="33" t="s">
        <v>9649</v>
      </c>
      <c r="L3208" s="31" t="s">
        <v>202</v>
      </c>
      <c r="N3208" s="31" t="s">
        <v>313</v>
      </c>
      <c r="T3208" s="31" t="s">
        <v>329</v>
      </c>
    </row>
    <row r="3209">
      <c r="A3209" s="29">
        <v>45987.82945253472</v>
      </c>
      <c r="B3209" s="30">
        <v>45987.0</v>
      </c>
      <c r="C3209" s="31" t="s">
        <v>9642</v>
      </c>
      <c r="D3209" s="32" t="s">
        <v>9643</v>
      </c>
      <c r="E3209" s="31" t="s">
        <v>43</v>
      </c>
      <c r="F3209" s="31">
        <v>2500000.0</v>
      </c>
      <c r="G3209" s="31" t="s">
        <v>23</v>
      </c>
      <c r="H3209" s="31">
        <v>3000000.0</v>
      </c>
      <c r="I3209" s="31" t="s">
        <v>413</v>
      </c>
      <c r="K3209" s="33" t="s">
        <v>9650</v>
      </c>
      <c r="L3209" s="31" t="s">
        <v>202</v>
      </c>
      <c r="M3209" s="31" t="s">
        <v>5638</v>
      </c>
      <c r="N3209" s="31" t="s">
        <v>204</v>
      </c>
      <c r="R3209" s="31" t="s">
        <v>5256</v>
      </c>
    </row>
    <row r="3210">
      <c r="A3210" s="29">
        <v>45987.82999303241</v>
      </c>
      <c r="B3210" s="30">
        <v>45987.0</v>
      </c>
      <c r="C3210" s="31" t="s">
        <v>4838</v>
      </c>
      <c r="D3210" s="32" t="s">
        <v>9651</v>
      </c>
      <c r="E3210" s="31" t="s">
        <v>43</v>
      </c>
      <c r="F3210" s="31">
        <v>3000000.0</v>
      </c>
      <c r="G3210" s="31" t="s">
        <v>23</v>
      </c>
      <c r="I3210" s="31" t="s">
        <v>229</v>
      </c>
      <c r="J3210" s="31" t="s">
        <v>967</v>
      </c>
      <c r="K3210" s="33" t="s">
        <v>9652</v>
      </c>
      <c r="L3210" s="31" t="s">
        <v>202</v>
      </c>
      <c r="N3210" s="31" t="s">
        <v>215</v>
      </c>
      <c r="W3210" s="31" t="s">
        <v>389</v>
      </c>
    </row>
    <row r="3211">
      <c r="A3211" s="29">
        <v>45987.83306888889</v>
      </c>
      <c r="B3211" s="30" t="s">
        <v>9653</v>
      </c>
      <c r="C3211" s="31" t="s">
        <v>9654</v>
      </c>
      <c r="D3211" s="32" t="s">
        <v>9655</v>
      </c>
      <c r="E3211" s="31" t="s">
        <v>43</v>
      </c>
      <c r="F3211" s="31">
        <v>2500000.0</v>
      </c>
      <c r="G3211" s="31" t="s">
        <v>45</v>
      </c>
      <c r="I3211" s="31" t="s">
        <v>229</v>
      </c>
      <c r="J3211" s="31" t="s">
        <v>967</v>
      </c>
      <c r="K3211" s="33" t="s">
        <v>9656</v>
      </c>
      <c r="L3211" s="31" t="s">
        <v>202</v>
      </c>
      <c r="N3211" s="31" t="s">
        <v>215</v>
      </c>
      <c r="W3211" s="31" t="s">
        <v>216</v>
      </c>
    </row>
    <row r="3212">
      <c r="A3212" s="29">
        <v>45987.84738091435</v>
      </c>
      <c r="B3212" s="30">
        <v>45987.0</v>
      </c>
      <c r="C3212" s="31" t="s">
        <v>9657</v>
      </c>
      <c r="D3212" s="32" t="s">
        <v>9658</v>
      </c>
      <c r="E3212" s="31" t="s">
        <v>1166</v>
      </c>
      <c r="F3212" s="31">
        <v>5500000.0</v>
      </c>
      <c r="G3212" s="31" t="s">
        <v>23</v>
      </c>
      <c r="I3212" s="31" t="s">
        <v>229</v>
      </c>
      <c r="J3212" s="31" t="s">
        <v>967</v>
      </c>
      <c r="K3212" s="33" t="s">
        <v>9659</v>
      </c>
      <c r="L3212" s="31" t="s">
        <v>202</v>
      </c>
      <c r="N3212" s="31" t="s">
        <v>220</v>
      </c>
      <c r="S3212" s="31" t="s">
        <v>536</v>
      </c>
    </row>
    <row r="3213">
      <c r="A3213" s="29">
        <v>45987.86735539352</v>
      </c>
      <c r="B3213" s="30">
        <v>45987.0</v>
      </c>
      <c r="C3213" s="31" t="s">
        <v>9660</v>
      </c>
      <c r="D3213" s="32" t="s">
        <v>9661</v>
      </c>
      <c r="E3213" s="31" t="s">
        <v>288</v>
      </c>
      <c r="F3213" s="31">
        <v>2000000.0</v>
      </c>
      <c r="G3213" s="31" t="s">
        <v>23</v>
      </c>
      <c r="H3213" s="31">
        <v>3000000.0</v>
      </c>
      <c r="I3213" s="31" t="s">
        <v>200</v>
      </c>
      <c r="K3213" s="33" t="s">
        <v>9662</v>
      </c>
      <c r="L3213" s="31" t="s">
        <v>202</v>
      </c>
      <c r="M3213" s="31" t="s">
        <v>5638</v>
      </c>
      <c r="N3213" s="31" t="s">
        <v>204</v>
      </c>
      <c r="R3213" s="31" t="s">
        <v>892</v>
      </c>
    </row>
    <row r="3214">
      <c r="A3214" s="29">
        <v>45987.86756844907</v>
      </c>
      <c r="B3214" s="30">
        <v>45987.0</v>
      </c>
      <c r="C3214" s="31" t="s">
        <v>9663</v>
      </c>
      <c r="D3214" s="32" t="s">
        <v>9664</v>
      </c>
      <c r="E3214" s="31" t="s">
        <v>31</v>
      </c>
      <c r="F3214" s="31">
        <v>6500000.0</v>
      </c>
      <c r="G3214" s="31" t="s">
        <v>23</v>
      </c>
      <c r="H3214" s="31">
        <v>3000000.0</v>
      </c>
      <c r="I3214" s="31" t="s">
        <v>413</v>
      </c>
      <c r="K3214" s="33" t="s">
        <v>9665</v>
      </c>
      <c r="L3214" s="31" t="s">
        <v>202</v>
      </c>
      <c r="M3214" s="31" t="s">
        <v>5638</v>
      </c>
      <c r="N3214" s="31" t="s">
        <v>220</v>
      </c>
      <c r="S3214" s="31" t="s">
        <v>83</v>
      </c>
    </row>
    <row r="3215">
      <c r="A3215" s="29">
        <v>45988.436729884255</v>
      </c>
      <c r="B3215" s="30">
        <v>45988.0</v>
      </c>
      <c r="C3215" s="31" t="s">
        <v>9666</v>
      </c>
      <c r="D3215" s="32" t="s">
        <v>7545</v>
      </c>
      <c r="E3215" s="31" t="s">
        <v>199</v>
      </c>
      <c r="F3215" s="31">
        <v>4000000.0</v>
      </c>
      <c r="G3215" s="31" t="s">
        <v>23</v>
      </c>
      <c r="I3215" s="31" t="s">
        <v>229</v>
      </c>
      <c r="J3215" s="31" t="s">
        <v>9667</v>
      </c>
      <c r="K3215" s="33" t="s">
        <v>9668</v>
      </c>
      <c r="L3215" s="31" t="s">
        <v>202</v>
      </c>
      <c r="N3215" s="31" t="s">
        <v>500</v>
      </c>
      <c r="V3215" s="31" t="s">
        <v>501</v>
      </c>
    </row>
    <row r="3216">
      <c r="A3216" s="29">
        <v>45988.4431825</v>
      </c>
      <c r="B3216" s="30">
        <v>45987.0</v>
      </c>
      <c r="C3216" s="31" t="s">
        <v>5424</v>
      </c>
      <c r="D3216" s="32" t="s">
        <v>5425</v>
      </c>
      <c r="E3216" s="31" t="s">
        <v>43</v>
      </c>
      <c r="F3216" s="31">
        <v>2500000.0</v>
      </c>
      <c r="G3216" s="31" t="s">
        <v>23</v>
      </c>
      <c r="I3216" s="31" t="s">
        <v>229</v>
      </c>
      <c r="J3216" s="31" t="s">
        <v>967</v>
      </c>
      <c r="K3216" s="33" t="s">
        <v>9669</v>
      </c>
      <c r="L3216" s="31" t="s">
        <v>202</v>
      </c>
      <c r="N3216" s="31" t="s">
        <v>667</v>
      </c>
      <c r="U3216" s="31" t="s">
        <v>3950</v>
      </c>
    </row>
    <row r="3217">
      <c r="A3217" s="29">
        <v>45988.444565196754</v>
      </c>
      <c r="B3217" s="30">
        <v>45988.0</v>
      </c>
      <c r="C3217" s="31" t="s">
        <v>9670</v>
      </c>
      <c r="D3217" s="32" t="s">
        <v>9671</v>
      </c>
      <c r="E3217" s="31" t="s">
        <v>43</v>
      </c>
      <c r="F3217" s="31">
        <v>6200000.0</v>
      </c>
      <c r="G3217" s="31" t="s">
        <v>23</v>
      </c>
      <c r="I3217" s="31" t="s">
        <v>229</v>
      </c>
      <c r="J3217" s="31" t="s">
        <v>967</v>
      </c>
      <c r="K3217" s="33" t="s">
        <v>9672</v>
      </c>
      <c r="L3217" s="31" t="s">
        <v>202</v>
      </c>
      <c r="N3217" s="31" t="s">
        <v>667</v>
      </c>
      <c r="U3217" s="31" t="s">
        <v>3950</v>
      </c>
    </row>
    <row r="3218">
      <c r="A3218" s="29">
        <v>45988.452112824074</v>
      </c>
      <c r="B3218" s="30">
        <v>45988.0</v>
      </c>
      <c r="C3218" s="31" t="s">
        <v>9673</v>
      </c>
      <c r="D3218" s="32" t="s">
        <v>9674</v>
      </c>
      <c r="E3218" s="31" t="s">
        <v>228</v>
      </c>
      <c r="F3218" s="31">
        <v>8500000.0</v>
      </c>
      <c r="G3218" s="31" t="s">
        <v>23</v>
      </c>
      <c r="I3218" s="31" t="s">
        <v>229</v>
      </c>
      <c r="J3218" s="31" t="s">
        <v>967</v>
      </c>
      <c r="K3218" s="33" t="s">
        <v>9675</v>
      </c>
      <c r="L3218" s="31" t="s">
        <v>252</v>
      </c>
      <c r="O3218" s="31" t="s">
        <v>257</v>
      </c>
      <c r="P3218" s="31" t="s">
        <v>258</v>
      </c>
    </row>
    <row r="3219">
      <c r="A3219" s="29">
        <v>45988.45274400463</v>
      </c>
      <c r="B3219" s="30">
        <v>45987.0</v>
      </c>
      <c r="C3219" s="31" t="s">
        <v>9676</v>
      </c>
      <c r="D3219" s="32" t="s">
        <v>9677</v>
      </c>
      <c r="E3219" s="31" t="s">
        <v>8987</v>
      </c>
      <c r="F3219" s="31">
        <v>3000000.0</v>
      </c>
      <c r="G3219" s="31" t="s">
        <v>23</v>
      </c>
      <c r="H3219" s="31">
        <v>3000000.0</v>
      </c>
      <c r="I3219" s="31" t="s">
        <v>413</v>
      </c>
      <c r="K3219" s="33" t="s">
        <v>9678</v>
      </c>
      <c r="L3219" s="31" t="s">
        <v>202</v>
      </c>
      <c r="M3219" s="31" t="s">
        <v>5638</v>
      </c>
      <c r="N3219" s="31" t="s">
        <v>500</v>
      </c>
      <c r="V3219" s="31" t="s">
        <v>6597</v>
      </c>
    </row>
    <row r="3220">
      <c r="A3220" s="29">
        <v>45988.45792810185</v>
      </c>
      <c r="B3220" s="30">
        <v>45988.0</v>
      </c>
      <c r="C3220" s="31" t="s">
        <v>9679</v>
      </c>
      <c r="D3220" s="32" t="s">
        <v>9680</v>
      </c>
      <c r="E3220" s="31" t="s">
        <v>2902</v>
      </c>
      <c r="F3220" s="31">
        <v>4400000.0</v>
      </c>
      <c r="G3220" s="31" t="s">
        <v>23</v>
      </c>
      <c r="I3220" s="31" t="s">
        <v>229</v>
      </c>
      <c r="J3220" s="31" t="s">
        <v>967</v>
      </c>
      <c r="K3220" s="33" t="s">
        <v>9681</v>
      </c>
      <c r="L3220" s="31" t="s">
        <v>202</v>
      </c>
      <c r="N3220" s="31" t="s">
        <v>220</v>
      </c>
      <c r="S3220" s="31" t="s">
        <v>36</v>
      </c>
    </row>
    <row r="3221">
      <c r="A3221" s="29">
        <v>45988.485534189815</v>
      </c>
      <c r="B3221" s="30">
        <v>45988.0</v>
      </c>
      <c r="C3221" s="31" t="s">
        <v>9682</v>
      </c>
      <c r="D3221" s="32" t="s">
        <v>9683</v>
      </c>
      <c r="E3221" s="31" t="s">
        <v>31</v>
      </c>
      <c r="F3221" s="31">
        <v>2000000.0</v>
      </c>
      <c r="G3221" s="31" t="s">
        <v>23</v>
      </c>
      <c r="H3221" s="31">
        <v>3000000.0</v>
      </c>
      <c r="I3221" s="31" t="s">
        <v>200</v>
      </c>
      <c r="K3221" s="33" t="s">
        <v>9684</v>
      </c>
      <c r="L3221" s="31" t="s">
        <v>202</v>
      </c>
      <c r="M3221" s="31" t="s">
        <v>5638</v>
      </c>
      <c r="N3221" s="31" t="s">
        <v>215</v>
      </c>
      <c r="W3221" s="31" t="s">
        <v>216</v>
      </c>
    </row>
    <row r="3222">
      <c r="A3222" s="29">
        <v>45988.525714999996</v>
      </c>
      <c r="B3222" s="30">
        <v>45988.0</v>
      </c>
      <c r="C3222" s="31" t="s">
        <v>9685</v>
      </c>
      <c r="D3222" s="32" t="s">
        <v>9686</v>
      </c>
      <c r="E3222" s="31" t="s">
        <v>43</v>
      </c>
      <c r="F3222" s="31">
        <v>5200000.0</v>
      </c>
      <c r="G3222" s="31" t="s">
        <v>23</v>
      </c>
      <c r="I3222" s="31" t="s">
        <v>229</v>
      </c>
      <c r="J3222" s="31" t="s">
        <v>967</v>
      </c>
      <c r="K3222" s="33" t="s">
        <v>9687</v>
      </c>
      <c r="L3222" s="31" t="s">
        <v>202</v>
      </c>
      <c r="N3222" s="31" t="s">
        <v>204</v>
      </c>
      <c r="R3222" s="31" t="s">
        <v>53</v>
      </c>
    </row>
    <row r="3223">
      <c r="A3223" s="29">
        <v>45988.54776714121</v>
      </c>
      <c r="B3223" s="30">
        <v>45988.0</v>
      </c>
      <c r="C3223" s="31" t="s">
        <v>9688</v>
      </c>
      <c r="D3223" s="32" t="s">
        <v>9689</v>
      </c>
      <c r="E3223" s="31" t="s">
        <v>43</v>
      </c>
      <c r="F3223" s="31">
        <v>6000000.0</v>
      </c>
      <c r="G3223" s="31" t="s">
        <v>23</v>
      </c>
      <c r="H3223" s="31">
        <v>3000000.0</v>
      </c>
      <c r="I3223" s="31" t="s">
        <v>200</v>
      </c>
      <c r="K3223" s="33" t="s">
        <v>9690</v>
      </c>
      <c r="L3223" s="31" t="s">
        <v>252</v>
      </c>
      <c r="M3223" s="31" t="s">
        <v>5638</v>
      </c>
      <c r="O3223" s="31" t="s">
        <v>205</v>
      </c>
      <c r="X3223" s="31" t="s">
        <v>549</v>
      </c>
    </row>
    <row r="3224">
      <c r="A3224" s="29">
        <v>45988.568068506946</v>
      </c>
      <c r="B3224" s="30">
        <v>45988.0</v>
      </c>
      <c r="C3224" s="31" t="s">
        <v>9691</v>
      </c>
      <c r="D3224" s="32" t="s">
        <v>9692</v>
      </c>
      <c r="E3224" s="31" t="s">
        <v>31</v>
      </c>
      <c r="F3224" s="31">
        <v>2000000.0</v>
      </c>
      <c r="G3224" s="31" t="s">
        <v>23</v>
      </c>
      <c r="I3224" s="31" t="s">
        <v>229</v>
      </c>
      <c r="J3224" s="31" t="s">
        <v>967</v>
      </c>
      <c r="K3224" s="33" t="s">
        <v>9693</v>
      </c>
      <c r="L3224" s="31" t="s">
        <v>202</v>
      </c>
      <c r="N3224" s="31" t="s">
        <v>215</v>
      </c>
      <c r="W3224" s="31" t="s">
        <v>216</v>
      </c>
    </row>
    <row r="3225">
      <c r="A3225" s="29">
        <v>45988.57528549769</v>
      </c>
      <c r="B3225" s="30">
        <v>45988.0</v>
      </c>
      <c r="C3225" s="31" t="s">
        <v>9694</v>
      </c>
      <c r="D3225" s="32" t="s">
        <v>9695</v>
      </c>
      <c r="E3225" s="31" t="s">
        <v>43</v>
      </c>
      <c r="F3225" s="31">
        <v>3800000.0</v>
      </c>
      <c r="G3225" s="31" t="s">
        <v>23</v>
      </c>
      <c r="H3225" s="31">
        <v>5000000.0</v>
      </c>
      <c r="I3225" s="31" t="s">
        <v>200</v>
      </c>
      <c r="K3225" s="33" t="s">
        <v>9696</v>
      </c>
      <c r="L3225" s="31" t="s">
        <v>202</v>
      </c>
      <c r="M3225" s="31" t="s">
        <v>5638</v>
      </c>
      <c r="N3225" s="31" t="s">
        <v>667</v>
      </c>
      <c r="U3225" s="31" t="s">
        <v>3950</v>
      </c>
    </row>
    <row r="3226">
      <c r="A3226" s="29">
        <v>45988.610385810185</v>
      </c>
      <c r="B3226" s="30">
        <v>45988.0</v>
      </c>
      <c r="C3226" s="31" t="s">
        <v>9697</v>
      </c>
      <c r="D3226" s="31">
        <v>6.282297672469E12</v>
      </c>
      <c r="E3226" s="31" t="s">
        <v>228</v>
      </c>
      <c r="F3226" s="31">
        <v>1500000.0</v>
      </c>
      <c r="G3226" s="31" t="s">
        <v>23</v>
      </c>
      <c r="I3226" s="31" t="s">
        <v>229</v>
      </c>
      <c r="J3226" s="31" t="s">
        <v>967</v>
      </c>
      <c r="K3226" s="33" t="s">
        <v>9698</v>
      </c>
      <c r="L3226" s="31" t="s">
        <v>202</v>
      </c>
      <c r="N3226" s="31" t="s">
        <v>204</v>
      </c>
      <c r="R3226" s="31" t="s">
        <v>360</v>
      </c>
    </row>
    <row r="3227">
      <c r="A3227" s="29">
        <v>45988.61080692129</v>
      </c>
      <c r="B3227" s="30">
        <v>45988.0</v>
      </c>
      <c r="C3227" s="31" t="s">
        <v>9699</v>
      </c>
      <c r="D3227" s="32" t="s">
        <v>9700</v>
      </c>
      <c r="E3227" s="31" t="s">
        <v>31</v>
      </c>
      <c r="F3227" s="31">
        <v>9200000.0</v>
      </c>
      <c r="G3227" s="31" t="s">
        <v>23</v>
      </c>
      <c r="H3227" s="31">
        <v>3000000.0</v>
      </c>
      <c r="I3227" s="31" t="s">
        <v>200</v>
      </c>
      <c r="K3227" s="33" t="s">
        <v>9701</v>
      </c>
      <c r="L3227" s="31" t="s">
        <v>202</v>
      </c>
      <c r="M3227" s="31" t="s">
        <v>5638</v>
      </c>
      <c r="N3227" s="31" t="s">
        <v>313</v>
      </c>
      <c r="T3227" s="31" t="s">
        <v>329</v>
      </c>
    </row>
    <row r="3228">
      <c r="A3228" s="29">
        <v>45988.615165509254</v>
      </c>
      <c r="B3228" s="30">
        <v>45988.0</v>
      </c>
      <c r="C3228" s="31" t="s">
        <v>9702</v>
      </c>
      <c r="D3228" s="32" t="s">
        <v>9703</v>
      </c>
      <c r="E3228" s="31" t="s">
        <v>239</v>
      </c>
      <c r="F3228" s="31">
        <v>5000000.0</v>
      </c>
      <c r="G3228" s="31" t="s">
        <v>45</v>
      </c>
      <c r="H3228" s="31">
        <v>3000000.0</v>
      </c>
      <c r="I3228" s="31" t="s">
        <v>200</v>
      </c>
      <c r="K3228" s="33" t="s">
        <v>9704</v>
      </c>
      <c r="L3228" s="31" t="s">
        <v>252</v>
      </c>
      <c r="M3228" s="31" t="s">
        <v>5638</v>
      </c>
      <c r="O3228" s="31" t="s">
        <v>257</v>
      </c>
      <c r="P3228" s="31" t="s">
        <v>285</v>
      </c>
    </row>
    <row r="3229">
      <c r="A3229" s="29">
        <v>45988.618320706024</v>
      </c>
      <c r="B3229" s="30">
        <v>45988.0</v>
      </c>
      <c r="C3229" s="31" t="s">
        <v>9705</v>
      </c>
      <c r="D3229" s="32" t="s">
        <v>9706</v>
      </c>
      <c r="E3229" s="31" t="s">
        <v>261</v>
      </c>
      <c r="F3229" s="31">
        <v>4000000.0</v>
      </c>
      <c r="G3229" s="31" t="s">
        <v>23</v>
      </c>
      <c r="I3229" s="31" t="s">
        <v>229</v>
      </c>
      <c r="J3229" s="31" t="s">
        <v>967</v>
      </c>
      <c r="K3229" s="33" t="s">
        <v>9707</v>
      </c>
      <c r="L3229" s="31" t="s">
        <v>202</v>
      </c>
      <c r="N3229" s="31" t="s">
        <v>220</v>
      </c>
      <c r="S3229" s="31" t="s">
        <v>8401</v>
      </c>
    </row>
    <row r="3230">
      <c r="A3230" s="29">
        <v>45988.63720525463</v>
      </c>
      <c r="B3230" s="30">
        <v>45988.0</v>
      </c>
      <c r="C3230" s="31" t="s">
        <v>9708</v>
      </c>
      <c r="D3230" s="32" t="s">
        <v>9709</v>
      </c>
      <c r="E3230" s="31" t="s">
        <v>288</v>
      </c>
      <c r="F3230" s="31">
        <v>6000000.0</v>
      </c>
      <c r="G3230" s="31" t="s">
        <v>45</v>
      </c>
      <c r="I3230" s="31" t="s">
        <v>229</v>
      </c>
      <c r="J3230" s="31" t="s">
        <v>967</v>
      </c>
      <c r="K3230" s="33" t="s">
        <v>9710</v>
      </c>
      <c r="L3230" s="31" t="s">
        <v>252</v>
      </c>
      <c r="O3230" s="31" t="s">
        <v>257</v>
      </c>
      <c r="P3230" s="31" t="s">
        <v>285</v>
      </c>
    </row>
    <row r="3231">
      <c r="A3231" s="29">
        <v>45988.65227277778</v>
      </c>
      <c r="B3231" s="30">
        <v>45988.0</v>
      </c>
      <c r="C3231" s="31" t="s">
        <v>9711</v>
      </c>
      <c r="D3231" s="32" t="s">
        <v>9712</v>
      </c>
      <c r="E3231" s="31" t="s">
        <v>288</v>
      </c>
      <c r="F3231" s="31">
        <v>5000000.0</v>
      </c>
      <c r="G3231" s="31" t="s">
        <v>45</v>
      </c>
      <c r="I3231" s="31" t="s">
        <v>229</v>
      </c>
      <c r="J3231" s="31" t="s">
        <v>967</v>
      </c>
      <c r="K3231" s="33" t="s">
        <v>9713</v>
      </c>
      <c r="L3231" s="31" t="s">
        <v>252</v>
      </c>
      <c r="O3231" s="31" t="s">
        <v>257</v>
      </c>
      <c r="P3231" s="31" t="s">
        <v>285</v>
      </c>
    </row>
    <row r="3232">
      <c r="A3232" s="29">
        <v>45988.66194535879</v>
      </c>
      <c r="B3232" s="30">
        <v>45988.0</v>
      </c>
      <c r="C3232" s="31" t="s">
        <v>9714</v>
      </c>
      <c r="D3232" s="32" t="s">
        <v>9715</v>
      </c>
      <c r="E3232" s="31" t="s">
        <v>199</v>
      </c>
      <c r="F3232" s="31">
        <v>5000000.0</v>
      </c>
      <c r="G3232" s="31" t="s">
        <v>23</v>
      </c>
      <c r="H3232" s="31">
        <v>1.0E7</v>
      </c>
      <c r="I3232" s="31" t="s">
        <v>200</v>
      </c>
      <c r="K3232" s="33" t="s">
        <v>9716</v>
      </c>
      <c r="L3232" s="31" t="s">
        <v>202</v>
      </c>
      <c r="M3232" s="31" t="s">
        <v>926</v>
      </c>
      <c r="N3232" s="31" t="s">
        <v>500</v>
      </c>
      <c r="V3232" s="31" t="s">
        <v>501</v>
      </c>
    </row>
    <row r="3233">
      <c r="A3233" s="29">
        <v>45988.69717321759</v>
      </c>
      <c r="B3233" s="30">
        <v>45988.0</v>
      </c>
      <c r="C3233" s="31" t="s">
        <v>9717</v>
      </c>
      <c r="D3233" s="32" t="s">
        <v>9718</v>
      </c>
      <c r="E3233" s="31" t="s">
        <v>784</v>
      </c>
      <c r="F3233" s="31">
        <v>3400000.0</v>
      </c>
      <c r="G3233" s="31" t="s">
        <v>23</v>
      </c>
      <c r="H3233" s="31">
        <v>7000000.0</v>
      </c>
      <c r="I3233" s="31" t="s">
        <v>413</v>
      </c>
      <c r="K3233" s="33" t="s">
        <v>9719</v>
      </c>
      <c r="L3233" s="31" t="s">
        <v>202</v>
      </c>
      <c r="M3233" s="31" t="s">
        <v>203</v>
      </c>
      <c r="N3233" s="31" t="s">
        <v>220</v>
      </c>
      <c r="S3233" s="31" t="s">
        <v>90</v>
      </c>
    </row>
    <row r="3234">
      <c r="A3234" s="29">
        <v>45988.710444930555</v>
      </c>
      <c r="B3234" s="30">
        <v>45988.0</v>
      </c>
      <c r="C3234" s="31" t="s">
        <v>9720</v>
      </c>
      <c r="D3234" s="31">
        <v>0.0</v>
      </c>
      <c r="E3234" s="31" t="s">
        <v>31</v>
      </c>
      <c r="F3234" s="32" t="s">
        <v>5089</v>
      </c>
      <c r="G3234" s="31" t="s">
        <v>23</v>
      </c>
      <c r="H3234" s="31">
        <v>3000000.0</v>
      </c>
      <c r="I3234" s="31" t="s">
        <v>413</v>
      </c>
      <c r="K3234" s="33" t="s">
        <v>9721</v>
      </c>
      <c r="L3234" s="31" t="s">
        <v>252</v>
      </c>
      <c r="M3234" s="31" t="s">
        <v>203</v>
      </c>
      <c r="O3234" s="31" t="s">
        <v>257</v>
      </c>
      <c r="P3234" s="31" t="s">
        <v>992</v>
      </c>
    </row>
    <row r="3235">
      <c r="A3235" s="29">
        <v>45988.72233230324</v>
      </c>
      <c r="B3235" s="30">
        <v>45988.0</v>
      </c>
      <c r="C3235" s="31" t="s">
        <v>9722</v>
      </c>
      <c r="D3235" s="32" t="s">
        <v>9723</v>
      </c>
      <c r="E3235" s="31" t="s">
        <v>261</v>
      </c>
      <c r="F3235" s="31">
        <v>8700000.0</v>
      </c>
      <c r="G3235" s="31" t="s">
        <v>23</v>
      </c>
      <c r="I3235" s="31" t="s">
        <v>229</v>
      </c>
      <c r="J3235" s="31" t="s">
        <v>967</v>
      </c>
      <c r="K3235" s="33" t="s">
        <v>9724</v>
      </c>
      <c r="L3235" s="31" t="s">
        <v>252</v>
      </c>
      <c r="O3235" s="31" t="s">
        <v>257</v>
      </c>
      <c r="P3235" s="31" t="s">
        <v>258</v>
      </c>
    </row>
    <row r="3236">
      <c r="A3236" s="29">
        <v>45988.72775045139</v>
      </c>
      <c r="B3236" s="30">
        <v>45988.0</v>
      </c>
      <c r="C3236" s="31" t="s">
        <v>9725</v>
      </c>
      <c r="D3236" s="32" t="s">
        <v>9726</v>
      </c>
      <c r="E3236" s="31" t="s">
        <v>31</v>
      </c>
      <c r="F3236" s="31">
        <v>5000000.0</v>
      </c>
      <c r="G3236" s="31" t="s">
        <v>23</v>
      </c>
      <c r="I3236" s="31" t="s">
        <v>229</v>
      </c>
      <c r="J3236" s="31" t="s">
        <v>967</v>
      </c>
      <c r="K3236" s="33" t="s">
        <v>9727</v>
      </c>
      <c r="L3236" s="31" t="s">
        <v>202</v>
      </c>
      <c r="N3236" s="31" t="s">
        <v>204</v>
      </c>
      <c r="R3236" s="31" t="s">
        <v>53</v>
      </c>
    </row>
    <row r="3237">
      <c r="A3237" s="29">
        <v>45988.74781195602</v>
      </c>
      <c r="B3237" s="30">
        <v>45987.0</v>
      </c>
      <c r="C3237" s="31" t="s">
        <v>9728</v>
      </c>
      <c r="D3237" s="32" t="s">
        <v>9729</v>
      </c>
      <c r="E3237" s="31" t="s">
        <v>43</v>
      </c>
      <c r="F3237" s="31">
        <v>9600000.0</v>
      </c>
      <c r="G3237" s="31" t="s">
        <v>23</v>
      </c>
      <c r="H3237" s="31">
        <v>3000000.0</v>
      </c>
      <c r="I3237" s="31" t="s">
        <v>200</v>
      </c>
      <c r="K3237" s="33" t="s">
        <v>9730</v>
      </c>
      <c r="L3237" s="31" t="s">
        <v>202</v>
      </c>
      <c r="M3237" s="31" t="s">
        <v>203</v>
      </c>
      <c r="N3237" s="31" t="s">
        <v>313</v>
      </c>
      <c r="T3237" s="31" t="s">
        <v>314</v>
      </c>
    </row>
    <row r="3238">
      <c r="A3238" s="29">
        <v>45988.76063493056</v>
      </c>
      <c r="B3238" s="30">
        <v>45988.0</v>
      </c>
      <c r="C3238" s="31" t="s">
        <v>9731</v>
      </c>
      <c r="D3238" s="31">
        <v>8.5134416964E10</v>
      </c>
      <c r="E3238" s="31" t="s">
        <v>784</v>
      </c>
      <c r="F3238" s="31">
        <v>3500000.0</v>
      </c>
      <c r="G3238" s="31" t="s">
        <v>23</v>
      </c>
      <c r="I3238" s="31" t="s">
        <v>229</v>
      </c>
      <c r="J3238" s="31" t="s">
        <v>967</v>
      </c>
      <c r="K3238" s="33" t="s">
        <v>9732</v>
      </c>
      <c r="L3238" s="31" t="s">
        <v>202</v>
      </c>
      <c r="N3238" s="31" t="s">
        <v>204</v>
      </c>
      <c r="R3238" s="31" t="s">
        <v>98</v>
      </c>
    </row>
    <row r="3239">
      <c r="A3239" s="29">
        <v>45988.76088030092</v>
      </c>
      <c r="B3239" s="30">
        <v>45988.0</v>
      </c>
      <c r="C3239" s="31" t="s">
        <v>9733</v>
      </c>
      <c r="D3239" s="32" t="s">
        <v>9734</v>
      </c>
      <c r="E3239" s="31" t="s">
        <v>9735</v>
      </c>
      <c r="F3239" s="31">
        <v>8500000.0</v>
      </c>
      <c r="G3239" s="31" t="s">
        <v>45</v>
      </c>
      <c r="I3239" s="31" t="s">
        <v>229</v>
      </c>
      <c r="J3239" s="31" t="s">
        <v>967</v>
      </c>
      <c r="K3239" s="33" t="s">
        <v>9736</v>
      </c>
      <c r="L3239" s="31" t="s">
        <v>252</v>
      </c>
      <c r="O3239" s="31" t="s">
        <v>257</v>
      </c>
      <c r="P3239" s="31" t="s">
        <v>272</v>
      </c>
    </row>
    <row r="3240">
      <c r="A3240" s="29">
        <v>45988.7618125</v>
      </c>
      <c r="B3240" s="30">
        <v>45987.0</v>
      </c>
      <c r="C3240" s="31" t="s">
        <v>9737</v>
      </c>
      <c r="D3240" s="32" t="s">
        <v>9738</v>
      </c>
      <c r="E3240" s="31" t="s">
        <v>288</v>
      </c>
      <c r="F3240" s="31">
        <v>800000.0</v>
      </c>
      <c r="G3240" s="31" t="s">
        <v>23</v>
      </c>
      <c r="I3240" s="31" t="s">
        <v>229</v>
      </c>
      <c r="J3240" s="31" t="s">
        <v>967</v>
      </c>
      <c r="K3240" s="33" t="s">
        <v>9739</v>
      </c>
      <c r="L3240" s="31" t="s">
        <v>202</v>
      </c>
      <c r="N3240" s="31" t="s">
        <v>313</v>
      </c>
      <c r="T3240" s="31" t="s">
        <v>384</v>
      </c>
    </row>
    <row r="3241">
      <c r="A3241" s="29">
        <v>45988.76182798611</v>
      </c>
      <c r="B3241" s="30">
        <v>45988.0</v>
      </c>
      <c r="C3241" s="31" t="s">
        <v>9740</v>
      </c>
      <c r="D3241" s="31">
        <v>8.2221541865E10</v>
      </c>
      <c r="E3241" s="31" t="s">
        <v>43</v>
      </c>
      <c r="F3241" s="31">
        <v>4500000.0</v>
      </c>
      <c r="G3241" s="31" t="s">
        <v>23</v>
      </c>
      <c r="I3241" s="31" t="s">
        <v>229</v>
      </c>
      <c r="J3241" s="31" t="s">
        <v>967</v>
      </c>
      <c r="K3241" s="33" t="s">
        <v>9741</v>
      </c>
      <c r="L3241" s="31" t="s">
        <v>202</v>
      </c>
      <c r="N3241" s="31" t="s">
        <v>204</v>
      </c>
      <c r="R3241" s="31" t="s">
        <v>98</v>
      </c>
    </row>
    <row r="3242">
      <c r="A3242" s="29">
        <v>45988.763083240745</v>
      </c>
      <c r="B3242" s="30">
        <v>45988.0</v>
      </c>
      <c r="C3242" s="31" t="s">
        <v>9742</v>
      </c>
      <c r="D3242" s="32" t="s">
        <v>9743</v>
      </c>
      <c r="E3242" s="31" t="s">
        <v>784</v>
      </c>
      <c r="F3242" s="31">
        <v>4000000.0</v>
      </c>
      <c r="G3242" s="31" t="s">
        <v>23</v>
      </c>
      <c r="I3242" s="31" t="s">
        <v>229</v>
      </c>
      <c r="J3242" s="31" t="s">
        <v>967</v>
      </c>
      <c r="K3242" s="33" t="s">
        <v>9744</v>
      </c>
      <c r="L3242" s="31" t="s">
        <v>202</v>
      </c>
      <c r="N3242" s="31" t="s">
        <v>204</v>
      </c>
      <c r="R3242" s="31" t="s">
        <v>98</v>
      </c>
    </row>
    <row r="3243">
      <c r="A3243" s="29">
        <v>45988.76930010416</v>
      </c>
      <c r="B3243" s="30">
        <v>45986.0</v>
      </c>
      <c r="C3243" s="31" t="s">
        <v>9745</v>
      </c>
      <c r="D3243" s="31">
        <v>0.0</v>
      </c>
      <c r="E3243" s="31" t="s">
        <v>9746</v>
      </c>
      <c r="F3243" s="31">
        <v>4800000.0</v>
      </c>
      <c r="G3243" s="31" t="s">
        <v>23</v>
      </c>
      <c r="H3243" s="31">
        <v>3000000.0</v>
      </c>
      <c r="I3243" s="31" t="s">
        <v>413</v>
      </c>
      <c r="K3243" s="33" t="s">
        <v>9747</v>
      </c>
      <c r="L3243" s="31" t="s">
        <v>202</v>
      </c>
      <c r="M3243" s="31" t="s">
        <v>5638</v>
      </c>
      <c r="N3243" s="31" t="s">
        <v>204</v>
      </c>
      <c r="R3243" s="31" t="s">
        <v>171</v>
      </c>
    </row>
    <row r="3244">
      <c r="A3244" s="29">
        <v>45988.77138170139</v>
      </c>
      <c r="B3244" s="30">
        <v>45988.0</v>
      </c>
      <c r="C3244" s="31" t="s">
        <v>9748</v>
      </c>
      <c r="D3244" s="31">
        <v>0.0</v>
      </c>
      <c r="E3244" s="31" t="s">
        <v>9749</v>
      </c>
      <c r="F3244" s="31">
        <v>4600000.0</v>
      </c>
      <c r="G3244" s="31" t="s">
        <v>23</v>
      </c>
      <c r="H3244" s="31">
        <v>7000000.0</v>
      </c>
      <c r="I3244" s="31" t="s">
        <v>200</v>
      </c>
      <c r="K3244" s="33" t="s">
        <v>9750</v>
      </c>
      <c r="L3244" s="31" t="s">
        <v>202</v>
      </c>
      <c r="M3244" s="31" t="s">
        <v>926</v>
      </c>
      <c r="N3244" s="31" t="s">
        <v>204</v>
      </c>
      <c r="R3244" s="31" t="s">
        <v>171</v>
      </c>
    </row>
    <row r="3245">
      <c r="A3245" s="29">
        <v>45988.77283854167</v>
      </c>
      <c r="B3245" s="30">
        <v>45988.0</v>
      </c>
      <c r="C3245" s="31" t="s">
        <v>9751</v>
      </c>
      <c r="D3245" s="31">
        <v>0.0</v>
      </c>
      <c r="E3245" s="31" t="s">
        <v>199</v>
      </c>
      <c r="F3245" s="31">
        <v>6500000.0</v>
      </c>
      <c r="G3245" s="31" t="s">
        <v>23</v>
      </c>
      <c r="I3245" s="31" t="s">
        <v>229</v>
      </c>
      <c r="J3245" s="31" t="s">
        <v>967</v>
      </c>
      <c r="K3245" s="33" t="s">
        <v>9752</v>
      </c>
      <c r="L3245" s="31" t="s">
        <v>202</v>
      </c>
      <c r="N3245" s="31" t="s">
        <v>204</v>
      </c>
      <c r="R3245" s="31" t="s">
        <v>171</v>
      </c>
    </row>
    <row r="3246">
      <c r="A3246" s="29">
        <v>45988.77492111111</v>
      </c>
      <c r="B3246" s="30">
        <v>45988.0</v>
      </c>
      <c r="C3246" s="31" t="s">
        <v>9753</v>
      </c>
      <c r="D3246" s="31">
        <v>0.0</v>
      </c>
      <c r="E3246" s="31" t="s">
        <v>9754</v>
      </c>
      <c r="F3246" s="31">
        <v>3200000.0</v>
      </c>
      <c r="G3246" s="31" t="s">
        <v>23</v>
      </c>
      <c r="I3246" s="31" t="s">
        <v>229</v>
      </c>
      <c r="J3246" s="31" t="s">
        <v>967</v>
      </c>
      <c r="K3246" s="33" t="s">
        <v>9755</v>
      </c>
      <c r="L3246" s="31" t="s">
        <v>202</v>
      </c>
      <c r="N3246" s="31" t="s">
        <v>204</v>
      </c>
      <c r="R3246" s="31" t="s">
        <v>171</v>
      </c>
    </row>
    <row r="3247">
      <c r="A3247" s="29">
        <v>45988.78900575232</v>
      </c>
      <c r="B3247" s="30">
        <v>45988.0</v>
      </c>
      <c r="C3247" s="31" t="s">
        <v>9756</v>
      </c>
      <c r="D3247" s="31">
        <v>0.0</v>
      </c>
      <c r="E3247" s="31" t="s">
        <v>9757</v>
      </c>
      <c r="F3247" s="31">
        <v>5400000.0</v>
      </c>
      <c r="G3247" s="31" t="s">
        <v>23</v>
      </c>
      <c r="I3247" s="31" t="s">
        <v>229</v>
      </c>
      <c r="J3247" s="31" t="s">
        <v>967</v>
      </c>
      <c r="K3247" s="33" t="s">
        <v>9758</v>
      </c>
      <c r="L3247" s="31" t="s">
        <v>202</v>
      </c>
      <c r="N3247" s="31" t="s">
        <v>204</v>
      </c>
      <c r="R3247" s="31" t="s">
        <v>171</v>
      </c>
    </row>
    <row r="3248">
      <c r="A3248" s="29">
        <v>45988.79206974537</v>
      </c>
      <c r="B3248" s="30">
        <v>45988.0</v>
      </c>
      <c r="C3248" s="31" t="s">
        <v>9759</v>
      </c>
      <c r="D3248" s="31">
        <v>0.0</v>
      </c>
      <c r="E3248" s="31" t="s">
        <v>199</v>
      </c>
      <c r="F3248" s="31">
        <v>5600000.0</v>
      </c>
      <c r="G3248" s="31" t="s">
        <v>23</v>
      </c>
      <c r="I3248" s="31" t="s">
        <v>229</v>
      </c>
      <c r="J3248" s="31" t="s">
        <v>967</v>
      </c>
      <c r="K3248" s="33" t="s">
        <v>9760</v>
      </c>
      <c r="L3248" s="31" t="s">
        <v>202</v>
      </c>
      <c r="N3248" s="31" t="s">
        <v>204</v>
      </c>
      <c r="R3248" s="31" t="s">
        <v>171</v>
      </c>
    </row>
    <row r="3249">
      <c r="A3249" s="29">
        <v>45988.8024346875</v>
      </c>
      <c r="B3249" s="30">
        <v>45988.0</v>
      </c>
      <c r="C3249" s="31" t="s">
        <v>9761</v>
      </c>
      <c r="D3249" s="32" t="s">
        <v>9762</v>
      </c>
      <c r="E3249" s="31" t="s">
        <v>7653</v>
      </c>
      <c r="F3249" s="31">
        <v>6000000.0</v>
      </c>
      <c r="G3249" s="31" t="s">
        <v>23</v>
      </c>
      <c r="I3249" s="31" t="s">
        <v>229</v>
      </c>
      <c r="J3249" s="31" t="s">
        <v>967</v>
      </c>
      <c r="K3249" s="33" t="s">
        <v>9763</v>
      </c>
      <c r="L3249" s="31" t="s">
        <v>202</v>
      </c>
      <c r="N3249" s="31" t="s">
        <v>313</v>
      </c>
      <c r="T3249" s="31" t="s">
        <v>384</v>
      </c>
    </row>
    <row r="3250">
      <c r="A3250" s="29">
        <v>45988.8039143287</v>
      </c>
      <c r="B3250" s="30">
        <v>45988.0</v>
      </c>
      <c r="C3250" s="31" t="s">
        <v>9764</v>
      </c>
      <c r="D3250" s="32" t="s">
        <v>9765</v>
      </c>
      <c r="E3250" s="31" t="s">
        <v>1166</v>
      </c>
      <c r="F3250" s="31">
        <v>8000000.0</v>
      </c>
      <c r="G3250" s="31" t="s">
        <v>23</v>
      </c>
      <c r="I3250" s="31" t="s">
        <v>229</v>
      </c>
      <c r="J3250" s="31" t="s">
        <v>967</v>
      </c>
      <c r="K3250" s="33" t="s">
        <v>9766</v>
      </c>
      <c r="L3250" s="31" t="s">
        <v>202</v>
      </c>
      <c r="N3250" s="31" t="s">
        <v>313</v>
      </c>
      <c r="T3250" s="31" t="s">
        <v>384</v>
      </c>
    </row>
    <row r="3251">
      <c r="A3251" s="29">
        <v>45988.810512337965</v>
      </c>
      <c r="B3251" s="30">
        <v>45988.0</v>
      </c>
      <c r="C3251" s="31" t="s">
        <v>9767</v>
      </c>
      <c r="D3251" s="32" t="s">
        <v>9768</v>
      </c>
      <c r="E3251" s="31" t="s">
        <v>43</v>
      </c>
      <c r="F3251" s="31">
        <v>2100000.0</v>
      </c>
      <c r="G3251" s="31" t="s">
        <v>23</v>
      </c>
      <c r="H3251" s="31">
        <v>7000000.0</v>
      </c>
      <c r="I3251" s="31" t="s">
        <v>200</v>
      </c>
      <c r="K3251" s="33" t="s">
        <v>9769</v>
      </c>
      <c r="L3251" s="31" t="s">
        <v>202</v>
      </c>
      <c r="M3251" s="31" t="s">
        <v>5638</v>
      </c>
      <c r="N3251" s="31" t="s">
        <v>871</v>
      </c>
      <c r="Q3251" s="31" t="s">
        <v>1021</v>
      </c>
    </row>
    <row r="3252">
      <c r="A3252" s="29">
        <v>45988.81218586805</v>
      </c>
      <c r="B3252" s="30">
        <v>45988.0</v>
      </c>
      <c r="C3252" s="31" t="s">
        <v>9770</v>
      </c>
      <c r="D3252" s="32" t="s">
        <v>9771</v>
      </c>
      <c r="E3252" s="31" t="s">
        <v>43</v>
      </c>
      <c r="F3252" s="31">
        <v>5000000.0</v>
      </c>
      <c r="G3252" s="31" t="s">
        <v>23</v>
      </c>
      <c r="I3252" s="31" t="s">
        <v>229</v>
      </c>
      <c r="J3252" s="31" t="s">
        <v>967</v>
      </c>
      <c r="K3252" s="33" t="s">
        <v>9772</v>
      </c>
      <c r="L3252" s="31" t="s">
        <v>252</v>
      </c>
      <c r="O3252" s="31" t="s">
        <v>205</v>
      </c>
      <c r="X3252" s="31" t="s">
        <v>9016</v>
      </c>
    </row>
    <row r="3253">
      <c r="A3253" s="29">
        <v>45988.813526956015</v>
      </c>
      <c r="B3253" s="30">
        <v>45988.0</v>
      </c>
      <c r="C3253" s="31" t="s">
        <v>9773</v>
      </c>
      <c r="D3253" s="32" t="s">
        <v>9774</v>
      </c>
      <c r="E3253" s="31" t="s">
        <v>43</v>
      </c>
      <c r="F3253" s="31">
        <v>2500000.0</v>
      </c>
      <c r="G3253" s="31" t="s">
        <v>23</v>
      </c>
      <c r="I3253" s="31" t="s">
        <v>229</v>
      </c>
      <c r="J3253" s="31" t="s">
        <v>967</v>
      </c>
      <c r="K3253" s="33" t="s">
        <v>9775</v>
      </c>
      <c r="L3253" s="31" t="s">
        <v>252</v>
      </c>
      <c r="O3253" s="31" t="s">
        <v>205</v>
      </c>
      <c r="X3253" s="31" t="s">
        <v>716</v>
      </c>
    </row>
    <row r="3254">
      <c r="A3254" s="29">
        <v>45988.8180455324</v>
      </c>
      <c r="B3254" s="30">
        <v>45988.0</v>
      </c>
      <c r="C3254" s="31" t="s">
        <v>9776</v>
      </c>
      <c r="D3254" s="32" t="s">
        <v>9777</v>
      </c>
      <c r="E3254" s="31" t="s">
        <v>228</v>
      </c>
      <c r="F3254" s="31">
        <v>3000000.0</v>
      </c>
      <c r="G3254" s="31" t="s">
        <v>23</v>
      </c>
      <c r="I3254" s="31" t="s">
        <v>229</v>
      </c>
      <c r="J3254" s="31" t="s">
        <v>967</v>
      </c>
      <c r="K3254" s="33" t="s">
        <v>9778</v>
      </c>
      <c r="L3254" s="31" t="s">
        <v>252</v>
      </c>
      <c r="O3254" s="31" t="s">
        <v>205</v>
      </c>
      <c r="X3254" s="31" t="s">
        <v>253</v>
      </c>
    </row>
    <row r="3255">
      <c r="A3255" s="29">
        <v>45988.836169780094</v>
      </c>
      <c r="B3255" s="30">
        <v>45988.0</v>
      </c>
      <c r="C3255" s="31" t="s">
        <v>9779</v>
      </c>
      <c r="D3255" s="32" t="s">
        <v>9780</v>
      </c>
      <c r="E3255" s="31" t="s">
        <v>43</v>
      </c>
      <c r="F3255" s="31">
        <v>2700000.0</v>
      </c>
      <c r="G3255" s="31" t="s">
        <v>23</v>
      </c>
      <c r="I3255" s="31" t="s">
        <v>229</v>
      </c>
      <c r="J3255" s="31" t="s">
        <v>967</v>
      </c>
      <c r="K3255" s="33" t="s">
        <v>9781</v>
      </c>
      <c r="L3255" s="31" t="s">
        <v>202</v>
      </c>
      <c r="N3255" s="31" t="s">
        <v>204</v>
      </c>
      <c r="R3255" s="31" t="s">
        <v>5256</v>
      </c>
    </row>
    <row r="3256">
      <c r="A3256" s="29">
        <v>45988.8378591088</v>
      </c>
      <c r="B3256" s="30">
        <v>45988.0</v>
      </c>
      <c r="C3256" s="31" t="s">
        <v>9782</v>
      </c>
      <c r="D3256" s="32" t="s">
        <v>9783</v>
      </c>
      <c r="E3256" s="31" t="s">
        <v>43</v>
      </c>
      <c r="F3256" s="31">
        <v>2800000.0</v>
      </c>
      <c r="G3256" s="31" t="s">
        <v>23</v>
      </c>
      <c r="H3256" s="31">
        <v>5000000.0</v>
      </c>
      <c r="I3256" s="31" t="s">
        <v>413</v>
      </c>
      <c r="K3256" s="33" t="s">
        <v>9784</v>
      </c>
      <c r="L3256" s="31" t="s">
        <v>202</v>
      </c>
      <c r="M3256" s="31" t="s">
        <v>926</v>
      </c>
      <c r="N3256" s="31" t="s">
        <v>204</v>
      </c>
      <c r="R3256" s="31" t="s">
        <v>5256</v>
      </c>
    </row>
    <row r="3257">
      <c r="A3257" s="29">
        <v>45988.848030810186</v>
      </c>
      <c r="B3257" s="30">
        <v>45988.0</v>
      </c>
      <c r="C3257" s="31" t="s">
        <v>9785</v>
      </c>
      <c r="D3257" s="32" t="s">
        <v>9786</v>
      </c>
      <c r="E3257" s="31" t="s">
        <v>43</v>
      </c>
      <c r="F3257" s="31">
        <v>3900000.0</v>
      </c>
      <c r="G3257" s="31" t="s">
        <v>45</v>
      </c>
      <c r="H3257" s="31">
        <v>3000000.0</v>
      </c>
      <c r="I3257" s="31" t="s">
        <v>413</v>
      </c>
      <c r="K3257" s="33" t="s">
        <v>9787</v>
      </c>
      <c r="L3257" s="31" t="s">
        <v>252</v>
      </c>
      <c r="M3257" s="31" t="s">
        <v>5638</v>
      </c>
      <c r="O3257" s="31" t="s">
        <v>257</v>
      </c>
      <c r="P3257" s="31" t="s">
        <v>272</v>
      </c>
    </row>
    <row r="3258">
      <c r="A3258" s="29">
        <v>45988.867297164354</v>
      </c>
      <c r="B3258" s="30">
        <v>45988.0</v>
      </c>
      <c r="C3258" s="31" t="s">
        <v>9788</v>
      </c>
      <c r="D3258" s="32" t="s">
        <v>9789</v>
      </c>
      <c r="E3258" s="31" t="s">
        <v>43</v>
      </c>
      <c r="F3258" s="31">
        <v>4500000.0</v>
      </c>
      <c r="G3258" s="31" t="s">
        <v>23</v>
      </c>
      <c r="H3258" s="31">
        <v>3000000.0</v>
      </c>
      <c r="I3258" s="31" t="s">
        <v>200</v>
      </c>
      <c r="K3258" s="33" t="s">
        <v>9790</v>
      </c>
      <c r="L3258" s="31" t="s">
        <v>252</v>
      </c>
      <c r="M3258" s="31" t="s">
        <v>5638</v>
      </c>
      <c r="O3258" s="31" t="s">
        <v>205</v>
      </c>
      <c r="X3258" s="31" t="s">
        <v>9016</v>
      </c>
    </row>
    <row r="3259">
      <c r="A3259" s="29">
        <v>45988.88548010417</v>
      </c>
      <c r="B3259" s="30">
        <v>45988.0</v>
      </c>
      <c r="C3259" s="31" t="s">
        <v>9791</v>
      </c>
      <c r="D3259" s="32" t="s">
        <v>9792</v>
      </c>
      <c r="E3259" s="31" t="s">
        <v>8365</v>
      </c>
      <c r="F3259" s="31">
        <v>4200000.0</v>
      </c>
      <c r="G3259" s="31" t="s">
        <v>23</v>
      </c>
      <c r="H3259" s="31">
        <v>3000000.0</v>
      </c>
      <c r="I3259" s="31" t="s">
        <v>413</v>
      </c>
      <c r="K3259" s="33" t="s">
        <v>9793</v>
      </c>
      <c r="L3259" s="31" t="s">
        <v>202</v>
      </c>
      <c r="M3259" s="31" t="s">
        <v>5638</v>
      </c>
      <c r="N3259" s="31" t="s">
        <v>500</v>
      </c>
      <c r="V3259" s="31" t="s">
        <v>7537</v>
      </c>
    </row>
    <row r="3260">
      <c r="A3260" s="29">
        <v>45988.89799761574</v>
      </c>
      <c r="B3260" s="30">
        <v>45988.0</v>
      </c>
      <c r="C3260" s="31" t="s">
        <v>9794</v>
      </c>
      <c r="D3260" s="32" t="s">
        <v>9795</v>
      </c>
      <c r="E3260" s="31" t="s">
        <v>43</v>
      </c>
      <c r="F3260" s="31">
        <v>250000.0</v>
      </c>
      <c r="G3260" s="31" t="s">
        <v>23</v>
      </c>
      <c r="I3260" s="31" t="s">
        <v>229</v>
      </c>
      <c r="J3260" s="31" t="s">
        <v>967</v>
      </c>
      <c r="K3260" s="33" t="s">
        <v>9796</v>
      </c>
      <c r="L3260" s="31" t="s">
        <v>202</v>
      </c>
      <c r="N3260" s="31" t="s">
        <v>313</v>
      </c>
      <c r="T3260" s="31" t="s">
        <v>4272</v>
      </c>
    </row>
    <row r="3261">
      <c r="A3261" s="29">
        <v>45988.9020783912</v>
      </c>
      <c r="B3261" s="30">
        <v>45988.0</v>
      </c>
      <c r="C3261" s="31" t="s">
        <v>9797</v>
      </c>
      <c r="D3261" s="32" t="s">
        <v>9798</v>
      </c>
      <c r="E3261" s="31" t="s">
        <v>43</v>
      </c>
      <c r="F3261" s="31">
        <v>5500000.0</v>
      </c>
      <c r="G3261" s="31" t="s">
        <v>23</v>
      </c>
      <c r="I3261" s="31" t="s">
        <v>229</v>
      </c>
      <c r="J3261" s="31" t="s">
        <v>967</v>
      </c>
      <c r="K3261" s="33" t="s">
        <v>9799</v>
      </c>
      <c r="L3261" s="31" t="s">
        <v>202</v>
      </c>
      <c r="N3261" s="31" t="s">
        <v>220</v>
      </c>
      <c r="S3261" s="31" t="s">
        <v>536</v>
      </c>
    </row>
    <row r="3262">
      <c r="A3262" s="29">
        <v>45989.40967875</v>
      </c>
      <c r="B3262" s="30">
        <v>45989.0</v>
      </c>
      <c r="C3262" s="31" t="s">
        <v>9800</v>
      </c>
      <c r="D3262" s="32" t="s">
        <v>9801</v>
      </c>
      <c r="E3262" s="31" t="s">
        <v>199</v>
      </c>
      <c r="F3262" s="31">
        <v>8600000.0</v>
      </c>
      <c r="G3262" s="31" t="s">
        <v>45</v>
      </c>
      <c r="H3262" s="31">
        <v>3000000.0</v>
      </c>
      <c r="I3262" s="31" t="s">
        <v>200</v>
      </c>
      <c r="K3262" s="33" t="s">
        <v>9802</v>
      </c>
      <c r="L3262" s="31" t="s">
        <v>202</v>
      </c>
      <c r="M3262" s="31" t="s">
        <v>383</v>
      </c>
      <c r="N3262" s="31" t="s">
        <v>667</v>
      </c>
      <c r="U3262" s="31" t="s">
        <v>668</v>
      </c>
    </row>
    <row r="3263">
      <c r="A3263" s="29">
        <v>45989.47060172453</v>
      </c>
      <c r="B3263" s="30">
        <v>45989.0</v>
      </c>
      <c r="C3263" s="31" t="s">
        <v>9803</v>
      </c>
      <c r="D3263" s="32" t="s">
        <v>9804</v>
      </c>
      <c r="E3263" s="31" t="s">
        <v>121</v>
      </c>
      <c r="F3263" s="31">
        <v>1900000.0</v>
      </c>
      <c r="G3263" s="31" t="s">
        <v>23</v>
      </c>
      <c r="I3263" s="31" t="s">
        <v>229</v>
      </c>
      <c r="J3263" s="31" t="s">
        <v>967</v>
      </c>
      <c r="K3263" s="33" t="s">
        <v>9805</v>
      </c>
      <c r="L3263" s="31" t="s">
        <v>202</v>
      </c>
      <c r="N3263" s="31" t="s">
        <v>871</v>
      </c>
      <c r="Q3263" s="31" t="s">
        <v>1021</v>
      </c>
    </row>
    <row r="3264">
      <c r="A3264" s="29">
        <v>45989.5307467824</v>
      </c>
      <c r="B3264" s="30">
        <v>45989.0</v>
      </c>
      <c r="C3264" s="31" t="s">
        <v>9806</v>
      </c>
      <c r="D3264" s="32" t="s">
        <v>9807</v>
      </c>
      <c r="E3264" s="31" t="s">
        <v>31</v>
      </c>
      <c r="F3264" s="31">
        <v>4399000.0</v>
      </c>
      <c r="G3264" s="31" t="s">
        <v>23</v>
      </c>
      <c r="I3264" s="31" t="s">
        <v>229</v>
      </c>
      <c r="J3264" s="31" t="s">
        <v>967</v>
      </c>
      <c r="K3264" s="33" t="s">
        <v>9808</v>
      </c>
      <c r="L3264" s="31" t="s">
        <v>202</v>
      </c>
      <c r="N3264" s="31" t="s">
        <v>204</v>
      </c>
      <c r="R3264" s="31" t="s">
        <v>207</v>
      </c>
    </row>
    <row r="3265">
      <c r="A3265" s="29">
        <v>45989.5604564699</v>
      </c>
      <c r="B3265" s="30">
        <v>45989.0</v>
      </c>
      <c r="C3265" s="31" t="s">
        <v>9809</v>
      </c>
      <c r="D3265" s="32" t="s">
        <v>9810</v>
      </c>
      <c r="E3265" s="31" t="s">
        <v>199</v>
      </c>
      <c r="F3265" s="31">
        <v>8600000.0</v>
      </c>
      <c r="G3265" s="31" t="s">
        <v>23</v>
      </c>
      <c r="H3265" s="31">
        <v>300000.0</v>
      </c>
      <c r="I3265" s="31" t="s">
        <v>200</v>
      </c>
      <c r="K3265" s="33" t="s">
        <v>9811</v>
      </c>
      <c r="L3265" s="31" t="s">
        <v>202</v>
      </c>
      <c r="M3265" s="31" t="s">
        <v>203</v>
      </c>
      <c r="N3265" s="31" t="s">
        <v>667</v>
      </c>
      <c r="U3265" s="31" t="s">
        <v>668</v>
      </c>
    </row>
    <row r="3266">
      <c r="A3266" s="29">
        <v>45989.56287807871</v>
      </c>
      <c r="B3266" s="30">
        <v>45989.0</v>
      </c>
      <c r="C3266" s="31" t="s">
        <v>9812</v>
      </c>
      <c r="D3266" s="32" t="s">
        <v>9813</v>
      </c>
      <c r="E3266" s="31" t="s">
        <v>31</v>
      </c>
      <c r="F3266" s="31">
        <v>4099000.0</v>
      </c>
      <c r="G3266" s="31" t="s">
        <v>23</v>
      </c>
      <c r="I3266" s="31" t="s">
        <v>229</v>
      </c>
      <c r="J3266" s="31" t="s">
        <v>967</v>
      </c>
      <c r="K3266" s="33" t="s">
        <v>9814</v>
      </c>
      <c r="L3266" s="31" t="s">
        <v>202</v>
      </c>
      <c r="N3266" s="31" t="s">
        <v>204</v>
      </c>
      <c r="R3266" s="31" t="s">
        <v>207</v>
      </c>
    </row>
    <row r="3267">
      <c r="A3267" s="29">
        <v>45989.56840362269</v>
      </c>
      <c r="B3267" s="30">
        <v>45989.0</v>
      </c>
      <c r="C3267" s="31" t="s">
        <v>9815</v>
      </c>
      <c r="D3267" s="32" t="s">
        <v>9816</v>
      </c>
      <c r="E3267" s="31" t="s">
        <v>43</v>
      </c>
      <c r="F3267" s="31">
        <v>5000000.0</v>
      </c>
      <c r="G3267" s="31" t="s">
        <v>23</v>
      </c>
      <c r="I3267" s="31" t="s">
        <v>229</v>
      </c>
      <c r="J3267" s="31" t="s">
        <v>967</v>
      </c>
      <c r="K3267" s="33" t="s">
        <v>9817</v>
      </c>
      <c r="L3267" s="31" t="s">
        <v>202</v>
      </c>
      <c r="N3267" s="31" t="s">
        <v>204</v>
      </c>
      <c r="R3267" s="31" t="s">
        <v>53</v>
      </c>
    </row>
    <row r="3268">
      <c r="A3268" s="29">
        <v>45989.608979282406</v>
      </c>
      <c r="B3268" s="30">
        <v>45989.0</v>
      </c>
      <c r="C3268" s="31" t="s">
        <v>9818</v>
      </c>
      <c r="D3268" s="32" t="s">
        <v>9819</v>
      </c>
      <c r="E3268" s="31" t="s">
        <v>43</v>
      </c>
      <c r="F3268" s="31">
        <v>3100000.0</v>
      </c>
      <c r="G3268" s="31" t="s">
        <v>23</v>
      </c>
      <c r="H3268" s="31">
        <v>3000000.0</v>
      </c>
      <c r="I3268" s="31" t="s">
        <v>413</v>
      </c>
      <c r="K3268" s="33" t="s">
        <v>9820</v>
      </c>
      <c r="L3268" s="31" t="s">
        <v>252</v>
      </c>
      <c r="M3268" s="31" t="s">
        <v>5638</v>
      </c>
      <c r="O3268" s="31" t="s">
        <v>257</v>
      </c>
      <c r="P3268" s="31" t="s">
        <v>3194</v>
      </c>
    </row>
    <row r="3269">
      <c r="A3269" s="29">
        <v>45989.61844341435</v>
      </c>
      <c r="B3269" s="30">
        <v>45989.0</v>
      </c>
      <c r="C3269" s="31" t="s">
        <v>9821</v>
      </c>
      <c r="D3269" s="32" t="s">
        <v>9822</v>
      </c>
      <c r="E3269" s="31" t="s">
        <v>261</v>
      </c>
      <c r="F3269" s="31">
        <v>1000000.0</v>
      </c>
      <c r="G3269" s="31" t="s">
        <v>23</v>
      </c>
      <c r="I3269" s="31" t="s">
        <v>229</v>
      </c>
      <c r="J3269" s="31" t="s">
        <v>967</v>
      </c>
      <c r="K3269" s="33" t="s">
        <v>9823</v>
      </c>
      <c r="L3269" s="31" t="s">
        <v>252</v>
      </c>
      <c r="O3269" s="31" t="s">
        <v>205</v>
      </c>
      <c r="X3269" s="31" t="s">
        <v>549</v>
      </c>
    </row>
    <row r="3270">
      <c r="A3270" s="29">
        <v>45989.63561311342</v>
      </c>
      <c r="B3270" s="30">
        <v>45989.0</v>
      </c>
      <c r="C3270" s="31" t="s">
        <v>9824</v>
      </c>
      <c r="D3270" s="32" t="s">
        <v>9825</v>
      </c>
      <c r="E3270" s="31" t="s">
        <v>199</v>
      </c>
      <c r="F3270" s="31">
        <v>1.3E7</v>
      </c>
      <c r="G3270" s="31" t="s">
        <v>23</v>
      </c>
      <c r="I3270" s="31" t="s">
        <v>229</v>
      </c>
      <c r="J3270" s="31" t="s">
        <v>165</v>
      </c>
      <c r="K3270" s="33" t="s">
        <v>9826</v>
      </c>
      <c r="L3270" s="31" t="s">
        <v>202</v>
      </c>
      <c r="N3270" s="31" t="s">
        <v>667</v>
      </c>
      <c r="U3270" s="31" t="s">
        <v>668</v>
      </c>
    </row>
    <row r="3271">
      <c r="A3271" s="29">
        <v>45989.638623287035</v>
      </c>
      <c r="B3271" s="30">
        <v>45989.0</v>
      </c>
      <c r="C3271" s="31" t="s">
        <v>9827</v>
      </c>
      <c r="D3271" s="32" t="s">
        <v>9828</v>
      </c>
      <c r="E3271" s="31" t="s">
        <v>261</v>
      </c>
      <c r="F3271" s="31">
        <v>5000000.0</v>
      </c>
      <c r="G3271" s="31" t="s">
        <v>45</v>
      </c>
      <c r="I3271" s="31" t="s">
        <v>229</v>
      </c>
      <c r="J3271" s="31" t="s">
        <v>967</v>
      </c>
      <c r="K3271" s="33" t="s">
        <v>9829</v>
      </c>
      <c r="L3271" s="31" t="s">
        <v>252</v>
      </c>
      <c r="O3271" s="31" t="s">
        <v>257</v>
      </c>
      <c r="P3271" s="31" t="s">
        <v>285</v>
      </c>
    </row>
    <row r="3272">
      <c r="A3272" s="29">
        <v>45989.6462883912</v>
      </c>
      <c r="B3272" s="30">
        <v>45989.0</v>
      </c>
      <c r="C3272" s="31" t="s">
        <v>9830</v>
      </c>
      <c r="D3272" s="32" t="s">
        <v>9831</v>
      </c>
      <c r="E3272" s="31" t="s">
        <v>43</v>
      </c>
      <c r="F3272" s="31">
        <v>4000000.0</v>
      </c>
      <c r="G3272" s="31" t="s">
        <v>45</v>
      </c>
      <c r="I3272" s="31" t="s">
        <v>229</v>
      </c>
      <c r="J3272" s="31" t="s">
        <v>967</v>
      </c>
      <c r="K3272" s="33" t="s">
        <v>9832</v>
      </c>
      <c r="L3272" s="31" t="s">
        <v>252</v>
      </c>
      <c r="O3272" s="31" t="s">
        <v>257</v>
      </c>
      <c r="P3272" s="31" t="s">
        <v>272</v>
      </c>
    </row>
    <row r="3273">
      <c r="A3273" s="29">
        <v>45989.667635150465</v>
      </c>
      <c r="B3273" s="30">
        <v>45989.0</v>
      </c>
      <c r="C3273" s="31" t="s">
        <v>9833</v>
      </c>
      <c r="D3273" s="32" t="s">
        <v>9834</v>
      </c>
      <c r="E3273" s="31" t="s">
        <v>288</v>
      </c>
      <c r="F3273" s="31">
        <v>3200000.0</v>
      </c>
      <c r="G3273" s="31" t="s">
        <v>23</v>
      </c>
      <c r="H3273" s="31">
        <v>3000000.0</v>
      </c>
      <c r="I3273" s="31" t="s">
        <v>200</v>
      </c>
      <c r="K3273" s="33" t="s">
        <v>9835</v>
      </c>
      <c r="L3273" s="31" t="s">
        <v>202</v>
      </c>
      <c r="M3273" s="31" t="s">
        <v>5638</v>
      </c>
      <c r="N3273" s="31" t="s">
        <v>220</v>
      </c>
      <c r="S3273" s="31" t="s">
        <v>90</v>
      </c>
    </row>
    <row r="3274">
      <c r="A3274" s="29">
        <v>45989.67000271991</v>
      </c>
      <c r="B3274" s="30">
        <v>45989.0</v>
      </c>
      <c r="C3274" s="31" t="s">
        <v>9836</v>
      </c>
      <c r="D3274" s="32" t="s">
        <v>9837</v>
      </c>
      <c r="E3274" s="31" t="s">
        <v>43</v>
      </c>
      <c r="F3274" s="31">
        <v>2100000.0</v>
      </c>
      <c r="G3274" s="31" t="s">
        <v>23</v>
      </c>
      <c r="I3274" s="31" t="s">
        <v>229</v>
      </c>
      <c r="J3274" s="31" t="s">
        <v>967</v>
      </c>
      <c r="K3274" s="33" t="s">
        <v>9838</v>
      </c>
      <c r="L3274" s="31" t="s">
        <v>202</v>
      </c>
      <c r="N3274" s="31" t="s">
        <v>871</v>
      </c>
      <c r="Q3274" s="31" t="s">
        <v>1021</v>
      </c>
    </row>
    <row r="3275">
      <c r="A3275" s="29">
        <v>45989.69166358796</v>
      </c>
      <c r="B3275" s="30">
        <v>45989.0</v>
      </c>
      <c r="C3275" s="31" t="s">
        <v>9839</v>
      </c>
      <c r="D3275" s="32" t="s">
        <v>9840</v>
      </c>
      <c r="E3275" s="31" t="s">
        <v>228</v>
      </c>
      <c r="F3275" s="31">
        <v>2000000.0</v>
      </c>
      <c r="G3275" s="31" t="s">
        <v>23</v>
      </c>
      <c r="I3275" s="31" t="s">
        <v>229</v>
      </c>
      <c r="J3275" s="31" t="s">
        <v>967</v>
      </c>
      <c r="K3275" s="33" t="s">
        <v>9841</v>
      </c>
      <c r="L3275" s="31" t="s">
        <v>202</v>
      </c>
      <c r="N3275" s="31" t="s">
        <v>204</v>
      </c>
      <c r="R3275" s="31" t="s">
        <v>892</v>
      </c>
    </row>
    <row r="3276">
      <c r="A3276" s="29">
        <v>45989.70697140046</v>
      </c>
      <c r="B3276" s="30">
        <v>45989.0</v>
      </c>
      <c r="C3276" s="31" t="s">
        <v>9842</v>
      </c>
      <c r="D3276" s="32" t="s">
        <v>9843</v>
      </c>
      <c r="E3276" s="31" t="s">
        <v>31</v>
      </c>
      <c r="F3276" s="31">
        <v>3999000.0</v>
      </c>
      <c r="G3276" s="31" t="s">
        <v>23</v>
      </c>
      <c r="H3276" s="31">
        <v>3000000.0</v>
      </c>
      <c r="I3276" s="31" t="s">
        <v>413</v>
      </c>
      <c r="K3276" s="33" t="s">
        <v>9844</v>
      </c>
      <c r="L3276" s="31" t="s">
        <v>202</v>
      </c>
      <c r="M3276" s="31" t="s">
        <v>5638</v>
      </c>
      <c r="N3276" s="31" t="s">
        <v>204</v>
      </c>
      <c r="R3276" s="31" t="s">
        <v>207</v>
      </c>
    </row>
    <row r="3277">
      <c r="A3277" s="29">
        <v>45989.73661871528</v>
      </c>
      <c r="B3277" s="30">
        <v>45989.0</v>
      </c>
      <c r="C3277" s="31" t="s">
        <v>9845</v>
      </c>
      <c r="D3277" s="32" t="s">
        <v>9846</v>
      </c>
      <c r="E3277" s="31" t="s">
        <v>8987</v>
      </c>
      <c r="F3277" s="31">
        <v>2.0E7</v>
      </c>
      <c r="G3277" s="31" t="s">
        <v>23</v>
      </c>
      <c r="I3277" s="31" t="s">
        <v>229</v>
      </c>
      <c r="J3277" s="31" t="s">
        <v>967</v>
      </c>
      <c r="K3277" s="33" t="s">
        <v>9847</v>
      </c>
      <c r="L3277" s="31" t="s">
        <v>202</v>
      </c>
      <c r="N3277" s="31" t="s">
        <v>500</v>
      </c>
      <c r="V3277" s="31" t="s">
        <v>6597</v>
      </c>
    </row>
    <row r="3278">
      <c r="A3278" s="29">
        <v>45989.745070324076</v>
      </c>
      <c r="B3278" s="30">
        <v>45989.0</v>
      </c>
      <c r="C3278" s="31" t="s">
        <v>9848</v>
      </c>
      <c r="D3278" s="32" t="s">
        <v>9846</v>
      </c>
      <c r="E3278" s="31" t="s">
        <v>409</v>
      </c>
      <c r="F3278" s="31">
        <v>6800000.0</v>
      </c>
      <c r="G3278" s="31" t="s">
        <v>23</v>
      </c>
      <c r="I3278" s="31" t="s">
        <v>229</v>
      </c>
      <c r="J3278" s="31" t="s">
        <v>967</v>
      </c>
      <c r="K3278" s="33" t="s">
        <v>9849</v>
      </c>
      <c r="L3278" s="31" t="s">
        <v>202</v>
      </c>
      <c r="N3278" s="31" t="s">
        <v>500</v>
      </c>
      <c r="V3278" s="31" t="s">
        <v>7537</v>
      </c>
    </row>
    <row r="3279">
      <c r="A3279" s="29">
        <v>45989.747746030094</v>
      </c>
      <c r="B3279" s="30">
        <v>45989.0</v>
      </c>
      <c r="C3279" s="31" t="s">
        <v>9850</v>
      </c>
      <c r="D3279" s="32" t="s">
        <v>9851</v>
      </c>
      <c r="E3279" s="31" t="s">
        <v>409</v>
      </c>
      <c r="F3279" s="31">
        <v>4000000.0</v>
      </c>
      <c r="G3279" s="31" t="s">
        <v>23</v>
      </c>
      <c r="H3279" s="31">
        <v>3000000.0</v>
      </c>
      <c r="I3279" s="31" t="s">
        <v>413</v>
      </c>
      <c r="K3279" s="33" t="s">
        <v>9852</v>
      </c>
      <c r="L3279" s="31" t="s">
        <v>202</v>
      </c>
      <c r="M3279" s="31" t="s">
        <v>5638</v>
      </c>
      <c r="N3279" s="31" t="s">
        <v>500</v>
      </c>
      <c r="V3279" s="31" t="s">
        <v>7537</v>
      </c>
    </row>
    <row r="3280">
      <c r="A3280" s="29">
        <v>45989.75699591435</v>
      </c>
      <c r="B3280" s="30">
        <v>45989.0</v>
      </c>
      <c r="C3280" s="31" t="s">
        <v>9853</v>
      </c>
      <c r="D3280" s="32" t="s">
        <v>3714</v>
      </c>
      <c r="E3280" s="31" t="s">
        <v>283</v>
      </c>
      <c r="F3280" s="31">
        <v>2000000.0</v>
      </c>
      <c r="G3280" s="31" t="s">
        <v>23</v>
      </c>
      <c r="I3280" s="31" t="s">
        <v>229</v>
      </c>
      <c r="J3280" s="31" t="s">
        <v>967</v>
      </c>
      <c r="K3280" s="33" t="s">
        <v>9854</v>
      </c>
      <c r="L3280" s="31" t="s">
        <v>202</v>
      </c>
      <c r="N3280" s="31" t="s">
        <v>215</v>
      </c>
      <c r="W3280" s="31" t="s">
        <v>532</v>
      </c>
    </row>
    <row r="3281">
      <c r="A3281" s="29">
        <v>45989.76004642361</v>
      </c>
      <c r="B3281" s="30">
        <v>45989.0</v>
      </c>
      <c r="C3281" s="31" t="s">
        <v>9855</v>
      </c>
      <c r="D3281" s="32" t="s">
        <v>9856</v>
      </c>
      <c r="E3281" s="31" t="s">
        <v>156</v>
      </c>
      <c r="F3281" s="31">
        <v>3700000.0</v>
      </c>
      <c r="G3281" s="31" t="s">
        <v>45</v>
      </c>
      <c r="H3281" s="31">
        <v>3000000.0</v>
      </c>
      <c r="I3281" s="31" t="s">
        <v>413</v>
      </c>
      <c r="K3281" s="33" t="s">
        <v>9857</v>
      </c>
      <c r="L3281" s="31" t="s">
        <v>252</v>
      </c>
      <c r="M3281" s="31" t="s">
        <v>605</v>
      </c>
      <c r="O3281" s="31" t="s">
        <v>205</v>
      </c>
      <c r="X3281" s="31" t="s">
        <v>569</v>
      </c>
    </row>
    <row r="3282">
      <c r="A3282" s="29">
        <v>45989.76315355324</v>
      </c>
      <c r="B3282" s="30">
        <v>45989.0</v>
      </c>
      <c r="C3282" s="31" t="s">
        <v>9858</v>
      </c>
      <c r="D3282" s="32" t="s">
        <v>9859</v>
      </c>
      <c r="E3282" s="31" t="s">
        <v>199</v>
      </c>
      <c r="F3282" s="31">
        <v>9700000.0</v>
      </c>
      <c r="G3282" s="31" t="s">
        <v>23</v>
      </c>
      <c r="I3282" s="31" t="s">
        <v>229</v>
      </c>
      <c r="J3282" s="31" t="s">
        <v>967</v>
      </c>
      <c r="K3282" s="33" t="s">
        <v>9860</v>
      </c>
      <c r="L3282" s="31" t="s">
        <v>252</v>
      </c>
      <c r="O3282" s="31" t="s">
        <v>257</v>
      </c>
      <c r="P3282" s="31" t="s">
        <v>258</v>
      </c>
    </row>
    <row r="3283">
      <c r="A3283" s="29">
        <v>45989.768154108795</v>
      </c>
      <c r="B3283" s="30">
        <v>45988.0</v>
      </c>
      <c r="C3283" s="31" t="s">
        <v>9861</v>
      </c>
      <c r="D3283" s="32" t="s">
        <v>9862</v>
      </c>
      <c r="E3283" s="31" t="s">
        <v>9863</v>
      </c>
      <c r="F3283" s="31">
        <v>3100000.0</v>
      </c>
      <c r="G3283" s="31" t="s">
        <v>23</v>
      </c>
      <c r="H3283" s="31">
        <v>1600009.0</v>
      </c>
      <c r="I3283" s="31" t="s">
        <v>413</v>
      </c>
      <c r="K3283" s="33" t="s">
        <v>9864</v>
      </c>
      <c r="L3283" s="31" t="s">
        <v>202</v>
      </c>
      <c r="M3283" s="31" t="s">
        <v>5638</v>
      </c>
      <c r="N3283" s="31" t="s">
        <v>220</v>
      </c>
      <c r="S3283" s="31" t="s">
        <v>8401</v>
      </c>
    </row>
    <row r="3284">
      <c r="A3284" s="29">
        <v>45989.795060868055</v>
      </c>
      <c r="B3284" s="30">
        <v>45989.0</v>
      </c>
      <c r="C3284" s="31" t="s">
        <v>9865</v>
      </c>
      <c r="D3284" s="31">
        <v>0.0</v>
      </c>
      <c r="E3284" s="31" t="s">
        <v>43</v>
      </c>
      <c r="F3284" s="32" t="s">
        <v>8677</v>
      </c>
      <c r="G3284" s="31" t="s">
        <v>23</v>
      </c>
      <c r="H3284" s="31">
        <v>3000000.0</v>
      </c>
      <c r="I3284" s="31" t="s">
        <v>413</v>
      </c>
      <c r="K3284" s="33" t="s">
        <v>9866</v>
      </c>
      <c r="L3284" s="31" t="s">
        <v>252</v>
      </c>
      <c r="M3284" s="31" t="s">
        <v>203</v>
      </c>
      <c r="O3284" s="31" t="s">
        <v>257</v>
      </c>
      <c r="P3284" s="31" t="s">
        <v>992</v>
      </c>
    </row>
    <row r="3285">
      <c r="A3285" s="29">
        <v>45989.79822916667</v>
      </c>
      <c r="B3285" s="30">
        <v>45989.0</v>
      </c>
      <c r="C3285" s="31" t="s">
        <v>9867</v>
      </c>
      <c r="D3285" s="31" t="s">
        <v>9868</v>
      </c>
      <c r="E3285" s="31" t="s">
        <v>1166</v>
      </c>
      <c r="F3285" s="31">
        <v>2500000.0</v>
      </c>
      <c r="G3285" s="31" t="s">
        <v>23</v>
      </c>
      <c r="H3285" s="31">
        <v>7000000.0</v>
      </c>
      <c r="I3285" s="31" t="s">
        <v>413</v>
      </c>
      <c r="K3285" s="33" t="s">
        <v>9869</v>
      </c>
      <c r="L3285" s="31" t="s">
        <v>202</v>
      </c>
      <c r="M3285" s="31" t="s">
        <v>5638</v>
      </c>
      <c r="N3285" s="31" t="s">
        <v>204</v>
      </c>
      <c r="R3285" s="31" t="s">
        <v>892</v>
      </c>
    </row>
    <row r="3286">
      <c r="A3286" s="29">
        <v>45989.80521265046</v>
      </c>
      <c r="B3286" s="30">
        <v>45989.0</v>
      </c>
      <c r="C3286" s="31" t="s">
        <v>9870</v>
      </c>
      <c r="D3286" s="32" t="s">
        <v>9871</v>
      </c>
      <c r="E3286" s="31" t="s">
        <v>43</v>
      </c>
      <c r="F3286" s="31">
        <v>6300000.0</v>
      </c>
      <c r="G3286" s="31" t="s">
        <v>23</v>
      </c>
      <c r="I3286" s="31" t="s">
        <v>229</v>
      </c>
      <c r="J3286" s="31" t="s">
        <v>967</v>
      </c>
      <c r="K3286" s="33" t="s">
        <v>9872</v>
      </c>
      <c r="L3286" s="31" t="s">
        <v>252</v>
      </c>
      <c r="O3286" s="31" t="s">
        <v>205</v>
      </c>
      <c r="X3286" s="31" t="s">
        <v>716</v>
      </c>
    </row>
    <row r="3287">
      <c r="A3287" s="29">
        <v>45989.81350440972</v>
      </c>
      <c r="B3287" s="30">
        <v>45989.0</v>
      </c>
      <c r="C3287" s="31" t="s">
        <v>9873</v>
      </c>
      <c r="D3287" s="32" t="s">
        <v>9874</v>
      </c>
      <c r="E3287" s="31" t="s">
        <v>1166</v>
      </c>
      <c r="F3287" s="31">
        <v>6000000.0</v>
      </c>
      <c r="G3287" s="31" t="s">
        <v>23</v>
      </c>
      <c r="I3287" s="31" t="s">
        <v>229</v>
      </c>
      <c r="J3287" s="31" t="s">
        <v>967</v>
      </c>
      <c r="K3287" s="33" t="s">
        <v>9875</v>
      </c>
      <c r="L3287" s="31" t="s">
        <v>202</v>
      </c>
      <c r="N3287" s="31" t="s">
        <v>313</v>
      </c>
      <c r="T3287" s="31" t="s">
        <v>384</v>
      </c>
    </row>
    <row r="3288">
      <c r="A3288" s="29">
        <v>45989.8258549537</v>
      </c>
      <c r="B3288" s="30">
        <v>45989.0</v>
      </c>
      <c r="C3288" s="31" t="s">
        <v>9876</v>
      </c>
      <c r="D3288" s="32" t="s">
        <v>9877</v>
      </c>
      <c r="E3288" s="31" t="s">
        <v>43</v>
      </c>
      <c r="F3288" s="31">
        <v>5500000.0</v>
      </c>
      <c r="G3288" s="31" t="s">
        <v>23</v>
      </c>
      <c r="I3288" s="31" t="s">
        <v>229</v>
      </c>
      <c r="J3288" s="31" t="s">
        <v>967</v>
      </c>
      <c r="K3288" s="33" t="s">
        <v>9878</v>
      </c>
      <c r="L3288" s="31" t="s">
        <v>202</v>
      </c>
      <c r="N3288" s="31" t="s">
        <v>220</v>
      </c>
      <c r="S3288" s="31" t="s">
        <v>536</v>
      </c>
    </row>
    <row r="3289">
      <c r="A3289" s="29">
        <v>45989.84897668981</v>
      </c>
      <c r="B3289" s="30">
        <v>45989.0</v>
      </c>
      <c r="C3289" s="31" t="s">
        <v>9879</v>
      </c>
      <c r="D3289" s="32" t="s">
        <v>9880</v>
      </c>
      <c r="E3289" s="31" t="s">
        <v>43</v>
      </c>
      <c r="F3289" s="31">
        <v>4000000.0</v>
      </c>
      <c r="G3289" s="31" t="s">
        <v>23</v>
      </c>
      <c r="I3289" s="31" t="s">
        <v>229</v>
      </c>
      <c r="J3289" s="31" t="s">
        <v>967</v>
      </c>
      <c r="K3289" s="33" t="s">
        <v>9881</v>
      </c>
      <c r="L3289" s="31" t="s">
        <v>252</v>
      </c>
      <c r="O3289" s="31" t="s">
        <v>205</v>
      </c>
      <c r="X3289" s="31" t="s">
        <v>9016</v>
      </c>
    </row>
    <row r="3290">
      <c r="A3290" s="29">
        <v>45989.87085931713</v>
      </c>
      <c r="B3290" s="30">
        <v>45989.0</v>
      </c>
      <c r="C3290" s="31" t="s">
        <v>9882</v>
      </c>
      <c r="D3290" s="32" t="s">
        <v>9883</v>
      </c>
      <c r="E3290" s="31" t="s">
        <v>2902</v>
      </c>
      <c r="F3290" s="31">
        <v>3400000.0</v>
      </c>
      <c r="G3290" s="31" t="s">
        <v>23</v>
      </c>
      <c r="I3290" s="31" t="s">
        <v>229</v>
      </c>
      <c r="J3290" s="31" t="s">
        <v>967</v>
      </c>
      <c r="K3290" s="33" t="s">
        <v>9884</v>
      </c>
      <c r="L3290" s="31" t="s">
        <v>202</v>
      </c>
      <c r="N3290" s="31" t="s">
        <v>220</v>
      </c>
      <c r="S3290" s="31" t="s">
        <v>36</v>
      </c>
    </row>
    <row r="3291">
      <c r="A3291" s="29">
        <v>45989.89333880787</v>
      </c>
      <c r="B3291" s="30">
        <v>45989.0</v>
      </c>
      <c r="C3291" s="31" t="s">
        <v>9885</v>
      </c>
      <c r="D3291" s="32" t="s">
        <v>9886</v>
      </c>
      <c r="E3291" s="31" t="s">
        <v>43</v>
      </c>
      <c r="F3291" s="31">
        <v>5500000.0</v>
      </c>
      <c r="G3291" s="31" t="s">
        <v>23</v>
      </c>
      <c r="I3291" s="31" t="s">
        <v>229</v>
      </c>
      <c r="J3291" s="31" t="s">
        <v>967</v>
      </c>
      <c r="K3291" s="33" t="s">
        <v>9887</v>
      </c>
      <c r="L3291" s="31" t="s">
        <v>202</v>
      </c>
      <c r="N3291" s="31" t="s">
        <v>220</v>
      </c>
      <c r="S3291" s="31" t="s">
        <v>536</v>
      </c>
    </row>
    <row r="3292">
      <c r="A3292" s="29">
        <v>45990.371436574074</v>
      </c>
      <c r="B3292" s="30">
        <v>45989.0</v>
      </c>
      <c r="C3292" s="31" t="s">
        <v>9888</v>
      </c>
      <c r="D3292" s="32" t="s">
        <v>9889</v>
      </c>
      <c r="E3292" s="31" t="s">
        <v>43</v>
      </c>
      <c r="F3292" s="31">
        <v>5400000.0</v>
      </c>
      <c r="G3292" s="31" t="s">
        <v>23</v>
      </c>
      <c r="H3292" s="31">
        <v>3000000.0</v>
      </c>
      <c r="I3292" s="31" t="s">
        <v>200</v>
      </c>
      <c r="K3292" s="33" t="s">
        <v>9890</v>
      </c>
      <c r="L3292" s="31" t="s">
        <v>252</v>
      </c>
      <c r="M3292" s="31" t="s">
        <v>203</v>
      </c>
      <c r="O3292" s="31" t="s">
        <v>205</v>
      </c>
      <c r="X3292" s="31" t="s">
        <v>2335</v>
      </c>
    </row>
    <row r="3293">
      <c r="A3293" s="29">
        <v>45990.41650017361</v>
      </c>
      <c r="B3293" s="30">
        <v>45990.0</v>
      </c>
      <c r="C3293" s="31" t="s">
        <v>9891</v>
      </c>
      <c r="D3293" s="32" t="s">
        <v>9892</v>
      </c>
      <c r="E3293" s="31" t="s">
        <v>43</v>
      </c>
      <c r="F3293" s="31">
        <v>1800000.0</v>
      </c>
      <c r="G3293" s="31" t="s">
        <v>23</v>
      </c>
      <c r="I3293" s="31" t="s">
        <v>229</v>
      </c>
      <c r="J3293" s="31" t="s">
        <v>967</v>
      </c>
      <c r="K3293" s="33" t="s">
        <v>9893</v>
      </c>
      <c r="L3293" s="31" t="s">
        <v>202</v>
      </c>
      <c r="N3293" s="31" t="s">
        <v>871</v>
      </c>
      <c r="Q3293" s="31" t="s">
        <v>1021</v>
      </c>
    </row>
    <row r="3294">
      <c r="A3294" s="29">
        <v>45990.475624618055</v>
      </c>
      <c r="B3294" s="30">
        <v>45990.0</v>
      </c>
      <c r="C3294" s="31" t="s">
        <v>9894</v>
      </c>
      <c r="D3294" s="32" t="s">
        <v>9895</v>
      </c>
      <c r="E3294" s="31" t="s">
        <v>43</v>
      </c>
      <c r="F3294" s="31">
        <v>9600000.0</v>
      </c>
      <c r="G3294" s="31" t="s">
        <v>23</v>
      </c>
      <c r="I3294" s="31" t="s">
        <v>229</v>
      </c>
      <c r="J3294" s="31" t="s">
        <v>967</v>
      </c>
      <c r="K3294" s="33" t="s">
        <v>9896</v>
      </c>
      <c r="L3294" s="31" t="s">
        <v>202</v>
      </c>
      <c r="N3294" s="31" t="s">
        <v>667</v>
      </c>
      <c r="U3294" s="31" t="s">
        <v>668</v>
      </c>
    </row>
    <row r="3295">
      <c r="A3295" s="29">
        <v>45990.47993583333</v>
      </c>
      <c r="B3295" s="30">
        <v>45990.0</v>
      </c>
      <c r="C3295" s="31" t="s">
        <v>9897</v>
      </c>
      <c r="D3295" s="32" t="s">
        <v>9898</v>
      </c>
      <c r="E3295" s="31" t="s">
        <v>2902</v>
      </c>
      <c r="F3295" s="31">
        <v>4600000.0</v>
      </c>
      <c r="G3295" s="31" t="s">
        <v>23</v>
      </c>
      <c r="I3295" s="31" t="s">
        <v>229</v>
      </c>
      <c r="J3295" s="31" t="s">
        <v>967</v>
      </c>
      <c r="K3295" s="33" t="s">
        <v>9899</v>
      </c>
      <c r="L3295" s="31" t="s">
        <v>202</v>
      </c>
      <c r="N3295" s="31" t="s">
        <v>220</v>
      </c>
      <c r="S3295" s="31" t="s">
        <v>36</v>
      </c>
    </row>
    <row r="3296">
      <c r="A3296" s="29">
        <v>45990.48699466435</v>
      </c>
      <c r="B3296" s="30">
        <v>45990.0</v>
      </c>
      <c r="C3296" s="31" t="s">
        <v>9900</v>
      </c>
      <c r="D3296" s="32" t="s">
        <v>3447</v>
      </c>
      <c r="E3296" s="31" t="s">
        <v>43</v>
      </c>
      <c r="F3296" s="31">
        <v>4500000.0</v>
      </c>
      <c r="G3296" s="31" t="s">
        <v>23</v>
      </c>
      <c r="I3296" s="31" t="s">
        <v>229</v>
      </c>
      <c r="J3296" s="31" t="s">
        <v>967</v>
      </c>
      <c r="K3296" s="33" t="s">
        <v>9901</v>
      </c>
      <c r="L3296" s="31" t="s">
        <v>202</v>
      </c>
      <c r="N3296" s="31" t="s">
        <v>204</v>
      </c>
      <c r="R3296" s="31" t="s">
        <v>98</v>
      </c>
    </row>
    <row r="3297">
      <c r="A3297" s="29">
        <v>45990.504914375</v>
      </c>
      <c r="B3297" s="30">
        <v>45990.0</v>
      </c>
      <c r="C3297" s="31" t="s">
        <v>9902</v>
      </c>
      <c r="D3297" s="32" t="s">
        <v>9903</v>
      </c>
      <c r="E3297" s="31" t="s">
        <v>9904</v>
      </c>
      <c r="F3297" s="31">
        <v>4000000.0</v>
      </c>
      <c r="G3297" s="31" t="s">
        <v>23</v>
      </c>
      <c r="I3297" s="31" t="s">
        <v>229</v>
      </c>
      <c r="J3297" s="31" t="s">
        <v>967</v>
      </c>
      <c r="K3297" s="33" t="s">
        <v>9905</v>
      </c>
      <c r="L3297" s="31" t="s">
        <v>202</v>
      </c>
      <c r="N3297" s="31" t="s">
        <v>204</v>
      </c>
      <c r="R3297" s="31" t="s">
        <v>98</v>
      </c>
    </row>
    <row r="3298">
      <c r="A3298" s="29">
        <v>45990.507240543986</v>
      </c>
      <c r="B3298" s="30">
        <v>45990.0</v>
      </c>
      <c r="C3298" s="31" t="s">
        <v>9906</v>
      </c>
      <c r="D3298" s="32" t="s">
        <v>9907</v>
      </c>
      <c r="E3298" s="31" t="s">
        <v>784</v>
      </c>
      <c r="F3298" s="31">
        <v>3500000.0</v>
      </c>
      <c r="G3298" s="31" t="s">
        <v>23</v>
      </c>
      <c r="I3298" s="31" t="s">
        <v>229</v>
      </c>
      <c r="J3298" s="31" t="s">
        <v>967</v>
      </c>
      <c r="K3298" s="33" t="s">
        <v>9908</v>
      </c>
      <c r="L3298" s="31" t="s">
        <v>202</v>
      </c>
      <c r="N3298" s="31" t="s">
        <v>204</v>
      </c>
      <c r="R3298" s="31" t="s">
        <v>98</v>
      </c>
    </row>
    <row r="3299">
      <c r="A3299" s="29">
        <v>45990.509537499995</v>
      </c>
      <c r="B3299" s="30">
        <v>45990.0</v>
      </c>
      <c r="C3299" s="31" t="s">
        <v>9909</v>
      </c>
      <c r="D3299" s="32" t="s">
        <v>9910</v>
      </c>
      <c r="E3299" s="31" t="s">
        <v>43</v>
      </c>
      <c r="F3299" s="31">
        <v>3400000.0</v>
      </c>
      <c r="G3299" s="31" t="s">
        <v>23</v>
      </c>
      <c r="H3299" s="31">
        <v>7000000.0</v>
      </c>
      <c r="I3299" s="31" t="s">
        <v>413</v>
      </c>
      <c r="K3299" s="33" t="s">
        <v>9911</v>
      </c>
      <c r="L3299" s="31" t="s">
        <v>202</v>
      </c>
      <c r="M3299" s="31" t="s">
        <v>926</v>
      </c>
      <c r="N3299" s="31" t="s">
        <v>204</v>
      </c>
      <c r="R3299" s="31" t="s">
        <v>53</v>
      </c>
    </row>
    <row r="3300">
      <c r="A3300" s="29">
        <v>45990.55425638889</v>
      </c>
      <c r="B3300" s="30">
        <v>45990.0</v>
      </c>
      <c r="C3300" s="31" t="s">
        <v>9912</v>
      </c>
      <c r="D3300" s="32" t="s">
        <v>9913</v>
      </c>
      <c r="E3300" s="31" t="s">
        <v>493</v>
      </c>
      <c r="F3300" s="31">
        <v>7600000.0</v>
      </c>
      <c r="G3300" s="31" t="s">
        <v>23</v>
      </c>
      <c r="I3300" s="31" t="s">
        <v>229</v>
      </c>
      <c r="J3300" s="31" t="s">
        <v>967</v>
      </c>
      <c r="K3300" s="33" t="s">
        <v>9914</v>
      </c>
      <c r="L3300" s="31" t="s">
        <v>202</v>
      </c>
      <c r="N3300" s="31" t="s">
        <v>204</v>
      </c>
      <c r="R3300" s="31" t="s">
        <v>98</v>
      </c>
    </row>
    <row r="3301">
      <c r="A3301" s="29">
        <v>45990.558139872686</v>
      </c>
      <c r="B3301" s="30">
        <v>45990.0</v>
      </c>
      <c r="C3301" s="31" t="s">
        <v>9915</v>
      </c>
      <c r="D3301" s="32" t="s">
        <v>9916</v>
      </c>
      <c r="E3301" s="31" t="s">
        <v>9917</v>
      </c>
      <c r="F3301" s="31">
        <v>3600000.0</v>
      </c>
      <c r="G3301" s="31" t="s">
        <v>23</v>
      </c>
      <c r="H3301" s="31">
        <v>3000000.0</v>
      </c>
      <c r="I3301" s="31" t="s">
        <v>200</v>
      </c>
      <c r="K3301" s="33" t="s">
        <v>9918</v>
      </c>
      <c r="L3301" s="31" t="s">
        <v>252</v>
      </c>
      <c r="M3301" s="31" t="s">
        <v>203</v>
      </c>
      <c r="O3301" s="31" t="s">
        <v>205</v>
      </c>
      <c r="X3301" s="31" t="s">
        <v>452</v>
      </c>
    </row>
    <row r="3302">
      <c r="A3302" s="29">
        <v>45990.574054467594</v>
      </c>
      <c r="B3302" s="30">
        <v>45990.0</v>
      </c>
      <c r="C3302" s="31" t="s">
        <v>9919</v>
      </c>
      <c r="D3302" s="32" t="s">
        <v>9920</v>
      </c>
      <c r="E3302" s="31" t="s">
        <v>43</v>
      </c>
      <c r="F3302" s="31">
        <v>4000000.0</v>
      </c>
      <c r="G3302" s="31" t="s">
        <v>45</v>
      </c>
      <c r="I3302" s="31" t="s">
        <v>229</v>
      </c>
      <c r="J3302" s="31" t="s">
        <v>967</v>
      </c>
      <c r="K3302" s="33" t="s">
        <v>9921</v>
      </c>
      <c r="L3302" s="31" t="s">
        <v>202</v>
      </c>
      <c r="N3302" s="31" t="s">
        <v>204</v>
      </c>
      <c r="R3302" s="31" t="s">
        <v>98</v>
      </c>
    </row>
    <row r="3303">
      <c r="A3303" s="29">
        <v>45990.57438358796</v>
      </c>
      <c r="B3303" s="30">
        <v>45990.0</v>
      </c>
      <c r="C3303" s="31" t="s">
        <v>9922</v>
      </c>
      <c r="D3303" s="32" t="s">
        <v>9923</v>
      </c>
      <c r="E3303" s="31" t="s">
        <v>2902</v>
      </c>
      <c r="F3303" s="31">
        <v>5000000.0</v>
      </c>
      <c r="G3303" s="31" t="s">
        <v>23</v>
      </c>
      <c r="I3303" s="31" t="s">
        <v>229</v>
      </c>
      <c r="J3303" s="31" t="s">
        <v>967</v>
      </c>
      <c r="K3303" s="33" t="s">
        <v>9924</v>
      </c>
      <c r="L3303" s="31" t="s">
        <v>202</v>
      </c>
      <c r="N3303" s="31" t="s">
        <v>220</v>
      </c>
      <c r="S3303" s="31" t="s">
        <v>36</v>
      </c>
    </row>
    <row r="3304">
      <c r="A3304" s="29">
        <v>45990.57518809028</v>
      </c>
      <c r="B3304" s="30">
        <v>45990.0</v>
      </c>
      <c r="C3304" s="31" t="s">
        <v>9925</v>
      </c>
      <c r="D3304" s="32" t="s">
        <v>9926</v>
      </c>
      <c r="E3304" s="31" t="s">
        <v>43</v>
      </c>
      <c r="F3304" s="31">
        <v>4500000.0</v>
      </c>
      <c r="G3304" s="31" t="s">
        <v>45</v>
      </c>
      <c r="I3304" s="31" t="s">
        <v>229</v>
      </c>
      <c r="J3304" s="31" t="s">
        <v>967</v>
      </c>
      <c r="K3304" s="33" t="s">
        <v>9927</v>
      </c>
      <c r="L3304" s="31" t="s">
        <v>202</v>
      </c>
      <c r="N3304" s="31" t="s">
        <v>204</v>
      </c>
      <c r="R3304" s="31" t="s">
        <v>98</v>
      </c>
    </row>
    <row r="3305">
      <c r="A3305" s="29">
        <v>45990.58114525463</v>
      </c>
      <c r="B3305" s="30">
        <v>45990.0</v>
      </c>
      <c r="C3305" s="31" t="s">
        <v>9928</v>
      </c>
      <c r="D3305" s="32" t="s">
        <v>9929</v>
      </c>
      <c r="E3305" s="31" t="s">
        <v>43</v>
      </c>
      <c r="F3305" s="31">
        <v>3200000.0</v>
      </c>
      <c r="G3305" s="31" t="s">
        <v>23</v>
      </c>
      <c r="H3305" s="31">
        <v>3000000.0</v>
      </c>
      <c r="I3305" s="31" t="s">
        <v>413</v>
      </c>
      <c r="K3305" s="33" t="s">
        <v>9930</v>
      </c>
      <c r="L3305" s="31" t="s">
        <v>202</v>
      </c>
      <c r="M3305" s="31" t="s">
        <v>203</v>
      </c>
      <c r="N3305" s="31" t="s">
        <v>667</v>
      </c>
      <c r="U3305" s="31" t="s">
        <v>3950</v>
      </c>
    </row>
    <row r="3306">
      <c r="A3306" s="29">
        <v>45990.58884108796</v>
      </c>
      <c r="B3306" s="30">
        <v>45990.0</v>
      </c>
      <c r="C3306" s="31" t="s">
        <v>9931</v>
      </c>
      <c r="D3306" s="32" t="s">
        <v>9932</v>
      </c>
      <c r="E3306" s="31" t="s">
        <v>261</v>
      </c>
      <c r="F3306" s="31">
        <v>5000000.0</v>
      </c>
      <c r="G3306" s="31" t="s">
        <v>45</v>
      </c>
      <c r="I3306" s="31" t="s">
        <v>229</v>
      </c>
      <c r="J3306" s="31" t="s">
        <v>967</v>
      </c>
      <c r="K3306" s="33" t="s">
        <v>9933</v>
      </c>
      <c r="L3306" s="31" t="s">
        <v>252</v>
      </c>
      <c r="O3306" s="31" t="s">
        <v>257</v>
      </c>
      <c r="P3306" s="31" t="s">
        <v>285</v>
      </c>
    </row>
    <row r="3307">
      <c r="A3307" s="29">
        <v>45990.59157283565</v>
      </c>
      <c r="B3307" s="30">
        <v>45990.0</v>
      </c>
      <c r="C3307" s="31" t="s">
        <v>9934</v>
      </c>
      <c r="D3307" s="32" t="s">
        <v>9935</v>
      </c>
      <c r="E3307" s="31" t="s">
        <v>199</v>
      </c>
      <c r="F3307" s="31">
        <v>2800000.0</v>
      </c>
      <c r="G3307" s="31" t="s">
        <v>23</v>
      </c>
      <c r="I3307" s="31" t="s">
        <v>229</v>
      </c>
      <c r="J3307" s="31" t="s">
        <v>967</v>
      </c>
      <c r="K3307" s="33" t="s">
        <v>9936</v>
      </c>
      <c r="L3307" s="31" t="s">
        <v>202</v>
      </c>
      <c r="N3307" s="31" t="s">
        <v>667</v>
      </c>
      <c r="U3307" s="31" t="s">
        <v>3950</v>
      </c>
    </row>
    <row r="3308">
      <c r="A3308" s="29">
        <v>45990.59509877315</v>
      </c>
      <c r="B3308" s="30">
        <v>45990.0</v>
      </c>
      <c r="C3308" s="31" t="s">
        <v>9937</v>
      </c>
      <c r="D3308" s="32" t="s">
        <v>9938</v>
      </c>
      <c r="E3308" s="31" t="s">
        <v>199</v>
      </c>
      <c r="F3308" s="31">
        <v>5000000.0</v>
      </c>
      <c r="G3308" s="31" t="s">
        <v>45</v>
      </c>
      <c r="H3308" s="31">
        <v>5000000.0</v>
      </c>
      <c r="I3308" s="31" t="s">
        <v>200</v>
      </c>
      <c r="K3308" s="33" t="s">
        <v>9939</v>
      </c>
      <c r="L3308" s="31" t="s">
        <v>252</v>
      </c>
      <c r="M3308" s="31" t="s">
        <v>203</v>
      </c>
      <c r="O3308" s="31" t="s">
        <v>205</v>
      </c>
      <c r="X3308" s="31" t="s">
        <v>253</v>
      </c>
    </row>
    <row r="3309">
      <c r="A3309" s="29">
        <v>45990.5990112963</v>
      </c>
      <c r="B3309" s="30">
        <v>45990.0</v>
      </c>
      <c r="C3309" s="31" t="s">
        <v>9940</v>
      </c>
      <c r="D3309" s="32" t="s">
        <v>9941</v>
      </c>
      <c r="E3309" s="31" t="s">
        <v>8365</v>
      </c>
      <c r="F3309" s="31">
        <v>5600000.0</v>
      </c>
      <c r="G3309" s="31" t="s">
        <v>23</v>
      </c>
      <c r="H3309" s="31">
        <v>3000000.0</v>
      </c>
      <c r="I3309" s="31" t="s">
        <v>413</v>
      </c>
      <c r="K3309" s="33" t="s">
        <v>9942</v>
      </c>
      <c r="L3309" s="31" t="s">
        <v>202</v>
      </c>
      <c r="M3309" s="31" t="s">
        <v>5638</v>
      </c>
      <c r="N3309" s="31" t="s">
        <v>500</v>
      </c>
      <c r="V3309" s="31" t="s">
        <v>7537</v>
      </c>
    </row>
    <row r="3310">
      <c r="A3310" s="29">
        <v>45990.61238648148</v>
      </c>
      <c r="B3310" s="30">
        <v>45990.0</v>
      </c>
      <c r="C3310" s="31" t="s">
        <v>9943</v>
      </c>
      <c r="D3310" s="31">
        <v>0.0</v>
      </c>
      <c r="E3310" s="31" t="s">
        <v>43</v>
      </c>
      <c r="F3310" s="32" t="s">
        <v>8677</v>
      </c>
      <c r="G3310" s="31" t="s">
        <v>23</v>
      </c>
      <c r="H3310" s="31">
        <v>3000000.0</v>
      </c>
      <c r="I3310" s="31" t="s">
        <v>200</v>
      </c>
      <c r="K3310" s="33" t="s">
        <v>9944</v>
      </c>
      <c r="L3310" s="31" t="s">
        <v>252</v>
      </c>
      <c r="M3310" s="31" t="s">
        <v>203</v>
      </c>
      <c r="O3310" s="31" t="s">
        <v>257</v>
      </c>
      <c r="P3310" s="31" t="s">
        <v>992</v>
      </c>
    </row>
    <row r="3311">
      <c r="A3311" s="29">
        <v>45990.62385228009</v>
      </c>
      <c r="B3311" s="30">
        <v>45990.0</v>
      </c>
      <c r="C3311" s="31" t="s">
        <v>9945</v>
      </c>
      <c r="D3311" s="32" t="s">
        <v>9946</v>
      </c>
      <c r="E3311" s="31" t="s">
        <v>239</v>
      </c>
      <c r="F3311" s="31">
        <v>9000000.0</v>
      </c>
      <c r="G3311" s="31" t="s">
        <v>45</v>
      </c>
      <c r="I3311" s="31" t="s">
        <v>229</v>
      </c>
      <c r="J3311" s="31" t="s">
        <v>967</v>
      </c>
      <c r="K3311" s="33" t="s">
        <v>9947</v>
      </c>
      <c r="L3311" s="31" t="s">
        <v>252</v>
      </c>
      <c r="O3311" s="31" t="s">
        <v>257</v>
      </c>
      <c r="P3311" s="31" t="s">
        <v>285</v>
      </c>
    </row>
    <row r="3312">
      <c r="A3312" s="29">
        <v>45990.633714282405</v>
      </c>
      <c r="B3312" s="30">
        <v>45990.0</v>
      </c>
      <c r="C3312" s="31" t="s">
        <v>9948</v>
      </c>
      <c r="D3312" s="32" t="s">
        <v>9949</v>
      </c>
      <c r="E3312" s="31" t="s">
        <v>43</v>
      </c>
      <c r="F3312" s="31">
        <v>150000.0</v>
      </c>
      <c r="G3312" s="31" t="s">
        <v>23</v>
      </c>
      <c r="I3312" s="31" t="s">
        <v>229</v>
      </c>
      <c r="J3312" s="31" t="s">
        <v>967</v>
      </c>
      <c r="K3312" s="33" t="s">
        <v>9950</v>
      </c>
      <c r="L3312" s="31" t="s">
        <v>202</v>
      </c>
      <c r="N3312" s="31" t="s">
        <v>313</v>
      </c>
      <c r="T3312" s="31" t="s">
        <v>4272</v>
      </c>
    </row>
    <row r="3313">
      <c r="A3313" s="29">
        <v>45990.63397858797</v>
      </c>
      <c r="B3313" s="30" t="s">
        <v>9951</v>
      </c>
      <c r="C3313" s="31" t="s">
        <v>9952</v>
      </c>
      <c r="D3313" s="32" t="s">
        <v>9953</v>
      </c>
      <c r="E3313" s="31" t="s">
        <v>199</v>
      </c>
      <c r="F3313" s="31">
        <v>3000000.0</v>
      </c>
      <c r="G3313" s="31" t="s">
        <v>45</v>
      </c>
      <c r="H3313" s="31">
        <v>5000000.0</v>
      </c>
      <c r="I3313" s="31" t="s">
        <v>413</v>
      </c>
      <c r="K3313" s="33" t="s">
        <v>9954</v>
      </c>
      <c r="L3313" s="31" t="s">
        <v>202</v>
      </c>
      <c r="M3313" s="31" t="s">
        <v>605</v>
      </c>
      <c r="N3313" s="31" t="s">
        <v>215</v>
      </c>
      <c r="W3313" s="31" t="s">
        <v>216</v>
      </c>
    </row>
    <row r="3314">
      <c r="A3314" s="29">
        <v>45990.63698269676</v>
      </c>
      <c r="B3314" s="30">
        <v>45990.0</v>
      </c>
      <c r="C3314" s="31" t="s">
        <v>9955</v>
      </c>
      <c r="D3314" s="32" t="s">
        <v>9956</v>
      </c>
      <c r="E3314" s="31" t="s">
        <v>31</v>
      </c>
      <c r="F3314" s="31">
        <v>9700000.0</v>
      </c>
      <c r="G3314" s="31" t="s">
        <v>23</v>
      </c>
      <c r="H3314" s="31">
        <v>3000000.0</v>
      </c>
      <c r="I3314" s="31" t="s">
        <v>413</v>
      </c>
      <c r="K3314" s="33" t="s">
        <v>9957</v>
      </c>
      <c r="L3314" s="31" t="s">
        <v>202</v>
      </c>
      <c r="M3314" s="31" t="s">
        <v>5638</v>
      </c>
      <c r="N3314" s="31" t="s">
        <v>313</v>
      </c>
      <c r="T3314" s="31" t="s">
        <v>329</v>
      </c>
    </row>
    <row r="3315">
      <c r="A3315" s="29">
        <v>45990.64976756944</v>
      </c>
      <c r="B3315" s="30">
        <v>45990.0</v>
      </c>
      <c r="C3315" s="31" t="s">
        <v>9958</v>
      </c>
      <c r="D3315" s="32" t="s">
        <v>9959</v>
      </c>
      <c r="E3315" s="31" t="s">
        <v>288</v>
      </c>
      <c r="F3315" s="31">
        <v>5000000.0</v>
      </c>
      <c r="G3315" s="31" t="s">
        <v>45</v>
      </c>
      <c r="I3315" s="31" t="s">
        <v>229</v>
      </c>
      <c r="J3315" s="31" t="s">
        <v>967</v>
      </c>
      <c r="K3315" s="33" t="s">
        <v>9960</v>
      </c>
      <c r="L3315" s="31" t="s">
        <v>252</v>
      </c>
      <c r="O3315" s="31" t="s">
        <v>257</v>
      </c>
      <c r="P3315" s="31" t="s">
        <v>285</v>
      </c>
    </row>
    <row r="3316">
      <c r="A3316" s="29">
        <v>45990.67542681713</v>
      </c>
      <c r="B3316" s="30">
        <v>45990.0</v>
      </c>
      <c r="C3316" s="31" t="s">
        <v>9961</v>
      </c>
      <c r="D3316" s="32" t="s">
        <v>9962</v>
      </c>
      <c r="E3316" s="31" t="s">
        <v>283</v>
      </c>
      <c r="F3316" s="31">
        <v>5000000.0</v>
      </c>
      <c r="G3316" s="31" t="s">
        <v>45</v>
      </c>
      <c r="I3316" s="31" t="s">
        <v>229</v>
      </c>
      <c r="J3316" s="31" t="s">
        <v>967</v>
      </c>
      <c r="K3316" s="33" t="s">
        <v>9963</v>
      </c>
      <c r="L3316" s="31" t="s">
        <v>252</v>
      </c>
      <c r="O3316" s="31" t="s">
        <v>257</v>
      </c>
      <c r="P3316" s="31" t="s">
        <v>285</v>
      </c>
    </row>
    <row r="3317">
      <c r="A3317" s="29">
        <v>45990.72281577546</v>
      </c>
      <c r="B3317" s="30">
        <v>45990.0</v>
      </c>
      <c r="C3317" s="31" t="s">
        <v>9964</v>
      </c>
      <c r="D3317" s="31">
        <v>0.0</v>
      </c>
      <c r="E3317" s="31" t="s">
        <v>43</v>
      </c>
      <c r="F3317" s="32" t="s">
        <v>5089</v>
      </c>
      <c r="G3317" s="31" t="s">
        <v>23</v>
      </c>
      <c r="I3317" s="31" t="s">
        <v>229</v>
      </c>
      <c r="J3317" s="31" t="s">
        <v>967</v>
      </c>
      <c r="K3317" s="33" t="s">
        <v>9965</v>
      </c>
      <c r="L3317" s="31" t="s">
        <v>252</v>
      </c>
      <c r="O3317" s="31" t="s">
        <v>257</v>
      </c>
      <c r="P3317" s="31" t="s">
        <v>992</v>
      </c>
    </row>
    <row r="3318">
      <c r="A3318" s="29">
        <v>45990.73241408565</v>
      </c>
      <c r="B3318" s="30">
        <v>45990.0</v>
      </c>
      <c r="C3318" s="31" t="s">
        <v>9966</v>
      </c>
      <c r="D3318" s="32" t="s">
        <v>9967</v>
      </c>
      <c r="E3318" s="31" t="s">
        <v>43</v>
      </c>
      <c r="F3318" s="31">
        <v>3000000.0</v>
      </c>
      <c r="G3318" s="31" t="s">
        <v>23</v>
      </c>
      <c r="I3318" s="31" t="s">
        <v>229</v>
      </c>
      <c r="J3318" s="31" t="s">
        <v>967</v>
      </c>
      <c r="K3318" s="33" t="s">
        <v>9968</v>
      </c>
      <c r="L3318" s="31" t="s">
        <v>202</v>
      </c>
      <c r="N3318" s="31" t="s">
        <v>215</v>
      </c>
      <c r="W3318" s="31" t="s">
        <v>389</v>
      </c>
    </row>
    <row r="3319">
      <c r="A3319" s="29">
        <v>45990.732679340275</v>
      </c>
      <c r="B3319" s="30">
        <v>45990.0</v>
      </c>
      <c r="C3319" s="31" t="s">
        <v>9969</v>
      </c>
      <c r="D3319" s="32" t="s">
        <v>907</v>
      </c>
      <c r="E3319" s="31" t="s">
        <v>239</v>
      </c>
      <c r="F3319" s="31">
        <v>2000000.0</v>
      </c>
      <c r="G3319" s="31" t="s">
        <v>23</v>
      </c>
      <c r="I3319" s="31" t="s">
        <v>229</v>
      </c>
      <c r="J3319" s="31" t="s">
        <v>967</v>
      </c>
      <c r="K3319" s="33" t="s">
        <v>9970</v>
      </c>
      <c r="L3319" s="31" t="s">
        <v>202</v>
      </c>
      <c r="N3319" s="31" t="s">
        <v>215</v>
      </c>
      <c r="W3319" s="31" t="s">
        <v>532</v>
      </c>
    </row>
    <row r="3320">
      <c r="A3320" s="29">
        <v>45990.733554895836</v>
      </c>
      <c r="B3320" s="30">
        <v>45990.0</v>
      </c>
      <c r="C3320" s="31" t="s">
        <v>7488</v>
      </c>
      <c r="D3320" s="32" t="s">
        <v>907</v>
      </c>
      <c r="E3320" s="31" t="s">
        <v>239</v>
      </c>
      <c r="F3320" s="31">
        <v>1000000.0</v>
      </c>
      <c r="G3320" s="31" t="s">
        <v>23</v>
      </c>
      <c r="I3320" s="31" t="s">
        <v>229</v>
      </c>
      <c r="J3320" s="31" t="s">
        <v>967</v>
      </c>
      <c r="K3320" s="33" t="s">
        <v>9971</v>
      </c>
      <c r="L3320" s="31" t="s">
        <v>202</v>
      </c>
      <c r="N3320" s="31" t="s">
        <v>215</v>
      </c>
      <c r="W3320" s="31" t="s">
        <v>532</v>
      </c>
    </row>
    <row r="3321">
      <c r="A3321" s="29">
        <v>45990.73499277778</v>
      </c>
      <c r="B3321" s="30">
        <v>45990.0</v>
      </c>
      <c r="C3321" s="31" t="s">
        <v>9972</v>
      </c>
      <c r="D3321" s="32" t="s">
        <v>4253</v>
      </c>
      <c r="E3321" s="31" t="s">
        <v>127</v>
      </c>
      <c r="F3321" s="31">
        <v>2500000.0</v>
      </c>
      <c r="G3321" s="31" t="s">
        <v>23</v>
      </c>
      <c r="H3321" s="31">
        <v>3000000.0</v>
      </c>
      <c r="I3321" s="31" t="s">
        <v>200</v>
      </c>
      <c r="K3321" s="33" t="s">
        <v>9973</v>
      </c>
      <c r="L3321" s="31" t="s">
        <v>252</v>
      </c>
      <c r="M3321" s="31" t="s">
        <v>5638</v>
      </c>
      <c r="O3321" s="31" t="s">
        <v>257</v>
      </c>
      <c r="P3321" s="31" t="s">
        <v>206</v>
      </c>
    </row>
    <row r="3322">
      <c r="A3322" s="29">
        <v>45990.739468287036</v>
      </c>
      <c r="B3322" s="30">
        <v>45990.0</v>
      </c>
      <c r="C3322" s="31" t="s">
        <v>9974</v>
      </c>
      <c r="D3322" s="32" t="s">
        <v>4253</v>
      </c>
      <c r="E3322" s="31" t="s">
        <v>127</v>
      </c>
      <c r="F3322" s="31">
        <v>3500000.0</v>
      </c>
      <c r="G3322" s="31" t="s">
        <v>23</v>
      </c>
      <c r="I3322" s="31" t="s">
        <v>229</v>
      </c>
      <c r="J3322" s="31" t="s">
        <v>967</v>
      </c>
      <c r="K3322" s="33" t="s">
        <v>9975</v>
      </c>
      <c r="L3322" s="31" t="s">
        <v>252</v>
      </c>
      <c r="O3322" s="31" t="s">
        <v>257</v>
      </c>
      <c r="P3322" s="31" t="s">
        <v>206</v>
      </c>
    </row>
    <row r="3323">
      <c r="A3323" s="29">
        <v>45990.7408990625</v>
      </c>
      <c r="B3323" s="30">
        <v>45990.0</v>
      </c>
      <c r="C3323" s="31" t="s">
        <v>9976</v>
      </c>
      <c r="D3323" s="31">
        <v>3400000.0</v>
      </c>
      <c r="E3323" s="31" t="s">
        <v>127</v>
      </c>
      <c r="F3323" s="31">
        <v>3400000.0</v>
      </c>
      <c r="G3323" s="31" t="s">
        <v>23</v>
      </c>
      <c r="I3323" s="31" t="s">
        <v>229</v>
      </c>
      <c r="J3323" s="31" t="s">
        <v>967</v>
      </c>
      <c r="K3323" s="33" t="s">
        <v>9977</v>
      </c>
      <c r="L3323" s="31" t="s">
        <v>252</v>
      </c>
      <c r="O3323" s="31" t="s">
        <v>257</v>
      </c>
      <c r="P3323" s="31" t="s">
        <v>206</v>
      </c>
    </row>
    <row r="3324">
      <c r="A3324" s="29">
        <v>45990.74244255787</v>
      </c>
      <c r="B3324" s="30">
        <v>45990.0</v>
      </c>
      <c r="C3324" s="31" t="s">
        <v>3493</v>
      </c>
      <c r="D3324" s="32" t="s">
        <v>4253</v>
      </c>
      <c r="E3324" s="31" t="s">
        <v>127</v>
      </c>
      <c r="F3324" s="31">
        <v>4000000.0</v>
      </c>
      <c r="G3324" s="31" t="s">
        <v>23</v>
      </c>
      <c r="I3324" s="31" t="s">
        <v>229</v>
      </c>
      <c r="J3324" s="31" t="s">
        <v>967</v>
      </c>
      <c r="K3324" s="33" t="s">
        <v>9978</v>
      </c>
      <c r="L3324" s="31" t="s">
        <v>252</v>
      </c>
      <c r="O3324" s="31" t="s">
        <v>257</v>
      </c>
      <c r="P3324" s="31" t="s">
        <v>206</v>
      </c>
    </row>
    <row r="3325">
      <c r="A3325" s="29">
        <v>45990.74803578704</v>
      </c>
      <c r="B3325" s="30">
        <v>45990.0</v>
      </c>
      <c r="C3325" s="31" t="s">
        <v>9496</v>
      </c>
      <c r="D3325" s="32" t="s">
        <v>4253</v>
      </c>
      <c r="E3325" s="31" t="s">
        <v>127</v>
      </c>
      <c r="F3325" s="31">
        <v>2900000.0</v>
      </c>
      <c r="G3325" s="31" t="s">
        <v>23</v>
      </c>
      <c r="I3325" s="31" t="s">
        <v>229</v>
      </c>
      <c r="J3325" s="31" t="s">
        <v>967</v>
      </c>
      <c r="K3325" s="33" t="s">
        <v>9979</v>
      </c>
      <c r="L3325" s="31" t="s">
        <v>252</v>
      </c>
      <c r="O3325" s="31" t="s">
        <v>257</v>
      </c>
      <c r="P3325" s="31" t="s">
        <v>206</v>
      </c>
    </row>
    <row r="3326">
      <c r="A3326" s="29">
        <v>45990.749322800926</v>
      </c>
      <c r="B3326" s="30">
        <v>45990.0</v>
      </c>
      <c r="C3326" s="31" t="s">
        <v>9980</v>
      </c>
      <c r="D3326" s="32" t="s">
        <v>4253</v>
      </c>
      <c r="E3326" s="31" t="s">
        <v>43</v>
      </c>
      <c r="F3326" s="31">
        <v>2300000.0</v>
      </c>
      <c r="G3326" s="31" t="s">
        <v>23</v>
      </c>
      <c r="I3326" s="31" t="s">
        <v>229</v>
      </c>
      <c r="J3326" s="31" t="s">
        <v>967</v>
      </c>
      <c r="K3326" s="33" t="s">
        <v>9981</v>
      </c>
      <c r="L3326" s="31" t="s">
        <v>252</v>
      </c>
      <c r="O3326" s="31" t="s">
        <v>257</v>
      </c>
      <c r="P3326" s="31" t="s">
        <v>206</v>
      </c>
    </row>
    <row r="3327">
      <c r="A3327" s="29">
        <v>45990.75099148148</v>
      </c>
      <c r="B3327" s="30">
        <v>45990.0</v>
      </c>
      <c r="C3327" s="31" t="s">
        <v>9982</v>
      </c>
      <c r="D3327" s="32" t="s">
        <v>9983</v>
      </c>
      <c r="E3327" s="31" t="s">
        <v>31</v>
      </c>
      <c r="F3327" s="31">
        <v>2000000.0</v>
      </c>
      <c r="G3327" s="31" t="s">
        <v>23</v>
      </c>
      <c r="I3327" s="31" t="s">
        <v>229</v>
      </c>
      <c r="J3327" s="31" t="s">
        <v>498</v>
      </c>
      <c r="K3327" s="33" t="s">
        <v>9984</v>
      </c>
      <c r="L3327" s="31" t="s">
        <v>202</v>
      </c>
      <c r="N3327" s="31" t="s">
        <v>500</v>
      </c>
      <c r="V3327" s="31" t="s">
        <v>501</v>
      </c>
    </row>
    <row r="3328">
      <c r="A3328" s="29">
        <v>45990.75116630787</v>
      </c>
      <c r="B3328" s="30">
        <v>45990.0</v>
      </c>
      <c r="C3328" s="31" t="s">
        <v>9985</v>
      </c>
      <c r="D3328" s="32" t="s">
        <v>4253</v>
      </c>
      <c r="E3328" s="31" t="s">
        <v>43</v>
      </c>
      <c r="F3328" s="31">
        <v>3500000.0</v>
      </c>
      <c r="G3328" s="31" t="s">
        <v>23</v>
      </c>
      <c r="H3328" s="31">
        <v>3000000.0</v>
      </c>
      <c r="I3328" s="31" t="s">
        <v>413</v>
      </c>
      <c r="K3328" s="33" t="s">
        <v>9986</v>
      </c>
      <c r="L3328" s="31" t="s">
        <v>252</v>
      </c>
      <c r="M3328" s="31" t="s">
        <v>5638</v>
      </c>
      <c r="O3328" s="31" t="s">
        <v>257</v>
      </c>
      <c r="P3328" s="31" t="s">
        <v>206</v>
      </c>
    </row>
    <row r="3329">
      <c r="A3329" s="29">
        <v>45990.751974189814</v>
      </c>
      <c r="B3329" s="30">
        <v>45990.0</v>
      </c>
      <c r="C3329" s="31" t="s">
        <v>9987</v>
      </c>
      <c r="D3329" s="32" t="s">
        <v>9988</v>
      </c>
      <c r="E3329" s="31" t="s">
        <v>784</v>
      </c>
      <c r="F3329" s="31">
        <v>3500000.0</v>
      </c>
      <c r="G3329" s="31" t="s">
        <v>23</v>
      </c>
      <c r="I3329" s="31" t="s">
        <v>229</v>
      </c>
      <c r="J3329" s="31" t="s">
        <v>967</v>
      </c>
      <c r="K3329" s="33" t="s">
        <v>9989</v>
      </c>
      <c r="L3329" s="31" t="s">
        <v>202</v>
      </c>
      <c r="N3329" s="31" t="s">
        <v>204</v>
      </c>
      <c r="R3329" s="31" t="s">
        <v>98</v>
      </c>
    </row>
    <row r="3330">
      <c r="A3330" s="29">
        <v>45990.77438259259</v>
      </c>
      <c r="B3330" s="30">
        <v>45990.0</v>
      </c>
      <c r="C3330" s="31" t="s">
        <v>9990</v>
      </c>
      <c r="D3330" s="32" t="s">
        <v>9991</v>
      </c>
      <c r="E3330" s="31" t="s">
        <v>239</v>
      </c>
      <c r="F3330" s="31">
        <v>3200000.0</v>
      </c>
      <c r="G3330" s="31" t="s">
        <v>23</v>
      </c>
      <c r="I3330" s="31" t="s">
        <v>229</v>
      </c>
      <c r="J3330" s="31" t="s">
        <v>967</v>
      </c>
      <c r="K3330" s="33" t="s">
        <v>9992</v>
      </c>
      <c r="L3330" s="31" t="s">
        <v>202</v>
      </c>
      <c r="N3330" s="31" t="s">
        <v>220</v>
      </c>
      <c r="S3330" s="31" t="s">
        <v>90</v>
      </c>
    </row>
    <row r="3331">
      <c r="A3331" s="29">
        <v>45990.77724456019</v>
      </c>
      <c r="B3331" s="30">
        <v>45990.0</v>
      </c>
      <c r="C3331" s="31" t="s">
        <v>9993</v>
      </c>
      <c r="D3331" s="32" t="s">
        <v>9994</v>
      </c>
      <c r="E3331" s="31" t="s">
        <v>43</v>
      </c>
      <c r="F3331" s="31">
        <v>5500000.0</v>
      </c>
      <c r="G3331" s="31" t="s">
        <v>23</v>
      </c>
      <c r="I3331" s="31" t="s">
        <v>229</v>
      </c>
      <c r="J3331" s="31" t="s">
        <v>967</v>
      </c>
      <c r="K3331" s="33" t="s">
        <v>9995</v>
      </c>
      <c r="L3331" s="31" t="s">
        <v>202</v>
      </c>
      <c r="N3331" s="31" t="s">
        <v>220</v>
      </c>
      <c r="S3331" s="31" t="s">
        <v>536</v>
      </c>
    </row>
    <row r="3332">
      <c r="A3332" s="29">
        <v>45990.78031043982</v>
      </c>
      <c r="B3332" s="30">
        <v>45990.0</v>
      </c>
      <c r="C3332" s="31" t="s">
        <v>9996</v>
      </c>
      <c r="D3332" s="32" t="s">
        <v>9997</v>
      </c>
      <c r="E3332" s="31" t="s">
        <v>43</v>
      </c>
      <c r="F3332" s="31">
        <v>4600000.0</v>
      </c>
      <c r="G3332" s="31" t="s">
        <v>23</v>
      </c>
      <c r="I3332" s="31" t="s">
        <v>229</v>
      </c>
      <c r="J3332" s="31" t="s">
        <v>967</v>
      </c>
      <c r="K3332" s="33" t="s">
        <v>9998</v>
      </c>
      <c r="L3332" s="31" t="s">
        <v>202</v>
      </c>
      <c r="N3332" s="31" t="s">
        <v>667</v>
      </c>
      <c r="U3332" s="31" t="s">
        <v>3950</v>
      </c>
    </row>
    <row r="3333">
      <c r="A3333" s="29">
        <v>45990.78778974537</v>
      </c>
      <c r="B3333" s="30">
        <v>45990.0</v>
      </c>
      <c r="C3333" s="31" t="s">
        <v>9999</v>
      </c>
      <c r="D3333" s="32" t="s">
        <v>10000</v>
      </c>
      <c r="E3333" s="31" t="s">
        <v>199</v>
      </c>
      <c r="F3333" s="31">
        <v>4000000.0</v>
      </c>
      <c r="G3333" s="31" t="s">
        <v>45</v>
      </c>
      <c r="I3333" s="31" t="s">
        <v>229</v>
      </c>
      <c r="J3333" s="31" t="s">
        <v>967</v>
      </c>
      <c r="K3333" s="33" t="s">
        <v>10001</v>
      </c>
      <c r="L3333" s="31" t="s">
        <v>202</v>
      </c>
      <c r="N3333" s="31" t="s">
        <v>215</v>
      </c>
      <c r="W3333" s="31" t="s">
        <v>389</v>
      </c>
    </row>
    <row r="3334">
      <c r="A3334" s="29">
        <v>45990.80911648148</v>
      </c>
      <c r="B3334" s="30">
        <v>45990.0</v>
      </c>
      <c r="C3334" s="31" t="s">
        <v>10002</v>
      </c>
      <c r="D3334" s="31">
        <v>8.1236815427E10</v>
      </c>
      <c r="E3334" s="31" t="s">
        <v>43</v>
      </c>
      <c r="F3334" s="31">
        <v>3600000.0</v>
      </c>
      <c r="G3334" s="31" t="s">
        <v>23</v>
      </c>
      <c r="H3334" s="31">
        <v>3000000.0</v>
      </c>
      <c r="I3334" s="31" t="s">
        <v>413</v>
      </c>
      <c r="K3334" s="33" t="s">
        <v>10003</v>
      </c>
      <c r="L3334" s="31" t="s">
        <v>202</v>
      </c>
      <c r="M3334" s="31" t="s">
        <v>203</v>
      </c>
      <c r="N3334" s="31" t="s">
        <v>204</v>
      </c>
      <c r="R3334" s="31" t="s">
        <v>98</v>
      </c>
    </row>
    <row r="3335">
      <c r="A3335" s="29">
        <v>45990.829917615745</v>
      </c>
      <c r="B3335" s="30">
        <v>45990.0</v>
      </c>
      <c r="C3335" s="31" t="s">
        <v>10004</v>
      </c>
      <c r="D3335" s="32" t="s">
        <v>10005</v>
      </c>
      <c r="E3335" s="31" t="s">
        <v>199</v>
      </c>
      <c r="F3335" s="31">
        <v>1.49E7</v>
      </c>
      <c r="G3335" s="31" t="s">
        <v>23</v>
      </c>
      <c r="H3335" s="31">
        <v>5000000.0</v>
      </c>
      <c r="I3335" s="31" t="s">
        <v>200</v>
      </c>
      <c r="K3335" s="33" t="s">
        <v>10006</v>
      </c>
      <c r="L3335" s="31" t="s">
        <v>202</v>
      </c>
      <c r="M3335" s="31" t="s">
        <v>926</v>
      </c>
      <c r="N3335" s="31" t="s">
        <v>313</v>
      </c>
      <c r="T3335" s="31" t="s">
        <v>329</v>
      </c>
    </row>
    <row r="3336">
      <c r="A3336" s="29">
        <v>45990.84350715278</v>
      </c>
      <c r="B3336" s="30">
        <v>45990.0</v>
      </c>
      <c r="C3336" s="31" t="s">
        <v>10007</v>
      </c>
      <c r="D3336" s="32" t="s">
        <v>10008</v>
      </c>
      <c r="E3336" s="31" t="s">
        <v>784</v>
      </c>
      <c r="F3336" s="31">
        <v>3500000.0</v>
      </c>
      <c r="G3336" s="31" t="s">
        <v>23</v>
      </c>
      <c r="I3336" s="31" t="s">
        <v>229</v>
      </c>
      <c r="J3336" s="31" t="s">
        <v>967</v>
      </c>
      <c r="K3336" s="33" t="s">
        <v>10009</v>
      </c>
      <c r="L3336" s="31" t="s">
        <v>202</v>
      </c>
      <c r="N3336" s="31" t="s">
        <v>204</v>
      </c>
      <c r="R3336" s="31" t="s">
        <v>98</v>
      </c>
    </row>
    <row r="3337">
      <c r="A3337" s="29">
        <v>45990.84671871528</v>
      </c>
      <c r="B3337" s="30">
        <v>45990.0</v>
      </c>
      <c r="C3337" s="31" t="s">
        <v>10010</v>
      </c>
      <c r="D3337" s="32" t="s">
        <v>10011</v>
      </c>
      <c r="E3337" s="31" t="s">
        <v>43</v>
      </c>
      <c r="F3337" s="31">
        <v>5200000.0</v>
      </c>
      <c r="G3337" s="31" t="s">
        <v>23</v>
      </c>
      <c r="H3337" s="31">
        <v>3000000.0</v>
      </c>
      <c r="I3337" s="31" t="s">
        <v>413</v>
      </c>
      <c r="K3337" s="33" t="s">
        <v>10012</v>
      </c>
      <c r="L3337" s="31" t="s">
        <v>202</v>
      </c>
      <c r="M3337" s="31" t="s">
        <v>203</v>
      </c>
      <c r="N3337" s="31" t="s">
        <v>204</v>
      </c>
      <c r="R3337" s="31" t="s">
        <v>53</v>
      </c>
    </row>
    <row r="3338">
      <c r="A3338" s="29">
        <v>45990.84833903935</v>
      </c>
      <c r="B3338" s="30">
        <v>45990.0</v>
      </c>
      <c r="C3338" s="31" t="s">
        <v>10013</v>
      </c>
      <c r="D3338" s="32" t="s">
        <v>10014</v>
      </c>
      <c r="E3338" s="31" t="s">
        <v>784</v>
      </c>
      <c r="F3338" s="31">
        <v>2800000.0</v>
      </c>
      <c r="G3338" s="31" t="s">
        <v>23</v>
      </c>
      <c r="I3338" s="31" t="s">
        <v>229</v>
      </c>
      <c r="J3338" s="31" t="s">
        <v>967</v>
      </c>
      <c r="K3338" s="33" t="s">
        <v>10015</v>
      </c>
      <c r="L3338" s="31" t="s">
        <v>202</v>
      </c>
      <c r="N3338" s="31" t="s">
        <v>220</v>
      </c>
      <c r="S3338" s="31" t="s">
        <v>90</v>
      </c>
    </row>
    <row r="3339">
      <c r="A3339" s="29">
        <v>45990.85340275463</v>
      </c>
      <c r="B3339" s="30">
        <v>45990.0</v>
      </c>
      <c r="C3339" s="31" t="s">
        <v>10016</v>
      </c>
      <c r="D3339" s="32" t="s">
        <v>10017</v>
      </c>
      <c r="E3339" s="31" t="s">
        <v>43</v>
      </c>
      <c r="F3339" s="31">
        <v>3000000.0</v>
      </c>
      <c r="G3339" s="31" t="s">
        <v>23</v>
      </c>
      <c r="I3339" s="31" t="s">
        <v>229</v>
      </c>
      <c r="J3339" s="31" t="s">
        <v>967</v>
      </c>
      <c r="K3339" s="33" t="s">
        <v>10018</v>
      </c>
      <c r="L3339" s="31" t="s">
        <v>202</v>
      </c>
      <c r="N3339" s="31" t="s">
        <v>204</v>
      </c>
      <c r="R3339" s="31" t="s">
        <v>5256</v>
      </c>
    </row>
    <row r="3340">
      <c r="A3340" s="29">
        <v>45990.85584583333</v>
      </c>
      <c r="B3340" s="30">
        <v>45990.0</v>
      </c>
      <c r="C3340" s="31" t="s">
        <v>10019</v>
      </c>
      <c r="D3340" s="32" t="s">
        <v>10020</v>
      </c>
      <c r="E3340" s="31" t="s">
        <v>43</v>
      </c>
      <c r="F3340" s="31">
        <v>2500000.0</v>
      </c>
      <c r="G3340" s="31" t="s">
        <v>23</v>
      </c>
      <c r="H3340" s="31">
        <v>1600000.0</v>
      </c>
      <c r="I3340" s="31" t="s">
        <v>413</v>
      </c>
      <c r="K3340" s="33" t="s">
        <v>10021</v>
      </c>
      <c r="L3340" s="31" t="s">
        <v>202</v>
      </c>
      <c r="M3340" s="31" t="s">
        <v>5638</v>
      </c>
      <c r="N3340" s="31" t="s">
        <v>204</v>
      </c>
      <c r="R3340" s="31" t="s">
        <v>5256</v>
      </c>
    </row>
    <row r="3341">
      <c r="A3341" s="29">
        <v>45990.856746944446</v>
      </c>
      <c r="B3341" s="30">
        <v>45990.0</v>
      </c>
      <c r="C3341" s="31" t="s">
        <v>10022</v>
      </c>
      <c r="D3341" s="31">
        <v>0.0</v>
      </c>
      <c r="E3341" s="31" t="s">
        <v>10023</v>
      </c>
      <c r="F3341" s="31">
        <v>4600000.0</v>
      </c>
      <c r="G3341" s="31" t="s">
        <v>23</v>
      </c>
      <c r="I3341" s="31" t="s">
        <v>229</v>
      </c>
      <c r="J3341" s="31" t="s">
        <v>967</v>
      </c>
      <c r="K3341" s="33" t="s">
        <v>10024</v>
      </c>
      <c r="L3341" s="31" t="s">
        <v>202</v>
      </c>
      <c r="N3341" s="31" t="s">
        <v>204</v>
      </c>
      <c r="R3341" s="31" t="s">
        <v>171</v>
      </c>
    </row>
    <row r="3342">
      <c r="A3342" s="29">
        <v>45990.85749333333</v>
      </c>
      <c r="B3342" s="30">
        <v>45990.0</v>
      </c>
      <c r="C3342" s="31" t="s">
        <v>10025</v>
      </c>
      <c r="D3342" s="31">
        <v>8.2340310036E10</v>
      </c>
      <c r="E3342" s="31" t="s">
        <v>43</v>
      </c>
      <c r="F3342" s="31">
        <v>3500000.0</v>
      </c>
      <c r="G3342" s="31" t="s">
        <v>23</v>
      </c>
      <c r="I3342" s="31" t="s">
        <v>229</v>
      </c>
      <c r="J3342" s="31" t="s">
        <v>967</v>
      </c>
      <c r="K3342" s="33" t="s">
        <v>10026</v>
      </c>
      <c r="L3342" s="31" t="s">
        <v>202</v>
      </c>
      <c r="N3342" s="31" t="s">
        <v>204</v>
      </c>
      <c r="R3342" s="31" t="s">
        <v>98</v>
      </c>
    </row>
    <row r="3343">
      <c r="A3343" s="29">
        <v>45990.85808523148</v>
      </c>
      <c r="B3343" s="30">
        <v>45990.0</v>
      </c>
      <c r="C3343" s="31" t="s">
        <v>10027</v>
      </c>
      <c r="D3343" s="32" t="s">
        <v>10028</v>
      </c>
      <c r="E3343" s="31" t="s">
        <v>43</v>
      </c>
      <c r="F3343" s="31">
        <v>3500000.0</v>
      </c>
      <c r="G3343" s="31" t="s">
        <v>23</v>
      </c>
      <c r="H3343" s="31">
        <v>3000000.0</v>
      </c>
      <c r="I3343" s="31" t="s">
        <v>413</v>
      </c>
      <c r="K3343" s="33" t="s">
        <v>10029</v>
      </c>
      <c r="L3343" s="31" t="s">
        <v>202</v>
      </c>
      <c r="M3343" s="31" t="s">
        <v>5638</v>
      </c>
      <c r="N3343" s="31" t="s">
        <v>204</v>
      </c>
      <c r="R3343" s="31" t="s">
        <v>5256</v>
      </c>
    </row>
    <row r="3344">
      <c r="A3344" s="29">
        <v>45990.85866243056</v>
      </c>
      <c r="B3344" s="30">
        <v>45990.0</v>
      </c>
      <c r="C3344" s="31" t="s">
        <v>10030</v>
      </c>
      <c r="D3344" s="31">
        <v>0.0</v>
      </c>
      <c r="E3344" s="31" t="s">
        <v>1181</v>
      </c>
      <c r="F3344" s="31">
        <v>5200000.0</v>
      </c>
      <c r="G3344" s="31" t="s">
        <v>23</v>
      </c>
      <c r="I3344" s="31" t="s">
        <v>229</v>
      </c>
      <c r="J3344" s="31" t="s">
        <v>967</v>
      </c>
      <c r="K3344" s="33" t="s">
        <v>10031</v>
      </c>
      <c r="L3344" s="31" t="s">
        <v>202</v>
      </c>
      <c r="N3344" s="31" t="s">
        <v>204</v>
      </c>
      <c r="R3344" s="31" t="s">
        <v>171</v>
      </c>
    </row>
    <row r="3345">
      <c r="A3345" s="29">
        <v>45990.860764259254</v>
      </c>
      <c r="B3345" s="30">
        <v>45990.0</v>
      </c>
      <c r="C3345" s="31" t="s">
        <v>10032</v>
      </c>
      <c r="D3345" s="31">
        <v>0.0</v>
      </c>
      <c r="E3345" s="31" t="s">
        <v>10033</v>
      </c>
      <c r="F3345" s="31">
        <v>3100000.0</v>
      </c>
      <c r="G3345" s="31" t="s">
        <v>23</v>
      </c>
      <c r="I3345" s="31" t="s">
        <v>229</v>
      </c>
      <c r="J3345" s="31" t="s">
        <v>967</v>
      </c>
      <c r="K3345" s="33" t="s">
        <v>10034</v>
      </c>
      <c r="L3345" s="31" t="s">
        <v>202</v>
      </c>
      <c r="N3345" s="31" t="s">
        <v>204</v>
      </c>
      <c r="R3345" s="31" t="s">
        <v>171</v>
      </c>
    </row>
    <row r="3346">
      <c r="A3346" s="29">
        <v>45990.86277226852</v>
      </c>
      <c r="B3346" s="30">
        <v>45990.0</v>
      </c>
      <c r="C3346" s="31" t="s">
        <v>10035</v>
      </c>
      <c r="D3346" s="32" t="s">
        <v>10036</v>
      </c>
      <c r="E3346" s="31" t="s">
        <v>10037</v>
      </c>
      <c r="F3346" s="31">
        <v>4000000.0</v>
      </c>
      <c r="G3346" s="31" t="s">
        <v>23</v>
      </c>
      <c r="H3346" s="31">
        <v>3000000.0</v>
      </c>
      <c r="I3346" s="31" t="s">
        <v>200</v>
      </c>
      <c r="K3346" s="33" t="s">
        <v>10038</v>
      </c>
      <c r="L3346" s="31" t="s">
        <v>252</v>
      </c>
      <c r="M3346" s="31" t="s">
        <v>5638</v>
      </c>
      <c r="O3346" s="31" t="s">
        <v>205</v>
      </c>
      <c r="X3346" s="31" t="s">
        <v>253</v>
      </c>
    </row>
    <row r="3347">
      <c r="A3347" s="29">
        <v>45990.86417804398</v>
      </c>
      <c r="B3347" s="30">
        <v>45990.0</v>
      </c>
      <c r="C3347" s="31" t="s">
        <v>10039</v>
      </c>
      <c r="D3347" s="31">
        <v>0.0</v>
      </c>
      <c r="E3347" s="31" t="s">
        <v>228</v>
      </c>
      <c r="F3347" s="31">
        <v>3200000.0</v>
      </c>
      <c r="G3347" s="31" t="s">
        <v>23</v>
      </c>
      <c r="I3347" s="31" t="s">
        <v>229</v>
      </c>
      <c r="J3347" s="31" t="s">
        <v>967</v>
      </c>
      <c r="K3347" s="33" t="s">
        <v>10040</v>
      </c>
      <c r="L3347" s="31" t="s">
        <v>202</v>
      </c>
      <c r="N3347" s="31" t="s">
        <v>204</v>
      </c>
      <c r="R3347" s="31" t="s">
        <v>171</v>
      </c>
    </row>
    <row r="3348">
      <c r="A3348" s="29">
        <v>45990.866345092596</v>
      </c>
      <c r="B3348" s="30">
        <v>45990.0</v>
      </c>
      <c r="C3348" s="31" t="s">
        <v>10041</v>
      </c>
      <c r="D3348" s="31">
        <v>0.0</v>
      </c>
      <c r="E3348" s="31" t="s">
        <v>10042</v>
      </c>
      <c r="F3348" s="31">
        <v>3600000.0</v>
      </c>
      <c r="G3348" s="31" t="s">
        <v>23</v>
      </c>
      <c r="I3348" s="31" t="s">
        <v>229</v>
      </c>
      <c r="J3348" s="31" t="s">
        <v>967</v>
      </c>
      <c r="K3348" s="33" t="s">
        <v>10043</v>
      </c>
      <c r="L3348" s="31" t="s">
        <v>202</v>
      </c>
      <c r="N3348" s="31" t="s">
        <v>204</v>
      </c>
      <c r="R3348" s="31" t="s">
        <v>171</v>
      </c>
    </row>
    <row r="3349">
      <c r="A3349" s="29">
        <v>45990.86824924768</v>
      </c>
      <c r="B3349" s="30">
        <v>45990.0</v>
      </c>
      <c r="C3349" s="31" t="s">
        <v>10044</v>
      </c>
      <c r="D3349" s="31">
        <v>0.0</v>
      </c>
      <c r="E3349" s="31" t="s">
        <v>43</v>
      </c>
      <c r="F3349" s="31">
        <v>4800000.0</v>
      </c>
      <c r="G3349" s="31" t="s">
        <v>23</v>
      </c>
      <c r="I3349" s="31" t="s">
        <v>229</v>
      </c>
      <c r="J3349" s="31" t="s">
        <v>967</v>
      </c>
      <c r="K3349" s="33" t="s">
        <v>10045</v>
      </c>
      <c r="L3349" s="31" t="s">
        <v>202</v>
      </c>
      <c r="N3349" s="31" t="s">
        <v>204</v>
      </c>
      <c r="R3349" s="31" t="s">
        <v>171</v>
      </c>
    </row>
    <row r="3350">
      <c r="A3350" s="29">
        <v>45990.870842222226</v>
      </c>
      <c r="B3350" s="30">
        <v>45990.0</v>
      </c>
      <c r="C3350" s="31" t="s">
        <v>10046</v>
      </c>
      <c r="D3350" s="31">
        <v>0.0</v>
      </c>
      <c r="E3350" s="31" t="s">
        <v>10047</v>
      </c>
      <c r="F3350" s="31">
        <v>2400000.0</v>
      </c>
      <c r="G3350" s="31" t="s">
        <v>23</v>
      </c>
      <c r="I3350" s="31" t="s">
        <v>229</v>
      </c>
      <c r="J3350" s="31" t="s">
        <v>967</v>
      </c>
      <c r="K3350" s="33" t="s">
        <v>10048</v>
      </c>
      <c r="L3350" s="31" t="s">
        <v>202</v>
      </c>
      <c r="N3350" s="31" t="s">
        <v>204</v>
      </c>
      <c r="R3350" s="31" t="s">
        <v>171</v>
      </c>
    </row>
    <row r="3351">
      <c r="A3351" s="29">
        <v>45990.873963564816</v>
      </c>
      <c r="B3351" s="30">
        <v>45990.0</v>
      </c>
      <c r="C3351" s="31" t="s">
        <v>10049</v>
      </c>
      <c r="D3351" s="31">
        <v>0.0</v>
      </c>
      <c r="E3351" s="31" t="s">
        <v>43</v>
      </c>
      <c r="F3351" s="31">
        <v>3800000.0</v>
      </c>
      <c r="G3351" s="31" t="s">
        <v>45</v>
      </c>
      <c r="I3351" s="31" t="s">
        <v>229</v>
      </c>
      <c r="J3351" s="31" t="s">
        <v>967</v>
      </c>
      <c r="K3351" s="33" t="s">
        <v>10050</v>
      </c>
      <c r="L3351" s="31" t="s">
        <v>202</v>
      </c>
      <c r="N3351" s="31" t="s">
        <v>204</v>
      </c>
      <c r="R3351" s="31" t="s">
        <v>171</v>
      </c>
    </row>
    <row r="3352">
      <c r="A3352" s="29">
        <v>45990.875638136575</v>
      </c>
      <c r="B3352" s="30">
        <v>45990.0</v>
      </c>
      <c r="C3352" s="31" t="s">
        <v>10051</v>
      </c>
      <c r="D3352" s="31">
        <v>0.0</v>
      </c>
      <c r="E3352" s="31" t="s">
        <v>43</v>
      </c>
      <c r="F3352" s="31">
        <v>4200000.0</v>
      </c>
      <c r="G3352" s="31" t="s">
        <v>23</v>
      </c>
      <c r="I3352" s="31" t="s">
        <v>229</v>
      </c>
      <c r="J3352" s="31" t="s">
        <v>967</v>
      </c>
      <c r="K3352" s="33" t="s">
        <v>10052</v>
      </c>
      <c r="L3352" s="31" t="s">
        <v>202</v>
      </c>
      <c r="N3352" s="31" t="s">
        <v>204</v>
      </c>
      <c r="R3352" s="31" t="s">
        <v>171</v>
      </c>
    </row>
    <row r="3353">
      <c r="A3353" s="29">
        <v>45991.47994846065</v>
      </c>
      <c r="B3353" s="30">
        <v>45991.0</v>
      </c>
      <c r="C3353" s="31" t="s">
        <v>10053</v>
      </c>
      <c r="D3353" s="32" t="s">
        <v>10054</v>
      </c>
      <c r="E3353" s="31" t="s">
        <v>10055</v>
      </c>
      <c r="F3353" s="31">
        <v>6200000.0</v>
      </c>
      <c r="G3353" s="31" t="s">
        <v>23</v>
      </c>
      <c r="H3353" s="31">
        <v>3000000.0</v>
      </c>
      <c r="I3353" s="31" t="s">
        <v>413</v>
      </c>
      <c r="K3353" s="33" t="s">
        <v>10056</v>
      </c>
      <c r="L3353" s="31" t="s">
        <v>202</v>
      </c>
      <c r="M3353" s="31" t="s">
        <v>5638</v>
      </c>
      <c r="N3353" s="31" t="s">
        <v>313</v>
      </c>
      <c r="T3353" s="31" t="s">
        <v>384</v>
      </c>
    </row>
    <row r="3354">
      <c r="A3354" s="29">
        <v>45991.552601620366</v>
      </c>
      <c r="B3354" s="30">
        <v>45991.0</v>
      </c>
      <c r="C3354" s="31" t="s">
        <v>10057</v>
      </c>
      <c r="D3354" s="31">
        <v>0.0</v>
      </c>
      <c r="E3354" s="31" t="s">
        <v>199</v>
      </c>
      <c r="F3354" s="32" t="s">
        <v>5089</v>
      </c>
      <c r="G3354" s="31" t="s">
        <v>45</v>
      </c>
      <c r="H3354" s="31">
        <v>5000000.0</v>
      </c>
      <c r="I3354" s="31" t="s">
        <v>200</v>
      </c>
      <c r="K3354" s="33" t="s">
        <v>10058</v>
      </c>
      <c r="L3354" s="31" t="s">
        <v>252</v>
      </c>
      <c r="M3354" s="31" t="s">
        <v>203</v>
      </c>
      <c r="O3354" s="31" t="s">
        <v>257</v>
      </c>
      <c r="P3354" s="31" t="s">
        <v>992</v>
      </c>
    </row>
    <row r="3355">
      <c r="A3355" s="29">
        <v>45991.5536330787</v>
      </c>
      <c r="B3355" s="30">
        <v>45991.0</v>
      </c>
      <c r="C3355" s="31" t="s">
        <v>664</v>
      </c>
      <c r="D3355" s="32" t="s">
        <v>10059</v>
      </c>
      <c r="E3355" s="31" t="s">
        <v>43</v>
      </c>
      <c r="F3355" s="31">
        <v>9600000.0</v>
      </c>
      <c r="G3355" s="31" t="s">
        <v>45</v>
      </c>
      <c r="I3355" s="31" t="s">
        <v>229</v>
      </c>
      <c r="J3355" s="31" t="s">
        <v>967</v>
      </c>
      <c r="K3355" s="33" t="s">
        <v>10060</v>
      </c>
      <c r="L3355" s="31" t="s">
        <v>202</v>
      </c>
      <c r="N3355" s="31" t="s">
        <v>667</v>
      </c>
      <c r="U3355" s="31" t="s">
        <v>668</v>
      </c>
    </row>
    <row r="3356">
      <c r="A3356" s="29">
        <v>45991.63366015046</v>
      </c>
      <c r="B3356" s="30">
        <v>45991.0</v>
      </c>
      <c r="C3356" s="31" t="s">
        <v>9876</v>
      </c>
      <c r="D3356" s="31">
        <v>0.0</v>
      </c>
      <c r="E3356" s="31" t="s">
        <v>228</v>
      </c>
      <c r="F3356" s="31">
        <v>1600000.0</v>
      </c>
      <c r="G3356" s="31" t="s">
        <v>23</v>
      </c>
      <c r="I3356" s="31" t="s">
        <v>229</v>
      </c>
      <c r="J3356" s="31" t="s">
        <v>967</v>
      </c>
      <c r="K3356" s="33" t="s">
        <v>10061</v>
      </c>
      <c r="L3356" s="31" t="s">
        <v>252</v>
      </c>
      <c r="O3356" s="31" t="s">
        <v>257</v>
      </c>
      <c r="P3356" s="31" t="s">
        <v>2320</v>
      </c>
    </row>
    <row r="3357">
      <c r="A3357" s="29">
        <v>45991.63457667824</v>
      </c>
      <c r="B3357" s="30">
        <v>45991.0</v>
      </c>
      <c r="C3357" s="31" t="s">
        <v>10062</v>
      </c>
      <c r="D3357" s="31">
        <v>0.0</v>
      </c>
      <c r="E3357" s="31" t="s">
        <v>228</v>
      </c>
      <c r="F3357" s="31">
        <v>1600000.0</v>
      </c>
      <c r="G3357" s="31" t="s">
        <v>23</v>
      </c>
      <c r="I3357" s="31" t="s">
        <v>229</v>
      </c>
      <c r="J3357" s="31" t="s">
        <v>967</v>
      </c>
      <c r="K3357" s="33" t="s">
        <v>10063</v>
      </c>
      <c r="L3357" s="31" t="s">
        <v>252</v>
      </c>
      <c r="O3357" s="31" t="s">
        <v>257</v>
      </c>
      <c r="P3357" s="31" t="s">
        <v>2320</v>
      </c>
    </row>
    <row r="3358">
      <c r="A3358" s="29">
        <v>45991.66889909722</v>
      </c>
      <c r="B3358" s="30">
        <v>45991.0</v>
      </c>
      <c r="C3358" s="31" t="s">
        <v>10064</v>
      </c>
      <c r="D3358" s="32" t="s">
        <v>10065</v>
      </c>
      <c r="E3358" s="31" t="s">
        <v>1166</v>
      </c>
      <c r="F3358" s="31">
        <v>5000000.0</v>
      </c>
      <c r="G3358" s="31" t="s">
        <v>23</v>
      </c>
      <c r="I3358" s="31" t="s">
        <v>229</v>
      </c>
      <c r="J3358" s="31" t="s">
        <v>967</v>
      </c>
      <c r="K3358" s="33" t="s">
        <v>10066</v>
      </c>
      <c r="L3358" s="31" t="s">
        <v>202</v>
      </c>
      <c r="N3358" s="31" t="s">
        <v>313</v>
      </c>
      <c r="T3358" s="31" t="s">
        <v>384</v>
      </c>
    </row>
    <row r="3359">
      <c r="A3359" s="29">
        <v>45991.67800811343</v>
      </c>
      <c r="B3359" s="30">
        <v>45991.0</v>
      </c>
      <c r="C3359" s="31" t="s">
        <v>10064</v>
      </c>
      <c r="D3359" s="32" t="s">
        <v>7433</v>
      </c>
      <c r="E3359" s="31" t="s">
        <v>10067</v>
      </c>
      <c r="F3359" s="31">
        <v>5000000.0</v>
      </c>
      <c r="G3359" s="31" t="s">
        <v>23</v>
      </c>
      <c r="I3359" s="31" t="s">
        <v>229</v>
      </c>
      <c r="J3359" s="31" t="s">
        <v>967</v>
      </c>
      <c r="K3359" s="33" t="s">
        <v>10068</v>
      </c>
      <c r="L3359" s="31" t="s">
        <v>202</v>
      </c>
      <c r="N3359" s="31" t="s">
        <v>313</v>
      </c>
      <c r="T3359" s="31" t="s">
        <v>384</v>
      </c>
    </row>
    <row r="3360">
      <c r="A3360" s="29">
        <v>45991.69945518518</v>
      </c>
      <c r="B3360" s="30">
        <v>45991.0</v>
      </c>
      <c r="C3360" s="31" t="s">
        <v>10069</v>
      </c>
      <c r="D3360" s="32" t="s">
        <v>10070</v>
      </c>
      <c r="E3360" s="31" t="s">
        <v>10071</v>
      </c>
      <c r="F3360" s="31">
        <v>3200000.0</v>
      </c>
      <c r="G3360" s="31" t="s">
        <v>23</v>
      </c>
      <c r="I3360" s="31" t="s">
        <v>229</v>
      </c>
      <c r="J3360" s="31" t="s">
        <v>967</v>
      </c>
      <c r="K3360" s="33" t="s">
        <v>10072</v>
      </c>
      <c r="L3360" s="31" t="s">
        <v>252</v>
      </c>
      <c r="O3360" s="31" t="s">
        <v>205</v>
      </c>
      <c r="X3360" s="31" t="s">
        <v>452</v>
      </c>
    </row>
    <row r="3361">
      <c r="A3361" s="29">
        <v>45991.70715508102</v>
      </c>
      <c r="B3361" s="30">
        <v>45991.0</v>
      </c>
      <c r="C3361" s="31" t="s">
        <v>10073</v>
      </c>
      <c r="D3361" s="32" t="s">
        <v>10074</v>
      </c>
      <c r="E3361" s="31" t="s">
        <v>409</v>
      </c>
      <c r="F3361" s="31">
        <v>1600000.0</v>
      </c>
      <c r="G3361" s="31" t="s">
        <v>23</v>
      </c>
      <c r="I3361" s="31" t="s">
        <v>229</v>
      </c>
      <c r="J3361" s="31" t="s">
        <v>967</v>
      </c>
      <c r="K3361" s="33" t="s">
        <v>10075</v>
      </c>
      <c r="L3361" s="31" t="s">
        <v>202</v>
      </c>
      <c r="N3361" s="31" t="s">
        <v>871</v>
      </c>
      <c r="Q3361" s="31" t="s">
        <v>1021</v>
      </c>
    </row>
    <row r="3362">
      <c r="A3362" s="29">
        <v>45991.71962043981</v>
      </c>
      <c r="B3362" s="30">
        <v>45991.0</v>
      </c>
      <c r="C3362" s="31" t="s">
        <v>10076</v>
      </c>
      <c r="D3362" s="32" t="s">
        <v>10077</v>
      </c>
      <c r="E3362" s="31" t="s">
        <v>283</v>
      </c>
      <c r="F3362" s="31">
        <v>6000000.0</v>
      </c>
      <c r="G3362" s="31" t="s">
        <v>45</v>
      </c>
      <c r="I3362" s="31" t="s">
        <v>229</v>
      </c>
      <c r="J3362" s="31" t="s">
        <v>967</v>
      </c>
      <c r="K3362" s="33" t="s">
        <v>10078</v>
      </c>
      <c r="L3362" s="31" t="s">
        <v>252</v>
      </c>
      <c r="O3362" s="31" t="s">
        <v>257</v>
      </c>
      <c r="P3362" s="31" t="s">
        <v>285</v>
      </c>
    </row>
    <row r="3363">
      <c r="A3363" s="29">
        <v>45991.81685614583</v>
      </c>
      <c r="B3363" s="30">
        <v>45991.0</v>
      </c>
      <c r="C3363" s="31" t="s">
        <v>10079</v>
      </c>
      <c r="D3363" s="32" t="s">
        <v>10080</v>
      </c>
      <c r="E3363" s="31" t="s">
        <v>784</v>
      </c>
      <c r="F3363" s="31">
        <v>3500000.0</v>
      </c>
      <c r="G3363" s="31" t="s">
        <v>23</v>
      </c>
      <c r="I3363" s="31" t="s">
        <v>229</v>
      </c>
      <c r="J3363" s="31" t="s">
        <v>967</v>
      </c>
      <c r="K3363" s="33" t="s">
        <v>10081</v>
      </c>
      <c r="L3363" s="31" t="s">
        <v>202</v>
      </c>
      <c r="N3363" s="31" t="s">
        <v>204</v>
      </c>
      <c r="R3363" s="31" t="s">
        <v>98</v>
      </c>
    </row>
    <row r="3364">
      <c r="A3364" s="29">
        <v>45991.81776822917</v>
      </c>
      <c r="B3364" s="30">
        <v>45991.0</v>
      </c>
      <c r="C3364" s="31" t="s">
        <v>10082</v>
      </c>
      <c r="D3364" s="32" t="s">
        <v>10083</v>
      </c>
      <c r="E3364" s="31" t="s">
        <v>43</v>
      </c>
      <c r="F3364" s="31">
        <v>3000000.0</v>
      </c>
      <c r="G3364" s="31" t="s">
        <v>23</v>
      </c>
      <c r="I3364" s="31" t="s">
        <v>229</v>
      </c>
      <c r="J3364" s="31" t="s">
        <v>967</v>
      </c>
      <c r="K3364" s="33" t="s">
        <v>10084</v>
      </c>
      <c r="L3364" s="31" t="s">
        <v>202</v>
      </c>
      <c r="N3364" s="31" t="s">
        <v>220</v>
      </c>
      <c r="S3364" s="31" t="s">
        <v>536</v>
      </c>
    </row>
    <row r="3365">
      <c r="A3365" s="29">
        <v>45991.81925756944</v>
      </c>
      <c r="B3365" s="30">
        <v>45991.0</v>
      </c>
      <c r="C3365" s="31" t="s">
        <v>10085</v>
      </c>
      <c r="D3365" s="32" t="s">
        <v>10086</v>
      </c>
      <c r="E3365" s="31" t="s">
        <v>43</v>
      </c>
      <c r="F3365" s="31">
        <v>3000000.0</v>
      </c>
      <c r="G3365" s="31" t="s">
        <v>23</v>
      </c>
      <c r="I3365" s="31" t="s">
        <v>229</v>
      </c>
      <c r="J3365" s="31" t="s">
        <v>967</v>
      </c>
      <c r="K3365" s="33" t="s">
        <v>10087</v>
      </c>
      <c r="L3365" s="31" t="s">
        <v>202</v>
      </c>
      <c r="N3365" s="31" t="s">
        <v>220</v>
      </c>
      <c r="S3365" s="31" t="s">
        <v>536</v>
      </c>
    </row>
    <row r="3366">
      <c r="A3366" s="29">
        <v>45991.835408680556</v>
      </c>
      <c r="B3366" s="30">
        <v>45991.0</v>
      </c>
      <c r="C3366" s="31" t="s">
        <v>10088</v>
      </c>
      <c r="D3366" s="31">
        <v>0.0</v>
      </c>
      <c r="E3366" s="31" t="s">
        <v>228</v>
      </c>
      <c r="F3366" s="31">
        <v>1600000.0</v>
      </c>
      <c r="G3366" s="31" t="s">
        <v>23</v>
      </c>
      <c r="I3366" s="31" t="s">
        <v>229</v>
      </c>
      <c r="J3366" s="31" t="s">
        <v>967</v>
      </c>
      <c r="K3366" s="33" t="s">
        <v>10089</v>
      </c>
      <c r="L3366" s="31" t="s">
        <v>252</v>
      </c>
      <c r="O3366" s="31" t="s">
        <v>257</v>
      </c>
      <c r="P3366" s="31" t="s">
        <v>2320</v>
      </c>
    </row>
    <row r="3367">
      <c r="A3367" s="29">
        <v>45991.836794953706</v>
      </c>
      <c r="B3367" s="30">
        <v>45991.0</v>
      </c>
      <c r="C3367" s="31" t="s">
        <v>10090</v>
      </c>
      <c r="D3367" s="32" t="s">
        <v>10091</v>
      </c>
      <c r="E3367" s="31" t="s">
        <v>10092</v>
      </c>
      <c r="F3367" s="31">
        <v>4000000.0</v>
      </c>
      <c r="G3367" s="31" t="s">
        <v>23</v>
      </c>
      <c r="I3367" s="31" t="s">
        <v>229</v>
      </c>
      <c r="J3367" s="31" t="s">
        <v>967</v>
      </c>
      <c r="K3367" s="33" t="s">
        <v>10093</v>
      </c>
      <c r="L3367" s="31" t="s">
        <v>202</v>
      </c>
      <c r="N3367" s="31" t="s">
        <v>215</v>
      </c>
      <c r="W3367" s="31" t="s">
        <v>389</v>
      </c>
    </row>
    <row r="3368">
      <c r="A3368" s="29">
        <v>45991.83693348379</v>
      </c>
      <c r="B3368" s="30">
        <v>45991.0</v>
      </c>
      <c r="C3368" s="31" t="s">
        <v>10094</v>
      </c>
      <c r="D3368" s="32" t="s">
        <v>10074</v>
      </c>
      <c r="E3368" s="31" t="s">
        <v>967</v>
      </c>
      <c r="F3368" s="31">
        <v>1600000.0</v>
      </c>
      <c r="G3368" s="31" t="s">
        <v>23</v>
      </c>
      <c r="I3368" s="31" t="s">
        <v>229</v>
      </c>
      <c r="J3368" s="31" t="s">
        <v>967</v>
      </c>
      <c r="K3368" s="33" t="s">
        <v>10095</v>
      </c>
      <c r="L3368" s="31" t="s">
        <v>202</v>
      </c>
      <c r="N3368" s="31" t="s">
        <v>871</v>
      </c>
      <c r="Q3368" s="31" t="s">
        <v>7424</v>
      </c>
    </row>
    <row r="3369">
      <c r="A3369" s="29">
        <v>45991.843752500004</v>
      </c>
      <c r="B3369" s="30">
        <v>45991.0</v>
      </c>
      <c r="C3369" s="31" t="s">
        <v>10096</v>
      </c>
      <c r="D3369" s="32" t="s">
        <v>10097</v>
      </c>
      <c r="E3369" s="31" t="s">
        <v>43</v>
      </c>
      <c r="F3369" s="31">
        <v>3000000.0</v>
      </c>
      <c r="G3369" s="31" t="s">
        <v>23</v>
      </c>
      <c r="I3369" s="31" t="s">
        <v>229</v>
      </c>
      <c r="J3369" s="31" t="s">
        <v>967</v>
      </c>
      <c r="K3369" s="33" t="s">
        <v>10098</v>
      </c>
      <c r="L3369" s="31" t="s">
        <v>252</v>
      </c>
      <c r="O3369" s="31" t="s">
        <v>205</v>
      </c>
      <c r="X3369" s="31" t="s">
        <v>452</v>
      </c>
    </row>
    <row r="3370">
      <c r="A3370" s="29">
        <v>45991.85805333333</v>
      </c>
      <c r="B3370" s="30">
        <v>45991.0</v>
      </c>
      <c r="C3370" s="31" t="s">
        <v>10099</v>
      </c>
      <c r="D3370" s="32" t="s">
        <v>4453</v>
      </c>
      <c r="E3370" s="31" t="s">
        <v>43</v>
      </c>
      <c r="F3370" s="31">
        <v>3000000.0</v>
      </c>
      <c r="G3370" s="31" t="s">
        <v>23</v>
      </c>
      <c r="I3370" s="31" t="s">
        <v>229</v>
      </c>
      <c r="J3370" s="31" t="s">
        <v>967</v>
      </c>
      <c r="K3370" s="33" t="s">
        <v>10100</v>
      </c>
      <c r="L3370" s="31" t="s">
        <v>202</v>
      </c>
      <c r="N3370" s="31" t="s">
        <v>215</v>
      </c>
      <c r="W3370" s="31" t="s">
        <v>389</v>
      </c>
    </row>
    <row r="3371">
      <c r="A3371" s="29">
        <v>45991.8741175926</v>
      </c>
      <c r="B3371" s="30">
        <v>45991.0</v>
      </c>
      <c r="C3371" s="31" t="s">
        <v>10101</v>
      </c>
      <c r="D3371" s="32" t="s">
        <v>10102</v>
      </c>
      <c r="E3371" s="31" t="s">
        <v>43</v>
      </c>
      <c r="F3371" s="31">
        <v>4000000.0</v>
      </c>
      <c r="G3371" s="31" t="s">
        <v>23</v>
      </c>
      <c r="I3371" s="31" t="s">
        <v>229</v>
      </c>
      <c r="J3371" s="31" t="s">
        <v>967</v>
      </c>
      <c r="K3371" s="33" t="s">
        <v>10103</v>
      </c>
      <c r="L3371" s="31" t="s">
        <v>202</v>
      </c>
      <c r="N3371" s="31" t="s">
        <v>204</v>
      </c>
      <c r="R3371" s="31" t="s">
        <v>98</v>
      </c>
    </row>
    <row r="3372">
      <c r="A3372" s="29">
        <v>45991.874995763894</v>
      </c>
      <c r="B3372" s="30">
        <v>45991.0</v>
      </c>
      <c r="C3372" s="31" t="s">
        <v>10104</v>
      </c>
      <c r="D3372" s="32" t="s">
        <v>425</v>
      </c>
      <c r="E3372" s="31" t="s">
        <v>43</v>
      </c>
      <c r="F3372" s="31">
        <v>3500000.0</v>
      </c>
      <c r="G3372" s="31" t="s">
        <v>23</v>
      </c>
      <c r="I3372" s="31" t="s">
        <v>229</v>
      </c>
      <c r="J3372" s="31" t="s">
        <v>967</v>
      </c>
      <c r="K3372" s="33" t="s">
        <v>10105</v>
      </c>
      <c r="L3372" s="31" t="s">
        <v>202</v>
      </c>
      <c r="N3372" s="31" t="s">
        <v>204</v>
      </c>
      <c r="R3372" s="31" t="s">
        <v>98</v>
      </c>
    </row>
    <row r="3373">
      <c r="A3373" s="29">
        <v>45991.87840908565</v>
      </c>
      <c r="B3373" s="30">
        <v>45991.0</v>
      </c>
      <c r="C3373" s="31" t="s">
        <v>10106</v>
      </c>
      <c r="D3373" s="31">
        <v>0.0</v>
      </c>
      <c r="E3373" s="31" t="s">
        <v>335</v>
      </c>
      <c r="F3373" s="32" t="s">
        <v>3711</v>
      </c>
      <c r="G3373" s="31" t="s">
        <v>23</v>
      </c>
      <c r="H3373" s="31">
        <v>3000000.0</v>
      </c>
      <c r="I3373" s="31" t="s">
        <v>200</v>
      </c>
      <c r="K3373" s="33" t="s">
        <v>10107</v>
      </c>
      <c r="L3373" s="31" t="s">
        <v>252</v>
      </c>
      <c r="M3373" s="31" t="s">
        <v>5638</v>
      </c>
      <c r="O3373" s="31" t="s">
        <v>257</v>
      </c>
      <c r="P3373" s="31" t="s">
        <v>992</v>
      </c>
    </row>
    <row r="3374">
      <c r="A3374" s="29">
        <v>45991.87864052084</v>
      </c>
      <c r="B3374" s="30">
        <v>45991.0</v>
      </c>
      <c r="C3374" s="31" t="s">
        <v>10108</v>
      </c>
      <c r="D3374" s="32" t="s">
        <v>10109</v>
      </c>
      <c r="E3374" s="31" t="s">
        <v>43</v>
      </c>
      <c r="F3374" s="31">
        <v>5100000.0</v>
      </c>
      <c r="G3374" s="31" t="s">
        <v>45</v>
      </c>
      <c r="H3374" s="31">
        <v>3000000.0</v>
      </c>
      <c r="I3374" s="31" t="s">
        <v>200</v>
      </c>
      <c r="K3374" s="33" t="s">
        <v>10110</v>
      </c>
      <c r="L3374" s="31" t="s">
        <v>252</v>
      </c>
      <c r="M3374" s="31" t="s">
        <v>5638</v>
      </c>
      <c r="O3374" s="31" t="s">
        <v>257</v>
      </c>
      <c r="P3374" s="31" t="s">
        <v>272</v>
      </c>
    </row>
    <row r="3375">
      <c r="A3375" s="29">
        <v>45991.895110474536</v>
      </c>
      <c r="B3375" s="30">
        <v>45991.0</v>
      </c>
      <c r="C3375" s="31" t="s">
        <v>10111</v>
      </c>
      <c r="D3375" s="32" t="s">
        <v>10112</v>
      </c>
      <c r="E3375" s="31" t="s">
        <v>8055</v>
      </c>
      <c r="F3375" s="31">
        <v>3000000.0</v>
      </c>
      <c r="G3375" s="31" t="s">
        <v>23</v>
      </c>
      <c r="I3375" s="31" t="s">
        <v>229</v>
      </c>
      <c r="J3375" s="31" t="s">
        <v>967</v>
      </c>
      <c r="K3375" s="33" t="s">
        <v>10113</v>
      </c>
      <c r="L3375" s="31" t="s">
        <v>202</v>
      </c>
      <c r="N3375" s="31" t="s">
        <v>215</v>
      </c>
      <c r="W3375" s="31" t="s">
        <v>389</v>
      </c>
    </row>
    <row r="3376">
      <c r="A3376" s="29">
        <v>45991.90683931713</v>
      </c>
      <c r="B3376" s="30">
        <v>45991.0</v>
      </c>
      <c r="C3376" s="31" t="s">
        <v>10114</v>
      </c>
      <c r="D3376" s="32" t="s">
        <v>10115</v>
      </c>
      <c r="E3376" s="31" t="s">
        <v>43</v>
      </c>
      <c r="F3376" s="31">
        <v>3000000.0</v>
      </c>
      <c r="G3376" s="31" t="s">
        <v>23</v>
      </c>
      <c r="I3376" s="31" t="s">
        <v>229</v>
      </c>
      <c r="J3376" s="31" t="s">
        <v>967</v>
      </c>
      <c r="K3376" s="33" t="s">
        <v>10116</v>
      </c>
      <c r="L3376" s="31" t="s">
        <v>202</v>
      </c>
      <c r="N3376" s="31" t="s">
        <v>215</v>
      </c>
      <c r="W3376" s="31" t="s">
        <v>389</v>
      </c>
    </row>
    <row r="3377">
      <c r="A3377" s="29">
        <v>45991.937843391206</v>
      </c>
      <c r="B3377" s="30">
        <v>45991.0</v>
      </c>
      <c r="C3377" s="31" t="s">
        <v>10117</v>
      </c>
      <c r="D3377" s="32" t="s">
        <v>10118</v>
      </c>
      <c r="E3377" s="31" t="s">
        <v>10119</v>
      </c>
      <c r="F3377" s="31">
        <v>1.5E7</v>
      </c>
      <c r="G3377" s="31" t="s">
        <v>23</v>
      </c>
      <c r="H3377" s="31">
        <v>3000000.0</v>
      </c>
      <c r="I3377" s="31" t="s">
        <v>413</v>
      </c>
      <c r="K3377" s="33" t="s">
        <v>10120</v>
      </c>
      <c r="L3377" s="31" t="s">
        <v>202</v>
      </c>
      <c r="M3377" s="31" t="s">
        <v>605</v>
      </c>
      <c r="N3377" s="31" t="s">
        <v>204</v>
      </c>
      <c r="R3377" s="31" t="s">
        <v>5606</v>
      </c>
    </row>
    <row r="3378">
      <c r="A3378" s="29">
        <v>45991.94548984954</v>
      </c>
      <c r="B3378" s="30">
        <v>45991.0</v>
      </c>
      <c r="C3378" s="31" t="s">
        <v>10121</v>
      </c>
      <c r="D3378" s="31">
        <v>6.285792796425E12</v>
      </c>
      <c r="E3378" s="31" t="s">
        <v>10122</v>
      </c>
      <c r="F3378" s="31">
        <v>4500000.0</v>
      </c>
      <c r="G3378" s="31" t="s">
        <v>23</v>
      </c>
      <c r="I3378" s="31" t="s">
        <v>229</v>
      </c>
      <c r="J3378" s="31" t="s">
        <v>967</v>
      </c>
      <c r="K3378" s="33" t="s">
        <v>10123</v>
      </c>
      <c r="L3378" s="31" t="s">
        <v>202</v>
      </c>
      <c r="N3378" s="31" t="s">
        <v>220</v>
      </c>
      <c r="S3378" s="31" t="s">
        <v>536</v>
      </c>
    </row>
    <row r="3379">
      <c r="A3379" s="29">
        <v>45991.95329503472</v>
      </c>
      <c r="B3379" s="30">
        <v>45991.0</v>
      </c>
      <c r="C3379" s="31" t="s">
        <v>10124</v>
      </c>
      <c r="D3379" s="31" t="s">
        <v>10125</v>
      </c>
      <c r="E3379" s="31" t="s">
        <v>335</v>
      </c>
      <c r="F3379" s="31">
        <v>6000000.0</v>
      </c>
      <c r="G3379" s="31" t="s">
        <v>23</v>
      </c>
      <c r="I3379" s="31" t="s">
        <v>229</v>
      </c>
      <c r="J3379" s="31" t="s">
        <v>967</v>
      </c>
      <c r="K3379" s="33" t="s">
        <v>10126</v>
      </c>
      <c r="L3379" s="31" t="s">
        <v>202</v>
      </c>
      <c r="N3379" s="31" t="s">
        <v>220</v>
      </c>
      <c r="S3379" s="31" t="s">
        <v>536</v>
      </c>
    </row>
    <row r="3380">
      <c r="A3380" s="29">
        <v>45991.95662776621</v>
      </c>
      <c r="B3380" s="30">
        <v>45991.0</v>
      </c>
      <c r="C3380" s="31" t="s">
        <v>10127</v>
      </c>
      <c r="D3380" s="32" t="s">
        <v>10128</v>
      </c>
      <c r="E3380" s="31" t="s">
        <v>288</v>
      </c>
      <c r="F3380" s="31">
        <v>1500000.0</v>
      </c>
      <c r="G3380" s="31" t="s">
        <v>23</v>
      </c>
      <c r="I3380" s="31" t="s">
        <v>229</v>
      </c>
      <c r="J3380" s="31" t="s">
        <v>967</v>
      </c>
      <c r="K3380" s="33" t="s">
        <v>10129</v>
      </c>
      <c r="L3380" s="31" t="s">
        <v>202</v>
      </c>
      <c r="N3380" s="31" t="s">
        <v>204</v>
      </c>
      <c r="R3380" s="31" t="s">
        <v>892</v>
      </c>
    </row>
    <row r="3381">
      <c r="A3381" s="29">
        <v>45991.958666875</v>
      </c>
      <c r="B3381" s="30">
        <v>45991.0</v>
      </c>
      <c r="C3381" s="31" t="s">
        <v>10130</v>
      </c>
      <c r="D3381" s="32" t="s">
        <v>10131</v>
      </c>
      <c r="E3381" s="31" t="s">
        <v>43</v>
      </c>
      <c r="F3381" s="31">
        <v>3000000.0</v>
      </c>
      <c r="G3381" s="31" t="s">
        <v>23</v>
      </c>
      <c r="I3381" s="31" t="s">
        <v>229</v>
      </c>
      <c r="J3381" s="31" t="s">
        <v>967</v>
      </c>
      <c r="K3381" s="33" t="s">
        <v>10132</v>
      </c>
      <c r="L3381" s="31" t="s">
        <v>202</v>
      </c>
      <c r="N3381" s="31" t="s">
        <v>204</v>
      </c>
      <c r="R3381" s="31" t="s">
        <v>892</v>
      </c>
    </row>
    <row r="3382">
      <c r="A3382" s="29">
        <v>45991.95888377315</v>
      </c>
      <c r="B3382" s="30">
        <v>45972.0</v>
      </c>
      <c r="C3382" s="31" t="s">
        <v>10133</v>
      </c>
      <c r="D3382" s="32" t="s">
        <v>10134</v>
      </c>
      <c r="E3382" s="31" t="s">
        <v>43</v>
      </c>
      <c r="F3382" s="31">
        <v>5000000.0</v>
      </c>
      <c r="G3382" s="31" t="s">
        <v>45</v>
      </c>
      <c r="I3382" s="31" t="s">
        <v>229</v>
      </c>
      <c r="J3382" s="31" t="s">
        <v>967</v>
      </c>
      <c r="K3382" s="33" t="s">
        <v>10135</v>
      </c>
      <c r="L3382" s="31" t="s">
        <v>202</v>
      </c>
      <c r="N3382" s="31" t="s">
        <v>204</v>
      </c>
      <c r="R3382" s="31" t="s">
        <v>47</v>
      </c>
    </row>
    <row r="3383">
      <c r="A3383" s="29">
        <v>45991.96047853009</v>
      </c>
      <c r="B3383" s="30">
        <v>45991.0</v>
      </c>
      <c r="C3383" s="31" t="s">
        <v>10136</v>
      </c>
      <c r="D3383" s="32" t="s">
        <v>10137</v>
      </c>
      <c r="E3383" s="31" t="s">
        <v>239</v>
      </c>
      <c r="F3383" s="31">
        <v>1500000.0</v>
      </c>
      <c r="G3383" s="31" t="s">
        <v>23</v>
      </c>
      <c r="I3383" s="31" t="s">
        <v>229</v>
      </c>
      <c r="J3383" s="31" t="s">
        <v>967</v>
      </c>
      <c r="K3383" s="33" t="s">
        <v>10138</v>
      </c>
      <c r="L3383" s="31" t="s">
        <v>202</v>
      </c>
      <c r="N3383" s="31" t="s">
        <v>204</v>
      </c>
      <c r="R3383" s="31" t="s">
        <v>892</v>
      </c>
    </row>
    <row r="3384">
      <c r="A3384" s="29">
        <v>45991.9613016088</v>
      </c>
      <c r="B3384" s="30">
        <v>45979.0</v>
      </c>
      <c r="C3384" s="31" t="s">
        <v>10139</v>
      </c>
      <c r="D3384" s="32" t="s">
        <v>9400</v>
      </c>
      <c r="E3384" s="31" t="s">
        <v>43</v>
      </c>
      <c r="F3384" s="31">
        <v>3000000.0</v>
      </c>
      <c r="G3384" s="31" t="s">
        <v>45</v>
      </c>
      <c r="I3384" s="31" t="s">
        <v>229</v>
      </c>
      <c r="J3384" s="31" t="s">
        <v>967</v>
      </c>
      <c r="K3384" s="33" t="s">
        <v>10140</v>
      </c>
      <c r="L3384" s="31" t="s">
        <v>202</v>
      </c>
      <c r="N3384" s="31" t="s">
        <v>204</v>
      </c>
      <c r="R3384" s="31" t="s">
        <v>47</v>
      </c>
    </row>
    <row r="3385">
      <c r="A3385" s="29">
        <v>45991.96275228009</v>
      </c>
      <c r="B3385" s="30">
        <v>45963.0</v>
      </c>
      <c r="C3385" s="31" t="s">
        <v>10141</v>
      </c>
      <c r="D3385" s="32" t="s">
        <v>10142</v>
      </c>
      <c r="E3385" s="31" t="s">
        <v>43</v>
      </c>
      <c r="F3385" s="31">
        <v>3000000.0</v>
      </c>
      <c r="G3385" s="31" t="s">
        <v>23</v>
      </c>
      <c r="I3385" s="31" t="s">
        <v>229</v>
      </c>
      <c r="J3385" s="31" t="s">
        <v>967</v>
      </c>
      <c r="K3385" s="33" t="s">
        <v>10143</v>
      </c>
      <c r="L3385" s="31" t="s">
        <v>202</v>
      </c>
      <c r="N3385" s="31" t="s">
        <v>204</v>
      </c>
      <c r="R3385" s="31" t="s">
        <v>47</v>
      </c>
    </row>
    <row r="3386">
      <c r="A3386" s="29">
        <v>45991.963287743056</v>
      </c>
      <c r="B3386" s="30">
        <v>45991.0</v>
      </c>
      <c r="C3386" s="31" t="s">
        <v>10144</v>
      </c>
      <c r="D3386" s="32" t="s">
        <v>10145</v>
      </c>
      <c r="E3386" s="31" t="s">
        <v>239</v>
      </c>
      <c r="F3386" s="31">
        <v>2000000.0</v>
      </c>
      <c r="G3386" s="31" t="s">
        <v>23</v>
      </c>
      <c r="I3386" s="31" t="s">
        <v>229</v>
      </c>
      <c r="J3386" s="31" t="s">
        <v>967</v>
      </c>
      <c r="K3386" s="33" t="s">
        <v>10146</v>
      </c>
      <c r="L3386" s="31" t="s">
        <v>202</v>
      </c>
      <c r="N3386" s="31" t="s">
        <v>204</v>
      </c>
      <c r="R3386" s="31" t="s">
        <v>892</v>
      </c>
    </row>
    <row r="3387">
      <c r="A3387" s="29">
        <v>45991.96364619213</v>
      </c>
      <c r="B3387" s="30">
        <v>45991.0</v>
      </c>
      <c r="C3387" s="31" t="s">
        <v>10147</v>
      </c>
      <c r="D3387" s="32" t="s">
        <v>10148</v>
      </c>
      <c r="E3387" s="31" t="s">
        <v>288</v>
      </c>
      <c r="F3387" s="31">
        <v>250000.0</v>
      </c>
      <c r="G3387" s="31" t="s">
        <v>23</v>
      </c>
      <c r="I3387" s="31" t="s">
        <v>229</v>
      </c>
      <c r="J3387" s="31" t="s">
        <v>967</v>
      </c>
      <c r="K3387" s="33" t="s">
        <v>10149</v>
      </c>
      <c r="L3387" s="31" t="s">
        <v>202</v>
      </c>
      <c r="N3387" s="31" t="s">
        <v>204</v>
      </c>
      <c r="R3387" s="31" t="s">
        <v>360</v>
      </c>
    </row>
    <row r="3388">
      <c r="A3388" s="29">
        <v>45991.964248310185</v>
      </c>
      <c r="B3388" s="30">
        <v>45972.0</v>
      </c>
      <c r="C3388" s="31" t="s">
        <v>10150</v>
      </c>
      <c r="D3388" s="32" t="s">
        <v>10151</v>
      </c>
      <c r="E3388" s="31" t="s">
        <v>43</v>
      </c>
      <c r="F3388" s="31">
        <v>5000000.0</v>
      </c>
      <c r="G3388" s="31" t="s">
        <v>23</v>
      </c>
      <c r="I3388" s="31" t="s">
        <v>229</v>
      </c>
      <c r="J3388" s="31" t="s">
        <v>967</v>
      </c>
      <c r="K3388" s="33" t="s">
        <v>10152</v>
      </c>
      <c r="L3388" s="31" t="s">
        <v>202</v>
      </c>
      <c r="N3388" s="31" t="s">
        <v>204</v>
      </c>
      <c r="R3388" s="31" t="s">
        <v>47</v>
      </c>
    </row>
    <row r="3389">
      <c r="A3389" s="29">
        <v>45991.96466924768</v>
      </c>
      <c r="B3389" s="30">
        <v>45991.0</v>
      </c>
      <c r="C3389" s="31" t="s">
        <v>10153</v>
      </c>
      <c r="D3389" s="32" t="s">
        <v>10154</v>
      </c>
      <c r="E3389" s="31" t="s">
        <v>288</v>
      </c>
      <c r="F3389" s="31">
        <v>2000000.0</v>
      </c>
      <c r="G3389" s="31" t="s">
        <v>23</v>
      </c>
      <c r="I3389" s="31" t="s">
        <v>229</v>
      </c>
      <c r="J3389" s="31" t="s">
        <v>967</v>
      </c>
      <c r="K3389" s="33" t="s">
        <v>10155</v>
      </c>
      <c r="L3389" s="31" t="s">
        <v>202</v>
      </c>
      <c r="N3389" s="31" t="s">
        <v>204</v>
      </c>
      <c r="R3389" s="31" t="s">
        <v>892</v>
      </c>
    </row>
    <row r="3390">
      <c r="A3390" s="29">
        <v>45991.96591099537</v>
      </c>
      <c r="B3390" s="30">
        <v>45991.0</v>
      </c>
      <c r="C3390" s="31" t="s">
        <v>10156</v>
      </c>
      <c r="D3390" s="32" t="s">
        <v>10157</v>
      </c>
      <c r="E3390" s="31" t="s">
        <v>288</v>
      </c>
      <c r="F3390" s="31">
        <v>2000000.0</v>
      </c>
      <c r="G3390" s="31" t="s">
        <v>23</v>
      </c>
      <c r="I3390" s="31" t="s">
        <v>229</v>
      </c>
      <c r="J3390" s="31" t="s">
        <v>967</v>
      </c>
      <c r="K3390" s="33" t="s">
        <v>10158</v>
      </c>
      <c r="L3390" s="31" t="s">
        <v>202</v>
      </c>
      <c r="N3390" s="31" t="s">
        <v>204</v>
      </c>
      <c r="R3390" s="31" t="s">
        <v>892</v>
      </c>
    </row>
    <row r="3391">
      <c r="A3391" s="29">
        <v>45991.965972986116</v>
      </c>
      <c r="B3391" s="30">
        <v>45979.0</v>
      </c>
      <c r="C3391" s="31" t="s">
        <v>10159</v>
      </c>
      <c r="D3391" s="32" t="s">
        <v>10160</v>
      </c>
      <c r="E3391" s="31" t="s">
        <v>43</v>
      </c>
      <c r="F3391" s="31">
        <v>5000000.0</v>
      </c>
      <c r="G3391" s="31" t="s">
        <v>23</v>
      </c>
      <c r="I3391" s="31" t="s">
        <v>229</v>
      </c>
      <c r="J3391" s="31" t="s">
        <v>967</v>
      </c>
      <c r="K3391" s="33" t="s">
        <v>10161</v>
      </c>
      <c r="L3391" s="31" t="s">
        <v>202</v>
      </c>
      <c r="N3391" s="31" t="s">
        <v>204</v>
      </c>
      <c r="R3391" s="31" t="s">
        <v>47</v>
      </c>
    </row>
    <row r="3392">
      <c r="A3392" s="29">
        <v>45991.966952476854</v>
      </c>
      <c r="B3392" s="30">
        <v>45991.0</v>
      </c>
      <c r="C3392" s="31" t="s">
        <v>10162</v>
      </c>
      <c r="D3392" s="32" t="s">
        <v>10163</v>
      </c>
      <c r="E3392" s="31" t="s">
        <v>43</v>
      </c>
      <c r="F3392" s="31">
        <v>3000000.0</v>
      </c>
      <c r="G3392" s="31" t="s">
        <v>23</v>
      </c>
      <c r="I3392" s="31" t="s">
        <v>229</v>
      </c>
      <c r="J3392" s="31" t="s">
        <v>967</v>
      </c>
      <c r="K3392" s="33" t="s">
        <v>10164</v>
      </c>
      <c r="L3392" s="31" t="s">
        <v>202</v>
      </c>
      <c r="N3392" s="31" t="s">
        <v>204</v>
      </c>
      <c r="R3392" s="31" t="s">
        <v>892</v>
      </c>
    </row>
    <row r="3393">
      <c r="A3393" s="29">
        <v>45991.967040648145</v>
      </c>
      <c r="B3393" s="30">
        <v>45977.0</v>
      </c>
      <c r="C3393" s="31" t="s">
        <v>10165</v>
      </c>
      <c r="D3393" s="32" t="s">
        <v>10166</v>
      </c>
      <c r="E3393" s="31" t="s">
        <v>43</v>
      </c>
      <c r="F3393" s="31">
        <v>7000000.0</v>
      </c>
      <c r="G3393" s="31" t="s">
        <v>23</v>
      </c>
      <c r="I3393" s="31" t="s">
        <v>229</v>
      </c>
      <c r="J3393" s="31" t="s">
        <v>967</v>
      </c>
      <c r="K3393" s="33" t="s">
        <v>10167</v>
      </c>
      <c r="L3393" s="31" t="s">
        <v>202</v>
      </c>
      <c r="N3393" s="31" t="s">
        <v>204</v>
      </c>
      <c r="R3393" s="31" t="s">
        <v>47</v>
      </c>
    </row>
    <row r="3394">
      <c r="A3394" s="29">
        <v>45991.968341354164</v>
      </c>
      <c r="B3394" s="30">
        <v>45976.0</v>
      </c>
      <c r="C3394" s="31" t="s">
        <v>10168</v>
      </c>
      <c r="D3394" s="32" t="s">
        <v>9412</v>
      </c>
      <c r="E3394" s="31" t="s">
        <v>43</v>
      </c>
      <c r="F3394" s="31">
        <v>6000000.0</v>
      </c>
      <c r="G3394" s="31" t="s">
        <v>23</v>
      </c>
      <c r="I3394" s="31" t="s">
        <v>229</v>
      </c>
      <c r="J3394" s="31" t="s">
        <v>967</v>
      </c>
      <c r="K3394" s="33" t="s">
        <v>10169</v>
      </c>
      <c r="L3394" s="31" t="s">
        <v>202</v>
      </c>
      <c r="N3394" s="31" t="s">
        <v>204</v>
      </c>
      <c r="R3394" s="31" t="s">
        <v>47</v>
      </c>
    </row>
    <row r="3395">
      <c r="A3395" s="29">
        <v>45991.96851803241</v>
      </c>
      <c r="B3395" s="30">
        <v>45991.0</v>
      </c>
      <c r="C3395" s="31" t="s">
        <v>10170</v>
      </c>
      <c r="D3395" s="32" t="s">
        <v>10171</v>
      </c>
      <c r="E3395" s="31" t="s">
        <v>43</v>
      </c>
      <c r="F3395" s="31">
        <v>4000000.0</v>
      </c>
      <c r="G3395" s="31" t="s">
        <v>23</v>
      </c>
      <c r="I3395" s="31" t="s">
        <v>229</v>
      </c>
      <c r="J3395" s="31" t="s">
        <v>967</v>
      </c>
      <c r="K3395" s="33" t="s">
        <v>10172</v>
      </c>
      <c r="L3395" s="31" t="s">
        <v>202</v>
      </c>
      <c r="N3395" s="31" t="s">
        <v>220</v>
      </c>
      <c r="S3395" s="31" t="s">
        <v>536</v>
      </c>
    </row>
    <row r="3396">
      <c r="A3396" s="29">
        <v>45991.96874326389</v>
      </c>
      <c r="B3396" s="30">
        <v>45991.0</v>
      </c>
      <c r="C3396" s="31" t="s">
        <v>10173</v>
      </c>
      <c r="D3396" s="32" t="s">
        <v>10174</v>
      </c>
      <c r="E3396" s="31" t="s">
        <v>288</v>
      </c>
      <c r="F3396" s="31">
        <v>1500000.0</v>
      </c>
      <c r="G3396" s="31" t="s">
        <v>23</v>
      </c>
      <c r="I3396" s="31" t="s">
        <v>229</v>
      </c>
      <c r="J3396" s="31" t="s">
        <v>967</v>
      </c>
      <c r="K3396" s="33" t="s">
        <v>10175</v>
      </c>
      <c r="L3396" s="31" t="s">
        <v>202</v>
      </c>
      <c r="N3396" s="31" t="s">
        <v>204</v>
      </c>
      <c r="R3396" s="31" t="s">
        <v>892</v>
      </c>
    </row>
    <row r="3397">
      <c r="A3397" s="29">
        <v>45991.96945642361</v>
      </c>
      <c r="B3397" s="30">
        <v>45965.0</v>
      </c>
      <c r="C3397" s="31" t="s">
        <v>10176</v>
      </c>
      <c r="D3397" s="32" t="s">
        <v>10177</v>
      </c>
      <c r="E3397" s="31" t="s">
        <v>43</v>
      </c>
      <c r="F3397" s="31">
        <v>5000000.0</v>
      </c>
      <c r="G3397" s="31" t="s">
        <v>23</v>
      </c>
      <c r="I3397" s="31" t="s">
        <v>229</v>
      </c>
      <c r="J3397" s="31" t="s">
        <v>967</v>
      </c>
      <c r="K3397" s="33" t="s">
        <v>10178</v>
      </c>
      <c r="L3397" s="31" t="s">
        <v>202</v>
      </c>
      <c r="N3397" s="31" t="s">
        <v>204</v>
      </c>
      <c r="R3397" s="31" t="s">
        <v>47</v>
      </c>
    </row>
    <row r="3398">
      <c r="A3398" s="29">
        <v>45991.96991697917</v>
      </c>
      <c r="B3398" s="30">
        <v>45991.0</v>
      </c>
      <c r="C3398" s="31" t="s">
        <v>10179</v>
      </c>
      <c r="D3398" s="32" t="s">
        <v>10180</v>
      </c>
      <c r="E3398" s="31" t="s">
        <v>288</v>
      </c>
      <c r="F3398" s="31">
        <v>1000000.0</v>
      </c>
      <c r="G3398" s="31" t="s">
        <v>23</v>
      </c>
      <c r="I3398" s="31" t="s">
        <v>229</v>
      </c>
      <c r="J3398" s="31" t="s">
        <v>967</v>
      </c>
      <c r="K3398" s="33" t="s">
        <v>10181</v>
      </c>
      <c r="L3398" s="31" t="s">
        <v>202</v>
      </c>
      <c r="N3398" s="31" t="s">
        <v>204</v>
      </c>
      <c r="R3398" s="31" t="s">
        <v>892</v>
      </c>
    </row>
    <row r="3399">
      <c r="A3399" s="29">
        <v>45991.970715497686</v>
      </c>
      <c r="B3399" s="30">
        <v>45969.0</v>
      </c>
      <c r="C3399" s="31" t="s">
        <v>10182</v>
      </c>
      <c r="D3399" s="32" t="s">
        <v>10183</v>
      </c>
      <c r="E3399" s="31" t="s">
        <v>43</v>
      </c>
      <c r="F3399" s="31">
        <v>4000000.0</v>
      </c>
      <c r="G3399" s="31" t="s">
        <v>23</v>
      </c>
      <c r="I3399" s="31" t="s">
        <v>229</v>
      </c>
      <c r="J3399" s="31" t="s">
        <v>967</v>
      </c>
      <c r="K3399" s="33" t="s">
        <v>10184</v>
      </c>
      <c r="L3399" s="31" t="s">
        <v>202</v>
      </c>
      <c r="N3399" s="31" t="s">
        <v>204</v>
      </c>
      <c r="R3399" s="31" t="s">
        <v>47</v>
      </c>
    </row>
    <row r="3400">
      <c r="A3400" s="29">
        <v>45991.9746896875</v>
      </c>
      <c r="B3400" s="30">
        <v>45991.0</v>
      </c>
      <c r="C3400" s="31" t="s">
        <v>10185</v>
      </c>
      <c r="D3400" s="32" t="s">
        <v>10186</v>
      </c>
      <c r="E3400" s="31" t="s">
        <v>288</v>
      </c>
      <c r="F3400" s="31">
        <v>2000000.0</v>
      </c>
      <c r="G3400" s="31" t="s">
        <v>23</v>
      </c>
      <c r="H3400" s="31">
        <v>3000000.0</v>
      </c>
      <c r="I3400" s="31" t="s">
        <v>413</v>
      </c>
      <c r="K3400" s="33" t="s">
        <v>10187</v>
      </c>
      <c r="L3400" s="31" t="s">
        <v>202</v>
      </c>
      <c r="M3400" s="31" t="s">
        <v>203</v>
      </c>
      <c r="N3400" s="31" t="s">
        <v>204</v>
      </c>
      <c r="R3400" s="31" t="s">
        <v>360</v>
      </c>
    </row>
    <row r="3401">
      <c r="A3401" s="29">
        <v>45991.974688912036</v>
      </c>
      <c r="B3401" s="30">
        <v>45971.0</v>
      </c>
      <c r="C3401" s="31" t="s">
        <v>10188</v>
      </c>
      <c r="D3401" s="32" t="s">
        <v>10189</v>
      </c>
      <c r="E3401" s="31" t="s">
        <v>43</v>
      </c>
      <c r="F3401" s="31">
        <v>4000000.0</v>
      </c>
      <c r="G3401" s="31" t="s">
        <v>23</v>
      </c>
      <c r="I3401" s="31" t="s">
        <v>229</v>
      </c>
      <c r="J3401" s="31" t="s">
        <v>967</v>
      </c>
      <c r="K3401" s="33" t="s">
        <v>10190</v>
      </c>
      <c r="L3401" s="31" t="s">
        <v>202</v>
      </c>
      <c r="N3401" s="31" t="s">
        <v>204</v>
      </c>
      <c r="R3401" s="31" t="s">
        <v>47</v>
      </c>
    </row>
    <row r="3402">
      <c r="A3402" s="29">
        <v>45991.976625138894</v>
      </c>
      <c r="B3402" s="30">
        <v>45991.0</v>
      </c>
      <c r="C3402" s="31" t="s">
        <v>10191</v>
      </c>
      <c r="D3402" s="32" t="s">
        <v>10192</v>
      </c>
      <c r="E3402" s="31" t="s">
        <v>239</v>
      </c>
      <c r="F3402" s="31">
        <v>2500000.0</v>
      </c>
      <c r="G3402" s="31" t="s">
        <v>23</v>
      </c>
      <c r="I3402" s="31" t="s">
        <v>229</v>
      </c>
      <c r="J3402" s="31" t="s">
        <v>967</v>
      </c>
      <c r="K3402" s="33" t="s">
        <v>10193</v>
      </c>
      <c r="L3402" s="31" t="s">
        <v>202</v>
      </c>
      <c r="N3402" s="31" t="s">
        <v>204</v>
      </c>
      <c r="R3402" s="31" t="s">
        <v>360</v>
      </c>
    </row>
    <row r="3403">
      <c r="A3403" s="29">
        <v>45991.97775443287</v>
      </c>
      <c r="B3403" s="30">
        <v>45991.0</v>
      </c>
      <c r="C3403" s="31" t="s">
        <v>2154</v>
      </c>
      <c r="D3403" s="32" t="s">
        <v>10194</v>
      </c>
      <c r="E3403" s="31" t="s">
        <v>288</v>
      </c>
      <c r="F3403" s="31">
        <v>2000000.0</v>
      </c>
      <c r="G3403" s="31" t="s">
        <v>23</v>
      </c>
      <c r="I3403" s="31" t="s">
        <v>229</v>
      </c>
      <c r="J3403" s="31" t="s">
        <v>967</v>
      </c>
      <c r="K3403" s="33" t="s">
        <v>10195</v>
      </c>
      <c r="L3403" s="31" t="s">
        <v>202</v>
      </c>
      <c r="N3403" s="31" t="s">
        <v>204</v>
      </c>
      <c r="R3403" s="31" t="s">
        <v>360</v>
      </c>
    </row>
    <row r="3404">
      <c r="A3404" s="29">
        <v>45991.977983599536</v>
      </c>
      <c r="B3404" s="30">
        <v>45991.0</v>
      </c>
      <c r="C3404" s="31" t="s">
        <v>10196</v>
      </c>
      <c r="D3404" s="32" t="s">
        <v>10197</v>
      </c>
      <c r="E3404" s="31" t="s">
        <v>43</v>
      </c>
      <c r="F3404" s="31">
        <v>5100000.0</v>
      </c>
      <c r="G3404" s="31" t="s">
        <v>23</v>
      </c>
      <c r="I3404" s="31" t="s">
        <v>229</v>
      </c>
      <c r="J3404" s="31" t="s">
        <v>967</v>
      </c>
      <c r="K3404" s="33" t="s">
        <v>10198</v>
      </c>
      <c r="L3404" s="31" t="s">
        <v>202</v>
      </c>
      <c r="N3404" s="31" t="s">
        <v>204</v>
      </c>
      <c r="R3404" s="31" t="s">
        <v>53</v>
      </c>
    </row>
    <row r="3405">
      <c r="A3405" s="29">
        <v>45991.97809135416</v>
      </c>
      <c r="B3405" s="30">
        <v>45967.0</v>
      </c>
      <c r="C3405" s="31" t="s">
        <v>10199</v>
      </c>
      <c r="D3405" s="32" t="s">
        <v>1212</v>
      </c>
      <c r="E3405" s="31" t="s">
        <v>43</v>
      </c>
      <c r="F3405" s="31">
        <v>4000000.0</v>
      </c>
      <c r="G3405" s="31" t="s">
        <v>23</v>
      </c>
      <c r="I3405" s="31" t="s">
        <v>229</v>
      </c>
      <c r="J3405" s="31" t="s">
        <v>967</v>
      </c>
      <c r="K3405" s="33" t="s">
        <v>10200</v>
      </c>
      <c r="L3405" s="31" t="s">
        <v>202</v>
      </c>
      <c r="N3405" s="31" t="s">
        <v>204</v>
      </c>
      <c r="R3405" s="31" t="s">
        <v>47</v>
      </c>
    </row>
    <row r="3406">
      <c r="A3406" s="29">
        <v>45991.97899737269</v>
      </c>
      <c r="B3406" s="30">
        <v>45978.0</v>
      </c>
      <c r="C3406" s="31" t="s">
        <v>10201</v>
      </c>
      <c r="D3406" s="32" t="s">
        <v>10202</v>
      </c>
      <c r="E3406" s="31" t="s">
        <v>43</v>
      </c>
      <c r="F3406" s="31">
        <v>5000000.0</v>
      </c>
      <c r="G3406" s="31" t="s">
        <v>23</v>
      </c>
      <c r="I3406" s="31" t="s">
        <v>229</v>
      </c>
      <c r="J3406" s="31" t="s">
        <v>967</v>
      </c>
      <c r="K3406" s="33" t="s">
        <v>10203</v>
      </c>
      <c r="L3406" s="31" t="s">
        <v>202</v>
      </c>
      <c r="N3406" s="31" t="s">
        <v>204</v>
      </c>
      <c r="R3406" s="31" t="s">
        <v>47</v>
      </c>
    </row>
    <row r="3407">
      <c r="A3407" s="29">
        <v>45991.97988719908</v>
      </c>
      <c r="B3407" s="30">
        <v>45991.0</v>
      </c>
      <c r="C3407" s="31" t="s">
        <v>10204</v>
      </c>
      <c r="D3407" s="32" t="s">
        <v>10205</v>
      </c>
      <c r="E3407" s="31" t="s">
        <v>43</v>
      </c>
      <c r="F3407" s="31">
        <v>5200000.0</v>
      </c>
      <c r="G3407" s="31" t="s">
        <v>23</v>
      </c>
      <c r="I3407" s="31" t="s">
        <v>229</v>
      </c>
      <c r="J3407" s="31" t="s">
        <v>967</v>
      </c>
      <c r="K3407" s="33" t="s">
        <v>10206</v>
      </c>
      <c r="L3407" s="31" t="s">
        <v>202</v>
      </c>
      <c r="N3407" s="31" t="s">
        <v>204</v>
      </c>
      <c r="R3407" s="31" t="s">
        <v>53</v>
      </c>
    </row>
    <row r="3408">
      <c r="A3408" s="29">
        <v>45991.9812634375</v>
      </c>
      <c r="B3408" s="30">
        <v>45977.0</v>
      </c>
      <c r="C3408" s="31" t="s">
        <v>10207</v>
      </c>
      <c r="D3408" s="32" t="s">
        <v>10208</v>
      </c>
      <c r="E3408" s="31" t="s">
        <v>43</v>
      </c>
      <c r="F3408" s="31">
        <v>8000000.0</v>
      </c>
      <c r="G3408" s="31" t="s">
        <v>23</v>
      </c>
      <c r="H3408" s="31">
        <v>7000000.0</v>
      </c>
      <c r="I3408" s="31" t="s">
        <v>413</v>
      </c>
      <c r="K3408" s="33" t="s">
        <v>10209</v>
      </c>
      <c r="L3408" s="31" t="s">
        <v>202</v>
      </c>
      <c r="M3408" s="31" t="s">
        <v>203</v>
      </c>
      <c r="N3408" s="31" t="s">
        <v>204</v>
      </c>
      <c r="R3408" s="31" t="s">
        <v>47</v>
      </c>
    </row>
    <row r="3409">
      <c r="A3409" s="29">
        <v>45991.982566886574</v>
      </c>
      <c r="B3409" s="30">
        <v>45970.0</v>
      </c>
      <c r="C3409" s="31" t="s">
        <v>10210</v>
      </c>
      <c r="D3409" s="32" t="s">
        <v>10211</v>
      </c>
      <c r="E3409" s="31" t="s">
        <v>43</v>
      </c>
      <c r="F3409" s="31">
        <v>4000000.0</v>
      </c>
      <c r="G3409" s="31" t="s">
        <v>23</v>
      </c>
      <c r="I3409" s="31" t="s">
        <v>229</v>
      </c>
      <c r="J3409" s="31" t="s">
        <v>967</v>
      </c>
      <c r="K3409" s="33" t="s">
        <v>10212</v>
      </c>
      <c r="L3409" s="31" t="s">
        <v>202</v>
      </c>
      <c r="N3409" s="31" t="s">
        <v>204</v>
      </c>
      <c r="R3409" s="31" t="s">
        <v>47</v>
      </c>
    </row>
    <row r="3410">
      <c r="A3410" s="29">
        <v>45991.98358760416</v>
      </c>
      <c r="B3410" s="30">
        <v>45971.0</v>
      </c>
      <c r="C3410" s="31" t="s">
        <v>10213</v>
      </c>
      <c r="D3410" s="32" t="s">
        <v>10214</v>
      </c>
      <c r="E3410" s="31" t="s">
        <v>43</v>
      </c>
      <c r="F3410" s="31">
        <v>8000000.0</v>
      </c>
      <c r="G3410" s="31" t="s">
        <v>23</v>
      </c>
      <c r="I3410" s="31" t="s">
        <v>229</v>
      </c>
      <c r="J3410" s="31" t="s">
        <v>967</v>
      </c>
      <c r="K3410" s="33" t="s">
        <v>10215</v>
      </c>
      <c r="L3410" s="31" t="s">
        <v>202</v>
      </c>
      <c r="N3410" s="31" t="s">
        <v>204</v>
      </c>
      <c r="R3410" s="31" t="s">
        <v>47</v>
      </c>
    </row>
    <row r="3411">
      <c r="A3411" s="29">
        <v>45991.98499892361</v>
      </c>
      <c r="B3411" s="30">
        <v>45974.0</v>
      </c>
      <c r="C3411" s="31" t="s">
        <v>10216</v>
      </c>
      <c r="D3411" s="32" t="s">
        <v>1414</v>
      </c>
      <c r="E3411" s="31" t="s">
        <v>43</v>
      </c>
      <c r="F3411" s="31">
        <v>5000000.0</v>
      </c>
      <c r="G3411" s="31" t="s">
        <v>23</v>
      </c>
      <c r="I3411" s="31" t="s">
        <v>229</v>
      </c>
      <c r="J3411" s="31" t="s">
        <v>967</v>
      </c>
      <c r="K3411" s="33" t="s">
        <v>10217</v>
      </c>
      <c r="L3411" s="31" t="s">
        <v>202</v>
      </c>
      <c r="N3411" s="31" t="s">
        <v>204</v>
      </c>
      <c r="R3411" s="31" t="s">
        <v>47</v>
      </c>
    </row>
    <row r="3412">
      <c r="A3412" s="29">
        <v>45991.98674259259</v>
      </c>
      <c r="B3412" s="30">
        <v>45964.0</v>
      </c>
      <c r="C3412" s="31" t="s">
        <v>10218</v>
      </c>
      <c r="D3412" s="32" t="s">
        <v>10219</v>
      </c>
      <c r="E3412" s="31" t="s">
        <v>43</v>
      </c>
      <c r="F3412" s="31">
        <v>3000000.0</v>
      </c>
      <c r="G3412" s="31" t="s">
        <v>23</v>
      </c>
      <c r="I3412" s="31" t="s">
        <v>229</v>
      </c>
      <c r="J3412" s="31" t="s">
        <v>967</v>
      </c>
      <c r="K3412" s="33" t="s">
        <v>10220</v>
      </c>
      <c r="L3412" s="31" t="s">
        <v>202</v>
      </c>
      <c r="N3412" s="31" t="s">
        <v>204</v>
      </c>
      <c r="R3412" s="31" t="s">
        <v>47</v>
      </c>
    </row>
    <row r="3413">
      <c r="A3413" s="29">
        <v>45991.98759803241</v>
      </c>
      <c r="B3413" s="30">
        <v>45967.0</v>
      </c>
      <c r="C3413" s="31" t="s">
        <v>10221</v>
      </c>
      <c r="D3413" s="32" t="s">
        <v>10219</v>
      </c>
      <c r="E3413" s="31" t="s">
        <v>43</v>
      </c>
      <c r="F3413" s="31">
        <v>2000000.0</v>
      </c>
      <c r="G3413" s="31" t="s">
        <v>23</v>
      </c>
      <c r="I3413" s="31" t="s">
        <v>229</v>
      </c>
      <c r="J3413" s="31" t="s">
        <v>967</v>
      </c>
      <c r="K3413" s="33" t="s">
        <v>10222</v>
      </c>
      <c r="L3413" s="31" t="s">
        <v>202</v>
      </c>
      <c r="N3413" s="31" t="s">
        <v>204</v>
      </c>
      <c r="R3413" s="31" t="s">
        <v>47</v>
      </c>
    </row>
    <row r="3414">
      <c r="A3414" s="29">
        <v>45991.989015740735</v>
      </c>
      <c r="B3414" s="30">
        <v>45981.0</v>
      </c>
      <c r="C3414" s="31" t="s">
        <v>10223</v>
      </c>
      <c r="D3414" s="32" t="s">
        <v>10224</v>
      </c>
      <c r="E3414" s="31" t="s">
        <v>43</v>
      </c>
      <c r="F3414" s="31">
        <v>300000.0</v>
      </c>
      <c r="G3414" s="31" t="s">
        <v>23</v>
      </c>
      <c r="I3414" s="31" t="s">
        <v>229</v>
      </c>
      <c r="J3414" s="31" t="s">
        <v>967</v>
      </c>
      <c r="K3414" s="33" t="s">
        <v>10225</v>
      </c>
      <c r="L3414" s="31" t="s">
        <v>202</v>
      </c>
      <c r="N3414" s="31" t="s">
        <v>204</v>
      </c>
      <c r="R3414" s="31" t="s">
        <v>47</v>
      </c>
    </row>
    <row r="3415">
      <c r="A3415" s="29">
        <v>45991.99016922453</v>
      </c>
      <c r="B3415" s="30">
        <v>45974.0</v>
      </c>
      <c r="C3415" s="31" t="s">
        <v>10226</v>
      </c>
      <c r="D3415" s="32" t="s">
        <v>10227</v>
      </c>
      <c r="E3415" s="31" t="s">
        <v>43</v>
      </c>
      <c r="F3415" s="31">
        <v>3000000.0</v>
      </c>
      <c r="G3415" s="31" t="s">
        <v>23</v>
      </c>
      <c r="I3415" s="31" t="s">
        <v>229</v>
      </c>
      <c r="J3415" s="31" t="s">
        <v>967</v>
      </c>
      <c r="K3415" s="33" t="s">
        <v>10228</v>
      </c>
      <c r="L3415" s="31" t="s">
        <v>202</v>
      </c>
      <c r="N3415" s="31" t="s">
        <v>204</v>
      </c>
      <c r="R3415" s="31" t="s">
        <v>47</v>
      </c>
    </row>
    <row r="3416">
      <c r="A3416" s="29">
        <v>45991.99109913195</v>
      </c>
      <c r="B3416" s="30">
        <v>45966.0</v>
      </c>
      <c r="C3416" s="31" t="s">
        <v>10229</v>
      </c>
      <c r="D3416" s="32" t="s">
        <v>10230</v>
      </c>
      <c r="E3416" s="31" t="s">
        <v>43</v>
      </c>
      <c r="F3416" s="31">
        <v>3000000.0</v>
      </c>
      <c r="G3416" s="31" t="s">
        <v>23</v>
      </c>
      <c r="I3416" s="31" t="s">
        <v>229</v>
      </c>
      <c r="J3416" s="31" t="s">
        <v>967</v>
      </c>
      <c r="K3416" s="33" t="s">
        <v>10231</v>
      </c>
      <c r="L3416" s="31" t="s">
        <v>202</v>
      </c>
      <c r="N3416" s="31" t="s">
        <v>204</v>
      </c>
      <c r="R3416" s="31" t="s">
        <v>47</v>
      </c>
    </row>
    <row r="3417">
      <c r="A3417" s="29">
        <v>45991.991996446755</v>
      </c>
      <c r="B3417" s="30">
        <v>45987.0</v>
      </c>
      <c r="C3417" s="31" t="s">
        <v>10232</v>
      </c>
      <c r="D3417" s="32" t="s">
        <v>10233</v>
      </c>
      <c r="E3417" s="31" t="s">
        <v>43</v>
      </c>
      <c r="F3417" s="31">
        <v>4000000.0</v>
      </c>
      <c r="G3417" s="31" t="s">
        <v>23</v>
      </c>
      <c r="I3417" s="31" t="s">
        <v>229</v>
      </c>
      <c r="J3417" s="31" t="s">
        <v>967</v>
      </c>
      <c r="K3417" s="33" t="s">
        <v>10234</v>
      </c>
      <c r="L3417" s="31" t="s">
        <v>202</v>
      </c>
      <c r="N3417" s="31" t="s">
        <v>204</v>
      </c>
      <c r="R3417" s="31" t="s">
        <v>47</v>
      </c>
    </row>
    <row r="3418">
      <c r="A3418" s="29">
        <v>45991.99575341435</v>
      </c>
      <c r="B3418" s="30">
        <v>45979.0</v>
      </c>
      <c r="C3418" s="31" t="s">
        <v>10235</v>
      </c>
      <c r="D3418" s="32" t="s">
        <v>10219</v>
      </c>
      <c r="E3418" s="31" t="s">
        <v>10236</v>
      </c>
      <c r="F3418" s="31">
        <v>3000000.0</v>
      </c>
      <c r="G3418" s="31" t="s">
        <v>23</v>
      </c>
      <c r="I3418" s="31" t="s">
        <v>229</v>
      </c>
      <c r="J3418" s="31" t="s">
        <v>967</v>
      </c>
      <c r="K3418" s="33" t="s">
        <v>10237</v>
      </c>
      <c r="L3418" s="31" t="s">
        <v>202</v>
      </c>
      <c r="N3418" s="31" t="s">
        <v>204</v>
      </c>
      <c r="R3418" s="31" t="s">
        <v>47</v>
      </c>
    </row>
    <row r="3419">
      <c r="A3419" s="29">
        <v>45991.996026319444</v>
      </c>
      <c r="B3419" s="30">
        <v>45991.0</v>
      </c>
      <c r="C3419" s="31" t="s">
        <v>10238</v>
      </c>
      <c r="D3419" s="32" t="s">
        <v>10239</v>
      </c>
      <c r="E3419" s="31" t="s">
        <v>288</v>
      </c>
      <c r="F3419" s="31">
        <v>1000000.0</v>
      </c>
      <c r="G3419" s="31" t="s">
        <v>23</v>
      </c>
      <c r="I3419" s="31" t="s">
        <v>229</v>
      </c>
      <c r="J3419" s="31" t="s">
        <v>967</v>
      </c>
      <c r="K3419" s="33" t="s">
        <v>10240</v>
      </c>
      <c r="L3419" s="31" t="s">
        <v>202</v>
      </c>
      <c r="N3419" s="31" t="s">
        <v>204</v>
      </c>
      <c r="R3419" s="31" t="s">
        <v>360</v>
      </c>
    </row>
    <row r="3420">
      <c r="A3420" s="29">
        <v>45991.99683145834</v>
      </c>
      <c r="B3420" s="30">
        <v>45988.0</v>
      </c>
      <c r="C3420" s="31" t="s">
        <v>10241</v>
      </c>
      <c r="D3420" s="32" t="s">
        <v>10219</v>
      </c>
      <c r="E3420" s="31" t="s">
        <v>43</v>
      </c>
      <c r="F3420" s="32" t="s">
        <v>10242</v>
      </c>
      <c r="G3420" s="31" t="s">
        <v>23</v>
      </c>
      <c r="I3420" s="31" t="s">
        <v>229</v>
      </c>
      <c r="J3420" s="31" t="s">
        <v>967</v>
      </c>
      <c r="K3420" s="33" t="s">
        <v>10243</v>
      </c>
      <c r="L3420" s="31" t="s">
        <v>202</v>
      </c>
      <c r="N3420" s="31" t="s">
        <v>204</v>
      </c>
      <c r="R3420" s="31" t="s">
        <v>47</v>
      </c>
    </row>
    <row r="3421">
      <c r="A3421" s="29">
        <v>45991.99805380787</v>
      </c>
      <c r="B3421" s="30">
        <v>45991.0</v>
      </c>
      <c r="C3421" s="31" t="s">
        <v>10244</v>
      </c>
      <c r="D3421" s="32" t="s">
        <v>10245</v>
      </c>
      <c r="E3421" s="31" t="s">
        <v>288</v>
      </c>
      <c r="F3421" s="31">
        <v>2500000.0</v>
      </c>
      <c r="G3421" s="31" t="s">
        <v>23</v>
      </c>
      <c r="I3421" s="31" t="s">
        <v>229</v>
      </c>
      <c r="J3421" s="31" t="s">
        <v>967</v>
      </c>
      <c r="K3421" s="33" t="s">
        <v>10246</v>
      </c>
      <c r="L3421" s="31" t="s">
        <v>202</v>
      </c>
      <c r="N3421" s="31" t="s">
        <v>204</v>
      </c>
      <c r="R3421" s="31" t="s">
        <v>360</v>
      </c>
    </row>
    <row r="3422">
      <c r="A3422" s="29">
        <v>45991.999147002316</v>
      </c>
      <c r="B3422" s="30">
        <v>45991.0</v>
      </c>
      <c r="C3422" s="31" t="s">
        <v>10247</v>
      </c>
      <c r="D3422" s="32" t="s">
        <v>10248</v>
      </c>
      <c r="E3422" s="31" t="s">
        <v>228</v>
      </c>
      <c r="F3422" s="31">
        <v>2500000.0</v>
      </c>
      <c r="G3422" s="31" t="s">
        <v>23</v>
      </c>
      <c r="I3422" s="31" t="s">
        <v>229</v>
      </c>
      <c r="J3422" s="31" t="s">
        <v>967</v>
      </c>
      <c r="K3422" s="33" t="s">
        <v>10249</v>
      </c>
      <c r="L3422" s="31" t="s">
        <v>202</v>
      </c>
      <c r="N3422" s="31" t="s">
        <v>204</v>
      </c>
      <c r="R3422" s="31" t="s">
        <v>360</v>
      </c>
    </row>
    <row r="3423">
      <c r="A3423" s="29">
        <v>45992.000220925926</v>
      </c>
      <c r="B3423" s="30">
        <v>45991.0</v>
      </c>
      <c r="C3423" s="31" t="s">
        <v>10250</v>
      </c>
      <c r="D3423" s="32" t="s">
        <v>10251</v>
      </c>
      <c r="E3423" s="31" t="s">
        <v>239</v>
      </c>
      <c r="F3423" s="31">
        <v>1600000.0</v>
      </c>
      <c r="G3423" s="31" t="s">
        <v>23</v>
      </c>
      <c r="I3423" s="31" t="s">
        <v>229</v>
      </c>
      <c r="J3423" s="31" t="s">
        <v>967</v>
      </c>
      <c r="K3423" s="33" t="s">
        <v>10252</v>
      </c>
      <c r="L3423" s="31" t="s">
        <v>202</v>
      </c>
      <c r="N3423" s="31" t="s">
        <v>204</v>
      </c>
      <c r="R3423" s="31" t="s">
        <v>360</v>
      </c>
    </row>
    <row r="3424">
      <c r="A3424" s="29">
        <v>45992.39247590278</v>
      </c>
      <c r="B3424" s="30">
        <v>45992.0</v>
      </c>
      <c r="C3424" s="31" t="s">
        <v>10253</v>
      </c>
      <c r="D3424" s="32" t="s">
        <v>10254</v>
      </c>
      <c r="E3424" s="31" t="s">
        <v>31</v>
      </c>
      <c r="F3424" s="31">
        <v>4599000.0</v>
      </c>
      <c r="G3424" s="31" t="s">
        <v>23</v>
      </c>
      <c r="I3424" s="31" t="s">
        <v>229</v>
      </c>
      <c r="J3424" s="31" t="s">
        <v>967</v>
      </c>
      <c r="K3424" s="33" t="s">
        <v>10255</v>
      </c>
      <c r="L3424" s="31" t="s">
        <v>202</v>
      </c>
      <c r="N3424" s="31" t="s">
        <v>204</v>
      </c>
      <c r="R3424" s="31" t="s">
        <v>207</v>
      </c>
    </row>
    <row r="3425">
      <c r="A3425" s="29">
        <v>45992.41216761574</v>
      </c>
      <c r="B3425" s="30">
        <v>45992.0</v>
      </c>
      <c r="C3425" s="31" t="s">
        <v>10256</v>
      </c>
      <c r="D3425" s="32" t="s">
        <v>10257</v>
      </c>
      <c r="E3425" s="31" t="s">
        <v>572</v>
      </c>
      <c r="F3425" s="31">
        <v>3500000.0</v>
      </c>
      <c r="G3425" s="31" t="s">
        <v>45</v>
      </c>
      <c r="I3425" s="31" t="s">
        <v>229</v>
      </c>
      <c r="J3425" s="31" t="s">
        <v>967</v>
      </c>
      <c r="K3425" s="33" t="s">
        <v>10258</v>
      </c>
      <c r="L3425" s="31" t="s">
        <v>202</v>
      </c>
      <c r="N3425" s="31" t="s">
        <v>204</v>
      </c>
      <c r="R3425" s="31" t="s">
        <v>360</v>
      </c>
    </row>
    <row r="3426">
      <c r="A3426" s="29">
        <v>45992.42242364583</v>
      </c>
      <c r="B3426" s="30">
        <v>45992.0</v>
      </c>
      <c r="C3426" s="31" t="s">
        <v>10259</v>
      </c>
      <c r="D3426" s="32" t="s">
        <v>10260</v>
      </c>
      <c r="E3426" s="31" t="s">
        <v>493</v>
      </c>
      <c r="F3426" s="31">
        <v>6000000.0</v>
      </c>
      <c r="G3426" s="31" t="s">
        <v>23</v>
      </c>
      <c r="I3426" s="31" t="s">
        <v>229</v>
      </c>
      <c r="J3426" s="31" t="s">
        <v>967</v>
      </c>
      <c r="K3426" s="33" t="s">
        <v>10261</v>
      </c>
      <c r="L3426" s="31" t="s">
        <v>202</v>
      </c>
      <c r="N3426" s="31" t="s">
        <v>220</v>
      </c>
      <c r="S3426" s="31" t="s">
        <v>5697</v>
      </c>
    </row>
    <row r="3427">
      <c r="A3427" s="29">
        <v>45992.42366331018</v>
      </c>
      <c r="B3427" s="30">
        <v>45992.0</v>
      </c>
      <c r="C3427" s="31" t="s">
        <v>10262</v>
      </c>
      <c r="D3427" s="32" t="s">
        <v>10263</v>
      </c>
      <c r="E3427" s="31" t="s">
        <v>31</v>
      </c>
      <c r="F3427" s="31">
        <v>4999000.0</v>
      </c>
      <c r="G3427" s="31" t="s">
        <v>23</v>
      </c>
      <c r="I3427" s="31" t="s">
        <v>229</v>
      </c>
      <c r="J3427" s="31" t="s">
        <v>967</v>
      </c>
      <c r="K3427" s="33" t="s">
        <v>10264</v>
      </c>
      <c r="L3427" s="31" t="s">
        <v>202</v>
      </c>
      <c r="N3427" s="31" t="s">
        <v>204</v>
      </c>
      <c r="R3427" s="31" t="s">
        <v>207</v>
      </c>
    </row>
    <row r="3428">
      <c r="A3428" s="29">
        <v>45992.43756385417</v>
      </c>
      <c r="B3428" s="30">
        <v>45992.0</v>
      </c>
      <c r="C3428" s="31" t="s">
        <v>10265</v>
      </c>
      <c r="D3428" s="32" t="s">
        <v>10266</v>
      </c>
      <c r="E3428" s="31" t="s">
        <v>43</v>
      </c>
      <c r="F3428" s="31">
        <v>4100000.0</v>
      </c>
      <c r="G3428" s="31" t="s">
        <v>23</v>
      </c>
      <c r="H3428" s="31">
        <v>3000000.0</v>
      </c>
      <c r="I3428" s="31" t="s">
        <v>413</v>
      </c>
      <c r="K3428" s="33" t="s">
        <v>10267</v>
      </c>
      <c r="L3428" s="31" t="s">
        <v>202</v>
      </c>
      <c r="M3428" s="31" t="s">
        <v>5638</v>
      </c>
      <c r="N3428" s="31" t="s">
        <v>204</v>
      </c>
      <c r="R3428" s="31" t="s">
        <v>98</v>
      </c>
    </row>
    <row r="3429">
      <c r="A3429" s="29">
        <v>45992.467692754624</v>
      </c>
      <c r="B3429" s="30">
        <v>45992.0</v>
      </c>
      <c r="C3429" s="31" t="s">
        <v>10268</v>
      </c>
      <c r="D3429" s="32" t="s">
        <v>10269</v>
      </c>
      <c r="E3429" s="31" t="s">
        <v>2902</v>
      </c>
      <c r="F3429" s="31">
        <v>4700000.0</v>
      </c>
      <c r="G3429" s="31" t="s">
        <v>23</v>
      </c>
      <c r="I3429" s="31" t="s">
        <v>229</v>
      </c>
      <c r="J3429" s="31" t="s">
        <v>10270</v>
      </c>
      <c r="K3429" s="33" t="s">
        <v>10271</v>
      </c>
      <c r="L3429" s="31" t="s">
        <v>202</v>
      </c>
      <c r="N3429" s="31" t="s">
        <v>220</v>
      </c>
      <c r="S3429" s="31" t="s">
        <v>36</v>
      </c>
    </row>
    <row r="3430">
      <c r="A3430" s="29">
        <v>45992.50544042824</v>
      </c>
      <c r="B3430" s="30">
        <v>45992.0</v>
      </c>
      <c r="C3430" s="31" t="s">
        <v>10272</v>
      </c>
      <c r="D3430" s="32" t="s">
        <v>10273</v>
      </c>
      <c r="E3430" s="31" t="s">
        <v>288</v>
      </c>
      <c r="F3430" s="31">
        <v>2500000.0</v>
      </c>
      <c r="G3430" s="31" t="s">
        <v>23</v>
      </c>
      <c r="I3430" s="31" t="s">
        <v>229</v>
      </c>
      <c r="J3430" s="31" t="s">
        <v>967</v>
      </c>
      <c r="K3430" s="33" t="s">
        <v>10274</v>
      </c>
      <c r="L3430" s="31" t="s">
        <v>202</v>
      </c>
      <c r="N3430" s="31" t="s">
        <v>220</v>
      </c>
      <c r="S3430" s="31" t="s">
        <v>8401</v>
      </c>
    </row>
    <row r="3431">
      <c r="A3431" s="29">
        <v>45992.564250324074</v>
      </c>
      <c r="B3431" s="30">
        <v>45992.0</v>
      </c>
      <c r="C3431" s="31" t="s">
        <v>10275</v>
      </c>
      <c r="D3431" s="32" t="s">
        <v>10276</v>
      </c>
      <c r="E3431" s="31" t="s">
        <v>43</v>
      </c>
      <c r="F3431" s="31">
        <v>1.5E7</v>
      </c>
      <c r="G3431" s="31" t="s">
        <v>23</v>
      </c>
      <c r="I3431" s="31" t="s">
        <v>229</v>
      </c>
      <c r="J3431" s="31" t="s">
        <v>967</v>
      </c>
      <c r="K3431" s="33" t="s">
        <v>10277</v>
      </c>
      <c r="L3431" s="31" t="s">
        <v>202</v>
      </c>
      <c r="N3431" s="31" t="s">
        <v>500</v>
      </c>
      <c r="V3431" s="31" t="s">
        <v>6597</v>
      </c>
    </row>
    <row r="3432">
      <c r="A3432" s="29">
        <v>45992.568997662034</v>
      </c>
      <c r="B3432" s="30">
        <v>45992.0</v>
      </c>
      <c r="C3432" s="31" t="s">
        <v>10278</v>
      </c>
      <c r="D3432" s="32" t="s">
        <v>10279</v>
      </c>
      <c r="E3432" s="31" t="s">
        <v>228</v>
      </c>
      <c r="F3432" s="31">
        <v>3000000.0</v>
      </c>
      <c r="G3432" s="31" t="s">
        <v>23</v>
      </c>
      <c r="I3432" s="31" t="s">
        <v>229</v>
      </c>
      <c r="J3432" s="31" t="s">
        <v>967</v>
      </c>
      <c r="K3432" s="33" t="s">
        <v>10280</v>
      </c>
      <c r="L3432" s="31" t="s">
        <v>202</v>
      </c>
      <c r="N3432" s="31" t="s">
        <v>871</v>
      </c>
      <c r="Q3432" s="31" t="s">
        <v>872</v>
      </c>
    </row>
    <row r="3433">
      <c r="A3433" s="29">
        <v>45992.56975221065</v>
      </c>
      <c r="B3433" s="30">
        <v>45992.0</v>
      </c>
      <c r="C3433" s="31" t="s">
        <v>10281</v>
      </c>
      <c r="D3433" s="32" t="s">
        <v>10282</v>
      </c>
      <c r="E3433" s="31" t="s">
        <v>1166</v>
      </c>
      <c r="F3433" s="31">
        <v>500000.0</v>
      </c>
      <c r="G3433" s="31" t="s">
        <v>23</v>
      </c>
      <c r="I3433" s="31" t="s">
        <v>229</v>
      </c>
      <c r="J3433" s="31" t="s">
        <v>967</v>
      </c>
      <c r="K3433" s="33" t="s">
        <v>10283</v>
      </c>
      <c r="L3433" s="31" t="s">
        <v>202</v>
      </c>
      <c r="N3433" s="31" t="s">
        <v>204</v>
      </c>
      <c r="R3433" s="31" t="s">
        <v>5606</v>
      </c>
    </row>
    <row r="3434">
      <c r="A3434" s="29">
        <v>45992.57531596065</v>
      </c>
      <c r="B3434" s="30">
        <v>45992.0</v>
      </c>
      <c r="C3434" s="31" t="s">
        <v>10284</v>
      </c>
      <c r="D3434" s="32" t="s">
        <v>10285</v>
      </c>
      <c r="E3434" s="31" t="s">
        <v>1961</v>
      </c>
      <c r="F3434" s="31">
        <v>6000000.0</v>
      </c>
      <c r="G3434" s="31" t="s">
        <v>23</v>
      </c>
      <c r="I3434" s="31" t="s">
        <v>229</v>
      </c>
      <c r="J3434" s="31" t="s">
        <v>967</v>
      </c>
      <c r="K3434" s="33" t="s">
        <v>10286</v>
      </c>
      <c r="L3434" s="31" t="s">
        <v>202</v>
      </c>
      <c r="N3434" s="31" t="s">
        <v>313</v>
      </c>
      <c r="T3434" s="31" t="s">
        <v>384</v>
      </c>
    </row>
    <row r="3435">
      <c r="A3435" s="29">
        <v>45992.5792065162</v>
      </c>
      <c r="B3435" s="30">
        <v>45992.0</v>
      </c>
      <c r="C3435" s="31" t="s">
        <v>10287</v>
      </c>
      <c r="D3435" s="32" t="s">
        <v>10288</v>
      </c>
      <c r="E3435" s="31" t="s">
        <v>3256</v>
      </c>
      <c r="F3435" s="31">
        <v>5700000.0</v>
      </c>
      <c r="G3435" s="31" t="s">
        <v>23</v>
      </c>
      <c r="I3435" s="31" t="s">
        <v>229</v>
      </c>
      <c r="J3435" s="31" t="s">
        <v>967</v>
      </c>
      <c r="K3435" s="33" t="s">
        <v>10289</v>
      </c>
      <c r="L3435" s="31" t="s">
        <v>202</v>
      </c>
      <c r="N3435" s="31" t="s">
        <v>313</v>
      </c>
      <c r="T3435" s="31" t="s">
        <v>384</v>
      </c>
    </row>
    <row r="3436">
      <c r="A3436" s="29">
        <v>45992.583182372684</v>
      </c>
      <c r="B3436" s="30">
        <v>45992.0</v>
      </c>
      <c r="C3436" s="31" t="s">
        <v>10290</v>
      </c>
      <c r="D3436" s="32" t="s">
        <v>10291</v>
      </c>
      <c r="E3436" s="31" t="s">
        <v>43</v>
      </c>
      <c r="F3436" s="31">
        <v>4200000.0</v>
      </c>
      <c r="G3436" s="31" t="s">
        <v>23</v>
      </c>
      <c r="I3436" s="31" t="s">
        <v>229</v>
      </c>
      <c r="J3436" s="31" t="s">
        <v>967</v>
      </c>
      <c r="K3436" s="33" t="s">
        <v>10292</v>
      </c>
      <c r="L3436" s="31" t="s">
        <v>202</v>
      </c>
      <c r="N3436" s="31" t="s">
        <v>204</v>
      </c>
      <c r="R3436" s="31" t="s">
        <v>53</v>
      </c>
    </row>
    <row r="3437">
      <c r="A3437" s="29">
        <v>45992.606386493055</v>
      </c>
      <c r="B3437" s="30">
        <v>45992.0</v>
      </c>
      <c r="C3437" s="31" t="s">
        <v>10293</v>
      </c>
      <c r="D3437" s="32" t="s">
        <v>10294</v>
      </c>
      <c r="E3437" s="31" t="s">
        <v>43</v>
      </c>
      <c r="F3437" s="31">
        <v>8999000.0</v>
      </c>
      <c r="G3437" s="31" t="s">
        <v>23</v>
      </c>
      <c r="I3437" s="31" t="s">
        <v>229</v>
      </c>
      <c r="J3437" s="31" t="s">
        <v>967</v>
      </c>
      <c r="K3437" s="33" t="s">
        <v>10295</v>
      </c>
      <c r="L3437" s="31" t="s">
        <v>202</v>
      </c>
      <c r="N3437" s="31" t="s">
        <v>313</v>
      </c>
      <c r="T3437" s="31" t="s">
        <v>314</v>
      </c>
    </row>
    <row r="3438">
      <c r="A3438" s="29">
        <v>45992.61478524306</v>
      </c>
      <c r="B3438" s="30">
        <v>45992.0</v>
      </c>
      <c r="C3438" s="31" t="s">
        <v>10296</v>
      </c>
      <c r="D3438" s="31" t="s">
        <v>10297</v>
      </c>
      <c r="E3438" s="31" t="s">
        <v>239</v>
      </c>
      <c r="F3438" s="31">
        <v>3100000.0</v>
      </c>
      <c r="G3438" s="31" t="s">
        <v>23</v>
      </c>
      <c r="H3438" s="31">
        <v>3000000.0</v>
      </c>
      <c r="I3438" s="31" t="s">
        <v>413</v>
      </c>
      <c r="K3438" s="33" t="s">
        <v>10298</v>
      </c>
      <c r="L3438" s="31" t="s">
        <v>202</v>
      </c>
      <c r="M3438" s="31" t="s">
        <v>5638</v>
      </c>
      <c r="N3438" s="31" t="s">
        <v>220</v>
      </c>
      <c r="S3438" s="31" t="s">
        <v>8401</v>
      </c>
    </row>
    <row r="3439">
      <c r="A3439" s="29">
        <v>45992.67328905093</v>
      </c>
      <c r="B3439" s="30">
        <v>45992.0</v>
      </c>
      <c r="C3439" s="31" t="s">
        <v>10299</v>
      </c>
      <c r="D3439" s="31">
        <v>0.0</v>
      </c>
      <c r="E3439" s="31" t="s">
        <v>10300</v>
      </c>
      <c r="F3439" s="31">
        <v>200000.0</v>
      </c>
      <c r="G3439" s="31" t="s">
        <v>23</v>
      </c>
      <c r="I3439" s="31" t="s">
        <v>229</v>
      </c>
      <c r="J3439" s="31" t="s">
        <v>967</v>
      </c>
      <c r="K3439" s="33" t="s">
        <v>10301</v>
      </c>
      <c r="L3439" s="31" t="s">
        <v>252</v>
      </c>
      <c r="O3439" s="31" t="s">
        <v>257</v>
      </c>
      <c r="P3439" s="31" t="s">
        <v>2320</v>
      </c>
    </row>
    <row r="3440">
      <c r="A3440" s="29">
        <v>45992.728126319445</v>
      </c>
      <c r="B3440" s="30">
        <v>45992.0</v>
      </c>
      <c r="C3440" s="31" t="s">
        <v>10302</v>
      </c>
      <c r="D3440" s="32" t="s">
        <v>10303</v>
      </c>
      <c r="E3440" s="31" t="s">
        <v>228</v>
      </c>
      <c r="F3440" s="31">
        <v>4500000.0</v>
      </c>
      <c r="G3440" s="31" t="s">
        <v>23</v>
      </c>
      <c r="I3440" s="31" t="s">
        <v>229</v>
      </c>
      <c r="J3440" s="31" t="s">
        <v>967</v>
      </c>
      <c r="K3440" s="33" t="s">
        <v>10304</v>
      </c>
      <c r="L3440" s="31" t="s">
        <v>202</v>
      </c>
      <c r="N3440" s="31" t="s">
        <v>204</v>
      </c>
      <c r="R3440" s="31" t="s">
        <v>148</v>
      </c>
    </row>
    <row r="3441">
      <c r="A3441" s="29">
        <v>45992.74368403935</v>
      </c>
      <c r="B3441" s="30">
        <v>45992.0</v>
      </c>
      <c r="C3441" s="31" t="s">
        <v>10305</v>
      </c>
      <c r="D3441" s="32" t="s">
        <v>10306</v>
      </c>
      <c r="E3441" s="31" t="s">
        <v>43</v>
      </c>
      <c r="F3441" s="31">
        <v>3600009.0</v>
      </c>
      <c r="G3441" s="31" t="s">
        <v>23</v>
      </c>
      <c r="H3441" s="31">
        <v>3000000.0</v>
      </c>
      <c r="I3441" s="31" t="s">
        <v>200</v>
      </c>
      <c r="K3441" s="33" t="s">
        <v>10307</v>
      </c>
      <c r="L3441" s="31" t="s">
        <v>252</v>
      </c>
      <c r="M3441" s="31" t="s">
        <v>5638</v>
      </c>
      <c r="O3441" s="31" t="s">
        <v>205</v>
      </c>
      <c r="X3441" s="31" t="s">
        <v>2335</v>
      </c>
    </row>
    <row r="3442">
      <c r="A3442" s="29">
        <v>45992.767859479165</v>
      </c>
      <c r="B3442" s="30">
        <v>45992.0</v>
      </c>
      <c r="C3442" s="31" t="s">
        <v>10308</v>
      </c>
      <c r="D3442" s="32" t="s">
        <v>10309</v>
      </c>
      <c r="E3442" s="31" t="s">
        <v>31</v>
      </c>
      <c r="F3442" s="31">
        <v>7500000.0</v>
      </c>
      <c r="G3442" s="31" t="s">
        <v>45</v>
      </c>
      <c r="I3442" s="31" t="s">
        <v>229</v>
      </c>
      <c r="J3442" s="31" t="s">
        <v>967</v>
      </c>
      <c r="K3442" s="33" t="s">
        <v>10310</v>
      </c>
      <c r="L3442" s="31" t="s">
        <v>252</v>
      </c>
      <c r="O3442" s="31" t="s">
        <v>205</v>
      </c>
      <c r="X3442" s="31" t="s">
        <v>2335</v>
      </c>
    </row>
    <row r="3443">
      <c r="A3443" s="29">
        <v>45992.77763405093</v>
      </c>
      <c r="B3443" s="30">
        <v>45992.0</v>
      </c>
      <c r="C3443" s="31" t="s">
        <v>10311</v>
      </c>
      <c r="D3443" s="32" t="s">
        <v>10312</v>
      </c>
      <c r="E3443" s="31" t="s">
        <v>43</v>
      </c>
      <c r="F3443" s="31">
        <v>3000000.0</v>
      </c>
      <c r="G3443" s="31" t="s">
        <v>23</v>
      </c>
      <c r="H3443" s="31">
        <v>3.0E7</v>
      </c>
      <c r="I3443" s="31" t="s">
        <v>413</v>
      </c>
      <c r="K3443" s="33" t="s">
        <v>10313</v>
      </c>
      <c r="L3443" s="31" t="s">
        <v>252</v>
      </c>
      <c r="M3443" s="31" t="s">
        <v>203</v>
      </c>
      <c r="O3443" s="31" t="s">
        <v>205</v>
      </c>
      <c r="X3443" s="31" t="s">
        <v>452</v>
      </c>
    </row>
    <row r="3444">
      <c r="A3444" s="29">
        <v>45992.77939128473</v>
      </c>
      <c r="B3444" s="30">
        <v>45992.0</v>
      </c>
      <c r="C3444" s="31" t="s">
        <v>10314</v>
      </c>
      <c r="D3444" s="31" t="s">
        <v>10315</v>
      </c>
      <c r="E3444" s="31" t="s">
        <v>239</v>
      </c>
      <c r="F3444" s="31">
        <v>150000.0</v>
      </c>
      <c r="G3444" s="31" t="s">
        <v>23</v>
      </c>
      <c r="I3444" s="31" t="s">
        <v>229</v>
      </c>
      <c r="J3444" s="31" t="s">
        <v>967</v>
      </c>
      <c r="K3444" s="33" t="s">
        <v>10316</v>
      </c>
      <c r="L3444" s="31" t="s">
        <v>202</v>
      </c>
      <c r="N3444" s="31" t="s">
        <v>204</v>
      </c>
      <c r="R3444" s="31" t="s">
        <v>360</v>
      </c>
    </row>
    <row r="3445">
      <c r="A3445" s="29">
        <v>45992.78130732639</v>
      </c>
      <c r="B3445" s="30">
        <v>45992.0</v>
      </c>
      <c r="C3445" s="31" t="s">
        <v>10317</v>
      </c>
      <c r="D3445" s="32" t="s">
        <v>10318</v>
      </c>
      <c r="E3445" s="31" t="s">
        <v>199</v>
      </c>
      <c r="F3445" s="31">
        <v>8000000.0</v>
      </c>
      <c r="G3445" s="31" t="s">
        <v>23</v>
      </c>
      <c r="H3445" s="31">
        <v>5000000.0</v>
      </c>
      <c r="I3445" s="31" t="s">
        <v>200</v>
      </c>
      <c r="K3445" s="33" t="s">
        <v>10319</v>
      </c>
      <c r="L3445" s="31" t="s">
        <v>202</v>
      </c>
      <c r="M3445" s="31" t="s">
        <v>926</v>
      </c>
      <c r="N3445" s="31" t="s">
        <v>313</v>
      </c>
      <c r="T3445" s="31" t="s">
        <v>314</v>
      </c>
    </row>
    <row r="3446">
      <c r="A3446" s="29">
        <v>45992.79626728009</v>
      </c>
      <c r="B3446" s="30">
        <v>45992.0</v>
      </c>
      <c r="C3446" s="31" t="s">
        <v>10320</v>
      </c>
      <c r="D3446" s="32" t="s">
        <v>10321</v>
      </c>
      <c r="E3446" s="31" t="s">
        <v>239</v>
      </c>
      <c r="F3446" s="31">
        <v>3000000.0</v>
      </c>
      <c r="G3446" s="31" t="s">
        <v>23</v>
      </c>
      <c r="I3446" s="31" t="s">
        <v>229</v>
      </c>
      <c r="J3446" s="31" t="s">
        <v>967</v>
      </c>
      <c r="K3446" s="33" t="s">
        <v>10322</v>
      </c>
      <c r="L3446" s="31" t="s">
        <v>202</v>
      </c>
      <c r="N3446" s="31" t="s">
        <v>871</v>
      </c>
      <c r="Q3446" s="31" t="s">
        <v>872</v>
      </c>
    </row>
    <row r="3447">
      <c r="A3447" s="29">
        <v>45992.81973872685</v>
      </c>
      <c r="B3447" s="30">
        <v>45992.0</v>
      </c>
      <c r="C3447" s="31" t="s">
        <v>10323</v>
      </c>
      <c r="D3447" s="32" t="s">
        <v>10324</v>
      </c>
      <c r="E3447" s="31" t="s">
        <v>121</v>
      </c>
      <c r="F3447" s="31">
        <v>3000000.0</v>
      </c>
      <c r="G3447" s="31" t="s">
        <v>23</v>
      </c>
      <c r="I3447" s="31" t="s">
        <v>229</v>
      </c>
      <c r="J3447" s="31" t="s">
        <v>967</v>
      </c>
      <c r="K3447" s="33" t="s">
        <v>10325</v>
      </c>
      <c r="L3447" s="31" t="s">
        <v>252</v>
      </c>
      <c r="O3447" s="31" t="s">
        <v>205</v>
      </c>
      <c r="X3447" s="31" t="s">
        <v>253</v>
      </c>
    </row>
    <row r="3448">
      <c r="A3448" s="29">
        <v>45992.83968498843</v>
      </c>
      <c r="B3448" s="30">
        <v>45992.0</v>
      </c>
      <c r="C3448" s="31" t="s">
        <v>10326</v>
      </c>
      <c r="D3448" s="32" t="s">
        <v>10327</v>
      </c>
      <c r="E3448" s="31" t="s">
        <v>43</v>
      </c>
      <c r="F3448" s="31">
        <v>5000000.0</v>
      </c>
      <c r="G3448" s="31" t="s">
        <v>23</v>
      </c>
      <c r="I3448" s="31" t="s">
        <v>229</v>
      </c>
      <c r="J3448" s="31" t="s">
        <v>967</v>
      </c>
      <c r="K3448" s="33" t="s">
        <v>10328</v>
      </c>
      <c r="L3448" s="31" t="s">
        <v>202</v>
      </c>
      <c r="N3448" s="31" t="s">
        <v>220</v>
      </c>
      <c r="S3448" s="31" t="s">
        <v>466</v>
      </c>
    </row>
    <row r="3449">
      <c r="A3449" s="29">
        <v>45992.840489166665</v>
      </c>
      <c r="B3449" s="30">
        <v>45992.0</v>
      </c>
      <c r="C3449" s="31" t="s">
        <v>10329</v>
      </c>
      <c r="D3449" s="32" t="s">
        <v>10330</v>
      </c>
      <c r="E3449" s="31" t="s">
        <v>288</v>
      </c>
      <c r="F3449" s="31">
        <v>4000000.0</v>
      </c>
      <c r="G3449" s="31" t="s">
        <v>23</v>
      </c>
      <c r="I3449" s="31" t="s">
        <v>229</v>
      </c>
      <c r="J3449" s="31" t="s">
        <v>967</v>
      </c>
      <c r="K3449" s="33" t="s">
        <v>10331</v>
      </c>
      <c r="L3449" s="31" t="s">
        <v>202</v>
      </c>
      <c r="N3449" s="31" t="s">
        <v>220</v>
      </c>
      <c r="S3449" s="31" t="s">
        <v>466</v>
      </c>
    </row>
    <row r="3450">
      <c r="A3450" s="29">
        <v>45992.85128471065</v>
      </c>
      <c r="B3450" s="30">
        <v>45992.0</v>
      </c>
      <c r="C3450" s="31" t="s">
        <v>10332</v>
      </c>
      <c r="D3450" s="32" t="s">
        <v>10333</v>
      </c>
      <c r="E3450" s="31" t="s">
        <v>43</v>
      </c>
      <c r="F3450" s="31">
        <v>4000000.0</v>
      </c>
      <c r="G3450" s="31" t="s">
        <v>23</v>
      </c>
      <c r="I3450" s="31" t="s">
        <v>229</v>
      </c>
      <c r="J3450" s="31" t="s">
        <v>967</v>
      </c>
      <c r="K3450" s="33" t="s">
        <v>10334</v>
      </c>
      <c r="L3450" s="31" t="s">
        <v>202</v>
      </c>
      <c r="N3450" s="31" t="s">
        <v>220</v>
      </c>
      <c r="S3450" s="31" t="s">
        <v>536</v>
      </c>
    </row>
    <row r="3451">
      <c r="A3451" s="29">
        <v>45992.85280275463</v>
      </c>
      <c r="B3451" s="30">
        <v>45992.0</v>
      </c>
      <c r="C3451" s="31" t="s">
        <v>10335</v>
      </c>
      <c r="D3451" s="32" t="s">
        <v>10336</v>
      </c>
      <c r="E3451" s="31" t="s">
        <v>43</v>
      </c>
      <c r="F3451" s="31">
        <v>3000000.0</v>
      </c>
      <c r="G3451" s="31" t="s">
        <v>23</v>
      </c>
      <c r="I3451" s="31" t="s">
        <v>229</v>
      </c>
      <c r="J3451" s="31" t="s">
        <v>967</v>
      </c>
      <c r="K3451" s="33" t="s">
        <v>10337</v>
      </c>
      <c r="L3451" s="31" t="s">
        <v>202</v>
      </c>
      <c r="N3451" s="31" t="s">
        <v>220</v>
      </c>
      <c r="S3451" s="31" t="s">
        <v>536</v>
      </c>
    </row>
    <row r="3452">
      <c r="A3452" s="29">
        <v>45992.86658453704</v>
      </c>
      <c r="B3452" s="30">
        <v>45992.0</v>
      </c>
      <c r="C3452" s="31" t="s">
        <v>10338</v>
      </c>
      <c r="D3452" s="32" t="s">
        <v>10339</v>
      </c>
      <c r="E3452" s="31" t="s">
        <v>199</v>
      </c>
      <c r="F3452" s="31">
        <v>5000000.0</v>
      </c>
      <c r="G3452" s="31" t="s">
        <v>45</v>
      </c>
      <c r="H3452" s="31">
        <v>3000000.0</v>
      </c>
      <c r="I3452" s="31" t="s">
        <v>200</v>
      </c>
      <c r="K3452" s="33" t="s">
        <v>10340</v>
      </c>
      <c r="L3452" s="31" t="s">
        <v>252</v>
      </c>
      <c r="M3452" s="31" t="s">
        <v>5638</v>
      </c>
      <c r="O3452" s="31" t="s">
        <v>205</v>
      </c>
      <c r="X3452" s="31" t="s">
        <v>253</v>
      </c>
    </row>
    <row r="3453">
      <c r="A3453" s="29">
        <v>45992.90303767361</v>
      </c>
      <c r="B3453" s="30">
        <v>45992.0</v>
      </c>
      <c r="C3453" s="31" t="s">
        <v>10341</v>
      </c>
      <c r="D3453" s="32" t="s">
        <v>10342</v>
      </c>
      <c r="E3453" s="31" t="s">
        <v>43</v>
      </c>
      <c r="F3453" s="31">
        <v>3000000.0</v>
      </c>
      <c r="G3453" s="31" t="s">
        <v>23</v>
      </c>
      <c r="H3453" s="31">
        <v>3000000.0</v>
      </c>
      <c r="I3453" s="31" t="s">
        <v>200</v>
      </c>
      <c r="K3453" s="33" t="s">
        <v>10343</v>
      </c>
      <c r="L3453" s="31" t="s">
        <v>252</v>
      </c>
      <c r="M3453" s="31" t="s">
        <v>5638</v>
      </c>
      <c r="O3453" s="31" t="s">
        <v>205</v>
      </c>
      <c r="X3453" s="31" t="s">
        <v>549</v>
      </c>
    </row>
    <row r="3454">
      <c r="A3454" s="29">
        <v>45992.90552940972</v>
      </c>
      <c r="B3454" s="30">
        <v>45992.0</v>
      </c>
      <c r="C3454" s="31" t="s">
        <v>10344</v>
      </c>
      <c r="D3454" s="32" t="s">
        <v>10345</v>
      </c>
      <c r="E3454" s="31" t="s">
        <v>261</v>
      </c>
      <c r="F3454" s="31">
        <v>1000000.0</v>
      </c>
      <c r="G3454" s="31" t="s">
        <v>23</v>
      </c>
      <c r="I3454" s="31" t="s">
        <v>229</v>
      </c>
      <c r="J3454" s="31" t="s">
        <v>967</v>
      </c>
      <c r="K3454" s="33" t="s">
        <v>10346</v>
      </c>
      <c r="L3454" s="31" t="s">
        <v>252</v>
      </c>
      <c r="O3454" s="31" t="s">
        <v>205</v>
      </c>
      <c r="X3454" s="31" t="s">
        <v>549</v>
      </c>
    </row>
    <row r="3455">
      <c r="A3455" s="29">
        <v>45993.40507277778</v>
      </c>
      <c r="B3455" s="30">
        <v>45993.0</v>
      </c>
      <c r="C3455" s="31" t="s">
        <v>10347</v>
      </c>
      <c r="D3455" s="31">
        <v>0.0</v>
      </c>
      <c r="E3455" s="31" t="s">
        <v>43</v>
      </c>
      <c r="F3455" s="32" t="s">
        <v>3776</v>
      </c>
      <c r="G3455" s="31" t="s">
        <v>23</v>
      </c>
      <c r="I3455" s="31" t="s">
        <v>229</v>
      </c>
      <c r="J3455" s="31" t="s">
        <v>967</v>
      </c>
      <c r="K3455" s="33" t="s">
        <v>10348</v>
      </c>
      <c r="L3455" s="31" t="s">
        <v>252</v>
      </c>
      <c r="O3455" s="31" t="s">
        <v>257</v>
      </c>
      <c r="P3455" s="31" t="s">
        <v>992</v>
      </c>
    </row>
    <row r="3456">
      <c r="A3456" s="29">
        <v>45993.41075219907</v>
      </c>
      <c r="B3456" s="30">
        <v>45993.0</v>
      </c>
      <c r="C3456" s="31" t="s">
        <v>10349</v>
      </c>
      <c r="D3456" s="32" t="s">
        <v>10350</v>
      </c>
      <c r="E3456" s="31" t="s">
        <v>43</v>
      </c>
      <c r="F3456" s="31">
        <v>2300000.0</v>
      </c>
      <c r="G3456" s="31" t="s">
        <v>23</v>
      </c>
      <c r="I3456" s="31" t="s">
        <v>229</v>
      </c>
      <c r="J3456" s="31" t="s">
        <v>967</v>
      </c>
      <c r="K3456" s="33" t="s">
        <v>10351</v>
      </c>
      <c r="L3456" s="31" t="s">
        <v>202</v>
      </c>
      <c r="N3456" s="31" t="s">
        <v>667</v>
      </c>
      <c r="U3456" s="31" t="s">
        <v>3950</v>
      </c>
    </row>
    <row r="3457">
      <c r="A3457" s="29">
        <v>45993.416915821756</v>
      </c>
      <c r="B3457" s="30">
        <v>45993.0</v>
      </c>
      <c r="C3457" s="31" t="s">
        <v>10352</v>
      </c>
      <c r="D3457" s="32" t="s">
        <v>10353</v>
      </c>
      <c r="E3457" s="31" t="s">
        <v>43</v>
      </c>
      <c r="F3457" s="31">
        <v>3000000.0</v>
      </c>
      <c r="G3457" s="31" t="s">
        <v>45</v>
      </c>
      <c r="H3457" s="31">
        <v>3000000.0</v>
      </c>
      <c r="I3457" s="31" t="s">
        <v>413</v>
      </c>
      <c r="K3457" s="33" t="s">
        <v>10354</v>
      </c>
      <c r="L3457" s="31" t="s">
        <v>252</v>
      </c>
      <c r="M3457" s="31" t="s">
        <v>5638</v>
      </c>
      <c r="O3457" s="31" t="s">
        <v>257</v>
      </c>
      <c r="P3457" s="31" t="s">
        <v>1555</v>
      </c>
    </row>
    <row r="3458">
      <c r="A3458" s="29">
        <v>45993.43785559028</v>
      </c>
      <c r="B3458" s="30">
        <v>45993.0</v>
      </c>
      <c r="C3458" s="31" t="s">
        <v>10355</v>
      </c>
      <c r="D3458" s="32" t="s">
        <v>10356</v>
      </c>
      <c r="E3458" s="31" t="s">
        <v>43</v>
      </c>
      <c r="F3458" s="31">
        <v>8600000.0</v>
      </c>
      <c r="G3458" s="31" t="s">
        <v>23</v>
      </c>
      <c r="I3458" s="31" t="s">
        <v>229</v>
      </c>
      <c r="J3458" s="31" t="s">
        <v>967</v>
      </c>
      <c r="K3458" s="33" t="s">
        <v>10357</v>
      </c>
      <c r="L3458" s="31" t="s">
        <v>252</v>
      </c>
      <c r="O3458" s="31" t="s">
        <v>257</v>
      </c>
      <c r="P3458" s="31" t="s">
        <v>258</v>
      </c>
    </row>
    <row r="3459">
      <c r="A3459" s="29">
        <v>45993.43924400463</v>
      </c>
      <c r="B3459" s="30">
        <v>45993.0</v>
      </c>
      <c r="C3459" s="31" t="s">
        <v>10358</v>
      </c>
      <c r="D3459" s="32" t="s">
        <v>10359</v>
      </c>
      <c r="E3459" s="31" t="s">
        <v>43</v>
      </c>
      <c r="F3459" s="31">
        <v>9600000.0</v>
      </c>
      <c r="G3459" s="31" t="s">
        <v>45</v>
      </c>
      <c r="I3459" s="31" t="s">
        <v>229</v>
      </c>
      <c r="J3459" s="31" t="s">
        <v>967</v>
      </c>
      <c r="K3459" s="33" t="s">
        <v>10360</v>
      </c>
      <c r="L3459" s="31" t="s">
        <v>252</v>
      </c>
      <c r="O3459" s="31" t="s">
        <v>257</v>
      </c>
      <c r="P3459" s="31" t="s">
        <v>258</v>
      </c>
    </row>
    <row r="3460">
      <c r="A3460" s="29">
        <v>45993.440446458335</v>
      </c>
      <c r="B3460" s="30">
        <v>45993.0</v>
      </c>
      <c r="C3460" s="31" t="s">
        <v>10361</v>
      </c>
      <c r="D3460" s="32" t="s">
        <v>10362</v>
      </c>
      <c r="E3460" s="31" t="s">
        <v>43</v>
      </c>
      <c r="F3460" s="31">
        <v>8800000.0</v>
      </c>
      <c r="G3460" s="31" t="s">
        <v>45</v>
      </c>
      <c r="I3460" s="31" t="s">
        <v>229</v>
      </c>
      <c r="J3460" s="31" t="s">
        <v>967</v>
      </c>
      <c r="K3460" s="33" t="s">
        <v>10363</v>
      </c>
      <c r="L3460" s="31" t="s">
        <v>252</v>
      </c>
      <c r="O3460" s="31" t="s">
        <v>257</v>
      </c>
      <c r="P3460" s="31" t="s">
        <v>258</v>
      </c>
    </row>
    <row r="3461">
      <c r="A3461" s="29">
        <v>45993.47803436343</v>
      </c>
      <c r="B3461" s="30">
        <v>45993.0</v>
      </c>
      <c r="C3461" s="31" t="s">
        <v>10364</v>
      </c>
      <c r="D3461" s="32" t="s">
        <v>10365</v>
      </c>
      <c r="E3461" s="31" t="s">
        <v>43</v>
      </c>
      <c r="F3461" s="31">
        <v>7500000.0</v>
      </c>
      <c r="G3461" s="31" t="s">
        <v>23</v>
      </c>
      <c r="H3461" s="31">
        <v>3000000.0</v>
      </c>
      <c r="I3461" s="31" t="s">
        <v>413</v>
      </c>
      <c r="K3461" s="33" t="s">
        <v>10366</v>
      </c>
      <c r="L3461" s="31" t="s">
        <v>202</v>
      </c>
      <c r="M3461" s="31" t="s">
        <v>5638</v>
      </c>
      <c r="N3461" s="31" t="s">
        <v>667</v>
      </c>
      <c r="U3461" s="31" t="s">
        <v>668</v>
      </c>
    </row>
    <row r="3462">
      <c r="A3462" s="29">
        <v>45993.49545135417</v>
      </c>
      <c r="B3462" s="30">
        <v>45993.0</v>
      </c>
      <c r="C3462" s="31" t="s">
        <v>10367</v>
      </c>
      <c r="D3462" s="32" t="s">
        <v>3714</v>
      </c>
      <c r="E3462" s="31" t="s">
        <v>43</v>
      </c>
      <c r="F3462" s="31">
        <v>2000000.0</v>
      </c>
      <c r="G3462" s="31" t="s">
        <v>23</v>
      </c>
      <c r="H3462" s="31">
        <v>3000000.0</v>
      </c>
      <c r="I3462" s="31" t="s">
        <v>413</v>
      </c>
      <c r="K3462" s="33" t="s">
        <v>10368</v>
      </c>
      <c r="L3462" s="31" t="s">
        <v>202</v>
      </c>
      <c r="M3462" s="31" t="s">
        <v>5638</v>
      </c>
      <c r="N3462" s="31" t="s">
        <v>215</v>
      </c>
      <c r="W3462" s="31" t="s">
        <v>532</v>
      </c>
    </row>
    <row r="3463">
      <c r="A3463" s="29">
        <v>45993.496792962964</v>
      </c>
      <c r="B3463" s="30">
        <v>45993.0</v>
      </c>
      <c r="C3463" s="31" t="s">
        <v>10369</v>
      </c>
      <c r="D3463" s="32" t="s">
        <v>10370</v>
      </c>
      <c r="E3463" s="31" t="s">
        <v>31</v>
      </c>
      <c r="F3463" s="31">
        <v>3000000.0</v>
      </c>
      <c r="G3463" s="31" t="s">
        <v>23</v>
      </c>
      <c r="I3463" s="31" t="s">
        <v>229</v>
      </c>
      <c r="J3463" s="31" t="s">
        <v>967</v>
      </c>
      <c r="K3463" s="33" t="s">
        <v>10371</v>
      </c>
      <c r="L3463" s="31" t="s">
        <v>252</v>
      </c>
      <c r="O3463" s="31" t="s">
        <v>205</v>
      </c>
      <c r="X3463" s="31" t="s">
        <v>569</v>
      </c>
    </row>
    <row r="3464">
      <c r="A3464" s="29">
        <v>45993.5050572801</v>
      </c>
      <c r="B3464" s="30">
        <v>45993.0</v>
      </c>
      <c r="C3464" s="31" t="s">
        <v>10372</v>
      </c>
      <c r="D3464" s="32" t="s">
        <v>10373</v>
      </c>
      <c r="E3464" s="31" t="s">
        <v>43</v>
      </c>
      <c r="F3464" s="31">
        <v>2800000.0</v>
      </c>
      <c r="G3464" s="31" t="s">
        <v>23</v>
      </c>
      <c r="I3464" s="31" t="s">
        <v>229</v>
      </c>
      <c r="J3464" s="31" t="s">
        <v>967</v>
      </c>
      <c r="K3464" s="33" t="s">
        <v>10374</v>
      </c>
      <c r="L3464" s="31" t="s">
        <v>252</v>
      </c>
      <c r="O3464" s="31" t="s">
        <v>257</v>
      </c>
      <c r="P3464" s="31" t="s">
        <v>2453</v>
      </c>
    </row>
    <row r="3465">
      <c r="A3465" s="29">
        <v>45993.522510324074</v>
      </c>
      <c r="B3465" s="30">
        <v>45993.0</v>
      </c>
      <c r="C3465" s="31" t="s">
        <v>10375</v>
      </c>
      <c r="D3465" s="32" t="s">
        <v>10376</v>
      </c>
      <c r="E3465" s="31" t="s">
        <v>10377</v>
      </c>
      <c r="F3465" s="31">
        <v>8000000.0</v>
      </c>
      <c r="G3465" s="31" t="s">
        <v>23</v>
      </c>
      <c r="I3465" s="31" t="s">
        <v>229</v>
      </c>
      <c r="J3465" s="31" t="s">
        <v>967</v>
      </c>
      <c r="K3465" s="33" t="s">
        <v>10378</v>
      </c>
      <c r="L3465" s="31" t="s">
        <v>202</v>
      </c>
      <c r="N3465" s="31" t="s">
        <v>220</v>
      </c>
      <c r="S3465" s="31" t="s">
        <v>5697</v>
      </c>
    </row>
    <row r="3466">
      <c r="A3466" s="29">
        <v>45993.53238291667</v>
      </c>
      <c r="B3466" s="30">
        <v>45993.0</v>
      </c>
      <c r="C3466" s="31" t="s">
        <v>10379</v>
      </c>
      <c r="D3466" s="32" t="s">
        <v>10380</v>
      </c>
      <c r="E3466" s="31" t="s">
        <v>156</v>
      </c>
      <c r="F3466" s="31">
        <v>3700000.0</v>
      </c>
      <c r="G3466" s="31" t="s">
        <v>45</v>
      </c>
      <c r="H3466" s="31">
        <v>3000000.0</v>
      </c>
      <c r="I3466" s="31" t="s">
        <v>413</v>
      </c>
      <c r="K3466" s="33" t="s">
        <v>10381</v>
      </c>
      <c r="L3466" s="31" t="s">
        <v>252</v>
      </c>
      <c r="M3466" s="31" t="s">
        <v>5638</v>
      </c>
      <c r="O3466" s="31" t="s">
        <v>205</v>
      </c>
      <c r="X3466" s="31" t="s">
        <v>569</v>
      </c>
    </row>
    <row r="3467">
      <c r="A3467" s="29">
        <v>45993.53481921296</v>
      </c>
      <c r="B3467" s="30">
        <v>45993.0</v>
      </c>
      <c r="C3467" s="31" t="s">
        <v>10382</v>
      </c>
      <c r="D3467" s="32" t="s">
        <v>10383</v>
      </c>
      <c r="E3467" s="31" t="s">
        <v>288</v>
      </c>
      <c r="F3467" s="31">
        <v>6000000.0</v>
      </c>
      <c r="G3467" s="31" t="s">
        <v>45</v>
      </c>
      <c r="I3467" s="31" t="s">
        <v>229</v>
      </c>
      <c r="J3467" s="31" t="s">
        <v>967</v>
      </c>
      <c r="K3467" s="33" t="s">
        <v>10384</v>
      </c>
      <c r="L3467" s="31" t="s">
        <v>252</v>
      </c>
      <c r="O3467" s="31" t="s">
        <v>257</v>
      </c>
      <c r="P3467" s="31" t="s">
        <v>285</v>
      </c>
    </row>
    <row r="3468">
      <c r="A3468" s="29">
        <v>45993.54478033565</v>
      </c>
      <c r="B3468" s="30">
        <v>45993.0</v>
      </c>
      <c r="C3468" s="31" t="s">
        <v>10385</v>
      </c>
      <c r="D3468" s="31" t="s">
        <v>10386</v>
      </c>
      <c r="E3468" s="31" t="s">
        <v>288</v>
      </c>
      <c r="F3468" s="31">
        <v>1500000.0</v>
      </c>
      <c r="G3468" s="31" t="s">
        <v>23</v>
      </c>
      <c r="I3468" s="31" t="s">
        <v>229</v>
      </c>
      <c r="J3468" s="31" t="s">
        <v>967</v>
      </c>
      <c r="K3468" s="33" t="s">
        <v>10387</v>
      </c>
      <c r="L3468" s="31" t="s">
        <v>202</v>
      </c>
      <c r="N3468" s="31" t="s">
        <v>204</v>
      </c>
      <c r="R3468" s="31" t="s">
        <v>360</v>
      </c>
    </row>
    <row r="3469">
      <c r="A3469" s="29">
        <v>45993.54682649305</v>
      </c>
      <c r="B3469" s="30">
        <v>45993.0</v>
      </c>
      <c r="C3469" s="31" t="s">
        <v>10388</v>
      </c>
      <c r="D3469" s="32" t="s">
        <v>10389</v>
      </c>
      <c r="E3469" s="31" t="s">
        <v>261</v>
      </c>
      <c r="F3469" s="31">
        <v>2000000.0</v>
      </c>
      <c r="G3469" s="31" t="s">
        <v>23</v>
      </c>
      <c r="I3469" s="31" t="s">
        <v>229</v>
      </c>
      <c r="J3469" s="31" t="s">
        <v>967</v>
      </c>
      <c r="K3469" s="33" t="s">
        <v>10390</v>
      </c>
      <c r="L3469" s="31" t="s">
        <v>202</v>
      </c>
      <c r="N3469" s="31" t="s">
        <v>871</v>
      </c>
      <c r="Q3469" s="31" t="s">
        <v>872</v>
      </c>
    </row>
    <row r="3470">
      <c r="A3470" s="29">
        <v>45993.54807872685</v>
      </c>
      <c r="B3470" s="30">
        <v>45993.0</v>
      </c>
      <c r="C3470" s="31" t="s">
        <v>10391</v>
      </c>
      <c r="D3470" s="31" t="s">
        <v>10392</v>
      </c>
      <c r="E3470" s="31" t="s">
        <v>239</v>
      </c>
      <c r="F3470" s="31">
        <v>1500000.0</v>
      </c>
      <c r="G3470" s="31" t="s">
        <v>23</v>
      </c>
      <c r="I3470" s="31" t="s">
        <v>229</v>
      </c>
      <c r="J3470" s="31" t="s">
        <v>967</v>
      </c>
      <c r="K3470" s="33" t="s">
        <v>10393</v>
      </c>
      <c r="L3470" s="31" t="s">
        <v>202</v>
      </c>
      <c r="N3470" s="31" t="s">
        <v>204</v>
      </c>
      <c r="R3470" s="31" t="s">
        <v>360</v>
      </c>
    </row>
    <row r="3471">
      <c r="A3471" s="29">
        <v>45993.55046239583</v>
      </c>
      <c r="B3471" s="30">
        <v>45993.0</v>
      </c>
      <c r="C3471" s="31" t="s">
        <v>10394</v>
      </c>
      <c r="D3471" s="32" t="s">
        <v>10395</v>
      </c>
      <c r="E3471" s="31" t="s">
        <v>31</v>
      </c>
      <c r="F3471" s="31">
        <v>6399000.0</v>
      </c>
      <c r="G3471" s="31" t="s">
        <v>23</v>
      </c>
      <c r="I3471" s="31" t="s">
        <v>229</v>
      </c>
      <c r="J3471" s="31" t="s">
        <v>967</v>
      </c>
      <c r="K3471" s="33" t="s">
        <v>10396</v>
      </c>
      <c r="L3471" s="31" t="s">
        <v>202</v>
      </c>
      <c r="N3471" s="31" t="s">
        <v>204</v>
      </c>
      <c r="R3471" s="31" t="s">
        <v>207</v>
      </c>
    </row>
    <row r="3472">
      <c r="A3472" s="29">
        <v>45993.554693541664</v>
      </c>
      <c r="B3472" s="30">
        <v>45993.0</v>
      </c>
      <c r="C3472" s="31" t="s">
        <v>10397</v>
      </c>
      <c r="D3472" s="32" t="s">
        <v>10398</v>
      </c>
      <c r="E3472" s="31" t="s">
        <v>43</v>
      </c>
      <c r="F3472" s="31">
        <v>3200000.0</v>
      </c>
      <c r="G3472" s="31" t="s">
        <v>45</v>
      </c>
      <c r="I3472" s="31" t="s">
        <v>229</v>
      </c>
      <c r="J3472" s="31" t="s">
        <v>967</v>
      </c>
      <c r="K3472" s="33" t="s">
        <v>10399</v>
      </c>
      <c r="L3472" s="31" t="s">
        <v>252</v>
      </c>
      <c r="O3472" s="31" t="s">
        <v>205</v>
      </c>
      <c r="X3472" s="31" t="s">
        <v>452</v>
      </c>
    </row>
    <row r="3473">
      <c r="A3473" s="29">
        <v>45993.65028991898</v>
      </c>
      <c r="B3473" s="30">
        <v>45993.0</v>
      </c>
      <c r="C3473" s="31" t="s">
        <v>10400</v>
      </c>
      <c r="D3473" s="32" t="s">
        <v>10401</v>
      </c>
      <c r="E3473" s="31" t="s">
        <v>156</v>
      </c>
      <c r="F3473" s="31">
        <v>3700000.0</v>
      </c>
      <c r="G3473" s="31" t="s">
        <v>23</v>
      </c>
      <c r="H3473" s="31">
        <v>3000000.0</v>
      </c>
      <c r="I3473" s="31" t="s">
        <v>200</v>
      </c>
      <c r="K3473" s="33" t="s">
        <v>10402</v>
      </c>
      <c r="L3473" s="31" t="s">
        <v>252</v>
      </c>
      <c r="M3473" s="31" t="s">
        <v>5638</v>
      </c>
      <c r="O3473" s="31" t="s">
        <v>205</v>
      </c>
      <c r="X3473" s="31" t="s">
        <v>569</v>
      </c>
    </row>
    <row r="3474">
      <c r="A3474" s="29">
        <v>45993.66795928241</v>
      </c>
      <c r="B3474" s="30">
        <v>45993.0</v>
      </c>
      <c r="C3474" s="31" t="s">
        <v>10403</v>
      </c>
      <c r="D3474" s="32" t="s">
        <v>10324</v>
      </c>
      <c r="E3474" s="31" t="s">
        <v>43</v>
      </c>
      <c r="F3474" s="31">
        <v>3000000.0</v>
      </c>
      <c r="G3474" s="31" t="s">
        <v>23</v>
      </c>
      <c r="I3474" s="31" t="s">
        <v>229</v>
      </c>
      <c r="J3474" s="31" t="s">
        <v>967</v>
      </c>
      <c r="K3474" s="33" t="s">
        <v>10404</v>
      </c>
      <c r="L3474" s="31" t="s">
        <v>252</v>
      </c>
      <c r="O3474" s="31" t="s">
        <v>205</v>
      </c>
      <c r="X3474" s="31" t="s">
        <v>452</v>
      </c>
    </row>
    <row r="3475">
      <c r="A3475" s="29">
        <v>45993.695710127315</v>
      </c>
      <c r="B3475" s="30">
        <v>45993.0</v>
      </c>
      <c r="C3475" s="31" t="s">
        <v>10405</v>
      </c>
      <c r="D3475" s="32" t="s">
        <v>10406</v>
      </c>
      <c r="E3475" s="31" t="s">
        <v>10407</v>
      </c>
      <c r="F3475" s="31">
        <v>5200000.0</v>
      </c>
      <c r="G3475" s="31" t="s">
        <v>23</v>
      </c>
      <c r="H3475" s="31">
        <v>3000000.0</v>
      </c>
      <c r="I3475" s="31" t="s">
        <v>200</v>
      </c>
      <c r="K3475" s="33" t="s">
        <v>10408</v>
      </c>
      <c r="L3475" s="31" t="s">
        <v>202</v>
      </c>
      <c r="M3475" s="31" t="s">
        <v>5638</v>
      </c>
      <c r="N3475" s="31" t="s">
        <v>313</v>
      </c>
      <c r="T3475" s="31" t="s">
        <v>384</v>
      </c>
    </row>
    <row r="3476">
      <c r="A3476" s="29">
        <v>45993.69793998843</v>
      </c>
      <c r="B3476" s="30">
        <v>45993.0</v>
      </c>
      <c r="C3476" s="31" t="s">
        <v>10409</v>
      </c>
      <c r="D3476" s="32" t="s">
        <v>10410</v>
      </c>
      <c r="E3476" s="31" t="s">
        <v>10411</v>
      </c>
      <c r="F3476" s="31">
        <v>6000000.0</v>
      </c>
      <c r="G3476" s="31" t="s">
        <v>23</v>
      </c>
      <c r="H3476" s="31">
        <v>3000000.0</v>
      </c>
      <c r="I3476" s="31" t="s">
        <v>200</v>
      </c>
      <c r="K3476" s="33" t="s">
        <v>10412</v>
      </c>
      <c r="L3476" s="31" t="s">
        <v>202</v>
      </c>
      <c r="M3476" s="31" t="s">
        <v>5638</v>
      </c>
      <c r="N3476" s="31" t="s">
        <v>313</v>
      </c>
      <c r="T3476" s="31" t="s">
        <v>384</v>
      </c>
    </row>
    <row r="3477">
      <c r="A3477" s="29">
        <v>45993.699311805554</v>
      </c>
      <c r="B3477" s="30">
        <v>45993.0</v>
      </c>
      <c r="C3477" s="31" t="s">
        <v>10413</v>
      </c>
      <c r="D3477" s="32" t="s">
        <v>10414</v>
      </c>
      <c r="E3477" s="31" t="s">
        <v>43</v>
      </c>
      <c r="F3477" s="31">
        <v>6000000.0</v>
      </c>
      <c r="G3477" s="31" t="s">
        <v>23</v>
      </c>
      <c r="I3477" s="31" t="s">
        <v>229</v>
      </c>
      <c r="J3477" s="31" t="s">
        <v>967</v>
      </c>
      <c r="K3477" s="33" t="s">
        <v>10415</v>
      </c>
      <c r="L3477" s="31" t="s">
        <v>202</v>
      </c>
      <c r="N3477" s="31" t="s">
        <v>220</v>
      </c>
      <c r="S3477" s="31" t="s">
        <v>466</v>
      </c>
    </row>
    <row r="3478">
      <c r="A3478" s="29">
        <v>45993.70677390046</v>
      </c>
      <c r="B3478" s="30">
        <v>45993.0</v>
      </c>
      <c r="C3478" s="31" t="s">
        <v>10416</v>
      </c>
      <c r="D3478" s="32" t="s">
        <v>10417</v>
      </c>
      <c r="E3478" s="31" t="s">
        <v>43</v>
      </c>
      <c r="F3478" s="31">
        <v>5000000.0</v>
      </c>
      <c r="G3478" s="31" t="s">
        <v>45</v>
      </c>
      <c r="I3478" s="31" t="s">
        <v>229</v>
      </c>
      <c r="J3478" s="31" t="s">
        <v>967</v>
      </c>
      <c r="K3478" s="33" t="s">
        <v>10418</v>
      </c>
      <c r="L3478" s="31" t="s">
        <v>252</v>
      </c>
      <c r="O3478" s="31" t="s">
        <v>257</v>
      </c>
      <c r="P3478" s="31" t="s">
        <v>272</v>
      </c>
    </row>
    <row r="3479">
      <c r="A3479" s="29">
        <v>45993.72438127315</v>
      </c>
      <c r="B3479" s="30">
        <v>45993.0</v>
      </c>
      <c r="C3479" s="31" t="s">
        <v>10419</v>
      </c>
      <c r="D3479" s="32" t="s">
        <v>10420</v>
      </c>
      <c r="E3479" s="31" t="s">
        <v>43</v>
      </c>
      <c r="F3479" s="31">
        <v>2800000.0</v>
      </c>
      <c r="G3479" s="31" t="s">
        <v>23</v>
      </c>
      <c r="I3479" s="31" t="s">
        <v>229</v>
      </c>
      <c r="J3479" s="31" t="s">
        <v>967</v>
      </c>
      <c r="K3479" s="33" t="s">
        <v>10421</v>
      </c>
      <c r="L3479" s="31" t="s">
        <v>252</v>
      </c>
      <c r="O3479" s="31" t="s">
        <v>205</v>
      </c>
      <c r="X3479" s="31" t="s">
        <v>452</v>
      </c>
    </row>
    <row r="3480">
      <c r="A3480" s="29">
        <v>45993.728520543984</v>
      </c>
      <c r="B3480" s="30">
        <v>45993.0</v>
      </c>
      <c r="C3480" s="31" t="s">
        <v>10422</v>
      </c>
      <c r="D3480" s="32" t="s">
        <v>10423</v>
      </c>
      <c r="E3480" s="31" t="s">
        <v>43</v>
      </c>
      <c r="F3480" s="31">
        <v>4500000.0</v>
      </c>
      <c r="G3480" s="31" t="s">
        <v>23</v>
      </c>
      <c r="I3480" s="31" t="s">
        <v>229</v>
      </c>
      <c r="J3480" s="31" t="s">
        <v>967</v>
      </c>
      <c r="K3480" s="33" t="s">
        <v>10424</v>
      </c>
      <c r="L3480" s="31" t="s">
        <v>252</v>
      </c>
      <c r="O3480" s="31" t="s">
        <v>205</v>
      </c>
      <c r="X3480" s="31" t="s">
        <v>2335</v>
      </c>
    </row>
    <row r="3481">
      <c r="A3481" s="29">
        <v>45993.73269866898</v>
      </c>
      <c r="B3481" s="30">
        <v>45993.0</v>
      </c>
      <c r="C3481" s="31" t="s">
        <v>10425</v>
      </c>
      <c r="D3481" s="32" t="s">
        <v>10426</v>
      </c>
      <c r="E3481" s="31" t="s">
        <v>31</v>
      </c>
      <c r="F3481" s="31">
        <v>3000000.0</v>
      </c>
      <c r="G3481" s="31" t="s">
        <v>23</v>
      </c>
      <c r="H3481" s="31">
        <v>3000000.0</v>
      </c>
      <c r="I3481" s="31" t="s">
        <v>200</v>
      </c>
      <c r="K3481" s="33" t="s">
        <v>10427</v>
      </c>
      <c r="L3481" s="31" t="s">
        <v>252</v>
      </c>
      <c r="M3481" s="31" t="s">
        <v>5638</v>
      </c>
      <c r="O3481" s="31" t="s">
        <v>205</v>
      </c>
      <c r="X3481" s="31" t="s">
        <v>569</v>
      </c>
    </row>
    <row r="3482">
      <c r="A3482" s="29">
        <v>45993.741195787035</v>
      </c>
      <c r="B3482" s="30">
        <v>45993.0</v>
      </c>
      <c r="C3482" s="31" t="s">
        <v>10428</v>
      </c>
      <c r="D3482" s="32" t="s">
        <v>10429</v>
      </c>
      <c r="E3482" s="31" t="s">
        <v>228</v>
      </c>
      <c r="F3482" s="31">
        <v>2800000.0</v>
      </c>
      <c r="G3482" s="31" t="s">
        <v>23</v>
      </c>
      <c r="I3482" s="31" t="s">
        <v>229</v>
      </c>
      <c r="J3482" s="31" t="s">
        <v>967</v>
      </c>
      <c r="K3482" s="33" t="s">
        <v>10430</v>
      </c>
      <c r="L3482" s="31" t="s">
        <v>202</v>
      </c>
      <c r="N3482" s="31" t="s">
        <v>204</v>
      </c>
      <c r="R3482" s="31" t="s">
        <v>148</v>
      </c>
    </row>
    <row r="3483">
      <c r="A3483" s="29">
        <v>45993.7423109375</v>
      </c>
      <c r="B3483" s="30">
        <v>45993.0</v>
      </c>
      <c r="C3483" s="31" t="s">
        <v>10431</v>
      </c>
      <c r="D3483" s="32" t="s">
        <v>10432</v>
      </c>
      <c r="E3483" s="31" t="s">
        <v>31</v>
      </c>
      <c r="F3483" s="31">
        <v>5999000.0</v>
      </c>
      <c r="G3483" s="31" t="s">
        <v>23</v>
      </c>
      <c r="H3483" s="31">
        <v>3000000.0</v>
      </c>
      <c r="I3483" s="31" t="s">
        <v>200</v>
      </c>
      <c r="K3483" s="33" t="s">
        <v>10433</v>
      </c>
      <c r="L3483" s="31" t="s">
        <v>202</v>
      </c>
      <c r="M3483" s="31" t="s">
        <v>5638</v>
      </c>
      <c r="N3483" s="31" t="s">
        <v>204</v>
      </c>
      <c r="R3483" s="31" t="s">
        <v>207</v>
      </c>
    </row>
    <row r="3484">
      <c r="A3484" s="29">
        <v>45993.75063717592</v>
      </c>
      <c r="B3484" s="30">
        <v>45963.0</v>
      </c>
      <c r="C3484" s="31" t="s">
        <v>10434</v>
      </c>
      <c r="D3484" s="32" t="s">
        <v>10435</v>
      </c>
      <c r="E3484" s="31" t="s">
        <v>43</v>
      </c>
      <c r="F3484" s="31">
        <v>2500000.0</v>
      </c>
      <c r="G3484" s="31" t="s">
        <v>23</v>
      </c>
      <c r="H3484" s="31">
        <v>3000000.0</v>
      </c>
      <c r="I3484" s="31" t="s">
        <v>413</v>
      </c>
      <c r="K3484" s="33" t="s">
        <v>10436</v>
      </c>
      <c r="L3484" s="31" t="s">
        <v>202</v>
      </c>
      <c r="M3484" s="31" t="s">
        <v>5638</v>
      </c>
      <c r="N3484" s="31" t="s">
        <v>204</v>
      </c>
      <c r="R3484" s="31" t="s">
        <v>5256</v>
      </c>
    </row>
    <row r="3485">
      <c r="A3485" s="29">
        <v>45993.770085069445</v>
      </c>
      <c r="B3485" s="30">
        <v>45993.0</v>
      </c>
      <c r="C3485" s="31" t="s">
        <v>10437</v>
      </c>
      <c r="D3485" s="32" t="s">
        <v>10438</v>
      </c>
      <c r="E3485" s="31" t="s">
        <v>10439</v>
      </c>
      <c r="F3485" s="31">
        <v>3000000.0</v>
      </c>
      <c r="G3485" s="31" t="s">
        <v>23</v>
      </c>
      <c r="I3485" s="31" t="s">
        <v>229</v>
      </c>
      <c r="J3485" s="31" t="s">
        <v>967</v>
      </c>
      <c r="K3485" s="33" t="s">
        <v>10440</v>
      </c>
      <c r="L3485" s="31" t="s">
        <v>252</v>
      </c>
      <c r="O3485" s="31" t="s">
        <v>205</v>
      </c>
      <c r="X3485" s="31" t="s">
        <v>253</v>
      </c>
    </row>
    <row r="3486">
      <c r="A3486" s="29">
        <v>45993.77797498842</v>
      </c>
      <c r="B3486" s="30">
        <v>45993.0</v>
      </c>
      <c r="C3486" s="31" t="s">
        <v>10441</v>
      </c>
      <c r="D3486" s="32" t="s">
        <v>10442</v>
      </c>
      <c r="E3486" s="31" t="s">
        <v>10037</v>
      </c>
      <c r="F3486" s="31">
        <v>3000000.0</v>
      </c>
      <c r="G3486" s="31" t="s">
        <v>23</v>
      </c>
      <c r="I3486" s="31" t="s">
        <v>229</v>
      </c>
      <c r="J3486" s="31" t="s">
        <v>967</v>
      </c>
      <c r="K3486" s="33" t="s">
        <v>10443</v>
      </c>
      <c r="L3486" s="31" t="s">
        <v>252</v>
      </c>
      <c r="O3486" s="31" t="s">
        <v>205</v>
      </c>
      <c r="X3486" s="31" t="s">
        <v>253</v>
      </c>
    </row>
    <row r="3487">
      <c r="A3487" s="29">
        <v>45993.78051347222</v>
      </c>
      <c r="B3487" s="30">
        <v>45993.0</v>
      </c>
      <c r="C3487" s="31" t="s">
        <v>10444</v>
      </c>
      <c r="D3487" s="32" t="s">
        <v>10445</v>
      </c>
      <c r="E3487" s="31" t="s">
        <v>288</v>
      </c>
      <c r="F3487" s="31">
        <v>150000.0</v>
      </c>
      <c r="G3487" s="31" t="s">
        <v>23</v>
      </c>
      <c r="I3487" s="31" t="s">
        <v>229</v>
      </c>
      <c r="J3487" s="31" t="s">
        <v>967</v>
      </c>
      <c r="K3487" s="33" t="s">
        <v>10446</v>
      </c>
      <c r="L3487" s="31" t="s">
        <v>202</v>
      </c>
      <c r="N3487" s="31" t="s">
        <v>220</v>
      </c>
      <c r="S3487" s="31" t="s">
        <v>913</v>
      </c>
    </row>
    <row r="3488">
      <c r="A3488" s="29">
        <v>45993.788116932876</v>
      </c>
      <c r="B3488" s="30">
        <v>45993.0</v>
      </c>
      <c r="C3488" s="31" t="s">
        <v>10447</v>
      </c>
      <c r="D3488" s="32" t="s">
        <v>10448</v>
      </c>
      <c r="E3488" s="31" t="s">
        <v>43</v>
      </c>
      <c r="F3488" s="31">
        <v>9500000.0</v>
      </c>
      <c r="G3488" s="31" t="s">
        <v>23</v>
      </c>
      <c r="H3488" s="31">
        <v>3000000.0</v>
      </c>
      <c r="I3488" s="31" t="s">
        <v>413</v>
      </c>
      <c r="K3488" s="33" t="s">
        <v>10449</v>
      </c>
      <c r="L3488" s="31" t="s">
        <v>252</v>
      </c>
      <c r="M3488" s="31" t="s">
        <v>5638</v>
      </c>
      <c r="O3488" s="31" t="s">
        <v>257</v>
      </c>
      <c r="P3488" s="31" t="s">
        <v>258</v>
      </c>
    </row>
    <row r="3489">
      <c r="A3489" s="29">
        <v>45993.80144224537</v>
      </c>
      <c r="B3489" s="30">
        <v>45993.0</v>
      </c>
      <c r="C3489" s="31" t="s">
        <v>10450</v>
      </c>
      <c r="D3489" s="31">
        <v>0.0</v>
      </c>
      <c r="E3489" s="31" t="s">
        <v>43</v>
      </c>
      <c r="F3489" s="32" t="s">
        <v>3711</v>
      </c>
      <c r="G3489" s="31" t="s">
        <v>23</v>
      </c>
      <c r="I3489" s="31" t="s">
        <v>229</v>
      </c>
      <c r="J3489" s="31" t="s">
        <v>967</v>
      </c>
      <c r="K3489" s="33" t="s">
        <v>10451</v>
      </c>
      <c r="L3489" s="31" t="s">
        <v>252</v>
      </c>
      <c r="O3489" s="31" t="s">
        <v>257</v>
      </c>
      <c r="P3489" s="31" t="s">
        <v>992</v>
      </c>
    </row>
    <row r="3490">
      <c r="A3490" s="29">
        <v>45993.812384212964</v>
      </c>
      <c r="B3490" s="30">
        <v>45993.0</v>
      </c>
      <c r="C3490" s="31" t="s">
        <v>10452</v>
      </c>
      <c r="D3490" s="32" t="s">
        <v>10453</v>
      </c>
      <c r="E3490" s="31" t="s">
        <v>43</v>
      </c>
      <c r="F3490" s="34">
        <v>6.0E8</v>
      </c>
      <c r="G3490" s="31" t="s">
        <v>23</v>
      </c>
      <c r="I3490" s="31" t="s">
        <v>229</v>
      </c>
      <c r="J3490" s="31" t="s">
        <v>967</v>
      </c>
      <c r="K3490" s="33" t="s">
        <v>10454</v>
      </c>
      <c r="L3490" s="31" t="s">
        <v>202</v>
      </c>
      <c r="N3490" s="31" t="s">
        <v>204</v>
      </c>
      <c r="R3490" s="31" t="s">
        <v>471</v>
      </c>
    </row>
    <row r="3491">
      <c r="A3491" s="29">
        <v>45993.814452673614</v>
      </c>
      <c r="B3491" s="30">
        <v>45993.0</v>
      </c>
      <c r="C3491" s="31" t="s">
        <v>10455</v>
      </c>
      <c r="D3491" s="32" t="s">
        <v>10456</v>
      </c>
      <c r="E3491" s="31" t="s">
        <v>43</v>
      </c>
      <c r="F3491" s="31">
        <v>9800000.0</v>
      </c>
      <c r="G3491" s="31" t="s">
        <v>23</v>
      </c>
      <c r="H3491" s="31">
        <v>5000000.0</v>
      </c>
      <c r="I3491" s="31" t="s">
        <v>413</v>
      </c>
      <c r="K3491" s="33" t="s">
        <v>10457</v>
      </c>
      <c r="L3491" s="31" t="s">
        <v>202</v>
      </c>
      <c r="M3491" s="31" t="s">
        <v>605</v>
      </c>
      <c r="N3491" s="31" t="s">
        <v>667</v>
      </c>
      <c r="U3491" s="31" t="s">
        <v>668</v>
      </c>
    </row>
    <row r="3492">
      <c r="A3492" s="29">
        <v>45993.837161180556</v>
      </c>
      <c r="B3492" s="30">
        <v>45993.0</v>
      </c>
      <c r="C3492" s="31" t="s">
        <v>10458</v>
      </c>
      <c r="D3492" s="32" t="s">
        <v>10459</v>
      </c>
      <c r="E3492" s="31" t="s">
        <v>31</v>
      </c>
      <c r="F3492" s="31">
        <v>8600000.0</v>
      </c>
      <c r="G3492" s="31" t="s">
        <v>23</v>
      </c>
      <c r="H3492" s="31">
        <v>3000000.0</v>
      </c>
      <c r="I3492" s="31" t="s">
        <v>413</v>
      </c>
      <c r="K3492" s="33" t="s">
        <v>10460</v>
      </c>
      <c r="L3492" s="31" t="s">
        <v>202</v>
      </c>
      <c r="M3492" s="31" t="s">
        <v>5638</v>
      </c>
      <c r="N3492" s="31" t="s">
        <v>313</v>
      </c>
      <c r="T3492" s="31" t="s">
        <v>329</v>
      </c>
    </row>
    <row r="3493">
      <c r="A3493" s="29">
        <v>45993.845966863424</v>
      </c>
      <c r="B3493" s="30">
        <v>45993.0</v>
      </c>
      <c r="C3493" s="31" t="s">
        <v>10461</v>
      </c>
      <c r="D3493" s="32" t="s">
        <v>10462</v>
      </c>
      <c r="E3493" s="31" t="s">
        <v>199</v>
      </c>
      <c r="F3493" s="31">
        <v>3400000.0</v>
      </c>
      <c r="G3493" s="31" t="s">
        <v>23</v>
      </c>
      <c r="H3493" s="31">
        <v>1000000.0</v>
      </c>
      <c r="I3493" s="31" t="s">
        <v>200</v>
      </c>
      <c r="K3493" s="33" t="s">
        <v>10463</v>
      </c>
      <c r="L3493" s="31" t="s">
        <v>252</v>
      </c>
      <c r="M3493" s="31" t="s">
        <v>926</v>
      </c>
      <c r="O3493" s="31" t="s">
        <v>257</v>
      </c>
      <c r="P3493" s="31" t="s">
        <v>2453</v>
      </c>
    </row>
    <row r="3494">
      <c r="A3494" s="29">
        <v>45993.8541271412</v>
      </c>
      <c r="B3494" s="30">
        <v>45993.0</v>
      </c>
      <c r="C3494" s="31" t="s">
        <v>10464</v>
      </c>
      <c r="D3494" s="32" t="s">
        <v>8791</v>
      </c>
      <c r="E3494" s="31" t="s">
        <v>10465</v>
      </c>
      <c r="F3494" s="31">
        <v>4000000.0</v>
      </c>
      <c r="G3494" s="31" t="s">
        <v>23</v>
      </c>
      <c r="I3494" s="31" t="s">
        <v>229</v>
      </c>
      <c r="J3494" s="31" t="s">
        <v>967</v>
      </c>
      <c r="K3494" s="33" t="s">
        <v>10466</v>
      </c>
      <c r="L3494" s="31" t="s">
        <v>202</v>
      </c>
      <c r="N3494" s="31" t="s">
        <v>313</v>
      </c>
      <c r="T3494" s="31" t="s">
        <v>384</v>
      </c>
    </row>
    <row r="3495">
      <c r="A3495" s="29">
        <v>45993.91202762732</v>
      </c>
      <c r="B3495" s="30">
        <v>45993.0</v>
      </c>
      <c r="C3495" s="31" t="s">
        <v>10467</v>
      </c>
      <c r="D3495" s="32" t="s">
        <v>10468</v>
      </c>
      <c r="E3495" s="31" t="s">
        <v>43</v>
      </c>
      <c r="F3495" s="31">
        <v>4200000.0</v>
      </c>
      <c r="G3495" s="31" t="s">
        <v>23</v>
      </c>
      <c r="H3495" s="31">
        <v>3000000.0</v>
      </c>
      <c r="I3495" s="31" t="s">
        <v>200</v>
      </c>
      <c r="K3495" s="33" t="s">
        <v>10469</v>
      </c>
      <c r="L3495" s="31" t="s">
        <v>252</v>
      </c>
      <c r="M3495" s="31" t="s">
        <v>203</v>
      </c>
      <c r="O3495" s="31" t="s">
        <v>205</v>
      </c>
      <c r="X3495" s="31" t="s">
        <v>2335</v>
      </c>
    </row>
    <row r="3496">
      <c r="A3496" s="29">
        <v>45993.94131409722</v>
      </c>
      <c r="B3496" s="30">
        <v>45993.0</v>
      </c>
      <c r="C3496" s="31" t="s">
        <v>10470</v>
      </c>
      <c r="D3496" s="32" t="s">
        <v>10471</v>
      </c>
      <c r="E3496" s="31" t="s">
        <v>261</v>
      </c>
      <c r="F3496" s="31">
        <v>2000000.0</v>
      </c>
      <c r="G3496" s="31" t="s">
        <v>23</v>
      </c>
      <c r="I3496" s="31" t="s">
        <v>229</v>
      </c>
      <c r="J3496" s="31" t="s">
        <v>967</v>
      </c>
      <c r="K3496" s="33" t="s">
        <v>10472</v>
      </c>
      <c r="L3496" s="31" t="s">
        <v>202</v>
      </c>
      <c r="N3496" s="31" t="s">
        <v>871</v>
      </c>
      <c r="Q3496" s="31" t="s">
        <v>872</v>
      </c>
    </row>
    <row r="3497">
      <c r="A3497" s="29">
        <v>45994.42721375</v>
      </c>
      <c r="B3497" s="30">
        <v>45994.0</v>
      </c>
      <c r="C3497" s="31" t="s">
        <v>10473</v>
      </c>
      <c r="D3497" s="32" t="s">
        <v>10474</v>
      </c>
      <c r="E3497" s="31" t="s">
        <v>43</v>
      </c>
      <c r="F3497" s="31">
        <v>3400000.0</v>
      </c>
      <c r="G3497" s="31" t="s">
        <v>23</v>
      </c>
      <c r="I3497" s="31" t="s">
        <v>229</v>
      </c>
      <c r="J3497" s="31" t="s">
        <v>967</v>
      </c>
      <c r="K3497" s="33" t="s">
        <v>10475</v>
      </c>
      <c r="L3497" s="31" t="s">
        <v>252</v>
      </c>
      <c r="O3497" s="31" t="s">
        <v>257</v>
      </c>
      <c r="P3497" s="31" t="s">
        <v>2453</v>
      </c>
    </row>
    <row r="3498">
      <c r="A3498" s="29">
        <v>45994.428609675924</v>
      </c>
      <c r="B3498" s="30">
        <v>45994.0</v>
      </c>
      <c r="C3498" s="31" t="s">
        <v>10476</v>
      </c>
      <c r="D3498" s="32" t="s">
        <v>10477</v>
      </c>
      <c r="E3498" s="31" t="s">
        <v>43</v>
      </c>
      <c r="F3498" s="31">
        <v>4300000.0</v>
      </c>
      <c r="G3498" s="31" t="s">
        <v>23</v>
      </c>
      <c r="I3498" s="31" t="s">
        <v>229</v>
      </c>
      <c r="J3498" s="31" t="s">
        <v>967</v>
      </c>
      <c r="K3498" s="33" t="s">
        <v>10478</v>
      </c>
      <c r="L3498" s="31" t="s">
        <v>252</v>
      </c>
      <c r="O3498" s="31" t="s">
        <v>257</v>
      </c>
      <c r="P3498" s="31" t="s">
        <v>2453</v>
      </c>
    </row>
    <row r="3499">
      <c r="A3499" s="29">
        <v>45994.42870438658</v>
      </c>
      <c r="B3499" s="30">
        <v>45994.0</v>
      </c>
      <c r="C3499" s="31" t="s">
        <v>10479</v>
      </c>
      <c r="D3499" s="32" t="s">
        <v>10480</v>
      </c>
      <c r="E3499" s="31" t="s">
        <v>31</v>
      </c>
      <c r="F3499" s="31">
        <v>9600000.0</v>
      </c>
      <c r="G3499" s="31" t="s">
        <v>23</v>
      </c>
      <c r="I3499" s="31" t="s">
        <v>229</v>
      </c>
      <c r="J3499" s="31" t="s">
        <v>967</v>
      </c>
      <c r="K3499" s="33" t="s">
        <v>10481</v>
      </c>
      <c r="L3499" s="31" t="s">
        <v>202</v>
      </c>
      <c r="N3499" s="31" t="s">
        <v>667</v>
      </c>
      <c r="U3499" s="31" t="s">
        <v>668</v>
      </c>
    </row>
    <row r="3500">
      <c r="A3500" s="29">
        <v>45994.43426706018</v>
      </c>
      <c r="B3500" s="30">
        <v>45994.0</v>
      </c>
      <c r="C3500" s="31" t="s">
        <v>10482</v>
      </c>
      <c r="D3500" s="32" t="s">
        <v>9935</v>
      </c>
      <c r="E3500" s="31" t="s">
        <v>43</v>
      </c>
      <c r="F3500" s="31">
        <v>3200000.0</v>
      </c>
      <c r="G3500" s="31" t="s">
        <v>23</v>
      </c>
      <c r="I3500" s="31" t="s">
        <v>229</v>
      </c>
      <c r="J3500" s="31" t="s">
        <v>967</v>
      </c>
      <c r="K3500" s="33" t="s">
        <v>10483</v>
      </c>
      <c r="L3500" s="31" t="s">
        <v>202</v>
      </c>
      <c r="N3500" s="31" t="s">
        <v>667</v>
      </c>
      <c r="U3500" s="31" t="s">
        <v>3950</v>
      </c>
    </row>
    <row r="3501">
      <c r="A3501" s="29">
        <v>45994.46554200232</v>
      </c>
      <c r="B3501" s="30">
        <v>45994.0</v>
      </c>
      <c r="C3501" s="31" t="s">
        <v>10484</v>
      </c>
      <c r="D3501" s="32" t="s">
        <v>10485</v>
      </c>
      <c r="E3501" s="31" t="s">
        <v>43</v>
      </c>
      <c r="F3501" s="31">
        <v>3700000.0</v>
      </c>
      <c r="G3501" s="31" t="s">
        <v>23</v>
      </c>
      <c r="I3501" s="31" t="s">
        <v>229</v>
      </c>
      <c r="J3501" s="31" t="s">
        <v>967</v>
      </c>
      <c r="K3501" s="33" t="s">
        <v>10486</v>
      </c>
      <c r="L3501" s="31" t="s">
        <v>202</v>
      </c>
      <c r="N3501" s="31" t="s">
        <v>220</v>
      </c>
      <c r="S3501" s="31" t="s">
        <v>59</v>
      </c>
    </row>
    <row r="3502">
      <c r="A3502" s="29">
        <v>45994.468120590274</v>
      </c>
      <c r="B3502" s="30">
        <v>45994.0</v>
      </c>
      <c r="C3502" s="31" t="s">
        <v>10487</v>
      </c>
      <c r="D3502" s="32" t="s">
        <v>10488</v>
      </c>
      <c r="E3502" s="31" t="s">
        <v>228</v>
      </c>
      <c r="F3502" s="34">
        <v>1500000.0</v>
      </c>
      <c r="G3502" s="31" t="s">
        <v>23</v>
      </c>
      <c r="I3502" s="31" t="s">
        <v>229</v>
      </c>
      <c r="J3502" s="31" t="s">
        <v>967</v>
      </c>
      <c r="K3502" s="33" t="s">
        <v>10489</v>
      </c>
      <c r="L3502" s="31" t="s">
        <v>202</v>
      </c>
      <c r="N3502" s="31" t="s">
        <v>204</v>
      </c>
      <c r="R3502" s="31" t="s">
        <v>192</v>
      </c>
    </row>
    <row r="3503">
      <c r="A3503" s="29">
        <v>45994.48669936342</v>
      </c>
      <c r="B3503" s="30">
        <v>45994.0</v>
      </c>
      <c r="C3503" s="31" t="s">
        <v>10490</v>
      </c>
      <c r="D3503" s="31">
        <v>0.0</v>
      </c>
      <c r="E3503" s="31" t="s">
        <v>43</v>
      </c>
      <c r="F3503" s="32" t="s">
        <v>8677</v>
      </c>
      <c r="G3503" s="31" t="s">
        <v>23</v>
      </c>
      <c r="H3503" s="31">
        <v>3000000.0</v>
      </c>
      <c r="I3503" s="31" t="s">
        <v>200</v>
      </c>
      <c r="K3503" s="33" t="s">
        <v>10491</v>
      </c>
      <c r="L3503" s="31" t="s">
        <v>252</v>
      </c>
      <c r="M3503" s="31" t="s">
        <v>203</v>
      </c>
      <c r="O3503" s="31" t="s">
        <v>257</v>
      </c>
      <c r="P3503" s="31" t="s">
        <v>992</v>
      </c>
    </row>
    <row r="3504">
      <c r="A3504" s="29">
        <v>45994.48809438657</v>
      </c>
      <c r="B3504" s="30">
        <v>45994.0</v>
      </c>
      <c r="C3504" s="31" t="s">
        <v>10492</v>
      </c>
      <c r="D3504" s="31">
        <v>6.282144230303E12</v>
      </c>
      <c r="E3504" s="31" t="s">
        <v>228</v>
      </c>
      <c r="F3504" s="31">
        <v>2500000.0</v>
      </c>
      <c r="G3504" s="31" t="s">
        <v>23</v>
      </c>
      <c r="I3504" s="31" t="s">
        <v>229</v>
      </c>
      <c r="J3504" s="31" t="s">
        <v>967</v>
      </c>
      <c r="K3504" s="33" t="s">
        <v>10493</v>
      </c>
      <c r="L3504" s="31" t="s">
        <v>202</v>
      </c>
      <c r="N3504" s="31" t="s">
        <v>204</v>
      </c>
      <c r="R3504" s="31" t="s">
        <v>360</v>
      </c>
    </row>
    <row r="3505">
      <c r="A3505" s="29">
        <v>45994.49734747685</v>
      </c>
      <c r="B3505" s="30">
        <v>45994.0</v>
      </c>
      <c r="C3505" s="31" t="s">
        <v>10494</v>
      </c>
      <c r="D3505" s="32" t="s">
        <v>4253</v>
      </c>
      <c r="E3505" s="31" t="s">
        <v>127</v>
      </c>
      <c r="F3505" s="31">
        <v>3600000.0</v>
      </c>
      <c r="G3505" s="31" t="s">
        <v>23</v>
      </c>
      <c r="H3505" s="31">
        <v>3000000.0</v>
      </c>
      <c r="I3505" s="31" t="s">
        <v>200</v>
      </c>
      <c r="K3505" s="33" t="s">
        <v>10495</v>
      </c>
      <c r="L3505" s="31" t="s">
        <v>252</v>
      </c>
      <c r="M3505" s="31" t="s">
        <v>203</v>
      </c>
      <c r="O3505" s="31" t="s">
        <v>257</v>
      </c>
      <c r="P3505" s="31" t="s">
        <v>206</v>
      </c>
    </row>
    <row r="3506">
      <c r="A3506" s="29">
        <v>45994.50929259259</v>
      </c>
      <c r="B3506" s="30">
        <v>45994.0</v>
      </c>
      <c r="C3506" s="31" t="s">
        <v>10496</v>
      </c>
      <c r="D3506" s="31">
        <v>0.0</v>
      </c>
      <c r="E3506" s="31" t="s">
        <v>10497</v>
      </c>
      <c r="F3506" s="31">
        <v>2500000.0</v>
      </c>
      <c r="G3506" s="31" t="s">
        <v>23</v>
      </c>
      <c r="I3506" s="31" t="s">
        <v>229</v>
      </c>
      <c r="J3506" s="31" t="s">
        <v>967</v>
      </c>
      <c r="K3506" s="33" t="s">
        <v>10498</v>
      </c>
      <c r="L3506" s="31" t="s">
        <v>252</v>
      </c>
      <c r="O3506" s="31" t="s">
        <v>257</v>
      </c>
      <c r="P3506" s="31" t="s">
        <v>2320</v>
      </c>
    </row>
    <row r="3507">
      <c r="A3507" s="29">
        <v>45994.5102003125</v>
      </c>
      <c r="B3507" s="30">
        <v>45994.0</v>
      </c>
      <c r="C3507" s="31" t="s">
        <v>10499</v>
      </c>
      <c r="D3507" s="32" t="s">
        <v>10500</v>
      </c>
      <c r="E3507" s="31" t="s">
        <v>239</v>
      </c>
      <c r="F3507" s="31">
        <v>7900000.0</v>
      </c>
      <c r="G3507" s="31" t="s">
        <v>23</v>
      </c>
      <c r="H3507" s="31">
        <v>3000000.0</v>
      </c>
      <c r="I3507" s="31" t="s">
        <v>413</v>
      </c>
      <c r="K3507" s="33" t="s">
        <v>10501</v>
      </c>
      <c r="L3507" s="31" t="s">
        <v>252</v>
      </c>
      <c r="M3507" s="31" t="s">
        <v>5638</v>
      </c>
      <c r="O3507" s="31" t="s">
        <v>257</v>
      </c>
      <c r="P3507" s="31" t="s">
        <v>258</v>
      </c>
    </row>
    <row r="3508">
      <c r="A3508" s="29">
        <v>45994.51359369213</v>
      </c>
      <c r="B3508" s="30">
        <v>45994.0</v>
      </c>
      <c r="C3508" s="31" t="s">
        <v>10502</v>
      </c>
      <c r="D3508" s="32" t="s">
        <v>10503</v>
      </c>
      <c r="E3508" s="31" t="s">
        <v>199</v>
      </c>
      <c r="F3508" s="31">
        <v>5400000.0</v>
      </c>
      <c r="G3508" s="31" t="s">
        <v>45</v>
      </c>
      <c r="I3508" s="31" t="s">
        <v>229</v>
      </c>
      <c r="J3508" s="31" t="s">
        <v>967</v>
      </c>
      <c r="K3508" s="33" t="s">
        <v>10504</v>
      </c>
      <c r="L3508" s="31" t="s">
        <v>202</v>
      </c>
      <c r="N3508" s="31" t="s">
        <v>215</v>
      </c>
      <c r="W3508" s="31" t="s">
        <v>389</v>
      </c>
    </row>
    <row r="3509">
      <c r="A3509" s="29">
        <v>45994.51465967593</v>
      </c>
      <c r="B3509" s="30">
        <v>45994.0</v>
      </c>
      <c r="C3509" s="31" t="s">
        <v>10505</v>
      </c>
      <c r="D3509" s="32" t="s">
        <v>10506</v>
      </c>
      <c r="E3509" s="31" t="s">
        <v>199</v>
      </c>
      <c r="F3509" s="31">
        <v>1.35E7</v>
      </c>
      <c r="G3509" s="31" t="s">
        <v>23</v>
      </c>
      <c r="I3509" s="31" t="s">
        <v>229</v>
      </c>
      <c r="J3509" s="31" t="s">
        <v>967</v>
      </c>
      <c r="K3509" s="33" t="s">
        <v>10507</v>
      </c>
      <c r="L3509" s="31" t="s">
        <v>202</v>
      </c>
      <c r="N3509" s="31" t="s">
        <v>204</v>
      </c>
      <c r="R3509" s="31" t="s">
        <v>5606</v>
      </c>
    </row>
    <row r="3510">
      <c r="A3510" s="29">
        <v>45994.51734414352</v>
      </c>
      <c r="B3510" s="30">
        <v>45994.0</v>
      </c>
      <c r="C3510" s="31" t="s">
        <v>10508</v>
      </c>
      <c r="D3510" s="32" t="s">
        <v>2373</v>
      </c>
      <c r="E3510" s="31" t="s">
        <v>43</v>
      </c>
      <c r="F3510" s="31">
        <v>7000000.0</v>
      </c>
      <c r="G3510" s="31" t="s">
        <v>23</v>
      </c>
      <c r="I3510" s="31" t="s">
        <v>229</v>
      </c>
      <c r="J3510" s="31" t="s">
        <v>967</v>
      </c>
      <c r="K3510" s="33" t="s">
        <v>10509</v>
      </c>
      <c r="L3510" s="31" t="s">
        <v>202</v>
      </c>
      <c r="N3510" s="31" t="s">
        <v>313</v>
      </c>
      <c r="T3510" s="31" t="s">
        <v>314</v>
      </c>
    </row>
    <row r="3511">
      <c r="A3511" s="29">
        <v>45994.53813782407</v>
      </c>
      <c r="B3511" s="30">
        <v>45994.0</v>
      </c>
      <c r="C3511" s="31" t="s">
        <v>10510</v>
      </c>
      <c r="D3511" s="32" t="s">
        <v>10511</v>
      </c>
      <c r="E3511" s="31" t="s">
        <v>288</v>
      </c>
      <c r="F3511" s="31">
        <v>3000000.0</v>
      </c>
      <c r="G3511" s="31" t="s">
        <v>23</v>
      </c>
      <c r="I3511" s="31" t="s">
        <v>229</v>
      </c>
      <c r="J3511" s="31" t="s">
        <v>967</v>
      </c>
      <c r="K3511" s="33" t="s">
        <v>10512</v>
      </c>
      <c r="L3511" s="31" t="s">
        <v>202</v>
      </c>
      <c r="N3511" s="31" t="s">
        <v>220</v>
      </c>
      <c r="S3511" s="31" t="s">
        <v>913</v>
      </c>
    </row>
    <row r="3512">
      <c r="A3512" s="29">
        <v>45994.54844388889</v>
      </c>
      <c r="B3512" s="30">
        <v>45994.0</v>
      </c>
      <c r="C3512" s="31" t="s">
        <v>10513</v>
      </c>
      <c r="D3512" s="31" t="s">
        <v>10514</v>
      </c>
      <c r="E3512" s="31" t="s">
        <v>239</v>
      </c>
      <c r="F3512" s="31">
        <v>3600000.0</v>
      </c>
      <c r="G3512" s="31" t="s">
        <v>23</v>
      </c>
      <c r="I3512" s="31" t="s">
        <v>229</v>
      </c>
      <c r="J3512" s="31" t="s">
        <v>967</v>
      </c>
      <c r="K3512" s="33" t="s">
        <v>10515</v>
      </c>
      <c r="L3512" s="31" t="s">
        <v>202</v>
      </c>
      <c r="N3512" s="31" t="s">
        <v>220</v>
      </c>
      <c r="S3512" s="31" t="s">
        <v>90</v>
      </c>
    </row>
    <row r="3513">
      <c r="A3513" s="29">
        <v>45994.577952210646</v>
      </c>
      <c r="B3513" s="30">
        <v>45994.0</v>
      </c>
      <c r="C3513" s="31" t="s">
        <v>10516</v>
      </c>
      <c r="D3513" s="32" t="s">
        <v>10517</v>
      </c>
      <c r="E3513" s="31" t="s">
        <v>43</v>
      </c>
      <c r="F3513" s="31">
        <v>8800000.0</v>
      </c>
      <c r="G3513" s="31" t="s">
        <v>45</v>
      </c>
      <c r="I3513" s="31" t="s">
        <v>229</v>
      </c>
      <c r="J3513" s="31" t="s">
        <v>967</v>
      </c>
      <c r="K3513" s="33" t="s">
        <v>10518</v>
      </c>
      <c r="L3513" s="31" t="s">
        <v>252</v>
      </c>
      <c r="O3513" s="31" t="s">
        <v>257</v>
      </c>
      <c r="P3513" s="31" t="s">
        <v>258</v>
      </c>
    </row>
    <row r="3514">
      <c r="A3514" s="29">
        <v>45994.58770231481</v>
      </c>
      <c r="B3514" s="30">
        <v>45994.0</v>
      </c>
      <c r="C3514" s="31" t="s">
        <v>10519</v>
      </c>
      <c r="D3514" s="32" t="s">
        <v>10520</v>
      </c>
      <c r="E3514" s="31" t="s">
        <v>199</v>
      </c>
      <c r="F3514" s="31">
        <v>3500000.0</v>
      </c>
      <c r="G3514" s="31" t="s">
        <v>23</v>
      </c>
      <c r="I3514" s="31" t="s">
        <v>229</v>
      </c>
      <c r="J3514" s="31" t="s">
        <v>967</v>
      </c>
      <c r="K3514" s="33" t="s">
        <v>10521</v>
      </c>
      <c r="L3514" s="31" t="s">
        <v>202</v>
      </c>
      <c r="N3514" s="31" t="s">
        <v>667</v>
      </c>
      <c r="U3514" s="31" t="s">
        <v>3950</v>
      </c>
    </row>
    <row r="3515">
      <c r="A3515" s="29">
        <v>45994.59161390046</v>
      </c>
      <c r="B3515" s="30">
        <v>45994.0</v>
      </c>
      <c r="C3515" s="31" t="s">
        <v>10522</v>
      </c>
      <c r="D3515" s="32" t="s">
        <v>10523</v>
      </c>
      <c r="E3515" s="31" t="s">
        <v>288</v>
      </c>
      <c r="F3515" s="31">
        <v>2600000.0</v>
      </c>
      <c r="G3515" s="31" t="s">
        <v>23</v>
      </c>
      <c r="I3515" s="31" t="s">
        <v>229</v>
      </c>
      <c r="J3515" s="31" t="s">
        <v>967</v>
      </c>
      <c r="K3515" s="33" t="s">
        <v>10524</v>
      </c>
      <c r="L3515" s="31" t="s">
        <v>202</v>
      </c>
      <c r="N3515" s="31" t="s">
        <v>220</v>
      </c>
      <c r="S3515" s="31" t="s">
        <v>913</v>
      </c>
    </row>
    <row r="3516">
      <c r="A3516" s="29">
        <v>45994.60704673611</v>
      </c>
      <c r="B3516" s="30">
        <v>45994.0</v>
      </c>
      <c r="C3516" s="31" t="s">
        <v>10525</v>
      </c>
      <c r="D3516" s="32" t="s">
        <v>10526</v>
      </c>
      <c r="E3516" s="31" t="s">
        <v>31</v>
      </c>
      <c r="F3516" s="31">
        <v>8900000.0</v>
      </c>
      <c r="G3516" s="31" t="s">
        <v>23</v>
      </c>
      <c r="I3516" s="31" t="s">
        <v>229</v>
      </c>
      <c r="J3516" s="31" t="s">
        <v>967</v>
      </c>
      <c r="K3516" s="33" t="s">
        <v>10527</v>
      </c>
      <c r="L3516" s="31" t="s">
        <v>202</v>
      </c>
      <c r="N3516" s="31" t="s">
        <v>313</v>
      </c>
      <c r="T3516" s="31" t="s">
        <v>329</v>
      </c>
    </row>
    <row r="3517">
      <c r="A3517" s="29">
        <v>45994.60910775463</v>
      </c>
      <c r="B3517" s="30">
        <v>45994.0</v>
      </c>
      <c r="C3517" s="31" t="s">
        <v>10528</v>
      </c>
      <c r="D3517" s="32" t="s">
        <v>10529</v>
      </c>
      <c r="E3517" s="31" t="s">
        <v>31</v>
      </c>
      <c r="F3517" s="31">
        <v>1.29E7</v>
      </c>
      <c r="G3517" s="31" t="s">
        <v>23</v>
      </c>
      <c r="I3517" s="31" t="s">
        <v>229</v>
      </c>
      <c r="J3517" s="31" t="s">
        <v>967</v>
      </c>
      <c r="K3517" s="33" t="s">
        <v>10530</v>
      </c>
      <c r="L3517" s="31" t="s">
        <v>202</v>
      </c>
      <c r="N3517" s="31" t="s">
        <v>313</v>
      </c>
      <c r="T3517" s="31" t="s">
        <v>329</v>
      </c>
    </row>
    <row r="3518">
      <c r="A3518" s="29">
        <v>45994.61069847222</v>
      </c>
      <c r="B3518" s="30">
        <v>45994.0</v>
      </c>
      <c r="C3518" s="31" t="s">
        <v>10531</v>
      </c>
      <c r="D3518" s="32" t="s">
        <v>10532</v>
      </c>
      <c r="E3518" s="31" t="s">
        <v>31</v>
      </c>
      <c r="F3518" s="31">
        <v>1.12E7</v>
      </c>
      <c r="G3518" s="31" t="s">
        <v>23</v>
      </c>
      <c r="H3518" s="31">
        <v>3000000.0</v>
      </c>
      <c r="I3518" s="31" t="s">
        <v>413</v>
      </c>
      <c r="K3518" s="33" t="s">
        <v>10533</v>
      </c>
      <c r="L3518" s="31" t="s">
        <v>202</v>
      </c>
      <c r="M3518" s="31" t="s">
        <v>5638</v>
      </c>
      <c r="N3518" s="31" t="s">
        <v>313</v>
      </c>
      <c r="T3518" s="31" t="s">
        <v>329</v>
      </c>
    </row>
    <row r="3519">
      <c r="A3519" s="29">
        <v>45994.61302736111</v>
      </c>
      <c r="B3519" s="30">
        <v>45994.0</v>
      </c>
      <c r="C3519" s="31" t="s">
        <v>10534</v>
      </c>
      <c r="D3519" s="32" t="s">
        <v>10535</v>
      </c>
      <c r="E3519" s="31" t="s">
        <v>43</v>
      </c>
      <c r="F3519" s="31">
        <v>3000000.0</v>
      </c>
      <c r="G3519" s="31" t="s">
        <v>23</v>
      </c>
      <c r="H3519" s="31">
        <v>3000000.0</v>
      </c>
      <c r="I3519" s="31" t="s">
        <v>200</v>
      </c>
      <c r="K3519" s="33" t="s">
        <v>10536</v>
      </c>
      <c r="L3519" s="31" t="s">
        <v>252</v>
      </c>
      <c r="M3519" s="31" t="s">
        <v>5638</v>
      </c>
      <c r="O3519" s="31" t="s">
        <v>205</v>
      </c>
      <c r="X3519" s="31" t="s">
        <v>452</v>
      </c>
    </row>
    <row r="3520">
      <c r="A3520" s="29">
        <v>45994.62247973379</v>
      </c>
      <c r="B3520" s="30">
        <v>45994.0</v>
      </c>
      <c r="C3520" s="31" t="s">
        <v>10537</v>
      </c>
      <c r="D3520" s="32" t="s">
        <v>10538</v>
      </c>
      <c r="E3520" s="31" t="s">
        <v>239</v>
      </c>
      <c r="F3520" s="31">
        <v>2000000.0</v>
      </c>
      <c r="G3520" s="31" t="s">
        <v>23</v>
      </c>
      <c r="H3520" s="31">
        <v>3000000.0</v>
      </c>
      <c r="I3520" s="31" t="s">
        <v>413</v>
      </c>
      <c r="K3520" s="33" t="s">
        <v>10539</v>
      </c>
      <c r="L3520" s="31" t="s">
        <v>202</v>
      </c>
      <c r="M3520" s="31" t="s">
        <v>203</v>
      </c>
      <c r="N3520" s="31" t="s">
        <v>871</v>
      </c>
      <c r="Q3520" s="31" t="s">
        <v>872</v>
      </c>
    </row>
    <row r="3521">
      <c r="A3521" s="29">
        <v>45994.625472280095</v>
      </c>
      <c r="B3521" s="30">
        <v>45994.0</v>
      </c>
      <c r="C3521" s="31" t="s">
        <v>10540</v>
      </c>
      <c r="D3521" s="31">
        <v>0.0</v>
      </c>
      <c r="E3521" s="31" t="s">
        <v>43</v>
      </c>
      <c r="F3521" s="31">
        <v>2500000.0</v>
      </c>
      <c r="G3521" s="31" t="s">
        <v>23</v>
      </c>
      <c r="H3521" s="31">
        <v>3000000.0</v>
      </c>
      <c r="I3521" s="31" t="s">
        <v>413</v>
      </c>
      <c r="K3521" s="33" t="s">
        <v>10541</v>
      </c>
      <c r="L3521" s="31" t="s">
        <v>252</v>
      </c>
      <c r="M3521" s="31" t="s">
        <v>5638</v>
      </c>
      <c r="O3521" s="31" t="s">
        <v>257</v>
      </c>
      <c r="P3521" s="31" t="s">
        <v>2320</v>
      </c>
    </row>
    <row r="3522">
      <c r="A3522" s="29">
        <v>45994.625763414355</v>
      </c>
      <c r="B3522" s="30">
        <v>45994.0</v>
      </c>
      <c r="C3522" s="31" t="s">
        <v>10542</v>
      </c>
      <c r="D3522" s="31">
        <v>0.0</v>
      </c>
      <c r="E3522" s="31" t="s">
        <v>199</v>
      </c>
      <c r="F3522" s="32" t="s">
        <v>5089</v>
      </c>
      <c r="G3522" s="31" t="s">
        <v>45</v>
      </c>
      <c r="H3522" s="31">
        <v>3000000.0</v>
      </c>
      <c r="I3522" s="31" t="s">
        <v>200</v>
      </c>
      <c r="K3522" s="33" t="s">
        <v>10543</v>
      </c>
      <c r="L3522" s="31" t="s">
        <v>252</v>
      </c>
      <c r="M3522" s="31" t="s">
        <v>5638</v>
      </c>
      <c r="O3522" s="31" t="s">
        <v>257</v>
      </c>
      <c r="P3522" s="31" t="s">
        <v>992</v>
      </c>
    </row>
    <row r="3523">
      <c r="A3523" s="29">
        <v>45994.63818708333</v>
      </c>
      <c r="B3523" s="30">
        <v>45994.0</v>
      </c>
      <c r="C3523" s="31" t="s">
        <v>10544</v>
      </c>
      <c r="D3523" s="32" t="s">
        <v>10545</v>
      </c>
      <c r="E3523" s="31" t="s">
        <v>31</v>
      </c>
      <c r="F3523" s="31">
        <v>4800000.0</v>
      </c>
      <c r="G3523" s="31" t="s">
        <v>23</v>
      </c>
      <c r="H3523" s="31">
        <v>3000000.0</v>
      </c>
      <c r="I3523" s="31" t="s">
        <v>200</v>
      </c>
      <c r="K3523" s="33" t="s">
        <v>10546</v>
      </c>
      <c r="L3523" s="31" t="s">
        <v>202</v>
      </c>
      <c r="M3523" s="31" t="s">
        <v>5638</v>
      </c>
      <c r="N3523" s="31" t="s">
        <v>204</v>
      </c>
      <c r="R3523" s="31" t="s">
        <v>207</v>
      </c>
    </row>
    <row r="3524">
      <c r="A3524" s="29">
        <v>45994.64643987268</v>
      </c>
      <c r="B3524" s="30">
        <v>45994.0</v>
      </c>
      <c r="C3524" s="31" t="s">
        <v>10547</v>
      </c>
      <c r="D3524" s="32" t="s">
        <v>10548</v>
      </c>
      <c r="E3524" s="31" t="s">
        <v>199</v>
      </c>
      <c r="F3524" s="31">
        <v>3600000.0</v>
      </c>
      <c r="G3524" s="31" t="s">
        <v>23</v>
      </c>
      <c r="I3524" s="31" t="s">
        <v>229</v>
      </c>
      <c r="J3524" s="31" t="s">
        <v>967</v>
      </c>
      <c r="K3524" s="33" t="s">
        <v>10549</v>
      </c>
      <c r="L3524" s="31" t="s">
        <v>202</v>
      </c>
      <c r="N3524" s="31" t="s">
        <v>667</v>
      </c>
      <c r="U3524" s="31" t="s">
        <v>3950</v>
      </c>
    </row>
    <row r="3525">
      <c r="A3525" s="29">
        <v>45994.647694074076</v>
      </c>
      <c r="B3525" s="30">
        <v>45994.0</v>
      </c>
      <c r="C3525" s="31" t="s">
        <v>8592</v>
      </c>
      <c r="D3525" s="32" t="s">
        <v>10550</v>
      </c>
      <c r="E3525" s="31" t="s">
        <v>31</v>
      </c>
      <c r="F3525" s="31">
        <v>4100000.0</v>
      </c>
      <c r="G3525" s="31" t="s">
        <v>23</v>
      </c>
      <c r="I3525" s="31" t="s">
        <v>229</v>
      </c>
      <c r="J3525" s="31" t="s">
        <v>967</v>
      </c>
      <c r="K3525" s="33" t="s">
        <v>10551</v>
      </c>
      <c r="L3525" s="31" t="s">
        <v>202</v>
      </c>
      <c r="N3525" s="31" t="s">
        <v>204</v>
      </c>
      <c r="R3525" s="31" t="s">
        <v>207</v>
      </c>
    </row>
    <row r="3526">
      <c r="A3526" s="29">
        <v>45994.68137020833</v>
      </c>
      <c r="B3526" s="30">
        <v>45994.0</v>
      </c>
      <c r="C3526" s="31" t="s">
        <v>10552</v>
      </c>
      <c r="D3526" s="32" t="s">
        <v>10553</v>
      </c>
      <c r="E3526" s="31" t="s">
        <v>288</v>
      </c>
      <c r="F3526" s="31">
        <v>500000.0</v>
      </c>
      <c r="G3526" s="31" t="s">
        <v>23</v>
      </c>
      <c r="I3526" s="31" t="s">
        <v>229</v>
      </c>
      <c r="J3526" s="31" t="s">
        <v>967</v>
      </c>
      <c r="K3526" s="33" t="s">
        <v>10554</v>
      </c>
      <c r="L3526" s="31" t="s">
        <v>252</v>
      </c>
      <c r="O3526" s="31" t="s">
        <v>205</v>
      </c>
      <c r="X3526" s="31" t="s">
        <v>1471</v>
      </c>
    </row>
    <row r="3527">
      <c r="A3527" s="29">
        <v>45994.686726493055</v>
      </c>
      <c r="B3527" s="30">
        <v>45994.0</v>
      </c>
      <c r="C3527" s="31" t="s">
        <v>10555</v>
      </c>
      <c r="D3527" s="32" t="s">
        <v>10556</v>
      </c>
      <c r="E3527" s="31" t="s">
        <v>43</v>
      </c>
      <c r="F3527" s="31">
        <v>5000000.0</v>
      </c>
      <c r="G3527" s="31" t="s">
        <v>45</v>
      </c>
      <c r="I3527" s="31" t="s">
        <v>229</v>
      </c>
      <c r="J3527" s="31" t="s">
        <v>967</v>
      </c>
      <c r="K3527" s="33" t="s">
        <v>10557</v>
      </c>
      <c r="L3527" s="31" t="s">
        <v>252</v>
      </c>
      <c r="O3527" s="31" t="s">
        <v>257</v>
      </c>
      <c r="P3527" s="31" t="s">
        <v>272</v>
      </c>
    </row>
    <row r="3528">
      <c r="A3528" s="29">
        <v>45994.71881302084</v>
      </c>
      <c r="B3528" s="30">
        <v>45994.0</v>
      </c>
      <c r="C3528" s="31" t="s">
        <v>10558</v>
      </c>
      <c r="D3528" s="32" t="s">
        <v>10559</v>
      </c>
      <c r="E3528" s="31" t="s">
        <v>261</v>
      </c>
      <c r="F3528" s="31">
        <v>1000000.0</v>
      </c>
      <c r="G3528" s="31" t="s">
        <v>23</v>
      </c>
      <c r="I3528" s="31" t="s">
        <v>229</v>
      </c>
      <c r="J3528" s="31" t="s">
        <v>967</v>
      </c>
      <c r="K3528" s="33" t="s">
        <v>10560</v>
      </c>
      <c r="L3528" s="31" t="s">
        <v>252</v>
      </c>
      <c r="O3528" s="31" t="s">
        <v>205</v>
      </c>
      <c r="X3528" s="31" t="s">
        <v>549</v>
      </c>
    </row>
    <row r="3529">
      <c r="A3529" s="29">
        <v>45994.72595172454</v>
      </c>
      <c r="B3529" s="30">
        <v>45994.0</v>
      </c>
      <c r="C3529" s="31" t="s">
        <v>10561</v>
      </c>
      <c r="D3529" s="32" t="s">
        <v>10562</v>
      </c>
      <c r="E3529" s="31" t="s">
        <v>1166</v>
      </c>
      <c r="F3529" s="31">
        <v>150000.0</v>
      </c>
      <c r="G3529" s="31" t="s">
        <v>23</v>
      </c>
      <c r="I3529" s="31" t="s">
        <v>229</v>
      </c>
      <c r="J3529" s="31" t="s">
        <v>967</v>
      </c>
      <c r="K3529" s="33" t="s">
        <v>10563</v>
      </c>
      <c r="L3529" s="31" t="s">
        <v>202</v>
      </c>
      <c r="N3529" s="31" t="s">
        <v>313</v>
      </c>
      <c r="T3529" s="31" t="s">
        <v>4272</v>
      </c>
    </row>
    <row r="3530">
      <c r="A3530" s="29">
        <v>45994.727402557866</v>
      </c>
      <c r="B3530" s="30">
        <v>45994.0</v>
      </c>
      <c r="C3530" s="31" t="s">
        <v>10564</v>
      </c>
      <c r="D3530" s="32" t="s">
        <v>10565</v>
      </c>
      <c r="E3530" s="31" t="s">
        <v>288</v>
      </c>
      <c r="F3530" s="31">
        <v>50.0</v>
      </c>
      <c r="G3530" s="31" t="s">
        <v>23</v>
      </c>
      <c r="I3530" s="31" t="s">
        <v>229</v>
      </c>
      <c r="J3530" s="31" t="s">
        <v>967</v>
      </c>
      <c r="K3530" s="33" t="s">
        <v>10566</v>
      </c>
      <c r="L3530" s="31" t="s">
        <v>202</v>
      </c>
      <c r="N3530" s="31" t="s">
        <v>313</v>
      </c>
      <c r="T3530" s="31" t="s">
        <v>4272</v>
      </c>
    </row>
    <row r="3531">
      <c r="A3531" s="29">
        <v>45994.74891674769</v>
      </c>
      <c r="B3531" s="30">
        <v>45994.0</v>
      </c>
      <c r="C3531" s="31" t="s">
        <v>10567</v>
      </c>
      <c r="D3531" s="32" t="s">
        <v>10568</v>
      </c>
      <c r="E3531" s="31" t="s">
        <v>199</v>
      </c>
      <c r="F3531" s="31">
        <v>8200000.0</v>
      </c>
      <c r="G3531" s="31" t="s">
        <v>23</v>
      </c>
      <c r="H3531" s="31">
        <v>7000000.0</v>
      </c>
      <c r="I3531" s="31" t="s">
        <v>200</v>
      </c>
      <c r="K3531" s="33" t="s">
        <v>10569</v>
      </c>
      <c r="L3531" s="31" t="s">
        <v>252</v>
      </c>
      <c r="M3531" s="31" t="s">
        <v>926</v>
      </c>
      <c r="O3531" s="31" t="s">
        <v>257</v>
      </c>
      <c r="P3531" s="31" t="s">
        <v>258</v>
      </c>
    </row>
    <row r="3532">
      <c r="A3532" s="29">
        <v>45994.75395608797</v>
      </c>
      <c r="B3532" s="30">
        <v>45994.0</v>
      </c>
      <c r="C3532" s="31" t="s">
        <v>10570</v>
      </c>
      <c r="D3532" s="32" t="s">
        <v>10568</v>
      </c>
      <c r="E3532" s="31" t="s">
        <v>199</v>
      </c>
      <c r="F3532" s="31">
        <v>8200000.0</v>
      </c>
      <c r="G3532" s="31" t="s">
        <v>23</v>
      </c>
      <c r="H3532" s="31">
        <v>7000000.0</v>
      </c>
      <c r="I3532" s="31" t="s">
        <v>200</v>
      </c>
      <c r="K3532" s="33" t="s">
        <v>10571</v>
      </c>
      <c r="L3532" s="31" t="s">
        <v>252</v>
      </c>
      <c r="M3532" s="31" t="s">
        <v>926</v>
      </c>
      <c r="O3532" s="31" t="s">
        <v>257</v>
      </c>
      <c r="P3532" s="31" t="s">
        <v>258</v>
      </c>
    </row>
    <row r="3533">
      <c r="A3533" s="29">
        <v>45994.78007144676</v>
      </c>
      <c r="B3533" s="30" t="s">
        <v>10572</v>
      </c>
      <c r="C3533" s="31" t="s">
        <v>10573</v>
      </c>
      <c r="D3533" s="32" t="s">
        <v>10574</v>
      </c>
      <c r="E3533" s="31" t="s">
        <v>31</v>
      </c>
      <c r="F3533" s="31">
        <v>2000000.0</v>
      </c>
      <c r="G3533" s="31" t="s">
        <v>23</v>
      </c>
      <c r="H3533" s="31">
        <v>3000000.0</v>
      </c>
      <c r="I3533" s="31" t="s">
        <v>200</v>
      </c>
      <c r="K3533" s="33" t="s">
        <v>10575</v>
      </c>
      <c r="L3533" s="31" t="s">
        <v>202</v>
      </c>
      <c r="M3533" s="31" t="s">
        <v>5638</v>
      </c>
      <c r="N3533" s="31" t="s">
        <v>215</v>
      </c>
      <c r="W3533" s="31" t="s">
        <v>216</v>
      </c>
    </row>
    <row r="3534">
      <c r="A3534" s="29">
        <v>45994.786237418986</v>
      </c>
      <c r="B3534" s="30">
        <v>45994.0</v>
      </c>
      <c r="C3534" s="31" t="s">
        <v>10576</v>
      </c>
      <c r="D3534" s="32" t="s">
        <v>10577</v>
      </c>
      <c r="E3534" s="31" t="s">
        <v>31</v>
      </c>
      <c r="F3534" s="31">
        <v>1.36E7</v>
      </c>
      <c r="G3534" s="31" t="s">
        <v>23</v>
      </c>
      <c r="I3534" s="31" t="s">
        <v>229</v>
      </c>
      <c r="J3534" s="31" t="s">
        <v>967</v>
      </c>
      <c r="K3534" s="33" t="s">
        <v>10578</v>
      </c>
      <c r="L3534" s="31" t="s">
        <v>202</v>
      </c>
      <c r="N3534" s="31" t="s">
        <v>313</v>
      </c>
      <c r="T3534" s="31" t="s">
        <v>329</v>
      </c>
    </row>
    <row r="3535">
      <c r="A3535" s="29">
        <v>45994.793977361114</v>
      </c>
      <c r="B3535" s="30">
        <v>45994.0</v>
      </c>
      <c r="C3535" s="31" t="s">
        <v>10579</v>
      </c>
      <c r="D3535" s="32" t="s">
        <v>10580</v>
      </c>
      <c r="E3535" s="31" t="s">
        <v>239</v>
      </c>
      <c r="F3535" s="31">
        <v>3700000.0</v>
      </c>
      <c r="G3535" s="31" t="s">
        <v>23</v>
      </c>
      <c r="I3535" s="31" t="s">
        <v>229</v>
      </c>
      <c r="J3535" s="31" t="s">
        <v>967</v>
      </c>
      <c r="K3535" s="33" t="s">
        <v>10581</v>
      </c>
      <c r="L3535" s="31" t="s">
        <v>202</v>
      </c>
      <c r="N3535" s="31" t="s">
        <v>220</v>
      </c>
      <c r="S3535" s="31" t="s">
        <v>90</v>
      </c>
    </row>
    <row r="3536">
      <c r="A3536" s="29">
        <v>45994.80653670139</v>
      </c>
      <c r="B3536" s="30">
        <v>45994.0</v>
      </c>
      <c r="C3536" s="31" t="s">
        <v>10582</v>
      </c>
      <c r="D3536" s="32" t="s">
        <v>10583</v>
      </c>
      <c r="E3536" s="31" t="s">
        <v>43</v>
      </c>
      <c r="F3536" s="31">
        <v>9500000.0</v>
      </c>
      <c r="G3536" s="31" t="s">
        <v>23</v>
      </c>
      <c r="H3536" s="31">
        <v>3000000.0</v>
      </c>
      <c r="I3536" s="31" t="s">
        <v>200</v>
      </c>
      <c r="K3536" s="33" t="s">
        <v>10584</v>
      </c>
      <c r="L3536" s="31" t="s">
        <v>202</v>
      </c>
      <c r="M3536" s="31" t="s">
        <v>203</v>
      </c>
      <c r="N3536" s="31" t="s">
        <v>313</v>
      </c>
      <c r="T3536" s="31" t="s">
        <v>314</v>
      </c>
    </row>
    <row r="3537">
      <c r="A3537" s="29">
        <v>45994.81497853009</v>
      </c>
      <c r="B3537" s="30">
        <v>45994.0</v>
      </c>
      <c r="C3537" s="31" t="s">
        <v>10585</v>
      </c>
      <c r="D3537" s="32" t="s">
        <v>10586</v>
      </c>
      <c r="E3537" s="31" t="s">
        <v>43</v>
      </c>
      <c r="F3537" s="31">
        <v>5000000.0</v>
      </c>
      <c r="G3537" s="31" t="s">
        <v>23</v>
      </c>
      <c r="I3537" s="31" t="s">
        <v>229</v>
      </c>
      <c r="J3537" s="31" t="s">
        <v>967</v>
      </c>
      <c r="K3537" s="33" t="s">
        <v>10587</v>
      </c>
      <c r="L3537" s="31" t="s">
        <v>252</v>
      </c>
      <c r="O3537" s="31" t="s">
        <v>205</v>
      </c>
      <c r="X3537" s="31" t="s">
        <v>9016</v>
      </c>
    </row>
    <row r="3538">
      <c r="A3538" s="29">
        <v>45994.85486556713</v>
      </c>
      <c r="B3538" s="30">
        <v>45994.0</v>
      </c>
      <c r="C3538" s="31" t="s">
        <v>10588</v>
      </c>
      <c r="D3538" s="32" t="s">
        <v>10589</v>
      </c>
      <c r="E3538" s="31" t="s">
        <v>43</v>
      </c>
      <c r="F3538" s="31">
        <v>4000000.0</v>
      </c>
      <c r="G3538" s="31" t="s">
        <v>23</v>
      </c>
      <c r="I3538" s="31" t="s">
        <v>229</v>
      </c>
      <c r="J3538" s="31" t="s">
        <v>967</v>
      </c>
      <c r="K3538" s="33" t="s">
        <v>10590</v>
      </c>
      <c r="L3538" s="31" t="s">
        <v>202</v>
      </c>
      <c r="N3538" s="31" t="s">
        <v>220</v>
      </c>
      <c r="S3538" s="31" t="s">
        <v>536</v>
      </c>
    </row>
    <row r="3539">
      <c r="A3539" s="29">
        <v>45994.85967427083</v>
      </c>
      <c r="B3539" s="30">
        <v>45994.0</v>
      </c>
      <c r="C3539" s="31" t="s">
        <v>10591</v>
      </c>
      <c r="D3539" s="32" t="s">
        <v>10592</v>
      </c>
      <c r="E3539" s="31" t="s">
        <v>43</v>
      </c>
      <c r="F3539" s="31">
        <v>2300000.0</v>
      </c>
      <c r="G3539" s="31" t="s">
        <v>23</v>
      </c>
      <c r="I3539" s="31" t="s">
        <v>229</v>
      </c>
      <c r="J3539" s="31" t="s">
        <v>967</v>
      </c>
      <c r="K3539" s="33" t="s">
        <v>10593</v>
      </c>
      <c r="L3539" s="31" t="s">
        <v>202</v>
      </c>
      <c r="N3539" s="31" t="s">
        <v>204</v>
      </c>
      <c r="R3539" s="31" t="s">
        <v>892</v>
      </c>
    </row>
    <row r="3540">
      <c r="A3540" s="29">
        <v>45994.860435173614</v>
      </c>
      <c r="B3540" s="30">
        <v>45994.0</v>
      </c>
      <c r="C3540" s="31" t="s">
        <v>10594</v>
      </c>
      <c r="D3540" s="32" t="s">
        <v>10595</v>
      </c>
      <c r="E3540" s="31" t="s">
        <v>239</v>
      </c>
      <c r="F3540" s="34">
        <v>6000.0</v>
      </c>
      <c r="G3540" s="31" t="s">
        <v>23</v>
      </c>
      <c r="I3540" s="31" t="s">
        <v>229</v>
      </c>
      <c r="J3540" s="31" t="s">
        <v>967</v>
      </c>
      <c r="K3540" s="33" t="s">
        <v>10596</v>
      </c>
      <c r="L3540" s="31" t="s">
        <v>202</v>
      </c>
      <c r="N3540" s="31" t="s">
        <v>204</v>
      </c>
      <c r="R3540" s="31" t="s">
        <v>167</v>
      </c>
    </row>
    <row r="3541">
      <c r="A3541" s="29">
        <v>45994.866430462964</v>
      </c>
      <c r="B3541" s="30">
        <v>45994.0</v>
      </c>
      <c r="C3541" s="31" t="s">
        <v>10597</v>
      </c>
      <c r="D3541" s="32" t="s">
        <v>10598</v>
      </c>
      <c r="E3541" s="31" t="s">
        <v>156</v>
      </c>
      <c r="F3541" s="31">
        <v>3600000.0</v>
      </c>
      <c r="G3541" s="31" t="s">
        <v>45</v>
      </c>
      <c r="H3541" s="31">
        <v>5000000.0</v>
      </c>
      <c r="I3541" s="31" t="s">
        <v>200</v>
      </c>
      <c r="K3541" s="33" t="s">
        <v>10599</v>
      </c>
      <c r="L3541" s="31" t="s">
        <v>252</v>
      </c>
      <c r="M3541" s="31" t="s">
        <v>203</v>
      </c>
      <c r="O3541" s="31" t="s">
        <v>205</v>
      </c>
      <c r="X3541" s="31" t="s">
        <v>569</v>
      </c>
    </row>
    <row r="3542">
      <c r="A3542" s="29">
        <v>45994.900854548614</v>
      </c>
      <c r="B3542" s="30">
        <v>45994.0</v>
      </c>
      <c r="C3542" s="31" t="s">
        <v>10600</v>
      </c>
      <c r="D3542" s="32" t="s">
        <v>10601</v>
      </c>
      <c r="E3542" s="31" t="s">
        <v>1166</v>
      </c>
      <c r="F3542" s="31">
        <v>1.8E7</v>
      </c>
      <c r="G3542" s="31" t="s">
        <v>23</v>
      </c>
      <c r="H3542" s="31">
        <v>7000000.0</v>
      </c>
      <c r="I3542" s="31" t="s">
        <v>200</v>
      </c>
      <c r="K3542" s="33" t="s">
        <v>10602</v>
      </c>
      <c r="L3542" s="31" t="s">
        <v>202</v>
      </c>
      <c r="M3542" s="31" t="s">
        <v>203</v>
      </c>
      <c r="N3542" s="31" t="s">
        <v>204</v>
      </c>
      <c r="R3542" s="31" t="s">
        <v>5606</v>
      </c>
    </row>
    <row r="3543">
      <c r="A3543" s="29">
        <v>45995.42173383102</v>
      </c>
      <c r="B3543" s="30">
        <v>45995.0</v>
      </c>
      <c r="C3543" s="31" t="s">
        <v>10603</v>
      </c>
      <c r="D3543" s="32" t="s">
        <v>10604</v>
      </c>
      <c r="E3543" s="31" t="s">
        <v>10605</v>
      </c>
      <c r="F3543" s="31">
        <v>6000000.0</v>
      </c>
      <c r="G3543" s="31" t="s">
        <v>23</v>
      </c>
      <c r="I3543" s="31" t="s">
        <v>229</v>
      </c>
      <c r="J3543" s="31" t="s">
        <v>967</v>
      </c>
      <c r="K3543" s="33" t="s">
        <v>10606</v>
      </c>
      <c r="L3543" s="31" t="s">
        <v>202</v>
      </c>
      <c r="N3543" s="31" t="s">
        <v>313</v>
      </c>
      <c r="T3543" s="31" t="s">
        <v>384</v>
      </c>
    </row>
    <row r="3544">
      <c r="A3544" s="29">
        <v>45995.423384340276</v>
      </c>
      <c r="B3544" s="30">
        <v>45995.0</v>
      </c>
      <c r="C3544" s="31" t="s">
        <v>10607</v>
      </c>
      <c r="D3544" s="32" t="s">
        <v>10608</v>
      </c>
      <c r="E3544" s="31" t="s">
        <v>228</v>
      </c>
      <c r="F3544" s="31">
        <v>3000000.0</v>
      </c>
      <c r="G3544" s="31" t="s">
        <v>23</v>
      </c>
      <c r="I3544" s="31" t="s">
        <v>229</v>
      </c>
      <c r="J3544" s="31" t="s">
        <v>967</v>
      </c>
      <c r="K3544" s="33" t="s">
        <v>10609</v>
      </c>
      <c r="L3544" s="31" t="s">
        <v>202</v>
      </c>
      <c r="N3544" s="31" t="s">
        <v>220</v>
      </c>
      <c r="S3544" s="31" t="s">
        <v>5697</v>
      </c>
    </row>
    <row r="3545">
      <c r="A3545" s="29">
        <v>45995.42546540509</v>
      </c>
      <c r="B3545" s="30">
        <v>45995.0</v>
      </c>
      <c r="C3545" s="31" t="s">
        <v>10610</v>
      </c>
      <c r="D3545" s="32" t="s">
        <v>10611</v>
      </c>
      <c r="E3545" s="31" t="s">
        <v>784</v>
      </c>
      <c r="F3545" s="31">
        <v>1.5E7</v>
      </c>
      <c r="G3545" s="31" t="s">
        <v>23</v>
      </c>
      <c r="H3545" s="31">
        <v>3000000.0</v>
      </c>
      <c r="I3545" s="31" t="s">
        <v>200</v>
      </c>
      <c r="K3545" s="33" t="s">
        <v>10612</v>
      </c>
      <c r="L3545" s="31" t="s">
        <v>202</v>
      </c>
      <c r="M3545" s="31" t="s">
        <v>203</v>
      </c>
      <c r="N3545" s="31" t="s">
        <v>500</v>
      </c>
      <c r="V3545" s="31" t="s">
        <v>6597</v>
      </c>
    </row>
    <row r="3546">
      <c r="A3546" s="29">
        <v>45995.461974687496</v>
      </c>
      <c r="B3546" s="30">
        <v>45995.0</v>
      </c>
      <c r="C3546" s="31" t="s">
        <v>10613</v>
      </c>
      <c r="D3546" s="32" t="s">
        <v>9018</v>
      </c>
      <c r="E3546" s="31" t="s">
        <v>43</v>
      </c>
      <c r="F3546" s="31">
        <v>7000000.0</v>
      </c>
      <c r="G3546" s="31" t="s">
        <v>23</v>
      </c>
      <c r="I3546" s="31" t="s">
        <v>229</v>
      </c>
      <c r="J3546" s="31" t="s">
        <v>967</v>
      </c>
      <c r="K3546" s="33" t="s">
        <v>10614</v>
      </c>
      <c r="L3546" s="31" t="s">
        <v>202</v>
      </c>
      <c r="N3546" s="31" t="s">
        <v>313</v>
      </c>
      <c r="T3546" s="31" t="s">
        <v>314</v>
      </c>
    </row>
    <row r="3547">
      <c r="A3547" s="29">
        <v>45995.46906707176</v>
      </c>
      <c r="B3547" s="30">
        <v>45995.0</v>
      </c>
      <c r="C3547" s="31" t="s">
        <v>10615</v>
      </c>
      <c r="D3547" s="32" t="s">
        <v>10616</v>
      </c>
      <c r="E3547" s="31" t="s">
        <v>31</v>
      </c>
      <c r="F3547" s="31">
        <v>5499000.0</v>
      </c>
      <c r="G3547" s="31" t="s">
        <v>23</v>
      </c>
      <c r="H3547" s="31">
        <v>3000000.0</v>
      </c>
      <c r="I3547" s="31" t="s">
        <v>413</v>
      </c>
      <c r="K3547" s="33" t="s">
        <v>10617</v>
      </c>
      <c r="L3547" s="31" t="s">
        <v>202</v>
      </c>
      <c r="M3547" s="31" t="s">
        <v>5638</v>
      </c>
      <c r="N3547" s="31" t="s">
        <v>204</v>
      </c>
      <c r="R3547" s="31" t="s">
        <v>207</v>
      </c>
    </row>
    <row r="3548">
      <c r="A3548" s="29">
        <v>45995.479224062496</v>
      </c>
      <c r="B3548" s="30">
        <v>45995.0</v>
      </c>
      <c r="C3548" s="31" t="s">
        <v>10618</v>
      </c>
      <c r="D3548" s="32" t="s">
        <v>10619</v>
      </c>
      <c r="E3548" s="31" t="s">
        <v>261</v>
      </c>
      <c r="F3548" s="31">
        <v>5000000.0</v>
      </c>
      <c r="G3548" s="31" t="s">
        <v>45</v>
      </c>
      <c r="I3548" s="31" t="s">
        <v>229</v>
      </c>
      <c r="J3548" s="31" t="s">
        <v>967</v>
      </c>
      <c r="K3548" s="33" t="s">
        <v>10620</v>
      </c>
      <c r="L3548" s="31" t="s">
        <v>252</v>
      </c>
      <c r="O3548" s="31" t="s">
        <v>257</v>
      </c>
      <c r="P3548" s="31" t="s">
        <v>285</v>
      </c>
    </row>
    <row r="3549">
      <c r="A3549" s="29">
        <v>45995.48243873843</v>
      </c>
      <c r="B3549" s="30">
        <v>45995.0</v>
      </c>
      <c r="C3549" s="31" t="s">
        <v>10621</v>
      </c>
      <c r="D3549" s="32" t="s">
        <v>10622</v>
      </c>
      <c r="E3549" s="31" t="s">
        <v>43</v>
      </c>
      <c r="F3549" s="31">
        <v>3500000.0</v>
      </c>
      <c r="G3549" s="31" t="s">
        <v>23</v>
      </c>
      <c r="I3549" s="31" t="s">
        <v>229</v>
      </c>
      <c r="J3549" s="31" t="s">
        <v>967</v>
      </c>
      <c r="K3549" s="33" t="s">
        <v>10623</v>
      </c>
      <c r="L3549" s="31" t="s">
        <v>252</v>
      </c>
      <c r="O3549" s="31" t="s">
        <v>205</v>
      </c>
      <c r="X3549" s="31" t="s">
        <v>452</v>
      </c>
    </row>
    <row r="3550">
      <c r="A3550" s="29">
        <v>45995.48673803241</v>
      </c>
      <c r="B3550" s="30">
        <v>45995.0</v>
      </c>
      <c r="C3550" s="31" t="s">
        <v>10624</v>
      </c>
      <c r="D3550" s="32" t="s">
        <v>10625</v>
      </c>
      <c r="E3550" s="31" t="s">
        <v>239</v>
      </c>
      <c r="F3550" s="31">
        <v>3200000.0</v>
      </c>
      <c r="G3550" s="31" t="s">
        <v>23</v>
      </c>
      <c r="H3550" s="31">
        <v>7000000.0</v>
      </c>
      <c r="I3550" s="31" t="s">
        <v>413</v>
      </c>
      <c r="K3550" s="33" t="s">
        <v>10626</v>
      </c>
      <c r="L3550" s="31" t="s">
        <v>202</v>
      </c>
      <c r="M3550" s="31" t="s">
        <v>203</v>
      </c>
      <c r="N3550" s="31" t="s">
        <v>220</v>
      </c>
      <c r="S3550" s="31" t="s">
        <v>90</v>
      </c>
    </row>
    <row r="3551">
      <c r="A3551" s="29">
        <v>45995.49667166667</v>
      </c>
      <c r="B3551" s="30">
        <v>45995.0</v>
      </c>
      <c r="C3551" s="31" t="s">
        <v>10627</v>
      </c>
      <c r="D3551" s="32" t="s">
        <v>10628</v>
      </c>
      <c r="E3551" s="31" t="s">
        <v>43</v>
      </c>
      <c r="F3551" s="31">
        <v>2700000.0</v>
      </c>
      <c r="G3551" s="31" t="s">
        <v>23</v>
      </c>
      <c r="I3551" s="31" t="s">
        <v>229</v>
      </c>
      <c r="J3551" s="31" t="s">
        <v>967</v>
      </c>
      <c r="K3551" s="33" t="s">
        <v>10629</v>
      </c>
      <c r="L3551" s="31" t="s">
        <v>252</v>
      </c>
      <c r="O3551" s="31" t="s">
        <v>257</v>
      </c>
      <c r="P3551" s="31" t="s">
        <v>206</v>
      </c>
    </row>
    <row r="3552">
      <c r="A3552" s="29">
        <v>45995.52410055556</v>
      </c>
      <c r="B3552" s="30">
        <v>45995.0</v>
      </c>
      <c r="C3552" s="31" t="s">
        <v>10630</v>
      </c>
      <c r="D3552" s="32" t="s">
        <v>2373</v>
      </c>
      <c r="E3552" s="31" t="s">
        <v>43</v>
      </c>
      <c r="F3552" s="31">
        <v>9000000.0</v>
      </c>
      <c r="G3552" s="31" t="s">
        <v>23</v>
      </c>
      <c r="I3552" s="31" t="s">
        <v>229</v>
      </c>
      <c r="J3552" s="31" t="s">
        <v>967</v>
      </c>
      <c r="K3552" s="33" t="s">
        <v>10631</v>
      </c>
      <c r="L3552" s="31" t="s">
        <v>202</v>
      </c>
      <c r="N3552" s="31" t="s">
        <v>313</v>
      </c>
      <c r="T3552" s="31" t="s">
        <v>314</v>
      </c>
    </row>
    <row r="3553">
      <c r="A3553" s="29">
        <v>45995.52877949074</v>
      </c>
      <c r="B3553" s="30">
        <v>45995.0</v>
      </c>
      <c r="C3553" s="31" t="s">
        <v>10632</v>
      </c>
      <c r="D3553" s="32" t="s">
        <v>10633</v>
      </c>
      <c r="E3553" s="31" t="s">
        <v>156</v>
      </c>
      <c r="F3553" s="31">
        <v>4000000.0</v>
      </c>
      <c r="G3553" s="31" t="s">
        <v>45</v>
      </c>
      <c r="I3553" s="31" t="s">
        <v>229</v>
      </c>
      <c r="J3553" s="31" t="s">
        <v>967</v>
      </c>
      <c r="K3553" s="33" t="s">
        <v>10634</v>
      </c>
      <c r="L3553" s="31" t="s">
        <v>252</v>
      </c>
      <c r="O3553" s="31" t="s">
        <v>205</v>
      </c>
      <c r="X3553" s="31" t="s">
        <v>569</v>
      </c>
    </row>
    <row r="3554">
      <c r="A3554" s="29">
        <v>45995.54664217593</v>
      </c>
      <c r="B3554" s="30">
        <v>45995.0</v>
      </c>
      <c r="C3554" s="31" t="s">
        <v>10635</v>
      </c>
      <c r="D3554" s="32" t="s">
        <v>10636</v>
      </c>
      <c r="E3554" s="31" t="s">
        <v>43</v>
      </c>
      <c r="F3554" s="31">
        <v>4500000.0</v>
      </c>
      <c r="G3554" s="31" t="s">
        <v>23</v>
      </c>
      <c r="I3554" s="31" t="s">
        <v>229</v>
      </c>
      <c r="J3554" s="31" t="s">
        <v>967</v>
      </c>
      <c r="K3554" s="33" t="s">
        <v>10637</v>
      </c>
      <c r="L3554" s="31" t="s">
        <v>252</v>
      </c>
      <c r="O3554" s="31" t="s">
        <v>205</v>
      </c>
      <c r="X3554" s="31" t="s">
        <v>2335</v>
      </c>
    </row>
    <row r="3555">
      <c r="A3555" s="29">
        <v>45995.55103928241</v>
      </c>
      <c r="B3555" s="30">
        <v>45995.0</v>
      </c>
      <c r="C3555" s="31" t="s">
        <v>10638</v>
      </c>
      <c r="D3555" s="32" t="s">
        <v>10639</v>
      </c>
      <c r="E3555" s="31" t="s">
        <v>43</v>
      </c>
      <c r="F3555" s="31">
        <v>5600000.0</v>
      </c>
      <c r="G3555" s="31" t="s">
        <v>23</v>
      </c>
      <c r="H3555" s="31">
        <v>5000000.0</v>
      </c>
      <c r="I3555" s="31" t="s">
        <v>200</v>
      </c>
      <c r="K3555" s="33" t="s">
        <v>10640</v>
      </c>
      <c r="L3555" s="31" t="s">
        <v>252</v>
      </c>
      <c r="M3555" s="31" t="s">
        <v>203</v>
      </c>
      <c r="O3555" s="31" t="s">
        <v>205</v>
      </c>
      <c r="X3555" s="31" t="s">
        <v>9016</v>
      </c>
    </row>
    <row r="3556">
      <c r="A3556" s="29">
        <v>45995.55121774306</v>
      </c>
      <c r="B3556" s="30">
        <v>45995.0</v>
      </c>
      <c r="C3556" s="31" t="s">
        <v>10641</v>
      </c>
      <c r="D3556" s="31">
        <v>0.0</v>
      </c>
      <c r="E3556" s="31" t="s">
        <v>43</v>
      </c>
      <c r="F3556" s="32" t="s">
        <v>5089</v>
      </c>
      <c r="G3556" s="31" t="s">
        <v>45</v>
      </c>
      <c r="H3556" s="31">
        <v>5000000.0</v>
      </c>
      <c r="I3556" s="31" t="s">
        <v>200</v>
      </c>
      <c r="K3556" s="33" t="s">
        <v>10642</v>
      </c>
      <c r="L3556" s="31" t="s">
        <v>252</v>
      </c>
      <c r="M3556" s="31" t="s">
        <v>203</v>
      </c>
      <c r="O3556" s="31" t="s">
        <v>257</v>
      </c>
      <c r="P3556" s="31" t="s">
        <v>992</v>
      </c>
    </row>
    <row r="3557">
      <c r="A3557" s="29">
        <v>45995.55906042824</v>
      </c>
      <c r="B3557" s="30">
        <v>45995.0</v>
      </c>
      <c r="C3557" s="31" t="s">
        <v>10643</v>
      </c>
      <c r="D3557" s="32" t="s">
        <v>10644</v>
      </c>
      <c r="E3557" s="31" t="s">
        <v>228</v>
      </c>
      <c r="F3557" s="31">
        <v>7000000.0</v>
      </c>
      <c r="G3557" s="31" t="s">
        <v>23</v>
      </c>
      <c r="I3557" s="31" t="s">
        <v>229</v>
      </c>
      <c r="J3557" s="31" t="s">
        <v>967</v>
      </c>
      <c r="K3557" s="33" t="s">
        <v>10645</v>
      </c>
      <c r="L3557" s="31" t="s">
        <v>252</v>
      </c>
      <c r="O3557" s="31" t="s">
        <v>205</v>
      </c>
      <c r="X3557" s="31" t="s">
        <v>1471</v>
      </c>
    </row>
    <row r="3558">
      <c r="A3558" s="29">
        <v>45995.57041645833</v>
      </c>
      <c r="B3558" s="30">
        <v>45995.0</v>
      </c>
      <c r="C3558" s="31" t="s">
        <v>10646</v>
      </c>
      <c r="D3558" s="31" t="s">
        <v>10647</v>
      </c>
      <c r="E3558" s="31" t="s">
        <v>4609</v>
      </c>
      <c r="F3558" s="31">
        <v>3500000.0</v>
      </c>
      <c r="G3558" s="31" t="s">
        <v>45</v>
      </c>
      <c r="H3558" s="31">
        <v>7000000.0</v>
      </c>
      <c r="I3558" s="31" t="s">
        <v>413</v>
      </c>
      <c r="K3558" s="33" t="s">
        <v>10648</v>
      </c>
      <c r="L3558" s="31" t="s">
        <v>202</v>
      </c>
      <c r="M3558" s="31" t="s">
        <v>926</v>
      </c>
      <c r="N3558" s="31" t="s">
        <v>204</v>
      </c>
      <c r="R3558" s="31" t="s">
        <v>360</v>
      </c>
    </row>
    <row r="3559">
      <c r="A3559" s="29">
        <v>45995.570850034725</v>
      </c>
      <c r="B3559" s="30">
        <v>45995.0</v>
      </c>
      <c r="C3559" s="31" t="s">
        <v>10649</v>
      </c>
      <c r="D3559" s="32" t="s">
        <v>4253</v>
      </c>
      <c r="E3559" s="31" t="s">
        <v>43</v>
      </c>
      <c r="F3559" s="31">
        <v>2600000.0</v>
      </c>
      <c r="G3559" s="31" t="s">
        <v>23</v>
      </c>
      <c r="I3559" s="31" t="s">
        <v>229</v>
      </c>
      <c r="J3559" s="31" t="s">
        <v>967</v>
      </c>
      <c r="K3559" s="33" t="s">
        <v>10650</v>
      </c>
      <c r="L3559" s="31" t="s">
        <v>252</v>
      </c>
      <c r="O3559" s="31" t="s">
        <v>257</v>
      </c>
      <c r="P3559" s="31" t="s">
        <v>206</v>
      </c>
    </row>
    <row r="3560">
      <c r="A3560" s="29">
        <v>45995.67058446759</v>
      </c>
      <c r="B3560" s="30">
        <v>45995.0</v>
      </c>
      <c r="C3560" s="31" t="s">
        <v>10651</v>
      </c>
      <c r="D3560" s="32" t="s">
        <v>10652</v>
      </c>
      <c r="E3560" s="31" t="s">
        <v>43</v>
      </c>
      <c r="F3560" s="31">
        <v>3100000.0</v>
      </c>
      <c r="G3560" s="31" t="s">
        <v>45</v>
      </c>
      <c r="H3560" s="31">
        <v>3000000.0</v>
      </c>
      <c r="I3560" s="31" t="s">
        <v>200</v>
      </c>
      <c r="K3560" s="33" t="s">
        <v>10653</v>
      </c>
      <c r="L3560" s="31" t="s">
        <v>252</v>
      </c>
      <c r="M3560" s="31" t="s">
        <v>203</v>
      </c>
      <c r="O3560" s="31" t="s">
        <v>257</v>
      </c>
      <c r="P3560" s="31" t="s">
        <v>3194</v>
      </c>
    </row>
    <row r="3561">
      <c r="A3561" s="29">
        <v>45995.6770218287</v>
      </c>
      <c r="B3561" s="30">
        <v>45995.0</v>
      </c>
      <c r="C3561" s="31" t="s">
        <v>10654</v>
      </c>
      <c r="D3561" s="32" t="s">
        <v>4253</v>
      </c>
      <c r="E3561" s="31" t="s">
        <v>43</v>
      </c>
      <c r="F3561" s="31">
        <v>3200000.0</v>
      </c>
      <c r="G3561" s="31" t="s">
        <v>45</v>
      </c>
      <c r="H3561" s="31">
        <v>3000000.0</v>
      </c>
      <c r="I3561" s="31" t="s">
        <v>200</v>
      </c>
      <c r="K3561" s="33" t="s">
        <v>10655</v>
      </c>
      <c r="L3561" s="31" t="s">
        <v>252</v>
      </c>
      <c r="M3561" s="31" t="s">
        <v>203</v>
      </c>
      <c r="O3561" s="31" t="s">
        <v>257</v>
      </c>
      <c r="P3561" s="31" t="s">
        <v>206</v>
      </c>
    </row>
    <row r="3562">
      <c r="A3562" s="29">
        <v>45995.68611076389</v>
      </c>
      <c r="B3562" s="30">
        <v>45995.0</v>
      </c>
      <c r="C3562" s="31" t="s">
        <v>10656</v>
      </c>
      <c r="D3562" s="32" t="s">
        <v>10657</v>
      </c>
      <c r="E3562" s="31" t="s">
        <v>43</v>
      </c>
      <c r="F3562" s="31">
        <v>9800000.0</v>
      </c>
      <c r="G3562" s="31" t="s">
        <v>23</v>
      </c>
      <c r="H3562" s="31">
        <v>7000000.0</v>
      </c>
      <c r="I3562" s="31" t="s">
        <v>413</v>
      </c>
      <c r="K3562" s="33" t="s">
        <v>10658</v>
      </c>
      <c r="L3562" s="31" t="s">
        <v>202</v>
      </c>
      <c r="M3562" s="31" t="s">
        <v>605</v>
      </c>
      <c r="N3562" s="31" t="s">
        <v>667</v>
      </c>
      <c r="U3562" s="31" t="s">
        <v>668</v>
      </c>
    </row>
    <row r="3563">
      <c r="A3563" s="29">
        <v>45995.713920995375</v>
      </c>
      <c r="B3563" s="30">
        <v>45995.0</v>
      </c>
      <c r="C3563" s="31" t="s">
        <v>10659</v>
      </c>
      <c r="D3563" s="32" t="s">
        <v>10660</v>
      </c>
      <c r="E3563" s="31" t="s">
        <v>43</v>
      </c>
      <c r="F3563" s="31">
        <v>5000000.0</v>
      </c>
      <c r="G3563" s="31" t="s">
        <v>23</v>
      </c>
      <c r="I3563" s="31" t="s">
        <v>229</v>
      </c>
      <c r="J3563" s="31" t="s">
        <v>967</v>
      </c>
      <c r="K3563" s="33" t="s">
        <v>10661</v>
      </c>
      <c r="L3563" s="31" t="s">
        <v>252</v>
      </c>
      <c r="O3563" s="31" t="s">
        <v>205</v>
      </c>
      <c r="X3563" s="31" t="s">
        <v>716</v>
      </c>
    </row>
    <row r="3564">
      <c r="A3564" s="29">
        <v>45995.72087060185</v>
      </c>
      <c r="B3564" s="30">
        <v>45995.0</v>
      </c>
      <c r="C3564" s="31" t="s">
        <v>10662</v>
      </c>
      <c r="D3564" s="32" t="s">
        <v>10663</v>
      </c>
      <c r="E3564" s="31" t="s">
        <v>239</v>
      </c>
      <c r="F3564" s="31">
        <v>1000000.0</v>
      </c>
      <c r="G3564" s="31" t="s">
        <v>23</v>
      </c>
      <c r="H3564" s="31">
        <v>3000000.0</v>
      </c>
      <c r="I3564" s="31" t="s">
        <v>413</v>
      </c>
      <c r="K3564" s="33" t="s">
        <v>10664</v>
      </c>
      <c r="L3564" s="31" t="s">
        <v>202</v>
      </c>
      <c r="M3564" s="31" t="s">
        <v>5638</v>
      </c>
      <c r="N3564" s="31" t="s">
        <v>313</v>
      </c>
      <c r="T3564" s="31" t="s">
        <v>4272</v>
      </c>
    </row>
    <row r="3565">
      <c r="A3565" s="29">
        <v>45995.726824722224</v>
      </c>
      <c r="B3565" s="30">
        <v>45995.0</v>
      </c>
      <c r="C3565" s="31" t="s">
        <v>10665</v>
      </c>
      <c r="D3565" s="32" t="s">
        <v>5772</v>
      </c>
      <c r="E3565" s="31" t="s">
        <v>43</v>
      </c>
      <c r="F3565" s="31">
        <v>9000000.0</v>
      </c>
      <c r="G3565" s="31" t="s">
        <v>23</v>
      </c>
      <c r="I3565" s="31" t="s">
        <v>229</v>
      </c>
      <c r="J3565" s="31" t="s">
        <v>967</v>
      </c>
      <c r="K3565" s="33" t="s">
        <v>10666</v>
      </c>
      <c r="L3565" s="31" t="s">
        <v>202</v>
      </c>
      <c r="N3565" s="31" t="s">
        <v>313</v>
      </c>
      <c r="T3565" s="31" t="s">
        <v>314</v>
      </c>
    </row>
    <row r="3566">
      <c r="A3566" s="29">
        <v>45995.727202442125</v>
      </c>
      <c r="B3566" s="30">
        <v>45995.0</v>
      </c>
      <c r="C3566" s="31" t="s">
        <v>10667</v>
      </c>
      <c r="D3566" s="32" t="s">
        <v>10668</v>
      </c>
      <c r="E3566" s="31" t="s">
        <v>43</v>
      </c>
      <c r="F3566" s="31">
        <v>300000.0</v>
      </c>
      <c r="G3566" s="31" t="s">
        <v>23</v>
      </c>
      <c r="I3566" s="31" t="s">
        <v>229</v>
      </c>
      <c r="J3566" s="31" t="s">
        <v>967</v>
      </c>
      <c r="K3566" s="33" t="s">
        <v>10669</v>
      </c>
      <c r="L3566" s="31" t="s">
        <v>202</v>
      </c>
      <c r="N3566" s="31" t="s">
        <v>220</v>
      </c>
      <c r="S3566" s="31" t="s">
        <v>536</v>
      </c>
    </row>
    <row r="3567">
      <c r="A3567" s="29">
        <v>45995.74778849537</v>
      </c>
      <c r="B3567" s="30" t="s">
        <v>10670</v>
      </c>
      <c r="C3567" s="31" t="s">
        <v>10671</v>
      </c>
      <c r="D3567" s="32" t="s">
        <v>10672</v>
      </c>
      <c r="E3567" s="31" t="s">
        <v>43</v>
      </c>
      <c r="F3567" s="31">
        <v>2500000.0</v>
      </c>
      <c r="G3567" s="31" t="s">
        <v>23</v>
      </c>
      <c r="I3567" s="31" t="s">
        <v>229</v>
      </c>
      <c r="J3567" s="31" t="s">
        <v>967</v>
      </c>
      <c r="K3567" s="33" t="s">
        <v>10673</v>
      </c>
      <c r="L3567" s="31" t="s">
        <v>202</v>
      </c>
      <c r="N3567" s="31" t="s">
        <v>215</v>
      </c>
      <c r="W3567" s="31" t="s">
        <v>216</v>
      </c>
    </row>
    <row r="3568">
      <c r="A3568" s="29">
        <v>45995.75298793981</v>
      </c>
      <c r="B3568" s="30">
        <v>45995.0</v>
      </c>
      <c r="C3568" s="31" t="s">
        <v>10674</v>
      </c>
      <c r="D3568" s="32" t="s">
        <v>1336</v>
      </c>
      <c r="E3568" s="31" t="s">
        <v>228</v>
      </c>
      <c r="F3568" s="31">
        <v>2000000.0</v>
      </c>
      <c r="G3568" s="31" t="s">
        <v>23</v>
      </c>
      <c r="I3568" s="31" t="s">
        <v>229</v>
      </c>
      <c r="J3568" s="31" t="s">
        <v>967</v>
      </c>
      <c r="K3568" s="33" t="s">
        <v>10675</v>
      </c>
      <c r="L3568" s="31" t="s">
        <v>202</v>
      </c>
      <c r="N3568" s="31" t="s">
        <v>204</v>
      </c>
      <c r="R3568" s="31" t="s">
        <v>892</v>
      </c>
    </row>
    <row r="3569">
      <c r="A3569" s="29">
        <v>45995.75777640047</v>
      </c>
      <c r="B3569" s="30">
        <v>45985.0</v>
      </c>
      <c r="C3569" s="31" t="s">
        <v>10676</v>
      </c>
      <c r="D3569" s="32" t="s">
        <v>10677</v>
      </c>
      <c r="E3569" s="31" t="s">
        <v>43</v>
      </c>
      <c r="F3569" s="31">
        <v>1500000.0</v>
      </c>
      <c r="G3569" s="31" t="s">
        <v>45</v>
      </c>
      <c r="I3569" s="31" t="s">
        <v>229</v>
      </c>
      <c r="J3569" s="31" t="s">
        <v>967</v>
      </c>
      <c r="K3569" s="33" t="s">
        <v>10678</v>
      </c>
      <c r="L3569" s="31" t="s">
        <v>202</v>
      </c>
      <c r="N3569" s="31" t="s">
        <v>204</v>
      </c>
      <c r="R3569" s="31" t="s">
        <v>8206</v>
      </c>
    </row>
    <row r="3570">
      <c r="A3570" s="29">
        <v>45995.767660937505</v>
      </c>
      <c r="B3570" s="30">
        <v>45995.0</v>
      </c>
      <c r="C3570" s="31" t="s">
        <v>10679</v>
      </c>
      <c r="D3570" s="32" t="s">
        <v>10680</v>
      </c>
      <c r="E3570" s="31" t="s">
        <v>31</v>
      </c>
      <c r="F3570" s="31">
        <v>6700000.0</v>
      </c>
      <c r="G3570" s="31" t="s">
        <v>23</v>
      </c>
      <c r="H3570" s="31">
        <v>5000000.0</v>
      </c>
      <c r="I3570" s="31" t="s">
        <v>200</v>
      </c>
      <c r="K3570" s="33" t="s">
        <v>10681</v>
      </c>
      <c r="L3570" s="31" t="s">
        <v>202</v>
      </c>
      <c r="M3570" s="31" t="s">
        <v>203</v>
      </c>
      <c r="N3570" s="31" t="s">
        <v>204</v>
      </c>
      <c r="R3570" s="31" t="s">
        <v>207</v>
      </c>
    </row>
    <row r="3571">
      <c r="A3571" s="29">
        <v>45995.77629425926</v>
      </c>
      <c r="B3571" s="30">
        <v>45995.0</v>
      </c>
      <c r="C3571" s="31" t="s">
        <v>10682</v>
      </c>
      <c r="D3571" s="32" t="s">
        <v>10683</v>
      </c>
      <c r="E3571" s="31" t="s">
        <v>43</v>
      </c>
      <c r="F3571" s="31">
        <v>3100000.0</v>
      </c>
      <c r="G3571" s="31" t="s">
        <v>23</v>
      </c>
      <c r="I3571" s="31" t="s">
        <v>229</v>
      </c>
      <c r="J3571" s="31" t="s">
        <v>967</v>
      </c>
      <c r="K3571" s="33" t="s">
        <v>10684</v>
      </c>
      <c r="L3571" s="31" t="s">
        <v>252</v>
      </c>
      <c r="O3571" s="31" t="s">
        <v>257</v>
      </c>
      <c r="P3571" s="31" t="s">
        <v>3194</v>
      </c>
    </row>
    <row r="3572">
      <c r="A3572" s="29">
        <v>45995.78177943287</v>
      </c>
      <c r="B3572" s="30">
        <v>45965.0</v>
      </c>
      <c r="C3572" s="31" t="s">
        <v>10685</v>
      </c>
      <c r="D3572" s="32" t="s">
        <v>10686</v>
      </c>
      <c r="E3572" s="31" t="s">
        <v>43</v>
      </c>
      <c r="F3572" s="31">
        <v>2500000.0</v>
      </c>
      <c r="G3572" s="31" t="s">
        <v>23</v>
      </c>
      <c r="I3572" s="31" t="s">
        <v>229</v>
      </c>
      <c r="J3572" s="31" t="s">
        <v>967</v>
      </c>
      <c r="K3572" s="33" t="s">
        <v>10687</v>
      </c>
      <c r="L3572" s="31" t="s">
        <v>202</v>
      </c>
      <c r="N3572" s="31" t="s">
        <v>204</v>
      </c>
      <c r="R3572" s="31" t="s">
        <v>5256</v>
      </c>
    </row>
    <row r="3573">
      <c r="A3573" s="29">
        <v>45995.78575862269</v>
      </c>
      <c r="B3573" s="30">
        <v>45995.0</v>
      </c>
      <c r="C3573" s="31" t="s">
        <v>10688</v>
      </c>
      <c r="D3573" s="32" t="s">
        <v>10689</v>
      </c>
      <c r="E3573" s="31" t="s">
        <v>199</v>
      </c>
      <c r="F3573" s="31">
        <v>5200000.0</v>
      </c>
      <c r="G3573" s="31" t="s">
        <v>45</v>
      </c>
      <c r="H3573" s="31">
        <v>3000000.0</v>
      </c>
      <c r="I3573" s="31" t="s">
        <v>200</v>
      </c>
      <c r="K3573" s="33" t="s">
        <v>10690</v>
      </c>
      <c r="L3573" s="31" t="s">
        <v>252</v>
      </c>
      <c r="M3573" s="31" t="s">
        <v>203</v>
      </c>
      <c r="O3573" s="31" t="s">
        <v>205</v>
      </c>
      <c r="X3573" s="31" t="s">
        <v>2335</v>
      </c>
    </row>
    <row r="3574">
      <c r="A3574" s="29">
        <v>45995.80474835648</v>
      </c>
      <c r="B3574" s="30">
        <v>45995.0</v>
      </c>
      <c r="C3574" s="31" t="s">
        <v>10691</v>
      </c>
      <c r="D3574" s="32" t="s">
        <v>10692</v>
      </c>
      <c r="E3574" s="31" t="s">
        <v>156</v>
      </c>
      <c r="F3574" s="31">
        <v>3400000.0</v>
      </c>
      <c r="G3574" s="31" t="s">
        <v>45</v>
      </c>
      <c r="H3574" s="31">
        <v>5000000.0</v>
      </c>
      <c r="I3574" s="31" t="s">
        <v>200</v>
      </c>
      <c r="K3574" s="33" t="s">
        <v>10693</v>
      </c>
      <c r="L3574" s="31" t="s">
        <v>252</v>
      </c>
      <c r="M3574" s="31" t="s">
        <v>926</v>
      </c>
      <c r="O3574" s="31" t="s">
        <v>205</v>
      </c>
      <c r="X3574" s="31" t="s">
        <v>569</v>
      </c>
    </row>
    <row r="3575">
      <c r="A3575" s="29">
        <v>45995.818189328704</v>
      </c>
      <c r="B3575" s="30">
        <v>45995.0</v>
      </c>
      <c r="C3575" s="31" t="s">
        <v>10694</v>
      </c>
      <c r="D3575" s="32" t="s">
        <v>10695</v>
      </c>
      <c r="E3575" s="31" t="s">
        <v>43</v>
      </c>
      <c r="F3575" s="31">
        <v>3600000.0</v>
      </c>
      <c r="G3575" s="31" t="s">
        <v>23</v>
      </c>
      <c r="H3575" s="31">
        <v>3000000.0</v>
      </c>
      <c r="I3575" s="31" t="s">
        <v>200</v>
      </c>
      <c r="K3575" s="33" t="s">
        <v>10696</v>
      </c>
      <c r="L3575" s="31" t="s">
        <v>252</v>
      </c>
      <c r="M3575" s="31" t="s">
        <v>203</v>
      </c>
      <c r="O3575" s="31" t="s">
        <v>257</v>
      </c>
      <c r="P3575" s="31" t="s">
        <v>2453</v>
      </c>
    </row>
    <row r="3576">
      <c r="A3576" s="29">
        <v>45995.83189736111</v>
      </c>
      <c r="B3576" s="30">
        <v>45995.0</v>
      </c>
      <c r="C3576" s="31" t="s">
        <v>10697</v>
      </c>
      <c r="D3576" s="32" t="s">
        <v>10698</v>
      </c>
      <c r="E3576" s="31" t="s">
        <v>43</v>
      </c>
      <c r="F3576" s="31">
        <v>3000000.0</v>
      </c>
      <c r="G3576" s="31" t="s">
        <v>23</v>
      </c>
      <c r="I3576" s="31" t="s">
        <v>229</v>
      </c>
      <c r="J3576" s="31" t="s">
        <v>967</v>
      </c>
      <c r="K3576" s="33" t="s">
        <v>10699</v>
      </c>
      <c r="L3576" s="31" t="s">
        <v>252</v>
      </c>
      <c r="O3576" s="31" t="s">
        <v>205</v>
      </c>
      <c r="X3576" s="31" t="s">
        <v>452</v>
      </c>
    </row>
    <row r="3577">
      <c r="A3577" s="29">
        <v>45995.83743915509</v>
      </c>
      <c r="B3577" s="30">
        <v>45995.0</v>
      </c>
      <c r="C3577" s="31" t="s">
        <v>10700</v>
      </c>
      <c r="D3577" s="32" t="s">
        <v>10701</v>
      </c>
      <c r="E3577" s="31" t="s">
        <v>43</v>
      </c>
      <c r="F3577" s="31">
        <v>4700000.0</v>
      </c>
      <c r="G3577" s="31" t="s">
        <v>23</v>
      </c>
      <c r="I3577" s="31" t="s">
        <v>229</v>
      </c>
      <c r="J3577" s="31" t="s">
        <v>967</v>
      </c>
      <c r="K3577" s="33" t="s">
        <v>10702</v>
      </c>
      <c r="L3577" s="31" t="s">
        <v>252</v>
      </c>
      <c r="O3577" s="31" t="s">
        <v>205</v>
      </c>
      <c r="X3577" s="31" t="s">
        <v>2335</v>
      </c>
    </row>
    <row r="3578">
      <c r="A3578" s="29">
        <v>45995.870348553246</v>
      </c>
      <c r="B3578" s="30">
        <v>45995.0</v>
      </c>
      <c r="C3578" s="31" t="s">
        <v>10703</v>
      </c>
      <c r="D3578" s="32" t="s">
        <v>9983</v>
      </c>
      <c r="E3578" s="31" t="s">
        <v>31</v>
      </c>
      <c r="F3578" s="31">
        <v>4000000.0</v>
      </c>
      <c r="G3578" s="31" t="s">
        <v>23</v>
      </c>
      <c r="I3578" s="31" t="s">
        <v>229</v>
      </c>
      <c r="J3578" s="31" t="s">
        <v>498</v>
      </c>
      <c r="K3578" s="33" t="s">
        <v>10704</v>
      </c>
      <c r="L3578" s="31" t="s">
        <v>202</v>
      </c>
      <c r="N3578" s="31" t="s">
        <v>500</v>
      </c>
      <c r="V3578" s="31" t="s">
        <v>501</v>
      </c>
    </row>
    <row r="3579">
      <c r="A3579" s="29">
        <v>45995.87105149306</v>
      </c>
      <c r="B3579" s="30">
        <v>45995.0</v>
      </c>
      <c r="C3579" s="31" t="s">
        <v>10705</v>
      </c>
      <c r="D3579" s="32" t="s">
        <v>10706</v>
      </c>
      <c r="E3579" s="31" t="s">
        <v>31</v>
      </c>
      <c r="F3579" s="31">
        <v>3500000.0</v>
      </c>
      <c r="G3579" s="31" t="s">
        <v>23</v>
      </c>
      <c r="I3579" s="31" t="s">
        <v>229</v>
      </c>
      <c r="J3579" s="31" t="s">
        <v>967</v>
      </c>
      <c r="K3579" s="33" t="s">
        <v>10707</v>
      </c>
      <c r="L3579" s="31" t="s">
        <v>202</v>
      </c>
      <c r="N3579" s="31" t="s">
        <v>204</v>
      </c>
      <c r="R3579" s="31" t="s">
        <v>148</v>
      </c>
    </row>
    <row r="3580">
      <c r="A3580" s="29">
        <v>45995.88263393518</v>
      </c>
      <c r="B3580" s="30">
        <v>45995.0</v>
      </c>
      <c r="C3580" s="31" t="s">
        <v>10708</v>
      </c>
      <c r="D3580" s="32" t="s">
        <v>10709</v>
      </c>
      <c r="E3580" s="31" t="s">
        <v>43</v>
      </c>
      <c r="F3580" s="31">
        <v>2000000.0</v>
      </c>
      <c r="G3580" s="31" t="s">
        <v>23</v>
      </c>
      <c r="H3580" s="31">
        <v>3000000.0</v>
      </c>
      <c r="I3580" s="31" t="s">
        <v>200</v>
      </c>
      <c r="K3580" s="33" t="s">
        <v>10710</v>
      </c>
      <c r="L3580" s="31" t="s">
        <v>252</v>
      </c>
      <c r="M3580" s="31" t="s">
        <v>926</v>
      </c>
      <c r="O3580" s="31" t="s">
        <v>205</v>
      </c>
      <c r="X3580" s="31" t="s">
        <v>549</v>
      </c>
    </row>
    <row r="3581">
      <c r="A3581" s="29">
        <v>45995.912959699075</v>
      </c>
      <c r="B3581" s="30">
        <v>45995.0</v>
      </c>
      <c r="C3581" s="31" t="s">
        <v>10711</v>
      </c>
      <c r="D3581" s="32" t="s">
        <v>10712</v>
      </c>
      <c r="E3581" s="31" t="s">
        <v>43</v>
      </c>
      <c r="F3581" s="31">
        <v>4000000.0</v>
      </c>
      <c r="G3581" s="31" t="s">
        <v>23</v>
      </c>
      <c r="I3581" s="31" t="s">
        <v>229</v>
      </c>
      <c r="J3581" s="31" t="s">
        <v>967</v>
      </c>
      <c r="K3581" s="33" t="s">
        <v>10713</v>
      </c>
      <c r="L3581" s="31" t="s">
        <v>202</v>
      </c>
      <c r="N3581" s="31" t="s">
        <v>220</v>
      </c>
      <c r="S3581" s="31" t="s">
        <v>466</v>
      </c>
    </row>
    <row r="3582">
      <c r="A3582" s="29">
        <v>45995.9229962963</v>
      </c>
      <c r="B3582" s="30">
        <v>45995.0</v>
      </c>
      <c r="C3582" s="31" t="s">
        <v>10714</v>
      </c>
      <c r="D3582" s="31" t="s">
        <v>10715</v>
      </c>
      <c r="E3582" s="31" t="s">
        <v>228</v>
      </c>
      <c r="F3582" s="31">
        <v>2500000.0</v>
      </c>
      <c r="G3582" s="31" t="s">
        <v>23</v>
      </c>
      <c r="H3582" s="31">
        <v>1600000.0</v>
      </c>
      <c r="I3582" s="31" t="s">
        <v>200</v>
      </c>
      <c r="K3582" s="33" t="s">
        <v>10716</v>
      </c>
      <c r="L3582" s="31" t="s">
        <v>202</v>
      </c>
      <c r="M3582" s="31" t="s">
        <v>5638</v>
      </c>
      <c r="N3582" s="31" t="s">
        <v>204</v>
      </c>
      <c r="R3582" s="31" t="s">
        <v>360</v>
      </c>
    </row>
    <row r="3583">
      <c r="A3583" s="29">
        <v>45996.41722611111</v>
      </c>
      <c r="B3583" s="30">
        <v>45996.0</v>
      </c>
      <c r="C3583" s="31" t="s">
        <v>10717</v>
      </c>
      <c r="D3583" s="32" t="s">
        <v>10718</v>
      </c>
      <c r="E3583" s="31" t="s">
        <v>43</v>
      </c>
      <c r="F3583" s="31">
        <v>3000000.0</v>
      </c>
      <c r="G3583" s="31" t="s">
        <v>45</v>
      </c>
      <c r="I3583" s="31" t="s">
        <v>229</v>
      </c>
      <c r="J3583" s="31" t="s">
        <v>967</v>
      </c>
      <c r="K3583" s="33" t="s">
        <v>10719</v>
      </c>
      <c r="L3583" s="31" t="s">
        <v>252</v>
      </c>
      <c r="O3583" s="31" t="s">
        <v>257</v>
      </c>
      <c r="P3583" s="31" t="s">
        <v>1555</v>
      </c>
    </row>
    <row r="3584">
      <c r="A3584" s="29">
        <v>45996.46672677083</v>
      </c>
      <c r="B3584" s="30">
        <v>45996.0</v>
      </c>
      <c r="C3584" s="31" t="s">
        <v>10720</v>
      </c>
      <c r="D3584" s="32" t="s">
        <v>10721</v>
      </c>
      <c r="E3584" s="31" t="s">
        <v>2902</v>
      </c>
      <c r="F3584" s="31">
        <v>4400000.0</v>
      </c>
      <c r="G3584" s="31" t="s">
        <v>23</v>
      </c>
      <c r="I3584" s="31" t="s">
        <v>229</v>
      </c>
      <c r="J3584" s="31" t="s">
        <v>10722</v>
      </c>
      <c r="K3584" s="33" t="s">
        <v>10723</v>
      </c>
      <c r="L3584" s="31" t="s">
        <v>202</v>
      </c>
      <c r="N3584" s="31" t="s">
        <v>220</v>
      </c>
      <c r="S3584" s="31" t="s">
        <v>36</v>
      </c>
    </row>
    <row r="3585">
      <c r="A3585" s="29">
        <v>45996.470802905096</v>
      </c>
      <c r="B3585" s="30">
        <v>45996.0</v>
      </c>
      <c r="C3585" s="31" t="s">
        <v>10724</v>
      </c>
      <c r="D3585" s="32" t="s">
        <v>10725</v>
      </c>
      <c r="E3585" s="31" t="s">
        <v>199</v>
      </c>
      <c r="F3585" s="31">
        <v>5499000.0</v>
      </c>
      <c r="G3585" s="31" t="s">
        <v>23</v>
      </c>
      <c r="I3585" s="31" t="s">
        <v>229</v>
      </c>
      <c r="J3585" s="31" t="s">
        <v>967</v>
      </c>
      <c r="K3585" s="33" t="s">
        <v>10726</v>
      </c>
      <c r="L3585" s="31" t="s">
        <v>202</v>
      </c>
      <c r="N3585" s="31" t="s">
        <v>204</v>
      </c>
      <c r="R3585" s="31" t="s">
        <v>207</v>
      </c>
    </row>
    <row r="3586">
      <c r="A3586" s="29">
        <v>45996.5136325</v>
      </c>
      <c r="B3586" s="30">
        <v>45996.0</v>
      </c>
      <c r="C3586" s="31" t="s">
        <v>10727</v>
      </c>
      <c r="D3586" s="32" t="s">
        <v>3714</v>
      </c>
      <c r="E3586" s="31" t="s">
        <v>228</v>
      </c>
      <c r="F3586" s="31">
        <v>2000000.0</v>
      </c>
      <c r="G3586" s="31" t="s">
        <v>23</v>
      </c>
      <c r="H3586" s="31">
        <v>3000000.0</v>
      </c>
      <c r="I3586" s="31" t="s">
        <v>200</v>
      </c>
      <c r="K3586" s="33" t="s">
        <v>10728</v>
      </c>
      <c r="L3586" s="31" t="s">
        <v>202</v>
      </c>
      <c r="M3586" s="31" t="s">
        <v>5638</v>
      </c>
      <c r="N3586" s="31" t="s">
        <v>215</v>
      </c>
      <c r="W3586" s="31" t="s">
        <v>532</v>
      </c>
    </row>
    <row r="3587">
      <c r="A3587" s="29">
        <v>45996.52655850694</v>
      </c>
      <c r="B3587" s="30">
        <v>45996.0</v>
      </c>
      <c r="C3587" s="31" t="s">
        <v>10729</v>
      </c>
      <c r="D3587" s="32" t="s">
        <v>10730</v>
      </c>
      <c r="E3587" s="31" t="s">
        <v>43</v>
      </c>
      <c r="F3587" s="31">
        <v>5000000.0</v>
      </c>
      <c r="G3587" s="31" t="s">
        <v>23</v>
      </c>
      <c r="I3587" s="31" t="s">
        <v>229</v>
      </c>
      <c r="J3587" s="31" t="s">
        <v>967</v>
      </c>
      <c r="K3587" s="33" t="s">
        <v>10731</v>
      </c>
      <c r="L3587" s="31" t="s">
        <v>252</v>
      </c>
      <c r="O3587" s="31" t="s">
        <v>205</v>
      </c>
      <c r="X3587" s="31" t="s">
        <v>9016</v>
      </c>
    </row>
    <row r="3588">
      <c r="A3588" s="29">
        <v>45996.527492546295</v>
      </c>
      <c r="B3588" s="30">
        <v>45996.0</v>
      </c>
      <c r="C3588" s="31" t="s">
        <v>10732</v>
      </c>
      <c r="D3588" s="32" t="s">
        <v>10733</v>
      </c>
      <c r="E3588" s="31" t="s">
        <v>43</v>
      </c>
      <c r="F3588" s="31">
        <v>3000000.0</v>
      </c>
      <c r="G3588" s="31" t="s">
        <v>23</v>
      </c>
      <c r="I3588" s="31" t="s">
        <v>229</v>
      </c>
      <c r="J3588" s="31" t="s">
        <v>967</v>
      </c>
      <c r="K3588" s="33" t="s">
        <v>10734</v>
      </c>
      <c r="L3588" s="31" t="s">
        <v>202</v>
      </c>
      <c r="N3588" s="31" t="s">
        <v>215</v>
      </c>
      <c r="W3588" s="31" t="s">
        <v>389</v>
      </c>
    </row>
    <row r="3589">
      <c r="A3589" s="29">
        <v>45996.53171766204</v>
      </c>
      <c r="B3589" s="30">
        <v>45996.0</v>
      </c>
      <c r="C3589" s="31" t="s">
        <v>10735</v>
      </c>
      <c r="D3589" s="32" t="s">
        <v>10736</v>
      </c>
      <c r="E3589" s="31" t="s">
        <v>43</v>
      </c>
      <c r="F3589" s="31">
        <v>3400000.0</v>
      </c>
      <c r="G3589" s="31" t="s">
        <v>23</v>
      </c>
      <c r="H3589" s="31">
        <v>3000000.0</v>
      </c>
      <c r="I3589" s="31" t="s">
        <v>200</v>
      </c>
      <c r="K3589" s="33" t="s">
        <v>10737</v>
      </c>
      <c r="L3589" s="31" t="s">
        <v>202</v>
      </c>
      <c r="M3589" s="31" t="s">
        <v>5638</v>
      </c>
      <c r="N3589" s="31" t="s">
        <v>667</v>
      </c>
      <c r="U3589" s="31" t="s">
        <v>3950</v>
      </c>
    </row>
    <row r="3590">
      <c r="A3590" s="29">
        <v>45996.53550304398</v>
      </c>
      <c r="B3590" s="30">
        <v>45996.0</v>
      </c>
      <c r="C3590" s="31" t="s">
        <v>10738</v>
      </c>
      <c r="D3590" s="32" t="s">
        <v>10739</v>
      </c>
      <c r="E3590" s="31" t="s">
        <v>10740</v>
      </c>
      <c r="F3590" s="31">
        <v>6.0E7</v>
      </c>
      <c r="G3590" s="31" t="s">
        <v>23</v>
      </c>
      <c r="I3590" s="31" t="s">
        <v>229</v>
      </c>
      <c r="J3590" s="31" t="s">
        <v>967</v>
      </c>
      <c r="K3590" s="33" t="s">
        <v>10741</v>
      </c>
      <c r="L3590" s="31" t="s">
        <v>202</v>
      </c>
      <c r="N3590" s="31" t="s">
        <v>313</v>
      </c>
      <c r="T3590" s="31" t="s">
        <v>384</v>
      </c>
    </row>
    <row r="3591">
      <c r="A3591" s="29">
        <v>45996.537057106485</v>
      </c>
      <c r="B3591" s="30">
        <v>45996.0</v>
      </c>
      <c r="C3591" s="31" t="s">
        <v>10742</v>
      </c>
      <c r="D3591" s="32" t="s">
        <v>10743</v>
      </c>
      <c r="E3591" s="31" t="s">
        <v>10744</v>
      </c>
      <c r="F3591" s="31">
        <v>5000000.0</v>
      </c>
      <c r="G3591" s="31" t="s">
        <v>23</v>
      </c>
      <c r="I3591" s="31" t="s">
        <v>229</v>
      </c>
      <c r="J3591" s="31" t="s">
        <v>967</v>
      </c>
      <c r="K3591" s="33" t="s">
        <v>10745</v>
      </c>
      <c r="L3591" s="31" t="s">
        <v>202</v>
      </c>
      <c r="N3591" s="31" t="s">
        <v>313</v>
      </c>
      <c r="T3591" s="31" t="s">
        <v>384</v>
      </c>
    </row>
    <row r="3592">
      <c r="A3592" s="29">
        <v>45996.539250104164</v>
      </c>
      <c r="B3592" s="30">
        <v>45996.0</v>
      </c>
      <c r="C3592" s="31" t="s">
        <v>4524</v>
      </c>
      <c r="D3592" s="32" t="s">
        <v>4525</v>
      </c>
      <c r="E3592" s="31" t="s">
        <v>43</v>
      </c>
      <c r="F3592" s="31">
        <v>3000000.0</v>
      </c>
      <c r="G3592" s="31" t="s">
        <v>23</v>
      </c>
      <c r="H3592" s="31">
        <v>3000000.0</v>
      </c>
      <c r="I3592" s="31" t="s">
        <v>200</v>
      </c>
      <c r="K3592" s="33" t="s">
        <v>10746</v>
      </c>
      <c r="L3592" s="31" t="s">
        <v>252</v>
      </c>
      <c r="M3592" s="31" t="s">
        <v>203</v>
      </c>
      <c r="O3592" s="31" t="s">
        <v>205</v>
      </c>
      <c r="X3592" s="31" t="s">
        <v>452</v>
      </c>
    </row>
    <row r="3593">
      <c r="A3593" s="29">
        <v>45996.54023824074</v>
      </c>
      <c r="B3593" s="30">
        <v>45996.0</v>
      </c>
      <c r="C3593" s="31" t="s">
        <v>10747</v>
      </c>
      <c r="D3593" s="32" t="s">
        <v>10748</v>
      </c>
      <c r="E3593" s="31" t="s">
        <v>10749</v>
      </c>
      <c r="F3593" s="31">
        <v>6000000.0</v>
      </c>
      <c r="G3593" s="31" t="s">
        <v>23</v>
      </c>
      <c r="I3593" s="31" t="s">
        <v>229</v>
      </c>
      <c r="J3593" s="31" t="s">
        <v>967</v>
      </c>
      <c r="K3593" s="33" t="s">
        <v>10750</v>
      </c>
      <c r="L3593" s="31" t="s">
        <v>202</v>
      </c>
      <c r="N3593" s="31" t="s">
        <v>313</v>
      </c>
      <c r="T3593" s="31" t="s">
        <v>384</v>
      </c>
    </row>
    <row r="3594">
      <c r="A3594" s="29">
        <v>45996.54125711806</v>
      </c>
      <c r="B3594" s="30">
        <v>45996.0</v>
      </c>
      <c r="C3594" s="31" t="s">
        <v>10751</v>
      </c>
      <c r="D3594" s="32" t="s">
        <v>10752</v>
      </c>
      <c r="E3594" s="31" t="s">
        <v>239</v>
      </c>
      <c r="F3594" s="31">
        <v>6000000.0</v>
      </c>
      <c r="G3594" s="31" t="s">
        <v>45</v>
      </c>
      <c r="I3594" s="31" t="s">
        <v>229</v>
      </c>
      <c r="J3594" s="31" t="s">
        <v>967</v>
      </c>
      <c r="K3594" s="33" t="s">
        <v>10753</v>
      </c>
      <c r="L3594" s="31" t="s">
        <v>252</v>
      </c>
      <c r="O3594" s="31" t="s">
        <v>257</v>
      </c>
      <c r="P3594" s="31" t="s">
        <v>285</v>
      </c>
    </row>
    <row r="3595">
      <c r="A3595" s="29">
        <v>45996.541924386576</v>
      </c>
      <c r="B3595" s="30">
        <v>45996.0</v>
      </c>
      <c r="C3595" s="31" t="s">
        <v>10754</v>
      </c>
      <c r="D3595" s="32" t="s">
        <v>10755</v>
      </c>
      <c r="E3595" s="31" t="s">
        <v>31</v>
      </c>
      <c r="F3595" s="31">
        <v>5000000.0</v>
      </c>
      <c r="G3595" s="31" t="s">
        <v>23</v>
      </c>
      <c r="I3595" s="31" t="s">
        <v>229</v>
      </c>
      <c r="J3595" s="31" t="s">
        <v>967</v>
      </c>
      <c r="K3595" s="33" t="s">
        <v>10756</v>
      </c>
      <c r="L3595" s="31" t="s">
        <v>252</v>
      </c>
      <c r="O3595" s="31" t="s">
        <v>205</v>
      </c>
      <c r="X3595" s="31" t="s">
        <v>2335</v>
      </c>
    </row>
    <row r="3596">
      <c r="A3596" s="29">
        <v>45996.54374988426</v>
      </c>
      <c r="B3596" s="30">
        <v>45996.0</v>
      </c>
      <c r="C3596" s="31" t="s">
        <v>10757</v>
      </c>
      <c r="D3596" s="32" t="s">
        <v>10758</v>
      </c>
      <c r="E3596" s="31" t="s">
        <v>199</v>
      </c>
      <c r="F3596" s="31">
        <v>6200000.0</v>
      </c>
      <c r="G3596" s="31" t="s">
        <v>23</v>
      </c>
      <c r="H3596" s="31">
        <v>3000000.0</v>
      </c>
      <c r="I3596" s="31" t="s">
        <v>200</v>
      </c>
      <c r="K3596" s="33" t="s">
        <v>10759</v>
      </c>
      <c r="L3596" s="31" t="s">
        <v>202</v>
      </c>
      <c r="M3596" s="31" t="s">
        <v>5638</v>
      </c>
      <c r="N3596" s="31" t="s">
        <v>667</v>
      </c>
      <c r="U3596" s="31" t="s">
        <v>3950</v>
      </c>
    </row>
    <row r="3597">
      <c r="A3597" s="29">
        <v>45996.58260175926</v>
      </c>
      <c r="B3597" s="30">
        <v>45996.0</v>
      </c>
      <c r="C3597" s="31" t="s">
        <v>10760</v>
      </c>
      <c r="D3597" s="32" t="s">
        <v>10761</v>
      </c>
      <c r="E3597" s="31" t="s">
        <v>31</v>
      </c>
      <c r="F3597" s="31">
        <v>1.23E7</v>
      </c>
      <c r="G3597" s="31" t="s">
        <v>23</v>
      </c>
      <c r="I3597" s="31" t="s">
        <v>229</v>
      </c>
      <c r="J3597" s="31" t="s">
        <v>967</v>
      </c>
      <c r="K3597" s="33" t="s">
        <v>10762</v>
      </c>
      <c r="L3597" s="31" t="s">
        <v>202</v>
      </c>
      <c r="N3597" s="31" t="s">
        <v>313</v>
      </c>
      <c r="T3597" s="31" t="s">
        <v>329</v>
      </c>
    </row>
    <row r="3598">
      <c r="A3598" s="29">
        <v>45996.61163494213</v>
      </c>
      <c r="B3598" s="30">
        <v>45996.0</v>
      </c>
      <c r="C3598" s="31" t="s">
        <v>10763</v>
      </c>
      <c r="D3598" s="32" t="s">
        <v>10764</v>
      </c>
      <c r="E3598" s="31" t="s">
        <v>43</v>
      </c>
      <c r="F3598" s="31">
        <v>3200000.0</v>
      </c>
      <c r="G3598" s="31" t="s">
        <v>23</v>
      </c>
      <c r="I3598" s="31" t="s">
        <v>229</v>
      </c>
      <c r="J3598" s="31" t="s">
        <v>967</v>
      </c>
      <c r="K3598" s="33" t="s">
        <v>10765</v>
      </c>
      <c r="L3598" s="31" t="s">
        <v>252</v>
      </c>
      <c r="O3598" s="31" t="s">
        <v>257</v>
      </c>
      <c r="P3598" s="31" t="s">
        <v>3194</v>
      </c>
    </row>
    <row r="3599">
      <c r="A3599" s="29">
        <v>45996.61397839121</v>
      </c>
      <c r="B3599" s="30">
        <v>45996.0</v>
      </c>
      <c r="C3599" s="31" t="s">
        <v>10763</v>
      </c>
      <c r="D3599" s="32" t="s">
        <v>10764</v>
      </c>
      <c r="E3599" s="31" t="s">
        <v>43</v>
      </c>
      <c r="F3599" s="31">
        <v>3200000.0</v>
      </c>
      <c r="G3599" s="31" t="s">
        <v>23</v>
      </c>
      <c r="I3599" s="31" t="s">
        <v>229</v>
      </c>
      <c r="J3599" s="31" t="s">
        <v>967</v>
      </c>
      <c r="K3599" s="33" t="s">
        <v>10766</v>
      </c>
      <c r="L3599" s="31" t="s">
        <v>252</v>
      </c>
      <c r="O3599" s="31" t="s">
        <v>257</v>
      </c>
      <c r="P3599" s="31" t="s">
        <v>3194</v>
      </c>
    </row>
    <row r="3600">
      <c r="A3600" s="29">
        <v>45996.64542973379</v>
      </c>
      <c r="B3600" s="30">
        <v>45996.0</v>
      </c>
      <c r="C3600" s="31" t="s">
        <v>10767</v>
      </c>
      <c r="D3600" s="32" t="s">
        <v>10768</v>
      </c>
      <c r="E3600" s="31" t="s">
        <v>228</v>
      </c>
      <c r="F3600" s="31">
        <v>3400000.0</v>
      </c>
      <c r="G3600" s="31" t="s">
        <v>23</v>
      </c>
      <c r="H3600" s="31">
        <v>3000000.0</v>
      </c>
      <c r="I3600" s="31" t="s">
        <v>413</v>
      </c>
      <c r="K3600" s="33" t="s">
        <v>10769</v>
      </c>
      <c r="L3600" s="31" t="s">
        <v>202</v>
      </c>
      <c r="M3600" s="31" t="s">
        <v>5638</v>
      </c>
      <c r="N3600" s="31" t="s">
        <v>204</v>
      </c>
      <c r="R3600" s="31" t="s">
        <v>148</v>
      </c>
    </row>
    <row r="3601">
      <c r="A3601" s="29">
        <v>45996.65242027778</v>
      </c>
      <c r="B3601" s="30">
        <v>45996.0</v>
      </c>
      <c r="C3601" s="31" t="s">
        <v>10770</v>
      </c>
      <c r="D3601" s="32" t="s">
        <v>10771</v>
      </c>
      <c r="E3601" s="31" t="s">
        <v>43</v>
      </c>
      <c r="F3601" s="31">
        <v>2200000.0</v>
      </c>
      <c r="G3601" s="31" t="s">
        <v>23</v>
      </c>
      <c r="I3601" s="31" t="s">
        <v>229</v>
      </c>
      <c r="J3601" s="31" t="s">
        <v>967</v>
      </c>
      <c r="K3601" s="33" t="s">
        <v>10772</v>
      </c>
      <c r="L3601" s="31" t="s">
        <v>202</v>
      </c>
      <c r="N3601" s="31" t="s">
        <v>871</v>
      </c>
      <c r="Q3601" s="31" t="s">
        <v>1021</v>
      </c>
    </row>
    <row r="3602">
      <c r="A3602" s="29">
        <v>45996.66187458333</v>
      </c>
      <c r="B3602" s="30">
        <v>45996.0</v>
      </c>
      <c r="C3602" s="31" t="s">
        <v>10773</v>
      </c>
      <c r="D3602" s="32" t="s">
        <v>10774</v>
      </c>
      <c r="E3602" s="31" t="s">
        <v>43</v>
      </c>
      <c r="F3602" s="31">
        <v>3000000.0</v>
      </c>
      <c r="G3602" s="31" t="s">
        <v>23</v>
      </c>
      <c r="H3602" s="31">
        <v>3000000.0</v>
      </c>
      <c r="I3602" s="31" t="s">
        <v>200</v>
      </c>
      <c r="K3602" s="33" t="s">
        <v>10775</v>
      </c>
      <c r="L3602" s="31" t="s">
        <v>252</v>
      </c>
      <c r="M3602" s="31" t="s">
        <v>203</v>
      </c>
      <c r="O3602" s="31" t="s">
        <v>205</v>
      </c>
      <c r="X3602" s="31" t="s">
        <v>549</v>
      </c>
    </row>
    <row r="3603">
      <c r="A3603" s="29">
        <v>45996.68831283565</v>
      </c>
      <c r="B3603" s="30">
        <v>45996.0</v>
      </c>
      <c r="C3603" s="31" t="s">
        <v>10776</v>
      </c>
      <c r="D3603" s="32" t="s">
        <v>10777</v>
      </c>
      <c r="E3603" s="31" t="s">
        <v>199</v>
      </c>
      <c r="F3603" s="31">
        <v>7100000.0</v>
      </c>
      <c r="G3603" s="31" t="s">
        <v>45</v>
      </c>
      <c r="I3603" s="31" t="s">
        <v>229</v>
      </c>
      <c r="J3603" s="31" t="s">
        <v>967</v>
      </c>
      <c r="K3603" s="33" t="s">
        <v>10778</v>
      </c>
      <c r="L3603" s="31" t="s">
        <v>252</v>
      </c>
      <c r="O3603" s="31" t="s">
        <v>257</v>
      </c>
      <c r="P3603" s="31" t="s">
        <v>272</v>
      </c>
    </row>
    <row r="3604">
      <c r="A3604" s="29">
        <v>45996.72200363426</v>
      </c>
      <c r="B3604" s="30">
        <v>45996.0</v>
      </c>
      <c r="C3604" s="31" t="s">
        <v>10779</v>
      </c>
      <c r="D3604" s="32" t="s">
        <v>10780</v>
      </c>
      <c r="E3604" s="31" t="s">
        <v>43</v>
      </c>
      <c r="F3604" s="31">
        <v>3100000.0</v>
      </c>
      <c r="G3604" s="31" t="s">
        <v>23</v>
      </c>
      <c r="I3604" s="31" t="s">
        <v>229</v>
      </c>
      <c r="J3604" s="31" t="s">
        <v>967</v>
      </c>
      <c r="K3604" s="33" t="s">
        <v>10781</v>
      </c>
      <c r="L3604" s="31" t="s">
        <v>252</v>
      </c>
      <c r="O3604" s="31" t="s">
        <v>257</v>
      </c>
      <c r="P3604" s="31" t="s">
        <v>3194</v>
      </c>
    </row>
    <row r="3605">
      <c r="A3605" s="29">
        <v>45996.72561584491</v>
      </c>
      <c r="B3605" s="30">
        <v>45996.0</v>
      </c>
      <c r="C3605" s="31" t="s">
        <v>10782</v>
      </c>
      <c r="D3605" s="32" t="s">
        <v>10783</v>
      </c>
      <c r="E3605" s="31" t="s">
        <v>31</v>
      </c>
      <c r="F3605" s="31">
        <v>5400000.0</v>
      </c>
      <c r="G3605" s="31" t="s">
        <v>23</v>
      </c>
      <c r="I3605" s="31" t="s">
        <v>229</v>
      </c>
      <c r="J3605" s="31" t="s">
        <v>967</v>
      </c>
      <c r="K3605" s="33" t="s">
        <v>10784</v>
      </c>
      <c r="L3605" s="31" t="s">
        <v>202</v>
      </c>
      <c r="N3605" s="31" t="s">
        <v>204</v>
      </c>
      <c r="R3605" s="31" t="s">
        <v>207</v>
      </c>
    </row>
    <row r="3606">
      <c r="A3606" s="29">
        <v>45996.739580625</v>
      </c>
      <c r="B3606" s="30">
        <v>45996.0</v>
      </c>
      <c r="C3606" s="31" t="s">
        <v>10785</v>
      </c>
      <c r="D3606" s="32" t="s">
        <v>10786</v>
      </c>
      <c r="E3606" s="31" t="s">
        <v>31</v>
      </c>
      <c r="F3606" s="31">
        <v>5999000.0</v>
      </c>
      <c r="G3606" s="31" t="s">
        <v>23</v>
      </c>
      <c r="I3606" s="31" t="s">
        <v>229</v>
      </c>
      <c r="J3606" s="31" t="s">
        <v>967</v>
      </c>
      <c r="K3606" s="33" t="s">
        <v>10787</v>
      </c>
      <c r="L3606" s="31" t="s">
        <v>202</v>
      </c>
      <c r="N3606" s="31" t="s">
        <v>204</v>
      </c>
      <c r="R3606" s="31" t="s">
        <v>207</v>
      </c>
    </row>
    <row r="3607">
      <c r="A3607" s="29">
        <v>45996.77892236111</v>
      </c>
      <c r="B3607" s="30">
        <v>45996.0</v>
      </c>
      <c r="C3607" s="31" t="s">
        <v>10788</v>
      </c>
      <c r="D3607" s="32" t="s">
        <v>10789</v>
      </c>
      <c r="E3607" s="31" t="s">
        <v>10790</v>
      </c>
      <c r="F3607" s="31">
        <v>5000000.0</v>
      </c>
      <c r="G3607" s="31" t="s">
        <v>23</v>
      </c>
      <c r="I3607" s="31" t="s">
        <v>229</v>
      </c>
      <c r="J3607" s="31" t="s">
        <v>967</v>
      </c>
      <c r="K3607" s="33" t="s">
        <v>10791</v>
      </c>
      <c r="L3607" s="31" t="s">
        <v>202</v>
      </c>
      <c r="N3607" s="31" t="s">
        <v>313</v>
      </c>
      <c r="T3607" s="31" t="s">
        <v>384</v>
      </c>
    </row>
    <row r="3608">
      <c r="A3608" s="29">
        <v>45996.78195614583</v>
      </c>
      <c r="B3608" s="30">
        <v>45996.0</v>
      </c>
      <c r="C3608" s="31" t="s">
        <v>10792</v>
      </c>
      <c r="D3608" s="32" t="s">
        <v>4950</v>
      </c>
      <c r="E3608" s="31" t="s">
        <v>43</v>
      </c>
      <c r="F3608" s="31">
        <v>8000000.0</v>
      </c>
      <c r="G3608" s="31" t="s">
        <v>23</v>
      </c>
      <c r="H3608" s="31">
        <v>3000000.0</v>
      </c>
      <c r="I3608" s="31" t="s">
        <v>413</v>
      </c>
      <c r="K3608" s="33" t="s">
        <v>10793</v>
      </c>
      <c r="L3608" s="31" t="s">
        <v>202</v>
      </c>
      <c r="M3608" s="31" t="s">
        <v>5638</v>
      </c>
      <c r="N3608" s="31" t="s">
        <v>313</v>
      </c>
      <c r="T3608" s="31" t="s">
        <v>314</v>
      </c>
    </row>
    <row r="3609">
      <c r="A3609" s="29">
        <v>45996.78392248842</v>
      </c>
      <c r="B3609" s="30">
        <v>45996.0</v>
      </c>
      <c r="C3609" s="31" t="s">
        <v>10794</v>
      </c>
      <c r="D3609" s="32" t="s">
        <v>10795</v>
      </c>
      <c r="E3609" s="31" t="s">
        <v>43</v>
      </c>
      <c r="F3609" s="31">
        <v>5000000.0</v>
      </c>
      <c r="G3609" s="31" t="s">
        <v>23</v>
      </c>
      <c r="I3609" s="31" t="s">
        <v>229</v>
      </c>
      <c r="J3609" s="31" t="s">
        <v>967</v>
      </c>
      <c r="K3609" s="33" t="s">
        <v>10796</v>
      </c>
      <c r="L3609" s="31" t="s">
        <v>202</v>
      </c>
      <c r="N3609" s="31" t="s">
        <v>204</v>
      </c>
      <c r="R3609" s="31" t="s">
        <v>53</v>
      </c>
    </row>
    <row r="3610">
      <c r="A3610" s="29">
        <v>45996.80262891203</v>
      </c>
      <c r="B3610" s="30">
        <v>45996.0</v>
      </c>
      <c r="C3610" s="31" t="s">
        <v>10797</v>
      </c>
      <c r="D3610" s="32" t="s">
        <v>10798</v>
      </c>
      <c r="E3610" s="31" t="s">
        <v>43</v>
      </c>
      <c r="F3610" s="31">
        <v>4700000.0</v>
      </c>
      <c r="G3610" s="31" t="s">
        <v>23</v>
      </c>
      <c r="H3610" s="31">
        <v>3000000.0</v>
      </c>
      <c r="I3610" s="31" t="s">
        <v>200</v>
      </c>
      <c r="K3610" s="33" t="s">
        <v>10799</v>
      </c>
      <c r="L3610" s="31" t="s">
        <v>252</v>
      </c>
      <c r="M3610" s="31" t="s">
        <v>5638</v>
      </c>
      <c r="O3610" s="31" t="s">
        <v>205</v>
      </c>
      <c r="X3610" s="31" t="s">
        <v>2335</v>
      </c>
    </row>
    <row r="3611">
      <c r="A3611" s="29">
        <v>45996.812503657406</v>
      </c>
      <c r="B3611" s="30">
        <v>45996.0</v>
      </c>
      <c r="C3611" s="31" t="s">
        <v>10800</v>
      </c>
      <c r="D3611" s="32" t="s">
        <v>10801</v>
      </c>
      <c r="E3611" s="31" t="s">
        <v>199</v>
      </c>
      <c r="F3611" s="31">
        <v>7000000.0</v>
      </c>
      <c r="G3611" s="31" t="s">
        <v>23</v>
      </c>
      <c r="H3611" s="31">
        <v>7000000.0</v>
      </c>
      <c r="I3611" s="31" t="s">
        <v>200</v>
      </c>
      <c r="K3611" s="33" t="s">
        <v>10802</v>
      </c>
      <c r="L3611" s="31" t="s">
        <v>202</v>
      </c>
      <c r="M3611" s="31" t="s">
        <v>203</v>
      </c>
      <c r="N3611" s="31" t="s">
        <v>500</v>
      </c>
      <c r="V3611" s="31" t="s">
        <v>501</v>
      </c>
    </row>
    <row r="3612">
      <c r="A3612" s="29">
        <v>45996.82035685185</v>
      </c>
      <c r="B3612" s="30">
        <v>45996.0</v>
      </c>
      <c r="C3612" s="31" t="s">
        <v>10803</v>
      </c>
      <c r="D3612" s="32" t="s">
        <v>10804</v>
      </c>
      <c r="E3612" s="31" t="s">
        <v>10805</v>
      </c>
      <c r="F3612" s="31">
        <v>3000000.0</v>
      </c>
      <c r="G3612" s="31" t="s">
        <v>45</v>
      </c>
      <c r="I3612" s="31" t="s">
        <v>229</v>
      </c>
      <c r="J3612" s="31" t="s">
        <v>967</v>
      </c>
      <c r="K3612" s="33" t="s">
        <v>10806</v>
      </c>
      <c r="L3612" s="31" t="s">
        <v>202</v>
      </c>
      <c r="N3612" s="31" t="s">
        <v>204</v>
      </c>
      <c r="R3612" s="31" t="s">
        <v>892</v>
      </c>
    </row>
    <row r="3613">
      <c r="A3613" s="29">
        <v>45996.820818900465</v>
      </c>
      <c r="B3613" s="30">
        <v>45996.0</v>
      </c>
      <c r="C3613" s="31" t="s">
        <v>10807</v>
      </c>
      <c r="D3613" s="32" t="s">
        <v>10808</v>
      </c>
      <c r="E3613" s="31" t="s">
        <v>199</v>
      </c>
      <c r="F3613" s="31">
        <v>1.97E7</v>
      </c>
      <c r="G3613" s="31" t="s">
        <v>23</v>
      </c>
      <c r="H3613" s="31">
        <v>3000000.0</v>
      </c>
      <c r="I3613" s="31" t="s">
        <v>413</v>
      </c>
      <c r="K3613" s="33" t="s">
        <v>10809</v>
      </c>
      <c r="L3613" s="31" t="s">
        <v>202</v>
      </c>
      <c r="M3613" s="31" t="s">
        <v>605</v>
      </c>
      <c r="N3613" s="31" t="s">
        <v>313</v>
      </c>
      <c r="T3613" s="31" t="s">
        <v>329</v>
      </c>
    </row>
    <row r="3614">
      <c r="A3614" s="29">
        <v>45996.82265112268</v>
      </c>
      <c r="B3614" s="30">
        <v>45996.0</v>
      </c>
      <c r="C3614" s="31" t="s">
        <v>10810</v>
      </c>
      <c r="D3614" s="32" t="s">
        <v>10811</v>
      </c>
      <c r="E3614" s="31" t="s">
        <v>31</v>
      </c>
      <c r="F3614" s="31">
        <v>1.73E7</v>
      </c>
      <c r="G3614" s="31" t="s">
        <v>23</v>
      </c>
      <c r="H3614" s="31">
        <v>3000000.0</v>
      </c>
      <c r="I3614" s="31" t="s">
        <v>413</v>
      </c>
      <c r="K3614" s="33" t="s">
        <v>10812</v>
      </c>
      <c r="L3614" s="31" t="s">
        <v>202</v>
      </c>
      <c r="M3614" s="31" t="s">
        <v>5638</v>
      </c>
      <c r="N3614" s="31" t="s">
        <v>313</v>
      </c>
      <c r="T3614" s="31" t="s">
        <v>329</v>
      </c>
    </row>
    <row r="3615">
      <c r="A3615" s="29">
        <v>45996.83367738426</v>
      </c>
      <c r="B3615" s="30">
        <v>45996.0</v>
      </c>
      <c r="C3615" s="31" t="s">
        <v>10813</v>
      </c>
      <c r="D3615" s="32" t="s">
        <v>10814</v>
      </c>
      <c r="E3615" s="31" t="s">
        <v>228</v>
      </c>
      <c r="F3615" s="31">
        <v>1.9E7</v>
      </c>
      <c r="G3615" s="31" t="s">
        <v>23</v>
      </c>
      <c r="I3615" s="31" t="s">
        <v>229</v>
      </c>
      <c r="J3615" s="31" t="s">
        <v>967</v>
      </c>
      <c r="K3615" s="33" t="s">
        <v>10815</v>
      </c>
      <c r="L3615" s="31" t="s">
        <v>252</v>
      </c>
      <c r="O3615" s="31" t="s">
        <v>205</v>
      </c>
      <c r="X3615" s="31" t="s">
        <v>1471</v>
      </c>
    </row>
    <row r="3616">
      <c r="A3616" s="29">
        <v>45996.860518217596</v>
      </c>
      <c r="B3616" s="30">
        <v>45996.0</v>
      </c>
      <c r="C3616" s="31" t="s">
        <v>5109</v>
      </c>
      <c r="D3616" s="32" t="s">
        <v>5110</v>
      </c>
      <c r="E3616" s="31" t="s">
        <v>2902</v>
      </c>
      <c r="F3616" s="31">
        <v>4700000.0</v>
      </c>
      <c r="G3616" s="31" t="s">
        <v>23</v>
      </c>
      <c r="H3616" s="31">
        <v>3000000.0</v>
      </c>
      <c r="I3616" s="31" t="s">
        <v>200</v>
      </c>
      <c r="K3616" s="33" t="s">
        <v>10816</v>
      </c>
      <c r="L3616" s="31" t="s">
        <v>202</v>
      </c>
      <c r="M3616" s="31" t="s">
        <v>203</v>
      </c>
      <c r="N3616" s="31" t="s">
        <v>220</v>
      </c>
      <c r="S3616" s="31" t="s">
        <v>36</v>
      </c>
    </row>
    <row r="3617">
      <c r="A3617" s="29">
        <v>45996.8668774074</v>
      </c>
      <c r="B3617" s="30">
        <v>45996.0</v>
      </c>
      <c r="C3617" s="31" t="s">
        <v>10817</v>
      </c>
      <c r="D3617" s="32" t="s">
        <v>10818</v>
      </c>
      <c r="E3617" s="31" t="s">
        <v>43</v>
      </c>
      <c r="F3617" s="31">
        <v>4300000.0</v>
      </c>
      <c r="G3617" s="31" t="s">
        <v>23</v>
      </c>
      <c r="H3617" s="31">
        <v>3000000.0</v>
      </c>
      <c r="I3617" s="31" t="s">
        <v>200</v>
      </c>
      <c r="K3617" s="33" t="s">
        <v>10819</v>
      </c>
      <c r="L3617" s="31" t="s">
        <v>252</v>
      </c>
      <c r="M3617" s="31" t="s">
        <v>5638</v>
      </c>
      <c r="O3617" s="31" t="s">
        <v>205</v>
      </c>
      <c r="X3617" s="31" t="s">
        <v>9016</v>
      </c>
    </row>
    <row r="3618">
      <c r="A3618" s="29">
        <v>45996.88487090278</v>
      </c>
      <c r="B3618" s="30">
        <v>45996.0</v>
      </c>
      <c r="C3618" s="31" t="s">
        <v>10820</v>
      </c>
      <c r="D3618" s="32" t="s">
        <v>10821</v>
      </c>
      <c r="E3618" s="31" t="s">
        <v>784</v>
      </c>
      <c r="F3618" s="31">
        <v>3500000.0</v>
      </c>
      <c r="G3618" s="31" t="s">
        <v>23</v>
      </c>
      <c r="I3618" s="31" t="s">
        <v>229</v>
      </c>
      <c r="J3618" s="31" t="s">
        <v>967</v>
      </c>
      <c r="K3618" s="33" t="s">
        <v>10822</v>
      </c>
      <c r="L3618" s="31" t="s">
        <v>202</v>
      </c>
      <c r="N3618" s="31" t="s">
        <v>204</v>
      </c>
      <c r="R3618" s="31" t="s">
        <v>98</v>
      </c>
    </row>
    <row r="3619">
      <c r="A3619" s="29">
        <v>45996.88855224537</v>
      </c>
      <c r="B3619" s="30">
        <v>45996.0</v>
      </c>
      <c r="C3619" s="31" t="s">
        <v>10823</v>
      </c>
      <c r="D3619" s="32" t="s">
        <v>10824</v>
      </c>
      <c r="E3619" s="31" t="s">
        <v>43</v>
      </c>
      <c r="F3619" s="31">
        <v>3500000.0</v>
      </c>
      <c r="G3619" s="31" t="s">
        <v>23</v>
      </c>
      <c r="I3619" s="31" t="s">
        <v>229</v>
      </c>
      <c r="J3619" s="31" t="s">
        <v>967</v>
      </c>
      <c r="K3619" s="33" t="s">
        <v>10825</v>
      </c>
      <c r="L3619" s="31" t="s">
        <v>202</v>
      </c>
      <c r="N3619" s="31" t="s">
        <v>204</v>
      </c>
      <c r="R3619" s="31" t="s">
        <v>98</v>
      </c>
    </row>
    <row r="3620">
      <c r="A3620" s="29">
        <v>45996.952081944444</v>
      </c>
      <c r="B3620" s="30">
        <v>45996.0</v>
      </c>
      <c r="C3620" s="31" t="s">
        <v>10826</v>
      </c>
      <c r="D3620" s="32" t="s">
        <v>10827</v>
      </c>
      <c r="E3620" s="31" t="s">
        <v>228</v>
      </c>
      <c r="F3620" s="31">
        <v>3000000.0</v>
      </c>
      <c r="G3620" s="31" t="s">
        <v>23</v>
      </c>
      <c r="I3620" s="31" t="s">
        <v>229</v>
      </c>
      <c r="J3620" s="31" t="s">
        <v>967</v>
      </c>
      <c r="K3620" s="33" t="s">
        <v>10828</v>
      </c>
      <c r="L3620" s="31" t="s">
        <v>202</v>
      </c>
      <c r="N3620" s="31" t="s">
        <v>220</v>
      </c>
      <c r="S3620" s="31" t="s">
        <v>913</v>
      </c>
    </row>
    <row r="3621">
      <c r="A3621" s="29">
        <v>45997.42670952546</v>
      </c>
      <c r="B3621" s="30">
        <v>45997.0</v>
      </c>
      <c r="C3621" s="31" t="s">
        <v>10829</v>
      </c>
      <c r="D3621" s="32" t="s">
        <v>10830</v>
      </c>
      <c r="E3621" s="31" t="s">
        <v>199</v>
      </c>
      <c r="F3621" s="31">
        <v>5000000.0</v>
      </c>
      <c r="G3621" s="31" t="s">
        <v>23</v>
      </c>
      <c r="H3621" s="31">
        <v>5000000.0</v>
      </c>
      <c r="I3621" s="31" t="s">
        <v>200</v>
      </c>
      <c r="K3621" s="33" t="s">
        <v>10831</v>
      </c>
      <c r="L3621" s="31" t="s">
        <v>202</v>
      </c>
      <c r="M3621" s="31" t="s">
        <v>5638</v>
      </c>
      <c r="N3621" s="31" t="s">
        <v>500</v>
      </c>
      <c r="V3621" s="31" t="s">
        <v>501</v>
      </c>
    </row>
    <row r="3622">
      <c r="A3622" s="29">
        <v>45997.43634043982</v>
      </c>
      <c r="B3622" s="30">
        <v>45997.0</v>
      </c>
      <c r="C3622" s="31" t="s">
        <v>10832</v>
      </c>
      <c r="D3622" s="32" t="s">
        <v>10833</v>
      </c>
      <c r="E3622" s="31" t="s">
        <v>199</v>
      </c>
      <c r="F3622" s="31">
        <v>5000000.0</v>
      </c>
      <c r="G3622" s="31" t="s">
        <v>45</v>
      </c>
      <c r="I3622" s="31" t="s">
        <v>229</v>
      </c>
      <c r="J3622" s="31" t="s">
        <v>967</v>
      </c>
      <c r="K3622" s="33" t="s">
        <v>10834</v>
      </c>
      <c r="L3622" s="31" t="s">
        <v>202</v>
      </c>
      <c r="N3622" s="31" t="s">
        <v>215</v>
      </c>
      <c r="W3622" s="31" t="s">
        <v>389</v>
      </c>
    </row>
    <row r="3623">
      <c r="A3623" s="29">
        <v>45997.45388079861</v>
      </c>
      <c r="B3623" s="30">
        <v>45997.0</v>
      </c>
      <c r="C3623" s="31" t="s">
        <v>10835</v>
      </c>
      <c r="D3623" s="32" t="s">
        <v>10836</v>
      </c>
      <c r="E3623" s="31" t="s">
        <v>10790</v>
      </c>
      <c r="F3623" s="31">
        <v>6000000.0</v>
      </c>
      <c r="G3623" s="31" t="s">
        <v>23</v>
      </c>
      <c r="I3623" s="31" t="s">
        <v>229</v>
      </c>
      <c r="J3623" s="31" t="s">
        <v>967</v>
      </c>
      <c r="K3623" s="33" t="s">
        <v>10837</v>
      </c>
      <c r="L3623" s="31" t="s">
        <v>202</v>
      </c>
      <c r="N3623" s="31" t="s">
        <v>313</v>
      </c>
      <c r="T3623" s="31" t="s">
        <v>384</v>
      </c>
    </row>
    <row r="3624">
      <c r="A3624" s="29">
        <v>45997.47338769676</v>
      </c>
      <c r="B3624" s="30">
        <v>45997.0</v>
      </c>
      <c r="C3624" s="31" t="s">
        <v>10838</v>
      </c>
      <c r="D3624" s="32" t="s">
        <v>10839</v>
      </c>
      <c r="E3624" s="31" t="s">
        <v>43</v>
      </c>
      <c r="F3624" s="31">
        <v>4500000.0</v>
      </c>
      <c r="G3624" s="31" t="s">
        <v>23</v>
      </c>
      <c r="I3624" s="31" t="s">
        <v>229</v>
      </c>
      <c r="J3624" s="31" t="s">
        <v>967</v>
      </c>
      <c r="K3624" s="33" t="s">
        <v>10840</v>
      </c>
      <c r="L3624" s="31" t="s">
        <v>252</v>
      </c>
      <c r="O3624" s="31" t="s">
        <v>205</v>
      </c>
      <c r="X3624" s="31" t="s">
        <v>716</v>
      </c>
    </row>
    <row r="3625">
      <c r="A3625" s="29">
        <v>45997.47649857639</v>
      </c>
      <c r="B3625" s="30">
        <v>45997.0</v>
      </c>
      <c r="C3625" s="31" t="s">
        <v>10841</v>
      </c>
      <c r="D3625" s="32" t="s">
        <v>10842</v>
      </c>
      <c r="E3625" s="31" t="s">
        <v>43</v>
      </c>
      <c r="F3625" s="31">
        <v>4500000.0</v>
      </c>
      <c r="G3625" s="31" t="s">
        <v>23</v>
      </c>
      <c r="I3625" s="31" t="s">
        <v>229</v>
      </c>
      <c r="J3625" s="31" t="s">
        <v>967</v>
      </c>
      <c r="K3625" s="33" t="s">
        <v>10843</v>
      </c>
      <c r="L3625" s="31" t="s">
        <v>252</v>
      </c>
      <c r="O3625" s="31" t="s">
        <v>257</v>
      </c>
      <c r="P3625" s="31" t="s">
        <v>2453</v>
      </c>
    </row>
    <row r="3626">
      <c r="A3626" s="29">
        <v>45997.47819037037</v>
      </c>
      <c r="B3626" s="30">
        <v>45997.0</v>
      </c>
      <c r="C3626" s="31" t="s">
        <v>10844</v>
      </c>
      <c r="D3626" s="32" t="s">
        <v>10845</v>
      </c>
      <c r="E3626" s="31" t="s">
        <v>43</v>
      </c>
      <c r="F3626" s="31">
        <v>3000000.0</v>
      </c>
      <c r="G3626" s="31" t="s">
        <v>23</v>
      </c>
      <c r="I3626" s="31" t="s">
        <v>229</v>
      </c>
      <c r="J3626" s="31" t="s">
        <v>967</v>
      </c>
      <c r="K3626" s="33" t="s">
        <v>10846</v>
      </c>
      <c r="L3626" s="31" t="s">
        <v>252</v>
      </c>
      <c r="O3626" s="31" t="s">
        <v>205</v>
      </c>
      <c r="X3626" s="31" t="s">
        <v>253</v>
      </c>
    </row>
    <row r="3627">
      <c r="A3627" s="29">
        <v>45997.483259733795</v>
      </c>
      <c r="B3627" s="30">
        <v>45997.0</v>
      </c>
      <c r="C3627" s="31" t="s">
        <v>10847</v>
      </c>
      <c r="D3627" s="32" t="s">
        <v>10848</v>
      </c>
      <c r="E3627" s="31" t="s">
        <v>2902</v>
      </c>
      <c r="F3627" s="31">
        <v>4700000.0</v>
      </c>
      <c r="G3627" s="31" t="s">
        <v>23</v>
      </c>
      <c r="H3627" s="31">
        <v>3000000.0</v>
      </c>
      <c r="I3627" s="31" t="s">
        <v>413</v>
      </c>
      <c r="K3627" s="33" t="s">
        <v>10849</v>
      </c>
      <c r="L3627" s="31" t="s">
        <v>202</v>
      </c>
      <c r="M3627" s="31" t="s">
        <v>5638</v>
      </c>
      <c r="N3627" s="31" t="s">
        <v>220</v>
      </c>
      <c r="S3627" s="31" t="s">
        <v>36</v>
      </c>
    </row>
    <row r="3628">
      <c r="A3628" s="29">
        <v>45997.48912034722</v>
      </c>
      <c r="B3628" s="30">
        <v>45997.0</v>
      </c>
      <c r="C3628" s="31" t="s">
        <v>10850</v>
      </c>
      <c r="D3628" s="32" t="s">
        <v>10851</v>
      </c>
      <c r="E3628" s="31" t="s">
        <v>228</v>
      </c>
      <c r="F3628" s="31">
        <v>3000000.0</v>
      </c>
      <c r="G3628" s="31" t="s">
        <v>23</v>
      </c>
      <c r="I3628" s="31" t="s">
        <v>229</v>
      </c>
      <c r="J3628" s="31" t="s">
        <v>967</v>
      </c>
      <c r="K3628" s="33" t="s">
        <v>10852</v>
      </c>
      <c r="L3628" s="31" t="s">
        <v>202</v>
      </c>
      <c r="N3628" s="31" t="s">
        <v>871</v>
      </c>
      <c r="Q3628" s="31" t="s">
        <v>872</v>
      </c>
    </row>
    <row r="3629">
      <c r="A3629" s="29">
        <v>45997.52438074074</v>
      </c>
      <c r="B3629" s="30">
        <v>45997.0</v>
      </c>
      <c r="C3629" s="31" t="s">
        <v>10853</v>
      </c>
      <c r="D3629" s="32" t="s">
        <v>10854</v>
      </c>
      <c r="E3629" s="31" t="s">
        <v>43</v>
      </c>
      <c r="F3629" s="31">
        <v>3200000.0</v>
      </c>
      <c r="G3629" s="31" t="s">
        <v>23</v>
      </c>
      <c r="I3629" s="31" t="s">
        <v>229</v>
      </c>
      <c r="J3629" s="31" t="s">
        <v>967</v>
      </c>
      <c r="K3629" s="33" t="s">
        <v>10855</v>
      </c>
      <c r="L3629" s="31" t="s">
        <v>252</v>
      </c>
      <c r="O3629" s="31" t="s">
        <v>205</v>
      </c>
      <c r="X3629" s="31" t="s">
        <v>452</v>
      </c>
    </row>
    <row r="3630">
      <c r="A3630" s="29">
        <v>45997.537532476854</v>
      </c>
      <c r="B3630" s="30">
        <v>45997.0</v>
      </c>
      <c r="C3630" s="31" t="s">
        <v>10856</v>
      </c>
      <c r="D3630" s="32" t="s">
        <v>10857</v>
      </c>
      <c r="E3630" s="31" t="s">
        <v>239</v>
      </c>
      <c r="F3630" s="31">
        <v>50000.0</v>
      </c>
      <c r="G3630" s="31" t="s">
        <v>23</v>
      </c>
      <c r="I3630" s="31" t="s">
        <v>229</v>
      </c>
      <c r="J3630" s="31" t="s">
        <v>967</v>
      </c>
      <c r="K3630" s="33" t="s">
        <v>10858</v>
      </c>
      <c r="L3630" s="31" t="s">
        <v>202</v>
      </c>
      <c r="N3630" s="31" t="s">
        <v>313</v>
      </c>
      <c r="T3630" s="31" t="s">
        <v>4272</v>
      </c>
    </row>
    <row r="3631">
      <c r="A3631" s="29">
        <v>45997.538390127316</v>
      </c>
      <c r="B3631" s="30">
        <v>45997.0</v>
      </c>
      <c r="C3631" s="31" t="s">
        <v>10859</v>
      </c>
      <c r="D3631" s="32" t="s">
        <v>10860</v>
      </c>
      <c r="E3631" s="31" t="s">
        <v>43</v>
      </c>
      <c r="F3631" s="31">
        <v>4100000.0</v>
      </c>
      <c r="G3631" s="31" t="s">
        <v>23</v>
      </c>
      <c r="I3631" s="31" t="s">
        <v>229</v>
      </c>
      <c r="J3631" s="31" t="s">
        <v>967</v>
      </c>
      <c r="K3631" s="33" t="s">
        <v>10861</v>
      </c>
      <c r="L3631" s="31" t="s">
        <v>202</v>
      </c>
      <c r="N3631" s="31" t="s">
        <v>667</v>
      </c>
      <c r="U3631" s="31" t="s">
        <v>3950</v>
      </c>
    </row>
    <row r="3632">
      <c r="A3632" s="29">
        <v>45997.54011241898</v>
      </c>
      <c r="B3632" s="30">
        <v>45997.0</v>
      </c>
      <c r="C3632" s="31" t="s">
        <v>10862</v>
      </c>
      <c r="D3632" s="32" t="s">
        <v>907</v>
      </c>
      <c r="E3632" s="31" t="s">
        <v>43</v>
      </c>
      <c r="F3632" s="31">
        <v>2000000.0</v>
      </c>
      <c r="G3632" s="31" t="s">
        <v>23</v>
      </c>
      <c r="H3632" s="31">
        <v>3000000.0</v>
      </c>
      <c r="I3632" s="31" t="s">
        <v>200</v>
      </c>
      <c r="K3632" s="33" t="s">
        <v>10863</v>
      </c>
      <c r="L3632" s="31" t="s">
        <v>202</v>
      </c>
      <c r="M3632" s="31" t="s">
        <v>5638</v>
      </c>
      <c r="N3632" s="31" t="s">
        <v>215</v>
      </c>
      <c r="W3632" s="31" t="s">
        <v>532</v>
      </c>
    </row>
    <row r="3633">
      <c r="A3633" s="29">
        <v>45997.54388253472</v>
      </c>
      <c r="B3633" s="30">
        <v>45997.0</v>
      </c>
      <c r="C3633" s="31" t="s">
        <v>10864</v>
      </c>
      <c r="D3633" s="32" t="s">
        <v>10865</v>
      </c>
      <c r="E3633" s="31" t="s">
        <v>8456</v>
      </c>
      <c r="F3633" s="31">
        <v>3000000.0</v>
      </c>
      <c r="G3633" s="31" t="s">
        <v>23</v>
      </c>
      <c r="I3633" s="31" t="s">
        <v>229</v>
      </c>
      <c r="J3633" s="31" t="s">
        <v>967</v>
      </c>
      <c r="K3633" s="33" t="s">
        <v>10866</v>
      </c>
      <c r="L3633" s="31" t="s">
        <v>252</v>
      </c>
      <c r="O3633" s="31" t="s">
        <v>205</v>
      </c>
      <c r="X3633" s="31" t="s">
        <v>452</v>
      </c>
    </row>
    <row r="3634">
      <c r="A3634" s="29">
        <v>45997.55861313657</v>
      </c>
      <c r="B3634" s="30">
        <v>45997.0</v>
      </c>
      <c r="C3634" s="31" t="s">
        <v>10867</v>
      </c>
      <c r="D3634" s="31">
        <v>8.1337104345E10</v>
      </c>
      <c r="E3634" s="31" t="s">
        <v>43</v>
      </c>
      <c r="F3634" s="31">
        <v>3000000.0</v>
      </c>
      <c r="G3634" s="31" t="s">
        <v>23</v>
      </c>
      <c r="H3634" s="31">
        <v>5000000.0</v>
      </c>
      <c r="I3634" s="31" t="s">
        <v>200</v>
      </c>
      <c r="K3634" s="33" t="s">
        <v>10868</v>
      </c>
      <c r="L3634" s="31" t="s">
        <v>252</v>
      </c>
      <c r="M3634" s="31" t="s">
        <v>203</v>
      </c>
      <c r="O3634" s="31" t="s">
        <v>205</v>
      </c>
      <c r="X3634" s="31" t="s">
        <v>253</v>
      </c>
    </row>
    <row r="3635">
      <c r="A3635" s="29">
        <v>45997.56815574074</v>
      </c>
      <c r="B3635" s="30">
        <v>45997.0</v>
      </c>
      <c r="C3635" s="31" t="s">
        <v>10869</v>
      </c>
      <c r="D3635" s="32" t="s">
        <v>10870</v>
      </c>
      <c r="E3635" s="31" t="s">
        <v>10871</v>
      </c>
      <c r="F3635" s="31">
        <v>6000000.0</v>
      </c>
      <c r="G3635" s="31" t="s">
        <v>23</v>
      </c>
      <c r="H3635" s="31">
        <v>3000000.0</v>
      </c>
      <c r="I3635" s="31" t="s">
        <v>200</v>
      </c>
      <c r="K3635" s="33" t="s">
        <v>10872</v>
      </c>
      <c r="L3635" s="31" t="s">
        <v>202</v>
      </c>
      <c r="M3635" s="31" t="s">
        <v>5638</v>
      </c>
      <c r="N3635" s="31" t="s">
        <v>313</v>
      </c>
      <c r="T3635" s="31" t="s">
        <v>384</v>
      </c>
    </row>
    <row r="3636">
      <c r="A3636" s="29">
        <v>45997.57805881945</v>
      </c>
      <c r="B3636" s="30">
        <v>45997.0</v>
      </c>
      <c r="C3636" s="31" t="s">
        <v>10873</v>
      </c>
      <c r="D3636" s="32" t="s">
        <v>4253</v>
      </c>
      <c r="E3636" s="31" t="s">
        <v>199</v>
      </c>
      <c r="F3636" s="31">
        <v>3500000.0</v>
      </c>
      <c r="G3636" s="31" t="s">
        <v>45</v>
      </c>
      <c r="H3636" s="31">
        <v>3000000.0</v>
      </c>
      <c r="I3636" s="31" t="s">
        <v>200</v>
      </c>
      <c r="K3636" s="33" t="s">
        <v>10874</v>
      </c>
      <c r="L3636" s="31" t="s">
        <v>252</v>
      </c>
      <c r="M3636" s="31" t="s">
        <v>5638</v>
      </c>
      <c r="O3636" s="31" t="s">
        <v>257</v>
      </c>
      <c r="P3636" s="31" t="s">
        <v>206</v>
      </c>
    </row>
    <row r="3637">
      <c r="A3637" s="29">
        <v>45997.58745740741</v>
      </c>
      <c r="B3637" s="30">
        <v>45997.0</v>
      </c>
      <c r="C3637" s="31" t="s">
        <v>10875</v>
      </c>
      <c r="D3637" s="32" t="s">
        <v>10876</v>
      </c>
      <c r="E3637" s="31" t="s">
        <v>6334</v>
      </c>
      <c r="F3637" s="31">
        <v>2.4E7</v>
      </c>
      <c r="G3637" s="31" t="s">
        <v>23</v>
      </c>
      <c r="I3637" s="31" t="s">
        <v>229</v>
      </c>
      <c r="J3637" s="31" t="s">
        <v>967</v>
      </c>
      <c r="K3637" s="33" t="s">
        <v>10877</v>
      </c>
      <c r="L3637" s="31" t="s">
        <v>252</v>
      </c>
      <c r="O3637" s="31" t="s">
        <v>205</v>
      </c>
      <c r="X3637" s="31" t="s">
        <v>1471</v>
      </c>
    </row>
    <row r="3638">
      <c r="A3638" s="29">
        <v>45997.60909131945</v>
      </c>
      <c r="B3638" s="30">
        <v>45997.0</v>
      </c>
      <c r="C3638" s="31" t="s">
        <v>488</v>
      </c>
      <c r="D3638" s="31">
        <v>0.0</v>
      </c>
      <c r="E3638" s="31" t="s">
        <v>10878</v>
      </c>
      <c r="F3638" s="31">
        <v>2700000.0</v>
      </c>
      <c r="G3638" s="31" t="s">
        <v>23</v>
      </c>
      <c r="H3638" s="31">
        <v>3000000.0</v>
      </c>
      <c r="I3638" s="31" t="s">
        <v>200</v>
      </c>
      <c r="K3638" s="33" t="s">
        <v>10879</v>
      </c>
      <c r="L3638" s="31" t="s">
        <v>252</v>
      </c>
      <c r="M3638" s="31" t="s">
        <v>5638</v>
      </c>
      <c r="O3638" s="31" t="s">
        <v>257</v>
      </c>
      <c r="P3638" s="31" t="s">
        <v>2320</v>
      </c>
    </row>
    <row r="3639">
      <c r="A3639" s="29">
        <v>45997.61122976852</v>
      </c>
      <c r="B3639" s="30">
        <v>45996.0</v>
      </c>
      <c r="C3639" s="31" t="s">
        <v>10880</v>
      </c>
      <c r="D3639" s="31">
        <v>0.0</v>
      </c>
      <c r="E3639" s="31" t="s">
        <v>43</v>
      </c>
      <c r="F3639" s="31">
        <v>3000000.0</v>
      </c>
      <c r="G3639" s="31" t="s">
        <v>45</v>
      </c>
      <c r="I3639" s="31" t="s">
        <v>229</v>
      </c>
      <c r="J3639" s="31" t="s">
        <v>967</v>
      </c>
      <c r="K3639" s="33" t="s">
        <v>10881</v>
      </c>
      <c r="L3639" s="31" t="s">
        <v>252</v>
      </c>
      <c r="O3639" s="31" t="s">
        <v>257</v>
      </c>
      <c r="P3639" s="31" t="s">
        <v>2320</v>
      </c>
    </row>
    <row r="3640">
      <c r="A3640" s="29">
        <v>45997.62471425926</v>
      </c>
      <c r="B3640" s="30">
        <v>45997.0</v>
      </c>
      <c r="C3640" s="31" t="s">
        <v>10882</v>
      </c>
      <c r="D3640" s="31">
        <v>0.0</v>
      </c>
      <c r="E3640" s="31" t="s">
        <v>43</v>
      </c>
      <c r="F3640" s="32" t="s">
        <v>8677</v>
      </c>
      <c r="G3640" s="31" t="s">
        <v>23</v>
      </c>
      <c r="H3640" s="31">
        <v>3000000.0</v>
      </c>
      <c r="I3640" s="31" t="s">
        <v>200</v>
      </c>
      <c r="K3640" s="33" t="s">
        <v>10883</v>
      </c>
      <c r="L3640" s="31" t="s">
        <v>252</v>
      </c>
      <c r="M3640" s="31" t="s">
        <v>203</v>
      </c>
      <c r="O3640" s="31" t="s">
        <v>257</v>
      </c>
      <c r="P3640" s="31" t="s">
        <v>992</v>
      </c>
    </row>
    <row r="3641">
      <c r="A3641" s="29">
        <v>45997.63366304398</v>
      </c>
      <c r="B3641" s="30">
        <v>45997.0</v>
      </c>
      <c r="C3641" s="31" t="s">
        <v>10884</v>
      </c>
      <c r="D3641" s="32" t="s">
        <v>10885</v>
      </c>
      <c r="E3641" s="31" t="s">
        <v>43</v>
      </c>
      <c r="F3641" s="31">
        <v>2400000.0</v>
      </c>
      <c r="G3641" s="31" t="s">
        <v>23</v>
      </c>
      <c r="I3641" s="31" t="s">
        <v>229</v>
      </c>
      <c r="J3641" s="31" t="s">
        <v>270</v>
      </c>
      <c r="K3641" s="33" t="s">
        <v>10886</v>
      </c>
      <c r="L3641" s="31" t="s">
        <v>202</v>
      </c>
      <c r="N3641" s="31" t="s">
        <v>667</v>
      </c>
      <c r="U3641" s="31" t="s">
        <v>3950</v>
      </c>
    </row>
    <row r="3642">
      <c r="A3642" s="29">
        <v>45997.64939474537</v>
      </c>
      <c r="B3642" s="30">
        <v>45997.0</v>
      </c>
      <c r="C3642" s="31" t="s">
        <v>10887</v>
      </c>
      <c r="D3642" s="32" t="s">
        <v>10888</v>
      </c>
      <c r="E3642" s="31" t="s">
        <v>31</v>
      </c>
      <c r="F3642" s="31">
        <v>2300000.0</v>
      </c>
      <c r="G3642" s="31" t="s">
        <v>23</v>
      </c>
      <c r="H3642" s="31">
        <v>1600000.0</v>
      </c>
      <c r="I3642" s="31" t="s">
        <v>413</v>
      </c>
      <c r="K3642" s="33" t="s">
        <v>10889</v>
      </c>
      <c r="L3642" s="31" t="s">
        <v>202</v>
      </c>
      <c r="M3642" s="31" t="s">
        <v>5638</v>
      </c>
      <c r="N3642" s="31" t="s">
        <v>871</v>
      </c>
      <c r="Q3642" s="31" t="s">
        <v>1021</v>
      </c>
    </row>
    <row r="3643">
      <c r="A3643" s="29">
        <v>45997.68860436343</v>
      </c>
      <c r="B3643" s="30">
        <v>45997.0</v>
      </c>
      <c r="C3643" s="31" t="s">
        <v>10890</v>
      </c>
      <c r="D3643" s="31">
        <v>0.0</v>
      </c>
      <c r="E3643" s="31" t="s">
        <v>228</v>
      </c>
      <c r="F3643" s="31">
        <v>100000.0</v>
      </c>
      <c r="G3643" s="31" t="s">
        <v>23</v>
      </c>
      <c r="I3643" s="31" t="s">
        <v>229</v>
      </c>
      <c r="J3643" s="31" t="s">
        <v>967</v>
      </c>
      <c r="K3643" s="33" t="s">
        <v>10891</v>
      </c>
      <c r="L3643" s="31" t="s">
        <v>252</v>
      </c>
      <c r="O3643" s="31" t="s">
        <v>257</v>
      </c>
      <c r="P3643" s="31" t="s">
        <v>2320</v>
      </c>
    </row>
    <row r="3644">
      <c r="A3644" s="29">
        <v>45997.70555863426</v>
      </c>
      <c r="B3644" s="30">
        <v>45997.0</v>
      </c>
      <c r="C3644" s="31" t="s">
        <v>10892</v>
      </c>
      <c r="D3644" s="32" t="s">
        <v>10893</v>
      </c>
      <c r="E3644" s="31" t="s">
        <v>43</v>
      </c>
      <c r="F3644" s="31">
        <v>3600000.0</v>
      </c>
      <c r="G3644" s="31" t="s">
        <v>23</v>
      </c>
      <c r="I3644" s="31" t="s">
        <v>229</v>
      </c>
      <c r="J3644" s="31" t="s">
        <v>967</v>
      </c>
      <c r="K3644" s="33" t="s">
        <v>10894</v>
      </c>
      <c r="L3644" s="31" t="s">
        <v>252</v>
      </c>
      <c r="O3644" s="31" t="s">
        <v>257</v>
      </c>
      <c r="P3644" s="31" t="s">
        <v>2453</v>
      </c>
    </row>
    <row r="3645">
      <c r="A3645" s="29">
        <v>45997.708410266205</v>
      </c>
      <c r="B3645" s="30">
        <v>45997.0</v>
      </c>
      <c r="C3645" s="31" t="s">
        <v>10895</v>
      </c>
      <c r="D3645" s="32" t="s">
        <v>10896</v>
      </c>
      <c r="E3645" s="31" t="s">
        <v>43</v>
      </c>
      <c r="F3645" s="31">
        <v>5500000.0</v>
      </c>
      <c r="G3645" s="31" t="s">
        <v>23</v>
      </c>
      <c r="I3645" s="31" t="s">
        <v>229</v>
      </c>
      <c r="J3645" s="31" t="s">
        <v>967</v>
      </c>
      <c r="K3645" s="33" t="s">
        <v>10897</v>
      </c>
      <c r="L3645" s="31" t="s">
        <v>202</v>
      </c>
      <c r="N3645" s="31" t="s">
        <v>220</v>
      </c>
      <c r="S3645" s="31" t="s">
        <v>536</v>
      </c>
    </row>
    <row r="3646">
      <c r="A3646" s="29">
        <v>45997.72031178241</v>
      </c>
      <c r="B3646" s="30">
        <v>45997.0</v>
      </c>
      <c r="C3646" s="31" t="s">
        <v>10898</v>
      </c>
      <c r="D3646" s="32" t="s">
        <v>10899</v>
      </c>
      <c r="E3646" s="31" t="s">
        <v>43</v>
      </c>
      <c r="F3646" s="31">
        <v>4700000.0</v>
      </c>
      <c r="G3646" s="31" t="s">
        <v>23</v>
      </c>
      <c r="H3646" s="31">
        <v>3000000.0</v>
      </c>
      <c r="I3646" s="31" t="s">
        <v>200</v>
      </c>
      <c r="K3646" s="33" t="s">
        <v>10900</v>
      </c>
      <c r="L3646" s="31" t="s">
        <v>252</v>
      </c>
      <c r="M3646" s="31" t="s">
        <v>203</v>
      </c>
      <c r="O3646" s="31" t="s">
        <v>205</v>
      </c>
      <c r="X3646" s="31" t="s">
        <v>2335</v>
      </c>
    </row>
    <row r="3647">
      <c r="A3647" s="29">
        <v>45997.72850596065</v>
      </c>
      <c r="B3647" s="30">
        <v>45997.0</v>
      </c>
      <c r="C3647" s="31" t="s">
        <v>10901</v>
      </c>
      <c r="D3647" s="32" t="s">
        <v>10902</v>
      </c>
      <c r="E3647" s="31" t="s">
        <v>43</v>
      </c>
      <c r="F3647" s="31">
        <v>2800000.0</v>
      </c>
      <c r="G3647" s="31" t="s">
        <v>23</v>
      </c>
      <c r="I3647" s="31" t="s">
        <v>229</v>
      </c>
      <c r="J3647" s="31" t="s">
        <v>967</v>
      </c>
      <c r="K3647" s="33" t="s">
        <v>10903</v>
      </c>
      <c r="L3647" s="31" t="s">
        <v>202</v>
      </c>
      <c r="N3647" s="31" t="s">
        <v>204</v>
      </c>
      <c r="R3647" s="31" t="s">
        <v>148</v>
      </c>
    </row>
    <row r="3648">
      <c r="A3648" s="29">
        <v>45997.73466787037</v>
      </c>
      <c r="B3648" s="30">
        <v>45997.0</v>
      </c>
      <c r="C3648" s="31" t="s">
        <v>10904</v>
      </c>
      <c r="D3648" s="31" t="s">
        <v>10905</v>
      </c>
      <c r="E3648" s="31" t="s">
        <v>43</v>
      </c>
      <c r="F3648" s="31">
        <v>250000.0</v>
      </c>
      <c r="G3648" s="31" t="s">
        <v>23</v>
      </c>
      <c r="I3648" s="31" t="s">
        <v>229</v>
      </c>
      <c r="J3648" s="31" t="s">
        <v>967</v>
      </c>
      <c r="K3648" s="33" t="s">
        <v>10906</v>
      </c>
      <c r="L3648" s="31" t="s">
        <v>202</v>
      </c>
      <c r="N3648" s="31" t="s">
        <v>204</v>
      </c>
      <c r="R3648" s="31" t="s">
        <v>360</v>
      </c>
    </row>
    <row r="3649">
      <c r="A3649" s="29">
        <v>45997.74531574074</v>
      </c>
      <c r="B3649" s="30">
        <v>45997.0</v>
      </c>
      <c r="C3649" s="31" t="s">
        <v>10907</v>
      </c>
      <c r="D3649" s="31" t="s">
        <v>10908</v>
      </c>
      <c r="E3649" s="31" t="s">
        <v>239</v>
      </c>
      <c r="F3649" s="31">
        <v>2000000.0</v>
      </c>
      <c r="G3649" s="31" t="s">
        <v>23</v>
      </c>
      <c r="I3649" s="31" t="s">
        <v>229</v>
      </c>
      <c r="J3649" s="31" t="s">
        <v>967</v>
      </c>
      <c r="K3649" s="33" t="s">
        <v>10909</v>
      </c>
      <c r="L3649" s="31" t="s">
        <v>202</v>
      </c>
      <c r="N3649" s="31" t="s">
        <v>204</v>
      </c>
      <c r="R3649" s="31" t="s">
        <v>360</v>
      </c>
    </row>
    <row r="3650">
      <c r="A3650" s="29">
        <v>45997.77187863426</v>
      </c>
      <c r="B3650" s="30">
        <v>45997.0</v>
      </c>
      <c r="C3650" s="31" t="s">
        <v>10711</v>
      </c>
      <c r="D3650" s="32" t="s">
        <v>10712</v>
      </c>
      <c r="E3650" s="31" t="s">
        <v>43</v>
      </c>
      <c r="F3650" s="31">
        <v>2300000.0</v>
      </c>
      <c r="G3650" s="31" t="s">
        <v>23</v>
      </c>
      <c r="I3650" s="31" t="s">
        <v>229</v>
      </c>
      <c r="J3650" s="31" t="s">
        <v>967</v>
      </c>
      <c r="K3650" s="33" t="s">
        <v>10910</v>
      </c>
      <c r="L3650" s="31" t="s">
        <v>202</v>
      </c>
      <c r="N3650" s="31" t="s">
        <v>220</v>
      </c>
      <c r="S3650" s="31" t="s">
        <v>466</v>
      </c>
    </row>
    <row r="3651">
      <c r="A3651" s="29">
        <v>45997.77346552083</v>
      </c>
      <c r="B3651" s="30">
        <v>45997.0</v>
      </c>
      <c r="C3651" s="31" t="s">
        <v>10911</v>
      </c>
      <c r="D3651" s="32" t="s">
        <v>10912</v>
      </c>
      <c r="E3651" s="31" t="s">
        <v>43</v>
      </c>
      <c r="F3651" s="31">
        <v>4000000.0</v>
      </c>
      <c r="G3651" s="31" t="s">
        <v>23</v>
      </c>
      <c r="I3651" s="31" t="s">
        <v>229</v>
      </c>
      <c r="J3651" s="31" t="s">
        <v>967</v>
      </c>
      <c r="K3651" s="33" t="s">
        <v>10913</v>
      </c>
      <c r="L3651" s="31" t="s">
        <v>202</v>
      </c>
      <c r="N3651" s="31" t="s">
        <v>220</v>
      </c>
      <c r="S3651" s="31" t="s">
        <v>466</v>
      </c>
    </row>
    <row r="3652">
      <c r="A3652" s="29">
        <v>45997.77506987269</v>
      </c>
      <c r="B3652" s="30">
        <v>45997.0</v>
      </c>
      <c r="C3652" s="31" t="s">
        <v>10914</v>
      </c>
      <c r="D3652" s="32" t="s">
        <v>7792</v>
      </c>
      <c r="E3652" s="31" t="s">
        <v>43</v>
      </c>
      <c r="F3652" s="31">
        <v>3000000.0</v>
      </c>
      <c r="G3652" s="31" t="s">
        <v>23</v>
      </c>
      <c r="I3652" s="31" t="s">
        <v>229</v>
      </c>
      <c r="J3652" s="31" t="s">
        <v>967</v>
      </c>
      <c r="K3652" s="33" t="s">
        <v>10915</v>
      </c>
      <c r="L3652" s="31" t="s">
        <v>202</v>
      </c>
      <c r="N3652" s="31" t="s">
        <v>220</v>
      </c>
      <c r="S3652" s="31" t="s">
        <v>466</v>
      </c>
    </row>
    <row r="3653">
      <c r="A3653" s="29">
        <v>45997.77668077547</v>
      </c>
      <c r="B3653" s="30">
        <v>45997.0</v>
      </c>
      <c r="C3653" s="31" t="s">
        <v>10916</v>
      </c>
      <c r="D3653" s="32" t="s">
        <v>10917</v>
      </c>
      <c r="E3653" s="31" t="s">
        <v>43</v>
      </c>
      <c r="F3653" s="31">
        <v>2300000.0</v>
      </c>
      <c r="G3653" s="31" t="s">
        <v>23</v>
      </c>
      <c r="I3653" s="31" t="s">
        <v>229</v>
      </c>
      <c r="J3653" s="31" t="s">
        <v>967</v>
      </c>
      <c r="K3653" s="33" t="s">
        <v>10918</v>
      </c>
      <c r="L3653" s="31" t="s">
        <v>202</v>
      </c>
      <c r="N3653" s="31" t="s">
        <v>220</v>
      </c>
      <c r="S3653" s="31" t="s">
        <v>466</v>
      </c>
    </row>
    <row r="3654">
      <c r="A3654" s="29">
        <v>45997.780448564816</v>
      </c>
      <c r="B3654" s="30">
        <v>45997.0</v>
      </c>
      <c r="C3654" s="31" t="s">
        <v>10919</v>
      </c>
      <c r="D3654" s="32" t="s">
        <v>10920</v>
      </c>
      <c r="E3654" s="31" t="s">
        <v>31</v>
      </c>
      <c r="F3654" s="31">
        <v>3499000.0</v>
      </c>
      <c r="G3654" s="31" t="s">
        <v>23</v>
      </c>
      <c r="I3654" s="31" t="s">
        <v>229</v>
      </c>
      <c r="J3654" s="31" t="s">
        <v>967</v>
      </c>
      <c r="K3654" s="33" t="s">
        <v>10921</v>
      </c>
      <c r="L3654" s="31" t="s">
        <v>202</v>
      </c>
      <c r="N3654" s="31" t="s">
        <v>204</v>
      </c>
      <c r="R3654" s="31" t="s">
        <v>207</v>
      </c>
    </row>
    <row r="3655">
      <c r="A3655" s="29">
        <v>45997.79760498843</v>
      </c>
      <c r="B3655" s="30">
        <v>45997.0</v>
      </c>
      <c r="C3655" s="31" t="s">
        <v>10922</v>
      </c>
      <c r="D3655" s="32" t="s">
        <v>10923</v>
      </c>
      <c r="E3655" s="31" t="s">
        <v>288</v>
      </c>
      <c r="F3655" s="31">
        <v>3000000.0</v>
      </c>
      <c r="G3655" s="31" t="s">
        <v>23</v>
      </c>
      <c r="I3655" s="31" t="s">
        <v>229</v>
      </c>
      <c r="J3655" s="31" t="s">
        <v>967</v>
      </c>
      <c r="K3655" s="33" t="s">
        <v>10924</v>
      </c>
      <c r="L3655" s="31" t="s">
        <v>202</v>
      </c>
      <c r="N3655" s="31" t="s">
        <v>204</v>
      </c>
      <c r="R3655" s="31" t="s">
        <v>892</v>
      </c>
    </row>
    <row r="3656">
      <c r="A3656" s="29">
        <v>45997.80201585648</v>
      </c>
      <c r="B3656" s="30">
        <v>45997.0</v>
      </c>
      <c r="C3656" s="31" t="s">
        <v>10925</v>
      </c>
      <c r="D3656" s="32" t="s">
        <v>10926</v>
      </c>
      <c r="E3656" s="31" t="s">
        <v>43</v>
      </c>
      <c r="F3656" s="31">
        <v>4000000.0</v>
      </c>
      <c r="G3656" s="31" t="s">
        <v>23</v>
      </c>
      <c r="I3656" s="31" t="s">
        <v>229</v>
      </c>
      <c r="J3656" s="31" t="s">
        <v>967</v>
      </c>
      <c r="K3656" s="33" t="s">
        <v>10927</v>
      </c>
      <c r="L3656" s="31" t="s">
        <v>202</v>
      </c>
      <c r="N3656" s="31" t="s">
        <v>220</v>
      </c>
      <c r="S3656" s="31" t="s">
        <v>466</v>
      </c>
    </row>
    <row r="3657">
      <c r="A3657" s="29">
        <v>45997.81228100695</v>
      </c>
      <c r="B3657" s="30">
        <v>45997.0</v>
      </c>
      <c r="C3657" s="31" t="s">
        <v>10928</v>
      </c>
      <c r="D3657" s="32" t="s">
        <v>10929</v>
      </c>
      <c r="E3657" s="31" t="s">
        <v>31</v>
      </c>
      <c r="F3657" s="31">
        <v>2300000.0</v>
      </c>
      <c r="G3657" s="31" t="s">
        <v>23</v>
      </c>
      <c r="H3657" s="31">
        <v>1600000.0</v>
      </c>
      <c r="I3657" s="31" t="s">
        <v>413</v>
      </c>
      <c r="K3657" s="33" t="s">
        <v>10930</v>
      </c>
      <c r="L3657" s="31" t="s">
        <v>202</v>
      </c>
      <c r="M3657" s="31" t="s">
        <v>5638</v>
      </c>
      <c r="N3657" s="31" t="s">
        <v>871</v>
      </c>
      <c r="Q3657" s="31" t="s">
        <v>1021</v>
      </c>
    </row>
    <row r="3658">
      <c r="A3658" s="29">
        <v>45997.816099375</v>
      </c>
      <c r="B3658" s="30">
        <v>45997.0</v>
      </c>
      <c r="C3658" s="31" t="s">
        <v>10931</v>
      </c>
      <c r="D3658" s="32" t="s">
        <v>10932</v>
      </c>
      <c r="E3658" s="31" t="s">
        <v>199</v>
      </c>
      <c r="F3658" s="31">
        <v>5000000.0</v>
      </c>
      <c r="G3658" s="31" t="s">
        <v>45</v>
      </c>
      <c r="H3658" s="31">
        <v>5000000.0</v>
      </c>
      <c r="I3658" s="31" t="s">
        <v>200</v>
      </c>
      <c r="K3658" s="33" t="s">
        <v>10933</v>
      </c>
      <c r="L3658" s="31" t="s">
        <v>252</v>
      </c>
      <c r="M3658" s="31" t="s">
        <v>5638</v>
      </c>
      <c r="O3658" s="31" t="s">
        <v>205</v>
      </c>
      <c r="X3658" s="31" t="s">
        <v>253</v>
      </c>
    </row>
    <row r="3659">
      <c r="A3659" s="29">
        <v>45997.82151039352</v>
      </c>
      <c r="B3659" s="30">
        <v>45997.0</v>
      </c>
      <c r="C3659" s="31" t="s">
        <v>10934</v>
      </c>
      <c r="D3659" s="32" t="s">
        <v>10935</v>
      </c>
      <c r="E3659" s="31" t="s">
        <v>31</v>
      </c>
      <c r="F3659" s="31">
        <v>9700000.0</v>
      </c>
      <c r="G3659" s="31" t="s">
        <v>23</v>
      </c>
      <c r="I3659" s="31" t="s">
        <v>229</v>
      </c>
      <c r="J3659" s="31" t="s">
        <v>967</v>
      </c>
      <c r="K3659" s="33" t="s">
        <v>10936</v>
      </c>
      <c r="L3659" s="31" t="s">
        <v>202</v>
      </c>
      <c r="N3659" s="31" t="s">
        <v>313</v>
      </c>
      <c r="T3659" s="31" t="s">
        <v>329</v>
      </c>
    </row>
    <row r="3660">
      <c r="A3660" s="29">
        <v>45997.828237002315</v>
      </c>
      <c r="B3660" s="30">
        <v>45997.0</v>
      </c>
      <c r="C3660" s="31" t="s">
        <v>10937</v>
      </c>
      <c r="D3660" s="32" t="s">
        <v>10938</v>
      </c>
      <c r="E3660" s="31" t="s">
        <v>31</v>
      </c>
      <c r="F3660" s="31">
        <v>4599000.0</v>
      </c>
      <c r="G3660" s="31" t="s">
        <v>23</v>
      </c>
      <c r="I3660" s="31" t="s">
        <v>229</v>
      </c>
      <c r="J3660" s="31" t="s">
        <v>967</v>
      </c>
      <c r="K3660" s="33" t="s">
        <v>10939</v>
      </c>
      <c r="L3660" s="31" t="s">
        <v>202</v>
      </c>
      <c r="N3660" s="31" t="s">
        <v>204</v>
      </c>
      <c r="R3660" s="31" t="s">
        <v>207</v>
      </c>
    </row>
    <row r="3661">
      <c r="A3661" s="29">
        <v>45997.83819278935</v>
      </c>
      <c r="B3661" s="30">
        <v>45997.0</v>
      </c>
      <c r="C3661" s="31" t="s">
        <v>10940</v>
      </c>
      <c r="D3661" s="32" t="s">
        <v>10941</v>
      </c>
      <c r="E3661" s="31" t="s">
        <v>43</v>
      </c>
      <c r="F3661" s="31">
        <v>2500000.0</v>
      </c>
      <c r="G3661" s="31" t="s">
        <v>23</v>
      </c>
      <c r="I3661" s="31" t="s">
        <v>229</v>
      </c>
      <c r="J3661" s="31" t="s">
        <v>967</v>
      </c>
      <c r="K3661" s="33" t="s">
        <v>10942</v>
      </c>
      <c r="L3661" s="31" t="s">
        <v>202</v>
      </c>
      <c r="N3661" s="31" t="s">
        <v>204</v>
      </c>
      <c r="R3661" s="31" t="s">
        <v>5256</v>
      </c>
    </row>
    <row r="3662">
      <c r="A3662" s="29">
        <v>45997.846657291666</v>
      </c>
      <c r="B3662" s="30" t="s">
        <v>10943</v>
      </c>
      <c r="C3662" s="31" t="s">
        <v>10944</v>
      </c>
      <c r="D3662" s="32" t="s">
        <v>10945</v>
      </c>
      <c r="E3662" s="31" t="s">
        <v>31</v>
      </c>
      <c r="F3662" s="31">
        <v>2500000.0</v>
      </c>
      <c r="G3662" s="31" t="s">
        <v>23</v>
      </c>
      <c r="H3662" s="31">
        <v>3000000.0</v>
      </c>
      <c r="I3662" s="31" t="s">
        <v>200</v>
      </c>
      <c r="K3662" s="33" t="s">
        <v>10946</v>
      </c>
      <c r="L3662" s="31" t="s">
        <v>202</v>
      </c>
      <c r="M3662" s="31" t="s">
        <v>203</v>
      </c>
      <c r="N3662" s="31" t="s">
        <v>215</v>
      </c>
      <c r="W3662" s="31" t="s">
        <v>216</v>
      </c>
    </row>
    <row r="3663">
      <c r="A3663" s="29">
        <v>45997.857422754634</v>
      </c>
      <c r="B3663" s="30">
        <v>45997.0</v>
      </c>
      <c r="C3663" s="31" t="s">
        <v>10947</v>
      </c>
      <c r="D3663" s="32" t="s">
        <v>10948</v>
      </c>
      <c r="E3663" s="31" t="s">
        <v>43</v>
      </c>
      <c r="F3663" s="31">
        <v>4900000.0</v>
      </c>
      <c r="G3663" s="31" t="s">
        <v>23</v>
      </c>
      <c r="I3663" s="31" t="s">
        <v>229</v>
      </c>
      <c r="J3663" s="31" t="s">
        <v>967</v>
      </c>
      <c r="K3663" s="33" t="s">
        <v>10949</v>
      </c>
      <c r="L3663" s="31" t="s">
        <v>202</v>
      </c>
      <c r="N3663" s="31" t="s">
        <v>220</v>
      </c>
      <c r="S3663" s="31" t="s">
        <v>83</v>
      </c>
    </row>
    <row r="3664">
      <c r="A3664" s="29">
        <v>45997.87732719908</v>
      </c>
      <c r="B3664" s="30">
        <v>45997.0</v>
      </c>
      <c r="C3664" s="31" t="s">
        <v>10950</v>
      </c>
      <c r="D3664" s="32" t="s">
        <v>10951</v>
      </c>
      <c r="E3664" s="31" t="s">
        <v>3786</v>
      </c>
      <c r="F3664" s="31">
        <v>7000000.0</v>
      </c>
      <c r="G3664" s="31" t="s">
        <v>23</v>
      </c>
      <c r="I3664" s="31" t="s">
        <v>229</v>
      </c>
      <c r="J3664" s="31" t="s">
        <v>967</v>
      </c>
      <c r="K3664" s="33" t="s">
        <v>10952</v>
      </c>
      <c r="L3664" s="31" t="s">
        <v>202</v>
      </c>
      <c r="N3664" s="31" t="s">
        <v>220</v>
      </c>
      <c r="S3664" s="31" t="s">
        <v>1406</v>
      </c>
    </row>
    <row r="3665">
      <c r="A3665" s="29">
        <v>45998.48102175926</v>
      </c>
      <c r="B3665" s="30">
        <v>45998.0</v>
      </c>
      <c r="C3665" s="31" t="s">
        <v>10953</v>
      </c>
      <c r="D3665" s="31">
        <v>0.0</v>
      </c>
      <c r="E3665" s="31" t="s">
        <v>43</v>
      </c>
      <c r="F3665" s="32" t="s">
        <v>1892</v>
      </c>
      <c r="G3665" s="31" t="s">
        <v>23</v>
      </c>
      <c r="H3665" s="31">
        <v>3000000.0</v>
      </c>
      <c r="I3665" s="31" t="s">
        <v>200</v>
      </c>
      <c r="K3665" s="33" t="s">
        <v>10954</v>
      </c>
      <c r="L3665" s="31" t="s">
        <v>252</v>
      </c>
      <c r="M3665" s="31" t="s">
        <v>5638</v>
      </c>
      <c r="O3665" s="31" t="s">
        <v>257</v>
      </c>
      <c r="P3665" s="31" t="s">
        <v>992</v>
      </c>
    </row>
    <row r="3666">
      <c r="A3666" s="29">
        <v>45998.48248009259</v>
      </c>
      <c r="B3666" s="30">
        <v>45998.0</v>
      </c>
      <c r="C3666" s="31" t="s">
        <v>10955</v>
      </c>
      <c r="D3666" s="31">
        <v>0.0</v>
      </c>
      <c r="E3666" s="31" t="s">
        <v>43</v>
      </c>
      <c r="F3666" s="32" t="s">
        <v>5089</v>
      </c>
      <c r="G3666" s="31" t="s">
        <v>23</v>
      </c>
      <c r="I3666" s="31" t="s">
        <v>229</v>
      </c>
      <c r="J3666" s="31" t="s">
        <v>967</v>
      </c>
      <c r="K3666" s="33" t="s">
        <v>10956</v>
      </c>
      <c r="L3666" s="31" t="s">
        <v>252</v>
      </c>
      <c r="O3666" s="31" t="s">
        <v>257</v>
      </c>
      <c r="P3666" s="31" t="s">
        <v>992</v>
      </c>
    </row>
    <row r="3667">
      <c r="A3667" s="29">
        <v>45998.64120935185</v>
      </c>
      <c r="B3667" s="30">
        <v>45998.0</v>
      </c>
      <c r="C3667" s="31" t="s">
        <v>10957</v>
      </c>
      <c r="D3667" s="32" t="s">
        <v>10958</v>
      </c>
      <c r="E3667" s="31" t="s">
        <v>43</v>
      </c>
      <c r="F3667" s="31">
        <v>8000000.0</v>
      </c>
      <c r="G3667" s="31" t="s">
        <v>45</v>
      </c>
      <c r="I3667" s="31" t="s">
        <v>229</v>
      </c>
      <c r="J3667" s="31" t="s">
        <v>967</v>
      </c>
      <c r="K3667" s="33" t="s">
        <v>10959</v>
      </c>
      <c r="L3667" s="31" t="s">
        <v>252</v>
      </c>
      <c r="O3667" s="31" t="s">
        <v>257</v>
      </c>
      <c r="P3667" s="31" t="s">
        <v>272</v>
      </c>
    </row>
    <row r="3668">
      <c r="A3668" s="29">
        <v>45998.70256480324</v>
      </c>
      <c r="B3668" s="30">
        <v>45998.0</v>
      </c>
      <c r="C3668" s="31" t="s">
        <v>10960</v>
      </c>
      <c r="D3668" s="31">
        <v>0.0</v>
      </c>
      <c r="E3668" s="31" t="s">
        <v>10961</v>
      </c>
      <c r="F3668" s="32" t="s">
        <v>8677</v>
      </c>
      <c r="G3668" s="31" t="s">
        <v>45</v>
      </c>
      <c r="H3668" s="31">
        <v>3000000.0</v>
      </c>
      <c r="I3668" s="31" t="s">
        <v>200</v>
      </c>
      <c r="K3668" s="33" t="s">
        <v>10962</v>
      </c>
      <c r="L3668" s="31" t="s">
        <v>252</v>
      </c>
      <c r="M3668" s="31" t="s">
        <v>203</v>
      </c>
      <c r="O3668" s="31" t="s">
        <v>257</v>
      </c>
      <c r="P3668" s="31" t="s">
        <v>992</v>
      </c>
    </row>
    <row r="3669">
      <c r="A3669" s="29">
        <v>45998.709101562505</v>
      </c>
      <c r="B3669" s="30">
        <v>45998.0</v>
      </c>
      <c r="C3669" s="31" t="s">
        <v>10963</v>
      </c>
      <c r="D3669" s="32" t="s">
        <v>10964</v>
      </c>
      <c r="E3669" s="31" t="s">
        <v>43</v>
      </c>
      <c r="F3669" s="31">
        <v>7000000.0</v>
      </c>
      <c r="G3669" s="31" t="s">
        <v>23</v>
      </c>
      <c r="I3669" s="31" t="s">
        <v>229</v>
      </c>
      <c r="J3669" s="31" t="s">
        <v>967</v>
      </c>
      <c r="K3669" s="33" t="s">
        <v>10965</v>
      </c>
      <c r="L3669" s="31" t="s">
        <v>252</v>
      </c>
      <c r="O3669" s="31" t="s">
        <v>205</v>
      </c>
      <c r="X3669" s="31" t="s">
        <v>2335</v>
      </c>
    </row>
    <row r="3670">
      <c r="A3670" s="29">
        <v>45998.86980577547</v>
      </c>
      <c r="B3670" s="30">
        <v>45998.0</v>
      </c>
      <c r="C3670" s="31" t="s">
        <v>10966</v>
      </c>
      <c r="D3670" s="32" t="s">
        <v>10967</v>
      </c>
      <c r="E3670" s="31" t="s">
        <v>43</v>
      </c>
      <c r="F3670" s="31">
        <v>3000000.0</v>
      </c>
      <c r="G3670" s="31" t="s">
        <v>23</v>
      </c>
      <c r="I3670" s="31" t="s">
        <v>229</v>
      </c>
      <c r="J3670" s="31" t="s">
        <v>967</v>
      </c>
      <c r="K3670" s="33" t="s">
        <v>10968</v>
      </c>
      <c r="L3670" s="31" t="s">
        <v>252</v>
      </c>
      <c r="O3670" s="31" t="s">
        <v>205</v>
      </c>
      <c r="X3670" s="31" t="s">
        <v>549</v>
      </c>
    </row>
    <row r="3671">
      <c r="A3671" s="29">
        <v>45999.411239699075</v>
      </c>
      <c r="B3671" s="30">
        <v>45999.0</v>
      </c>
      <c r="C3671" s="31" t="s">
        <v>10969</v>
      </c>
      <c r="D3671" s="32" t="s">
        <v>10970</v>
      </c>
      <c r="E3671" s="31" t="s">
        <v>31</v>
      </c>
      <c r="F3671" s="31">
        <v>9900000.0</v>
      </c>
      <c r="G3671" s="31" t="s">
        <v>23</v>
      </c>
      <c r="I3671" s="31" t="s">
        <v>229</v>
      </c>
      <c r="J3671" s="31" t="s">
        <v>967</v>
      </c>
      <c r="K3671" s="33" t="s">
        <v>10971</v>
      </c>
      <c r="L3671" s="31" t="s">
        <v>202</v>
      </c>
      <c r="N3671" s="31" t="s">
        <v>667</v>
      </c>
      <c r="U3671" s="31" t="s">
        <v>668</v>
      </c>
    </row>
    <row r="3672">
      <c r="A3672" s="29">
        <v>45999.42533203703</v>
      </c>
      <c r="B3672" s="30">
        <v>45999.0</v>
      </c>
      <c r="C3672" s="31" t="s">
        <v>10972</v>
      </c>
      <c r="D3672" s="31">
        <v>0.0</v>
      </c>
      <c r="E3672" s="31" t="s">
        <v>228</v>
      </c>
      <c r="F3672" s="31">
        <v>2500000.0</v>
      </c>
      <c r="G3672" s="31" t="s">
        <v>23</v>
      </c>
      <c r="H3672" s="31">
        <v>1600000.0</v>
      </c>
      <c r="I3672" s="31" t="s">
        <v>413</v>
      </c>
      <c r="K3672" s="33" t="s">
        <v>10973</v>
      </c>
      <c r="L3672" s="31" t="s">
        <v>252</v>
      </c>
      <c r="M3672" s="31" t="s">
        <v>5638</v>
      </c>
      <c r="O3672" s="31" t="s">
        <v>257</v>
      </c>
      <c r="P3672" s="31" t="s">
        <v>2320</v>
      </c>
    </row>
    <row r="3673">
      <c r="A3673" s="29">
        <v>45999.426621481485</v>
      </c>
      <c r="B3673" s="30">
        <v>45999.0</v>
      </c>
      <c r="C3673" s="31" t="s">
        <v>10974</v>
      </c>
      <c r="D3673" s="31">
        <v>0.0</v>
      </c>
      <c r="E3673" s="31" t="s">
        <v>228</v>
      </c>
      <c r="F3673" s="31">
        <v>2500000.0</v>
      </c>
      <c r="G3673" s="31" t="s">
        <v>23</v>
      </c>
      <c r="I3673" s="31" t="s">
        <v>229</v>
      </c>
      <c r="J3673" s="31" t="s">
        <v>967</v>
      </c>
      <c r="K3673" s="33" t="s">
        <v>10975</v>
      </c>
      <c r="L3673" s="31" t="s">
        <v>252</v>
      </c>
      <c r="O3673" s="31" t="s">
        <v>257</v>
      </c>
      <c r="P3673" s="31" t="s">
        <v>2320</v>
      </c>
    </row>
    <row r="3674">
      <c r="A3674" s="29">
        <v>45999.45061134259</v>
      </c>
      <c r="B3674" s="30">
        <v>45999.0</v>
      </c>
      <c r="C3674" s="31" t="s">
        <v>10976</v>
      </c>
      <c r="D3674" s="32" t="s">
        <v>10977</v>
      </c>
      <c r="E3674" s="31" t="s">
        <v>31</v>
      </c>
      <c r="F3674" s="31">
        <v>8900000.0</v>
      </c>
      <c r="G3674" s="31" t="s">
        <v>23</v>
      </c>
      <c r="I3674" s="31" t="s">
        <v>229</v>
      </c>
      <c r="J3674" s="31" t="s">
        <v>967</v>
      </c>
      <c r="K3674" s="33" t="s">
        <v>10978</v>
      </c>
      <c r="L3674" s="31" t="s">
        <v>202</v>
      </c>
      <c r="N3674" s="31" t="s">
        <v>667</v>
      </c>
      <c r="U3674" s="31" t="s">
        <v>668</v>
      </c>
    </row>
    <row r="3675">
      <c r="A3675" s="29">
        <v>45999.46363702546</v>
      </c>
      <c r="B3675" s="30">
        <v>45999.0</v>
      </c>
      <c r="C3675" s="31" t="s">
        <v>10979</v>
      </c>
      <c r="D3675" s="32" t="s">
        <v>10980</v>
      </c>
      <c r="E3675" s="31" t="s">
        <v>239</v>
      </c>
      <c r="F3675" s="31">
        <v>50.0</v>
      </c>
      <c r="G3675" s="31" t="s">
        <v>23</v>
      </c>
      <c r="I3675" s="31" t="s">
        <v>229</v>
      </c>
      <c r="J3675" s="31" t="s">
        <v>967</v>
      </c>
      <c r="K3675" s="33" t="s">
        <v>10981</v>
      </c>
      <c r="L3675" s="31" t="s">
        <v>202</v>
      </c>
      <c r="N3675" s="31" t="s">
        <v>313</v>
      </c>
      <c r="T3675" s="31" t="s">
        <v>4272</v>
      </c>
    </row>
    <row r="3676">
      <c r="A3676" s="29">
        <v>45999.46550579861</v>
      </c>
      <c r="B3676" s="30">
        <v>45985.0</v>
      </c>
      <c r="C3676" s="31" t="s">
        <v>10982</v>
      </c>
      <c r="D3676" s="32" t="s">
        <v>10983</v>
      </c>
      <c r="E3676" s="31" t="s">
        <v>288</v>
      </c>
      <c r="F3676" s="31">
        <v>50.0</v>
      </c>
      <c r="G3676" s="31" t="s">
        <v>23</v>
      </c>
      <c r="I3676" s="31" t="s">
        <v>229</v>
      </c>
      <c r="J3676" s="31" t="s">
        <v>967</v>
      </c>
      <c r="K3676" s="33" t="s">
        <v>10984</v>
      </c>
      <c r="L3676" s="31" t="s">
        <v>202</v>
      </c>
      <c r="N3676" s="31" t="s">
        <v>313</v>
      </c>
      <c r="T3676" s="31" t="s">
        <v>4272</v>
      </c>
    </row>
    <row r="3677">
      <c r="A3677" s="29">
        <v>45999.46759760416</v>
      </c>
      <c r="B3677" s="30">
        <v>45999.0</v>
      </c>
      <c r="C3677" s="31" t="s">
        <v>10985</v>
      </c>
      <c r="D3677" s="32" t="s">
        <v>10986</v>
      </c>
      <c r="E3677" s="31" t="s">
        <v>288</v>
      </c>
      <c r="F3677" s="31">
        <v>50.0</v>
      </c>
      <c r="G3677" s="31" t="s">
        <v>23</v>
      </c>
      <c r="I3677" s="31" t="s">
        <v>229</v>
      </c>
      <c r="J3677" s="31" t="s">
        <v>967</v>
      </c>
      <c r="K3677" s="33" t="s">
        <v>10987</v>
      </c>
      <c r="L3677" s="31" t="s">
        <v>202</v>
      </c>
      <c r="N3677" s="31" t="s">
        <v>313</v>
      </c>
      <c r="T3677" s="31" t="s">
        <v>4272</v>
      </c>
    </row>
    <row r="3678">
      <c r="A3678" s="29">
        <v>45999.48285512731</v>
      </c>
      <c r="B3678" s="30">
        <v>45999.0</v>
      </c>
      <c r="C3678" s="31" t="s">
        <v>10988</v>
      </c>
      <c r="D3678" s="32" t="s">
        <v>10989</v>
      </c>
      <c r="E3678" s="31" t="s">
        <v>199</v>
      </c>
      <c r="F3678" s="31">
        <v>5000000.0</v>
      </c>
      <c r="G3678" s="31" t="s">
        <v>45</v>
      </c>
      <c r="H3678" s="31">
        <v>3000000.0</v>
      </c>
      <c r="I3678" s="31" t="s">
        <v>200</v>
      </c>
      <c r="K3678" s="33" t="s">
        <v>10990</v>
      </c>
      <c r="L3678" s="31" t="s">
        <v>202</v>
      </c>
      <c r="M3678" s="31" t="s">
        <v>203</v>
      </c>
      <c r="N3678" s="31" t="s">
        <v>215</v>
      </c>
      <c r="W3678" s="31" t="s">
        <v>389</v>
      </c>
    </row>
    <row r="3679">
      <c r="A3679" s="29">
        <v>45999.48578206019</v>
      </c>
      <c r="B3679" s="30">
        <v>45999.0</v>
      </c>
      <c r="C3679" s="31" t="s">
        <v>10991</v>
      </c>
      <c r="D3679" s="31">
        <v>0.0</v>
      </c>
      <c r="E3679" s="31" t="s">
        <v>43</v>
      </c>
      <c r="F3679" s="32" t="s">
        <v>8677</v>
      </c>
      <c r="G3679" s="31" t="s">
        <v>23</v>
      </c>
      <c r="I3679" s="31" t="s">
        <v>229</v>
      </c>
      <c r="J3679" s="31" t="s">
        <v>967</v>
      </c>
      <c r="K3679" s="33" t="s">
        <v>10992</v>
      </c>
      <c r="L3679" s="31" t="s">
        <v>252</v>
      </c>
      <c r="O3679" s="31" t="s">
        <v>257</v>
      </c>
      <c r="P3679" s="31" t="s">
        <v>992</v>
      </c>
    </row>
    <row r="3680">
      <c r="A3680" s="29">
        <v>45999.4912469213</v>
      </c>
      <c r="B3680" s="30">
        <v>45999.0</v>
      </c>
      <c r="C3680" s="31" t="s">
        <v>10993</v>
      </c>
      <c r="D3680" s="32" t="s">
        <v>907</v>
      </c>
      <c r="E3680" s="31" t="s">
        <v>199</v>
      </c>
      <c r="F3680" s="31">
        <v>3000000.0</v>
      </c>
      <c r="G3680" s="31" t="s">
        <v>23</v>
      </c>
      <c r="I3680" s="31" t="s">
        <v>229</v>
      </c>
      <c r="J3680" s="31" t="s">
        <v>967</v>
      </c>
      <c r="K3680" s="33" t="s">
        <v>10994</v>
      </c>
      <c r="L3680" s="31" t="s">
        <v>202</v>
      </c>
      <c r="N3680" s="31" t="s">
        <v>215</v>
      </c>
      <c r="W3680" s="31" t="s">
        <v>532</v>
      </c>
    </row>
    <row r="3681">
      <c r="A3681" s="29">
        <v>45999.49874398149</v>
      </c>
      <c r="B3681" s="30">
        <v>45999.0</v>
      </c>
      <c r="C3681" s="31" t="s">
        <v>10995</v>
      </c>
      <c r="D3681" s="32" t="s">
        <v>10996</v>
      </c>
      <c r="E3681" s="31" t="s">
        <v>43</v>
      </c>
      <c r="F3681" s="31">
        <v>2600000.0</v>
      </c>
      <c r="G3681" s="31" t="s">
        <v>23</v>
      </c>
      <c r="H3681" s="31">
        <v>1600000.0</v>
      </c>
      <c r="I3681" s="31" t="s">
        <v>413</v>
      </c>
      <c r="K3681" s="33" t="s">
        <v>10997</v>
      </c>
      <c r="L3681" s="31" t="s">
        <v>252</v>
      </c>
      <c r="M3681" s="31" t="s">
        <v>203</v>
      </c>
      <c r="O3681" s="31" t="s">
        <v>257</v>
      </c>
      <c r="P3681" s="31" t="s">
        <v>2453</v>
      </c>
    </row>
    <row r="3682">
      <c r="A3682" s="29">
        <v>45999.501308321764</v>
      </c>
      <c r="B3682" s="30">
        <v>45999.0</v>
      </c>
      <c r="C3682" s="31" t="s">
        <v>10998</v>
      </c>
      <c r="D3682" s="32" t="s">
        <v>8572</v>
      </c>
      <c r="E3682" s="31" t="s">
        <v>283</v>
      </c>
      <c r="F3682" s="31">
        <v>3400000.0</v>
      </c>
      <c r="G3682" s="31" t="s">
        <v>23</v>
      </c>
      <c r="I3682" s="31" t="s">
        <v>229</v>
      </c>
      <c r="J3682" s="31" t="s">
        <v>967</v>
      </c>
      <c r="K3682" s="33" t="s">
        <v>10999</v>
      </c>
      <c r="L3682" s="31" t="s">
        <v>202</v>
      </c>
      <c r="N3682" s="31" t="s">
        <v>500</v>
      </c>
      <c r="V3682" s="31" t="s">
        <v>7537</v>
      </c>
    </row>
    <row r="3683">
      <c r="A3683" s="29">
        <v>45999.50403215278</v>
      </c>
      <c r="B3683" s="30">
        <v>45999.0</v>
      </c>
      <c r="C3683" s="31" t="s">
        <v>11000</v>
      </c>
      <c r="D3683" s="32" t="s">
        <v>11001</v>
      </c>
      <c r="E3683" s="31" t="s">
        <v>8365</v>
      </c>
      <c r="F3683" s="31">
        <v>5500000.0</v>
      </c>
      <c r="G3683" s="31" t="s">
        <v>23</v>
      </c>
      <c r="I3683" s="31" t="s">
        <v>229</v>
      </c>
      <c r="J3683" s="31" t="s">
        <v>967</v>
      </c>
      <c r="K3683" s="33" t="s">
        <v>11002</v>
      </c>
      <c r="L3683" s="31" t="s">
        <v>202</v>
      </c>
      <c r="N3683" s="31" t="s">
        <v>500</v>
      </c>
      <c r="V3683" s="31" t="s">
        <v>7537</v>
      </c>
    </row>
    <row r="3684">
      <c r="A3684" s="29">
        <v>45999.52671439815</v>
      </c>
      <c r="B3684" s="30">
        <v>45999.0</v>
      </c>
      <c r="C3684" s="31" t="s">
        <v>11003</v>
      </c>
      <c r="D3684" s="31">
        <v>0.0</v>
      </c>
      <c r="E3684" s="31" t="s">
        <v>43</v>
      </c>
      <c r="F3684" s="32" t="s">
        <v>8677</v>
      </c>
      <c r="G3684" s="31" t="s">
        <v>45</v>
      </c>
      <c r="H3684" s="31">
        <v>3000000.0</v>
      </c>
      <c r="I3684" s="31" t="s">
        <v>200</v>
      </c>
      <c r="K3684" s="33" t="s">
        <v>11004</v>
      </c>
      <c r="L3684" s="31" t="s">
        <v>252</v>
      </c>
      <c r="M3684" s="31" t="s">
        <v>5638</v>
      </c>
      <c r="O3684" s="31" t="s">
        <v>257</v>
      </c>
      <c r="P3684" s="31" t="s">
        <v>992</v>
      </c>
    </row>
    <row r="3685">
      <c r="A3685" s="29">
        <v>45999.53493715278</v>
      </c>
      <c r="B3685" s="30">
        <v>45999.0</v>
      </c>
      <c r="C3685" s="31" t="s">
        <v>11005</v>
      </c>
      <c r="D3685" s="32" t="s">
        <v>11006</v>
      </c>
      <c r="E3685" s="31" t="s">
        <v>43</v>
      </c>
      <c r="F3685" s="31">
        <v>3500000.0</v>
      </c>
      <c r="G3685" s="31" t="s">
        <v>23</v>
      </c>
      <c r="I3685" s="31" t="s">
        <v>229</v>
      </c>
      <c r="J3685" s="31" t="s">
        <v>967</v>
      </c>
      <c r="K3685" s="33" t="s">
        <v>11007</v>
      </c>
      <c r="L3685" s="31" t="s">
        <v>202</v>
      </c>
      <c r="N3685" s="31" t="s">
        <v>204</v>
      </c>
      <c r="R3685" s="31" t="s">
        <v>53</v>
      </c>
    </row>
    <row r="3686">
      <c r="A3686" s="29">
        <v>45999.55191084491</v>
      </c>
      <c r="B3686" s="30">
        <v>45999.0</v>
      </c>
      <c r="C3686" s="31" t="s">
        <v>11008</v>
      </c>
      <c r="D3686" s="31">
        <v>0.0</v>
      </c>
      <c r="E3686" s="31" t="s">
        <v>43</v>
      </c>
      <c r="F3686" s="32" t="s">
        <v>8677</v>
      </c>
      <c r="G3686" s="31" t="s">
        <v>45</v>
      </c>
      <c r="I3686" s="31" t="s">
        <v>229</v>
      </c>
      <c r="J3686" s="31" t="s">
        <v>967</v>
      </c>
      <c r="K3686" s="33" t="s">
        <v>11009</v>
      </c>
      <c r="L3686" s="31" t="s">
        <v>252</v>
      </c>
      <c r="O3686" s="31" t="s">
        <v>257</v>
      </c>
      <c r="P3686" s="31" t="s">
        <v>992</v>
      </c>
    </row>
    <row r="3687">
      <c r="A3687" s="29">
        <v>45999.5601975926</v>
      </c>
      <c r="B3687" s="30">
        <v>45999.0</v>
      </c>
      <c r="C3687" s="31" t="s">
        <v>11010</v>
      </c>
      <c r="D3687" s="31">
        <v>8.528190169E10</v>
      </c>
      <c r="E3687" s="31" t="s">
        <v>1104</v>
      </c>
      <c r="F3687" s="31">
        <v>3500000.0</v>
      </c>
      <c r="G3687" s="31" t="s">
        <v>23</v>
      </c>
      <c r="I3687" s="31" t="s">
        <v>229</v>
      </c>
      <c r="J3687" s="31" t="s">
        <v>967</v>
      </c>
      <c r="K3687" s="33" t="s">
        <v>11011</v>
      </c>
      <c r="L3687" s="31" t="s">
        <v>202</v>
      </c>
      <c r="N3687" s="31" t="s">
        <v>204</v>
      </c>
      <c r="R3687" s="31" t="s">
        <v>98</v>
      </c>
    </row>
    <row r="3688">
      <c r="A3688" s="29">
        <v>45999.56130194444</v>
      </c>
      <c r="B3688" s="30">
        <v>45999.0</v>
      </c>
      <c r="C3688" s="31" t="s">
        <v>11012</v>
      </c>
      <c r="D3688" s="32" t="s">
        <v>11013</v>
      </c>
      <c r="E3688" s="31" t="s">
        <v>24</v>
      </c>
      <c r="F3688" s="31">
        <v>2800000.0</v>
      </c>
      <c r="G3688" s="31" t="s">
        <v>23</v>
      </c>
      <c r="I3688" s="31" t="s">
        <v>229</v>
      </c>
      <c r="J3688" s="31" t="s">
        <v>967</v>
      </c>
      <c r="K3688" s="33" t="s">
        <v>11014</v>
      </c>
      <c r="L3688" s="31" t="s">
        <v>202</v>
      </c>
      <c r="N3688" s="31" t="s">
        <v>871</v>
      </c>
      <c r="Q3688" s="31" t="s">
        <v>7424</v>
      </c>
    </row>
    <row r="3689">
      <c r="A3689" s="29">
        <v>45999.56226023148</v>
      </c>
      <c r="B3689" s="30">
        <v>45999.0</v>
      </c>
      <c r="C3689" s="31" t="s">
        <v>5855</v>
      </c>
      <c r="D3689" s="32" t="s">
        <v>11015</v>
      </c>
      <c r="E3689" s="31" t="s">
        <v>2598</v>
      </c>
      <c r="F3689" s="34">
        <v>2000.0</v>
      </c>
      <c r="G3689" s="31" t="s">
        <v>23</v>
      </c>
      <c r="I3689" s="31" t="s">
        <v>229</v>
      </c>
      <c r="J3689" s="31" t="s">
        <v>967</v>
      </c>
      <c r="K3689" s="33" t="s">
        <v>11016</v>
      </c>
      <c r="L3689" s="31" t="s">
        <v>202</v>
      </c>
      <c r="N3689" s="31" t="s">
        <v>204</v>
      </c>
      <c r="R3689" s="31" t="s">
        <v>167</v>
      </c>
    </row>
    <row r="3690">
      <c r="A3690" s="29">
        <v>45999.56291025463</v>
      </c>
      <c r="B3690" s="30">
        <v>45999.0</v>
      </c>
      <c r="C3690" s="31" t="s">
        <v>11017</v>
      </c>
      <c r="D3690" s="32" t="s">
        <v>11018</v>
      </c>
      <c r="E3690" s="31" t="s">
        <v>43</v>
      </c>
      <c r="F3690" s="31">
        <v>4200000.0</v>
      </c>
      <c r="G3690" s="31" t="s">
        <v>23</v>
      </c>
      <c r="H3690" s="31">
        <v>3000000.0</v>
      </c>
      <c r="I3690" s="31" t="s">
        <v>200</v>
      </c>
      <c r="K3690" s="33" t="s">
        <v>11019</v>
      </c>
      <c r="L3690" s="31" t="s">
        <v>202</v>
      </c>
      <c r="M3690" s="31" t="s">
        <v>5638</v>
      </c>
      <c r="N3690" s="31" t="s">
        <v>667</v>
      </c>
      <c r="U3690" s="31" t="s">
        <v>3950</v>
      </c>
    </row>
    <row r="3691">
      <c r="A3691" s="29">
        <v>45999.56429894676</v>
      </c>
      <c r="B3691" s="30">
        <v>45999.0</v>
      </c>
      <c r="C3691" s="31" t="s">
        <v>11020</v>
      </c>
      <c r="D3691" s="32" t="s">
        <v>11021</v>
      </c>
      <c r="E3691" s="31" t="s">
        <v>1588</v>
      </c>
      <c r="F3691" s="31">
        <v>2700000.0</v>
      </c>
      <c r="G3691" s="31" t="s">
        <v>23</v>
      </c>
      <c r="I3691" s="31" t="s">
        <v>229</v>
      </c>
      <c r="J3691" s="31" t="s">
        <v>967</v>
      </c>
      <c r="K3691" s="33" t="s">
        <v>11022</v>
      </c>
      <c r="L3691" s="31" t="s">
        <v>202</v>
      </c>
      <c r="N3691" s="31" t="s">
        <v>871</v>
      </c>
      <c r="Q3691" s="31" t="s">
        <v>7424</v>
      </c>
    </row>
    <row r="3692">
      <c r="A3692" s="29">
        <v>45999.57469612268</v>
      </c>
      <c r="B3692" s="30" t="s">
        <v>11023</v>
      </c>
      <c r="C3692" s="31" t="s">
        <v>11024</v>
      </c>
      <c r="D3692" s="32" t="s">
        <v>11025</v>
      </c>
      <c r="E3692" s="31" t="s">
        <v>31</v>
      </c>
      <c r="F3692" s="31">
        <v>2500000.0</v>
      </c>
      <c r="G3692" s="31" t="s">
        <v>23</v>
      </c>
      <c r="I3692" s="31" t="s">
        <v>229</v>
      </c>
      <c r="J3692" s="31" t="s">
        <v>967</v>
      </c>
      <c r="K3692" s="33" t="s">
        <v>11026</v>
      </c>
      <c r="L3692" s="31" t="s">
        <v>202</v>
      </c>
      <c r="N3692" s="31" t="s">
        <v>215</v>
      </c>
      <c r="W3692" s="31" t="s">
        <v>216</v>
      </c>
    </row>
    <row r="3693">
      <c r="A3693" s="29">
        <v>45999.577912395835</v>
      </c>
      <c r="B3693" s="30" t="s">
        <v>11023</v>
      </c>
      <c r="C3693" s="31" t="s">
        <v>11027</v>
      </c>
      <c r="D3693" s="32" t="s">
        <v>11028</v>
      </c>
      <c r="E3693" s="31" t="s">
        <v>31</v>
      </c>
      <c r="F3693" s="31">
        <v>2000000.0</v>
      </c>
      <c r="G3693" s="31" t="s">
        <v>23</v>
      </c>
      <c r="I3693" s="31" t="s">
        <v>229</v>
      </c>
      <c r="J3693" s="31" t="s">
        <v>967</v>
      </c>
      <c r="K3693" s="33" t="s">
        <v>11029</v>
      </c>
      <c r="L3693" s="31" t="s">
        <v>202</v>
      </c>
      <c r="N3693" s="31" t="s">
        <v>215</v>
      </c>
      <c r="W3693" s="31" t="s">
        <v>216</v>
      </c>
    </row>
    <row r="3694">
      <c r="A3694" s="29">
        <v>45999.59573090277</v>
      </c>
      <c r="B3694" s="30">
        <v>45999.0</v>
      </c>
      <c r="C3694" s="31" t="s">
        <v>11030</v>
      </c>
      <c r="D3694" s="32" t="s">
        <v>11031</v>
      </c>
      <c r="E3694" s="31" t="s">
        <v>31</v>
      </c>
      <c r="F3694" s="31">
        <v>4599000.0</v>
      </c>
      <c r="G3694" s="31" t="s">
        <v>23</v>
      </c>
      <c r="I3694" s="31" t="s">
        <v>229</v>
      </c>
      <c r="J3694" s="31" t="s">
        <v>967</v>
      </c>
      <c r="K3694" s="33" t="s">
        <v>11032</v>
      </c>
      <c r="L3694" s="31" t="s">
        <v>202</v>
      </c>
      <c r="N3694" s="31" t="s">
        <v>204</v>
      </c>
      <c r="R3694" s="31" t="s">
        <v>207</v>
      </c>
    </row>
    <row r="3695">
      <c r="A3695" s="29">
        <v>45999.636121261574</v>
      </c>
      <c r="B3695" s="30">
        <v>45999.0</v>
      </c>
      <c r="C3695" s="31" t="s">
        <v>11033</v>
      </c>
      <c r="D3695" s="32" t="s">
        <v>11034</v>
      </c>
      <c r="E3695" s="31" t="s">
        <v>239</v>
      </c>
      <c r="F3695" s="31">
        <v>1000000.0</v>
      </c>
      <c r="G3695" s="31" t="s">
        <v>23</v>
      </c>
      <c r="I3695" s="31" t="s">
        <v>229</v>
      </c>
      <c r="J3695" s="31" t="s">
        <v>967</v>
      </c>
      <c r="K3695" s="33" t="s">
        <v>11035</v>
      </c>
      <c r="L3695" s="31" t="s">
        <v>202</v>
      </c>
      <c r="N3695" s="31" t="s">
        <v>220</v>
      </c>
      <c r="S3695" s="31" t="s">
        <v>913</v>
      </c>
    </row>
    <row r="3696">
      <c r="A3696" s="29">
        <v>45999.66057663194</v>
      </c>
      <c r="B3696" s="30">
        <v>45999.0</v>
      </c>
      <c r="C3696" s="31" t="s">
        <v>11036</v>
      </c>
      <c r="D3696" s="31">
        <v>0.0</v>
      </c>
      <c r="E3696" s="31" t="s">
        <v>156</v>
      </c>
      <c r="F3696" s="32" t="s">
        <v>8677</v>
      </c>
      <c r="G3696" s="31" t="s">
        <v>45</v>
      </c>
      <c r="H3696" s="31">
        <v>3000000.0</v>
      </c>
      <c r="I3696" s="31" t="s">
        <v>200</v>
      </c>
      <c r="K3696" s="33" t="s">
        <v>11037</v>
      </c>
      <c r="L3696" s="31" t="s">
        <v>252</v>
      </c>
      <c r="M3696" s="31" t="s">
        <v>203</v>
      </c>
      <c r="O3696" s="31" t="s">
        <v>257</v>
      </c>
      <c r="P3696" s="31" t="s">
        <v>992</v>
      </c>
    </row>
    <row r="3697">
      <c r="A3697" s="29">
        <v>45999.6670519676</v>
      </c>
      <c r="B3697" s="30">
        <v>45999.0</v>
      </c>
      <c r="C3697" s="31" t="s">
        <v>11038</v>
      </c>
      <c r="D3697" s="32" t="s">
        <v>11039</v>
      </c>
      <c r="E3697" s="31" t="s">
        <v>199</v>
      </c>
      <c r="F3697" s="31">
        <v>4700000.0</v>
      </c>
      <c r="G3697" s="31" t="s">
        <v>45</v>
      </c>
      <c r="H3697" s="31">
        <v>3000000.0</v>
      </c>
      <c r="I3697" s="31" t="s">
        <v>413</v>
      </c>
      <c r="K3697" s="33" t="s">
        <v>11040</v>
      </c>
      <c r="L3697" s="31" t="s">
        <v>252</v>
      </c>
      <c r="M3697" s="31" t="s">
        <v>203</v>
      </c>
      <c r="O3697" s="31" t="s">
        <v>205</v>
      </c>
      <c r="X3697" s="31" t="s">
        <v>2335</v>
      </c>
    </row>
    <row r="3698">
      <c r="A3698" s="29">
        <v>45999.705360266205</v>
      </c>
      <c r="B3698" s="30">
        <v>45999.0</v>
      </c>
      <c r="C3698" s="31" t="s">
        <v>11041</v>
      </c>
      <c r="D3698" s="32" t="s">
        <v>11042</v>
      </c>
      <c r="E3698" s="31" t="s">
        <v>43</v>
      </c>
      <c r="F3698" s="31">
        <v>3000000.0</v>
      </c>
      <c r="G3698" s="31" t="s">
        <v>23</v>
      </c>
      <c r="H3698" s="31">
        <v>3000000.0</v>
      </c>
      <c r="I3698" s="31" t="s">
        <v>200</v>
      </c>
      <c r="K3698" s="33" t="s">
        <v>11043</v>
      </c>
      <c r="L3698" s="31" t="s">
        <v>252</v>
      </c>
      <c r="M3698" s="31" t="s">
        <v>5638</v>
      </c>
      <c r="O3698" s="31" t="s">
        <v>205</v>
      </c>
      <c r="X3698" s="31" t="s">
        <v>549</v>
      </c>
    </row>
    <row r="3699">
      <c r="A3699" s="29">
        <v>45999.71175716435</v>
      </c>
      <c r="B3699" s="30">
        <v>45999.0</v>
      </c>
      <c r="C3699" s="31" t="s">
        <v>11044</v>
      </c>
      <c r="D3699" s="32" t="s">
        <v>11045</v>
      </c>
      <c r="E3699" s="31" t="s">
        <v>199</v>
      </c>
      <c r="F3699" s="31">
        <v>8100000.0</v>
      </c>
      <c r="G3699" s="31" t="s">
        <v>45</v>
      </c>
      <c r="H3699" s="31">
        <v>8100000.0</v>
      </c>
      <c r="I3699" s="31" t="s">
        <v>200</v>
      </c>
      <c r="K3699" s="33" t="s">
        <v>11046</v>
      </c>
      <c r="L3699" s="31" t="s">
        <v>252</v>
      </c>
      <c r="M3699" s="31" t="s">
        <v>5638</v>
      </c>
      <c r="O3699" s="31" t="s">
        <v>257</v>
      </c>
      <c r="P3699" s="31" t="s">
        <v>272</v>
      </c>
    </row>
    <row r="3700">
      <c r="A3700" s="29">
        <v>45999.73038637731</v>
      </c>
      <c r="B3700" s="30">
        <v>45999.0</v>
      </c>
      <c r="C3700" s="31" t="s">
        <v>11047</v>
      </c>
      <c r="D3700" s="32" t="s">
        <v>2373</v>
      </c>
      <c r="E3700" s="31" t="s">
        <v>43</v>
      </c>
      <c r="F3700" s="31">
        <v>8000000.0</v>
      </c>
      <c r="G3700" s="31" t="s">
        <v>23</v>
      </c>
      <c r="H3700" s="31">
        <v>3000000.0</v>
      </c>
      <c r="I3700" s="31" t="s">
        <v>200</v>
      </c>
      <c r="K3700" s="33" t="s">
        <v>11048</v>
      </c>
      <c r="L3700" s="31" t="s">
        <v>202</v>
      </c>
      <c r="M3700" s="31" t="s">
        <v>5638</v>
      </c>
      <c r="N3700" s="31" t="s">
        <v>313</v>
      </c>
      <c r="T3700" s="31" t="s">
        <v>314</v>
      </c>
    </row>
    <row r="3701">
      <c r="A3701" s="29">
        <v>45999.73374778935</v>
      </c>
      <c r="B3701" s="30">
        <v>45999.0</v>
      </c>
      <c r="C3701" s="31" t="s">
        <v>11049</v>
      </c>
      <c r="D3701" s="32" t="s">
        <v>11050</v>
      </c>
      <c r="E3701" s="31" t="s">
        <v>31</v>
      </c>
      <c r="F3701" s="31">
        <v>5499000.0</v>
      </c>
      <c r="G3701" s="31" t="s">
        <v>23</v>
      </c>
      <c r="H3701" s="31">
        <v>5000000.0</v>
      </c>
      <c r="I3701" s="31" t="s">
        <v>200</v>
      </c>
      <c r="K3701" s="33" t="s">
        <v>11051</v>
      </c>
      <c r="L3701" s="31" t="s">
        <v>202</v>
      </c>
      <c r="M3701" s="31" t="s">
        <v>5638</v>
      </c>
      <c r="N3701" s="31" t="s">
        <v>204</v>
      </c>
      <c r="R3701" s="31" t="s">
        <v>207</v>
      </c>
    </row>
    <row r="3702">
      <c r="A3702" s="29">
        <v>45999.76038194445</v>
      </c>
      <c r="B3702" s="30">
        <v>45999.0</v>
      </c>
      <c r="C3702" s="31" t="s">
        <v>11052</v>
      </c>
      <c r="D3702" s="32" t="s">
        <v>4253</v>
      </c>
      <c r="E3702" s="31" t="s">
        <v>199</v>
      </c>
      <c r="F3702" s="31">
        <v>3500000.0</v>
      </c>
      <c r="G3702" s="31" t="s">
        <v>23</v>
      </c>
      <c r="I3702" s="31" t="s">
        <v>229</v>
      </c>
      <c r="J3702" s="31" t="s">
        <v>967</v>
      </c>
      <c r="K3702" s="33" t="s">
        <v>11053</v>
      </c>
      <c r="L3702" s="31" t="s">
        <v>252</v>
      </c>
      <c r="O3702" s="31" t="s">
        <v>257</v>
      </c>
      <c r="P3702" s="31" t="s">
        <v>206</v>
      </c>
    </row>
    <row r="3703">
      <c r="A3703" s="29">
        <v>45999.76287840278</v>
      </c>
      <c r="B3703" s="30">
        <v>45999.0</v>
      </c>
      <c r="C3703" s="31" t="s">
        <v>11054</v>
      </c>
      <c r="D3703" s="32" t="s">
        <v>11055</v>
      </c>
      <c r="E3703" s="31" t="s">
        <v>127</v>
      </c>
      <c r="F3703" s="31">
        <v>2500000.0</v>
      </c>
      <c r="G3703" s="31" t="s">
        <v>23</v>
      </c>
      <c r="I3703" s="31" t="s">
        <v>229</v>
      </c>
      <c r="J3703" s="31" t="s">
        <v>967</v>
      </c>
      <c r="K3703" s="33" t="s">
        <v>11056</v>
      </c>
      <c r="L3703" s="31" t="s">
        <v>252</v>
      </c>
      <c r="O3703" s="31" t="s">
        <v>257</v>
      </c>
      <c r="P3703" s="31" t="s">
        <v>206</v>
      </c>
    </row>
    <row r="3704">
      <c r="A3704" s="29">
        <v>45999.7647349537</v>
      </c>
      <c r="B3704" s="30">
        <v>45999.0</v>
      </c>
      <c r="C3704" s="31" t="s">
        <v>11057</v>
      </c>
      <c r="D3704" s="32" t="s">
        <v>4253</v>
      </c>
      <c r="E3704" s="31" t="s">
        <v>127</v>
      </c>
      <c r="F3704" s="31">
        <v>2500000.0</v>
      </c>
      <c r="G3704" s="31" t="s">
        <v>23</v>
      </c>
      <c r="I3704" s="31" t="s">
        <v>229</v>
      </c>
      <c r="J3704" s="31" t="s">
        <v>967</v>
      </c>
      <c r="K3704" s="33" t="s">
        <v>11058</v>
      </c>
      <c r="L3704" s="31" t="s">
        <v>252</v>
      </c>
      <c r="O3704" s="31" t="s">
        <v>257</v>
      </c>
      <c r="P3704" s="31" t="s">
        <v>206</v>
      </c>
    </row>
    <row r="3705">
      <c r="A3705" s="29">
        <v>45999.76640030093</v>
      </c>
      <c r="B3705" s="30">
        <v>45999.0</v>
      </c>
      <c r="C3705" s="31" t="s">
        <v>11059</v>
      </c>
      <c r="D3705" s="32" t="s">
        <v>4253</v>
      </c>
      <c r="E3705" s="31" t="s">
        <v>127</v>
      </c>
      <c r="F3705" s="31">
        <v>3000000.0</v>
      </c>
      <c r="G3705" s="31" t="s">
        <v>23</v>
      </c>
      <c r="I3705" s="31" t="s">
        <v>229</v>
      </c>
      <c r="J3705" s="31" t="s">
        <v>967</v>
      </c>
      <c r="K3705" s="33" t="s">
        <v>11060</v>
      </c>
      <c r="L3705" s="31" t="s">
        <v>252</v>
      </c>
      <c r="O3705" s="31" t="s">
        <v>257</v>
      </c>
      <c r="P3705" s="31" t="s">
        <v>206</v>
      </c>
    </row>
    <row r="3706">
      <c r="A3706" s="29">
        <v>45999.76744921296</v>
      </c>
      <c r="B3706" s="30">
        <v>45999.0</v>
      </c>
      <c r="C3706" s="31" t="s">
        <v>11061</v>
      </c>
      <c r="D3706" s="32" t="s">
        <v>11062</v>
      </c>
      <c r="E3706" s="31" t="s">
        <v>43</v>
      </c>
      <c r="F3706" s="31">
        <v>3000000.0</v>
      </c>
      <c r="G3706" s="31" t="s">
        <v>23</v>
      </c>
      <c r="H3706" s="31">
        <v>3000000.0</v>
      </c>
      <c r="I3706" s="31" t="s">
        <v>413</v>
      </c>
      <c r="K3706" s="31" t="s">
        <v>11063</v>
      </c>
      <c r="L3706" s="31" t="s">
        <v>202</v>
      </c>
      <c r="M3706" s="31" t="s">
        <v>5638</v>
      </c>
      <c r="N3706" s="31" t="s">
        <v>871</v>
      </c>
      <c r="Q3706" s="31" t="s">
        <v>872</v>
      </c>
    </row>
    <row r="3707">
      <c r="A3707" s="29">
        <v>45999.76871800926</v>
      </c>
      <c r="B3707" s="30">
        <v>45997.0</v>
      </c>
      <c r="C3707" s="31" t="s">
        <v>11064</v>
      </c>
      <c r="D3707" s="32" t="s">
        <v>11065</v>
      </c>
      <c r="E3707" s="31" t="s">
        <v>5317</v>
      </c>
      <c r="F3707" s="31">
        <v>5100000.0</v>
      </c>
      <c r="G3707" s="31" t="s">
        <v>23</v>
      </c>
      <c r="I3707" s="31" t="s">
        <v>229</v>
      </c>
      <c r="J3707" s="31" t="s">
        <v>967</v>
      </c>
      <c r="K3707" s="33" t="s">
        <v>11066</v>
      </c>
      <c r="L3707" s="31" t="s">
        <v>202</v>
      </c>
      <c r="N3707" s="31" t="s">
        <v>313</v>
      </c>
      <c r="T3707" s="31" t="s">
        <v>384</v>
      </c>
    </row>
    <row r="3708">
      <c r="A3708" s="29">
        <v>45999.77039464121</v>
      </c>
      <c r="B3708" s="30">
        <v>45999.0</v>
      </c>
      <c r="C3708" s="31" t="s">
        <v>11067</v>
      </c>
      <c r="D3708" s="32" t="s">
        <v>11068</v>
      </c>
      <c r="E3708" s="31" t="s">
        <v>11069</v>
      </c>
      <c r="F3708" s="31">
        <v>6100000.0</v>
      </c>
      <c r="G3708" s="31" t="s">
        <v>23</v>
      </c>
      <c r="H3708" s="31">
        <v>3000000.0</v>
      </c>
      <c r="I3708" s="31" t="s">
        <v>200</v>
      </c>
      <c r="K3708" s="33" t="s">
        <v>11070</v>
      </c>
      <c r="L3708" s="31" t="s">
        <v>202</v>
      </c>
      <c r="M3708" s="31" t="s">
        <v>203</v>
      </c>
      <c r="N3708" s="31" t="s">
        <v>313</v>
      </c>
      <c r="T3708" s="31" t="s">
        <v>384</v>
      </c>
    </row>
    <row r="3709">
      <c r="A3709" s="29">
        <v>45999.77905489583</v>
      </c>
      <c r="B3709" s="30">
        <v>45999.0</v>
      </c>
      <c r="C3709" s="31" t="s">
        <v>11071</v>
      </c>
      <c r="D3709" s="32" t="s">
        <v>11072</v>
      </c>
      <c r="E3709" s="31" t="s">
        <v>43</v>
      </c>
      <c r="F3709" s="31">
        <v>5700000.0</v>
      </c>
      <c r="G3709" s="31" t="s">
        <v>23</v>
      </c>
      <c r="I3709" s="31" t="s">
        <v>229</v>
      </c>
      <c r="J3709" s="31" t="s">
        <v>967</v>
      </c>
      <c r="K3709" s="33" t="s">
        <v>11073</v>
      </c>
      <c r="L3709" s="31" t="s">
        <v>252</v>
      </c>
      <c r="O3709" s="31" t="s">
        <v>257</v>
      </c>
      <c r="P3709" s="31" t="s">
        <v>258</v>
      </c>
    </row>
    <row r="3710">
      <c r="A3710" s="29">
        <v>45999.78152422454</v>
      </c>
      <c r="B3710" s="30" t="s">
        <v>11023</v>
      </c>
      <c r="C3710" s="31" t="s">
        <v>11074</v>
      </c>
      <c r="D3710" s="32" t="s">
        <v>11028</v>
      </c>
      <c r="E3710" s="31" t="s">
        <v>31</v>
      </c>
      <c r="F3710" s="31">
        <v>1500000.0</v>
      </c>
      <c r="G3710" s="31" t="s">
        <v>23</v>
      </c>
      <c r="H3710" s="31">
        <v>3000000.0</v>
      </c>
      <c r="I3710" s="31" t="s">
        <v>413</v>
      </c>
      <c r="K3710" s="33" t="s">
        <v>11075</v>
      </c>
      <c r="L3710" s="31" t="s">
        <v>202</v>
      </c>
      <c r="M3710" s="31" t="s">
        <v>5638</v>
      </c>
      <c r="N3710" s="31" t="s">
        <v>215</v>
      </c>
      <c r="W3710" s="31" t="s">
        <v>216</v>
      </c>
    </row>
    <row r="3711">
      <c r="A3711" s="29">
        <v>45999.80253696759</v>
      </c>
      <c r="B3711" s="30">
        <v>45999.0</v>
      </c>
      <c r="C3711" s="31" t="s">
        <v>11076</v>
      </c>
      <c r="D3711" s="31">
        <v>0.0</v>
      </c>
      <c r="E3711" s="31" t="s">
        <v>43</v>
      </c>
      <c r="F3711" s="32" t="s">
        <v>1892</v>
      </c>
      <c r="G3711" s="31" t="s">
        <v>23</v>
      </c>
      <c r="H3711" s="31">
        <v>3000000.0</v>
      </c>
      <c r="I3711" s="31" t="s">
        <v>200</v>
      </c>
      <c r="K3711" s="33" t="s">
        <v>11077</v>
      </c>
      <c r="L3711" s="31" t="s">
        <v>252</v>
      </c>
      <c r="M3711" s="31" t="s">
        <v>5638</v>
      </c>
      <c r="O3711" s="31" t="s">
        <v>257</v>
      </c>
      <c r="P3711" s="31" t="s">
        <v>992</v>
      </c>
    </row>
    <row r="3712">
      <c r="A3712" s="29">
        <v>45999.81355423611</v>
      </c>
      <c r="B3712" s="30">
        <v>45999.0</v>
      </c>
      <c r="C3712" s="31" t="s">
        <v>11078</v>
      </c>
      <c r="D3712" s="32" t="s">
        <v>11079</v>
      </c>
      <c r="E3712" s="31" t="s">
        <v>31</v>
      </c>
      <c r="F3712" s="31">
        <v>6900000.0</v>
      </c>
      <c r="G3712" s="31" t="s">
        <v>23</v>
      </c>
      <c r="I3712" s="31" t="s">
        <v>229</v>
      </c>
      <c r="J3712" s="31" t="s">
        <v>967</v>
      </c>
      <c r="K3712" s="33" t="s">
        <v>11080</v>
      </c>
      <c r="L3712" s="31" t="s">
        <v>202</v>
      </c>
      <c r="N3712" s="31" t="s">
        <v>220</v>
      </c>
      <c r="S3712" s="31" t="s">
        <v>83</v>
      </c>
    </row>
    <row r="3713">
      <c r="A3713" s="29">
        <v>45999.81617603009</v>
      </c>
      <c r="B3713" s="30">
        <v>45999.0</v>
      </c>
      <c r="C3713" s="31" t="s">
        <v>11081</v>
      </c>
      <c r="D3713" s="32" t="s">
        <v>11082</v>
      </c>
      <c r="E3713" s="31" t="s">
        <v>43</v>
      </c>
      <c r="F3713" s="31">
        <v>6000000.0</v>
      </c>
      <c r="G3713" s="31" t="s">
        <v>23</v>
      </c>
      <c r="I3713" s="31" t="s">
        <v>229</v>
      </c>
      <c r="J3713" s="31" t="s">
        <v>967</v>
      </c>
      <c r="K3713" s="33" t="s">
        <v>11083</v>
      </c>
      <c r="L3713" s="31" t="s">
        <v>202</v>
      </c>
      <c r="N3713" s="31" t="s">
        <v>220</v>
      </c>
      <c r="S3713" s="31" t="s">
        <v>83</v>
      </c>
    </row>
    <row r="3714">
      <c r="A3714" s="29">
        <v>45999.82169460648</v>
      </c>
      <c r="B3714" s="30">
        <v>45999.0</v>
      </c>
      <c r="C3714" s="31" t="s">
        <v>11084</v>
      </c>
      <c r="D3714" s="32" t="s">
        <v>11085</v>
      </c>
      <c r="E3714" s="31" t="s">
        <v>43</v>
      </c>
      <c r="F3714" s="31">
        <v>3500000.0</v>
      </c>
      <c r="G3714" s="31" t="s">
        <v>23</v>
      </c>
      <c r="I3714" s="31" t="s">
        <v>229</v>
      </c>
      <c r="J3714" s="31" t="s">
        <v>967</v>
      </c>
      <c r="K3714" s="33" t="s">
        <v>11086</v>
      </c>
      <c r="L3714" s="31" t="s">
        <v>202</v>
      </c>
      <c r="N3714" s="31" t="s">
        <v>220</v>
      </c>
      <c r="S3714" s="31" t="s">
        <v>83</v>
      </c>
    </row>
    <row r="3715">
      <c r="A3715" s="29">
        <v>45999.84456253472</v>
      </c>
      <c r="B3715" s="30">
        <v>45999.0</v>
      </c>
      <c r="C3715" s="31" t="s">
        <v>11087</v>
      </c>
      <c r="D3715" s="32" t="s">
        <v>11088</v>
      </c>
      <c r="E3715" s="31" t="s">
        <v>199</v>
      </c>
      <c r="F3715" s="31">
        <v>5700000.0</v>
      </c>
      <c r="G3715" s="31" t="s">
        <v>45</v>
      </c>
      <c r="H3715" s="31">
        <v>7000000.0</v>
      </c>
      <c r="I3715" s="31" t="s">
        <v>200</v>
      </c>
      <c r="K3715" s="33" t="s">
        <v>11089</v>
      </c>
      <c r="L3715" s="31" t="s">
        <v>252</v>
      </c>
      <c r="M3715" s="31" t="s">
        <v>605</v>
      </c>
      <c r="O3715" s="31" t="s">
        <v>205</v>
      </c>
      <c r="X3715" s="31" t="s">
        <v>2335</v>
      </c>
    </row>
    <row r="3716">
      <c r="A3716" s="29">
        <v>45999.847876342596</v>
      </c>
      <c r="B3716" s="30">
        <v>45999.0</v>
      </c>
      <c r="C3716" s="31" t="s">
        <v>11090</v>
      </c>
      <c r="D3716" s="32" t="s">
        <v>11091</v>
      </c>
      <c r="E3716" s="31" t="s">
        <v>199</v>
      </c>
      <c r="F3716" s="31">
        <v>5600000.0</v>
      </c>
      <c r="G3716" s="31" t="s">
        <v>45</v>
      </c>
      <c r="H3716" s="31">
        <v>5000000.0</v>
      </c>
      <c r="I3716" s="31" t="s">
        <v>200</v>
      </c>
      <c r="K3716" s="33" t="s">
        <v>11092</v>
      </c>
      <c r="L3716" s="31" t="s">
        <v>252</v>
      </c>
      <c r="M3716" s="31" t="s">
        <v>926</v>
      </c>
      <c r="O3716" s="31" t="s">
        <v>205</v>
      </c>
      <c r="X3716" s="31" t="s">
        <v>2335</v>
      </c>
    </row>
    <row r="3717">
      <c r="A3717" s="29">
        <v>45999.850541493055</v>
      </c>
      <c r="B3717" s="30">
        <v>45999.0</v>
      </c>
      <c r="C3717" s="31" t="s">
        <v>11093</v>
      </c>
      <c r="D3717" s="32" t="s">
        <v>11094</v>
      </c>
      <c r="E3717" s="31" t="s">
        <v>199</v>
      </c>
      <c r="F3717" s="31">
        <v>3000000.0</v>
      </c>
      <c r="G3717" s="31" t="s">
        <v>23</v>
      </c>
      <c r="H3717" s="31">
        <v>3000000.0</v>
      </c>
      <c r="I3717" s="31" t="s">
        <v>200</v>
      </c>
      <c r="K3717" s="33" t="s">
        <v>11095</v>
      </c>
      <c r="L3717" s="31" t="s">
        <v>252</v>
      </c>
      <c r="M3717" s="31" t="s">
        <v>5638</v>
      </c>
      <c r="O3717" s="31" t="s">
        <v>205</v>
      </c>
      <c r="X3717" s="31" t="s">
        <v>2335</v>
      </c>
    </row>
    <row r="3718">
      <c r="A3718" s="29">
        <v>45999.851136840276</v>
      </c>
      <c r="B3718" s="30">
        <v>45999.0</v>
      </c>
      <c r="C3718" s="31" t="s">
        <v>11096</v>
      </c>
      <c r="D3718" s="32" t="s">
        <v>11097</v>
      </c>
      <c r="E3718" s="31" t="s">
        <v>43</v>
      </c>
      <c r="F3718" s="31">
        <v>7500000.0</v>
      </c>
      <c r="G3718" s="31" t="s">
        <v>23</v>
      </c>
      <c r="I3718" s="31" t="s">
        <v>229</v>
      </c>
      <c r="J3718" s="31" t="s">
        <v>967</v>
      </c>
      <c r="K3718" s="33" t="s">
        <v>11098</v>
      </c>
      <c r="L3718" s="31" t="s">
        <v>202</v>
      </c>
      <c r="N3718" s="31" t="s">
        <v>220</v>
      </c>
      <c r="S3718" s="31" t="s">
        <v>536</v>
      </c>
    </row>
    <row r="3719">
      <c r="A3719" s="29">
        <v>45999.85138982639</v>
      </c>
      <c r="B3719" s="30">
        <v>45999.0</v>
      </c>
      <c r="C3719" s="31" t="s">
        <v>11099</v>
      </c>
      <c r="D3719" s="32" t="s">
        <v>11100</v>
      </c>
      <c r="E3719" s="31" t="s">
        <v>11101</v>
      </c>
      <c r="F3719" s="31">
        <v>3000000.0</v>
      </c>
      <c r="G3719" s="31" t="s">
        <v>23</v>
      </c>
      <c r="H3719" s="31">
        <v>3000000.0</v>
      </c>
      <c r="I3719" s="31" t="s">
        <v>200</v>
      </c>
      <c r="K3719" s="33" t="s">
        <v>11102</v>
      </c>
      <c r="L3719" s="31" t="s">
        <v>252</v>
      </c>
      <c r="M3719" s="31" t="s">
        <v>5638</v>
      </c>
      <c r="O3719" s="31" t="s">
        <v>205</v>
      </c>
      <c r="X3719" s="31" t="s">
        <v>253</v>
      </c>
    </row>
    <row r="3720">
      <c r="A3720" s="29">
        <v>45999.85373369213</v>
      </c>
      <c r="B3720" s="30">
        <v>45999.0</v>
      </c>
      <c r="C3720" s="31" t="s">
        <v>11103</v>
      </c>
      <c r="D3720" s="32" t="s">
        <v>11104</v>
      </c>
      <c r="E3720" s="31" t="s">
        <v>43</v>
      </c>
      <c r="F3720" s="31">
        <v>3100000.0</v>
      </c>
      <c r="G3720" s="31" t="s">
        <v>23</v>
      </c>
      <c r="H3720" s="31">
        <v>3000000.0</v>
      </c>
      <c r="I3720" s="31" t="s">
        <v>200</v>
      </c>
      <c r="K3720" s="33" t="s">
        <v>11105</v>
      </c>
      <c r="L3720" s="31" t="s">
        <v>252</v>
      </c>
      <c r="M3720" s="31" t="s">
        <v>203</v>
      </c>
      <c r="O3720" s="31" t="s">
        <v>205</v>
      </c>
      <c r="X3720" s="31" t="s">
        <v>2335</v>
      </c>
    </row>
    <row r="3721">
      <c r="A3721" s="29">
        <v>45999.86493185185</v>
      </c>
      <c r="B3721" s="30">
        <v>45999.0</v>
      </c>
      <c r="C3721" s="31" t="s">
        <v>11106</v>
      </c>
      <c r="D3721" s="32" t="s">
        <v>11107</v>
      </c>
      <c r="E3721" s="31" t="s">
        <v>43</v>
      </c>
      <c r="F3721" s="31">
        <v>5500000.0</v>
      </c>
      <c r="G3721" s="31" t="s">
        <v>23</v>
      </c>
      <c r="I3721" s="31" t="s">
        <v>229</v>
      </c>
      <c r="J3721" s="31" t="s">
        <v>967</v>
      </c>
      <c r="K3721" s="33" t="s">
        <v>11108</v>
      </c>
      <c r="L3721" s="31" t="s">
        <v>202</v>
      </c>
      <c r="N3721" s="31" t="s">
        <v>220</v>
      </c>
      <c r="S3721" s="31" t="s">
        <v>536</v>
      </c>
    </row>
    <row r="3722">
      <c r="A3722" s="29">
        <v>45999.86971136574</v>
      </c>
      <c r="B3722" s="30">
        <v>45999.0</v>
      </c>
      <c r="C3722" s="31" t="s">
        <v>11109</v>
      </c>
      <c r="D3722" s="32" t="s">
        <v>11110</v>
      </c>
      <c r="E3722" s="31" t="s">
        <v>43</v>
      </c>
      <c r="F3722" s="31">
        <v>4700000.0</v>
      </c>
      <c r="G3722" s="31" t="s">
        <v>23</v>
      </c>
      <c r="I3722" s="31" t="s">
        <v>229</v>
      </c>
      <c r="J3722" s="31" t="s">
        <v>967</v>
      </c>
      <c r="K3722" s="33" t="s">
        <v>11111</v>
      </c>
      <c r="L3722" s="31" t="s">
        <v>252</v>
      </c>
      <c r="O3722" s="31" t="s">
        <v>205</v>
      </c>
      <c r="X3722" s="31" t="s">
        <v>2335</v>
      </c>
    </row>
    <row r="3723">
      <c r="A3723" s="29">
        <v>45999.877817430555</v>
      </c>
      <c r="B3723" s="30">
        <v>45999.0</v>
      </c>
      <c r="C3723" s="31" t="s">
        <v>11112</v>
      </c>
      <c r="D3723" s="32" t="s">
        <v>11113</v>
      </c>
      <c r="E3723" s="31" t="s">
        <v>43</v>
      </c>
      <c r="F3723" s="31">
        <v>4400000.0</v>
      </c>
      <c r="G3723" s="31" t="s">
        <v>23</v>
      </c>
      <c r="I3723" s="31" t="s">
        <v>229</v>
      </c>
      <c r="J3723" s="31" t="s">
        <v>967</v>
      </c>
      <c r="K3723" s="33" t="s">
        <v>11114</v>
      </c>
      <c r="L3723" s="31" t="s">
        <v>252</v>
      </c>
      <c r="O3723" s="31" t="s">
        <v>205</v>
      </c>
      <c r="X3723" s="31" t="s">
        <v>2335</v>
      </c>
    </row>
    <row r="3724">
      <c r="A3724" s="29">
        <v>45999.88932263889</v>
      </c>
      <c r="B3724" s="30">
        <v>45999.0</v>
      </c>
      <c r="C3724" s="31" t="s">
        <v>11115</v>
      </c>
      <c r="D3724" s="32" t="s">
        <v>11116</v>
      </c>
      <c r="E3724" s="31" t="s">
        <v>43</v>
      </c>
      <c r="F3724" s="31">
        <v>2000000.0</v>
      </c>
      <c r="G3724" s="31" t="s">
        <v>23</v>
      </c>
      <c r="H3724" s="31">
        <v>3000000.0</v>
      </c>
      <c r="I3724" s="31" t="s">
        <v>200</v>
      </c>
      <c r="K3724" s="33" t="s">
        <v>11117</v>
      </c>
      <c r="L3724" s="31" t="s">
        <v>252</v>
      </c>
      <c r="M3724" s="31" t="s">
        <v>5638</v>
      </c>
      <c r="O3724" s="31" t="s">
        <v>205</v>
      </c>
      <c r="X3724" s="31" t="s">
        <v>549</v>
      </c>
    </row>
    <row r="3725">
      <c r="A3725" s="29">
        <v>46000.350426481484</v>
      </c>
      <c r="B3725" s="30">
        <v>46000.0</v>
      </c>
      <c r="C3725" s="31" t="s">
        <v>11118</v>
      </c>
      <c r="D3725" s="32" t="s">
        <v>11119</v>
      </c>
      <c r="E3725" s="31" t="s">
        <v>199</v>
      </c>
      <c r="F3725" s="31">
        <v>5700000.0</v>
      </c>
      <c r="G3725" s="31" t="s">
        <v>23</v>
      </c>
      <c r="I3725" s="31" t="s">
        <v>229</v>
      </c>
      <c r="J3725" s="31" t="s">
        <v>967</v>
      </c>
      <c r="K3725" s="33" t="s">
        <v>11120</v>
      </c>
      <c r="L3725" s="31" t="s">
        <v>202</v>
      </c>
      <c r="N3725" s="31" t="s">
        <v>220</v>
      </c>
      <c r="S3725" s="31" t="s">
        <v>5670</v>
      </c>
    </row>
    <row r="3726">
      <c r="A3726" s="29">
        <v>46000.410462025466</v>
      </c>
      <c r="B3726" s="30">
        <v>46000.0</v>
      </c>
      <c r="C3726" s="31" t="s">
        <v>11121</v>
      </c>
      <c r="D3726" s="32" t="s">
        <v>11122</v>
      </c>
      <c r="E3726" s="31" t="s">
        <v>239</v>
      </c>
      <c r="F3726" s="31">
        <v>50.0</v>
      </c>
      <c r="G3726" s="31" t="s">
        <v>23</v>
      </c>
      <c r="I3726" s="31" t="s">
        <v>229</v>
      </c>
      <c r="J3726" s="31" t="s">
        <v>165</v>
      </c>
      <c r="K3726" s="33" t="s">
        <v>11123</v>
      </c>
      <c r="L3726" s="31" t="s">
        <v>202</v>
      </c>
      <c r="N3726" s="31" t="s">
        <v>313</v>
      </c>
      <c r="T3726" s="31" t="s">
        <v>4272</v>
      </c>
    </row>
    <row r="3727">
      <c r="A3727" s="29">
        <v>46000.41137392361</v>
      </c>
      <c r="B3727" s="30">
        <v>46000.0</v>
      </c>
      <c r="C3727" s="31" t="s">
        <v>11124</v>
      </c>
      <c r="D3727" s="32" t="s">
        <v>11125</v>
      </c>
      <c r="E3727" s="31" t="s">
        <v>199</v>
      </c>
      <c r="F3727" s="31">
        <v>6000000.0</v>
      </c>
      <c r="G3727" s="31" t="s">
        <v>45</v>
      </c>
      <c r="H3727" s="31">
        <v>7000000.0</v>
      </c>
      <c r="I3727" s="31" t="s">
        <v>200</v>
      </c>
      <c r="K3727" s="33" t="s">
        <v>11126</v>
      </c>
      <c r="L3727" s="31" t="s">
        <v>202</v>
      </c>
      <c r="M3727" s="31" t="s">
        <v>605</v>
      </c>
      <c r="N3727" s="31" t="s">
        <v>215</v>
      </c>
      <c r="W3727" s="31" t="s">
        <v>389</v>
      </c>
    </row>
    <row r="3728">
      <c r="A3728" s="29">
        <v>46000.411498483794</v>
      </c>
      <c r="B3728" s="30">
        <v>46000.0</v>
      </c>
      <c r="C3728" s="31" t="s">
        <v>7095</v>
      </c>
      <c r="D3728" s="32" t="s">
        <v>11127</v>
      </c>
      <c r="E3728" s="31" t="s">
        <v>199</v>
      </c>
      <c r="F3728" s="31">
        <v>8000000.0</v>
      </c>
      <c r="G3728" s="31" t="s">
        <v>23</v>
      </c>
      <c r="I3728" s="31" t="s">
        <v>229</v>
      </c>
      <c r="J3728" s="31" t="s">
        <v>967</v>
      </c>
      <c r="K3728" s="33" t="s">
        <v>11128</v>
      </c>
      <c r="L3728" s="31" t="s">
        <v>252</v>
      </c>
      <c r="O3728" s="31" t="s">
        <v>257</v>
      </c>
      <c r="P3728" s="31" t="s">
        <v>258</v>
      </c>
    </row>
    <row r="3729">
      <c r="A3729" s="29">
        <v>46000.414873194444</v>
      </c>
      <c r="B3729" s="30">
        <v>46000.0</v>
      </c>
      <c r="C3729" s="31" t="s">
        <v>11129</v>
      </c>
      <c r="D3729" s="32" t="s">
        <v>11130</v>
      </c>
      <c r="E3729" s="31" t="s">
        <v>43</v>
      </c>
      <c r="F3729" s="31">
        <v>3000000.0</v>
      </c>
      <c r="G3729" s="31" t="s">
        <v>45</v>
      </c>
      <c r="I3729" s="31" t="s">
        <v>229</v>
      </c>
      <c r="J3729" s="31" t="s">
        <v>967</v>
      </c>
      <c r="K3729" s="33" t="s">
        <v>11131</v>
      </c>
      <c r="L3729" s="31" t="s">
        <v>202</v>
      </c>
      <c r="N3729" s="31" t="s">
        <v>215</v>
      </c>
      <c r="W3729" s="31" t="s">
        <v>389</v>
      </c>
    </row>
    <row r="3730">
      <c r="A3730" s="29">
        <v>46000.44316833334</v>
      </c>
      <c r="B3730" s="30">
        <v>46000.0</v>
      </c>
      <c r="C3730" s="31" t="s">
        <v>11132</v>
      </c>
      <c r="D3730" s="32" t="s">
        <v>11133</v>
      </c>
      <c r="E3730" s="31" t="s">
        <v>43</v>
      </c>
      <c r="F3730" s="31">
        <v>4900000.0</v>
      </c>
      <c r="G3730" s="31" t="s">
        <v>23</v>
      </c>
      <c r="I3730" s="31" t="s">
        <v>229</v>
      </c>
      <c r="J3730" s="31" t="s">
        <v>967</v>
      </c>
      <c r="K3730" s="33" t="s">
        <v>11134</v>
      </c>
      <c r="L3730" s="31" t="s">
        <v>202</v>
      </c>
      <c r="N3730" s="31" t="s">
        <v>220</v>
      </c>
      <c r="S3730" s="31" t="s">
        <v>5670</v>
      </c>
    </row>
    <row r="3731">
      <c r="A3731" s="29">
        <v>46000.44424237269</v>
      </c>
      <c r="B3731" s="30">
        <v>46000.0</v>
      </c>
      <c r="C3731" s="31" t="s">
        <v>11135</v>
      </c>
      <c r="D3731" s="32" t="s">
        <v>11136</v>
      </c>
      <c r="E3731" s="31" t="s">
        <v>43</v>
      </c>
      <c r="F3731" s="31">
        <v>4200000.0</v>
      </c>
      <c r="G3731" s="31" t="s">
        <v>23</v>
      </c>
      <c r="H3731" s="31">
        <v>3000000.0</v>
      </c>
      <c r="I3731" s="31" t="s">
        <v>413</v>
      </c>
      <c r="K3731" s="33" t="s">
        <v>11137</v>
      </c>
      <c r="L3731" s="31" t="s">
        <v>202</v>
      </c>
      <c r="M3731" s="31" t="s">
        <v>5638</v>
      </c>
      <c r="N3731" s="31" t="s">
        <v>220</v>
      </c>
      <c r="S3731" s="31" t="s">
        <v>5670</v>
      </c>
    </row>
    <row r="3732">
      <c r="A3732" s="29">
        <v>46000.44670783565</v>
      </c>
      <c r="B3732" s="30">
        <v>46000.0</v>
      </c>
      <c r="C3732" s="31" t="s">
        <v>11138</v>
      </c>
      <c r="D3732" s="32" t="s">
        <v>11139</v>
      </c>
      <c r="E3732" s="31" t="s">
        <v>43</v>
      </c>
      <c r="F3732" s="31">
        <v>3600000.0</v>
      </c>
      <c r="G3732" s="31" t="s">
        <v>23</v>
      </c>
      <c r="I3732" s="31" t="s">
        <v>229</v>
      </c>
      <c r="J3732" s="31" t="s">
        <v>967</v>
      </c>
      <c r="K3732" s="33" t="s">
        <v>11140</v>
      </c>
      <c r="L3732" s="31" t="s">
        <v>202</v>
      </c>
      <c r="N3732" s="31" t="s">
        <v>667</v>
      </c>
      <c r="U3732" s="31" t="s">
        <v>3950</v>
      </c>
    </row>
    <row r="3733">
      <c r="A3733" s="29">
        <v>46000.47491965278</v>
      </c>
      <c r="B3733" s="30">
        <v>46000.0</v>
      </c>
      <c r="C3733" s="31" t="s">
        <v>11141</v>
      </c>
      <c r="D3733" s="32" t="s">
        <v>11142</v>
      </c>
      <c r="E3733" s="31" t="s">
        <v>43</v>
      </c>
      <c r="F3733" s="31">
        <v>2600000.0</v>
      </c>
      <c r="G3733" s="31" t="s">
        <v>23</v>
      </c>
      <c r="I3733" s="31" t="s">
        <v>229</v>
      </c>
      <c r="J3733" s="31" t="s">
        <v>967</v>
      </c>
      <c r="K3733" s="33" t="s">
        <v>11143</v>
      </c>
      <c r="L3733" s="31" t="s">
        <v>252</v>
      </c>
      <c r="O3733" s="31" t="s">
        <v>257</v>
      </c>
      <c r="P3733" s="31" t="s">
        <v>2453</v>
      </c>
    </row>
    <row r="3734">
      <c r="A3734" s="29">
        <v>46000.480116701394</v>
      </c>
      <c r="B3734" s="30">
        <v>46000.0</v>
      </c>
      <c r="C3734" s="31" t="s">
        <v>11144</v>
      </c>
      <c r="D3734" s="31">
        <v>0.0</v>
      </c>
      <c r="E3734" s="31" t="s">
        <v>11145</v>
      </c>
      <c r="F3734" s="31">
        <v>1500000.0</v>
      </c>
      <c r="G3734" s="31" t="s">
        <v>23</v>
      </c>
      <c r="I3734" s="31" t="s">
        <v>229</v>
      </c>
      <c r="J3734" s="31" t="s">
        <v>967</v>
      </c>
      <c r="K3734" s="33" t="s">
        <v>11146</v>
      </c>
      <c r="L3734" s="31" t="s">
        <v>252</v>
      </c>
      <c r="O3734" s="31" t="s">
        <v>257</v>
      </c>
      <c r="P3734" s="31" t="s">
        <v>2320</v>
      </c>
    </row>
    <row r="3735">
      <c r="A3735" s="29">
        <v>46000.50961607639</v>
      </c>
      <c r="B3735" s="30">
        <v>46000.0</v>
      </c>
      <c r="C3735" s="31" t="s">
        <v>11147</v>
      </c>
      <c r="D3735" s="32" t="s">
        <v>11148</v>
      </c>
      <c r="E3735" s="31" t="s">
        <v>43</v>
      </c>
      <c r="F3735" s="31">
        <v>3000000.0</v>
      </c>
      <c r="G3735" s="31" t="s">
        <v>23</v>
      </c>
      <c r="H3735" s="31">
        <v>3000000.0</v>
      </c>
      <c r="I3735" s="31" t="s">
        <v>413</v>
      </c>
      <c r="K3735" s="33" t="s">
        <v>11149</v>
      </c>
      <c r="L3735" s="31" t="s">
        <v>202</v>
      </c>
      <c r="M3735" s="31" t="s">
        <v>5638</v>
      </c>
      <c r="N3735" s="31" t="s">
        <v>871</v>
      </c>
      <c r="Q3735" s="31" t="s">
        <v>872</v>
      </c>
    </row>
    <row r="3736">
      <c r="A3736" s="29">
        <v>46000.51197527778</v>
      </c>
      <c r="B3736" s="30">
        <v>46000.0</v>
      </c>
      <c r="C3736" s="31" t="s">
        <v>11150</v>
      </c>
      <c r="D3736" s="32" t="s">
        <v>11151</v>
      </c>
      <c r="E3736" s="31" t="s">
        <v>784</v>
      </c>
      <c r="F3736" s="31">
        <v>3500000.0</v>
      </c>
      <c r="G3736" s="31" t="s">
        <v>23</v>
      </c>
      <c r="I3736" s="31" t="s">
        <v>229</v>
      </c>
      <c r="J3736" s="31" t="s">
        <v>967</v>
      </c>
      <c r="K3736" s="33" t="s">
        <v>11152</v>
      </c>
      <c r="L3736" s="31" t="s">
        <v>202</v>
      </c>
      <c r="N3736" s="31" t="s">
        <v>204</v>
      </c>
      <c r="R3736" s="31" t="s">
        <v>98</v>
      </c>
    </row>
    <row r="3737">
      <c r="A3737" s="29">
        <v>46000.51272745371</v>
      </c>
      <c r="B3737" s="30">
        <v>46000.0</v>
      </c>
      <c r="C3737" s="31" t="s">
        <v>11153</v>
      </c>
      <c r="D3737" s="31" t="s">
        <v>11154</v>
      </c>
      <c r="E3737" s="31" t="s">
        <v>228</v>
      </c>
      <c r="F3737" s="31">
        <v>2500000.0</v>
      </c>
      <c r="G3737" s="31" t="s">
        <v>23</v>
      </c>
      <c r="I3737" s="31" t="s">
        <v>229</v>
      </c>
      <c r="J3737" s="31" t="s">
        <v>967</v>
      </c>
      <c r="K3737" s="33" t="s">
        <v>11155</v>
      </c>
      <c r="L3737" s="31" t="s">
        <v>202</v>
      </c>
      <c r="N3737" s="31" t="s">
        <v>204</v>
      </c>
      <c r="R3737" s="31" t="s">
        <v>360</v>
      </c>
    </row>
    <row r="3738">
      <c r="A3738" s="29">
        <v>46000.51791510417</v>
      </c>
      <c r="B3738" s="30">
        <v>46000.0</v>
      </c>
      <c r="C3738" s="31" t="s">
        <v>11156</v>
      </c>
      <c r="D3738" s="32" t="s">
        <v>11157</v>
      </c>
      <c r="E3738" s="31" t="s">
        <v>31</v>
      </c>
      <c r="F3738" s="31">
        <v>4600000.0</v>
      </c>
      <c r="G3738" s="31" t="s">
        <v>23</v>
      </c>
      <c r="I3738" s="31" t="s">
        <v>229</v>
      </c>
      <c r="J3738" s="31" t="s">
        <v>967</v>
      </c>
      <c r="K3738" s="33" t="s">
        <v>11158</v>
      </c>
      <c r="L3738" s="31" t="s">
        <v>202</v>
      </c>
      <c r="N3738" s="31" t="s">
        <v>204</v>
      </c>
      <c r="R3738" s="31" t="s">
        <v>207</v>
      </c>
    </row>
    <row r="3739">
      <c r="A3739" s="29">
        <v>46000.52383342593</v>
      </c>
      <c r="B3739" s="30">
        <v>45996.0</v>
      </c>
      <c r="C3739" s="31" t="s">
        <v>11159</v>
      </c>
      <c r="D3739" s="32" t="s">
        <v>11160</v>
      </c>
      <c r="E3739" s="31" t="s">
        <v>261</v>
      </c>
      <c r="F3739" s="31">
        <v>1000.0</v>
      </c>
      <c r="G3739" s="31" t="s">
        <v>45</v>
      </c>
      <c r="I3739" s="31" t="s">
        <v>229</v>
      </c>
      <c r="J3739" s="31" t="s">
        <v>967</v>
      </c>
      <c r="K3739" s="33" t="s">
        <v>11161</v>
      </c>
      <c r="L3739" s="31" t="s">
        <v>202</v>
      </c>
      <c r="N3739" s="31" t="s">
        <v>204</v>
      </c>
      <c r="R3739" s="31" t="s">
        <v>8206</v>
      </c>
    </row>
    <row r="3740">
      <c r="A3740" s="29">
        <v>46000.531493877315</v>
      </c>
      <c r="B3740" s="30">
        <v>45992.0</v>
      </c>
      <c r="C3740" s="31" t="s">
        <v>11162</v>
      </c>
      <c r="D3740" s="32" t="s">
        <v>11163</v>
      </c>
      <c r="E3740" s="31" t="s">
        <v>784</v>
      </c>
      <c r="F3740" s="31">
        <v>3500000.0</v>
      </c>
      <c r="G3740" s="31" t="s">
        <v>23</v>
      </c>
      <c r="I3740" s="31" t="s">
        <v>229</v>
      </c>
      <c r="J3740" s="31" t="s">
        <v>967</v>
      </c>
      <c r="K3740" s="33" t="s">
        <v>11164</v>
      </c>
      <c r="L3740" s="31" t="s">
        <v>202</v>
      </c>
      <c r="N3740" s="31" t="s">
        <v>204</v>
      </c>
      <c r="R3740" s="31" t="s">
        <v>47</v>
      </c>
    </row>
    <row r="3741">
      <c r="A3741" s="29">
        <v>46000.53325466435</v>
      </c>
      <c r="B3741" s="30">
        <v>45993.0</v>
      </c>
      <c r="C3741" s="31" t="s">
        <v>11165</v>
      </c>
      <c r="D3741" s="32" t="s">
        <v>10219</v>
      </c>
      <c r="E3741" s="31" t="s">
        <v>784</v>
      </c>
      <c r="F3741" s="31">
        <v>2500000.0</v>
      </c>
      <c r="G3741" s="31" t="s">
        <v>23</v>
      </c>
      <c r="I3741" s="31" t="s">
        <v>229</v>
      </c>
      <c r="J3741" s="31" t="s">
        <v>967</v>
      </c>
      <c r="K3741" s="33" t="s">
        <v>11166</v>
      </c>
      <c r="L3741" s="31" t="s">
        <v>202</v>
      </c>
      <c r="N3741" s="31" t="s">
        <v>204</v>
      </c>
      <c r="R3741" s="31" t="s">
        <v>47</v>
      </c>
    </row>
    <row r="3742">
      <c r="A3742" s="29">
        <v>46000.53451153935</v>
      </c>
      <c r="B3742" s="30">
        <v>45994.0</v>
      </c>
      <c r="C3742" s="31" t="s">
        <v>11167</v>
      </c>
      <c r="D3742" s="32" t="s">
        <v>11168</v>
      </c>
      <c r="E3742" s="31" t="s">
        <v>288</v>
      </c>
      <c r="F3742" s="31">
        <v>100000.0</v>
      </c>
      <c r="G3742" s="31" t="s">
        <v>23</v>
      </c>
      <c r="I3742" s="31" t="s">
        <v>229</v>
      </c>
      <c r="J3742" s="31" t="s">
        <v>967</v>
      </c>
      <c r="K3742" s="33" t="s">
        <v>11169</v>
      </c>
      <c r="L3742" s="31" t="s">
        <v>202</v>
      </c>
      <c r="N3742" s="31" t="s">
        <v>204</v>
      </c>
      <c r="R3742" s="31" t="s">
        <v>47</v>
      </c>
    </row>
    <row r="3743">
      <c r="A3743" s="29">
        <v>46000.53643961805</v>
      </c>
      <c r="B3743" s="30">
        <v>45995.0</v>
      </c>
      <c r="C3743" s="31" t="s">
        <v>11170</v>
      </c>
      <c r="D3743" s="32" t="s">
        <v>10219</v>
      </c>
      <c r="E3743" s="31" t="s">
        <v>199</v>
      </c>
      <c r="F3743" s="31">
        <v>4000000.0</v>
      </c>
      <c r="G3743" s="31" t="s">
        <v>23</v>
      </c>
      <c r="H3743" s="31">
        <v>7000000.0</v>
      </c>
      <c r="I3743" s="31" t="s">
        <v>413</v>
      </c>
      <c r="K3743" s="33" t="s">
        <v>11171</v>
      </c>
      <c r="L3743" s="31" t="s">
        <v>202</v>
      </c>
      <c r="M3743" s="31" t="s">
        <v>203</v>
      </c>
      <c r="N3743" s="31" t="s">
        <v>204</v>
      </c>
      <c r="R3743" s="31" t="s">
        <v>47</v>
      </c>
    </row>
    <row r="3744">
      <c r="A3744" s="29">
        <v>46000.53960334491</v>
      </c>
      <c r="B3744" s="30">
        <v>45996.0</v>
      </c>
      <c r="C3744" s="31" t="s">
        <v>11172</v>
      </c>
      <c r="D3744" s="32" t="s">
        <v>11173</v>
      </c>
      <c r="E3744" s="31" t="s">
        <v>288</v>
      </c>
      <c r="F3744" s="31">
        <v>500000.0</v>
      </c>
      <c r="G3744" s="31" t="s">
        <v>23</v>
      </c>
      <c r="I3744" s="31" t="s">
        <v>229</v>
      </c>
      <c r="J3744" s="31" t="s">
        <v>967</v>
      </c>
      <c r="K3744" s="33" t="s">
        <v>11174</v>
      </c>
      <c r="L3744" s="31" t="s">
        <v>202</v>
      </c>
      <c r="N3744" s="31" t="s">
        <v>204</v>
      </c>
      <c r="R3744" s="31" t="s">
        <v>47</v>
      </c>
    </row>
    <row r="3745">
      <c r="A3745" s="29">
        <v>46000.54019989583</v>
      </c>
      <c r="B3745" s="30">
        <v>46000.0</v>
      </c>
      <c r="C3745" s="31" t="s">
        <v>11175</v>
      </c>
      <c r="D3745" s="32" t="s">
        <v>11176</v>
      </c>
      <c r="E3745" s="31" t="s">
        <v>11177</v>
      </c>
      <c r="F3745" s="31">
        <v>5000000.0</v>
      </c>
      <c r="G3745" s="31" t="s">
        <v>23</v>
      </c>
      <c r="I3745" s="31" t="s">
        <v>229</v>
      </c>
      <c r="J3745" s="31" t="s">
        <v>967</v>
      </c>
      <c r="K3745" s="33" t="s">
        <v>11178</v>
      </c>
      <c r="L3745" s="31" t="s">
        <v>202</v>
      </c>
      <c r="N3745" s="31" t="s">
        <v>313</v>
      </c>
      <c r="T3745" s="31" t="s">
        <v>384</v>
      </c>
    </row>
    <row r="3746">
      <c r="A3746" s="29">
        <v>46000.54316631945</v>
      </c>
      <c r="B3746" s="30">
        <v>46000.0</v>
      </c>
      <c r="C3746" s="31" t="s">
        <v>11179</v>
      </c>
      <c r="D3746" s="32" t="s">
        <v>11180</v>
      </c>
      <c r="E3746" s="31" t="s">
        <v>261</v>
      </c>
      <c r="F3746" s="31">
        <v>9500000.0</v>
      </c>
      <c r="G3746" s="31" t="s">
        <v>23</v>
      </c>
      <c r="I3746" s="31" t="s">
        <v>229</v>
      </c>
      <c r="J3746" s="31" t="s">
        <v>967</v>
      </c>
      <c r="K3746" s="33" t="s">
        <v>11181</v>
      </c>
      <c r="L3746" s="31" t="s">
        <v>252</v>
      </c>
      <c r="O3746" s="31" t="s">
        <v>257</v>
      </c>
      <c r="P3746" s="31" t="s">
        <v>258</v>
      </c>
    </row>
    <row r="3747">
      <c r="A3747" s="29">
        <v>46000.54962908565</v>
      </c>
      <c r="B3747" s="30">
        <v>46000.0</v>
      </c>
      <c r="C3747" s="31" t="s">
        <v>11182</v>
      </c>
      <c r="D3747" s="32" t="s">
        <v>11183</v>
      </c>
      <c r="E3747" s="31" t="s">
        <v>43</v>
      </c>
      <c r="F3747" s="31">
        <v>4200000.0</v>
      </c>
      <c r="G3747" s="31" t="s">
        <v>23</v>
      </c>
      <c r="I3747" s="31" t="s">
        <v>229</v>
      </c>
      <c r="J3747" s="31" t="s">
        <v>967</v>
      </c>
      <c r="K3747" s="33" t="s">
        <v>11184</v>
      </c>
      <c r="L3747" s="31" t="s">
        <v>202</v>
      </c>
      <c r="N3747" s="31" t="s">
        <v>667</v>
      </c>
      <c r="U3747" s="31" t="s">
        <v>3950</v>
      </c>
    </row>
    <row r="3748">
      <c r="A3748" s="29">
        <v>46000.55108972223</v>
      </c>
      <c r="B3748" s="30">
        <v>46000.0</v>
      </c>
      <c r="C3748" s="31" t="s">
        <v>11185</v>
      </c>
      <c r="D3748" s="32" t="s">
        <v>11186</v>
      </c>
      <c r="E3748" s="31" t="s">
        <v>31</v>
      </c>
      <c r="F3748" s="31">
        <v>9100000.0</v>
      </c>
      <c r="G3748" s="31" t="s">
        <v>23</v>
      </c>
      <c r="I3748" s="31" t="s">
        <v>229</v>
      </c>
      <c r="J3748" s="31" t="s">
        <v>967</v>
      </c>
      <c r="K3748" s="33" t="s">
        <v>11187</v>
      </c>
      <c r="L3748" s="31" t="s">
        <v>202</v>
      </c>
      <c r="N3748" s="31" t="s">
        <v>667</v>
      </c>
      <c r="U3748" s="31" t="s">
        <v>668</v>
      </c>
    </row>
    <row r="3749">
      <c r="A3749" s="29">
        <v>46000.55799458333</v>
      </c>
      <c r="B3749" s="30">
        <v>46000.0</v>
      </c>
      <c r="C3749" s="31" t="s">
        <v>11188</v>
      </c>
      <c r="D3749" s="32" t="s">
        <v>11189</v>
      </c>
      <c r="E3749" s="31" t="s">
        <v>1166</v>
      </c>
      <c r="F3749" s="31">
        <v>5600000.0</v>
      </c>
      <c r="G3749" s="31" t="s">
        <v>23</v>
      </c>
      <c r="H3749" s="31">
        <v>3000000.0</v>
      </c>
      <c r="I3749" s="31" t="s">
        <v>200</v>
      </c>
      <c r="K3749" s="33" t="s">
        <v>11190</v>
      </c>
      <c r="L3749" s="31" t="s">
        <v>252</v>
      </c>
      <c r="M3749" s="31" t="s">
        <v>203</v>
      </c>
      <c r="O3749" s="31" t="s">
        <v>257</v>
      </c>
      <c r="P3749" s="31" t="s">
        <v>2453</v>
      </c>
    </row>
    <row r="3750">
      <c r="A3750" s="29">
        <v>46000.59532129629</v>
      </c>
      <c r="B3750" s="30">
        <v>46000.0</v>
      </c>
      <c r="C3750" s="31" t="s">
        <v>11191</v>
      </c>
      <c r="D3750" s="32" t="s">
        <v>11192</v>
      </c>
      <c r="E3750" s="31" t="s">
        <v>335</v>
      </c>
      <c r="F3750" s="31">
        <v>3100000.0</v>
      </c>
      <c r="G3750" s="31" t="s">
        <v>23</v>
      </c>
      <c r="I3750" s="31" t="s">
        <v>229</v>
      </c>
      <c r="J3750" s="31" t="s">
        <v>967</v>
      </c>
      <c r="K3750" s="33" t="s">
        <v>11193</v>
      </c>
      <c r="L3750" s="31" t="s">
        <v>252</v>
      </c>
      <c r="O3750" s="31" t="s">
        <v>257</v>
      </c>
      <c r="P3750" s="31" t="s">
        <v>2453</v>
      </c>
    </row>
    <row r="3751">
      <c r="A3751" s="29">
        <v>46000.621483854164</v>
      </c>
      <c r="B3751" s="30">
        <v>45999.0</v>
      </c>
      <c r="C3751" s="31" t="s">
        <v>11194</v>
      </c>
      <c r="D3751" s="32" t="s">
        <v>11195</v>
      </c>
      <c r="E3751" s="31" t="s">
        <v>31</v>
      </c>
      <c r="F3751" s="31">
        <v>1.67E7</v>
      </c>
      <c r="G3751" s="31" t="s">
        <v>23</v>
      </c>
      <c r="H3751" s="31">
        <v>3000000.0</v>
      </c>
      <c r="I3751" s="31" t="s">
        <v>200</v>
      </c>
      <c r="K3751" s="33" t="s">
        <v>11196</v>
      </c>
      <c r="L3751" s="31" t="s">
        <v>202</v>
      </c>
      <c r="M3751" s="31" t="s">
        <v>926</v>
      </c>
      <c r="N3751" s="31" t="s">
        <v>313</v>
      </c>
      <c r="T3751" s="31" t="s">
        <v>329</v>
      </c>
    </row>
    <row r="3752">
      <c r="A3752" s="29">
        <v>46000.62312204861</v>
      </c>
      <c r="B3752" s="30">
        <v>46000.0</v>
      </c>
      <c r="C3752" s="31" t="s">
        <v>11197</v>
      </c>
      <c r="D3752" s="32" t="s">
        <v>11198</v>
      </c>
      <c r="E3752" s="31" t="s">
        <v>31</v>
      </c>
      <c r="F3752" s="31">
        <v>1.26E7</v>
      </c>
      <c r="G3752" s="31" t="s">
        <v>23</v>
      </c>
      <c r="I3752" s="31" t="s">
        <v>229</v>
      </c>
      <c r="J3752" s="31" t="s">
        <v>967</v>
      </c>
      <c r="K3752" s="33" t="s">
        <v>11199</v>
      </c>
      <c r="L3752" s="31" t="s">
        <v>202</v>
      </c>
      <c r="N3752" s="31" t="s">
        <v>313</v>
      </c>
      <c r="T3752" s="31" t="s">
        <v>329</v>
      </c>
    </row>
    <row r="3753">
      <c r="A3753" s="29">
        <v>46000.63864711806</v>
      </c>
      <c r="B3753" s="30">
        <v>46000.0</v>
      </c>
      <c r="C3753" s="31" t="s">
        <v>11200</v>
      </c>
      <c r="D3753" s="32" t="s">
        <v>11201</v>
      </c>
      <c r="E3753" s="31" t="s">
        <v>156</v>
      </c>
      <c r="F3753" s="31">
        <v>3400000.0</v>
      </c>
      <c r="G3753" s="31" t="s">
        <v>45</v>
      </c>
      <c r="H3753" s="31">
        <v>3000000.0</v>
      </c>
      <c r="I3753" s="31" t="s">
        <v>413</v>
      </c>
      <c r="K3753" s="33" t="s">
        <v>11202</v>
      </c>
      <c r="L3753" s="31" t="s">
        <v>252</v>
      </c>
      <c r="M3753" s="31" t="s">
        <v>5638</v>
      </c>
      <c r="O3753" s="31" t="s">
        <v>205</v>
      </c>
      <c r="X3753" s="31" t="s">
        <v>569</v>
      </c>
    </row>
    <row r="3754">
      <c r="A3754" s="29">
        <v>46000.65089099537</v>
      </c>
      <c r="B3754" s="30">
        <v>46000.0</v>
      </c>
      <c r="C3754" s="31" t="s">
        <v>11203</v>
      </c>
      <c r="D3754" s="32" t="s">
        <v>11204</v>
      </c>
      <c r="E3754" s="31" t="s">
        <v>43</v>
      </c>
      <c r="F3754" s="31">
        <v>2300000.0</v>
      </c>
      <c r="G3754" s="31" t="s">
        <v>23</v>
      </c>
      <c r="I3754" s="31" t="s">
        <v>229</v>
      </c>
      <c r="J3754" s="31" t="s">
        <v>967</v>
      </c>
      <c r="K3754" s="33" t="s">
        <v>11205</v>
      </c>
      <c r="L3754" s="31" t="s">
        <v>202</v>
      </c>
      <c r="N3754" s="31" t="s">
        <v>871</v>
      </c>
      <c r="Q3754" s="31" t="s">
        <v>1021</v>
      </c>
    </row>
    <row r="3755">
      <c r="A3755" s="29">
        <v>46000.65877443287</v>
      </c>
      <c r="B3755" s="30">
        <v>46000.0</v>
      </c>
      <c r="C3755" s="31" t="s">
        <v>11206</v>
      </c>
      <c r="D3755" s="32" t="s">
        <v>11207</v>
      </c>
      <c r="E3755" s="31" t="s">
        <v>199</v>
      </c>
      <c r="F3755" s="31">
        <v>9750000.0</v>
      </c>
      <c r="G3755" s="31" t="s">
        <v>23</v>
      </c>
      <c r="I3755" s="31" t="s">
        <v>229</v>
      </c>
      <c r="J3755" s="31" t="s">
        <v>967</v>
      </c>
      <c r="K3755" s="33" t="s">
        <v>11208</v>
      </c>
      <c r="L3755" s="31" t="s">
        <v>202</v>
      </c>
      <c r="N3755" s="31" t="s">
        <v>667</v>
      </c>
      <c r="U3755" s="31" t="s">
        <v>668</v>
      </c>
    </row>
    <row r="3756">
      <c r="A3756" s="29">
        <v>46000.70382956018</v>
      </c>
      <c r="B3756" s="30">
        <v>46000.0</v>
      </c>
      <c r="C3756" s="31" t="s">
        <v>11209</v>
      </c>
      <c r="D3756" s="32" t="s">
        <v>11210</v>
      </c>
      <c r="E3756" s="31" t="s">
        <v>43</v>
      </c>
      <c r="F3756" s="31">
        <v>2000000.0</v>
      </c>
      <c r="G3756" s="31" t="s">
        <v>23</v>
      </c>
      <c r="I3756" s="31" t="s">
        <v>229</v>
      </c>
      <c r="J3756" s="31" t="s">
        <v>967</v>
      </c>
      <c r="K3756" s="33" t="s">
        <v>11211</v>
      </c>
      <c r="L3756" s="31" t="s">
        <v>252</v>
      </c>
      <c r="O3756" s="31" t="s">
        <v>205</v>
      </c>
      <c r="X3756" s="31" t="s">
        <v>549</v>
      </c>
    </row>
    <row r="3757">
      <c r="A3757" s="29">
        <v>46000.70746472222</v>
      </c>
      <c r="B3757" s="30">
        <v>46000.0</v>
      </c>
      <c r="C3757" s="31" t="s">
        <v>11212</v>
      </c>
      <c r="D3757" s="32" t="s">
        <v>11213</v>
      </c>
      <c r="E3757" s="31" t="s">
        <v>43</v>
      </c>
      <c r="F3757" s="31">
        <v>3200000.0</v>
      </c>
      <c r="G3757" s="31" t="s">
        <v>23</v>
      </c>
      <c r="H3757" s="31">
        <v>3000000.0</v>
      </c>
      <c r="I3757" s="31" t="s">
        <v>200</v>
      </c>
      <c r="K3757" s="33" t="s">
        <v>11214</v>
      </c>
      <c r="L3757" s="31" t="s">
        <v>252</v>
      </c>
      <c r="M3757" s="31" t="s">
        <v>203</v>
      </c>
      <c r="O3757" s="31" t="s">
        <v>257</v>
      </c>
      <c r="P3757" s="31" t="s">
        <v>2453</v>
      </c>
    </row>
    <row r="3758">
      <c r="A3758" s="29">
        <v>46000.72466763889</v>
      </c>
      <c r="B3758" s="30">
        <v>46000.0</v>
      </c>
      <c r="C3758" s="31" t="s">
        <v>11215</v>
      </c>
      <c r="D3758" s="32" t="s">
        <v>11216</v>
      </c>
      <c r="E3758" s="31" t="s">
        <v>31</v>
      </c>
      <c r="F3758" s="31">
        <v>3500000.0</v>
      </c>
      <c r="G3758" s="31" t="s">
        <v>23</v>
      </c>
      <c r="H3758" s="31">
        <v>3000000.0</v>
      </c>
      <c r="I3758" s="31" t="s">
        <v>200</v>
      </c>
      <c r="K3758" s="31" t="s">
        <v>11217</v>
      </c>
      <c r="L3758" s="31" t="s">
        <v>202</v>
      </c>
      <c r="M3758" s="31" t="s">
        <v>5638</v>
      </c>
      <c r="N3758" s="31" t="s">
        <v>204</v>
      </c>
      <c r="R3758" s="31" t="s">
        <v>148</v>
      </c>
    </row>
    <row r="3759">
      <c r="A3759" s="29">
        <v>46000.731786018514</v>
      </c>
      <c r="B3759" s="30">
        <v>46000.0</v>
      </c>
      <c r="C3759" s="31" t="s">
        <v>11218</v>
      </c>
      <c r="D3759" s="32" t="s">
        <v>11219</v>
      </c>
      <c r="E3759" s="31" t="s">
        <v>43</v>
      </c>
      <c r="F3759" s="31">
        <v>3200000.0</v>
      </c>
      <c r="G3759" s="31" t="s">
        <v>23</v>
      </c>
      <c r="I3759" s="31" t="s">
        <v>229</v>
      </c>
      <c r="J3759" s="31" t="s">
        <v>967</v>
      </c>
      <c r="K3759" s="33" t="s">
        <v>11220</v>
      </c>
      <c r="L3759" s="31" t="s">
        <v>252</v>
      </c>
      <c r="O3759" s="31" t="s">
        <v>257</v>
      </c>
      <c r="P3759" s="31" t="s">
        <v>2453</v>
      </c>
    </row>
    <row r="3760">
      <c r="A3760" s="29">
        <v>46000.750495381944</v>
      </c>
      <c r="B3760" s="30">
        <v>46000.0</v>
      </c>
      <c r="C3760" s="31" t="s">
        <v>11221</v>
      </c>
      <c r="D3760" s="31">
        <v>8.5337117329E10</v>
      </c>
      <c r="E3760" s="31" t="s">
        <v>43</v>
      </c>
      <c r="F3760" s="31">
        <v>8000000.0</v>
      </c>
      <c r="G3760" s="31" t="s">
        <v>23</v>
      </c>
      <c r="I3760" s="31" t="s">
        <v>229</v>
      </c>
      <c r="J3760" s="31" t="s">
        <v>967</v>
      </c>
      <c r="K3760" s="33" t="s">
        <v>11222</v>
      </c>
      <c r="L3760" s="31" t="s">
        <v>202</v>
      </c>
      <c r="N3760" s="31" t="s">
        <v>313</v>
      </c>
      <c r="T3760" s="31" t="s">
        <v>314</v>
      </c>
    </row>
    <row r="3761">
      <c r="A3761" s="29">
        <v>46000.75258936343</v>
      </c>
      <c r="B3761" s="30">
        <v>46000.0</v>
      </c>
      <c r="C3761" s="31" t="s">
        <v>11223</v>
      </c>
      <c r="D3761" s="32" t="s">
        <v>11224</v>
      </c>
      <c r="E3761" s="31" t="s">
        <v>43</v>
      </c>
      <c r="F3761" s="31">
        <v>7000000.0</v>
      </c>
      <c r="G3761" s="31" t="s">
        <v>23</v>
      </c>
      <c r="I3761" s="31" t="s">
        <v>229</v>
      </c>
      <c r="J3761" s="31" t="s">
        <v>967</v>
      </c>
      <c r="K3761" s="33" t="s">
        <v>11225</v>
      </c>
      <c r="L3761" s="31" t="s">
        <v>202</v>
      </c>
      <c r="N3761" s="31" t="s">
        <v>313</v>
      </c>
      <c r="T3761" s="31" t="s">
        <v>314</v>
      </c>
    </row>
    <row r="3762">
      <c r="A3762" s="29">
        <v>46000.75535398148</v>
      </c>
      <c r="B3762" s="30">
        <v>46000.0</v>
      </c>
      <c r="C3762" s="31" t="s">
        <v>11226</v>
      </c>
      <c r="D3762" s="32" t="s">
        <v>11227</v>
      </c>
      <c r="E3762" s="31" t="s">
        <v>43</v>
      </c>
      <c r="F3762" s="31">
        <v>9000000.0</v>
      </c>
      <c r="G3762" s="31" t="s">
        <v>23</v>
      </c>
      <c r="H3762" s="31">
        <v>3000000.0</v>
      </c>
      <c r="I3762" s="31" t="s">
        <v>413</v>
      </c>
      <c r="K3762" s="33" t="s">
        <v>11228</v>
      </c>
      <c r="L3762" s="31" t="s">
        <v>202</v>
      </c>
      <c r="M3762" s="31" t="s">
        <v>5638</v>
      </c>
      <c r="N3762" s="31" t="s">
        <v>313</v>
      </c>
      <c r="T3762" s="31" t="s">
        <v>314</v>
      </c>
    </row>
    <row r="3763">
      <c r="A3763" s="29">
        <v>46000.75678689815</v>
      </c>
      <c r="B3763" s="30">
        <v>46000.0</v>
      </c>
      <c r="C3763" s="31" t="s">
        <v>11229</v>
      </c>
      <c r="D3763" s="32" t="s">
        <v>11230</v>
      </c>
      <c r="E3763" s="31" t="s">
        <v>43</v>
      </c>
      <c r="F3763" s="31">
        <v>3000000.0</v>
      </c>
      <c r="G3763" s="31" t="s">
        <v>23</v>
      </c>
      <c r="H3763" s="31">
        <v>3000000.0</v>
      </c>
      <c r="I3763" s="31" t="s">
        <v>413</v>
      </c>
      <c r="K3763" s="31" t="s">
        <v>11231</v>
      </c>
      <c r="L3763" s="31" t="s">
        <v>202</v>
      </c>
      <c r="M3763" s="31" t="s">
        <v>5638</v>
      </c>
      <c r="N3763" s="31" t="s">
        <v>871</v>
      </c>
      <c r="Q3763" s="31" t="s">
        <v>872</v>
      </c>
    </row>
    <row r="3764">
      <c r="A3764" s="29">
        <v>46000.760363912035</v>
      </c>
      <c r="B3764" s="30">
        <v>46000.0</v>
      </c>
      <c r="C3764" s="31" t="s">
        <v>4218</v>
      </c>
      <c r="D3764" s="32" t="s">
        <v>4219</v>
      </c>
      <c r="E3764" s="31" t="s">
        <v>43</v>
      </c>
      <c r="F3764" s="31">
        <v>3200000.0</v>
      </c>
      <c r="G3764" s="31" t="s">
        <v>23</v>
      </c>
      <c r="H3764" s="31">
        <v>3000000.0</v>
      </c>
      <c r="I3764" s="31" t="s">
        <v>413</v>
      </c>
      <c r="K3764" s="33" t="s">
        <v>11232</v>
      </c>
      <c r="L3764" s="31" t="s">
        <v>202</v>
      </c>
      <c r="M3764" s="31" t="s">
        <v>203</v>
      </c>
      <c r="N3764" s="31" t="s">
        <v>667</v>
      </c>
      <c r="U3764" s="31" t="s">
        <v>3950</v>
      </c>
    </row>
    <row r="3765">
      <c r="A3765" s="29">
        <v>46000.78075741898</v>
      </c>
      <c r="B3765" s="30">
        <v>46000.0</v>
      </c>
      <c r="C3765" s="31" t="s">
        <v>11233</v>
      </c>
      <c r="D3765" s="32" t="s">
        <v>11234</v>
      </c>
      <c r="E3765" s="31" t="s">
        <v>784</v>
      </c>
      <c r="F3765" s="31">
        <v>3500000.0</v>
      </c>
      <c r="G3765" s="31" t="s">
        <v>23</v>
      </c>
      <c r="H3765" s="31">
        <v>3000000.0</v>
      </c>
      <c r="I3765" s="31" t="s">
        <v>413</v>
      </c>
      <c r="K3765" s="33" t="s">
        <v>11235</v>
      </c>
      <c r="L3765" s="31" t="s">
        <v>202</v>
      </c>
      <c r="M3765" s="31" t="s">
        <v>5638</v>
      </c>
      <c r="N3765" s="31" t="s">
        <v>204</v>
      </c>
      <c r="R3765" s="31" t="s">
        <v>98</v>
      </c>
    </row>
    <row r="3766">
      <c r="A3766" s="29">
        <v>46000.80313597222</v>
      </c>
      <c r="B3766" s="30">
        <v>46000.0</v>
      </c>
      <c r="C3766" s="31" t="s">
        <v>11236</v>
      </c>
      <c r="D3766" s="32" t="s">
        <v>11237</v>
      </c>
      <c r="E3766" s="31" t="s">
        <v>43</v>
      </c>
      <c r="F3766" s="31">
        <v>2000000.0</v>
      </c>
      <c r="G3766" s="31" t="s">
        <v>23</v>
      </c>
      <c r="I3766" s="31" t="s">
        <v>229</v>
      </c>
      <c r="J3766" s="31" t="s">
        <v>967</v>
      </c>
      <c r="K3766" s="33" t="s">
        <v>11238</v>
      </c>
      <c r="L3766" s="31" t="s">
        <v>202</v>
      </c>
      <c r="N3766" s="31" t="s">
        <v>204</v>
      </c>
      <c r="R3766" s="31" t="s">
        <v>5256</v>
      </c>
    </row>
    <row r="3767">
      <c r="A3767" s="29">
        <v>46000.80488174768</v>
      </c>
      <c r="B3767" s="30">
        <v>46000.0</v>
      </c>
      <c r="C3767" s="31" t="s">
        <v>11239</v>
      </c>
      <c r="D3767" s="32" t="s">
        <v>11240</v>
      </c>
      <c r="E3767" s="31" t="s">
        <v>43</v>
      </c>
      <c r="F3767" s="31">
        <v>3000000.0</v>
      </c>
      <c r="G3767" s="31" t="s">
        <v>23</v>
      </c>
      <c r="I3767" s="31" t="s">
        <v>229</v>
      </c>
      <c r="J3767" s="31" t="s">
        <v>967</v>
      </c>
      <c r="K3767" s="33" t="s">
        <v>11241</v>
      </c>
      <c r="L3767" s="31" t="s">
        <v>202</v>
      </c>
      <c r="N3767" s="31" t="s">
        <v>204</v>
      </c>
      <c r="R3767" s="31" t="s">
        <v>5256</v>
      </c>
    </row>
    <row r="3768">
      <c r="A3768" s="29">
        <v>46000.808070914354</v>
      </c>
      <c r="B3768" s="30">
        <v>46000.0</v>
      </c>
      <c r="C3768" s="31" t="s">
        <v>11242</v>
      </c>
      <c r="D3768" s="32" t="s">
        <v>11243</v>
      </c>
      <c r="E3768" s="31" t="s">
        <v>43</v>
      </c>
      <c r="F3768" s="31">
        <v>2600000.0</v>
      </c>
      <c r="G3768" s="31" t="s">
        <v>23</v>
      </c>
      <c r="I3768" s="31" t="s">
        <v>229</v>
      </c>
      <c r="J3768" s="31" t="s">
        <v>967</v>
      </c>
      <c r="K3768" s="33" t="s">
        <v>11244</v>
      </c>
      <c r="L3768" s="31" t="s">
        <v>252</v>
      </c>
      <c r="O3768" s="31" t="s">
        <v>257</v>
      </c>
      <c r="P3768" s="31" t="s">
        <v>206</v>
      </c>
    </row>
    <row r="3769">
      <c r="A3769" s="29">
        <v>46000.810912534726</v>
      </c>
      <c r="B3769" s="30">
        <v>46000.0</v>
      </c>
      <c r="C3769" s="31" t="s">
        <v>11245</v>
      </c>
      <c r="D3769" s="32" t="s">
        <v>4253</v>
      </c>
      <c r="E3769" s="31" t="s">
        <v>127</v>
      </c>
      <c r="F3769" s="31">
        <v>3500000.0</v>
      </c>
      <c r="G3769" s="31" t="s">
        <v>23</v>
      </c>
      <c r="I3769" s="31" t="s">
        <v>229</v>
      </c>
      <c r="J3769" s="31" t="s">
        <v>967</v>
      </c>
      <c r="K3769" s="33" t="s">
        <v>11246</v>
      </c>
      <c r="L3769" s="31" t="s">
        <v>252</v>
      </c>
      <c r="O3769" s="31" t="s">
        <v>257</v>
      </c>
      <c r="P3769" s="31" t="s">
        <v>206</v>
      </c>
    </row>
    <row r="3770">
      <c r="A3770" s="29">
        <v>46000.81135396991</v>
      </c>
      <c r="B3770" s="30">
        <v>46000.0</v>
      </c>
      <c r="C3770" s="31" t="s">
        <v>10847</v>
      </c>
      <c r="D3770" s="32" t="s">
        <v>11247</v>
      </c>
      <c r="E3770" s="31" t="s">
        <v>2902</v>
      </c>
      <c r="F3770" s="31">
        <v>3000000.0</v>
      </c>
      <c r="G3770" s="31" t="s">
        <v>23</v>
      </c>
      <c r="H3770" s="31">
        <v>3000000.0</v>
      </c>
      <c r="I3770" s="31" t="s">
        <v>200</v>
      </c>
      <c r="K3770" s="33" t="s">
        <v>11248</v>
      </c>
      <c r="L3770" s="31" t="s">
        <v>202</v>
      </c>
      <c r="M3770" s="31" t="s">
        <v>203</v>
      </c>
      <c r="N3770" s="31" t="s">
        <v>220</v>
      </c>
      <c r="S3770" s="31" t="s">
        <v>36</v>
      </c>
    </row>
    <row r="3771">
      <c r="A3771" s="29">
        <v>46000.81366552084</v>
      </c>
      <c r="B3771" s="30">
        <v>46000.0</v>
      </c>
      <c r="C3771" s="31" t="s">
        <v>11249</v>
      </c>
      <c r="D3771" s="32" t="s">
        <v>8625</v>
      </c>
      <c r="E3771" s="31" t="s">
        <v>43</v>
      </c>
      <c r="F3771" s="31">
        <v>2500000.0</v>
      </c>
      <c r="G3771" s="31" t="s">
        <v>23</v>
      </c>
      <c r="I3771" s="31" t="s">
        <v>229</v>
      </c>
      <c r="J3771" s="31" t="s">
        <v>967</v>
      </c>
      <c r="K3771" s="33" t="s">
        <v>11250</v>
      </c>
      <c r="L3771" s="31" t="s">
        <v>252</v>
      </c>
      <c r="O3771" s="31" t="s">
        <v>257</v>
      </c>
      <c r="P3771" s="31" t="s">
        <v>206</v>
      </c>
    </row>
    <row r="3772">
      <c r="A3772" s="29">
        <v>46000.83087609954</v>
      </c>
      <c r="B3772" s="30">
        <v>46000.0</v>
      </c>
      <c r="C3772" s="31" t="s">
        <v>11239</v>
      </c>
      <c r="D3772" s="32" t="s">
        <v>11251</v>
      </c>
      <c r="E3772" s="31" t="s">
        <v>43</v>
      </c>
      <c r="F3772" s="31">
        <v>3000000.0</v>
      </c>
      <c r="G3772" s="31" t="s">
        <v>23</v>
      </c>
      <c r="I3772" s="31" t="s">
        <v>229</v>
      </c>
      <c r="J3772" s="31" t="s">
        <v>967</v>
      </c>
      <c r="K3772" s="33" t="s">
        <v>11252</v>
      </c>
      <c r="L3772" s="31" t="s">
        <v>202</v>
      </c>
      <c r="N3772" s="31" t="s">
        <v>204</v>
      </c>
      <c r="R3772" s="31" t="s">
        <v>5256</v>
      </c>
    </row>
    <row r="3773">
      <c r="A3773" s="29">
        <v>46000.83226365741</v>
      </c>
      <c r="B3773" s="30">
        <v>46000.0</v>
      </c>
      <c r="C3773" s="31" t="s">
        <v>11253</v>
      </c>
      <c r="D3773" s="32" t="s">
        <v>11254</v>
      </c>
      <c r="E3773" s="31" t="s">
        <v>43</v>
      </c>
      <c r="F3773" s="31">
        <v>3500000.0</v>
      </c>
      <c r="G3773" s="31" t="s">
        <v>23</v>
      </c>
      <c r="H3773" s="31">
        <v>3000000.0</v>
      </c>
      <c r="I3773" s="31" t="s">
        <v>200</v>
      </c>
      <c r="K3773" s="33" t="s">
        <v>11255</v>
      </c>
      <c r="L3773" s="31" t="s">
        <v>202</v>
      </c>
      <c r="M3773" s="31" t="s">
        <v>5638</v>
      </c>
      <c r="N3773" s="31" t="s">
        <v>220</v>
      </c>
      <c r="S3773" s="31" t="s">
        <v>83</v>
      </c>
    </row>
    <row r="3774">
      <c r="A3774" s="29">
        <v>46000.8532628588</v>
      </c>
      <c r="B3774" s="30">
        <v>46000.0</v>
      </c>
      <c r="C3774" s="31" t="s">
        <v>11256</v>
      </c>
      <c r="D3774" s="32" t="s">
        <v>11257</v>
      </c>
      <c r="E3774" s="31" t="s">
        <v>11258</v>
      </c>
      <c r="F3774" s="31">
        <v>5500000.0</v>
      </c>
      <c r="G3774" s="31" t="s">
        <v>23</v>
      </c>
      <c r="I3774" s="31" t="s">
        <v>229</v>
      </c>
      <c r="J3774" s="31" t="s">
        <v>967</v>
      </c>
      <c r="K3774" s="33" t="s">
        <v>11259</v>
      </c>
      <c r="L3774" s="31" t="s">
        <v>202</v>
      </c>
      <c r="N3774" s="31" t="s">
        <v>204</v>
      </c>
      <c r="R3774" s="31" t="s">
        <v>98</v>
      </c>
    </row>
    <row r="3775">
      <c r="A3775" s="29">
        <v>46000.8609235301</v>
      </c>
      <c r="B3775" s="30">
        <v>46000.0</v>
      </c>
      <c r="C3775" s="31" t="s">
        <v>11260</v>
      </c>
      <c r="D3775" s="31">
        <v>0.0</v>
      </c>
      <c r="E3775" s="31" t="s">
        <v>43</v>
      </c>
      <c r="F3775" s="32" t="s">
        <v>1892</v>
      </c>
      <c r="G3775" s="31" t="s">
        <v>23</v>
      </c>
      <c r="H3775" s="31">
        <v>3000000.0</v>
      </c>
      <c r="I3775" s="31" t="s">
        <v>200</v>
      </c>
      <c r="K3775" s="33" t="s">
        <v>11261</v>
      </c>
      <c r="L3775" s="31" t="s">
        <v>252</v>
      </c>
      <c r="M3775" s="31" t="s">
        <v>5638</v>
      </c>
      <c r="O3775" s="31" t="s">
        <v>257</v>
      </c>
      <c r="P3775" s="31" t="s">
        <v>992</v>
      </c>
    </row>
    <row r="3776">
      <c r="A3776" s="29">
        <v>46000.882109143524</v>
      </c>
      <c r="B3776" s="30">
        <v>46000.0</v>
      </c>
      <c r="C3776" s="31" t="s">
        <v>11262</v>
      </c>
      <c r="D3776" s="32" t="s">
        <v>11263</v>
      </c>
      <c r="E3776" s="31" t="s">
        <v>43</v>
      </c>
      <c r="F3776" s="31">
        <v>4000000.0</v>
      </c>
      <c r="G3776" s="31" t="s">
        <v>23</v>
      </c>
      <c r="I3776" s="31" t="s">
        <v>229</v>
      </c>
      <c r="J3776" s="31" t="s">
        <v>967</v>
      </c>
      <c r="K3776" s="33" t="s">
        <v>11264</v>
      </c>
      <c r="L3776" s="31" t="s">
        <v>202</v>
      </c>
      <c r="N3776" s="31" t="s">
        <v>220</v>
      </c>
      <c r="S3776" s="31" t="s">
        <v>536</v>
      </c>
    </row>
    <row r="3777">
      <c r="A3777" s="29">
        <v>46000.88409054399</v>
      </c>
      <c r="B3777" s="30">
        <v>46000.0</v>
      </c>
      <c r="C3777" s="31" t="s">
        <v>11265</v>
      </c>
      <c r="D3777" s="32" t="s">
        <v>11266</v>
      </c>
      <c r="E3777" s="31" t="s">
        <v>43</v>
      </c>
      <c r="F3777" s="31">
        <v>5200000.0</v>
      </c>
      <c r="G3777" s="31" t="s">
        <v>23</v>
      </c>
      <c r="I3777" s="31" t="s">
        <v>229</v>
      </c>
      <c r="J3777" s="31" t="s">
        <v>967</v>
      </c>
      <c r="K3777" s="33" t="s">
        <v>11267</v>
      </c>
      <c r="L3777" s="31" t="s">
        <v>202</v>
      </c>
      <c r="N3777" s="31" t="s">
        <v>220</v>
      </c>
      <c r="S3777" s="31" t="s">
        <v>466</v>
      </c>
    </row>
    <row r="3778">
      <c r="A3778" s="29">
        <v>46000.885283194446</v>
      </c>
      <c r="B3778" s="30">
        <v>46000.0</v>
      </c>
      <c r="C3778" s="31" t="s">
        <v>11268</v>
      </c>
      <c r="D3778" s="32" t="s">
        <v>11269</v>
      </c>
      <c r="E3778" s="31" t="s">
        <v>43</v>
      </c>
      <c r="F3778" s="31">
        <v>4800000.0</v>
      </c>
      <c r="G3778" s="31" t="s">
        <v>23</v>
      </c>
      <c r="I3778" s="31" t="s">
        <v>229</v>
      </c>
      <c r="J3778" s="31" t="s">
        <v>967</v>
      </c>
      <c r="K3778" s="33" t="s">
        <v>11270</v>
      </c>
      <c r="L3778" s="31" t="s">
        <v>202</v>
      </c>
      <c r="N3778" s="31" t="s">
        <v>220</v>
      </c>
      <c r="S3778" s="31" t="s">
        <v>466</v>
      </c>
    </row>
    <row r="3779">
      <c r="A3779" s="29">
        <v>46000.88634104167</v>
      </c>
      <c r="B3779" s="30">
        <v>46000.0</v>
      </c>
      <c r="C3779" s="31" t="s">
        <v>11271</v>
      </c>
      <c r="D3779" s="32" t="s">
        <v>11272</v>
      </c>
      <c r="E3779" s="31" t="s">
        <v>43</v>
      </c>
      <c r="F3779" s="34">
        <v>1.0E8</v>
      </c>
      <c r="G3779" s="31" t="s">
        <v>23</v>
      </c>
      <c r="I3779" s="31" t="s">
        <v>229</v>
      </c>
      <c r="J3779" s="31" t="s">
        <v>967</v>
      </c>
      <c r="K3779" s="33" t="s">
        <v>11273</v>
      </c>
      <c r="L3779" s="31" t="s">
        <v>202</v>
      </c>
      <c r="N3779" s="31" t="s">
        <v>204</v>
      </c>
      <c r="R3779" s="31" t="s">
        <v>471</v>
      </c>
    </row>
    <row r="3780">
      <c r="A3780" s="29">
        <v>46000.8953318287</v>
      </c>
      <c r="B3780" s="30">
        <v>45999.0</v>
      </c>
      <c r="C3780" s="31" t="s">
        <v>11274</v>
      </c>
      <c r="D3780" s="32" t="s">
        <v>11275</v>
      </c>
      <c r="E3780" s="31" t="s">
        <v>199</v>
      </c>
      <c r="F3780" s="31">
        <v>3500000.0</v>
      </c>
      <c r="G3780" s="31" t="s">
        <v>23</v>
      </c>
      <c r="H3780" s="31">
        <v>3000000.0</v>
      </c>
      <c r="I3780" s="31" t="s">
        <v>200</v>
      </c>
      <c r="K3780" s="31" t="s">
        <v>11276</v>
      </c>
      <c r="L3780" s="31" t="s">
        <v>202</v>
      </c>
      <c r="M3780" s="31" t="s">
        <v>5638</v>
      </c>
      <c r="N3780" s="31" t="s">
        <v>204</v>
      </c>
      <c r="R3780" s="31" t="s">
        <v>5606</v>
      </c>
    </row>
    <row r="3781">
      <c r="A3781" s="29">
        <v>46000.91001025463</v>
      </c>
      <c r="B3781" s="30">
        <v>46000.0</v>
      </c>
      <c r="C3781" s="31" t="s">
        <v>11277</v>
      </c>
      <c r="D3781" s="32" t="s">
        <v>11278</v>
      </c>
      <c r="E3781" s="31" t="s">
        <v>31</v>
      </c>
      <c r="F3781" s="31">
        <v>4000000.0</v>
      </c>
      <c r="G3781" s="31" t="s">
        <v>23</v>
      </c>
      <c r="I3781" s="31" t="s">
        <v>229</v>
      </c>
      <c r="J3781" s="31" t="s">
        <v>498</v>
      </c>
      <c r="K3781" s="33" t="s">
        <v>11279</v>
      </c>
      <c r="L3781" s="31" t="s">
        <v>202</v>
      </c>
      <c r="N3781" s="31" t="s">
        <v>500</v>
      </c>
      <c r="V3781" s="31" t="s">
        <v>501</v>
      </c>
    </row>
    <row r="3782">
      <c r="A3782" s="29">
        <v>46001.43890453703</v>
      </c>
      <c r="B3782" s="30">
        <v>46001.0</v>
      </c>
      <c r="C3782" s="31" t="s">
        <v>11280</v>
      </c>
      <c r="D3782" s="31">
        <v>8.5337682224E10</v>
      </c>
      <c r="E3782" s="31" t="s">
        <v>43</v>
      </c>
      <c r="F3782" s="31">
        <v>4200000.0</v>
      </c>
      <c r="G3782" s="31" t="s">
        <v>23</v>
      </c>
      <c r="I3782" s="31" t="s">
        <v>229</v>
      </c>
      <c r="J3782" s="31" t="s">
        <v>967</v>
      </c>
      <c r="K3782" s="33" t="s">
        <v>11281</v>
      </c>
      <c r="L3782" s="31" t="s">
        <v>202</v>
      </c>
      <c r="N3782" s="31" t="s">
        <v>667</v>
      </c>
      <c r="U3782" s="31" t="s">
        <v>3950</v>
      </c>
    </row>
    <row r="3783">
      <c r="A3783" s="29">
        <v>46001.46832240741</v>
      </c>
      <c r="B3783" s="30">
        <v>46001.0</v>
      </c>
      <c r="C3783" s="31" t="s">
        <v>11282</v>
      </c>
      <c r="D3783" s="32" t="s">
        <v>11283</v>
      </c>
      <c r="E3783" s="31" t="s">
        <v>4351</v>
      </c>
      <c r="F3783" s="31">
        <v>5000000.0</v>
      </c>
      <c r="G3783" s="31" t="s">
        <v>23</v>
      </c>
      <c r="I3783" s="31" t="s">
        <v>229</v>
      </c>
      <c r="J3783" s="31" t="s">
        <v>967</v>
      </c>
      <c r="K3783" s="33" t="s">
        <v>11284</v>
      </c>
      <c r="L3783" s="31" t="s">
        <v>202</v>
      </c>
      <c r="N3783" s="31" t="s">
        <v>313</v>
      </c>
      <c r="T3783" s="31" t="s">
        <v>384</v>
      </c>
    </row>
    <row r="3784">
      <c r="A3784" s="29">
        <v>46001.47021475695</v>
      </c>
      <c r="B3784" s="30">
        <v>46001.0</v>
      </c>
      <c r="C3784" s="31" t="s">
        <v>11285</v>
      </c>
      <c r="D3784" s="32" t="s">
        <v>11286</v>
      </c>
      <c r="E3784" s="31" t="s">
        <v>4351</v>
      </c>
      <c r="F3784" s="31">
        <v>5000000.0</v>
      </c>
      <c r="G3784" s="31" t="s">
        <v>23</v>
      </c>
      <c r="I3784" s="31" t="s">
        <v>229</v>
      </c>
      <c r="J3784" s="31" t="s">
        <v>967</v>
      </c>
      <c r="K3784" s="33" t="s">
        <v>11287</v>
      </c>
      <c r="L3784" s="31" t="s">
        <v>202</v>
      </c>
      <c r="N3784" s="31" t="s">
        <v>313</v>
      </c>
      <c r="T3784" s="31" t="s">
        <v>384</v>
      </c>
    </row>
    <row r="3785">
      <c r="A3785" s="29">
        <v>46001.50271864583</v>
      </c>
      <c r="B3785" s="30">
        <v>46001.0</v>
      </c>
      <c r="C3785" s="31" t="s">
        <v>11288</v>
      </c>
      <c r="D3785" s="32" t="s">
        <v>11289</v>
      </c>
      <c r="E3785" s="31" t="s">
        <v>31</v>
      </c>
      <c r="F3785" s="31">
        <v>5600000.0</v>
      </c>
      <c r="G3785" s="31" t="s">
        <v>23</v>
      </c>
      <c r="H3785" s="31">
        <v>3000000.0</v>
      </c>
      <c r="I3785" s="31" t="s">
        <v>413</v>
      </c>
      <c r="K3785" s="33" t="s">
        <v>11290</v>
      </c>
      <c r="L3785" s="31" t="s">
        <v>202</v>
      </c>
      <c r="M3785" s="31" t="s">
        <v>203</v>
      </c>
      <c r="N3785" s="31" t="s">
        <v>204</v>
      </c>
      <c r="R3785" s="31" t="s">
        <v>207</v>
      </c>
    </row>
    <row r="3786">
      <c r="A3786" s="29">
        <v>46001.503755115744</v>
      </c>
      <c r="B3786" s="30">
        <v>46001.0</v>
      </c>
      <c r="C3786" s="31" t="s">
        <v>11291</v>
      </c>
      <c r="D3786" s="32" t="s">
        <v>11292</v>
      </c>
      <c r="E3786" s="31" t="s">
        <v>31</v>
      </c>
      <c r="F3786" s="31">
        <v>5999000.0</v>
      </c>
      <c r="G3786" s="31" t="s">
        <v>23</v>
      </c>
      <c r="H3786" s="31">
        <v>3000000.0</v>
      </c>
      <c r="I3786" s="31" t="s">
        <v>413</v>
      </c>
      <c r="K3786" s="33" t="s">
        <v>11293</v>
      </c>
      <c r="L3786" s="31" t="s">
        <v>202</v>
      </c>
      <c r="M3786" s="31" t="s">
        <v>203</v>
      </c>
      <c r="N3786" s="31" t="s">
        <v>204</v>
      </c>
      <c r="R3786" s="31" t="s">
        <v>207</v>
      </c>
    </row>
    <row r="3787">
      <c r="A3787" s="29">
        <v>46001.509934016205</v>
      </c>
      <c r="B3787" s="30">
        <v>46001.0</v>
      </c>
      <c r="C3787" s="31" t="s">
        <v>11294</v>
      </c>
      <c r="D3787" s="32" t="s">
        <v>11295</v>
      </c>
      <c r="E3787" s="31" t="s">
        <v>43</v>
      </c>
      <c r="F3787" s="31">
        <v>3200000.0</v>
      </c>
      <c r="G3787" s="31" t="s">
        <v>23</v>
      </c>
      <c r="H3787" s="31">
        <v>3000000.0</v>
      </c>
      <c r="I3787" s="31" t="s">
        <v>200</v>
      </c>
      <c r="K3787" s="31" t="s">
        <v>11296</v>
      </c>
      <c r="L3787" s="31" t="s">
        <v>202</v>
      </c>
      <c r="M3787" s="31" t="s">
        <v>5638</v>
      </c>
      <c r="N3787" s="31" t="s">
        <v>204</v>
      </c>
      <c r="R3787" s="31" t="s">
        <v>148</v>
      </c>
    </row>
    <row r="3788">
      <c r="A3788" s="29">
        <v>46001.513858715276</v>
      </c>
      <c r="B3788" s="30">
        <v>46001.0</v>
      </c>
      <c r="C3788" s="31" t="s">
        <v>11297</v>
      </c>
      <c r="D3788" s="32" t="s">
        <v>907</v>
      </c>
      <c r="E3788" s="31" t="s">
        <v>43</v>
      </c>
      <c r="F3788" s="31">
        <v>2000000.0</v>
      </c>
      <c r="G3788" s="31" t="s">
        <v>23</v>
      </c>
      <c r="I3788" s="31" t="s">
        <v>229</v>
      </c>
      <c r="J3788" s="31" t="s">
        <v>967</v>
      </c>
      <c r="K3788" s="33" t="s">
        <v>11298</v>
      </c>
      <c r="L3788" s="31" t="s">
        <v>202</v>
      </c>
      <c r="N3788" s="31" t="s">
        <v>215</v>
      </c>
      <c r="W3788" s="31" t="s">
        <v>532</v>
      </c>
    </row>
    <row r="3789">
      <c r="A3789" s="29">
        <v>46001.52446236111</v>
      </c>
      <c r="B3789" s="30">
        <v>46001.0</v>
      </c>
      <c r="C3789" s="31" t="s">
        <v>11299</v>
      </c>
      <c r="D3789" s="32" t="s">
        <v>11300</v>
      </c>
      <c r="E3789" s="31" t="s">
        <v>8365</v>
      </c>
      <c r="F3789" s="31">
        <v>4800000.0</v>
      </c>
      <c r="G3789" s="31" t="s">
        <v>23</v>
      </c>
      <c r="H3789" s="31">
        <v>3000000.0</v>
      </c>
      <c r="I3789" s="31" t="s">
        <v>200</v>
      </c>
      <c r="K3789" s="33" t="s">
        <v>11301</v>
      </c>
      <c r="L3789" s="31" t="s">
        <v>202</v>
      </c>
      <c r="M3789" s="31" t="s">
        <v>5638</v>
      </c>
      <c r="N3789" s="31" t="s">
        <v>500</v>
      </c>
      <c r="V3789" s="31" t="s">
        <v>7537</v>
      </c>
    </row>
    <row r="3790">
      <c r="A3790" s="29">
        <v>46001.533587962964</v>
      </c>
      <c r="B3790" s="30">
        <v>46001.0</v>
      </c>
      <c r="C3790" s="31" t="s">
        <v>11302</v>
      </c>
      <c r="D3790" s="31">
        <v>0.0</v>
      </c>
      <c r="E3790" s="31" t="s">
        <v>31</v>
      </c>
      <c r="F3790" s="32" t="s">
        <v>5089</v>
      </c>
      <c r="G3790" s="31" t="s">
        <v>23</v>
      </c>
      <c r="H3790" s="31">
        <v>3000000.0</v>
      </c>
      <c r="I3790" s="31" t="s">
        <v>200</v>
      </c>
      <c r="K3790" s="33" t="s">
        <v>11303</v>
      </c>
      <c r="L3790" s="31" t="s">
        <v>252</v>
      </c>
      <c r="M3790" s="31" t="s">
        <v>203</v>
      </c>
      <c r="O3790" s="31" t="s">
        <v>257</v>
      </c>
      <c r="P3790" s="31" t="s">
        <v>992</v>
      </c>
    </row>
    <row r="3791">
      <c r="A3791" s="29">
        <v>46001.55564747685</v>
      </c>
      <c r="B3791" s="30">
        <v>46001.0</v>
      </c>
      <c r="C3791" s="31" t="s">
        <v>11304</v>
      </c>
      <c r="D3791" s="32" t="s">
        <v>11305</v>
      </c>
      <c r="E3791" s="31" t="s">
        <v>43</v>
      </c>
      <c r="F3791" s="31">
        <v>3000000.0</v>
      </c>
      <c r="G3791" s="31" t="s">
        <v>45</v>
      </c>
      <c r="H3791" s="31">
        <v>3000000.0</v>
      </c>
      <c r="I3791" s="31" t="s">
        <v>200</v>
      </c>
      <c r="K3791" s="33" t="s">
        <v>11306</v>
      </c>
      <c r="L3791" s="31" t="s">
        <v>252</v>
      </c>
      <c r="M3791" s="31" t="s">
        <v>5638</v>
      </c>
      <c r="O3791" s="31" t="s">
        <v>257</v>
      </c>
      <c r="P3791" s="31" t="s">
        <v>1555</v>
      </c>
    </row>
    <row r="3792">
      <c r="A3792" s="29">
        <v>46001.55845498842</v>
      </c>
      <c r="B3792" s="30">
        <v>46001.0</v>
      </c>
      <c r="C3792" s="31" t="s">
        <v>11307</v>
      </c>
      <c r="D3792" s="32" t="s">
        <v>11308</v>
      </c>
      <c r="E3792" s="31" t="s">
        <v>43</v>
      </c>
      <c r="F3792" s="31">
        <v>3000000.0</v>
      </c>
      <c r="G3792" s="31" t="s">
        <v>45</v>
      </c>
      <c r="I3792" s="31" t="s">
        <v>229</v>
      </c>
      <c r="J3792" s="31" t="s">
        <v>967</v>
      </c>
      <c r="K3792" s="33" t="s">
        <v>11309</v>
      </c>
      <c r="L3792" s="31" t="s">
        <v>252</v>
      </c>
      <c r="O3792" s="31" t="s">
        <v>257</v>
      </c>
      <c r="P3792" s="31" t="s">
        <v>1555</v>
      </c>
    </row>
    <row r="3793">
      <c r="A3793" s="29">
        <v>46001.566598958336</v>
      </c>
      <c r="B3793" s="30">
        <v>46001.0</v>
      </c>
      <c r="C3793" s="31" t="s">
        <v>11310</v>
      </c>
      <c r="D3793" s="32" t="s">
        <v>11311</v>
      </c>
      <c r="E3793" s="31" t="s">
        <v>1166</v>
      </c>
      <c r="F3793" s="31">
        <v>5000000.0</v>
      </c>
      <c r="G3793" s="31" t="s">
        <v>45</v>
      </c>
      <c r="H3793" s="31">
        <v>5000000.0</v>
      </c>
      <c r="I3793" s="31" t="s">
        <v>200</v>
      </c>
      <c r="K3793" s="33" t="s">
        <v>11312</v>
      </c>
      <c r="L3793" s="31" t="s">
        <v>252</v>
      </c>
      <c r="M3793" s="31" t="s">
        <v>926</v>
      </c>
      <c r="O3793" s="31" t="s">
        <v>257</v>
      </c>
      <c r="P3793" s="31" t="s">
        <v>285</v>
      </c>
    </row>
    <row r="3794">
      <c r="A3794" s="29">
        <v>46001.57286260417</v>
      </c>
      <c r="B3794" s="30">
        <v>46001.0</v>
      </c>
      <c r="C3794" s="31" t="s">
        <v>11313</v>
      </c>
      <c r="D3794" s="32" t="s">
        <v>11314</v>
      </c>
      <c r="E3794" s="31" t="s">
        <v>11315</v>
      </c>
      <c r="F3794" s="31">
        <v>6200000.0</v>
      </c>
      <c r="G3794" s="31" t="s">
        <v>23</v>
      </c>
      <c r="I3794" s="31" t="s">
        <v>229</v>
      </c>
      <c r="J3794" s="31" t="s">
        <v>967</v>
      </c>
      <c r="K3794" s="33" t="s">
        <v>11316</v>
      </c>
      <c r="L3794" s="31" t="s">
        <v>202</v>
      </c>
      <c r="N3794" s="31" t="s">
        <v>313</v>
      </c>
      <c r="T3794" s="31" t="s">
        <v>384</v>
      </c>
    </row>
    <row r="3795">
      <c r="A3795" s="29">
        <v>46001.57659895833</v>
      </c>
      <c r="B3795" s="30">
        <v>46001.0</v>
      </c>
      <c r="C3795" s="31" t="s">
        <v>11317</v>
      </c>
      <c r="D3795" s="32" t="s">
        <v>11318</v>
      </c>
      <c r="E3795" s="31" t="s">
        <v>288</v>
      </c>
      <c r="F3795" s="34">
        <v>2000.0</v>
      </c>
      <c r="G3795" s="31" t="s">
        <v>23</v>
      </c>
      <c r="I3795" s="31" t="s">
        <v>229</v>
      </c>
      <c r="J3795" s="31" t="s">
        <v>967</v>
      </c>
      <c r="K3795" s="33" t="s">
        <v>11319</v>
      </c>
      <c r="L3795" s="31" t="s">
        <v>202</v>
      </c>
      <c r="N3795" s="31" t="s">
        <v>204</v>
      </c>
      <c r="R3795" s="31" t="s">
        <v>167</v>
      </c>
    </row>
    <row r="3796">
      <c r="A3796" s="29">
        <v>46001.57990256944</v>
      </c>
      <c r="B3796" s="30">
        <v>46001.0</v>
      </c>
      <c r="C3796" s="31" t="s">
        <v>11320</v>
      </c>
      <c r="D3796" s="31">
        <v>0.0</v>
      </c>
      <c r="E3796" s="31" t="s">
        <v>11321</v>
      </c>
      <c r="F3796" s="31">
        <v>3200000.0</v>
      </c>
      <c r="G3796" s="31" t="s">
        <v>23</v>
      </c>
      <c r="I3796" s="31" t="s">
        <v>229</v>
      </c>
      <c r="J3796" s="31" t="s">
        <v>967</v>
      </c>
      <c r="K3796" s="33" t="s">
        <v>11322</v>
      </c>
      <c r="L3796" s="31" t="s">
        <v>202</v>
      </c>
      <c r="N3796" s="31" t="s">
        <v>204</v>
      </c>
      <c r="R3796" s="31" t="s">
        <v>171</v>
      </c>
    </row>
    <row r="3797">
      <c r="A3797" s="29">
        <v>46001.58038310186</v>
      </c>
      <c r="B3797" s="30">
        <v>46001.0</v>
      </c>
      <c r="C3797" s="31" t="s">
        <v>5519</v>
      </c>
      <c r="D3797" s="32" t="s">
        <v>11323</v>
      </c>
      <c r="E3797" s="31" t="s">
        <v>43</v>
      </c>
      <c r="F3797" s="34">
        <v>3000.0</v>
      </c>
      <c r="G3797" s="31" t="s">
        <v>23</v>
      </c>
      <c r="I3797" s="31" t="s">
        <v>229</v>
      </c>
      <c r="J3797" s="31" t="s">
        <v>967</v>
      </c>
      <c r="K3797" s="33" t="s">
        <v>11324</v>
      </c>
      <c r="L3797" s="31" t="s">
        <v>202</v>
      </c>
      <c r="N3797" s="31" t="s">
        <v>204</v>
      </c>
      <c r="R3797" s="31" t="s">
        <v>167</v>
      </c>
    </row>
    <row r="3798">
      <c r="A3798" s="29">
        <v>46001.58171578703</v>
      </c>
      <c r="B3798" s="30">
        <v>46001.0</v>
      </c>
      <c r="C3798" s="31" t="s">
        <v>11325</v>
      </c>
      <c r="D3798" s="32" t="s">
        <v>11326</v>
      </c>
      <c r="E3798" s="31" t="s">
        <v>156</v>
      </c>
      <c r="F3798" s="31">
        <v>3400000.0</v>
      </c>
      <c r="G3798" s="31" t="s">
        <v>45</v>
      </c>
      <c r="H3798" s="31">
        <v>3000000.0</v>
      </c>
      <c r="I3798" s="31" t="s">
        <v>413</v>
      </c>
      <c r="K3798" s="33" t="s">
        <v>11327</v>
      </c>
      <c r="L3798" s="31" t="s">
        <v>252</v>
      </c>
      <c r="M3798" s="31" t="s">
        <v>5638</v>
      </c>
      <c r="O3798" s="31" t="s">
        <v>205</v>
      </c>
      <c r="X3798" s="31" t="s">
        <v>569</v>
      </c>
    </row>
    <row r="3799">
      <c r="A3799" s="29">
        <v>46001.582592743056</v>
      </c>
      <c r="B3799" s="30">
        <v>46001.0</v>
      </c>
      <c r="C3799" s="31" t="s">
        <v>11328</v>
      </c>
      <c r="D3799" s="31">
        <v>0.0</v>
      </c>
      <c r="E3799" s="31" t="s">
        <v>11329</v>
      </c>
      <c r="F3799" s="31">
        <v>3800000.0</v>
      </c>
      <c r="G3799" s="31" t="s">
        <v>23</v>
      </c>
      <c r="H3799" s="31">
        <v>3000000.0</v>
      </c>
      <c r="I3799" s="31" t="s">
        <v>413</v>
      </c>
      <c r="K3799" s="33" t="s">
        <v>11330</v>
      </c>
      <c r="L3799" s="31" t="s">
        <v>202</v>
      </c>
      <c r="M3799" s="31" t="s">
        <v>926</v>
      </c>
      <c r="N3799" s="31" t="s">
        <v>204</v>
      </c>
      <c r="R3799" s="31" t="s">
        <v>171</v>
      </c>
    </row>
    <row r="3800">
      <c r="A3800" s="29">
        <v>46001.58377547454</v>
      </c>
      <c r="B3800" s="30">
        <v>46001.0</v>
      </c>
      <c r="C3800" s="31" t="s">
        <v>4996</v>
      </c>
      <c r="D3800" s="32" t="s">
        <v>11331</v>
      </c>
      <c r="E3800" s="31" t="s">
        <v>239</v>
      </c>
      <c r="F3800" s="34">
        <v>3000.0</v>
      </c>
      <c r="G3800" s="31" t="s">
        <v>23</v>
      </c>
      <c r="I3800" s="31" t="s">
        <v>229</v>
      </c>
      <c r="J3800" s="31" t="s">
        <v>967</v>
      </c>
      <c r="K3800" s="33" t="s">
        <v>11332</v>
      </c>
      <c r="L3800" s="31" t="s">
        <v>202</v>
      </c>
      <c r="N3800" s="31" t="s">
        <v>204</v>
      </c>
      <c r="R3800" s="31" t="s">
        <v>167</v>
      </c>
    </row>
    <row r="3801">
      <c r="A3801" s="29">
        <v>46001.58425108796</v>
      </c>
      <c r="B3801" s="30">
        <v>46001.0</v>
      </c>
      <c r="C3801" s="31" t="s">
        <v>11333</v>
      </c>
      <c r="D3801" s="31">
        <v>0.0</v>
      </c>
      <c r="E3801" s="31" t="s">
        <v>228</v>
      </c>
      <c r="F3801" s="31">
        <v>4500000.0</v>
      </c>
      <c r="G3801" s="31" t="s">
        <v>23</v>
      </c>
      <c r="H3801" s="31">
        <v>7000000.0</v>
      </c>
      <c r="I3801" s="31" t="s">
        <v>413</v>
      </c>
      <c r="K3801" s="33" t="s">
        <v>11334</v>
      </c>
      <c r="L3801" s="31" t="s">
        <v>202</v>
      </c>
      <c r="M3801" s="31" t="s">
        <v>5638</v>
      </c>
      <c r="N3801" s="31" t="s">
        <v>204</v>
      </c>
      <c r="R3801" s="31" t="s">
        <v>171</v>
      </c>
    </row>
    <row r="3802">
      <c r="A3802" s="29">
        <v>46001.58589416667</v>
      </c>
      <c r="B3802" s="30">
        <v>46001.0</v>
      </c>
      <c r="C3802" s="31" t="s">
        <v>11335</v>
      </c>
      <c r="D3802" s="32" t="s">
        <v>11336</v>
      </c>
      <c r="E3802" s="31" t="s">
        <v>288</v>
      </c>
      <c r="F3802" s="34">
        <v>2000.0</v>
      </c>
      <c r="G3802" s="31" t="s">
        <v>23</v>
      </c>
      <c r="I3802" s="31" t="s">
        <v>229</v>
      </c>
      <c r="J3802" s="31" t="s">
        <v>967</v>
      </c>
      <c r="K3802" s="33" t="s">
        <v>11337</v>
      </c>
      <c r="L3802" s="31" t="s">
        <v>202</v>
      </c>
      <c r="N3802" s="31" t="s">
        <v>204</v>
      </c>
      <c r="R3802" s="31" t="s">
        <v>167</v>
      </c>
    </row>
    <row r="3803">
      <c r="A3803" s="29">
        <v>46001.58946076389</v>
      </c>
      <c r="B3803" s="30">
        <v>46001.0</v>
      </c>
      <c r="C3803" s="31" t="s">
        <v>11338</v>
      </c>
      <c r="D3803" s="32" t="s">
        <v>11339</v>
      </c>
      <c r="E3803" s="31" t="s">
        <v>43</v>
      </c>
      <c r="F3803" s="34">
        <v>4000.0</v>
      </c>
      <c r="G3803" s="31" t="s">
        <v>23</v>
      </c>
      <c r="I3803" s="31" t="s">
        <v>229</v>
      </c>
      <c r="J3803" s="31" t="s">
        <v>967</v>
      </c>
      <c r="K3803" s="33" t="s">
        <v>11340</v>
      </c>
      <c r="L3803" s="31" t="s">
        <v>202</v>
      </c>
      <c r="N3803" s="31" t="s">
        <v>204</v>
      </c>
      <c r="R3803" s="31" t="s">
        <v>167</v>
      </c>
    </row>
    <row r="3804">
      <c r="A3804" s="29">
        <v>46001.58970175926</v>
      </c>
      <c r="B3804" s="30">
        <v>46001.0</v>
      </c>
      <c r="C3804" s="31" t="s">
        <v>11341</v>
      </c>
      <c r="D3804" s="31">
        <v>0.0</v>
      </c>
      <c r="E3804" s="31" t="s">
        <v>11342</v>
      </c>
      <c r="F3804" s="31">
        <v>4200000.0</v>
      </c>
      <c r="G3804" s="31" t="s">
        <v>23</v>
      </c>
      <c r="I3804" s="31" t="s">
        <v>229</v>
      </c>
      <c r="J3804" s="31" t="s">
        <v>967</v>
      </c>
      <c r="K3804" s="33" t="s">
        <v>11343</v>
      </c>
      <c r="L3804" s="31" t="s">
        <v>202</v>
      </c>
      <c r="N3804" s="31" t="s">
        <v>204</v>
      </c>
      <c r="R3804" s="31" t="s">
        <v>171</v>
      </c>
    </row>
    <row r="3805">
      <c r="A3805" s="29">
        <v>46001.59178783565</v>
      </c>
      <c r="B3805" s="30">
        <v>46001.0</v>
      </c>
      <c r="C3805" s="31" t="s">
        <v>4584</v>
      </c>
      <c r="D3805" s="32" t="s">
        <v>11344</v>
      </c>
      <c r="E3805" s="31" t="s">
        <v>239</v>
      </c>
      <c r="F3805" s="34">
        <v>3000.0</v>
      </c>
      <c r="G3805" s="31" t="s">
        <v>23</v>
      </c>
      <c r="I3805" s="31" t="s">
        <v>229</v>
      </c>
      <c r="J3805" s="31" t="s">
        <v>967</v>
      </c>
      <c r="K3805" s="33" t="s">
        <v>11345</v>
      </c>
      <c r="L3805" s="31" t="s">
        <v>202</v>
      </c>
      <c r="N3805" s="31" t="s">
        <v>204</v>
      </c>
      <c r="R3805" s="31" t="s">
        <v>167</v>
      </c>
    </row>
    <row r="3806">
      <c r="A3806" s="29">
        <v>46001.59253184027</v>
      </c>
      <c r="B3806" s="30">
        <v>46001.0</v>
      </c>
      <c r="C3806" s="31" t="s">
        <v>11346</v>
      </c>
      <c r="D3806" s="32" t="s">
        <v>11347</v>
      </c>
      <c r="E3806" s="31" t="s">
        <v>43</v>
      </c>
      <c r="F3806" s="31">
        <v>3000000.0</v>
      </c>
      <c r="G3806" s="31" t="s">
        <v>23</v>
      </c>
      <c r="H3806" s="31">
        <v>3000000.0</v>
      </c>
      <c r="I3806" s="31" t="s">
        <v>200</v>
      </c>
      <c r="K3806" s="33" t="s">
        <v>11348</v>
      </c>
      <c r="L3806" s="31" t="s">
        <v>202</v>
      </c>
      <c r="M3806" s="31" t="s">
        <v>203</v>
      </c>
      <c r="N3806" s="31" t="s">
        <v>204</v>
      </c>
      <c r="R3806" s="31" t="s">
        <v>892</v>
      </c>
    </row>
    <row r="3807">
      <c r="A3807" s="29">
        <v>46001.59442559028</v>
      </c>
      <c r="B3807" s="30">
        <v>46001.0</v>
      </c>
      <c r="C3807" s="31" t="s">
        <v>11349</v>
      </c>
      <c r="D3807" s="32" t="s">
        <v>11350</v>
      </c>
      <c r="E3807" s="31" t="s">
        <v>288</v>
      </c>
      <c r="F3807" s="34">
        <v>1500.0</v>
      </c>
      <c r="G3807" s="31" t="s">
        <v>23</v>
      </c>
      <c r="I3807" s="31" t="s">
        <v>229</v>
      </c>
      <c r="J3807" s="31" t="s">
        <v>967</v>
      </c>
      <c r="K3807" s="33" t="s">
        <v>11351</v>
      </c>
      <c r="L3807" s="31" t="s">
        <v>202</v>
      </c>
      <c r="N3807" s="31" t="s">
        <v>204</v>
      </c>
      <c r="R3807" s="31" t="s">
        <v>167</v>
      </c>
    </row>
    <row r="3808">
      <c r="A3808" s="29">
        <v>46001.59894275463</v>
      </c>
      <c r="B3808" s="30">
        <v>46001.0</v>
      </c>
      <c r="C3808" s="31" t="s">
        <v>11352</v>
      </c>
      <c r="D3808" s="32" t="s">
        <v>11353</v>
      </c>
      <c r="E3808" s="31" t="s">
        <v>43</v>
      </c>
      <c r="F3808" s="31">
        <v>3400000.0</v>
      </c>
      <c r="G3808" s="31" t="s">
        <v>23</v>
      </c>
      <c r="I3808" s="31" t="s">
        <v>229</v>
      </c>
      <c r="J3808" s="31" t="s">
        <v>967</v>
      </c>
      <c r="K3808" s="33" t="s">
        <v>11354</v>
      </c>
      <c r="L3808" s="31" t="s">
        <v>202</v>
      </c>
      <c r="N3808" s="31" t="s">
        <v>667</v>
      </c>
      <c r="U3808" s="31" t="s">
        <v>3950</v>
      </c>
    </row>
    <row r="3809">
      <c r="A3809" s="29">
        <v>46001.599078252315</v>
      </c>
      <c r="B3809" s="30">
        <v>46001.0</v>
      </c>
      <c r="C3809" s="31" t="s">
        <v>11355</v>
      </c>
      <c r="D3809" s="32" t="s">
        <v>11356</v>
      </c>
      <c r="E3809" s="31" t="s">
        <v>288</v>
      </c>
      <c r="F3809" s="34">
        <v>2000.0</v>
      </c>
      <c r="G3809" s="31" t="s">
        <v>23</v>
      </c>
      <c r="I3809" s="31" t="s">
        <v>229</v>
      </c>
      <c r="J3809" s="31" t="s">
        <v>967</v>
      </c>
      <c r="K3809" s="33" t="s">
        <v>11357</v>
      </c>
      <c r="L3809" s="31" t="s">
        <v>202</v>
      </c>
      <c r="N3809" s="31" t="s">
        <v>204</v>
      </c>
      <c r="R3809" s="31" t="s">
        <v>167</v>
      </c>
    </row>
    <row r="3810">
      <c r="A3810" s="29">
        <v>46001.60041758102</v>
      </c>
      <c r="B3810" s="30">
        <v>46001.0</v>
      </c>
      <c r="C3810" s="31" t="s">
        <v>11358</v>
      </c>
      <c r="D3810" s="32" t="s">
        <v>11359</v>
      </c>
      <c r="E3810" s="31" t="s">
        <v>43</v>
      </c>
      <c r="F3810" s="31">
        <v>3000000.0</v>
      </c>
      <c r="G3810" s="31" t="s">
        <v>45</v>
      </c>
      <c r="H3810" s="31">
        <v>5000000.0</v>
      </c>
      <c r="I3810" s="31" t="s">
        <v>200</v>
      </c>
      <c r="K3810" s="33" t="s">
        <v>11360</v>
      </c>
      <c r="L3810" s="31" t="s">
        <v>252</v>
      </c>
      <c r="M3810" s="31" t="s">
        <v>926</v>
      </c>
      <c r="O3810" s="31" t="s">
        <v>257</v>
      </c>
      <c r="P3810" s="31" t="s">
        <v>1555</v>
      </c>
    </row>
    <row r="3811">
      <c r="A3811" s="29">
        <v>46001.60427585648</v>
      </c>
      <c r="B3811" s="30">
        <v>46001.0</v>
      </c>
      <c r="C3811" s="31" t="s">
        <v>11361</v>
      </c>
      <c r="D3811" s="32" t="s">
        <v>11362</v>
      </c>
      <c r="E3811" s="31" t="s">
        <v>43</v>
      </c>
      <c r="F3811" s="31">
        <v>4000000.0</v>
      </c>
      <c r="G3811" s="31" t="s">
        <v>23</v>
      </c>
      <c r="H3811" s="31">
        <v>4000000.0</v>
      </c>
      <c r="I3811" s="31" t="s">
        <v>200</v>
      </c>
      <c r="K3811" s="33" t="s">
        <v>11363</v>
      </c>
      <c r="L3811" s="31" t="s">
        <v>252</v>
      </c>
      <c r="M3811" s="31" t="s">
        <v>5638</v>
      </c>
      <c r="O3811" s="31" t="s">
        <v>257</v>
      </c>
      <c r="P3811" s="31" t="s">
        <v>272</v>
      </c>
    </row>
    <row r="3812">
      <c r="A3812" s="29">
        <v>46001.63414819444</v>
      </c>
      <c r="B3812" s="30">
        <v>46001.0</v>
      </c>
      <c r="C3812" s="31" t="s">
        <v>11364</v>
      </c>
      <c r="D3812" s="32" t="s">
        <v>11365</v>
      </c>
      <c r="E3812" s="31" t="s">
        <v>199</v>
      </c>
      <c r="F3812" s="31">
        <v>6000000.0</v>
      </c>
      <c r="G3812" s="31" t="s">
        <v>45</v>
      </c>
      <c r="H3812" s="31">
        <v>1.0E7</v>
      </c>
      <c r="I3812" s="31" t="s">
        <v>200</v>
      </c>
      <c r="K3812" s="33" t="s">
        <v>11366</v>
      </c>
      <c r="L3812" s="31" t="s">
        <v>202</v>
      </c>
      <c r="M3812" s="31" t="s">
        <v>605</v>
      </c>
      <c r="N3812" s="31" t="s">
        <v>215</v>
      </c>
      <c r="W3812" s="31" t="s">
        <v>389</v>
      </c>
    </row>
    <row r="3813">
      <c r="A3813" s="29">
        <v>46001.637511678244</v>
      </c>
      <c r="B3813" s="30">
        <v>46001.0</v>
      </c>
      <c r="C3813" s="31" t="s">
        <v>11367</v>
      </c>
      <c r="D3813" s="32" t="s">
        <v>11368</v>
      </c>
      <c r="E3813" s="31" t="s">
        <v>156</v>
      </c>
      <c r="F3813" s="31">
        <v>4800000.0</v>
      </c>
      <c r="G3813" s="31" t="s">
        <v>45</v>
      </c>
      <c r="I3813" s="31" t="s">
        <v>229</v>
      </c>
      <c r="J3813" s="31" t="s">
        <v>967</v>
      </c>
      <c r="K3813" s="33" t="s">
        <v>11369</v>
      </c>
      <c r="L3813" s="31" t="s">
        <v>252</v>
      </c>
      <c r="O3813" s="31" t="s">
        <v>205</v>
      </c>
      <c r="X3813" s="31" t="s">
        <v>569</v>
      </c>
    </row>
    <row r="3814">
      <c r="A3814" s="29">
        <v>46001.65869833333</v>
      </c>
      <c r="B3814" s="30">
        <v>46001.0</v>
      </c>
      <c r="C3814" s="31" t="s">
        <v>11370</v>
      </c>
      <c r="D3814" s="32" t="s">
        <v>10885</v>
      </c>
      <c r="E3814" s="31" t="s">
        <v>43</v>
      </c>
      <c r="F3814" s="31">
        <v>3400000.0</v>
      </c>
      <c r="G3814" s="31" t="s">
        <v>23</v>
      </c>
      <c r="I3814" s="31" t="s">
        <v>229</v>
      </c>
      <c r="J3814" s="31" t="s">
        <v>967</v>
      </c>
      <c r="K3814" s="33" t="s">
        <v>11371</v>
      </c>
      <c r="L3814" s="31" t="s">
        <v>202</v>
      </c>
      <c r="N3814" s="31" t="s">
        <v>667</v>
      </c>
      <c r="U3814" s="31" t="s">
        <v>3950</v>
      </c>
    </row>
    <row r="3815">
      <c r="A3815" s="29">
        <v>46001.6656702662</v>
      </c>
      <c r="B3815" s="30">
        <v>46001.0</v>
      </c>
      <c r="C3815" s="31" t="s">
        <v>11372</v>
      </c>
      <c r="D3815" s="32" t="s">
        <v>11373</v>
      </c>
      <c r="E3815" s="31" t="s">
        <v>43</v>
      </c>
      <c r="F3815" s="31">
        <v>3700000.0</v>
      </c>
      <c r="G3815" s="31" t="s">
        <v>23</v>
      </c>
      <c r="I3815" s="31" t="s">
        <v>229</v>
      </c>
      <c r="J3815" s="31" t="s">
        <v>967</v>
      </c>
      <c r="K3815" s="33" t="s">
        <v>11374</v>
      </c>
      <c r="L3815" s="31" t="s">
        <v>252</v>
      </c>
      <c r="O3815" s="31" t="s">
        <v>257</v>
      </c>
      <c r="P3815" s="31" t="s">
        <v>2453</v>
      </c>
    </row>
    <row r="3816">
      <c r="A3816" s="29">
        <v>46001.666603923615</v>
      </c>
      <c r="B3816" s="30">
        <v>46001.0</v>
      </c>
      <c r="C3816" s="31" t="s">
        <v>11375</v>
      </c>
      <c r="D3816" s="32" t="s">
        <v>11376</v>
      </c>
      <c r="E3816" s="31" t="s">
        <v>288</v>
      </c>
      <c r="F3816" s="31">
        <v>3000000.0</v>
      </c>
      <c r="G3816" s="31" t="s">
        <v>23</v>
      </c>
      <c r="I3816" s="31" t="s">
        <v>229</v>
      </c>
      <c r="J3816" s="31" t="s">
        <v>967</v>
      </c>
      <c r="K3816" s="33" t="s">
        <v>11377</v>
      </c>
      <c r="L3816" s="31" t="s">
        <v>202</v>
      </c>
      <c r="N3816" s="31" t="s">
        <v>220</v>
      </c>
      <c r="S3816" s="31" t="s">
        <v>913</v>
      </c>
    </row>
    <row r="3817">
      <c r="A3817" s="29">
        <v>46001.70597082176</v>
      </c>
      <c r="B3817" s="30">
        <v>46001.0</v>
      </c>
      <c r="C3817" s="31" t="s">
        <v>11378</v>
      </c>
      <c r="D3817" s="32" t="s">
        <v>11379</v>
      </c>
      <c r="E3817" s="31" t="s">
        <v>2054</v>
      </c>
      <c r="F3817" s="31">
        <v>40000.0</v>
      </c>
      <c r="G3817" s="31" t="s">
        <v>45</v>
      </c>
      <c r="I3817" s="31" t="s">
        <v>229</v>
      </c>
      <c r="J3817" s="31" t="s">
        <v>967</v>
      </c>
      <c r="K3817" s="33" t="s">
        <v>11380</v>
      </c>
      <c r="L3817" s="31" t="s">
        <v>202</v>
      </c>
      <c r="N3817" s="31" t="s">
        <v>313</v>
      </c>
      <c r="T3817" s="31" t="s">
        <v>4272</v>
      </c>
    </row>
    <row r="3818">
      <c r="A3818" s="29">
        <v>46001.711582916665</v>
      </c>
      <c r="B3818" s="30">
        <v>46001.0</v>
      </c>
      <c r="C3818" s="31" t="s">
        <v>11381</v>
      </c>
      <c r="D3818" s="32" t="s">
        <v>11382</v>
      </c>
      <c r="E3818" s="31" t="s">
        <v>11383</v>
      </c>
      <c r="F3818" s="31">
        <v>3400000.0</v>
      </c>
      <c r="G3818" s="31" t="s">
        <v>23</v>
      </c>
      <c r="H3818" s="31">
        <v>7000000.0</v>
      </c>
      <c r="I3818" s="31" t="s">
        <v>413</v>
      </c>
      <c r="K3818" s="33" t="s">
        <v>11384</v>
      </c>
      <c r="L3818" s="31" t="s">
        <v>202</v>
      </c>
      <c r="M3818" s="31" t="s">
        <v>605</v>
      </c>
      <c r="N3818" s="31" t="s">
        <v>204</v>
      </c>
      <c r="R3818" s="31" t="s">
        <v>892</v>
      </c>
    </row>
    <row r="3819">
      <c r="A3819" s="29">
        <v>46001.71494355324</v>
      </c>
      <c r="B3819" s="30" t="s">
        <v>11385</v>
      </c>
      <c r="C3819" s="31" t="s">
        <v>11386</v>
      </c>
      <c r="D3819" s="32" t="s">
        <v>11387</v>
      </c>
      <c r="E3819" s="31" t="s">
        <v>199</v>
      </c>
      <c r="F3819" s="31">
        <v>4000000.0</v>
      </c>
      <c r="G3819" s="31" t="s">
        <v>45</v>
      </c>
      <c r="H3819" s="31">
        <v>1.0E7</v>
      </c>
      <c r="I3819" s="31" t="s">
        <v>200</v>
      </c>
      <c r="K3819" s="33" t="s">
        <v>11388</v>
      </c>
      <c r="L3819" s="31" t="s">
        <v>202</v>
      </c>
      <c r="M3819" s="31" t="s">
        <v>605</v>
      </c>
      <c r="N3819" s="31" t="s">
        <v>215</v>
      </c>
      <c r="W3819" s="31" t="s">
        <v>216</v>
      </c>
    </row>
    <row r="3820">
      <c r="A3820" s="3"/>
      <c r="B3820" s="35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</row>
    <row r="3821">
      <c r="A3821" s="3"/>
      <c r="B3821" s="35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</row>
    <row r="3822">
      <c r="A3822" s="3"/>
      <c r="B3822" s="35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</row>
    <row r="3823">
      <c r="A3823" s="3"/>
      <c r="B3823" s="35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</row>
    <row r="3824">
      <c r="A3824" s="3"/>
      <c r="B3824" s="35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</row>
    <row r="3825">
      <c r="A3825" s="3"/>
      <c r="B3825" s="35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</row>
    <row r="3826">
      <c r="A3826" s="3"/>
      <c r="B3826" s="35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</row>
    <row r="3827">
      <c r="A3827" s="3"/>
      <c r="B3827" s="35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</row>
    <row r="3828">
      <c r="A3828" s="3"/>
      <c r="B3828" s="35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</row>
    <row r="3829">
      <c r="A3829" s="3"/>
      <c r="B3829" s="35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</row>
    <row r="3830">
      <c r="A3830" s="3"/>
      <c r="B3830" s="35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</row>
    <row r="3831">
      <c r="A3831" s="3"/>
      <c r="B3831" s="35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</row>
    <row r="3832">
      <c r="A3832" s="3"/>
      <c r="B3832" s="35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</row>
    <row r="3833">
      <c r="A3833" s="3"/>
      <c r="B3833" s="35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</row>
    <row r="3834">
      <c r="A3834" s="3"/>
      <c r="B3834" s="35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</row>
    <row r="3835">
      <c r="A3835" s="3"/>
      <c r="B3835" s="35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</row>
    <row r="3836">
      <c r="A3836" s="3"/>
      <c r="B3836" s="35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</row>
    <row r="3837">
      <c r="A3837" s="3"/>
      <c r="B3837" s="35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</row>
    <row r="3838">
      <c r="A3838" s="3"/>
      <c r="B3838" s="35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</row>
    <row r="3839">
      <c r="A3839" s="3"/>
      <c r="B3839" s="35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</row>
    <row r="3840">
      <c r="A3840" s="3"/>
      <c r="B3840" s="35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</row>
    <row r="3841">
      <c r="A3841" s="3"/>
      <c r="B3841" s="35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</row>
    <row r="3842">
      <c r="A3842" s="3"/>
      <c r="B3842" s="35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</row>
    <row r="3843">
      <c r="A3843" s="3"/>
      <c r="B3843" s="35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</row>
    <row r="3844">
      <c r="A3844" s="3"/>
      <c r="B3844" s="35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</row>
    <row r="3845">
      <c r="A3845" s="3"/>
      <c r="B3845" s="35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</row>
    <row r="3846">
      <c r="A3846" s="3"/>
      <c r="B3846" s="35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</row>
    <row r="3847">
      <c r="A3847" s="3"/>
      <c r="B3847" s="35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</row>
    <row r="3848">
      <c r="A3848" s="3"/>
      <c r="B3848" s="35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</row>
    <row r="3849">
      <c r="A3849" s="3"/>
      <c r="B3849" s="35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</row>
    <row r="3850">
      <c r="A3850" s="3"/>
      <c r="B3850" s="35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</row>
    <row r="3851">
      <c r="A3851" s="3"/>
      <c r="B3851" s="35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</row>
    <row r="3852">
      <c r="A3852" s="3"/>
      <c r="B3852" s="35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</row>
    <row r="3853">
      <c r="A3853" s="3"/>
      <c r="B3853" s="35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</row>
    <row r="3854">
      <c r="A3854" s="3"/>
      <c r="B3854" s="35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</row>
    <row r="3855">
      <c r="A3855" s="3"/>
      <c r="B3855" s="35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</row>
    <row r="3856">
      <c r="A3856" s="3"/>
      <c r="B3856" s="35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</row>
    <row r="3857">
      <c r="A3857" s="3"/>
      <c r="B3857" s="35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</row>
    <row r="3858">
      <c r="A3858" s="3"/>
      <c r="B3858" s="35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</row>
    <row r="3859">
      <c r="A3859" s="3"/>
      <c r="B3859" s="35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</row>
    <row r="3860">
      <c r="A3860" s="3"/>
      <c r="B3860" s="35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</row>
    <row r="3861">
      <c r="A3861" s="3"/>
      <c r="B3861" s="35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</row>
    <row r="3862">
      <c r="A3862" s="3"/>
      <c r="B3862" s="35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</row>
    <row r="3863">
      <c r="A3863" s="3"/>
      <c r="B3863" s="35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</row>
    <row r="3864">
      <c r="A3864" s="3"/>
      <c r="B3864" s="35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</row>
    <row r="3865">
      <c r="A3865" s="3"/>
      <c r="B3865" s="35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</row>
    <row r="3866">
      <c r="A3866" s="3"/>
      <c r="B3866" s="35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</row>
    <row r="3867">
      <c r="A3867" s="3"/>
      <c r="B3867" s="35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</row>
    <row r="3868">
      <c r="A3868" s="3"/>
      <c r="B3868" s="35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</row>
    <row r="3869">
      <c r="A3869" s="3"/>
      <c r="B3869" s="35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</row>
    <row r="3870">
      <c r="A3870" s="3"/>
      <c r="B3870" s="35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</row>
    <row r="3871">
      <c r="A3871" s="3"/>
      <c r="B3871" s="35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</row>
    <row r="3872">
      <c r="A3872" s="3"/>
      <c r="B3872" s="35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</row>
    <row r="3873">
      <c r="A3873" s="3"/>
      <c r="B3873" s="35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</row>
    <row r="3874">
      <c r="A3874" s="3"/>
      <c r="B3874" s="35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</row>
    <row r="3875">
      <c r="A3875" s="3"/>
      <c r="B3875" s="35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</row>
    <row r="3876">
      <c r="A3876" s="3"/>
      <c r="B3876" s="35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</row>
    <row r="3877">
      <c r="A3877" s="3"/>
      <c r="B3877" s="35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</row>
    <row r="3878">
      <c r="A3878" s="3"/>
      <c r="B3878" s="35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</row>
    <row r="3879">
      <c r="A3879" s="3"/>
      <c r="B3879" s="35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</row>
    <row r="3880">
      <c r="A3880" s="3"/>
      <c r="B3880" s="35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</row>
    <row r="3881">
      <c r="A3881" s="3"/>
      <c r="B3881" s="35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</row>
    <row r="3882">
      <c r="A3882" s="3"/>
      <c r="B3882" s="35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</row>
    <row r="3883">
      <c r="A3883" s="3"/>
      <c r="B3883" s="35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</row>
    <row r="3884">
      <c r="A3884" s="3"/>
      <c r="B3884" s="35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</row>
    <row r="3885">
      <c r="A3885" s="3"/>
      <c r="B3885" s="35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</row>
    <row r="3886">
      <c r="A3886" s="3"/>
      <c r="B3886" s="35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</row>
    <row r="3887">
      <c r="A3887" s="3"/>
      <c r="B3887" s="35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</row>
    <row r="3888">
      <c r="A3888" s="3"/>
      <c r="B3888" s="35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</row>
    <row r="3889">
      <c r="A3889" s="3"/>
      <c r="B3889" s="35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</row>
    <row r="3890">
      <c r="A3890" s="3"/>
      <c r="B3890" s="35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</row>
    <row r="3891">
      <c r="A3891" s="3"/>
      <c r="B3891" s="35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</row>
    <row r="3892">
      <c r="A3892" s="3"/>
      <c r="B3892" s="35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</row>
    <row r="3893">
      <c r="A3893" s="3"/>
      <c r="B3893" s="35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</row>
    <row r="3894">
      <c r="A3894" s="3"/>
      <c r="B3894" s="35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</row>
    <row r="3895">
      <c r="A3895" s="3"/>
      <c r="B3895" s="35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</row>
    <row r="3896">
      <c r="A3896" s="3"/>
      <c r="B3896" s="35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</row>
    <row r="3897">
      <c r="A3897" s="3"/>
      <c r="B3897" s="35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</row>
    <row r="3898">
      <c r="A3898" s="3"/>
      <c r="B3898" s="35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</row>
    <row r="3899">
      <c r="A3899" s="3"/>
      <c r="B3899" s="35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</row>
    <row r="3900">
      <c r="A3900" s="3"/>
      <c r="B3900" s="35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</row>
    <row r="3901">
      <c r="A3901" s="3"/>
      <c r="B3901" s="35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</row>
    <row r="3902">
      <c r="A3902" s="3"/>
      <c r="B3902" s="35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</row>
    <row r="3903">
      <c r="A3903" s="3"/>
      <c r="B3903" s="35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</row>
    <row r="3904">
      <c r="A3904" s="3"/>
      <c r="B3904" s="35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</row>
    <row r="3905">
      <c r="A3905" s="3"/>
      <c r="B3905" s="35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</row>
    <row r="3906">
      <c r="A3906" s="3"/>
      <c r="B3906" s="35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</row>
    <row r="3907">
      <c r="A3907" s="3"/>
      <c r="B3907" s="35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</row>
    <row r="3908">
      <c r="A3908" s="3"/>
      <c r="B3908" s="35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</row>
    <row r="3909">
      <c r="A3909" s="3"/>
      <c r="B3909" s="35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</row>
    <row r="3910">
      <c r="A3910" s="3"/>
      <c r="B3910" s="35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</row>
    <row r="3911">
      <c r="A3911" s="3"/>
      <c r="B3911" s="35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</row>
    <row r="3912">
      <c r="A3912" s="3"/>
      <c r="B3912" s="35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</row>
    <row r="3913">
      <c r="A3913" s="3"/>
      <c r="B3913" s="35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</row>
    <row r="3914">
      <c r="A3914" s="3"/>
      <c r="B3914" s="35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</row>
    <row r="3915">
      <c r="A3915" s="3"/>
      <c r="B3915" s="35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</row>
    <row r="3916">
      <c r="A3916" s="3"/>
      <c r="B3916" s="35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</row>
    <row r="3917">
      <c r="A3917" s="3"/>
      <c r="B3917" s="35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</row>
    <row r="3918">
      <c r="A3918" s="3"/>
      <c r="B3918" s="35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</row>
    <row r="3919">
      <c r="A3919" s="3"/>
      <c r="B3919" s="35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4"/>
    <hyperlink r:id="rId33" ref="K35"/>
    <hyperlink r:id="rId34" ref="K36"/>
    <hyperlink r:id="rId35" ref="K37"/>
    <hyperlink r:id="rId36" ref="K38"/>
    <hyperlink r:id="rId37" ref="K39"/>
    <hyperlink r:id="rId38" ref="K41"/>
    <hyperlink r:id="rId39" ref="K42"/>
    <hyperlink r:id="rId40" ref="K43"/>
    <hyperlink r:id="rId41" ref="K44"/>
    <hyperlink r:id="rId42" ref="K45"/>
    <hyperlink r:id="rId43" ref="K46"/>
    <hyperlink r:id="rId44" ref="K47"/>
    <hyperlink r:id="rId45" ref="K48"/>
    <hyperlink r:id="rId46" ref="K49"/>
    <hyperlink r:id="rId47" ref="K50"/>
    <hyperlink r:id="rId48" ref="K51"/>
    <hyperlink r:id="rId49" ref="K52"/>
    <hyperlink r:id="rId50" ref="K53"/>
    <hyperlink r:id="rId51" ref="K54"/>
    <hyperlink r:id="rId52" ref="K55"/>
    <hyperlink r:id="rId53" ref="K56"/>
    <hyperlink r:id="rId54" ref="K57"/>
    <hyperlink r:id="rId55" ref="K58"/>
    <hyperlink r:id="rId56" ref="K59"/>
    <hyperlink r:id="rId57" ref="K60"/>
    <hyperlink r:id="rId58" ref="K61"/>
    <hyperlink r:id="rId59" ref="K62"/>
    <hyperlink r:id="rId60" ref="K63"/>
    <hyperlink r:id="rId61" ref="K64"/>
    <hyperlink r:id="rId62" ref="K65"/>
    <hyperlink r:id="rId63" ref="K66"/>
    <hyperlink r:id="rId64" ref="K67"/>
    <hyperlink r:id="rId65" ref="K68"/>
    <hyperlink r:id="rId66" ref="K69"/>
    <hyperlink r:id="rId67" ref="K70"/>
    <hyperlink r:id="rId68" ref="K71"/>
    <hyperlink r:id="rId69" ref="K72"/>
    <hyperlink r:id="rId70" ref="K73"/>
    <hyperlink r:id="rId71" ref="K74"/>
    <hyperlink r:id="rId72" ref="K75"/>
    <hyperlink r:id="rId73" ref="K76"/>
    <hyperlink r:id="rId74" ref="K77"/>
    <hyperlink r:id="rId75" ref="K78"/>
    <hyperlink r:id="rId76" ref="K79"/>
    <hyperlink r:id="rId77" ref="K80"/>
    <hyperlink r:id="rId78" ref="K81"/>
    <hyperlink r:id="rId79" ref="K82"/>
    <hyperlink r:id="rId80" ref="K83"/>
    <hyperlink r:id="rId81" ref="K84"/>
    <hyperlink r:id="rId82" ref="K85"/>
    <hyperlink r:id="rId83" ref="K86"/>
    <hyperlink r:id="rId84" ref="K87"/>
    <hyperlink r:id="rId85" ref="K88"/>
    <hyperlink r:id="rId86" ref="K89"/>
    <hyperlink r:id="rId87" ref="K90"/>
    <hyperlink r:id="rId88" ref="K91"/>
    <hyperlink r:id="rId89" ref="K92"/>
    <hyperlink r:id="rId90" ref="K93"/>
    <hyperlink r:id="rId91" ref="K94"/>
    <hyperlink r:id="rId92" ref="K95"/>
    <hyperlink r:id="rId93" ref="K96"/>
    <hyperlink r:id="rId94" ref="K97"/>
    <hyperlink r:id="rId95" ref="K98"/>
    <hyperlink r:id="rId96" ref="K99"/>
    <hyperlink r:id="rId97" ref="K100"/>
    <hyperlink r:id="rId98" ref="K101"/>
    <hyperlink r:id="rId99" ref="K102"/>
    <hyperlink r:id="rId100" ref="K103"/>
    <hyperlink r:id="rId101" ref="K104"/>
    <hyperlink r:id="rId102" ref="K105"/>
    <hyperlink r:id="rId103" ref="K106"/>
    <hyperlink r:id="rId104" ref="K107"/>
    <hyperlink r:id="rId105" ref="K108"/>
    <hyperlink r:id="rId106" ref="K109"/>
    <hyperlink r:id="rId107" ref="K110"/>
    <hyperlink r:id="rId108" ref="K111"/>
    <hyperlink r:id="rId109" ref="K112"/>
    <hyperlink r:id="rId110" ref="K113"/>
    <hyperlink r:id="rId111" ref="K114"/>
    <hyperlink r:id="rId112" ref="K115"/>
    <hyperlink r:id="rId113" ref="K116"/>
    <hyperlink r:id="rId114" ref="K117"/>
    <hyperlink r:id="rId115" ref="K118"/>
    <hyperlink r:id="rId116" ref="K119"/>
    <hyperlink r:id="rId117" ref="K120"/>
    <hyperlink r:id="rId118" ref="K121"/>
    <hyperlink r:id="rId119" ref="K122"/>
    <hyperlink r:id="rId120" ref="K123"/>
    <hyperlink r:id="rId121" ref="K124"/>
    <hyperlink r:id="rId122" ref="K125"/>
    <hyperlink r:id="rId123" ref="K126"/>
    <hyperlink r:id="rId124" ref="K127"/>
    <hyperlink r:id="rId125" ref="K128"/>
    <hyperlink r:id="rId126" ref="K129"/>
    <hyperlink r:id="rId127" ref="K130"/>
    <hyperlink r:id="rId128" ref="K131"/>
    <hyperlink r:id="rId129" ref="K132"/>
    <hyperlink r:id="rId130" ref="K133"/>
    <hyperlink r:id="rId131" ref="K134"/>
    <hyperlink r:id="rId132" ref="K135"/>
    <hyperlink r:id="rId133" ref="K136"/>
    <hyperlink r:id="rId134" ref="K137"/>
    <hyperlink r:id="rId135" ref="K138"/>
    <hyperlink r:id="rId136" ref="K139"/>
    <hyperlink r:id="rId137" ref="K140"/>
    <hyperlink r:id="rId138" ref="K141"/>
    <hyperlink r:id="rId139" ref="K142"/>
    <hyperlink r:id="rId140" ref="K143"/>
    <hyperlink r:id="rId141" ref="K144"/>
    <hyperlink r:id="rId142" ref="K145"/>
    <hyperlink r:id="rId143" ref="K146"/>
    <hyperlink r:id="rId144" ref="K147"/>
    <hyperlink r:id="rId145" ref="K148"/>
    <hyperlink r:id="rId146" ref="K149"/>
    <hyperlink r:id="rId147" ref="K150"/>
    <hyperlink r:id="rId148" ref="K151"/>
    <hyperlink r:id="rId149" ref="K152"/>
    <hyperlink r:id="rId150" ref="K153"/>
    <hyperlink r:id="rId151" ref="K154"/>
    <hyperlink r:id="rId152" ref="K155"/>
    <hyperlink r:id="rId153" ref="K156"/>
    <hyperlink r:id="rId154" ref="K157"/>
    <hyperlink r:id="rId155" ref="K158"/>
    <hyperlink r:id="rId156" ref="K159"/>
    <hyperlink r:id="rId157" ref="K160"/>
    <hyperlink r:id="rId158" ref="K161"/>
    <hyperlink r:id="rId159" ref="K162"/>
    <hyperlink r:id="rId160" ref="K163"/>
    <hyperlink r:id="rId161" ref="K164"/>
    <hyperlink r:id="rId162" ref="K165"/>
    <hyperlink r:id="rId163" ref="K166"/>
    <hyperlink r:id="rId164" ref="K167"/>
    <hyperlink r:id="rId165" ref="K168"/>
    <hyperlink r:id="rId166" ref="K169"/>
    <hyperlink r:id="rId167" ref="K170"/>
    <hyperlink r:id="rId168" ref="K171"/>
    <hyperlink r:id="rId169" ref="K172"/>
    <hyperlink r:id="rId170" ref="K173"/>
    <hyperlink r:id="rId171" ref="K174"/>
    <hyperlink r:id="rId172" ref="K175"/>
    <hyperlink r:id="rId173" ref="K176"/>
    <hyperlink r:id="rId174" ref="K177"/>
    <hyperlink r:id="rId175" ref="K178"/>
    <hyperlink r:id="rId176" ref="K179"/>
    <hyperlink r:id="rId177" ref="K180"/>
    <hyperlink r:id="rId178" ref="K181"/>
    <hyperlink r:id="rId179" ref="K182"/>
    <hyperlink r:id="rId180" ref="K183"/>
    <hyperlink r:id="rId181" ref="K184"/>
    <hyperlink r:id="rId182" ref="K185"/>
    <hyperlink r:id="rId183" ref="K186"/>
    <hyperlink r:id="rId184" ref="K187"/>
    <hyperlink r:id="rId185" ref="K188"/>
    <hyperlink r:id="rId186" ref="K189"/>
    <hyperlink r:id="rId187" ref="K190"/>
    <hyperlink r:id="rId188" ref="K191"/>
    <hyperlink r:id="rId189" ref="K192"/>
    <hyperlink r:id="rId190" ref="K193"/>
    <hyperlink r:id="rId191" ref="K194"/>
    <hyperlink r:id="rId192" ref="K195"/>
    <hyperlink r:id="rId193" ref="K196"/>
    <hyperlink r:id="rId194" ref="K197"/>
    <hyperlink r:id="rId195" ref="K198"/>
    <hyperlink r:id="rId196" ref="K199"/>
    <hyperlink r:id="rId197" ref="K200"/>
    <hyperlink r:id="rId198" ref="K201"/>
    <hyperlink r:id="rId199" ref="K202"/>
    <hyperlink r:id="rId200" ref="K203"/>
    <hyperlink r:id="rId201" ref="K204"/>
    <hyperlink r:id="rId202" ref="K205"/>
    <hyperlink r:id="rId203" ref="K206"/>
    <hyperlink r:id="rId204" ref="K207"/>
    <hyperlink r:id="rId205" ref="K208"/>
    <hyperlink r:id="rId206" ref="K209"/>
    <hyperlink r:id="rId207" ref="K210"/>
    <hyperlink r:id="rId208" ref="K211"/>
    <hyperlink r:id="rId209" ref="K212"/>
    <hyperlink r:id="rId210" ref="K213"/>
    <hyperlink r:id="rId211" ref="K214"/>
    <hyperlink r:id="rId212" ref="K215"/>
    <hyperlink r:id="rId213" ref="K216"/>
    <hyperlink r:id="rId214" ref="K217"/>
    <hyperlink r:id="rId215" ref="K218"/>
    <hyperlink r:id="rId216" ref="K219"/>
    <hyperlink r:id="rId217" ref="K220"/>
    <hyperlink r:id="rId218" ref="K221"/>
    <hyperlink r:id="rId219" ref="K222"/>
    <hyperlink r:id="rId220" ref="K223"/>
    <hyperlink r:id="rId221" ref="K224"/>
    <hyperlink r:id="rId222" ref="K225"/>
    <hyperlink r:id="rId223" ref="K226"/>
    <hyperlink r:id="rId224" ref="K227"/>
    <hyperlink r:id="rId225" ref="K228"/>
    <hyperlink r:id="rId226" ref="K229"/>
    <hyperlink r:id="rId227" ref="K230"/>
    <hyperlink r:id="rId228" ref="K231"/>
    <hyperlink r:id="rId229" ref="K232"/>
    <hyperlink r:id="rId230" ref="K233"/>
    <hyperlink r:id="rId231" ref="K234"/>
    <hyperlink r:id="rId232" ref="K235"/>
    <hyperlink r:id="rId233" ref="K236"/>
    <hyperlink r:id="rId234" ref="K237"/>
    <hyperlink r:id="rId235" ref="K238"/>
    <hyperlink r:id="rId236" ref="K239"/>
    <hyperlink r:id="rId237" ref="K240"/>
    <hyperlink r:id="rId238" ref="K241"/>
    <hyperlink r:id="rId239" ref="K242"/>
    <hyperlink r:id="rId240" ref="K243"/>
    <hyperlink r:id="rId241" ref="K244"/>
    <hyperlink r:id="rId242" ref="K245"/>
    <hyperlink r:id="rId243" ref="K246"/>
    <hyperlink r:id="rId244" ref="K247"/>
    <hyperlink r:id="rId245" ref="K248"/>
    <hyperlink r:id="rId246" ref="K249"/>
    <hyperlink r:id="rId247" ref="K250"/>
    <hyperlink r:id="rId248" ref="K251"/>
    <hyperlink r:id="rId249" ref="K252"/>
    <hyperlink r:id="rId250" ref="K253"/>
    <hyperlink r:id="rId251" ref="K254"/>
    <hyperlink r:id="rId252" ref="K255"/>
    <hyperlink r:id="rId253" ref="K256"/>
    <hyperlink r:id="rId254" ref="K257"/>
    <hyperlink r:id="rId255" ref="K258"/>
    <hyperlink r:id="rId256" ref="K259"/>
    <hyperlink r:id="rId257" ref="K260"/>
    <hyperlink r:id="rId258" ref="K261"/>
    <hyperlink r:id="rId259" ref="K262"/>
    <hyperlink r:id="rId260" ref="K263"/>
    <hyperlink r:id="rId261" ref="K264"/>
    <hyperlink r:id="rId262" ref="K265"/>
    <hyperlink r:id="rId263" ref="K266"/>
    <hyperlink r:id="rId264" ref="K267"/>
    <hyperlink r:id="rId265" ref="K268"/>
    <hyperlink r:id="rId266" ref="K269"/>
    <hyperlink r:id="rId267" ref="K270"/>
    <hyperlink r:id="rId268" ref="K271"/>
    <hyperlink r:id="rId269" ref="K272"/>
    <hyperlink r:id="rId270" ref="K273"/>
    <hyperlink r:id="rId271" ref="K274"/>
    <hyperlink r:id="rId272" ref="K275"/>
    <hyperlink r:id="rId273" ref="K276"/>
    <hyperlink r:id="rId274" ref="K277"/>
    <hyperlink r:id="rId275" ref="K278"/>
    <hyperlink r:id="rId276" ref="K279"/>
    <hyperlink r:id="rId277" ref="K280"/>
    <hyperlink r:id="rId278" ref="K281"/>
    <hyperlink r:id="rId279" ref="K282"/>
    <hyperlink r:id="rId280" ref="K283"/>
    <hyperlink r:id="rId281" ref="K284"/>
    <hyperlink r:id="rId282" ref="K285"/>
    <hyperlink r:id="rId283" ref="K286"/>
    <hyperlink r:id="rId284" ref="K287"/>
    <hyperlink r:id="rId285" ref="K288"/>
    <hyperlink r:id="rId286" ref="K289"/>
    <hyperlink r:id="rId287" ref="K290"/>
    <hyperlink r:id="rId288" ref="K291"/>
    <hyperlink r:id="rId289" ref="K292"/>
    <hyperlink r:id="rId290" ref="K293"/>
    <hyperlink r:id="rId291" ref="K294"/>
    <hyperlink r:id="rId292" ref="K295"/>
    <hyperlink r:id="rId293" ref="K296"/>
    <hyperlink r:id="rId294" ref="K297"/>
    <hyperlink r:id="rId295" ref="K299"/>
    <hyperlink r:id="rId296" ref="K300"/>
    <hyperlink r:id="rId297" ref="K301"/>
    <hyperlink r:id="rId298" ref="K302"/>
    <hyperlink r:id="rId299" ref="K303"/>
    <hyperlink r:id="rId300" ref="K304"/>
    <hyperlink r:id="rId301" ref="K305"/>
    <hyperlink r:id="rId302" ref="K307"/>
    <hyperlink r:id="rId303" ref="K308"/>
    <hyperlink r:id="rId304" ref="K309"/>
    <hyperlink r:id="rId305" ref="K310"/>
    <hyperlink r:id="rId306" ref="K311"/>
    <hyperlink r:id="rId307" ref="K312"/>
    <hyperlink r:id="rId308" ref="K313"/>
    <hyperlink r:id="rId309" ref="K314"/>
    <hyperlink r:id="rId310" ref="K315"/>
    <hyperlink r:id="rId311" ref="K316"/>
    <hyperlink r:id="rId312" ref="K317"/>
    <hyperlink r:id="rId313" ref="K318"/>
    <hyperlink r:id="rId314" ref="K319"/>
    <hyperlink r:id="rId315" ref="K320"/>
    <hyperlink r:id="rId316" ref="K321"/>
    <hyperlink r:id="rId317" ref="K322"/>
    <hyperlink r:id="rId318" ref="K323"/>
    <hyperlink r:id="rId319" ref="K324"/>
    <hyperlink r:id="rId320" ref="K325"/>
    <hyperlink r:id="rId321" ref="K326"/>
    <hyperlink r:id="rId322" ref="K327"/>
    <hyperlink r:id="rId323" ref="K328"/>
    <hyperlink r:id="rId324" ref="K329"/>
    <hyperlink r:id="rId325" ref="K330"/>
    <hyperlink r:id="rId326" ref="K331"/>
    <hyperlink r:id="rId327" ref="K332"/>
    <hyperlink r:id="rId328" ref="K333"/>
    <hyperlink r:id="rId329" ref="K334"/>
    <hyperlink r:id="rId330" ref="K335"/>
    <hyperlink r:id="rId331" ref="K336"/>
    <hyperlink r:id="rId332" ref="K337"/>
    <hyperlink r:id="rId333" ref="K338"/>
    <hyperlink r:id="rId334" ref="K339"/>
    <hyperlink r:id="rId335" ref="K340"/>
    <hyperlink r:id="rId336" ref="K341"/>
    <hyperlink r:id="rId337" ref="K342"/>
    <hyperlink r:id="rId338" ref="K343"/>
    <hyperlink r:id="rId339" ref="K344"/>
    <hyperlink r:id="rId340" ref="K345"/>
    <hyperlink r:id="rId341" ref="K346"/>
    <hyperlink r:id="rId342" ref="K347"/>
    <hyperlink r:id="rId343" ref="K348"/>
    <hyperlink r:id="rId344" ref="K349"/>
    <hyperlink r:id="rId345" ref="K350"/>
    <hyperlink r:id="rId346" ref="K351"/>
    <hyperlink r:id="rId347" ref="K352"/>
    <hyperlink r:id="rId348" ref="K353"/>
    <hyperlink r:id="rId349" ref="K354"/>
    <hyperlink r:id="rId350" ref="K355"/>
    <hyperlink r:id="rId351" ref="K356"/>
    <hyperlink r:id="rId352" ref="K357"/>
    <hyperlink r:id="rId353" ref="K358"/>
    <hyperlink r:id="rId354" ref="K359"/>
    <hyperlink r:id="rId355" ref="K360"/>
    <hyperlink r:id="rId356" ref="K361"/>
    <hyperlink r:id="rId357" ref="K362"/>
    <hyperlink r:id="rId358" ref="K363"/>
    <hyperlink r:id="rId359" ref="K364"/>
    <hyperlink r:id="rId360" ref="K365"/>
    <hyperlink r:id="rId361" ref="K366"/>
    <hyperlink r:id="rId362" ref="K367"/>
    <hyperlink r:id="rId363" ref="K368"/>
    <hyperlink r:id="rId364" ref="K369"/>
    <hyperlink r:id="rId365" ref="K370"/>
    <hyperlink r:id="rId366" ref="K371"/>
    <hyperlink r:id="rId367" ref="K372"/>
    <hyperlink r:id="rId368" ref="K373"/>
    <hyperlink r:id="rId369" ref="K374"/>
    <hyperlink r:id="rId370" ref="K375"/>
    <hyperlink r:id="rId371" ref="K376"/>
    <hyperlink r:id="rId372" ref="K377"/>
    <hyperlink r:id="rId373" ref="K378"/>
    <hyperlink r:id="rId374" ref="K379"/>
    <hyperlink r:id="rId375" ref="K380"/>
    <hyperlink r:id="rId376" ref="K381"/>
    <hyperlink r:id="rId377" ref="K382"/>
    <hyperlink r:id="rId378" ref="K383"/>
    <hyperlink r:id="rId379" ref="K384"/>
    <hyperlink r:id="rId380" ref="K385"/>
    <hyperlink r:id="rId381" ref="K386"/>
    <hyperlink r:id="rId382" ref="K387"/>
    <hyperlink r:id="rId383" ref="K388"/>
    <hyperlink r:id="rId384" ref="K389"/>
    <hyperlink r:id="rId385" ref="K390"/>
    <hyperlink r:id="rId386" ref="K391"/>
    <hyperlink r:id="rId387" ref="K392"/>
    <hyperlink r:id="rId388" ref="K394"/>
    <hyperlink r:id="rId389" ref="K395"/>
    <hyperlink r:id="rId390" ref="K396"/>
    <hyperlink r:id="rId391" ref="K397"/>
    <hyperlink r:id="rId392" ref="K398"/>
    <hyperlink r:id="rId393" ref="K399"/>
    <hyperlink r:id="rId394" ref="K400"/>
    <hyperlink r:id="rId395" ref="K401"/>
    <hyperlink r:id="rId396" ref="K402"/>
    <hyperlink r:id="rId397" ref="K403"/>
    <hyperlink r:id="rId398" ref="K404"/>
    <hyperlink r:id="rId399" ref="K405"/>
    <hyperlink r:id="rId400" ref="K406"/>
    <hyperlink r:id="rId401" ref="K408"/>
    <hyperlink r:id="rId402" ref="K409"/>
    <hyperlink r:id="rId403" ref="K410"/>
    <hyperlink r:id="rId404" ref="K411"/>
    <hyperlink r:id="rId405" ref="K412"/>
    <hyperlink r:id="rId406" ref="K413"/>
    <hyperlink r:id="rId407" ref="K414"/>
    <hyperlink r:id="rId408" ref="K415"/>
    <hyperlink r:id="rId409" ref="K416"/>
    <hyperlink r:id="rId410" ref="K417"/>
    <hyperlink r:id="rId411" ref="K418"/>
    <hyperlink r:id="rId412" ref="K419"/>
    <hyperlink r:id="rId413" ref="K420"/>
    <hyperlink r:id="rId414" ref="K421"/>
    <hyperlink r:id="rId415" ref="K422"/>
    <hyperlink r:id="rId416" ref="K424"/>
    <hyperlink r:id="rId417" ref="K425"/>
    <hyperlink r:id="rId418" ref="K426"/>
    <hyperlink r:id="rId419" ref="K427"/>
    <hyperlink r:id="rId420" ref="K428"/>
    <hyperlink r:id="rId421" ref="K429"/>
    <hyperlink r:id="rId422" ref="K430"/>
    <hyperlink r:id="rId423" ref="K431"/>
    <hyperlink r:id="rId424" ref="K432"/>
    <hyperlink r:id="rId425" ref="K433"/>
    <hyperlink r:id="rId426" ref="K434"/>
    <hyperlink r:id="rId427" ref="K435"/>
    <hyperlink r:id="rId428" ref="K436"/>
    <hyperlink r:id="rId429" ref="K437"/>
    <hyperlink r:id="rId430" ref="K438"/>
    <hyperlink r:id="rId431" ref="K439"/>
    <hyperlink r:id="rId432" ref="K440"/>
    <hyperlink r:id="rId433" ref="K441"/>
    <hyperlink r:id="rId434" ref="K442"/>
    <hyperlink r:id="rId435" ref="K443"/>
    <hyperlink r:id="rId436" ref="K444"/>
    <hyperlink r:id="rId437" ref="K445"/>
    <hyperlink r:id="rId438" ref="K446"/>
    <hyperlink r:id="rId439" ref="K447"/>
    <hyperlink r:id="rId440" ref="K448"/>
    <hyperlink r:id="rId441" ref="K449"/>
    <hyperlink r:id="rId442" ref="K450"/>
    <hyperlink r:id="rId443" ref="K451"/>
    <hyperlink r:id="rId444" ref="K452"/>
    <hyperlink r:id="rId445" ref="K453"/>
    <hyperlink r:id="rId446" ref="K454"/>
    <hyperlink r:id="rId447" ref="K455"/>
    <hyperlink r:id="rId448" ref="K456"/>
    <hyperlink r:id="rId449" ref="K457"/>
    <hyperlink r:id="rId450" ref="K458"/>
    <hyperlink r:id="rId451" ref="K459"/>
    <hyperlink r:id="rId452" ref="K460"/>
    <hyperlink r:id="rId453" ref="K461"/>
    <hyperlink r:id="rId454" ref="K462"/>
    <hyperlink r:id="rId455" ref="K463"/>
    <hyperlink r:id="rId456" ref="K464"/>
    <hyperlink r:id="rId457" ref="K465"/>
    <hyperlink r:id="rId458" ref="K466"/>
    <hyperlink r:id="rId459" ref="K467"/>
    <hyperlink r:id="rId460" ref="K468"/>
    <hyperlink r:id="rId461" ref="K469"/>
    <hyperlink r:id="rId462" ref="K470"/>
    <hyperlink r:id="rId463" ref="K471"/>
    <hyperlink r:id="rId464" ref="K472"/>
    <hyperlink r:id="rId465" ref="K473"/>
    <hyperlink r:id="rId466" ref="K474"/>
    <hyperlink r:id="rId467" ref="K475"/>
    <hyperlink r:id="rId468" ref="K476"/>
    <hyperlink r:id="rId469" ref="K477"/>
    <hyperlink r:id="rId470" ref="K478"/>
    <hyperlink r:id="rId471" ref="K479"/>
    <hyperlink r:id="rId472" ref="K480"/>
    <hyperlink r:id="rId473" ref="K481"/>
    <hyperlink r:id="rId474" ref="K482"/>
    <hyperlink r:id="rId475" ref="K483"/>
    <hyperlink r:id="rId476" ref="K484"/>
    <hyperlink r:id="rId477" ref="K485"/>
    <hyperlink r:id="rId478" ref="K486"/>
    <hyperlink r:id="rId479" ref="K487"/>
    <hyperlink r:id="rId480" ref="K488"/>
    <hyperlink r:id="rId481" ref="K489"/>
    <hyperlink r:id="rId482" ref="K490"/>
    <hyperlink r:id="rId483" ref="K491"/>
    <hyperlink r:id="rId484" ref="K492"/>
    <hyperlink r:id="rId485" ref="K493"/>
    <hyperlink r:id="rId486" ref="K494"/>
    <hyperlink r:id="rId487" ref="K495"/>
    <hyperlink r:id="rId488" ref="K496"/>
    <hyperlink r:id="rId489" ref="K497"/>
    <hyperlink r:id="rId490" ref="K498"/>
    <hyperlink r:id="rId491" ref="K499"/>
    <hyperlink r:id="rId492" ref="K500"/>
    <hyperlink r:id="rId493" ref="K501"/>
    <hyperlink r:id="rId494" ref="K502"/>
    <hyperlink r:id="rId495" ref="K503"/>
    <hyperlink r:id="rId496" ref="K504"/>
    <hyperlink r:id="rId497" ref="K505"/>
    <hyperlink r:id="rId498" ref="K506"/>
    <hyperlink r:id="rId499" ref="K507"/>
    <hyperlink r:id="rId500" ref="K508"/>
    <hyperlink r:id="rId501" ref="K509"/>
    <hyperlink r:id="rId502" ref="K510"/>
    <hyperlink r:id="rId503" ref="K511"/>
    <hyperlink r:id="rId504" ref="K512"/>
    <hyperlink r:id="rId505" ref="K513"/>
    <hyperlink r:id="rId506" ref="K514"/>
    <hyperlink r:id="rId507" ref="K515"/>
    <hyperlink r:id="rId508" ref="K516"/>
    <hyperlink r:id="rId509" ref="K517"/>
    <hyperlink r:id="rId510" ref="K518"/>
    <hyperlink r:id="rId511" ref="K519"/>
    <hyperlink r:id="rId512" ref="K520"/>
    <hyperlink r:id="rId513" ref="K521"/>
    <hyperlink r:id="rId514" ref="K522"/>
    <hyperlink r:id="rId515" ref="K523"/>
    <hyperlink r:id="rId516" ref="K524"/>
    <hyperlink r:id="rId517" ref="K525"/>
    <hyperlink r:id="rId518" ref="K526"/>
    <hyperlink r:id="rId519" ref="K527"/>
    <hyperlink r:id="rId520" ref="K528"/>
    <hyperlink r:id="rId521" ref="K529"/>
    <hyperlink r:id="rId522" ref="K530"/>
    <hyperlink r:id="rId523" ref="K531"/>
    <hyperlink r:id="rId524" ref="K532"/>
    <hyperlink r:id="rId525" ref="K533"/>
    <hyperlink r:id="rId526" ref="K534"/>
    <hyperlink r:id="rId527" ref="K535"/>
    <hyperlink r:id="rId528" ref="K536"/>
    <hyperlink r:id="rId529" ref="K537"/>
    <hyperlink r:id="rId530" ref="K538"/>
    <hyperlink r:id="rId531" ref="K539"/>
    <hyperlink r:id="rId532" ref="K540"/>
    <hyperlink r:id="rId533" ref="K541"/>
    <hyperlink r:id="rId534" ref="K542"/>
    <hyperlink r:id="rId535" ref="K543"/>
    <hyperlink r:id="rId536" ref="K544"/>
    <hyperlink r:id="rId537" ref="K545"/>
    <hyperlink r:id="rId538" ref="K546"/>
    <hyperlink r:id="rId539" ref="K547"/>
    <hyperlink r:id="rId540" ref="K548"/>
    <hyperlink r:id="rId541" ref="K549"/>
    <hyperlink r:id="rId542" ref="K550"/>
    <hyperlink r:id="rId543" ref="K551"/>
    <hyperlink r:id="rId544" ref="K552"/>
    <hyperlink r:id="rId545" ref="K553"/>
    <hyperlink r:id="rId546" ref="K554"/>
    <hyperlink r:id="rId547" ref="K555"/>
    <hyperlink r:id="rId548" ref="K556"/>
    <hyperlink r:id="rId549" ref="K557"/>
    <hyperlink r:id="rId550" ref="K558"/>
    <hyperlink r:id="rId551" ref="K559"/>
    <hyperlink r:id="rId552" ref="K560"/>
    <hyperlink r:id="rId553" ref="K561"/>
    <hyperlink r:id="rId554" ref="K562"/>
    <hyperlink r:id="rId555" ref="K563"/>
    <hyperlink r:id="rId556" ref="K564"/>
    <hyperlink r:id="rId557" ref="K565"/>
    <hyperlink r:id="rId558" ref="K566"/>
    <hyperlink r:id="rId559" ref="K567"/>
    <hyperlink r:id="rId560" ref="K568"/>
    <hyperlink r:id="rId561" ref="K569"/>
    <hyperlink r:id="rId562" ref="K570"/>
    <hyperlink r:id="rId563" ref="K571"/>
    <hyperlink r:id="rId564" ref="K572"/>
    <hyperlink r:id="rId565" ref="K573"/>
    <hyperlink r:id="rId566" ref="K574"/>
    <hyperlink r:id="rId567" ref="K575"/>
    <hyperlink r:id="rId568" ref="K576"/>
    <hyperlink r:id="rId569" ref="K577"/>
    <hyperlink r:id="rId570" ref="K578"/>
    <hyperlink r:id="rId571" ref="K579"/>
    <hyperlink r:id="rId572" ref="K580"/>
    <hyperlink r:id="rId573" ref="K581"/>
    <hyperlink r:id="rId574" ref="K582"/>
    <hyperlink r:id="rId575" ref="K583"/>
    <hyperlink r:id="rId576" ref="K584"/>
    <hyperlink r:id="rId577" ref="K585"/>
    <hyperlink r:id="rId578" ref="K586"/>
    <hyperlink r:id="rId579" ref="K587"/>
    <hyperlink r:id="rId580" ref="K588"/>
    <hyperlink r:id="rId581" ref="K589"/>
    <hyperlink r:id="rId582" ref="K590"/>
    <hyperlink r:id="rId583" ref="K591"/>
    <hyperlink r:id="rId584" ref="K592"/>
    <hyperlink r:id="rId585" ref="K593"/>
    <hyperlink r:id="rId586" ref="K594"/>
    <hyperlink r:id="rId587" ref="K595"/>
    <hyperlink r:id="rId588" ref="K596"/>
    <hyperlink r:id="rId589" ref="K597"/>
    <hyperlink r:id="rId590" ref="K598"/>
    <hyperlink r:id="rId591" ref="K599"/>
    <hyperlink r:id="rId592" ref="K600"/>
    <hyperlink r:id="rId593" ref="K601"/>
    <hyperlink r:id="rId594" ref="K602"/>
    <hyperlink r:id="rId595" ref="K603"/>
    <hyperlink r:id="rId596" ref="K604"/>
    <hyperlink r:id="rId597" ref="K605"/>
    <hyperlink r:id="rId598" ref="K606"/>
    <hyperlink r:id="rId599" ref="K607"/>
    <hyperlink r:id="rId600" ref="K608"/>
    <hyperlink r:id="rId601" ref="K609"/>
    <hyperlink r:id="rId602" ref="K610"/>
    <hyperlink r:id="rId603" ref="K611"/>
    <hyperlink r:id="rId604" ref="K612"/>
    <hyperlink r:id="rId605" ref="K613"/>
    <hyperlink r:id="rId606" ref="K614"/>
    <hyperlink r:id="rId607" ref="K615"/>
    <hyperlink r:id="rId608" ref="K616"/>
    <hyperlink r:id="rId609" ref="K617"/>
    <hyperlink r:id="rId610" ref="K618"/>
    <hyperlink r:id="rId611" ref="K619"/>
    <hyperlink r:id="rId612" ref="K620"/>
    <hyperlink r:id="rId613" ref="K621"/>
    <hyperlink r:id="rId614" ref="K622"/>
    <hyperlink r:id="rId615" ref="K623"/>
    <hyperlink r:id="rId616" ref="K624"/>
    <hyperlink r:id="rId617" ref="K625"/>
    <hyperlink r:id="rId618" ref="K626"/>
    <hyperlink r:id="rId619" ref="K627"/>
    <hyperlink r:id="rId620" ref="K628"/>
    <hyperlink r:id="rId621" ref="K629"/>
    <hyperlink r:id="rId622" ref="K630"/>
    <hyperlink r:id="rId623" ref="K631"/>
    <hyperlink r:id="rId624" ref="K632"/>
    <hyperlink r:id="rId625" ref="K633"/>
    <hyperlink r:id="rId626" ref="K634"/>
    <hyperlink r:id="rId627" ref="K635"/>
    <hyperlink r:id="rId628" ref="K636"/>
    <hyperlink r:id="rId629" ref="K637"/>
    <hyperlink r:id="rId630" ref="K638"/>
    <hyperlink r:id="rId631" ref="K639"/>
    <hyperlink r:id="rId632" ref="K640"/>
    <hyperlink r:id="rId633" ref="K641"/>
    <hyperlink r:id="rId634" ref="K642"/>
    <hyperlink r:id="rId635" ref="K643"/>
    <hyperlink r:id="rId636" ref="K644"/>
    <hyperlink r:id="rId637" ref="K645"/>
    <hyperlink r:id="rId638" ref="K646"/>
    <hyperlink r:id="rId639" ref="K647"/>
    <hyperlink r:id="rId640" ref="K648"/>
    <hyperlink r:id="rId641" ref="K649"/>
    <hyperlink r:id="rId642" ref="K650"/>
    <hyperlink r:id="rId643" ref="K651"/>
    <hyperlink r:id="rId644" ref="K652"/>
    <hyperlink r:id="rId645" ref="K653"/>
    <hyperlink r:id="rId646" ref="K654"/>
    <hyperlink r:id="rId647" ref="K655"/>
    <hyperlink r:id="rId648" ref="K656"/>
    <hyperlink r:id="rId649" ref="K657"/>
    <hyperlink r:id="rId650" ref="K658"/>
    <hyperlink r:id="rId651" ref="K659"/>
    <hyperlink r:id="rId652" ref="K660"/>
    <hyperlink r:id="rId653" ref="K661"/>
    <hyperlink r:id="rId654" ref="K662"/>
    <hyperlink r:id="rId655" ref="K663"/>
    <hyperlink r:id="rId656" ref="K664"/>
    <hyperlink r:id="rId657" ref="K665"/>
    <hyperlink r:id="rId658" ref="K666"/>
    <hyperlink r:id="rId659" ref="K667"/>
    <hyperlink r:id="rId660" ref="K668"/>
    <hyperlink r:id="rId661" ref="K669"/>
    <hyperlink r:id="rId662" ref="K670"/>
    <hyperlink r:id="rId663" ref="K671"/>
    <hyperlink r:id="rId664" ref="K672"/>
    <hyperlink r:id="rId665" ref="K673"/>
    <hyperlink r:id="rId666" ref="K674"/>
    <hyperlink r:id="rId667" ref="K675"/>
    <hyperlink r:id="rId668" ref="K676"/>
    <hyperlink r:id="rId669" ref="K677"/>
    <hyperlink r:id="rId670" ref="K678"/>
    <hyperlink r:id="rId671" ref="K679"/>
    <hyperlink r:id="rId672" ref="K680"/>
    <hyperlink r:id="rId673" ref="K681"/>
    <hyperlink r:id="rId674" ref="K682"/>
    <hyperlink r:id="rId675" ref="K683"/>
    <hyperlink r:id="rId676" ref="K684"/>
    <hyperlink r:id="rId677" ref="K685"/>
    <hyperlink r:id="rId678" ref="K686"/>
    <hyperlink r:id="rId679" ref="K687"/>
    <hyperlink r:id="rId680" ref="K688"/>
    <hyperlink r:id="rId681" ref="K689"/>
    <hyperlink r:id="rId682" ref="K690"/>
    <hyperlink r:id="rId683" ref="K691"/>
    <hyperlink r:id="rId684" ref="K692"/>
    <hyperlink r:id="rId685" ref="K693"/>
    <hyperlink r:id="rId686" ref="K694"/>
    <hyperlink r:id="rId687" ref="K695"/>
    <hyperlink r:id="rId688" ref="K696"/>
    <hyperlink r:id="rId689" ref="K697"/>
    <hyperlink r:id="rId690" ref="K698"/>
    <hyperlink r:id="rId691" ref="K699"/>
    <hyperlink r:id="rId692" ref="K700"/>
    <hyperlink r:id="rId693" ref="K701"/>
    <hyperlink r:id="rId694" ref="K702"/>
    <hyperlink r:id="rId695" ref="K703"/>
    <hyperlink r:id="rId696" ref="K704"/>
    <hyperlink r:id="rId697" ref="K705"/>
    <hyperlink r:id="rId698" ref="K706"/>
    <hyperlink r:id="rId699" ref="K707"/>
    <hyperlink r:id="rId700" ref="K708"/>
    <hyperlink r:id="rId701" ref="K709"/>
    <hyperlink r:id="rId702" ref="K710"/>
    <hyperlink r:id="rId703" ref="K711"/>
    <hyperlink r:id="rId704" ref="K712"/>
    <hyperlink r:id="rId705" ref="K713"/>
    <hyperlink r:id="rId706" ref="K714"/>
    <hyperlink r:id="rId707" ref="K715"/>
    <hyperlink r:id="rId708" ref="K716"/>
    <hyperlink r:id="rId709" ref="K717"/>
    <hyperlink r:id="rId710" ref="K718"/>
    <hyperlink r:id="rId711" ref="K719"/>
    <hyperlink r:id="rId712" ref="K720"/>
    <hyperlink r:id="rId713" ref="K721"/>
    <hyperlink r:id="rId714" ref="K722"/>
    <hyperlink r:id="rId715" ref="K723"/>
    <hyperlink r:id="rId716" ref="K724"/>
    <hyperlink r:id="rId717" ref="K725"/>
    <hyperlink r:id="rId718" ref="K726"/>
    <hyperlink r:id="rId719" ref="K727"/>
    <hyperlink r:id="rId720" ref="K728"/>
    <hyperlink r:id="rId721" ref="K729"/>
    <hyperlink r:id="rId722" ref="K730"/>
    <hyperlink r:id="rId723" ref="K731"/>
    <hyperlink r:id="rId724" ref="K732"/>
    <hyperlink r:id="rId725" ref="K733"/>
    <hyperlink r:id="rId726" ref="K734"/>
    <hyperlink r:id="rId727" ref="K735"/>
    <hyperlink r:id="rId728" ref="K736"/>
    <hyperlink r:id="rId729" ref="K737"/>
    <hyperlink r:id="rId730" ref="K738"/>
    <hyperlink r:id="rId731" ref="K739"/>
    <hyperlink r:id="rId732" ref="K740"/>
    <hyperlink r:id="rId733" ref="K741"/>
    <hyperlink r:id="rId734" ref="K742"/>
    <hyperlink r:id="rId735" ref="K743"/>
    <hyperlink r:id="rId736" ref="K744"/>
    <hyperlink r:id="rId737" ref="K745"/>
    <hyperlink r:id="rId738" ref="K746"/>
    <hyperlink r:id="rId739" ref="K747"/>
    <hyperlink r:id="rId740" ref="K748"/>
    <hyperlink r:id="rId741" ref="K749"/>
    <hyperlink r:id="rId742" ref="K750"/>
    <hyperlink r:id="rId743" ref="K751"/>
    <hyperlink r:id="rId744" ref="K752"/>
    <hyperlink r:id="rId745" ref="K753"/>
    <hyperlink r:id="rId746" ref="K754"/>
    <hyperlink r:id="rId747" ref="K755"/>
    <hyperlink r:id="rId748" ref="K756"/>
    <hyperlink r:id="rId749" ref="K757"/>
    <hyperlink r:id="rId750" ref="K758"/>
    <hyperlink r:id="rId751" ref="K759"/>
    <hyperlink r:id="rId752" ref="K760"/>
    <hyperlink r:id="rId753" ref="K761"/>
    <hyperlink r:id="rId754" ref="K762"/>
    <hyperlink r:id="rId755" ref="K763"/>
    <hyperlink r:id="rId756" ref="K764"/>
    <hyperlink r:id="rId757" ref="K765"/>
    <hyperlink r:id="rId758" ref="K766"/>
    <hyperlink r:id="rId759" ref="K767"/>
    <hyperlink r:id="rId760" ref="K768"/>
    <hyperlink r:id="rId761" ref="K769"/>
    <hyperlink r:id="rId762" ref="K770"/>
    <hyperlink r:id="rId763" ref="K771"/>
    <hyperlink r:id="rId764" ref="K772"/>
    <hyperlink r:id="rId765" ref="K773"/>
    <hyperlink r:id="rId766" ref="K774"/>
    <hyperlink r:id="rId767" ref="K775"/>
    <hyperlink r:id="rId768" ref="K776"/>
    <hyperlink r:id="rId769" ref="K777"/>
    <hyperlink r:id="rId770" ref="K778"/>
    <hyperlink r:id="rId771" ref="K779"/>
    <hyperlink r:id="rId772" ref="K780"/>
    <hyperlink r:id="rId773" ref="K781"/>
    <hyperlink r:id="rId774" ref="K782"/>
    <hyperlink r:id="rId775" ref="K783"/>
    <hyperlink r:id="rId776" ref="K784"/>
    <hyperlink r:id="rId777" ref="K785"/>
    <hyperlink r:id="rId778" ref="K786"/>
    <hyperlink r:id="rId779" ref="K787"/>
    <hyperlink r:id="rId780" ref="K788"/>
    <hyperlink r:id="rId781" ref="K789"/>
    <hyperlink r:id="rId782" ref="K790"/>
    <hyperlink r:id="rId783" ref="K791"/>
    <hyperlink r:id="rId784" ref="K792"/>
    <hyperlink r:id="rId785" ref="K793"/>
    <hyperlink r:id="rId786" ref="K794"/>
    <hyperlink r:id="rId787" ref="K795"/>
    <hyperlink r:id="rId788" ref="K796"/>
    <hyperlink r:id="rId789" ref="K797"/>
    <hyperlink r:id="rId790" ref="K798"/>
    <hyperlink r:id="rId791" ref="K799"/>
    <hyperlink r:id="rId792" ref="K800"/>
    <hyperlink r:id="rId793" ref="K801"/>
    <hyperlink r:id="rId794" ref="K802"/>
    <hyperlink r:id="rId795" ref="K803"/>
    <hyperlink r:id="rId796" ref="K804"/>
    <hyperlink r:id="rId797" ref="K805"/>
    <hyperlink r:id="rId798" ref="K806"/>
    <hyperlink r:id="rId799" ref="K807"/>
    <hyperlink r:id="rId800" ref="K808"/>
    <hyperlink r:id="rId801" ref="K809"/>
    <hyperlink r:id="rId802" ref="K810"/>
    <hyperlink r:id="rId803" ref="K811"/>
    <hyperlink r:id="rId804" ref="K812"/>
    <hyperlink r:id="rId805" ref="K813"/>
    <hyperlink r:id="rId806" ref="K814"/>
    <hyperlink r:id="rId807" ref="K815"/>
    <hyperlink r:id="rId808" ref="K816"/>
    <hyperlink r:id="rId809" ref="K817"/>
    <hyperlink r:id="rId810" ref="K818"/>
    <hyperlink r:id="rId811" ref="K819"/>
    <hyperlink r:id="rId812" ref="K820"/>
    <hyperlink r:id="rId813" ref="K821"/>
    <hyperlink r:id="rId814" ref="K822"/>
    <hyperlink r:id="rId815" ref="K823"/>
    <hyperlink r:id="rId816" ref="K824"/>
    <hyperlink r:id="rId817" ref="K825"/>
    <hyperlink r:id="rId818" ref="K826"/>
    <hyperlink r:id="rId819" ref="K827"/>
    <hyperlink r:id="rId820" ref="K828"/>
    <hyperlink r:id="rId821" ref="K829"/>
    <hyperlink r:id="rId822" ref="K830"/>
    <hyperlink r:id="rId823" ref="K831"/>
    <hyperlink r:id="rId824" ref="K832"/>
    <hyperlink r:id="rId825" ref="K833"/>
    <hyperlink r:id="rId826" ref="K834"/>
    <hyperlink r:id="rId827" ref="K835"/>
    <hyperlink r:id="rId828" ref="K836"/>
    <hyperlink r:id="rId829" ref="K837"/>
    <hyperlink r:id="rId830" ref="K838"/>
    <hyperlink r:id="rId831" ref="K839"/>
    <hyperlink r:id="rId832" ref="K840"/>
    <hyperlink r:id="rId833" ref="K841"/>
    <hyperlink r:id="rId834" ref="K842"/>
    <hyperlink r:id="rId835" ref="K843"/>
    <hyperlink r:id="rId836" ref="K844"/>
    <hyperlink r:id="rId837" ref="K845"/>
    <hyperlink r:id="rId838" ref="K846"/>
    <hyperlink r:id="rId839" ref="K847"/>
    <hyperlink r:id="rId840" ref="K848"/>
    <hyperlink r:id="rId841" ref="K849"/>
    <hyperlink r:id="rId842" ref="K850"/>
    <hyperlink r:id="rId843" ref="K851"/>
    <hyperlink r:id="rId844" ref="K852"/>
    <hyperlink r:id="rId845" ref="K853"/>
    <hyperlink r:id="rId846" ref="K854"/>
    <hyperlink r:id="rId847" ref="K855"/>
    <hyperlink r:id="rId848" ref="K856"/>
    <hyperlink r:id="rId849" ref="K857"/>
    <hyperlink r:id="rId850" ref="K858"/>
    <hyperlink r:id="rId851" ref="K859"/>
    <hyperlink r:id="rId852" ref="K860"/>
    <hyperlink r:id="rId853" ref="K861"/>
    <hyperlink r:id="rId854" ref="K862"/>
    <hyperlink r:id="rId855" ref="K863"/>
    <hyperlink r:id="rId856" ref="K864"/>
    <hyperlink r:id="rId857" ref="K865"/>
    <hyperlink r:id="rId858" ref="K866"/>
    <hyperlink r:id="rId859" ref="K867"/>
    <hyperlink r:id="rId860" ref="K868"/>
    <hyperlink r:id="rId861" ref="K869"/>
    <hyperlink r:id="rId862" ref="K870"/>
    <hyperlink r:id="rId863" ref="K871"/>
    <hyperlink r:id="rId864" ref="K872"/>
    <hyperlink r:id="rId865" ref="K873"/>
    <hyperlink r:id="rId866" ref="K874"/>
    <hyperlink r:id="rId867" ref="K875"/>
    <hyperlink r:id="rId868" ref="K876"/>
    <hyperlink r:id="rId869" ref="K877"/>
    <hyperlink r:id="rId870" ref="K878"/>
    <hyperlink r:id="rId871" ref="K879"/>
    <hyperlink r:id="rId872" ref="K880"/>
    <hyperlink r:id="rId873" ref="K881"/>
    <hyperlink r:id="rId874" ref="K882"/>
    <hyperlink r:id="rId875" ref="K883"/>
    <hyperlink r:id="rId876" ref="K884"/>
    <hyperlink r:id="rId877" ref="K885"/>
    <hyperlink r:id="rId878" ref="K886"/>
    <hyperlink r:id="rId879" ref="K887"/>
    <hyperlink r:id="rId880" ref="K888"/>
    <hyperlink r:id="rId881" ref="K889"/>
    <hyperlink r:id="rId882" ref="K890"/>
    <hyperlink r:id="rId883" ref="K891"/>
    <hyperlink r:id="rId884" ref="K892"/>
    <hyperlink r:id="rId885" ref="K893"/>
    <hyperlink r:id="rId886" ref="K894"/>
    <hyperlink r:id="rId887" ref="K895"/>
    <hyperlink r:id="rId888" ref="K896"/>
    <hyperlink r:id="rId889" ref="K897"/>
    <hyperlink r:id="rId890" ref="K898"/>
    <hyperlink r:id="rId891" ref="K899"/>
    <hyperlink r:id="rId892" ref="K900"/>
    <hyperlink r:id="rId893" ref="K901"/>
    <hyperlink r:id="rId894" ref="K902"/>
    <hyperlink r:id="rId895" ref="K903"/>
    <hyperlink r:id="rId896" ref="K904"/>
    <hyperlink r:id="rId897" ref="K905"/>
    <hyperlink r:id="rId898" ref="K906"/>
    <hyperlink r:id="rId899" ref="K907"/>
    <hyperlink r:id="rId900" ref="K908"/>
    <hyperlink r:id="rId901" ref="K909"/>
    <hyperlink r:id="rId902" ref="K910"/>
    <hyperlink r:id="rId903" ref="K911"/>
    <hyperlink r:id="rId904" ref="K912"/>
    <hyperlink r:id="rId905" ref="K913"/>
    <hyperlink r:id="rId906" ref="K914"/>
    <hyperlink r:id="rId907" ref="K915"/>
    <hyperlink r:id="rId908" ref="K916"/>
    <hyperlink r:id="rId909" ref="K917"/>
    <hyperlink r:id="rId910" ref="K918"/>
    <hyperlink r:id="rId911" ref="K919"/>
    <hyperlink r:id="rId912" ref="K920"/>
    <hyperlink r:id="rId913" ref="K921"/>
    <hyperlink r:id="rId914" ref="K922"/>
    <hyperlink r:id="rId915" ref="K923"/>
    <hyperlink r:id="rId916" ref="K924"/>
    <hyperlink r:id="rId917" ref="K925"/>
    <hyperlink r:id="rId918" ref="K926"/>
    <hyperlink r:id="rId919" ref="K927"/>
    <hyperlink r:id="rId920" ref="K928"/>
    <hyperlink r:id="rId921" ref="K929"/>
    <hyperlink r:id="rId922" ref="K930"/>
    <hyperlink r:id="rId923" ref="K931"/>
    <hyperlink r:id="rId924" ref="K932"/>
    <hyperlink r:id="rId925" ref="K933"/>
    <hyperlink r:id="rId926" ref="K934"/>
    <hyperlink r:id="rId927" ref="K935"/>
    <hyperlink r:id="rId928" ref="K936"/>
    <hyperlink r:id="rId929" ref="K937"/>
    <hyperlink r:id="rId930" ref="K938"/>
    <hyperlink r:id="rId931" ref="K939"/>
    <hyperlink r:id="rId932" ref="K940"/>
    <hyperlink r:id="rId933" ref="K941"/>
    <hyperlink r:id="rId934" ref="K942"/>
    <hyperlink r:id="rId935" ref="K943"/>
    <hyperlink r:id="rId936" ref="K944"/>
    <hyperlink r:id="rId937" ref="K945"/>
    <hyperlink r:id="rId938" ref="K946"/>
    <hyperlink r:id="rId939" ref="K947"/>
    <hyperlink r:id="rId940" ref="K948"/>
    <hyperlink r:id="rId941" ref="K949"/>
    <hyperlink r:id="rId942" ref="K950"/>
    <hyperlink r:id="rId943" ref="K951"/>
    <hyperlink r:id="rId944" ref="K952"/>
    <hyperlink r:id="rId945" ref="K953"/>
    <hyperlink r:id="rId946" ref="K954"/>
    <hyperlink r:id="rId947" ref="K955"/>
    <hyperlink r:id="rId948" ref="K956"/>
    <hyperlink r:id="rId949" ref="K957"/>
    <hyperlink r:id="rId950" ref="K958"/>
    <hyperlink r:id="rId951" ref="K959"/>
    <hyperlink r:id="rId952" ref="K960"/>
    <hyperlink r:id="rId953" ref="K961"/>
    <hyperlink r:id="rId954" ref="K962"/>
    <hyperlink r:id="rId955" ref="K963"/>
    <hyperlink r:id="rId956" ref="K964"/>
    <hyperlink r:id="rId957" ref="K965"/>
    <hyperlink r:id="rId958" ref="K966"/>
    <hyperlink r:id="rId959" ref="K967"/>
    <hyperlink r:id="rId960" ref="K968"/>
    <hyperlink r:id="rId961" ref="K969"/>
    <hyperlink r:id="rId962" ref="K970"/>
    <hyperlink r:id="rId963" ref="K971"/>
    <hyperlink r:id="rId964" ref="K972"/>
    <hyperlink r:id="rId965" ref="K973"/>
    <hyperlink r:id="rId966" ref="K974"/>
    <hyperlink r:id="rId967" ref="K975"/>
    <hyperlink r:id="rId968" ref="K976"/>
    <hyperlink r:id="rId969" ref="K977"/>
    <hyperlink r:id="rId970" ref="K978"/>
    <hyperlink r:id="rId971" ref="K979"/>
    <hyperlink r:id="rId972" ref="K980"/>
    <hyperlink r:id="rId973" ref="K981"/>
    <hyperlink r:id="rId974" ref="K982"/>
    <hyperlink r:id="rId975" ref="K984"/>
    <hyperlink r:id="rId976" ref="K985"/>
    <hyperlink r:id="rId977" ref="K986"/>
    <hyperlink r:id="rId978" ref="K987"/>
    <hyperlink r:id="rId979" ref="K988"/>
    <hyperlink r:id="rId980" ref="K989"/>
    <hyperlink r:id="rId981" ref="K990"/>
    <hyperlink r:id="rId982" ref="K991"/>
    <hyperlink r:id="rId983" ref="K992"/>
    <hyperlink r:id="rId984" ref="K993"/>
    <hyperlink r:id="rId985" ref="K994"/>
    <hyperlink r:id="rId986" ref="K995"/>
    <hyperlink r:id="rId987" ref="K996"/>
    <hyperlink r:id="rId988" ref="K997"/>
    <hyperlink r:id="rId989" ref="K998"/>
    <hyperlink r:id="rId990" ref="K999"/>
    <hyperlink r:id="rId991" ref="K1000"/>
    <hyperlink r:id="rId992" ref="K1001"/>
    <hyperlink r:id="rId993" ref="K1002"/>
    <hyperlink r:id="rId994" ref="K1003"/>
    <hyperlink r:id="rId995" ref="K1004"/>
    <hyperlink r:id="rId996" ref="K1005"/>
    <hyperlink r:id="rId997" ref="K1006"/>
    <hyperlink r:id="rId998" ref="K1007"/>
    <hyperlink r:id="rId999" ref="K1008"/>
    <hyperlink r:id="rId1000" ref="K1009"/>
    <hyperlink r:id="rId1001" ref="K1010"/>
    <hyperlink r:id="rId1002" ref="K1011"/>
    <hyperlink r:id="rId1003" ref="K1012"/>
    <hyperlink r:id="rId1004" ref="K1013"/>
    <hyperlink r:id="rId1005" ref="K1014"/>
    <hyperlink r:id="rId1006" ref="K1015"/>
    <hyperlink r:id="rId1007" ref="K1016"/>
    <hyperlink r:id="rId1008" ref="K1017"/>
    <hyperlink r:id="rId1009" ref="K1018"/>
    <hyperlink r:id="rId1010" ref="K1019"/>
    <hyperlink r:id="rId1011" ref="K1020"/>
    <hyperlink r:id="rId1012" ref="K1021"/>
    <hyperlink r:id="rId1013" ref="K1022"/>
    <hyperlink r:id="rId1014" ref="K1023"/>
    <hyperlink r:id="rId1015" ref="K1024"/>
    <hyperlink r:id="rId1016" ref="K1025"/>
    <hyperlink r:id="rId1017" ref="K1026"/>
    <hyperlink r:id="rId1018" ref="K1027"/>
    <hyperlink r:id="rId1019" ref="K1028"/>
    <hyperlink r:id="rId1020" ref="K1029"/>
    <hyperlink r:id="rId1021" ref="K1030"/>
    <hyperlink r:id="rId1022" ref="K1031"/>
    <hyperlink r:id="rId1023" ref="K1032"/>
    <hyperlink r:id="rId1024" ref="K1033"/>
    <hyperlink r:id="rId1025" ref="K1034"/>
    <hyperlink r:id="rId1026" ref="K1035"/>
    <hyperlink r:id="rId1027" ref="K1036"/>
    <hyperlink r:id="rId1028" ref="K1037"/>
    <hyperlink r:id="rId1029" ref="K1038"/>
    <hyperlink r:id="rId1030" ref="K1039"/>
    <hyperlink r:id="rId1031" ref="K1040"/>
    <hyperlink r:id="rId1032" ref="K1041"/>
    <hyperlink r:id="rId1033" ref="K1042"/>
    <hyperlink r:id="rId1034" ref="K1043"/>
    <hyperlink r:id="rId1035" ref="K1044"/>
    <hyperlink r:id="rId1036" ref="K1045"/>
    <hyperlink r:id="rId1037" ref="K1046"/>
    <hyperlink r:id="rId1038" ref="K1047"/>
    <hyperlink r:id="rId1039" ref="K1048"/>
    <hyperlink r:id="rId1040" ref="K1049"/>
    <hyperlink r:id="rId1041" ref="K1050"/>
    <hyperlink r:id="rId1042" ref="K1051"/>
    <hyperlink r:id="rId1043" ref="K1052"/>
    <hyperlink r:id="rId1044" ref="K1053"/>
    <hyperlink r:id="rId1045" ref="K1054"/>
    <hyperlink r:id="rId1046" ref="K1055"/>
    <hyperlink r:id="rId1047" ref="K1056"/>
    <hyperlink r:id="rId1048" ref="K1057"/>
    <hyperlink r:id="rId1049" ref="K1058"/>
    <hyperlink r:id="rId1050" ref="K1059"/>
    <hyperlink r:id="rId1051" ref="K1060"/>
    <hyperlink r:id="rId1052" ref="K1061"/>
    <hyperlink r:id="rId1053" ref="K1062"/>
    <hyperlink r:id="rId1054" ref="K1063"/>
    <hyperlink r:id="rId1055" ref="K1064"/>
    <hyperlink r:id="rId1056" ref="K1065"/>
    <hyperlink r:id="rId1057" ref="K1066"/>
    <hyperlink r:id="rId1058" ref="K1067"/>
    <hyperlink r:id="rId1059" ref="K1068"/>
    <hyperlink r:id="rId1060" ref="K1069"/>
    <hyperlink r:id="rId1061" ref="K1070"/>
    <hyperlink r:id="rId1062" ref="K1071"/>
    <hyperlink r:id="rId1063" ref="K1072"/>
    <hyperlink r:id="rId1064" ref="K1073"/>
    <hyperlink r:id="rId1065" ref="K1074"/>
    <hyperlink r:id="rId1066" ref="K1075"/>
    <hyperlink r:id="rId1067" ref="K1076"/>
    <hyperlink r:id="rId1068" ref="K1077"/>
    <hyperlink r:id="rId1069" ref="K1078"/>
    <hyperlink r:id="rId1070" ref="K1079"/>
    <hyperlink r:id="rId1071" ref="K1080"/>
    <hyperlink r:id="rId1072" ref="K1081"/>
    <hyperlink r:id="rId1073" ref="K1082"/>
    <hyperlink r:id="rId1074" ref="K1083"/>
    <hyperlink r:id="rId1075" ref="K1084"/>
    <hyperlink r:id="rId1076" ref="K1085"/>
    <hyperlink r:id="rId1077" ref="K1086"/>
    <hyperlink r:id="rId1078" ref="K1087"/>
    <hyperlink r:id="rId1079" ref="K1088"/>
    <hyperlink r:id="rId1080" ref="K1089"/>
    <hyperlink r:id="rId1081" ref="K1090"/>
    <hyperlink r:id="rId1082" ref="K1091"/>
    <hyperlink r:id="rId1083" ref="K1092"/>
    <hyperlink r:id="rId1084" ref="K1093"/>
    <hyperlink r:id="rId1085" ref="K1094"/>
    <hyperlink r:id="rId1086" ref="K1095"/>
    <hyperlink r:id="rId1087" ref="K1096"/>
    <hyperlink r:id="rId1088" ref="K1097"/>
    <hyperlink r:id="rId1089" ref="K1098"/>
    <hyperlink r:id="rId1090" ref="K1099"/>
    <hyperlink r:id="rId1091" ref="K1100"/>
    <hyperlink r:id="rId1092" ref="K1101"/>
    <hyperlink r:id="rId1093" ref="K1102"/>
    <hyperlink r:id="rId1094" ref="K1103"/>
    <hyperlink r:id="rId1095" ref="K1104"/>
    <hyperlink r:id="rId1096" ref="K1105"/>
    <hyperlink r:id="rId1097" ref="K1106"/>
    <hyperlink r:id="rId1098" ref="K1107"/>
    <hyperlink r:id="rId1099" ref="K1108"/>
    <hyperlink r:id="rId1100" ref="K1109"/>
    <hyperlink r:id="rId1101" ref="K1110"/>
    <hyperlink r:id="rId1102" ref="K1111"/>
    <hyperlink r:id="rId1103" ref="K1112"/>
    <hyperlink r:id="rId1104" ref="K1113"/>
    <hyperlink r:id="rId1105" ref="K1115"/>
    <hyperlink r:id="rId1106" ref="K1116"/>
    <hyperlink r:id="rId1107" ref="K1117"/>
    <hyperlink r:id="rId1108" ref="K1118"/>
    <hyperlink r:id="rId1109" ref="K1119"/>
    <hyperlink r:id="rId1110" ref="K1120"/>
    <hyperlink r:id="rId1111" ref="K1121"/>
    <hyperlink r:id="rId1112" ref="K1122"/>
    <hyperlink r:id="rId1113" ref="K1123"/>
    <hyperlink r:id="rId1114" ref="K1124"/>
    <hyperlink r:id="rId1115" ref="K1125"/>
    <hyperlink r:id="rId1116" ref="K1126"/>
    <hyperlink r:id="rId1117" ref="K1127"/>
    <hyperlink r:id="rId1118" ref="K1128"/>
    <hyperlink r:id="rId1119" ref="K1129"/>
    <hyperlink r:id="rId1120" ref="K1130"/>
    <hyperlink r:id="rId1121" ref="K1131"/>
    <hyperlink r:id="rId1122" ref="K1132"/>
    <hyperlink r:id="rId1123" ref="K1133"/>
    <hyperlink r:id="rId1124" ref="K1134"/>
    <hyperlink r:id="rId1125" ref="K1135"/>
    <hyperlink r:id="rId1126" ref="K1136"/>
    <hyperlink r:id="rId1127" ref="K1137"/>
    <hyperlink r:id="rId1128" ref="K1138"/>
    <hyperlink r:id="rId1129" ref="K1139"/>
    <hyperlink r:id="rId1130" ref="K1140"/>
    <hyperlink r:id="rId1131" ref="K1141"/>
    <hyperlink r:id="rId1132" ref="K1142"/>
    <hyperlink r:id="rId1133" ref="K1143"/>
    <hyperlink r:id="rId1134" ref="K1144"/>
    <hyperlink r:id="rId1135" ref="K1145"/>
    <hyperlink r:id="rId1136" ref="K1146"/>
    <hyperlink r:id="rId1137" ref="K1147"/>
    <hyperlink r:id="rId1138" ref="K1148"/>
    <hyperlink r:id="rId1139" ref="K1149"/>
    <hyperlink r:id="rId1140" ref="K1150"/>
    <hyperlink r:id="rId1141" ref="K1151"/>
    <hyperlink r:id="rId1142" ref="K1152"/>
    <hyperlink r:id="rId1143" ref="K1153"/>
    <hyperlink r:id="rId1144" ref="K1154"/>
    <hyperlink r:id="rId1145" ref="K1155"/>
    <hyperlink r:id="rId1146" ref="K1156"/>
    <hyperlink r:id="rId1147" ref="K1157"/>
    <hyperlink r:id="rId1148" ref="K1158"/>
    <hyperlink r:id="rId1149" ref="K1159"/>
    <hyperlink r:id="rId1150" ref="K1160"/>
    <hyperlink r:id="rId1151" ref="K1161"/>
    <hyperlink r:id="rId1152" ref="K1162"/>
    <hyperlink r:id="rId1153" ref="K1163"/>
    <hyperlink r:id="rId1154" ref="K1164"/>
    <hyperlink r:id="rId1155" ref="K1165"/>
    <hyperlink r:id="rId1156" ref="K1166"/>
    <hyperlink r:id="rId1157" ref="K1167"/>
    <hyperlink r:id="rId1158" ref="K1168"/>
    <hyperlink r:id="rId1159" ref="K1169"/>
    <hyperlink r:id="rId1160" ref="K1170"/>
    <hyperlink r:id="rId1161" ref="K1171"/>
    <hyperlink r:id="rId1162" ref="K1172"/>
    <hyperlink r:id="rId1163" ref="K1173"/>
    <hyperlink r:id="rId1164" ref="K1174"/>
    <hyperlink r:id="rId1165" ref="K1175"/>
    <hyperlink r:id="rId1166" ref="K1176"/>
    <hyperlink r:id="rId1167" ref="K1177"/>
    <hyperlink r:id="rId1168" ref="K1178"/>
    <hyperlink r:id="rId1169" ref="K1179"/>
    <hyperlink r:id="rId1170" ref="K1180"/>
    <hyperlink r:id="rId1171" ref="K1181"/>
    <hyperlink r:id="rId1172" ref="K1182"/>
    <hyperlink r:id="rId1173" ref="K1183"/>
    <hyperlink r:id="rId1174" ref="K1184"/>
    <hyperlink r:id="rId1175" ref="K1185"/>
    <hyperlink r:id="rId1176" ref="K1186"/>
    <hyperlink r:id="rId1177" ref="K1187"/>
    <hyperlink r:id="rId1178" ref="K1188"/>
    <hyperlink r:id="rId1179" ref="K1189"/>
    <hyperlink r:id="rId1180" ref="K1190"/>
    <hyperlink r:id="rId1181" ref="K1191"/>
    <hyperlink r:id="rId1182" ref="K1192"/>
    <hyperlink r:id="rId1183" ref="K1193"/>
    <hyperlink r:id="rId1184" ref="K1194"/>
    <hyperlink r:id="rId1185" ref="K1195"/>
    <hyperlink r:id="rId1186" ref="K1196"/>
    <hyperlink r:id="rId1187" ref="K1197"/>
    <hyperlink r:id="rId1188" ref="K1198"/>
    <hyperlink r:id="rId1189" ref="K1199"/>
    <hyperlink r:id="rId1190" ref="K1200"/>
    <hyperlink r:id="rId1191" ref="K1201"/>
    <hyperlink r:id="rId1192" ref="K1202"/>
    <hyperlink r:id="rId1193" ref="K1203"/>
    <hyperlink r:id="rId1194" ref="K1204"/>
    <hyperlink r:id="rId1195" ref="K1205"/>
    <hyperlink r:id="rId1196" ref="K1207"/>
    <hyperlink r:id="rId1197" ref="K1208"/>
    <hyperlink r:id="rId1198" ref="K1209"/>
    <hyperlink r:id="rId1199" ref="K1210"/>
    <hyperlink r:id="rId1200" ref="K1211"/>
    <hyperlink r:id="rId1201" ref="K1212"/>
    <hyperlink r:id="rId1202" ref="K1213"/>
    <hyperlink r:id="rId1203" ref="K1214"/>
    <hyperlink r:id="rId1204" ref="K1215"/>
    <hyperlink r:id="rId1205" ref="K1216"/>
    <hyperlink r:id="rId1206" ref="K1217"/>
    <hyperlink r:id="rId1207" ref="K1218"/>
    <hyperlink r:id="rId1208" ref="K1219"/>
    <hyperlink r:id="rId1209" ref="K1220"/>
    <hyperlink r:id="rId1210" ref="K1221"/>
    <hyperlink r:id="rId1211" ref="K1222"/>
    <hyperlink r:id="rId1212" ref="K1223"/>
    <hyperlink r:id="rId1213" ref="K1224"/>
    <hyperlink r:id="rId1214" ref="K1225"/>
    <hyperlink r:id="rId1215" ref="K1226"/>
    <hyperlink r:id="rId1216" ref="K1227"/>
    <hyperlink r:id="rId1217" ref="K1228"/>
    <hyperlink r:id="rId1218" ref="K1229"/>
    <hyperlink r:id="rId1219" ref="K1230"/>
    <hyperlink r:id="rId1220" ref="K1231"/>
    <hyperlink r:id="rId1221" ref="K1232"/>
    <hyperlink r:id="rId1222" ref="K1233"/>
    <hyperlink r:id="rId1223" ref="K1234"/>
    <hyperlink r:id="rId1224" ref="K1235"/>
    <hyperlink r:id="rId1225" ref="K1236"/>
    <hyperlink r:id="rId1226" ref="K1237"/>
    <hyperlink r:id="rId1227" ref="K1238"/>
    <hyperlink r:id="rId1228" ref="K1239"/>
    <hyperlink r:id="rId1229" ref="K1240"/>
    <hyperlink r:id="rId1230" ref="K1241"/>
    <hyperlink r:id="rId1231" ref="K1242"/>
    <hyperlink r:id="rId1232" ref="K1243"/>
    <hyperlink r:id="rId1233" ref="K1244"/>
    <hyperlink r:id="rId1234" ref="K1245"/>
    <hyperlink r:id="rId1235" ref="K1246"/>
    <hyperlink r:id="rId1236" ref="K1247"/>
    <hyperlink r:id="rId1237" ref="K1248"/>
    <hyperlink r:id="rId1238" ref="K1249"/>
    <hyperlink r:id="rId1239" ref="K1250"/>
    <hyperlink r:id="rId1240" ref="K1251"/>
    <hyperlink r:id="rId1241" ref="K1252"/>
    <hyperlink r:id="rId1242" ref="K1253"/>
    <hyperlink r:id="rId1243" ref="K1254"/>
    <hyperlink r:id="rId1244" ref="K1255"/>
    <hyperlink r:id="rId1245" ref="K1256"/>
    <hyperlink r:id="rId1246" ref="K1257"/>
    <hyperlink r:id="rId1247" ref="K1258"/>
    <hyperlink r:id="rId1248" ref="K1259"/>
    <hyperlink r:id="rId1249" ref="K1260"/>
    <hyperlink r:id="rId1250" ref="K1261"/>
    <hyperlink r:id="rId1251" ref="K1262"/>
    <hyperlink r:id="rId1252" ref="K1263"/>
    <hyperlink r:id="rId1253" ref="K1264"/>
    <hyperlink r:id="rId1254" ref="K1265"/>
    <hyperlink r:id="rId1255" ref="K1266"/>
    <hyperlink r:id="rId1256" ref="K1267"/>
    <hyperlink r:id="rId1257" ref="K1268"/>
    <hyperlink r:id="rId1258" ref="K1269"/>
    <hyperlink r:id="rId1259" ref="K1270"/>
    <hyperlink r:id="rId1260" ref="K1271"/>
    <hyperlink r:id="rId1261" ref="K1272"/>
    <hyperlink r:id="rId1262" ref="K1273"/>
    <hyperlink r:id="rId1263" ref="K1274"/>
    <hyperlink r:id="rId1264" ref="K1275"/>
    <hyperlink r:id="rId1265" ref="K1276"/>
    <hyperlink r:id="rId1266" ref="K1277"/>
    <hyperlink r:id="rId1267" ref="K1278"/>
    <hyperlink r:id="rId1268" ref="K1279"/>
    <hyperlink r:id="rId1269" ref="K1280"/>
    <hyperlink r:id="rId1270" ref="K1281"/>
    <hyperlink r:id="rId1271" ref="K1282"/>
    <hyperlink r:id="rId1272" ref="K1283"/>
    <hyperlink r:id="rId1273" ref="K1284"/>
    <hyperlink r:id="rId1274" ref="K1285"/>
    <hyperlink r:id="rId1275" ref="K1286"/>
    <hyperlink r:id="rId1276" ref="K1287"/>
    <hyperlink r:id="rId1277" ref="K1288"/>
    <hyperlink r:id="rId1278" ref="K1289"/>
    <hyperlink r:id="rId1279" ref="K1290"/>
    <hyperlink r:id="rId1280" ref="K1291"/>
    <hyperlink r:id="rId1281" ref="K1292"/>
    <hyperlink r:id="rId1282" ref="K1293"/>
    <hyperlink r:id="rId1283" ref="K1294"/>
    <hyperlink r:id="rId1284" ref="K1295"/>
    <hyperlink r:id="rId1285" ref="K1296"/>
    <hyperlink r:id="rId1286" ref="K1297"/>
    <hyperlink r:id="rId1287" ref="K1298"/>
    <hyperlink r:id="rId1288" ref="K1299"/>
    <hyperlink r:id="rId1289" ref="K1300"/>
    <hyperlink r:id="rId1290" ref="K1301"/>
    <hyperlink r:id="rId1291" ref="K1302"/>
    <hyperlink r:id="rId1292" ref="K1303"/>
    <hyperlink r:id="rId1293" ref="K1304"/>
    <hyperlink r:id="rId1294" ref="K1305"/>
    <hyperlink r:id="rId1295" ref="K1306"/>
    <hyperlink r:id="rId1296" ref="K1307"/>
    <hyperlink r:id="rId1297" ref="K1308"/>
    <hyperlink r:id="rId1298" ref="K1309"/>
    <hyperlink r:id="rId1299" ref="K1310"/>
    <hyperlink r:id="rId1300" ref="K1311"/>
    <hyperlink r:id="rId1301" ref="K1312"/>
    <hyperlink r:id="rId1302" ref="K1314"/>
    <hyperlink r:id="rId1303" ref="K1315"/>
    <hyperlink r:id="rId1304" ref="K1316"/>
    <hyperlink r:id="rId1305" ref="K1317"/>
    <hyperlink r:id="rId1306" ref="K1318"/>
    <hyperlink r:id="rId1307" ref="K1319"/>
    <hyperlink r:id="rId1308" ref="K1320"/>
    <hyperlink r:id="rId1309" ref="K1321"/>
    <hyperlink r:id="rId1310" ref="K1322"/>
    <hyperlink r:id="rId1311" ref="K1323"/>
    <hyperlink r:id="rId1312" ref="K1324"/>
    <hyperlink r:id="rId1313" ref="K1325"/>
    <hyperlink r:id="rId1314" ref="K1326"/>
    <hyperlink r:id="rId1315" ref="K1327"/>
    <hyperlink r:id="rId1316" ref="K1328"/>
    <hyperlink r:id="rId1317" ref="K1329"/>
    <hyperlink r:id="rId1318" ref="K1330"/>
    <hyperlink r:id="rId1319" ref="K1331"/>
    <hyperlink r:id="rId1320" ref="K1332"/>
    <hyperlink r:id="rId1321" ref="K1333"/>
    <hyperlink r:id="rId1322" ref="K1334"/>
    <hyperlink r:id="rId1323" ref="K1335"/>
    <hyperlink r:id="rId1324" ref="K1336"/>
    <hyperlink r:id="rId1325" ref="K1337"/>
    <hyperlink r:id="rId1326" ref="K1338"/>
    <hyperlink r:id="rId1327" ref="K1339"/>
    <hyperlink r:id="rId1328" ref="K1340"/>
    <hyperlink r:id="rId1329" ref="K1341"/>
    <hyperlink r:id="rId1330" ref="K1342"/>
    <hyperlink r:id="rId1331" ref="K1343"/>
    <hyperlink r:id="rId1332" ref="K1344"/>
    <hyperlink r:id="rId1333" ref="K1345"/>
    <hyperlink r:id="rId1334" ref="K1346"/>
    <hyperlink r:id="rId1335" ref="K1347"/>
    <hyperlink r:id="rId1336" ref="K1348"/>
    <hyperlink r:id="rId1337" ref="K1349"/>
    <hyperlink r:id="rId1338" ref="K1350"/>
    <hyperlink r:id="rId1339" ref="K1351"/>
    <hyperlink r:id="rId1340" ref="K1352"/>
    <hyperlink r:id="rId1341" ref="K1353"/>
    <hyperlink r:id="rId1342" ref="K1354"/>
    <hyperlink r:id="rId1343" ref="K1355"/>
    <hyperlink r:id="rId1344" ref="K1356"/>
    <hyperlink r:id="rId1345" ref="K1357"/>
    <hyperlink r:id="rId1346" ref="K1358"/>
    <hyperlink r:id="rId1347" ref="K1359"/>
    <hyperlink r:id="rId1348" ref="K1360"/>
    <hyperlink r:id="rId1349" ref="K1361"/>
    <hyperlink r:id="rId1350" ref="K1362"/>
    <hyperlink r:id="rId1351" ref="K1363"/>
    <hyperlink r:id="rId1352" ref="K1364"/>
    <hyperlink r:id="rId1353" ref="K1365"/>
    <hyperlink r:id="rId1354" ref="K1366"/>
    <hyperlink r:id="rId1355" ref="K1367"/>
    <hyperlink r:id="rId1356" ref="K1368"/>
    <hyperlink r:id="rId1357" ref="K1369"/>
    <hyperlink r:id="rId1358" ref="K1370"/>
    <hyperlink r:id="rId1359" ref="K1371"/>
    <hyperlink r:id="rId1360" ref="K1372"/>
    <hyperlink r:id="rId1361" ref="K1373"/>
    <hyperlink r:id="rId1362" ref="K1374"/>
    <hyperlink r:id="rId1363" ref="K1375"/>
    <hyperlink r:id="rId1364" ref="K1376"/>
    <hyperlink r:id="rId1365" ref="K1377"/>
    <hyperlink r:id="rId1366" ref="K1378"/>
    <hyperlink r:id="rId1367" ref="K1379"/>
    <hyperlink r:id="rId1368" ref="K1380"/>
    <hyperlink r:id="rId1369" ref="K1381"/>
    <hyperlink r:id="rId1370" ref="K1382"/>
    <hyperlink r:id="rId1371" ref="K1383"/>
    <hyperlink r:id="rId1372" ref="K1384"/>
    <hyperlink r:id="rId1373" ref="K1385"/>
    <hyperlink r:id="rId1374" ref="K1386"/>
    <hyperlink r:id="rId1375" ref="K1388"/>
    <hyperlink r:id="rId1376" ref="K1389"/>
    <hyperlink r:id="rId1377" ref="K1390"/>
    <hyperlink r:id="rId1378" ref="K1391"/>
    <hyperlink r:id="rId1379" ref="K1392"/>
    <hyperlink r:id="rId1380" ref="K1393"/>
    <hyperlink r:id="rId1381" ref="K1394"/>
    <hyperlink r:id="rId1382" ref="K1395"/>
    <hyperlink r:id="rId1383" ref="K1396"/>
    <hyperlink r:id="rId1384" ref="K1397"/>
    <hyperlink r:id="rId1385" ref="K1398"/>
    <hyperlink r:id="rId1386" ref="K1399"/>
    <hyperlink r:id="rId1387" ref="K1400"/>
    <hyperlink r:id="rId1388" ref="K1401"/>
    <hyperlink r:id="rId1389" ref="K1402"/>
    <hyperlink r:id="rId1390" ref="K1403"/>
    <hyperlink r:id="rId1391" ref="K1404"/>
    <hyperlink r:id="rId1392" ref="K1405"/>
    <hyperlink r:id="rId1393" ref="K1406"/>
    <hyperlink r:id="rId1394" ref="K1407"/>
    <hyperlink r:id="rId1395" ref="K1408"/>
    <hyperlink r:id="rId1396" ref="K1409"/>
    <hyperlink r:id="rId1397" ref="K1410"/>
    <hyperlink r:id="rId1398" ref="K1411"/>
    <hyperlink r:id="rId1399" ref="K1412"/>
    <hyperlink r:id="rId1400" ref="K1413"/>
    <hyperlink r:id="rId1401" ref="K1414"/>
    <hyperlink r:id="rId1402" ref="K1415"/>
    <hyperlink r:id="rId1403" ref="K1416"/>
    <hyperlink r:id="rId1404" ref="K1417"/>
    <hyperlink r:id="rId1405" ref="K1418"/>
    <hyperlink r:id="rId1406" ref="K1419"/>
    <hyperlink r:id="rId1407" ref="K1420"/>
    <hyperlink r:id="rId1408" ref="K1421"/>
    <hyperlink r:id="rId1409" ref="K1422"/>
    <hyperlink r:id="rId1410" ref="K1423"/>
    <hyperlink r:id="rId1411" ref="K1424"/>
    <hyperlink r:id="rId1412" ref="K1425"/>
    <hyperlink r:id="rId1413" ref="K1426"/>
    <hyperlink r:id="rId1414" ref="K1427"/>
    <hyperlink r:id="rId1415" ref="K1428"/>
    <hyperlink r:id="rId1416" ref="K1429"/>
    <hyperlink r:id="rId1417" ref="K1430"/>
    <hyperlink r:id="rId1418" ref="K1431"/>
    <hyperlink r:id="rId1419" ref="K1432"/>
    <hyperlink r:id="rId1420" ref="K1433"/>
    <hyperlink r:id="rId1421" ref="K1434"/>
    <hyperlink r:id="rId1422" ref="K1435"/>
    <hyperlink r:id="rId1423" ref="K1436"/>
    <hyperlink r:id="rId1424" ref="K1437"/>
    <hyperlink r:id="rId1425" ref="K1438"/>
    <hyperlink r:id="rId1426" ref="K1439"/>
    <hyperlink r:id="rId1427" ref="K1440"/>
    <hyperlink r:id="rId1428" ref="K1441"/>
    <hyperlink r:id="rId1429" ref="K1442"/>
    <hyperlink r:id="rId1430" ref="K1443"/>
    <hyperlink r:id="rId1431" ref="K1444"/>
    <hyperlink r:id="rId1432" ref="K1445"/>
    <hyperlink r:id="rId1433" ref="K1446"/>
    <hyperlink r:id="rId1434" ref="K1447"/>
    <hyperlink r:id="rId1435" ref="K1448"/>
    <hyperlink r:id="rId1436" ref="K1449"/>
    <hyperlink r:id="rId1437" ref="K1450"/>
    <hyperlink r:id="rId1438" ref="K1451"/>
    <hyperlink r:id="rId1439" ref="K1452"/>
    <hyperlink r:id="rId1440" ref="K1453"/>
    <hyperlink r:id="rId1441" ref="K1454"/>
    <hyperlink r:id="rId1442" ref="K1455"/>
    <hyperlink r:id="rId1443" ref="K1456"/>
    <hyperlink r:id="rId1444" ref="K1457"/>
    <hyperlink r:id="rId1445" ref="K1458"/>
    <hyperlink r:id="rId1446" ref="K1459"/>
    <hyperlink r:id="rId1447" ref="K1460"/>
    <hyperlink r:id="rId1448" ref="K1461"/>
    <hyperlink r:id="rId1449" ref="K1462"/>
    <hyperlink r:id="rId1450" ref="K1463"/>
    <hyperlink r:id="rId1451" ref="K1464"/>
    <hyperlink r:id="rId1452" ref="K1465"/>
    <hyperlink r:id="rId1453" ref="K1466"/>
    <hyperlink r:id="rId1454" ref="K1467"/>
    <hyperlink r:id="rId1455" ref="K1468"/>
    <hyperlink r:id="rId1456" ref="K1469"/>
    <hyperlink r:id="rId1457" ref="K1470"/>
    <hyperlink r:id="rId1458" ref="K1471"/>
    <hyperlink r:id="rId1459" ref="K1472"/>
    <hyperlink r:id="rId1460" ref="K1473"/>
    <hyperlink r:id="rId1461" ref="K1474"/>
    <hyperlink r:id="rId1462" ref="K1475"/>
    <hyperlink r:id="rId1463" ref="K1476"/>
    <hyperlink r:id="rId1464" ref="K1477"/>
    <hyperlink r:id="rId1465" ref="K1478"/>
    <hyperlink r:id="rId1466" ref="K1479"/>
    <hyperlink r:id="rId1467" ref="K1480"/>
    <hyperlink r:id="rId1468" ref="K1481"/>
    <hyperlink r:id="rId1469" ref="K1482"/>
    <hyperlink r:id="rId1470" ref="K1483"/>
    <hyperlink r:id="rId1471" ref="K1484"/>
    <hyperlink r:id="rId1472" ref="K1485"/>
    <hyperlink r:id="rId1473" ref="K1486"/>
    <hyperlink r:id="rId1474" ref="K1487"/>
    <hyperlink r:id="rId1475" ref="K1488"/>
    <hyperlink r:id="rId1476" ref="K1489"/>
    <hyperlink r:id="rId1477" ref="K1490"/>
    <hyperlink r:id="rId1478" ref="K1491"/>
    <hyperlink r:id="rId1479" ref="K1492"/>
    <hyperlink r:id="rId1480" ref="K1493"/>
    <hyperlink r:id="rId1481" ref="K1494"/>
    <hyperlink r:id="rId1482" ref="K1495"/>
    <hyperlink r:id="rId1483" ref="K1496"/>
    <hyperlink r:id="rId1484" ref="K1497"/>
    <hyperlink r:id="rId1485" ref="K1498"/>
    <hyperlink r:id="rId1486" ref="K1499"/>
    <hyperlink r:id="rId1487" ref="K1500"/>
    <hyperlink r:id="rId1488" ref="K1501"/>
    <hyperlink r:id="rId1489" ref="K1502"/>
    <hyperlink r:id="rId1490" ref="K1503"/>
    <hyperlink r:id="rId1491" ref="K1504"/>
    <hyperlink r:id="rId1492" ref="K1505"/>
    <hyperlink r:id="rId1493" ref="K1506"/>
    <hyperlink r:id="rId1494" ref="K1507"/>
    <hyperlink r:id="rId1495" ref="K1508"/>
    <hyperlink r:id="rId1496" ref="K1509"/>
    <hyperlink r:id="rId1497" ref="K1510"/>
    <hyperlink r:id="rId1498" ref="K1511"/>
    <hyperlink r:id="rId1499" ref="K1512"/>
    <hyperlink r:id="rId1500" ref="K1513"/>
    <hyperlink r:id="rId1501" ref="K1514"/>
    <hyperlink r:id="rId1502" ref="K1515"/>
    <hyperlink r:id="rId1503" ref="K1516"/>
    <hyperlink r:id="rId1504" ref="K1517"/>
    <hyperlink r:id="rId1505" ref="K1518"/>
    <hyperlink r:id="rId1506" ref="K1519"/>
    <hyperlink r:id="rId1507" ref="K1520"/>
    <hyperlink r:id="rId1508" ref="K1521"/>
    <hyperlink r:id="rId1509" ref="K1522"/>
    <hyperlink r:id="rId1510" ref="K1523"/>
    <hyperlink r:id="rId1511" ref="K1524"/>
    <hyperlink r:id="rId1512" ref="K1525"/>
    <hyperlink r:id="rId1513" ref="K1526"/>
    <hyperlink r:id="rId1514" ref="K1527"/>
    <hyperlink r:id="rId1515" ref="K1528"/>
    <hyperlink r:id="rId1516" ref="K1529"/>
    <hyperlink r:id="rId1517" ref="K1530"/>
    <hyperlink r:id="rId1518" ref="K1531"/>
    <hyperlink r:id="rId1519" ref="K1532"/>
    <hyperlink r:id="rId1520" ref="K1533"/>
    <hyperlink r:id="rId1521" ref="K1534"/>
    <hyperlink r:id="rId1522" ref="K1535"/>
    <hyperlink r:id="rId1523" ref="K1536"/>
    <hyperlink r:id="rId1524" ref="K1537"/>
    <hyperlink r:id="rId1525" ref="K1538"/>
    <hyperlink r:id="rId1526" ref="K1539"/>
    <hyperlink r:id="rId1527" ref="K1540"/>
    <hyperlink r:id="rId1528" ref="K1541"/>
    <hyperlink r:id="rId1529" ref="K1542"/>
    <hyperlink r:id="rId1530" ref="K1543"/>
    <hyperlink r:id="rId1531" ref="K1544"/>
    <hyperlink r:id="rId1532" ref="K1545"/>
    <hyperlink r:id="rId1533" ref="K1546"/>
    <hyperlink r:id="rId1534" ref="K1547"/>
    <hyperlink r:id="rId1535" ref="K1548"/>
    <hyperlink r:id="rId1536" ref="K1549"/>
    <hyperlink r:id="rId1537" ref="K1550"/>
    <hyperlink r:id="rId1538" ref="K1551"/>
    <hyperlink r:id="rId1539" ref="K1552"/>
    <hyperlink r:id="rId1540" ref="K1553"/>
    <hyperlink r:id="rId1541" ref="K1554"/>
    <hyperlink r:id="rId1542" ref="K1555"/>
    <hyperlink r:id="rId1543" ref="K1556"/>
    <hyperlink r:id="rId1544" ref="K1557"/>
    <hyperlink r:id="rId1545" ref="K1558"/>
    <hyperlink r:id="rId1546" ref="K1559"/>
    <hyperlink r:id="rId1547" ref="K1560"/>
    <hyperlink r:id="rId1548" ref="K1561"/>
    <hyperlink r:id="rId1549" ref="K1562"/>
    <hyperlink r:id="rId1550" ref="K1563"/>
    <hyperlink r:id="rId1551" ref="K1564"/>
    <hyperlink r:id="rId1552" ref="K1565"/>
    <hyperlink r:id="rId1553" ref="K1566"/>
    <hyperlink r:id="rId1554" ref="K1567"/>
    <hyperlink r:id="rId1555" ref="K1568"/>
    <hyperlink r:id="rId1556" ref="K1569"/>
    <hyperlink r:id="rId1557" ref="K1570"/>
    <hyperlink r:id="rId1558" ref="K1571"/>
    <hyperlink r:id="rId1559" ref="K1572"/>
    <hyperlink r:id="rId1560" ref="K1573"/>
    <hyperlink r:id="rId1561" ref="K1574"/>
    <hyperlink r:id="rId1562" ref="K1575"/>
    <hyperlink r:id="rId1563" ref="K1576"/>
    <hyperlink r:id="rId1564" ref="K1577"/>
    <hyperlink r:id="rId1565" ref="K1578"/>
    <hyperlink r:id="rId1566" ref="K1579"/>
    <hyperlink r:id="rId1567" ref="K1580"/>
    <hyperlink r:id="rId1568" ref="K1581"/>
    <hyperlink r:id="rId1569" ref="K1582"/>
    <hyperlink r:id="rId1570" ref="K1583"/>
    <hyperlink r:id="rId1571" ref="K1584"/>
    <hyperlink r:id="rId1572" ref="K1585"/>
    <hyperlink r:id="rId1573" ref="K1586"/>
    <hyperlink r:id="rId1574" ref="K1587"/>
    <hyperlink r:id="rId1575" ref="K1588"/>
    <hyperlink r:id="rId1576" ref="K1589"/>
    <hyperlink r:id="rId1577" ref="K1590"/>
    <hyperlink r:id="rId1578" ref="K1591"/>
    <hyperlink r:id="rId1579" ref="K1592"/>
    <hyperlink r:id="rId1580" ref="K1593"/>
    <hyperlink r:id="rId1581" ref="K1594"/>
    <hyperlink r:id="rId1582" ref="K1595"/>
    <hyperlink r:id="rId1583" ref="K1596"/>
    <hyperlink r:id="rId1584" ref="K1597"/>
    <hyperlink r:id="rId1585" ref="K1598"/>
    <hyperlink r:id="rId1586" ref="K1599"/>
    <hyperlink r:id="rId1587" ref="K1600"/>
    <hyperlink r:id="rId1588" ref="K1601"/>
    <hyperlink r:id="rId1589" ref="K1602"/>
    <hyperlink r:id="rId1590" ref="K1603"/>
    <hyperlink r:id="rId1591" ref="K1604"/>
    <hyperlink r:id="rId1592" ref="K1605"/>
    <hyperlink r:id="rId1593" ref="K1606"/>
    <hyperlink r:id="rId1594" ref="K1607"/>
    <hyperlink r:id="rId1595" ref="K1608"/>
    <hyperlink r:id="rId1596" ref="K1609"/>
    <hyperlink r:id="rId1597" ref="K1610"/>
    <hyperlink r:id="rId1598" ref="K1611"/>
    <hyperlink r:id="rId1599" ref="K1612"/>
    <hyperlink r:id="rId1600" ref="K1613"/>
    <hyperlink r:id="rId1601" ref="K1614"/>
    <hyperlink r:id="rId1602" ref="K1615"/>
    <hyperlink r:id="rId1603" ref="K1616"/>
    <hyperlink r:id="rId1604" ref="K1617"/>
    <hyperlink r:id="rId1605" ref="K1619"/>
    <hyperlink r:id="rId1606" ref="K1620"/>
    <hyperlink r:id="rId1607" ref="K1621"/>
    <hyperlink r:id="rId1608" ref="K1622"/>
    <hyperlink r:id="rId1609" ref="K1623"/>
    <hyperlink r:id="rId1610" ref="K1624"/>
    <hyperlink r:id="rId1611" ref="K1625"/>
    <hyperlink r:id="rId1612" ref="K1626"/>
    <hyperlink r:id="rId1613" ref="K1627"/>
    <hyperlink r:id="rId1614" ref="K1628"/>
    <hyperlink r:id="rId1615" ref="K1630"/>
    <hyperlink r:id="rId1616" ref="K1631"/>
    <hyperlink r:id="rId1617" ref="K1632"/>
    <hyperlink r:id="rId1618" ref="K1633"/>
    <hyperlink r:id="rId1619" ref="K1634"/>
    <hyperlink r:id="rId1620" ref="K1635"/>
    <hyperlink r:id="rId1621" ref="K1636"/>
    <hyperlink r:id="rId1622" ref="K1637"/>
    <hyperlink r:id="rId1623" ref="K1638"/>
    <hyperlink r:id="rId1624" ref="K1639"/>
    <hyperlink r:id="rId1625" ref="K1640"/>
    <hyperlink r:id="rId1626" ref="K1641"/>
    <hyperlink r:id="rId1627" ref="K1642"/>
    <hyperlink r:id="rId1628" ref="K1643"/>
    <hyperlink r:id="rId1629" ref="K1644"/>
    <hyperlink r:id="rId1630" ref="K1645"/>
    <hyperlink r:id="rId1631" ref="K1646"/>
    <hyperlink r:id="rId1632" ref="K1647"/>
    <hyperlink r:id="rId1633" ref="K1648"/>
    <hyperlink r:id="rId1634" ref="K1649"/>
    <hyperlink r:id="rId1635" ref="K1650"/>
    <hyperlink r:id="rId1636" ref="K1651"/>
    <hyperlink r:id="rId1637" ref="K1652"/>
    <hyperlink r:id="rId1638" ref="K1653"/>
    <hyperlink r:id="rId1639" ref="K1654"/>
    <hyperlink r:id="rId1640" ref="K1655"/>
    <hyperlink r:id="rId1641" ref="K1656"/>
    <hyperlink r:id="rId1642" ref="K1657"/>
    <hyperlink r:id="rId1643" ref="K1658"/>
    <hyperlink r:id="rId1644" ref="K1659"/>
    <hyperlink r:id="rId1645" ref="K1660"/>
    <hyperlink r:id="rId1646" ref="K1661"/>
    <hyperlink r:id="rId1647" ref="K1662"/>
    <hyperlink r:id="rId1648" ref="K1663"/>
    <hyperlink r:id="rId1649" ref="K1664"/>
    <hyperlink r:id="rId1650" ref="K1665"/>
    <hyperlink r:id="rId1651" ref="K1666"/>
    <hyperlink r:id="rId1652" ref="K1667"/>
    <hyperlink r:id="rId1653" ref="K1668"/>
    <hyperlink r:id="rId1654" ref="K1669"/>
    <hyperlink r:id="rId1655" ref="K1670"/>
    <hyperlink r:id="rId1656" ref="K1671"/>
    <hyperlink r:id="rId1657" ref="K1672"/>
    <hyperlink r:id="rId1658" ref="K1673"/>
    <hyperlink r:id="rId1659" ref="K1674"/>
    <hyperlink r:id="rId1660" ref="K1675"/>
    <hyperlink r:id="rId1661" ref="K1676"/>
    <hyperlink r:id="rId1662" ref="K1677"/>
    <hyperlink r:id="rId1663" ref="K1678"/>
    <hyperlink r:id="rId1664" ref="K1679"/>
    <hyperlink r:id="rId1665" ref="K1680"/>
    <hyperlink r:id="rId1666" ref="K1681"/>
    <hyperlink r:id="rId1667" ref="K1682"/>
    <hyperlink r:id="rId1668" ref="K1683"/>
    <hyperlink r:id="rId1669" ref="K1684"/>
    <hyperlink r:id="rId1670" ref="K1685"/>
    <hyperlink r:id="rId1671" ref="K1686"/>
    <hyperlink r:id="rId1672" ref="K1687"/>
    <hyperlink r:id="rId1673" ref="K1688"/>
    <hyperlink r:id="rId1674" ref="K1689"/>
    <hyperlink r:id="rId1675" ref="K1690"/>
    <hyperlink r:id="rId1676" ref="K1691"/>
    <hyperlink r:id="rId1677" ref="K1692"/>
    <hyperlink r:id="rId1678" ref="K1693"/>
    <hyperlink r:id="rId1679" ref="K1694"/>
    <hyperlink r:id="rId1680" ref="K1695"/>
    <hyperlink r:id="rId1681" ref="K1696"/>
    <hyperlink r:id="rId1682" ref="K1697"/>
    <hyperlink r:id="rId1683" ref="K1698"/>
    <hyperlink r:id="rId1684" ref="K1699"/>
    <hyperlink r:id="rId1685" ref="K1700"/>
    <hyperlink r:id="rId1686" ref="K1701"/>
    <hyperlink r:id="rId1687" ref="K1702"/>
    <hyperlink r:id="rId1688" ref="K1703"/>
    <hyperlink r:id="rId1689" ref="K1704"/>
    <hyperlink r:id="rId1690" ref="K1705"/>
    <hyperlink r:id="rId1691" ref="K1706"/>
    <hyperlink r:id="rId1692" ref="K1707"/>
    <hyperlink r:id="rId1693" ref="K1708"/>
    <hyperlink r:id="rId1694" ref="K1709"/>
    <hyperlink r:id="rId1695" ref="K1710"/>
    <hyperlink r:id="rId1696" ref="K1711"/>
    <hyperlink r:id="rId1697" ref="K1712"/>
    <hyperlink r:id="rId1698" ref="K1713"/>
    <hyperlink r:id="rId1699" ref="K1714"/>
    <hyperlink r:id="rId1700" ref="K1715"/>
    <hyperlink r:id="rId1701" ref="K1716"/>
    <hyperlink r:id="rId1702" ref="K1717"/>
    <hyperlink r:id="rId1703" ref="K1718"/>
    <hyperlink r:id="rId1704" ref="K1719"/>
    <hyperlink r:id="rId1705" ref="K1720"/>
    <hyperlink r:id="rId1706" ref="K1721"/>
    <hyperlink r:id="rId1707" ref="K1722"/>
    <hyperlink r:id="rId1708" ref="K1723"/>
    <hyperlink r:id="rId1709" ref="K1724"/>
    <hyperlink r:id="rId1710" ref="K1725"/>
    <hyperlink r:id="rId1711" ref="K1726"/>
    <hyperlink r:id="rId1712" ref="K1727"/>
    <hyperlink r:id="rId1713" ref="K1728"/>
    <hyperlink r:id="rId1714" ref="K1729"/>
    <hyperlink r:id="rId1715" ref="K1730"/>
    <hyperlink r:id="rId1716" ref="K1731"/>
    <hyperlink r:id="rId1717" ref="K1732"/>
    <hyperlink r:id="rId1718" ref="K1733"/>
    <hyperlink r:id="rId1719" ref="K1734"/>
    <hyperlink r:id="rId1720" ref="K1735"/>
    <hyperlink r:id="rId1721" ref="K1736"/>
    <hyperlink r:id="rId1722" ref="K1737"/>
    <hyperlink r:id="rId1723" ref="K1738"/>
    <hyperlink r:id="rId1724" ref="K1739"/>
    <hyperlink r:id="rId1725" ref="K1740"/>
    <hyperlink r:id="rId1726" ref="K1741"/>
    <hyperlink r:id="rId1727" ref="K1742"/>
    <hyperlink r:id="rId1728" ref="K1743"/>
    <hyperlink r:id="rId1729" ref="K1744"/>
    <hyperlink r:id="rId1730" ref="K1745"/>
    <hyperlink r:id="rId1731" ref="K1746"/>
    <hyperlink r:id="rId1732" ref="K1747"/>
    <hyperlink r:id="rId1733" ref="K1748"/>
    <hyperlink r:id="rId1734" ref="K1749"/>
    <hyperlink r:id="rId1735" ref="K1750"/>
    <hyperlink r:id="rId1736" ref="K1751"/>
    <hyperlink r:id="rId1737" ref="K1752"/>
    <hyperlink r:id="rId1738" ref="K1753"/>
    <hyperlink r:id="rId1739" ref="K1754"/>
    <hyperlink r:id="rId1740" ref="K1755"/>
    <hyperlink r:id="rId1741" ref="K1756"/>
    <hyperlink r:id="rId1742" ref="K1757"/>
    <hyperlink r:id="rId1743" ref="K1758"/>
    <hyperlink r:id="rId1744" ref="K1759"/>
    <hyperlink r:id="rId1745" ref="K1761"/>
    <hyperlink r:id="rId1746" ref="K1762"/>
    <hyperlink r:id="rId1747" ref="K1763"/>
    <hyperlink r:id="rId1748" ref="K1764"/>
    <hyperlink r:id="rId1749" ref="K1765"/>
    <hyperlink r:id="rId1750" ref="K1766"/>
    <hyperlink r:id="rId1751" ref="K1767"/>
    <hyperlink r:id="rId1752" ref="K1768"/>
    <hyperlink r:id="rId1753" ref="K1769"/>
    <hyperlink r:id="rId1754" ref="K1770"/>
    <hyperlink r:id="rId1755" ref="K1771"/>
    <hyperlink r:id="rId1756" ref="K1772"/>
    <hyperlink r:id="rId1757" ref="K1773"/>
    <hyperlink r:id="rId1758" ref="K1774"/>
    <hyperlink r:id="rId1759" ref="K1775"/>
    <hyperlink r:id="rId1760" ref="K1776"/>
    <hyperlink r:id="rId1761" ref="K1777"/>
    <hyperlink r:id="rId1762" ref="K1778"/>
    <hyperlink r:id="rId1763" ref="K1779"/>
    <hyperlink r:id="rId1764" ref="K1780"/>
    <hyperlink r:id="rId1765" ref="K1781"/>
    <hyperlink r:id="rId1766" ref="K1782"/>
    <hyperlink r:id="rId1767" ref="K1783"/>
    <hyperlink r:id="rId1768" ref="K1784"/>
    <hyperlink r:id="rId1769" ref="K1785"/>
    <hyperlink r:id="rId1770" ref="K1786"/>
    <hyperlink r:id="rId1771" ref="K1787"/>
    <hyperlink r:id="rId1772" ref="K1788"/>
    <hyperlink r:id="rId1773" ref="K1789"/>
    <hyperlink r:id="rId1774" ref="K1790"/>
    <hyperlink r:id="rId1775" ref="K1791"/>
    <hyperlink r:id="rId1776" ref="K1792"/>
    <hyperlink r:id="rId1777" ref="K1793"/>
    <hyperlink r:id="rId1778" ref="K1794"/>
    <hyperlink r:id="rId1779" ref="K1795"/>
    <hyperlink r:id="rId1780" ref="K1796"/>
    <hyperlink r:id="rId1781" ref="K1797"/>
    <hyperlink r:id="rId1782" ref="K1798"/>
    <hyperlink r:id="rId1783" ref="K1799"/>
    <hyperlink r:id="rId1784" ref="K1800"/>
    <hyperlink r:id="rId1785" ref="K1801"/>
    <hyperlink r:id="rId1786" ref="K1802"/>
    <hyperlink r:id="rId1787" ref="K1803"/>
    <hyperlink r:id="rId1788" ref="K1804"/>
    <hyperlink r:id="rId1789" ref="K1805"/>
    <hyperlink r:id="rId1790" ref="K1806"/>
    <hyperlink r:id="rId1791" ref="K1807"/>
    <hyperlink r:id="rId1792" ref="K1808"/>
    <hyperlink r:id="rId1793" ref="K1809"/>
    <hyperlink r:id="rId1794" ref="K1810"/>
    <hyperlink r:id="rId1795" ref="K1811"/>
    <hyperlink r:id="rId1796" ref="K1812"/>
    <hyperlink r:id="rId1797" ref="K1813"/>
    <hyperlink r:id="rId1798" ref="K1814"/>
    <hyperlink r:id="rId1799" ref="K1815"/>
    <hyperlink r:id="rId1800" ref="K1816"/>
    <hyperlink r:id="rId1801" ref="K1817"/>
    <hyperlink r:id="rId1802" ref="K1818"/>
    <hyperlink r:id="rId1803" ref="K1819"/>
    <hyperlink r:id="rId1804" ref="K1820"/>
    <hyperlink r:id="rId1805" ref="K1821"/>
    <hyperlink r:id="rId1806" ref="K1822"/>
    <hyperlink r:id="rId1807" ref="K1823"/>
    <hyperlink r:id="rId1808" ref="K1824"/>
    <hyperlink r:id="rId1809" ref="K1825"/>
    <hyperlink r:id="rId1810" ref="K1826"/>
    <hyperlink r:id="rId1811" ref="K1827"/>
    <hyperlink r:id="rId1812" ref="K1828"/>
    <hyperlink r:id="rId1813" ref="K1829"/>
    <hyperlink r:id="rId1814" ref="K1830"/>
    <hyperlink r:id="rId1815" ref="K1831"/>
    <hyperlink r:id="rId1816" ref="K1832"/>
    <hyperlink r:id="rId1817" ref="K1833"/>
    <hyperlink r:id="rId1818" ref="K1834"/>
    <hyperlink r:id="rId1819" ref="K1835"/>
    <hyperlink r:id="rId1820" ref="K1836"/>
    <hyperlink r:id="rId1821" ref="K1837"/>
    <hyperlink r:id="rId1822" ref="K1838"/>
    <hyperlink r:id="rId1823" ref="K1839"/>
    <hyperlink r:id="rId1824" ref="K1840"/>
    <hyperlink r:id="rId1825" ref="K1841"/>
    <hyperlink r:id="rId1826" ref="K1842"/>
    <hyperlink r:id="rId1827" ref="K1843"/>
    <hyperlink r:id="rId1828" ref="K1844"/>
    <hyperlink r:id="rId1829" ref="K1845"/>
    <hyperlink r:id="rId1830" ref="K1846"/>
    <hyperlink r:id="rId1831" ref="K1847"/>
    <hyperlink r:id="rId1832" ref="K1848"/>
    <hyperlink r:id="rId1833" ref="K1849"/>
    <hyperlink r:id="rId1834" ref="K1850"/>
    <hyperlink r:id="rId1835" ref="K1851"/>
    <hyperlink r:id="rId1836" ref="K1852"/>
    <hyperlink r:id="rId1837" ref="K1853"/>
    <hyperlink r:id="rId1838" ref="K1854"/>
    <hyperlink r:id="rId1839" ref="K1855"/>
    <hyperlink r:id="rId1840" ref="K1856"/>
    <hyperlink r:id="rId1841" ref="K1857"/>
    <hyperlink r:id="rId1842" ref="K1859"/>
    <hyperlink r:id="rId1843" ref="K1860"/>
    <hyperlink r:id="rId1844" ref="K1861"/>
    <hyperlink r:id="rId1845" ref="K1862"/>
    <hyperlink r:id="rId1846" ref="K1863"/>
    <hyperlink r:id="rId1847" ref="K1864"/>
    <hyperlink r:id="rId1848" ref="K1865"/>
    <hyperlink r:id="rId1849" ref="K1866"/>
    <hyperlink r:id="rId1850" ref="K1867"/>
    <hyperlink r:id="rId1851" ref="K1868"/>
    <hyperlink r:id="rId1852" ref="K1869"/>
    <hyperlink r:id="rId1853" ref="K1870"/>
    <hyperlink r:id="rId1854" ref="K1871"/>
    <hyperlink r:id="rId1855" ref="K1872"/>
    <hyperlink r:id="rId1856" ref="K1873"/>
    <hyperlink r:id="rId1857" ref="K1874"/>
    <hyperlink r:id="rId1858" ref="K1875"/>
    <hyperlink r:id="rId1859" ref="K1876"/>
    <hyperlink r:id="rId1860" ref="K1877"/>
    <hyperlink r:id="rId1861" ref="K1878"/>
    <hyperlink r:id="rId1862" ref="K1879"/>
    <hyperlink r:id="rId1863" ref="K1880"/>
    <hyperlink r:id="rId1864" ref="K1881"/>
    <hyperlink r:id="rId1865" ref="K1882"/>
    <hyperlink r:id="rId1866" ref="K1883"/>
    <hyperlink r:id="rId1867" ref="K1884"/>
    <hyperlink r:id="rId1868" ref="K1885"/>
    <hyperlink r:id="rId1869" ref="K1886"/>
    <hyperlink r:id="rId1870" ref="K1887"/>
    <hyperlink r:id="rId1871" ref="K1888"/>
    <hyperlink r:id="rId1872" ref="K1889"/>
    <hyperlink r:id="rId1873" ref="K1890"/>
    <hyperlink r:id="rId1874" ref="K1891"/>
    <hyperlink r:id="rId1875" ref="K1892"/>
    <hyperlink r:id="rId1876" ref="K1893"/>
    <hyperlink r:id="rId1877" ref="K1894"/>
    <hyperlink r:id="rId1878" ref="K1895"/>
    <hyperlink r:id="rId1879" ref="K1896"/>
    <hyperlink r:id="rId1880" ref="K1897"/>
    <hyperlink r:id="rId1881" ref="K1898"/>
    <hyperlink r:id="rId1882" ref="K1899"/>
    <hyperlink r:id="rId1883" ref="K1900"/>
    <hyperlink r:id="rId1884" ref="K1901"/>
    <hyperlink r:id="rId1885" ref="K1902"/>
    <hyperlink r:id="rId1886" ref="K1903"/>
    <hyperlink r:id="rId1887" ref="K1904"/>
    <hyperlink r:id="rId1888" ref="K1905"/>
    <hyperlink r:id="rId1889" ref="K1906"/>
    <hyperlink r:id="rId1890" ref="K1907"/>
    <hyperlink r:id="rId1891" ref="K1908"/>
    <hyperlink r:id="rId1892" ref="K1909"/>
    <hyperlink r:id="rId1893" ref="K1910"/>
    <hyperlink r:id="rId1894" ref="K1911"/>
    <hyperlink r:id="rId1895" ref="K1912"/>
    <hyperlink r:id="rId1896" ref="K1913"/>
    <hyperlink r:id="rId1897" ref="K1914"/>
    <hyperlink r:id="rId1898" ref="K1915"/>
    <hyperlink r:id="rId1899" ref="K1916"/>
    <hyperlink r:id="rId1900" ref="K1917"/>
    <hyperlink r:id="rId1901" ref="K1918"/>
    <hyperlink r:id="rId1902" ref="K1919"/>
    <hyperlink r:id="rId1903" ref="K1920"/>
    <hyperlink r:id="rId1904" ref="K1921"/>
    <hyperlink r:id="rId1905" ref="K1923"/>
    <hyperlink r:id="rId1906" ref="K1924"/>
    <hyperlink r:id="rId1907" ref="K1925"/>
    <hyperlink r:id="rId1908" ref="K1926"/>
    <hyperlink r:id="rId1909" ref="K1927"/>
    <hyperlink r:id="rId1910" ref="K1928"/>
    <hyperlink r:id="rId1911" ref="K1929"/>
    <hyperlink r:id="rId1912" ref="K1930"/>
    <hyperlink r:id="rId1913" ref="K1931"/>
    <hyperlink r:id="rId1914" ref="K1932"/>
    <hyperlink r:id="rId1915" ref="K1933"/>
    <hyperlink r:id="rId1916" ref="K1934"/>
    <hyperlink r:id="rId1917" ref="K1935"/>
    <hyperlink r:id="rId1918" ref="K1936"/>
    <hyperlink r:id="rId1919" ref="K1937"/>
    <hyperlink r:id="rId1920" ref="K1938"/>
    <hyperlink r:id="rId1921" ref="K1939"/>
    <hyperlink r:id="rId1922" ref="K1940"/>
    <hyperlink r:id="rId1923" ref="K1941"/>
    <hyperlink r:id="rId1924" ref="K1942"/>
    <hyperlink r:id="rId1925" ref="K1943"/>
    <hyperlink r:id="rId1926" ref="K1944"/>
    <hyperlink r:id="rId1927" ref="K1945"/>
    <hyperlink r:id="rId1928" ref="K1946"/>
    <hyperlink r:id="rId1929" ref="K1947"/>
    <hyperlink r:id="rId1930" ref="K1948"/>
    <hyperlink r:id="rId1931" ref="K1949"/>
    <hyperlink r:id="rId1932" ref="K1950"/>
    <hyperlink r:id="rId1933" ref="K1951"/>
    <hyperlink r:id="rId1934" ref="K1952"/>
    <hyperlink r:id="rId1935" ref="K1953"/>
    <hyperlink r:id="rId1936" ref="K1954"/>
    <hyperlink r:id="rId1937" ref="K1955"/>
    <hyperlink r:id="rId1938" ref="K1956"/>
    <hyperlink r:id="rId1939" ref="K1957"/>
    <hyperlink r:id="rId1940" ref="K1958"/>
    <hyperlink r:id="rId1941" ref="K1959"/>
    <hyperlink r:id="rId1942" ref="K1960"/>
    <hyperlink r:id="rId1943" ref="K1961"/>
    <hyperlink r:id="rId1944" ref="K1962"/>
    <hyperlink r:id="rId1945" ref="K1963"/>
    <hyperlink r:id="rId1946" ref="K1964"/>
    <hyperlink r:id="rId1947" ref="K1965"/>
    <hyperlink r:id="rId1948" ref="K1966"/>
    <hyperlink r:id="rId1949" ref="K1967"/>
    <hyperlink r:id="rId1950" ref="K1968"/>
    <hyperlink r:id="rId1951" ref="K1969"/>
    <hyperlink r:id="rId1952" ref="K1970"/>
    <hyperlink r:id="rId1953" ref="K1971"/>
    <hyperlink r:id="rId1954" ref="K1972"/>
    <hyperlink r:id="rId1955" ref="K1973"/>
    <hyperlink r:id="rId1956" ref="K1974"/>
    <hyperlink r:id="rId1957" ref="K1975"/>
    <hyperlink r:id="rId1958" ref="K1976"/>
    <hyperlink r:id="rId1959" ref="K1977"/>
    <hyperlink r:id="rId1960" ref="K1978"/>
    <hyperlink r:id="rId1961" ref="K1979"/>
    <hyperlink r:id="rId1962" ref="K1980"/>
    <hyperlink r:id="rId1963" ref="K1981"/>
    <hyperlink r:id="rId1964" ref="K1982"/>
    <hyperlink r:id="rId1965" ref="K1983"/>
    <hyperlink r:id="rId1966" ref="K1984"/>
    <hyperlink r:id="rId1967" ref="K1985"/>
    <hyperlink r:id="rId1968" ref="K1986"/>
    <hyperlink r:id="rId1969" ref="K1987"/>
    <hyperlink r:id="rId1970" ref="K1988"/>
    <hyperlink r:id="rId1971" ref="K1989"/>
    <hyperlink r:id="rId1972" ref="K1990"/>
    <hyperlink r:id="rId1973" ref="K1991"/>
    <hyperlink r:id="rId1974" ref="K1992"/>
    <hyperlink r:id="rId1975" ref="K1993"/>
    <hyperlink r:id="rId1976" ref="K1994"/>
    <hyperlink r:id="rId1977" ref="K1995"/>
    <hyperlink r:id="rId1978" ref="K1996"/>
    <hyperlink r:id="rId1979" ref="K1997"/>
    <hyperlink r:id="rId1980" ref="K1998"/>
    <hyperlink r:id="rId1981" ref="K1999"/>
    <hyperlink r:id="rId1982" ref="K2000"/>
    <hyperlink r:id="rId1983" ref="K2001"/>
    <hyperlink r:id="rId1984" ref="K2002"/>
    <hyperlink r:id="rId1985" ref="K2003"/>
    <hyperlink r:id="rId1986" ref="K2004"/>
    <hyperlink r:id="rId1987" ref="K2005"/>
    <hyperlink r:id="rId1988" ref="K2006"/>
    <hyperlink r:id="rId1989" ref="K2007"/>
    <hyperlink r:id="rId1990" ref="K2008"/>
    <hyperlink r:id="rId1991" ref="K2009"/>
    <hyperlink r:id="rId1992" ref="K2010"/>
    <hyperlink r:id="rId1993" ref="K2011"/>
    <hyperlink r:id="rId1994" ref="K2012"/>
    <hyperlink r:id="rId1995" ref="K2013"/>
    <hyperlink r:id="rId1996" ref="K2014"/>
    <hyperlink r:id="rId1997" ref="K2015"/>
    <hyperlink r:id="rId1998" ref="K2016"/>
    <hyperlink r:id="rId1999" ref="K2017"/>
    <hyperlink r:id="rId2000" ref="K2018"/>
    <hyperlink r:id="rId2001" ref="K2019"/>
    <hyperlink r:id="rId2002" ref="K2020"/>
    <hyperlink r:id="rId2003" ref="K2021"/>
    <hyperlink r:id="rId2004" ref="K2022"/>
    <hyperlink r:id="rId2005" ref="K2023"/>
    <hyperlink r:id="rId2006" ref="K2024"/>
    <hyperlink r:id="rId2007" ref="K2025"/>
    <hyperlink r:id="rId2008" ref="K2026"/>
    <hyperlink r:id="rId2009" ref="K2027"/>
    <hyperlink r:id="rId2010" ref="K2028"/>
    <hyperlink r:id="rId2011" ref="K2029"/>
    <hyperlink r:id="rId2012" ref="K2030"/>
    <hyperlink r:id="rId2013" ref="K2031"/>
    <hyperlink r:id="rId2014" ref="K2032"/>
    <hyperlink r:id="rId2015" ref="K2033"/>
    <hyperlink r:id="rId2016" ref="K2034"/>
    <hyperlink r:id="rId2017" ref="K2035"/>
    <hyperlink r:id="rId2018" ref="K2036"/>
    <hyperlink r:id="rId2019" ref="K2037"/>
    <hyperlink r:id="rId2020" ref="K2038"/>
    <hyperlink r:id="rId2021" ref="K2039"/>
    <hyperlink r:id="rId2022" ref="K2040"/>
    <hyperlink r:id="rId2023" ref="K2041"/>
    <hyperlink r:id="rId2024" ref="K2042"/>
    <hyperlink r:id="rId2025" ref="K2043"/>
    <hyperlink r:id="rId2026" ref="K2044"/>
    <hyperlink r:id="rId2027" ref="K2045"/>
    <hyperlink r:id="rId2028" ref="K2046"/>
    <hyperlink r:id="rId2029" ref="K2047"/>
    <hyperlink r:id="rId2030" ref="K2048"/>
    <hyperlink r:id="rId2031" ref="K2049"/>
    <hyperlink r:id="rId2032" ref="K2050"/>
    <hyperlink r:id="rId2033" ref="K2051"/>
    <hyperlink r:id="rId2034" ref="K2052"/>
    <hyperlink r:id="rId2035" ref="K2053"/>
    <hyperlink r:id="rId2036" ref="K2054"/>
    <hyperlink r:id="rId2037" ref="K2055"/>
    <hyperlink r:id="rId2038" ref="K2056"/>
    <hyperlink r:id="rId2039" ref="K2057"/>
    <hyperlink r:id="rId2040" ref="K2058"/>
    <hyperlink r:id="rId2041" ref="K2059"/>
    <hyperlink r:id="rId2042" ref="K2060"/>
    <hyperlink r:id="rId2043" ref="K2061"/>
    <hyperlink r:id="rId2044" ref="K2063"/>
    <hyperlink r:id="rId2045" ref="K2064"/>
    <hyperlink r:id="rId2046" ref="K2065"/>
    <hyperlink r:id="rId2047" ref="K2066"/>
    <hyperlink r:id="rId2048" ref="K2067"/>
    <hyperlink r:id="rId2049" ref="K2068"/>
    <hyperlink r:id="rId2050" ref="K2069"/>
    <hyperlink r:id="rId2051" ref="K2070"/>
    <hyperlink r:id="rId2052" ref="K2071"/>
    <hyperlink r:id="rId2053" ref="K2072"/>
    <hyperlink r:id="rId2054" ref="K2073"/>
    <hyperlink r:id="rId2055" ref="K2074"/>
    <hyperlink r:id="rId2056" ref="K2075"/>
    <hyperlink r:id="rId2057" ref="K2076"/>
    <hyperlink r:id="rId2058" ref="K2077"/>
    <hyperlink r:id="rId2059" ref="K2078"/>
    <hyperlink r:id="rId2060" ref="K2079"/>
    <hyperlink r:id="rId2061" ref="K2080"/>
    <hyperlink r:id="rId2062" ref="K2081"/>
    <hyperlink r:id="rId2063" ref="K2082"/>
    <hyperlink r:id="rId2064" ref="K2083"/>
    <hyperlink r:id="rId2065" ref="K2084"/>
    <hyperlink r:id="rId2066" ref="K2085"/>
    <hyperlink r:id="rId2067" ref="K2086"/>
    <hyperlink r:id="rId2068" ref="K2087"/>
    <hyperlink r:id="rId2069" ref="K2088"/>
    <hyperlink r:id="rId2070" ref="K2089"/>
    <hyperlink r:id="rId2071" ref="K2090"/>
    <hyperlink r:id="rId2072" ref="K2091"/>
    <hyperlink r:id="rId2073" ref="K2092"/>
    <hyperlink r:id="rId2074" ref="K2093"/>
    <hyperlink r:id="rId2075" ref="K2094"/>
    <hyperlink r:id="rId2076" ref="K2095"/>
    <hyperlink r:id="rId2077" ref="K2096"/>
    <hyperlink r:id="rId2078" ref="K2097"/>
    <hyperlink r:id="rId2079" ref="K2098"/>
    <hyperlink r:id="rId2080" ref="K2099"/>
    <hyperlink r:id="rId2081" ref="K2100"/>
    <hyperlink r:id="rId2082" ref="K2101"/>
    <hyperlink r:id="rId2083" ref="K2103"/>
    <hyperlink r:id="rId2084" ref="K2104"/>
    <hyperlink r:id="rId2085" ref="K2105"/>
    <hyperlink r:id="rId2086" ref="K2106"/>
    <hyperlink r:id="rId2087" ref="K2107"/>
    <hyperlink r:id="rId2088" ref="K2108"/>
    <hyperlink r:id="rId2089" ref="K2109"/>
    <hyperlink r:id="rId2090" ref="K2110"/>
    <hyperlink r:id="rId2091" ref="K2111"/>
    <hyperlink r:id="rId2092" ref="K2112"/>
    <hyperlink r:id="rId2093" ref="K2113"/>
    <hyperlink r:id="rId2094" ref="K2114"/>
    <hyperlink r:id="rId2095" ref="K2115"/>
    <hyperlink r:id="rId2096" ref="K2116"/>
    <hyperlink r:id="rId2097" ref="K2117"/>
    <hyperlink r:id="rId2098" ref="K2118"/>
    <hyperlink r:id="rId2099" ref="K2119"/>
    <hyperlink r:id="rId2100" ref="K2120"/>
    <hyperlink r:id="rId2101" ref="K2121"/>
    <hyperlink r:id="rId2102" ref="K2122"/>
    <hyperlink r:id="rId2103" ref="K2123"/>
    <hyperlink r:id="rId2104" ref="K2125"/>
    <hyperlink r:id="rId2105" ref="K2126"/>
    <hyperlink r:id="rId2106" ref="K2127"/>
    <hyperlink r:id="rId2107" ref="K2128"/>
    <hyperlink r:id="rId2108" ref="K2129"/>
    <hyperlink r:id="rId2109" ref="K2130"/>
    <hyperlink r:id="rId2110" ref="K2131"/>
    <hyperlink r:id="rId2111" ref="K2132"/>
    <hyperlink r:id="rId2112" ref="K2133"/>
    <hyperlink r:id="rId2113" ref="K2134"/>
    <hyperlink r:id="rId2114" ref="K2135"/>
    <hyperlink r:id="rId2115" ref="K2136"/>
    <hyperlink r:id="rId2116" ref="K2137"/>
    <hyperlink r:id="rId2117" ref="K2138"/>
    <hyperlink r:id="rId2118" ref="K2139"/>
    <hyperlink r:id="rId2119" ref="K2140"/>
    <hyperlink r:id="rId2120" ref="K2141"/>
    <hyperlink r:id="rId2121" ref="K2142"/>
    <hyperlink r:id="rId2122" ref="K2143"/>
    <hyperlink r:id="rId2123" ref="K2144"/>
    <hyperlink r:id="rId2124" ref="K2145"/>
    <hyperlink r:id="rId2125" ref="K2146"/>
    <hyperlink r:id="rId2126" ref="K2147"/>
    <hyperlink r:id="rId2127" ref="K2148"/>
    <hyperlink r:id="rId2128" ref="K2149"/>
    <hyperlink r:id="rId2129" ref="K2150"/>
    <hyperlink r:id="rId2130" ref="K2151"/>
    <hyperlink r:id="rId2131" ref="K2152"/>
    <hyperlink r:id="rId2132" ref="K2153"/>
    <hyperlink r:id="rId2133" ref="K2154"/>
    <hyperlink r:id="rId2134" ref="K2155"/>
    <hyperlink r:id="rId2135" ref="K2156"/>
    <hyperlink r:id="rId2136" ref="K2157"/>
    <hyperlink r:id="rId2137" ref="K2158"/>
    <hyperlink r:id="rId2138" ref="K2159"/>
    <hyperlink r:id="rId2139" ref="K2160"/>
    <hyperlink r:id="rId2140" ref="K2161"/>
    <hyperlink r:id="rId2141" ref="K2162"/>
    <hyperlink r:id="rId2142" ref="K2163"/>
    <hyperlink r:id="rId2143" ref="K2164"/>
    <hyperlink r:id="rId2144" ref="K2165"/>
    <hyperlink r:id="rId2145" ref="K2166"/>
    <hyperlink r:id="rId2146" ref="K2167"/>
    <hyperlink r:id="rId2147" ref="K2168"/>
    <hyperlink r:id="rId2148" ref="K2169"/>
    <hyperlink r:id="rId2149" ref="K2170"/>
    <hyperlink r:id="rId2150" ref="K2171"/>
    <hyperlink r:id="rId2151" ref="K2172"/>
    <hyperlink r:id="rId2152" ref="K2173"/>
    <hyperlink r:id="rId2153" ref="K2174"/>
    <hyperlink r:id="rId2154" ref="K2175"/>
    <hyperlink r:id="rId2155" ref="K2176"/>
    <hyperlink r:id="rId2156" ref="K2177"/>
    <hyperlink r:id="rId2157" ref="K2178"/>
    <hyperlink r:id="rId2158" ref="K2179"/>
    <hyperlink r:id="rId2159" ref="K2180"/>
    <hyperlink r:id="rId2160" ref="K2181"/>
    <hyperlink r:id="rId2161" ref="K2182"/>
    <hyperlink r:id="rId2162" ref="K2183"/>
    <hyperlink r:id="rId2163" ref="K2184"/>
    <hyperlink r:id="rId2164" ref="K2185"/>
    <hyperlink r:id="rId2165" ref="K2186"/>
    <hyperlink r:id="rId2166" ref="K2187"/>
    <hyperlink r:id="rId2167" ref="K2188"/>
    <hyperlink r:id="rId2168" ref="K2189"/>
    <hyperlink r:id="rId2169" ref="K2190"/>
    <hyperlink r:id="rId2170" ref="K2191"/>
    <hyperlink r:id="rId2171" ref="K2192"/>
    <hyperlink r:id="rId2172" ref="K2193"/>
    <hyperlink r:id="rId2173" ref="K2194"/>
    <hyperlink r:id="rId2174" ref="K2195"/>
    <hyperlink r:id="rId2175" ref="K2196"/>
    <hyperlink r:id="rId2176" ref="K2197"/>
    <hyperlink r:id="rId2177" ref="K2198"/>
    <hyperlink r:id="rId2178" ref="K2199"/>
    <hyperlink r:id="rId2179" ref="K2200"/>
    <hyperlink r:id="rId2180" ref="K2201"/>
    <hyperlink r:id="rId2181" ref="K2202"/>
    <hyperlink r:id="rId2182" ref="K2203"/>
    <hyperlink r:id="rId2183" ref="K2204"/>
    <hyperlink r:id="rId2184" ref="K2205"/>
    <hyperlink r:id="rId2185" ref="K2206"/>
    <hyperlink r:id="rId2186" ref="K2207"/>
    <hyperlink r:id="rId2187" ref="K2208"/>
    <hyperlink r:id="rId2188" ref="K2209"/>
    <hyperlink r:id="rId2189" ref="K2210"/>
    <hyperlink r:id="rId2190" ref="K2211"/>
    <hyperlink r:id="rId2191" ref="K2212"/>
    <hyperlink r:id="rId2192" ref="K2213"/>
    <hyperlink r:id="rId2193" ref="K2214"/>
    <hyperlink r:id="rId2194" ref="K2215"/>
    <hyperlink r:id="rId2195" ref="K2216"/>
    <hyperlink r:id="rId2196" ref="K2217"/>
    <hyperlink r:id="rId2197" ref="K2218"/>
    <hyperlink r:id="rId2198" ref="K2219"/>
    <hyperlink r:id="rId2199" ref="K2220"/>
    <hyperlink r:id="rId2200" ref="K2221"/>
    <hyperlink r:id="rId2201" ref="K2222"/>
    <hyperlink r:id="rId2202" ref="K2223"/>
    <hyperlink r:id="rId2203" ref="K2224"/>
    <hyperlink r:id="rId2204" ref="K2225"/>
    <hyperlink r:id="rId2205" ref="K2226"/>
    <hyperlink r:id="rId2206" ref="K2227"/>
    <hyperlink r:id="rId2207" ref="K2228"/>
    <hyperlink r:id="rId2208" ref="K2229"/>
    <hyperlink r:id="rId2209" ref="K2230"/>
    <hyperlink r:id="rId2210" ref="K2231"/>
    <hyperlink r:id="rId2211" ref="K2232"/>
    <hyperlink r:id="rId2212" ref="K2233"/>
    <hyperlink r:id="rId2213" ref="K2234"/>
    <hyperlink r:id="rId2214" ref="K2235"/>
    <hyperlink r:id="rId2215" ref="K2236"/>
    <hyperlink r:id="rId2216" ref="K2237"/>
    <hyperlink r:id="rId2217" ref="K2238"/>
    <hyperlink r:id="rId2218" ref="K2239"/>
    <hyperlink r:id="rId2219" ref="K2240"/>
    <hyperlink r:id="rId2220" ref="K2241"/>
    <hyperlink r:id="rId2221" ref="K2242"/>
    <hyperlink r:id="rId2222" ref="K2243"/>
    <hyperlink r:id="rId2223" ref="K2244"/>
    <hyperlink r:id="rId2224" ref="K2245"/>
    <hyperlink r:id="rId2225" ref="K2246"/>
    <hyperlink r:id="rId2226" ref="K2247"/>
    <hyperlink r:id="rId2227" ref="K2248"/>
    <hyperlink r:id="rId2228" ref="K2249"/>
    <hyperlink r:id="rId2229" ref="K2250"/>
    <hyperlink r:id="rId2230" ref="K2251"/>
    <hyperlink r:id="rId2231" ref="K2252"/>
    <hyperlink r:id="rId2232" ref="K2253"/>
    <hyperlink r:id="rId2233" ref="K2254"/>
    <hyperlink r:id="rId2234" ref="K2255"/>
    <hyperlink r:id="rId2235" ref="K2256"/>
    <hyperlink r:id="rId2236" ref="K2257"/>
    <hyperlink r:id="rId2237" ref="K2258"/>
    <hyperlink r:id="rId2238" ref="K2259"/>
    <hyperlink r:id="rId2239" ref="K2260"/>
    <hyperlink r:id="rId2240" ref="K2261"/>
    <hyperlink r:id="rId2241" ref="K2262"/>
    <hyperlink r:id="rId2242" ref="K2263"/>
    <hyperlink r:id="rId2243" ref="K2264"/>
    <hyperlink r:id="rId2244" ref="K2265"/>
    <hyperlink r:id="rId2245" ref="K2266"/>
    <hyperlink r:id="rId2246" ref="K2267"/>
    <hyperlink r:id="rId2247" ref="K2268"/>
    <hyperlink r:id="rId2248" ref="K2269"/>
    <hyperlink r:id="rId2249" ref="K2270"/>
    <hyperlink r:id="rId2250" ref="K2271"/>
    <hyperlink r:id="rId2251" ref="K2272"/>
    <hyperlink r:id="rId2252" ref="K2273"/>
    <hyperlink r:id="rId2253" ref="K2274"/>
    <hyperlink r:id="rId2254" ref="K2275"/>
    <hyperlink r:id="rId2255" ref="K2276"/>
    <hyperlink r:id="rId2256" ref="K2277"/>
    <hyperlink r:id="rId2257" ref="K2278"/>
    <hyperlink r:id="rId2258" ref="K2279"/>
    <hyperlink r:id="rId2259" ref="K2280"/>
    <hyperlink r:id="rId2260" ref="K2281"/>
    <hyperlink r:id="rId2261" ref="K2282"/>
    <hyperlink r:id="rId2262" ref="K2283"/>
    <hyperlink r:id="rId2263" ref="K2284"/>
    <hyperlink r:id="rId2264" ref="K2285"/>
    <hyperlink r:id="rId2265" ref="K2286"/>
    <hyperlink r:id="rId2266" ref="K2287"/>
    <hyperlink r:id="rId2267" ref="K2288"/>
    <hyperlink r:id="rId2268" ref="K2289"/>
    <hyperlink r:id="rId2269" ref="K2290"/>
    <hyperlink r:id="rId2270" ref="K2291"/>
    <hyperlink r:id="rId2271" ref="K2292"/>
    <hyperlink r:id="rId2272" ref="K2293"/>
    <hyperlink r:id="rId2273" ref="K2294"/>
    <hyperlink r:id="rId2274" ref="K2295"/>
    <hyperlink r:id="rId2275" ref="K2296"/>
    <hyperlink r:id="rId2276" ref="K2297"/>
    <hyperlink r:id="rId2277" ref="K2298"/>
    <hyperlink r:id="rId2278" ref="K2299"/>
    <hyperlink r:id="rId2279" ref="K2300"/>
    <hyperlink r:id="rId2280" ref="K2301"/>
    <hyperlink r:id="rId2281" ref="K2302"/>
    <hyperlink r:id="rId2282" ref="K2303"/>
    <hyperlink r:id="rId2283" ref="K2304"/>
    <hyperlink r:id="rId2284" ref="K2305"/>
    <hyperlink r:id="rId2285" ref="K2306"/>
    <hyperlink r:id="rId2286" ref="K2307"/>
    <hyperlink r:id="rId2287" ref="K2308"/>
    <hyperlink r:id="rId2288" ref="K2309"/>
    <hyperlink r:id="rId2289" ref="K2310"/>
    <hyperlink r:id="rId2290" ref="K2311"/>
    <hyperlink r:id="rId2291" ref="K2312"/>
    <hyperlink r:id="rId2292" ref="K2313"/>
    <hyperlink r:id="rId2293" ref="K2314"/>
    <hyperlink r:id="rId2294" ref="K2315"/>
    <hyperlink r:id="rId2295" ref="K2316"/>
    <hyperlink r:id="rId2296" ref="K2317"/>
    <hyperlink r:id="rId2297" ref="K2318"/>
    <hyperlink r:id="rId2298" ref="K2319"/>
    <hyperlink r:id="rId2299" ref="K2320"/>
    <hyperlink r:id="rId2300" ref="K2321"/>
    <hyperlink r:id="rId2301" ref="K2322"/>
    <hyperlink r:id="rId2302" ref="K2323"/>
    <hyperlink r:id="rId2303" ref="K2324"/>
    <hyperlink r:id="rId2304" ref="K2325"/>
    <hyperlink r:id="rId2305" ref="K2326"/>
    <hyperlink r:id="rId2306" ref="K2327"/>
    <hyperlink r:id="rId2307" ref="K2328"/>
    <hyperlink r:id="rId2308" ref="K2329"/>
    <hyperlink r:id="rId2309" ref="K2330"/>
    <hyperlink r:id="rId2310" ref="K2331"/>
    <hyperlink r:id="rId2311" ref="K2332"/>
    <hyperlink r:id="rId2312" ref="K2333"/>
    <hyperlink r:id="rId2313" ref="K2334"/>
    <hyperlink r:id="rId2314" ref="K2335"/>
    <hyperlink r:id="rId2315" ref="K2336"/>
    <hyperlink r:id="rId2316" ref="K2337"/>
    <hyperlink r:id="rId2317" ref="K2338"/>
    <hyperlink r:id="rId2318" ref="K2339"/>
    <hyperlink r:id="rId2319" ref="K2340"/>
    <hyperlink r:id="rId2320" ref="K2341"/>
    <hyperlink r:id="rId2321" ref="K2342"/>
    <hyperlink r:id="rId2322" ref="K2343"/>
    <hyperlink r:id="rId2323" ref="K2344"/>
    <hyperlink r:id="rId2324" ref="K2345"/>
    <hyperlink r:id="rId2325" ref="K2346"/>
    <hyperlink r:id="rId2326" ref="K2347"/>
    <hyperlink r:id="rId2327" ref="K2348"/>
    <hyperlink r:id="rId2328" ref="K2349"/>
    <hyperlink r:id="rId2329" ref="K2350"/>
    <hyperlink r:id="rId2330" ref="K2351"/>
    <hyperlink r:id="rId2331" ref="K2352"/>
    <hyperlink r:id="rId2332" ref="K2353"/>
    <hyperlink r:id="rId2333" ref="K2354"/>
    <hyperlink r:id="rId2334" ref="K2355"/>
    <hyperlink r:id="rId2335" ref="K2356"/>
    <hyperlink r:id="rId2336" ref="K2357"/>
    <hyperlink r:id="rId2337" ref="K2358"/>
    <hyperlink r:id="rId2338" ref="K2359"/>
    <hyperlink r:id="rId2339" ref="K2360"/>
    <hyperlink r:id="rId2340" ref="K2361"/>
    <hyperlink r:id="rId2341" ref="K2362"/>
    <hyperlink r:id="rId2342" ref="K2363"/>
    <hyperlink r:id="rId2343" ref="K2364"/>
    <hyperlink r:id="rId2344" ref="K2365"/>
    <hyperlink r:id="rId2345" ref="K2366"/>
    <hyperlink r:id="rId2346" ref="K2367"/>
    <hyperlink r:id="rId2347" ref="K2368"/>
    <hyperlink r:id="rId2348" ref="K2369"/>
    <hyperlink r:id="rId2349" ref="K2370"/>
    <hyperlink r:id="rId2350" ref="K2371"/>
    <hyperlink r:id="rId2351" ref="K2372"/>
    <hyperlink r:id="rId2352" ref="K2373"/>
    <hyperlink r:id="rId2353" ref="K2374"/>
    <hyperlink r:id="rId2354" ref="K2375"/>
    <hyperlink r:id="rId2355" ref="K2376"/>
    <hyperlink r:id="rId2356" ref="K2377"/>
    <hyperlink r:id="rId2357" ref="K2378"/>
    <hyperlink r:id="rId2358" ref="K2379"/>
    <hyperlink r:id="rId2359" ref="K2380"/>
    <hyperlink r:id="rId2360" ref="K2381"/>
    <hyperlink r:id="rId2361" ref="K2382"/>
    <hyperlink r:id="rId2362" ref="K2383"/>
    <hyperlink r:id="rId2363" ref="K2384"/>
    <hyperlink r:id="rId2364" ref="K2385"/>
    <hyperlink r:id="rId2365" ref="K2386"/>
    <hyperlink r:id="rId2366" ref="K2387"/>
    <hyperlink r:id="rId2367" ref="K2388"/>
    <hyperlink r:id="rId2368" ref="K2389"/>
    <hyperlink r:id="rId2369" ref="K2390"/>
    <hyperlink r:id="rId2370" ref="K2391"/>
    <hyperlink r:id="rId2371" ref="K2392"/>
    <hyperlink r:id="rId2372" ref="K2393"/>
    <hyperlink r:id="rId2373" ref="K2394"/>
    <hyperlink r:id="rId2374" ref="K2395"/>
    <hyperlink r:id="rId2375" ref="K2396"/>
    <hyperlink r:id="rId2376" ref="K2397"/>
    <hyperlink r:id="rId2377" ref="K2398"/>
    <hyperlink r:id="rId2378" ref="K2399"/>
    <hyperlink r:id="rId2379" ref="K2400"/>
    <hyperlink r:id="rId2380" ref="K2401"/>
    <hyperlink r:id="rId2381" ref="K2402"/>
    <hyperlink r:id="rId2382" ref="K2403"/>
    <hyperlink r:id="rId2383" ref="K2404"/>
    <hyperlink r:id="rId2384" ref="K2405"/>
    <hyperlink r:id="rId2385" ref="K2406"/>
    <hyperlink r:id="rId2386" ref="K2407"/>
    <hyperlink r:id="rId2387" ref="K2408"/>
    <hyperlink r:id="rId2388" ref="K2409"/>
    <hyperlink r:id="rId2389" ref="K2410"/>
    <hyperlink r:id="rId2390" ref="K2411"/>
    <hyperlink r:id="rId2391" ref="K2412"/>
    <hyperlink r:id="rId2392" ref="K2413"/>
    <hyperlink r:id="rId2393" ref="K2414"/>
    <hyperlink r:id="rId2394" ref="K2415"/>
    <hyperlink r:id="rId2395" ref="K2416"/>
    <hyperlink r:id="rId2396" ref="K2417"/>
    <hyperlink r:id="rId2397" ref="K2418"/>
    <hyperlink r:id="rId2398" ref="K2419"/>
    <hyperlink r:id="rId2399" ref="K2420"/>
    <hyperlink r:id="rId2400" ref="K2421"/>
    <hyperlink r:id="rId2401" ref="K2422"/>
    <hyperlink r:id="rId2402" ref="K2423"/>
    <hyperlink r:id="rId2403" ref="K2424"/>
    <hyperlink r:id="rId2404" ref="K2425"/>
    <hyperlink r:id="rId2405" ref="K2426"/>
    <hyperlink r:id="rId2406" ref="K2427"/>
    <hyperlink r:id="rId2407" ref="K2428"/>
    <hyperlink r:id="rId2408" ref="K2429"/>
    <hyperlink r:id="rId2409" ref="K2430"/>
    <hyperlink r:id="rId2410" ref="K2431"/>
    <hyperlink r:id="rId2411" ref="K2432"/>
    <hyperlink r:id="rId2412" ref="K2433"/>
    <hyperlink r:id="rId2413" ref="K2434"/>
    <hyperlink r:id="rId2414" ref="K2435"/>
    <hyperlink r:id="rId2415" ref="K2436"/>
    <hyperlink r:id="rId2416" ref="K2437"/>
    <hyperlink r:id="rId2417" ref="K2438"/>
    <hyperlink r:id="rId2418" ref="K2439"/>
    <hyperlink r:id="rId2419" ref="K2440"/>
    <hyperlink r:id="rId2420" ref="K2441"/>
    <hyperlink r:id="rId2421" ref="K2442"/>
    <hyperlink r:id="rId2422" ref="K2443"/>
    <hyperlink r:id="rId2423" ref="K2444"/>
    <hyperlink r:id="rId2424" ref="K2445"/>
    <hyperlink r:id="rId2425" ref="K2446"/>
    <hyperlink r:id="rId2426" ref="K2447"/>
    <hyperlink r:id="rId2427" ref="K2448"/>
    <hyperlink r:id="rId2428" ref="K2449"/>
    <hyperlink r:id="rId2429" ref="K2450"/>
    <hyperlink r:id="rId2430" ref="K2451"/>
    <hyperlink r:id="rId2431" ref="K2452"/>
    <hyperlink r:id="rId2432" ref="K2453"/>
    <hyperlink r:id="rId2433" ref="K2454"/>
    <hyperlink r:id="rId2434" ref="K2455"/>
    <hyperlink r:id="rId2435" ref="K2456"/>
    <hyperlink r:id="rId2436" ref="K2457"/>
    <hyperlink r:id="rId2437" ref="K2458"/>
    <hyperlink r:id="rId2438" ref="K2459"/>
    <hyperlink r:id="rId2439" ref="K2460"/>
    <hyperlink r:id="rId2440" ref="K2461"/>
    <hyperlink r:id="rId2441" ref="K2462"/>
    <hyperlink r:id="rId2442" ref="K2463"/>
    <hyperlink r:id="rId2443" ref="K2464"/>
    <hyperlink r:id="rId2444" ref="K2465"/>
    <hyperlink r:id="rId2445" ref="K2466"/>
    <hyperlink r:id="rId2446" ref="K2467"/>
    <hyperlink r:id="rId2447" ref="K2468"/>
    <hyperlink r:id="rId2448" ref="K2469"/>
    <hyperlink r:id="rId2449" ref="K2470"/>
    <hyperlink r:id="rId2450" ref="K2471"/>
    <hyperlink r:id="rId2451" ref="K2472"/>
    <hyperlink r:id="rId2452" ref="K2473"/>
    <hyperlink r:id="rId2453" ref="K2474"/>
    <hyperlink r:id="rId2454" ref="K2475"/>
    <hyperlink r:id="rId2455" ref="K2476"/>
    <hyperlink r:id="rId2456" ref="K2477"/>
    <hyperlink r:id="rId2457" ref="K2478"/>
    <hyperlink r:id="rId2458" ref="K2479"/>
    <hyperlink r:id="rId2459" ref="K2480"/>
    <hyperlink r:id="rId2460" ref="K2481"/>
    <hyperlink r:id="rId2461" ref="K2482"/>
    <hyperlink r:id="rId2462" ref="K2483"/>
    <hyperlink r:id="rId2463" ref="K2484"/>
    <hyperlink r:id="rId2464" ref="K2485"/>
    <hyperlink r:id="rId2465" ref="K2486"/>
    <hyperlink r:id="rId2466" ref="K2487"/>
    <hyperlink r:id="rId2467" ref="K2488"/>
    <hyperlink r:id="rId2468" ref="K2489"/>
    <hyperlink r:id="rId2469" ref="K2490"/>
    <hyperlink r:id="rId2470" ref="K2491"/>
    <hyperlink r:id="rId2471" ref="K2492"/>
    <hyperlink r:id="rId2472" ref="K2493"/>
    <hyperlink r:id="rId2473" ref="K2494"/>
    <hyperlink r:id="rId2474" ref="K2495"/>
    <hyperlink r:id="rId2475" ref="K2496"/>
    <hyperlink r:id="rId2476" ref="K2497"/>
    <hyperlink r:id="rId2477" ref="K2498"/>
    <hyperlink r:id="rId2478" ref="K2499"/>
    <hyperlink r:id="rId2479" ref="K2500"/>
    <hyperlink r:id="rId2480" ref="K2501"/>
    <hyperlink r:id="rId2481" ref="K2502"/>
    <hyperlink r:id="rId2482" ref="K2503"/>
    <hyperlink r:id="rId2483" ref="K2504"/>
    <hyperlink r:id="rId2484" ref="K2505"/>
    <hyperlink r:id="rId2485" ref="K2506"/>
    <hyperlink r:id="rId2486" ref="K2507"/>
    <hyperlink r:id="rId2487" ref="K2508"/>
    <hyperlink r:id="rId2488" ref="K2509"/>
    <hyperlink r:id="rId2489" ref="K2510"/>
    <hyperlink r:id="rId2490" ref="K2511"/>
    <hyperlink r:id="rId2491" ref="K2512"/>
    <hyperlink r:id="rId2492" ref="K2513"/>
    <hyperlink r:id="rId2493" ref="K2514"/>
    <hyperlink r:id="rId2494" ref="K2515"/>
    <hyperlink r:id="rId2495" ref="K2516"/>
    <hyperlink r:id="rId2496" ref="K2517"/>
    <hyperlink r:id="rId2497" ref="K2518"/>
    <hyperlink r:id="rId2498" ref="K2519"/>
    <hyperlink r:id="rId2499" ref="K2520"/>
    <hyperlink r:id="rId2500" ref="K2521"/>
    <hyperlink r:id="rId2501" ref="K2522"/>
    <hyperlink r:id="rId2502" ref="K2523"/>
    <hyperlink r:id="rId2503" ref="K2524"/>
    <hyperlink r:id="rId2504" ref="K2525"/>
    <hyperlink r:id="rId2505" ref="K2526"/>
    <hyperlink r:id="rId2506" ref="K2527"/>
    <hyperlink r:id="rId2507" ref="K2528"/>
    <hyperlink r:id="rId2508" ref="K2529"/>
    <hyperlink r:id="rId2509" ref="K2530"/>
    <hyperlink r:id="rId2510" ref="K2531"/>
    <hyperlink r:id="rId2511" ref="K2532"/>
    <hyperlink r:id="rId2512" ref="K2533"/>
    <hyperlink r:id="rId2513" ref="K2534"/>
    <hyperlink r:id="rId2514" ref="K2535"/>
    <hyperlink r:id="rId2515" ref="K2536"/>
    <hyperlink r:id="rId2516" ref="K2537"/>
    <hyperlink r:id="rId2517" ref="K2538"/>
    <hyperlink r:id="rId2518" ref="K2539"/>
    <hyperlink r:id="rId2519" ref="K2540"/>
    <hyperlink r:id="rId2520" ref="K2541"/>
    <hyperlink r:id="rId2521" ref="K2542"/>
    <hyperlink r:id="rId2522" ref="K2543"/>
    <hyperlink r:id="rId2523" ref="K2544"/>
    <hyperlink r:id="rId2524" ref="K2545"/>
    <hyperlink r:id="rId2525" ref="K2546"/>
    <hyperlink r:id="rId2526" ref="K2547"/>
    <hyperlink r:id="rId2527" ref="K2548"/>
    <hyperlink r:id="rId2528" ref="K2549"/>
    <hyperlink r:id="rId2529" ref="K2550"/>
    <hyperlink r:id="rId2530" ref="K2551"/>
    <hyperlink r:id="rId2531" ref="K2552"/>
    <hyperlink r:id="rId2532" ref="K2553"/>
    <hyperlink r:id="rId2533" ref="K2554"/>
    <hyperlink r:id="rId2534" ref="K2555"/>
    <hyperlink r:id="rId2535" ref="K2556"/>
    <hyperlink r:id="rId2536" ref="K2557"/>
    <hyperlink r:id="rId2537" ref="K2558"/>
    <hyperlink r:id="rId2538" ref="K2559"/>
    <hyperlink r:id="rId2539" ref="K2560"/>
    <hyperlink r:id="rId2540" ref="K2561"/>
    <hyperlink r:id="rId2541" ref="K2562"/>
    <hyperlink r:id="rId2542" ref="K2563"/>
    <hyperlink r:id="rId2543" ref="K2564"/>
    <hyperlink r:id="rId2544" ref="K2565"/>
    <hyperlink r:id="rId2545" ref="K2566"/>
    <hyperlink r:id="rId2546" ref="K2567"/>
    <hyperlink r:id="rId2547" ref="K2568"/>
    <hyperlink r:id="rId2548" ref="K2569"/>
    <hyperlink r:id="rId2549" ref="K2570"/>
    <hyperlink r:id="rId2550" ref="K2571"/>
    <hyperlink r:id="rId2551" ref="K2572"/>
    <hyperlink r:id="rId2552" ref="K2573"/>
    <hyperlink r:id="rId2553" ref="K2574"/>
    <hyperlink r:id="rId2554" ref="K2575"/>
    <hyperlink r:id="rId2555" ref="K2576"/>
    <hyperlink r:id="rId2556" ref="K2578"/>
    <hyperlink r:id="rId2557" ref="K2579"/>
    <hyperlink r:id="rId2558" ref="K2580"/>
    <hyperlink r:id="rId2559" ref="K2581"/>
    <hyperlink r:id="rId2560" ref="K2582"/>
    <hyperlink r:id="rId2561" ref="K2583"/>
    <hyperlink r:id="rId2562" ref="K2584"/>
    <hyperlink r:id="rId2563" ref="K2585"/>
    <hyperlink r:id="rId2564" ref="K2586"/>
    <hyperlink r:id="rId2565" ref="K2587"/>
    <hyperlink r:id="rId2566" ref="K2588"/>
    <hyperlink r:id="rId2567" ref="K2589"/>
    <hyperlink r:id="rId2568" ref="K2590"/>
    <hyperlink r:id="rId2569" ref="K2591"/>
    <hyperlink r:id="rId2570" ref="K2592"/>
    <hyperlink r:id="rId2571" ref="K2593"/>
    <hyperlink r:id="rId2572" ref="K2594"/>
    <hyperlink r:id="rId2573" ref="K2595"/>
    <hyperlink r:id="rId2574" ref="K2596"/>
    <hyperlink r:id="rId2575" ref="K2597"/>
    <hyperlink r:id="rId2576" ref="K2598"/>
    <hyperlink r:id="rId2577" ref="K2599"/>
    <hyperlink r:id="rId2578" ref="K2600"/>
    <hyperlink r:id="rId2579" ref="K2601"/>
    <hyperlink r:id="rId2580" ref="K2602"/>
    <hyperlink r:id="rId2581" ref="K2603"/>
    <hyperlink r:id="rId2582" ref="K2604"/>
    <hyperlink r:id="rId2583" ref="K2605"/>
    <hyperlink r:id="rId2584" ref="K2606"/>
    <hyperlink r:id="rId2585" ref="K2607"/>
    <hyperlink r:id="rId2586" ref="K2608"/>
    <hyperlink r:id="rId2587" ref="K2609"/>
    <hyperlink r:id="rId2588" ref="K2610"/>
    <hyperlink r:id="rId2589" ref="K2611"/>
    <hyperlink r:id="rId2590" ref="K2612"/>
    <hyperlink r:id="rId2591" ref="K2613"/>
    <hyperlink r:id="rId2592" ref="K2614"/>
    <hyperlink r:id="rId2593" ref="K2615"/>
    <hyperlink r:id="rId2594" ref="K2616"/>
    <hyperlink r:id="rId2595" ref="K2617"/>
    <hyperlink r:id="rId2596" ref="K2618"/>
    <hyperlink r:id="rId2597" ref="K2619"/>
    <hyperlink r:id="rId2598" ref="K2620"/>
    <hyperlink r:id="rId2599" ref="K2621"/>
    <hyperlink r:id="rId2600" ref="K2622"/>
    <hyperlink r:id="rId2601" ref="K2623"/>
    <hyperlink r:id="rId2602" ref="K2624"/>
    <hyperlink r:id="rId2603" ref="K2625"/>
    <hyperlink r:id="rId2604" ref="K2626"/>
    <hyperlink r:id="rId2605" ref="K2627"/>
    <hyperlink r:id="rId2606" ref="K2628"/>
    <hyperlink r:id="rId2607" ref="K2629"/>
    <hyperlink r:id="rId2608" ref="K2630"/>
    <hyperlink r:id="rId2609" ref="K2631"/>
    <hyperlink r:id="rId2610" ref="K2632"/>
    <hyperlink r:id="rId2611" ref="K2633"/>
    <hyperlink r:id="rId2612" ref="K2634"/>
    <hyperlink r:id="rId2613" ref="K2635"/>
    <hyperlink r:id="rId2614" ref="K2636"/>
    <hyperlink r:id="rId2615" ref="K2637"/>
    <hyperlink r:id="rId2616" ref="K2638"/>
    <hyperlink r:id="rId2617" ref="K2639"/>
    <hyperlink r:id="rId2618" ref="K2640"/>
    <hyperlink r:id="rId2619" ref="K2641"/>
    <hyperlink r:id="rId2620" ref="K2642"/>
    <hyperlink r:id="rId2621" ref="K2643"/>
    <hyperlink r:id="rId2622" ref="K2644"/>
    <hyperlink r:id="rId2623" ref="K2645"/>
    <hyperlink r:id="rId2624" ref="K2646"/>
    <hyperlink r:id="rId2625" ref="K2647"/>
    <hyperlink r:id="rId2626" ref="K2648"/>
    <hyperlink r:id="rId2627" ref="K2649"/>
    <hyperlink r:id="rId2628" ref="K2650"/>
    <hyperlink r:id="rId2629" ref="K2651"/>
    <hyperlink r:id="rId2630" ref="K2652"/>
    <hyperlink r:id="rId2631" ref="K2653"/>
    <hyperlink r:id="rId2632" ref="K2654"/>
    <hyperlink r:id="rId2633" ref="K2655"/>
    <hyperlink r:id="rId2634" ref="K2657"/>
    <hyperlink r:id="rId2635" ref="K2658"/>
    <hyperlink r:id="rId2636" ref="K2659"/>
    <hyperlink r:id="rId2637" ref="K2660"/>
    <hyperlink r:id="rId2638" ref="K2661"/>
    <hyperlink r:id="rId2639" ref="K2662"/>
    <hyperlink r:id="rId2640" ref="K2663"/>
    <hyperlink r:id="rId2641" ref="K2664"/>
    <hyperlink r:id="rId2642" ref="K2665"/>
    <hyperlink r:id="rId2643" ref="K2666"/>
    <hyperlink r:id="rId2644" ref="K2667"/>
    <hyperlink r:id="rId2645" ref="K2668"/>
    <hyperlink r:id="rId2646" ref="K2669"/>
    <hyperlink r:id="rId2647" ref="K2670"/>
    <hyperlink r:id="rId2648" ref="K2671"/>
    <hyperlink r:id="rId2649" ref="K2672"/>
    <hyperlink r:id="rId2650" ref="K2673"/>
    <hyperlink r:id="rId2651" ref="K2674"/>
    <hyperlink r:id="rId2652" ref="K2675"/>
    <hyperlink r:id="rId2653" ref="K2676"/>
    <hyperlink r:id="rId2654" ref="K2677"/>
    <hyperlink r:id="rId2655" ref="K2678"/>
    <hyperlink r:id="rId2656" ref="K2679"/>
    <hyperlink r:id="rId2657" ref="K2680"/>
    <hyperlink r:id="rId2658" ref="K2681"/>
    <hyperlink r:id="rId2659" ref="K2682"/>
    <hyperlink r:id="rId2660" ref="K2683"/>
    <hyperlink r:id="rId2661" ref="K2684"/>
    <hyperlink r:id="rId2662" ref="K2685"/>
    <hyperlink r:id="rId2663" ref="K2686"/>
    <hyperlink r:id="rId2664" ref="K2687"/>
    <hyperlink r:id="rId2665" ref="K2688"/>
    <hyperlink r:id="rId2666" ref="K2689"/>
    <hyperlink r:id="rId2667" ref="K2690"/>
    <hyperlink r:id="rId2668" ref="K2691"/>
    <hyperlink r:id="rId2669" ref="K2692"/>
    <hyperlink r:id="rId2670" ref="K2693"/>
    <hyperlink r:id="rId2671" ref="K2694"/>
    <hyperlink r:id="rId2672" ref="K2695"/>
    <hyperlink r:id="rId2673" ref="K2696"/>
    <hyperlink r:id="rId2674" ref="K2697"/>
    <hyperlink r:id="rId2675" ref="K2698"/>
    <hyperlink r:id="rId2676" ref="K2699"/>
    <hyperlink r:id="rId2677" ref="K2700"/>
    <hyperlink r:id="rId2678" ref="K2701"/>
    <hyperlink r:id="rId2679" ref="K2702"/>
    <hyperlink r:id="rId2680" ref="K2703"/>
    <hyperlink r:id="rId2681" ref="K2704"/>
    <hyperlink r:id="rId2682" ref="K2705"/>
    <hyperlink r:id="rId2683" ref="K2706"/>
    <hyperlink r:id="rId2684" ref="K2707"/>
    <hyperlink r:id="rId2685" ref="K2708"/>
    <hyperlink r:id="rId2686" ref="K2709"/>
    <hyperlink r:id="rId2687" ref="K2711"/>
    <hyperlink r:id="rId2688" ref="K2712"/>
    <hyperlink r:id="rId2689" ref="K2713"/>
    <hyperlink r:id="rId2690" ref="K2714"/>
    <hyperlink r:id="rId2691" ref="K2715"/>
    <hyperlink r:id="rId2692" ref="K2716"/>
    <hyperlink r:id="rId2693" ref="K2717"/>
    <hyperlink r:id="rId2694" ref="K2718"/>
    <hyperlink r:id="rId2695" ref="K2719"/>
    <hyperlink r:id="rId2696" ref="K2720"/>
    <hyperlink r:id="rId2697" ref="K2721"/>
    <hyperlink r:id="rId2698" ref="K2722"/>
    <hyperlink r:id="rId2699" ref="K2723"/>
    <hyperlink r:id="rId2700" ref="K2724"/>
    <hyperlink r:id="rId2701" ref="K2725"/>
    <hyperlink r:id="rId2702" ref="K2726"/>
    <hyperlink r:id="rId2703" ref="K2727"/>
    <hyperlink r:id="rId2704" ref="K2728"/>
    <hyperlink r:id="rId2705" ref="K2729"/>
    <hyperlink r:id="rId2706" ref="K2730"/>
    <hyperlink r:id="rId2707" ref="K2731"/>
    <hyperlink r:id="rId2708" ref="K2732"/>
    <hyperlink r:id="rId2709" ref="K2733"/>
    <hyperlink r:id="rId2710" ref="K2734"/>
    <hyperlink r:id="rId2711" ref="K2735"/>
    <hyperlink r:id="rId2712" ref="K2736"/>
    <hyperlink r:id="rId2713" ref="K2737"/>
    <hyperlink r:id="rId2714" ref="K2738"/>
    <hyperlink r:id="rId2715" ref="K2739"/>
    <hyperlink r:id="rId2716" ref="K2740"/>
    <hyperlink r:id="rId2717" ref="K2741"/>
    <hyperlink r:id="rId2718" ref="K2742"/>
    <hyperlink r:id="rId2719" ref="K2743"/>
    <hyperlink r:id="rId2720" ref="K2744"/>
    <hyperlink r:id="rId2721" ref="K2745"/>
    <hyperlink r:id="rId2722" ref="K2746"/>
    <hyperlink r:id="rId2723" ref="K2747"/>
    <hyperlink r:id="rId2724" ref="K2748"/>
    <hyperlink r:id="rId2725" ref="K2749"/>
    <hyperlink r:id="rId2726" ref="K2750"/>
    <hyperlink r:id="rId2727" ref="K2751"/>
    <hyperlink r:id="rId2728" ref="K2752"/>
    <hyperlink r:id="rId2729" ref="K2753"/>
    <hyperlink r:id="rId2730" ref="K2754"/>
    <hyperlink r:id="rId2731" ref="K2755"/>
    <hyperlink r:id="rId2732" ref="K2756"/>
    <hyperlink r:id="rId2733" ref="K2757"/>
    <hyperlink r:id="rId2734" ref="K2758"/>
    <hyperlink r:id="rId2735" ref="K2759"/>
    <hyperlink r:id="rId2736" ref="K2760"/>
    <hyperlink r:id="rId2737" ref="K2761"/>
    <hyperlink r:id="rId2738" ref="K2762"/>
    <hyperlink r:id="rId2739" ref="K2763"/>
    <hyperlink r:id="rId2740" ref="K2764"/>
    <hyperlink r:id="rId2741" ref="K2765"/>
    <hyperlink r:id="rId2742" ref="K2766"/>
    <hyperlink r:id="rId2743" ref="K2767"/>
    <hyperlink r:id="rId2744" ref="K2768"/>
    <hyperlink r:id="rId2745" ref="K2769"/>
    <hyperlink r:id="rId2746" ref="K2770"/>
    <hyperlink r:id="rId2747" ref="K2771"/>
    <hyperlink r:id="rId2748" ref="K2772"/>
    <hyperlink r:id="rId2749" ref="K2773"/>
    <hyperlink r:id="rId2750" ref="K2774"/>
    <hyperlink r:id="rId2751" ref="K2775"/>
    <hyperlink r:id="rId2752" ref="K2776"/>
    <hyperlink r:id="rId2753" ref="K2777"/>
    <hyperlink r:id="rId2754" ref="K2778"/>
    <hyperlink r:id="rId2755" ref="K2779"/>
    <hyperlink r:id="rId2756" ref="K2780"/>
    <hyperlink r:id="rId2757" ref="K2781"/>
    <hyperlink r:id="rId2758" ref="K2782"/>
    <hyperlink r:id="rId2759" ref="K2783"/>
    <hyperlink r:id="rId2760" ref="K2784"/>
    <hyperlink r:id="rId2761" ref="K2785"/>
    <hyperlink r:id="rId2762" ref="K2786"/>
    <hyperlink r:id="rId2763" ref="K2787"/>
    <hyperlink r:id="rId2764" ref="K2788"/>
    <hyperlink r:id="rId2765" ref="K2789"/>
    <hyperlink r:id="rId2766" ref="K2790"/>
    <hyperlink r:id="rId2767" ref="K2791"/>
    <hyperlink r:id="rId2768" ref="K2792"/>
    <hyperlink r:id="rId2769" ref="K2793"/>
    <hyperlink r:id="rId2770" ref="K2794"/>
    <hyperlink r:id="rId2771" ref="K2795"/>
    <hyperlink r:id="rId2772" ref="K2796"/>
    <hyperlink r:id="rId2773" ref="K2797"/>
    <hyperlink r:id="rId2774" ref="K2798"/>
    <hyperlink r:id="rId2775" ref="K2799"/>
    <hyperlink r:id="rId2776" ref="K2800"/>
    <hyperlink r:id="rId2777" ref="K2801"/>
    <hyperlink r:id="rId2778" ref="K2802"/>
    <hyperlink r:id="rId2779" ref="K2803"/>
    <hyperlink r:id="rId2780" ref="K2804"/>
    <hyperlink r:id="rId2781" ref="K2805"/>
    <hyperlink r:id="rId2782" ref="K2806"/>
    <hyperlink r:id="rId2783" ref="K2807"/>
    <hyperlink r:id="rId2784" ref="K2808"/>
    <hyperlink r:id="rId2785" ref="K2809"/>
    <hyperlink r:id="rId2786" ref="K2810"/>
    <hyperlink r:id="rId2787" ref="K2811"/>
    <hyperlink r:id="rId2788" ref="K2812"/>
    <hyperlink r:id="rId2789" ref="K2813"/>
    <hyperlink r:id="rId2790" ref="K2814"/>
    <hyperlink r:id="rId2791" ref="K2815"/>
    <hyperlink r:id="rId2792" ref="K2816"/>
    <hyperlink r:id="rId2793" ref="K2817"/>
    <hyperlink r:id="rId2794" ref="K2818"/>
    <hyperlink r:id="rId2795" ref="K2819"/>
    <hyperlink r:id="rId2796" ref="K2820"/>
    <hyperlink r:id="rId2797" ref="K2821"/>
    <hyperlink r:id="rId2798" ref="K2822"/>
    <hyperlink r:id="rId2799" ref="K2823"/>
    <hyperlink r:id="rId2800" ref="K2824"/>
    <hyperlink r:id="rId2801" ref="K2825"/>
    <hyperlink r:id="rId2802" ref="K2826"/>
    <hyperlink r:id="rId2803" ref="K2827"/>
    <hyperlink r:id="rId2804" ref="K2828"/>
    <hyperlink r:id="rId2805" ref="K2829"/>
    <hyperlink r:id="rId2806" ref="K2830"/>
    <hyperlink r:id="rId2807" ref="K2832"/>
    <hyperlink r:id="rId2808" ref="K2833"/>
    <hyperlink r:id="rId2809" ref="K2834"/>
    <hyperlink r:id="rId2810" ref="K2835"/>
    <hyperlink r:id="rId2811" ref="K2836"/>
    <hyperlink r:id="rId2812" ref="K2837"/>
    <hyperlink r:id="rId2813" ref="K2838"/>
    <hyperlink r:id="rId2814" ref="K2839"/>
    <hyperlink r:id="rId2815" ref="K2840"/>
    <hyperlink r:id="rId2816" ref="K2841"/>
    <hyperlink r:id="rId2817" ref="K2842"/>
    <hyperlink r:id="rId2818" ref="K2843"/>
    <hyperlink r:id="rId2819" ref="K2844"/>
    <hyperlink r:id="rId2820" ref="K2845"/>
    <hyperlink r:id="rId2821" ref="K2846"/>
    <hyperlink r:id="rId2822" ref="K2847"/>
    <hyperlink r:id="rId2823" ref="K2848"/>
    <hyperlink r:id="rId2824" ref="K2849"/>
    <hyperlink r:id="rId2825" ref="K2850"/>
    <hyperlink r:id="rId2826" ref="K2851"/>
    <hyperlink r:id="rId2827" ref="K2852"/>
    <hyperlink r:id="rId2828" ref="K2853"/>
    <hyperlink r:id="rId2829" ref="K2854"/>
    <hyperlink r:id="rId2830" ref="K2855"/>
    <hyperlink r:id="rId2831" ref="K2856"/>
    <hyperlink r:id="rId2832" ref="K2857"/>
    <hyperlink r:id="rId2833" ref="K2858"/>
    <hyperlink r:id="rId2834" ref="K2859"/>
    <hyperlink r:id="rId2835" ref="K2860"/>
    <hyperlink r:id="rId2836" ref="K2861"/>
    <hyperlink r:id="rId2837" ref="K2862"/>
    <hyperlink r:id="rId2838" ref="K2863"/>
    <hyperlink r:id="rId2839" ref="K2864"/>
    <hyperlink r:id="rId2840" ref="K2865"/>
    <hyperlink r:id="rId2841" ref="K2866"/>
    <hyperlink r:id="rId2842" ref="K2867"/>
    <hyperlink r:id="rId2843" ref="K2868"/>
    <hyperlink r:id="rId2844" ref="K2869"/>
    <hyperlink r:id="rId2845" ref="K2870"/>
    <hyperlink r:id="rId2846" ref="K2871"/>
    <hyperlink r:id="rId2847" ref="K2872"/>
    <hyperlink r:id="rId2848" ref="K2873"/>
    <hyperlink r:id="rId2849" ref="K2874"/>
    <hyperlink r:id="rId2850" ref="K2875"/>
    <hyperlink r:id="rId2851" ref="K2876"/>
    <hyperlink r:id="rId2852" ref="K2877"/>
    <hyperlink r:id="rId2853" ref="K2878"/>
    <hyperlink r:id="rId2854" ref="K2879"/>
    <hyperlink r:id="rId2855" ref="K2880"/>
    <hyperlink r:id="rId2856" ref="K2881"/>
    <hyperlink r:id="rId2857" ref="K2882"/>
    <hyperlink r:id="rId2858" ref="K2883"/>
    <hyperlink r:id="rId2859" ref="K2884"/>
    <hyperlink r:id="rId2860" ref="K2885"/>
    <hyperlink r:id="rId2861" ref="K2886"/>
    <hyperlink r:id="rId2862" ref="K2888"/>
    <hyperlink r:id="rId2863" ref="K2889"/>
    <hyperlink r:id="rId2864" ref="K2890"/>
    <hyperlink r:id="rId2865" ref="K2891"/>
    <hyperlink r:id="rId2866" ref="K2892"/>
    <hyperlink r:id="rId2867" ref="K2893"/>
    <hyperlink r:id="rId2868" ref="K2894"/>
    <hyperlink r:id="rId2869" ref="K2895"/>
    <hyperlink r:id="rId2870" ref="K2896"/>
    <hyperlink r:id="rId2871" ref="K2897"/>
    <hyperlink r:id="rId2872" ref="K2898"/>
    <hyperlink r:id="rId2873" ref="K2899"/>
    <hyperlink r:id="rId2874" ref="K2900"/>
    <hyperlink r:id="rId2875" ref="K2901"/>
    <hyperlink r:id="rId2876" ref="K2902"/>
    <hyperlink r:id="rId2877" ref="K2903"/>
    <hyperlink r:id="rId2878" ref="K2904"/>
    <hyperlink r:id="rId2879" ref="K2905"/>
    <hyperlink r:id="rId2880" ref="K2906"/>
    <hyperlink r:id="rId2881" ref="K2907"/>
    <hyperlink r:id="rId2882" ref="K2908"/>
    <hyperlink r:id="rId2883" ref="K2909"/>
    <hyperlink r:id="rId2884" ref="K2910"/>
    <hyperlink r:id="rId2885" ref="K2911"/>
    <hyperlink r:id="rId2886" ref="K2912"/>
    <hyperlink r:id="rId2887" ref="K2913"/>
    <hyperlink r:id="rId2888" ref="K2914"/>
    <hyperlink r:id="rId2889" ref="K2915"/>
    <hyperlink r:id="rId2890" ref="K2916"/>
    <hyperlink r:id="rId2891" ref="K2917"/>
    <hyperlink r:id="rId2892" ref="K2918"/>
    <hyperlink r:id="rId2893" ref="K2919"/>
    <hyperlink r:id="rId2894" ref="K2920"/>
    <hyperlink r:id="rId2895" ref="K2921"/>
    <hyperlink r:id="rId2896" ref="K2922"/>
    <hyperlink r:id="rId2897" ref="K2923"/>
    <hyperlink r:id="rId2898" ref="K2924"/>
    <hyperlink r:id="rId2899" ref="K2925"/>
    <hyperlink r:id="rId2900" ref="K2926"/>
    <hyperlink r:id="rId2901" ref="K2927"/>
    <hyperlink r:id="rId2902" ref="K2928"/>
    <hyperlink r:id="rId2903" ref="K2929"/>
    <hyperlink r:id="rId2904" ref="K2930"/>
    <hyperlink r:id="rId2905" ref="K2931"/>
    <hyperlink r:id="rId2906" ref="K2932"/>
    <hyperlink r:id="rId2907" ref="K2933"/>
    <hyperlink r:id="rId2908" ref="K2934"/>
    <hyperlink r:id="rId2909" ref="K2935"/>
    <hyperlink r:id="rId2910" ref="K2936"/>
    <hyperlink r:id="rId2911" ref="K2937"/>
    <hyperlink r:id="rId2912" ref="K2938"/>
    <hyperlink r:id="rId2913" ref="K2939"/>
    <hyperlink r:id="rId2914" ref="K2940"/>
    <hyperlink r:id="rId2915" ref="K2941"/>
    <hyperlink r:id="rId2916" ref="K2942"/>
    <hyperlink r:id="rId2917" ref="K2943"/>
    <hyperlink r:id="rId2918" ref="K2944"/>
    <hyperlink r:id="rId2919" ref="K2945"/>
    <hyperlink r:id="rId2920" ref="K2946"/>
    <hyperlink r:id="rId2921" ref="K2947"/>
    <hyperlink r:id="rId2922" ref="K2948"/>
    <hyperlink r:id="rId2923" ref="K2949"/>
    <hyperlink r:id="rId2924" ref="K2950"/>
    <hyperlink r:id="rId2925" ref="K2951"/>
    <hyperlink r:id="rId2926" ref="K2952"/>
    <hyperlink r:id="rId2927" ref="K2953"/>
    <hyperlink r:id="rId2928" ref="K2954"/>
    <hyperlink r:id="rId2929" ref="K2956"/>
    <hyperlink r:id="rId2930" ref="K2957"/>
    <hyperlink r:id="rId2931" ref="K2958"/>
    <hyperlink r:id="rId2932" ref="K2959"/>
    <hyperlink r:id="rId2933" ref="K2960"/>
    <hyperlink r:id="rId2934" ref="K2961"/>
    <hyperlink r:id="rId2935" ref="K2962"/>
    <hyperlink r:id="rId2936" ref="K2963"/>
    <hyperlink r:id="rId2937" ref="K2964"/>
    <hyperlink r:id="rId2938" ref="K2965"/>
    <hyperlink r:id="rId2939" ref="K2966"/>
    <hyperlink r:id="rId2940" ref="K2967"/>
    <hyperlink r:id="rId2941" ref="K2968"/>
    <hyperlink r:id="rId2942" ref="K2969"/>
    <hyperlink r:id="rId2943" ref="K2970"/>
    <hyperlink r:id="rId2944" ref="K2971"/>
    <hyperlink r:id="rId2945" ref="K2972"/>
    <hyperlink r:id="rId2946" ref="K2973"/>
    <hyperlink r:id="rId2947" ref="K2974"/>
    <hyperlink r:id="rId2948" ref="K2975"/>
    <hyperlink r:id="rId2949" ref="K2976"/>
    <hyperlink r:id="rId2950" ref="K2977"/>
    <hyperlink r:id="rId2951" ref="K2978"/>
    <hyperlink r:id="rId2952" ref="K2979"/>
    <hyperlink r:id="rId2953" ref="K2980"/>
    <hyperlink r:id="rId2954" ref="K2981"/>
    <hyperlink r:id="rId2955" ref="K2982"/>
    <hyperlink r:id="rId2956" ref="K2983"/>
    <hyperlink r:id="rId2957" ref="K2984"/>
    <hyperlink r:id="rId2958" ref="K2985"/>
    <hyperlink r:id="rId2959" ref="K2986"/>
    <hyperlink r:id="rId2960" ref="K2987"/>
    <hyperlink r:id="rId2961" ref="K2988"/>
    <hyperlink r:id="rId2962" ref="K2989"/>
    <hyperlink r:id="rId2963" ref="K2990"/>
    <hyperlink r:id="rId2964" ref="K2991"/>
    <hyperlink r:id="rId2965" ref="K2992"/>
    <hyperlink r:id="rId2966" ref="K2993"/>
    <hyperlink r:id="rId2967" ref="K2994"/>
    <hyperlink r:id="rId2968" ref="K2995"/>
    <hyperlink r:id="rId2969" ref="K2996"/>
    <hyperlink r:id="rId2970" ref="K2997"/>
    <hyperlink r:id="rId2971" ref="K2998"/>
    <hyperlink r:id="rId2972" ref="K2999"/>
    <hyperlink r:id="rId2973" ref="K3000"/>
    <hyperlink r:id="rId2974" ref="K3001"/>
    <hyperlink r:id="rId2975" ref="K3002"/>
    <hyperlink r:id="rId2976" ref="K3003"/>
    <hyperlink r:id="rId2977" ref="K3004"/>
    <hyperlink r:id="rId2978" ref="K3005"/>
    <hyperlink r:id="rId2979" ref="K3006"/>
    <hyperlink r:id="rId2980" ref="K3007"/>
    <hyperlink r:id="rId2981" ref="K3008"/>
    <hyperlink r:id="rId2982" ref="K3009"/>
    <hyperlink r:id="rId2983" ref="K3010"/>
    <hyperlink r:id="rId2984" ref="K3011"/>
    <hyperlink r:id="rId2985" ref="K3012"/>
    <hyperlink r:id="rId2986" ref="K3013"/>
    <hyperlink r:id="rId2987" ref="K3014"/>
    <hyperlink r:id="rId2988" ref="K3015"/>
    <hyperlink r:id="rId2989" ref="K3016"/>
    <hyperlink r:id="rId2990" ref="K3017"/>
    <hyperlink r:id="rId2991" ref="K3018"/>
    <hyperlink r:id="rId2992" ref="K3019"/>
    <hyperlink r:id="rId2993" ref="K3020"/>
    <hyperlink r:id="rId2994" ref="K3021"/>
    <hyperlink r:id="rId2995" ref="K3022"/>
    <hyperlink r:id="rId2996" ref="K3023"/>
    <hyperlink r:id="rId2997" ref="K3024"/>
    <hyperlink r:id="rId2998" ref="K3025"/>
    <hyperlink r:id="rId2999" ref="K3026"/>
    <hyperlink r:id="rId3000" ref="K3027"/>
    <hyperlink r:id="rId3001" ref="K3028"/>
    <hyperlink r:id="rId3002" ref="K3029"/>
    <hyperlink r:id="rId3003" ref="K3030"/>
    <hyperlink r:id="rId3004" ref="K3031"/>
    <hyperlink r:id="rId3005" ref="K3032"/>
    <hyperlink r:id="rId3006" ref="K3033"/>
    <hyperlink r:id="rId3007" ref="K3034"/>
    <hyperlink r:id="rId3008" ref="K3035"/>
    <hyperlink r:id="rId3009" ref="K3036"/>
    <hyperlink r:id="rId3010" ref="K3037"/>
    <hyperlink r:id="rId3011" ref="K3038"/>
    <hyperlink r:id="rId3012" ref="K3039"/>
    <hyperlink r:id="rId3013" ref="K3040"/>
    <hyperlink r:id="rId3014" ref="K3041"/>
    <hyperlink r:id="rId3015" ref="K3042"/>
    <hyperlink r:id="rId3016" ref="K3043"/>
    <hyperlink r:id="rId3017" ref="K3044"/>
    <hyperlink r:id="rId3018" ref="K3045"/>
    <hyperlink r:id="rId3019" ref="K3046"/>
    <hyperlink r:id="rId3020" ref="K3047"/>
    <hyperlink r:id="rId3021" ref="K3048"/>
    <hyperlink r:id="rId3022" ref="K3049"/>
    <hyperlink r:id="rId3023" ref="K3050"/>
    <hyperlink r:id="rId3024" ref="K3051"/>
    <hyperlink r:id="rId3025" ref="K3052"/>
    <hyperlink r:id="rId3026" ref="K3053"/>
    <hyperlink r:id="rId3027" ref="K3054"/>
    <hyperlink r:id="rId3028" ref="K3055"/>
    <hyperlink r:id="rId3029" ref="K3056"/>
    <hyperlink r:id="rId3030" ref="K3057"/>
    <hyperlink r:id="rId3031" ref="K3058"/>
    <hyperlink r:id="rId3032" ref="K3059"/>
    <hyperlink r:id="rId3033" ref="K3060"/>
    <hyperlink r:id="rId3034" ref="K3061"/>
    <hyperlink r:id="rId3035" ref="K3062"/>
    <hyperlink r:id="rId3036" ref="K3063"/>
    <hyperlink r:id="rId3037" ref="K3064"/>
    <hyperlink r:id="rId3038" ref="K3065"/>
    <hyperlink r:id="rId3039" ref="K3066"/>
    <hyperlink r:id="rId3040" ref="K3067"/>
    <hyperlink r:id="rId3041" ref="K3068"/>
    <hyperlink r:id="rId3042" ref="K3069"/>
    <hyperlink r:id="rId3043" ref="K3070"/>
    <hyperlink r:id="rId3044" ref="K3071"/>
    <hyperlink r:id="rId3045" ref="K3072"/>
    <hyperlink r:id="rId3046" ref="K3073"/>
    <hyperlink r:id="rId3047" ref="K3074"/>
    <hyperlink r:id="rId3048" ref="K3075"/>
    <hyperlink r:id="rId3049" ref="K3076"/>
    <hyperlink r:id="rId3050" ref="K3077"/>
    <hyperlink r:id="rId3051" ref="K3078"/>
    <hyperlink r:id="rId3052" ref="K3079"/>
    <hyperlink r:id="rId3053" ref="K3080"/>
    <hyperlink r:id="rId3054" ref="K3081"/>
    <hyperlink r:id="rId3055" ref="K3082"/>
    <hyperlink r:id="rId3056" ref="K3083"/>
    <hyperlink r:id="rId3057" ref="K3084"/>
    <hyperlink r:id="rId3058" ref="K3085"/>
    <hyperlink r:id="rId3059" ref="K3086"/>
    <hyperlink r:id="rId3060" ref="K3087"/>
    <hyperlink r:id="rId3061" ref="K3088"/>
    <hyperlink r:id="rId3062" ref="K3089"/>
    <hyperlink r:id="rId3063" ref="K3090"/>
    <hyperlink r:id="rId3064" ref="K3091"/>
    <hyperlink r:id="rId3065" ref="K3092"/>
    <hyperlink r:id="rId3066" ref="K3093"/>
    <hyperlink r:id="rId3067" ref="K3094"/>
    <hyperlink r:id="rId3068" ref="K3095"/>
    <hyperlink r:id="rId3069" ref="K3096"/>
    <hyperlink r:id="rId3070" ref="K3097"/>
    <hyperlink r:id="rId3071" ref="K3098"/>
    <hyperlink r:id="rId3072" ref="K3099"/>
    <hyperlink r:id="rId3073" ref="K3100"/>
    <hyperlink r:id="rId3074" ref="K3101"/>
    <hyperlink r:id="rId3075" ref="K3102"/>
    <hyperlink r:id="rId3076" ref="K3103"/>
    <hyperlink r:id="rId3077" ref="K3104"/>
    <hyperlink r:id="rId3078" ref="K3105"/>
    <hyperlink r:id="rId3079" ref="K3106"/>
    <hyperlink r:id="rId3080" ref="K3107"/>
    <hyperlink r:id="rId3081" ref="K3108"/>
    <hyperlink r:id="rId3082" ref="K3109"/>
    <hyperlink r:id="rId3083" ref="K3110"/>
    <hyperlink r:id="rId3084" ref="K3111"/>
    <hyperlink r:id="rId3085" ref="K3112"/>
    <hyperlink r:id="rId3086" ref="K3113"/>
    <hyperlink r:id="rId3087" ref="K3114"/>
    <hyperlink r:id="rId3088" ref="K3115"/>
    <hyperlink r:id="rId3089" ref="K3116"/>
    <hyperlink r:id="rId3090" ref="K3117"/>
    <hyperlink r:id="rId3091" ref="K3118"/>
    <hyperlink r:id="rId3092" ref="K3119"/>
    <hyperlink r:id="rId3093" ref="K3120"/>
    <hyperlink r:id="rId3094" ref="K3121"/>
    <hyperlink r:id="rId3095" ref="K3122"/>
    <hyperlink r:id="rId3096" ref="K3123"/>
    <hyperlink r:id="rId3097" ref="K3124"/>
    <hyperlink r:id="rId3098" ref="K3125"/>
    <hyperlink r:id="rId3099" ref="K3126"/>
    <hyperlink r:id="rId3100" ref="K3127"/>
    <hyperlink r:id="rId3101" ref="K3128"/>
    <hyperlink r:id="rId3102" ref="K3129"/>
    <hyperlink r:id="rId3103" ref="K3130"/>
    <hyperlink r:id="rId3104" ref="K3131"/>
    <hyperlink r:id="rId3105" ref="K3132"/>
    <hyperlink r:id="rId3106" ref="K3133"/>
    <hyperlink r:id="rId3107" ref="K3134"/>
    <hyperlink r:id="rId3108" ref="K3135"/>
    <hyperlink r:id="rId3109" ref="K3136"/>
    <hyperlink r:id="rId3110" ref="K3137"/>
    <hyperlink r:id="rId3111" ref="K3138"/>
    <hyperlink r:id="rId3112" ref="K3139"/>
    <hyperlink r:id="rId3113" ref="K3140"/>
    <hyperlink r:id="rId3114" ref="K3141"/>
    <hyperlink r:id="rId3115" ref="K3142"/>
    <hyperlink r:id="rId3116" ref="K3143"/>
    <hyperlink r:id="rId3117" ref="K3144"/>
    <hyperlink r:id="rId3118" ref="K3145"/>
    <hyperlink r:id="rId3119" ref="K3146"/>
    <hyperlink r:id="rId3120" ref="K3147"/>
    <hyperlink r:id="rId3121" ref="K3148"/>
    <hyperlink r:id="rId3122" ref="K3149"/>
    <hyperlink r:id="rId3123" ref="K3150"/>
    <hyperlink r:id="rId3124" ref="K3151"/>
    <hyperlink r:id="rId3125" ref="K3152"/>
    <hyperlink r:id="rId3126" ref="K3153"/>
    <hyperlink r:id="rId3127" ref="K3154"/>
    <hyperlink r:id="rId3128" ref="K3155"/>
    <hyperlink r:id="rId3129" ref="K3156"/>
    <hyperlink r:id="rId3130" ref="K3157"/>
    <hyperlink r:id="rId3131" ref="K3158"/>
    <hyperlink r:id="rId3132" ref="K3159"/>
    <hyperlink r:id="rId3133" ref="K3160"/>
    <hyperlink r:id="rId3134" ref="K3161"/>
    <hyperlink r:id="rId3135" ref="K3162"/>
    <hyperlink r:id="rId3136" ref="K3163"/>
    <hyperlink r:id="rId3137" ref="K3164"/>
    <hyperlink r:id="rId3138" ref="K3165"/>
    <hyperlink r:id="rId3139" ref="K3166"/>
    <hyperlink r:id="rId3140" ref="K3167"/>
    <hyperlink r:id="rId3141" ref="K3168"/>
    <hyperlink r:id="rId3142" ref="K3169"/>
    <hyperlink r:id="rId3143" ref="K3170"/>
    <hyperlink r:id="rId3144" ref="K3171"/>
    <hyperlink r:id="rId3145" ref="K3172"/>
    <hyperlink r:id="rId3146" ref="K3173"/>
    <hyperlink r:id="rId3147" ref="K3174"/>
    <hyperlink r:id="rId3148" ref="K3175"/>
    <hyperlink r:id="rId3149" ref="K3176"/>
    <hyperlink r:id="rId3150" ref="K3177"/>
    <hyperlink r:id="rId3151" ref="K3178"/>
    <hyperlink r:id="rId3152" ref="K3179"/>
    <hyperlink r:id="rId3153" ref="K3180"/>
    <hyperlink r:id="rId3154" ref="K3181"/>
    <hyperlink r:id="rId3155" ref="K3182"/>
    <hyperlink r:id="rId3156" ref="K3183"/>
    <hyperlink r:id="rId3157" ref="K3184"/>
    <hyperlink r:id="rId3158" ref="K3185"/>
    <hyperlink r:id="rId3159" ref="K3186"/>
    <hyperlink r:id="rId3160" ref="K3187"/>
    <hyperlink r:id="rId3161" ref="K3188"/>
    <hyperlink r:id="rId3162" ref="K3189"/>
    <hyperlink r:id="rId3163" ref="K3190"/>
    <hyperlink r:id="rId3164" ref="K3191"/>
    <hyperlink r:id="rId3165" ref="K3192"/>
    <hyperlink r:id="rId3166" ref="K3193"/>
    <hyperlink r:id="rId3167" ref="K3194"/>
    <hyperlink r:id="rId3168" ref="K3195"/>
    <hyperlink r:id="rId3169" ref="K3196"/>
    <hyperlink r:id="rId3170" ref="K3197"/>
    <hyperlink r:id="rId3171" ref="K3198"/>
    <hyperlink r:id="rId3172" ref="K3199"/>
    <hyperlink r:id="rId3173" ref="K3200"/>
    <hyperlink r:id="rId3174" ref="K3201"/>
    <hyperlink r:id="rId3175" ref="K3202"/>
    <hyperlink r:id="rId3176" ref="K3203"/>
    <hyperlink r:id="rId3177" ref="K3204"/>
    <hyperlink r:id="rId3178" ref="K3205"/>
    <hyperlink r:id="rId3179" ref="K3206"/>
    <hyperlink r:id="rId3180" ref="K3207"/>
    <hyperlink r:id="rId3181" ref="K3208"/>
    <hyperlink r:id="rId3182" ref="K3209"/>
    <hyperlink r:id="rId3183" ref="K3210"/>
    <hyperlink r:id="rId3184" ref="K3211"/>
    <hyperlink r:id="rId3185" ref="K3212"/>
    <hyperlink r:id="rId3186" ref="K3213"/>
    <hyperlink r:id="rId3187" ref="K3214"/>
    <hyperlink r:id="rId3188" ref="K3215"/>
    <hyperlink r:id="rId3189" ref="K3216"/>
    <hyperlink r:id="rId3190" ref="K3217"/>
    <hyperlink r:id="rId3191" ref="K3218"/>
    <hyperlink r:id="rId3192" ref="K3219"/>
    <hyperlink r:id="rId3193" ref="K3220"/>
    <hyperlink r:id="rId3194" ref="K3221"/>
    <hyperlink r:id="rId3195" ref="K3222"/>
    <hyperlink r:id="rId3196" ref="K3223"/>
    <hyperlink r:id="rId3197" ref="K3224"/>
    <hyperlink r:id="rId3198" ref="K3225"/>
    <hyperlink r:id="rId3199" ref="K3226"/>
    <hyperlink r:id="rId3200" ref="K3227"/>
    <hyperlink r:id="rId3201" ref="K3228"/>
    <hyperlink r:id="rId3202" ref="K3229"/>
    <hyperlink r:id="rId3203" ref="K3230"/>
    <hyperlink r:id="rId3204" ref="K3231"/>
    <hyperlink r:id="rId3205" ref="K3232"/>
    <hyperlink r:id="rId3206" ref="K3233"/>
    <hyperlink r:id="rId3207" ref="K3234"/>
    <hyperlink r:id="rId3208" ref="K3235"/>
    <hyperlink r:id="rId3209" ref="K3236"/>
    <hyperlink r:id="rId3210" ref="K3237"/>
    <hyperlink r:id="rId3211" ref="K3238"/>
    <hyperlink r:id="rId3212" ref="K3239"/>
    <hyperlink r:id="rId3213" ref="K3240"/>
    <hyperlink r:id="rId3214" ref="K3241"/>
    <hyperlink r:id="rId3215" ref="K3242"/>
    <hyperlink r:id="rId3216" ref="K3243"/>
    <hyperlink r:id="rId3217" ref="K3244"/>
    <hyperlink r:id="rId3218" ref="K3245"/>
    <hyperlink r:id="rId3219" ref="K3246"/>
    <hyperlink r:id="rId3220" ref="K3247"/>
    <hyperlink r:id="rId3221" ref="K3248"/>
    <hyperlink r:id="rId3222" ref="K3249"/>
    <hyperlink r:id="rId3223" ref="K3250"/>
    <hyperlink r:id="rId3224" ref="K3251"/>
    <hyperlink r:id="rId3225" ref="K3252"/>
    <hyperlink r:id="rId3226" ref="K3253"/>
    <hyperlink r:id="rId3227" ref="K3254"/>
    <hyperlink r:id="rId3228" ref="K3255"/>
    <hyperlink r:id="rId3229" ref="K3256"/>
    <hyperlink r:id="rId3230" ref="K3257"/>
    <hyperlink r:id="rId3231" ref="K3258"/>
    <hyperlink r:id="rId3232" ref="K3259"/>
    <hyperlink r:id="rId3233" ref="K3260"/>
    <hyperlink r:id="rId3234" ref="K3261"/>
    <hyperlink r:id="rId3235" ref="K3262"/>
    <hyperlink r:id="rId3236" ref="K3263"/>
    <hyperlink r:id="rId3237" ref="K3264"/>
    <hyperlink r:id="rId3238" ref="K3265"/>
    <hyperlink r:id="rId3239" ref="K3266"/>
    <hyperlink r:id="rId3240" ref="K3267"/>
    <hyperlink r:id="rId3241" ref="K3268"/>
    <hyperlink r:id="rId3242" ref="K3269"/>
    <hyperlink r:id="rId3243" ref="K3270"/>
    <hyperlink r:id="rId3244" ref="K3271"/>
    <hyperlink r:id="rId3245" ref="K3272"/>
    <hyperlink r:id="rId3246" ref="K3273"/>
    <hyperlink r:id="rId3247" ref="K3274"/>
    <hyperlink r:id="rId3248" ref="K3275"/>
    <hyperlink r:id="rId3249" ref="K3276"/>
    <hyperlink r:id="rId3250" ref="K3277"/>
    <hyperlink r:id="rId3251" ref="K3278"/>
    <hyperlink r:id="rId3252" ref="K3279"/>
    <hyperlink r:id="rId3253" ref="K3280"/>
    <hyperlink r:id="rId3254" ref="K3281"/>
    <hyperlink r:id="rId3255" ref="K3282"/>
    <hyperlink r:id="rId3256" ref="K3283"/>
    <hyperlink r:id="rId3257" ref="K3284"/>
    <hyperlink r:id="rId3258" ref="K3285"/>
    <hyperlink r:id="rId3259" ref="K3286"/>
    <hyperlink r:id="rId3260" ref="K3287"/>
    <hyperlink r:id="rId3261" ref="K3288"/>
    <hyperlink r:id="rId3262" ref="K3289"/>
    <hyperlink r:id="rId3263" ref="K3290"/>
    <hyperlink r:id="rId3264" ref="K3291"/>
    <hyperlink r:id="rId3265" ref="K3292"/>
    <hyperlink r:id="rId3266" ref="K3293"/>
    <hyperlink r:id="rId3267" ref="K3294"/>
    <hyperlink r:id="rId3268" ref="K3295"/>
    <hyperlink r:id="rId3269" ref="K3296"/>
    <hyperlink r:id="rId3270" ref="K3297"/>
    <hyperlink r:id="rId3271" ref="K3298"/>
    <hyperlink r:id="rId3272" ref="K3299"/>
    <hyperlink r:id="rId3273" ref="K3300"/>
    <hyperlink r:id="rId3274" ref="K3301"/>
    <hyperlink r:id="rId3275" ref="K3302"/>
    <hyperlink r:id="rId3276" ref="K3303"/>
    <hyperlink r:id="rId3277" ref="K3304"/>
    <hyperlink r:id="rId3278" ref="K3305"/>
    <hyperlink r:id="rId3279" ref="K3306"/>
    <hyperlink r:id="rId3280" ref="K3307"/>
    <hyperlink r:id="rId3281" ref="K3308"/>
    <hyperlink r:id="rId3282" ref="K3309"/>
    <hyperlink r:id="rId3283" ref="K3310"/>
    <hyperlink r:id="rId3284" ref="K3311"/>
    <hyperlink r:id="rId3285" ref="K3312"/>
    <hyperlink r:id="rId3286" ref="K3313"/>
    <hyperlink r:id="rId3287" ref="K3314"/>
    <hyperlink r:id="rId3288" ref="K3315"/>
    <hyperlink r:id="rId3289" ref="K3316"/>
    <hyperlink r:id="rId3290" ref="K3317"/>
    <hyperlink r:id="rId3291" ref="K3318"/>
    <hyperlink r:id="rId3292" ref="K3319"/>
    <hyperlink r:id="rId3293" ref="K3320"/>
    <hyperlink r:id="rId3294" ref="K3321"/>
    <hyperlink r:id="rId3295" ref="K3322"/>
    <hyperlink r:id="rId3296" ref="K3323"/>
    <hyperlink r:id="rId3297" ref="K3324"/>
    <hyperlink r:id="rId3298" ref="K3325"/>
    <hyperlink r:id="rId3299" ref="K3326"/>
    <hyperlink r:id="rId3300" ref="K3327"/>
    <hyperlink r:id="rId3301" ref="K3328"/>
    <hyperlink r:id="rId3302" ref="K3329"/>
    <hyperlink r:id="rId3303" ref="K3330"/>
    <hyperlink r:id="rId3304" ref="K3331"/>
    <hyperlink r:id="rId3305" ref="K3332"/>
    <hyperlink r:id="rId3306" ref="K3333"/>
    <hyperlink r:id="rId3307" ref="K3334"/>
    <hyperlink r:id="rId3308" ref="K3335"/>
    <hyperlink r:id="rId3309" ref="K3336"/>
    <hyperlink r:id="rId3310" ref="K3337"/>
    <hyperlink r:id="rId3311" ref="K3338"/>
    <hyperlink r:id="rId3312" ref="K3339"/>
    <hyperlink r:id="rId3313" ref="K3340"/>
    <hyperlink r:id="rId3314" ref="K3341"/>
    <hyperlink r:id="rId3315" ref="K3342"/>
    <hyperlink r:id="rId3316" ref="K3343"/>
    <hyperlink r:id="rId3317" ref="K3344"/>
    <hyperlink r:id="rId3318" ref="K3345"/>
    <hyperlink r:id="rId3319" ref="K3346"/>
    <hyperlink r:id="rId3320" ref="K3347"/>
    <hyperlink r:id="rId3321" ref="K3348"/>
    <hyperlink r:id="rId3322" ref="K3349"/>
    <hyperlink r:id="rId3323" ref="K3350"/>
    <hyperlink r:id="rId3324" ref="K3351"/>
    <hyperlink r:id="rId3325" ref="K3352"/>
    <hyperlink r:id="rId3326" ref="K3353"/>
    <hyperlink r:id="rId3327" ref="K3354"/>
    <hyperlink r:id="rId3328" ref="K3355"/>
    <hyperlink r:id="rId3329" ref="K3356"/>
    <hyperlink r:id="rId3330" ref="K3357"/>
    <hyperlink r:id="rId3331" ref="K3358"/>
    <hyperlink r:id="rId3332" ref="K3359"/>
    <hyperlink r:id="rId3333" ref="K3360"/>
    <hyperlink r:id="rId3334" ref="K3361"/>
    <hyperlink r:id="rId3335" ref="K3362"/>
    <hyperlink r:id="rId3336" ref="K3363"/>
    <hyperlink r:id="rId3337" ref="K3364"/>
    <hyperlink r:id="rId3338" ref="K3365"/>
    <hyperlink r:id="rId3339" ref="K3366"/>
    <hyperlink r:id="rId3340" ref="K3367"/>
    <hyperlink r:id="rId3341" ref="K3368"/>
    <hyperlink r:id="rId3342" ref="K3369"/>
    <hyperlink r:id="rId3343" ref="K3370"/>
    <hyperlink r:id="rId3344" ref="K3371"/>
    <hyperlink r:id="rId3345" ref="K3372"/>
    <hyperlink r:id="rId3346" ref="K3373"/>
    <hyperlink r:id="rId3347" ref="K3374"/>
    <hyperlink r:id="rId3348" ref="K3375"/>
    <hyperlink r:id="rId3349" ref="K3376"/>
    <hyperlink r:id="rId3350" ref="K3377"/>
    <hyperlink r:id="rId3351" ref="K3378"/>
    <hyperlink r:id="rId3352" ref="K3379"/>
    <hyperlink r:id="rId3353" ref="K3380"/>
    <hyperlink r:id="rId3354" ref="K3381"/>
    <hyperlink r:id="rId3355" ref="K3382"/>
    <hyperlink r:id="rId3356" ref="K3383"/>
    <hyperlink r:id="rId3357" ref="K3384"/>
    <hyperlink r:id="rId3358" ref="K3385"/>
    <hyperlink r:id="rId3359" ref="K3386"/>
    <hyperlink r:id="rId3360" ref="K3387"/>
    <hyperlink r:id="rId3361" ref="K3388"/>
    <hyperlink r:id="rId3362" ref="K3389"/>
    <hyperlink r:id="rId3363" ref="K3390"/>
    <hyperlink r:id="rId3364" ref="K3391"/>
    <hyperlink r:id="rId3365" ref="K3392"/>
    <hyperlink r:id="rId3366" ref="K3393"/>
    <hyperlink r:id="rId3367" ref="K3394"/>
    <hyperlink r:id="rId3368" ref="K3395"/>
    <hyperlink r:id="rId3369" ref="K3396"/>
    <hyperlink r:id="rId3370" ref="K3397"/>
    <hyperlink r:id="rId3371" ref="K3398"/>
    <hyperlink r:id="rId3372" ref="K3399"/>
    <hyperlink r:id="rId3373" ref="K3400"/>
    <hyperlink r:id="rId3374" ref="K3401"/>
    <hyperlink r:id="rId3375" ref="K3402"/>
    <hyperlink r:id="rId3376" ref="K3403"/>
    <hyperlink r:id="rId3377" ref="K3404"/>
    <hyperlink r:id="rId3378" ref="K3405"/>
    <hyperlink r:id="rId3379" ref="K3406"/>
    <hyperlink r:id="rId3380" ref="K3407"/>
    <hyperlink r:id="rId3381" ref="K3408"/>
    <hyperlink r:id="rId3382" ref="K3409"/>
    <hyperlink r:id="rId3383" ref="K3410"/>
    <hyperlink r:id="rId3384" ref="K3411"/>
    <hyperlink r:id="rId3385" ref="K3412"/>
    <hyperlink r:id="rId3386" ref="K3413"/>
    <hyperlink r:id="rId3387" ref="K3414"/>
    <hyperlink r:id="rId3388" ref="K3415"/>
    <hyperlink r:id="rId3389" ref="K3416"/>
    <hyperlink r:id="rId3390" ref="K3417"/>
    <hyperlink r:id="rId3391" ref="K3418"/>
    <hyperlink r:id="rId3392" ref="K3419"/>
    <hyperlink r:id="rId3393" ref="K3420"/>
    <hyperlink r:id="rId3394" ref="K3421"/>
    <hyperlink r:id="rId3395" ref="K3422"/>
    <hyperlink r:id="rId3396" ref="K3423"/>
    <hyperlink r:id="rId3397" ref="K3424"/>
    <hyperlink r:id="rId3398" ref="K3425"/>
    <hyperlink r:id="rId3399" ref="K3426"/>
    <hyperlink r:id="rId3400" ref="K3427"/>
    <hyperlink r:id="rId3401" ref="K3428"/>
    <hyperlink r:id="rId3402" ref="K3429"/>
    <hyperlink r:id="rId3403" ref="K3430"/>
    <hyperlink r:id="rId3404" ref="K3431"/>
    <hyperlink r:id="rId3405" ref="K3432"/>
    <hyperlink r:id="rId3406" ref="K3433"/>
    <hyperlink r:id="rId3407" ref="K3434"/>
    <hyperlink r:id="rId3408" ref="K3435"/>
    <hyperlink r:id="rId3409" ref="K3436"/>
    <hyperlink r:id="rId3410" ref="K3437"/>
    <hyperlink r:id="rId3411" ref="K3438"/>
    <hyperlink r:id="rId3412" ref="K3439"/>
    <hyperlink r:id="rId3413" ref="K3440"/>
    <hyperlink r:id="rId3414" ref="K3441"/>
    <hyperlink r:id="rId3415" ref="K3442"/>
    <hyperlink r:id="rId3416" ref="K3443"/>
    <hyperlink r:id="rId3417" ref="K3444"/>
    <hyperlink r:id="rId3418" ref="K3445"/>
    <hyperlink r:id="rId3419" ref="K3446"/>
    <hyperlink r:id="rId3420" ref="K3447"/>
    <hyperlink r:id="rId3421" ref="K3448"/>
    <hyperlink r:id="rId3422" ref="K3449"/>
    <hyperlink r:id="rId3423" ref="K3450"/>
    <hyperlink r:id="rId3424" ref="K3451"/>
    <hyperlink r:id="rId3425" ref="K3452"/>
    <hyperlink r:id="rId3426" ref="K3453"/>
    <hyperlink r:id="rId3427" ref="K3454"/>
    <hyperlink r:id="rId3428" ref="K3455"/>
    <hyperlink r:id="rId3429" ref="K3456"/>
    <hyperlink r:id="rId3430" ref="K3457"/>
    <hyperlink r:id="rId3431" ref="K3458"/>
    <hyperlink r:id="rId3432" ref="K3459"/>
    <hyperlink r:id="rId3433" ref="K3460"/>
    <hyperlink r:id="rId3434" ref="K3461"/>
    <hyperlink r:id="rId3435" ref="K3462"/>
    <hyperlink r:id="rId3436" ref="K3463"/>
    <hyperlink r:id="rId3437" ref="K3464"/>
    <hyperlink r:id="rId3438" ref="K3465"/>
    <hyperlink r:id="rId3439" ref="K3466"/>
    <hyperlink r:id="rId3440" ref="K3467"/>
    <hyperlink r:id="rId3441" ref="K3468"/>
    <hyperlink r:id="rId3442" ref="K3469"/>
    <hyperlink r:id="rId3443" ref="K3470"/>
    <hyperlink r:id="rId3444" ref="K3471"/>
    <hyperlink r:id="rId3445" ref="K3472"/>
    <hyperlink r:id="rId3446" ref="K3473"/>
    <hyperlink r:id="rId3447" ref="K3474"/>
    <hyperlink r:id="rId3448" ref="K3475"/>
    <hyperlink r:id="rId3449" ref="K3476"/>
    <hyperlink r:id="rId3450" ref="K3477"/>
    <hyperlink r:id="rId3451" ref="K3478"/>
    <hyperlink r:id="rId3452" ref="K3479"/>
    <hyperlink r:id="rId3453" ref="K3480"/>
    <hyperlink r:id="rId3454" ref="K3481"/>
    <hyperlink r:id="rId3455" ref="K3482"/>
    <hyperlink r:id="rId3456" ref="K3483"/>
    <hyperlink r:id="rId3457" ref="K3484"/>
    <hyperlink r:id="rId3458" ref="K3485"/>
    <hyperlink r:id="rId3459" ref="K3486"/>
    <hyperlink r:id="rId3460" ref="K3487"/>
    <hyperlink r:id="rId3461" ref="K3488"/>
    <hyperlink r:id="rId3462" ref="K3489"/>
    <hyperlink r:id="rId3463" ref="K3490"/>
    <hyperlink r:id="rId3464" ref="K3491"/>
    <hyperlink r:id="rId3465" ref="K3492"/>
    <hyperlink r:id="rId3466" ref="K3493"/>
    <hyperlink r:id="rId3467" ref="K3494"/>
    <hyperlink r:id="rId3468" ref="K3495"/>
    <hyperlink r:id="rId3469" ref="K3496"/>
    <hyperlink r:id="rId3470" ref="K3497"/>
    <hyperlink r:id="rId3471" ref="K3498"/>
    <hyperlink r:id="rId3472" ref="K3499"/>
    <hyperlink r:id="rId3473" ref="K3500"/>
    <hyperlink r:id="rId3474" ref="K3501"/>
    <hyperlink r:id="rId3475" ref="K3502"/>
    <hyperlink r:id="rId3476" ref="K3503"/>
    <hyperlink r:id="rId3477" ref="K3504"/>
    <hyperlink r:id="rId3478" ref="K3505"/>
    <hyperlink r:id="rId3479" ref="K3506"/>
    <hyperlink r:id="rId3480" ref="K3507"/>
    <hyperlink r:id="rId3481" ref="K3508"/>
    <hyperlink r:id="rId3482" ref="K3509"/>
    <hyperlink r:id="rId3483" ref="K3510"/>
    <hyperlink r:id="rId3484" ref="K3511"/>
    <hyperlink r:id="rId3485" ref="K3512"/>
    <hyperlink r:id="rId3486" ref="K3513"/>
    <hyperlink r:id="rId3487" ref="K3514"/>
    <hyperlink r:id="rId3488" ref="K3515"/>
    <hyperlink r:id="rId3489" ref="K3516"/>
    <hyperlink r:id="rId3490" ref="K3517"/>
    <hyperlink r:id="rId3491" ref="K3518"/>
    <hyperlink r:id="rId3492" ref="K3519"/>
    <hyperlink r:id="rId3493" ref="K3520"/>
    <hyperlink r:id="rId3494" ref="K3521"/>
    <hyperlink r:id="rId3495" ref="K3522"/>
    <hyperlink r:id="rId3496" ref="K3523"/>
    <hyperlink r:id="rId3497" ref="K3524"/>
    <hyperlink r:id="rId3498" ref="K3525"/>
    <hyperlink r:id="rId3499" ref="K3526"/>
    <hyperlink r:id="rId3500" ref="K3527"/>
    <hyperlink r:id="rId3501" ref="K3528"/>
    <hyperlink r:id="rId3502" ref="K3529"/>
    <hyperlink r:id="rId3503" ref="K3530"/>
    <hyperlink r:id="rId3504" ref="K3531"/>
    <hyperlink r:id="rId3505" ref="K3532"/>
    <hyperlink r:id="rId3506" ref="K3533"/>
    <hyperlink r:id="rId3507" ref="K3534"/>
    <hyperlink r:id="rId3508" ref="K3535"/>
    <hyperlink r:id="rId3509" ref="K3536"/>
    <hyperlink r:id="rId3510" ref="K3537"/>
    <hyperlink r:id="rId3511" ref="K3538"/>
    <hyperlink r:id="rId3512" ref="K3539"/>
    <hyperlink r:id="rId3513" ref="K3540"/>
    <hyperlink r:id="rId3514" ref="K3541"/>
    <hyperlink r:id="rId3515" ref="K3542"/>
    <hyperlink r:id="rId3516" ref="K3543"/>
    <hyperlink r:id="rId3517" ref="K3544"/>
    <hyperlink r:id="rId3518" ref="K3545"/>
    <hyperlink r:id="rId3519" ref="K3546"/>
    <hyperlink r:id="rId3520" ref="K3547"/>
    <hyperlink r:id="rId3521" ref="K3548"/>
    <hyperlink r:id="rId3522" ref="K3549"/>
    <hyperlink r:id="rId3523" ref="K3550"/>
    <hyperlink r:id="rId3524" ref="K3551"/>
    <hyperlink r:id="rId3525" ref="K3552"/>
    <hyperlink r:id="rId3526" ref="K3553"/>
    <hyperlink r:id="rId3527" ref="K3554"/>
    <hyperlink r:id="rId3528" ref="K3555"/>
    <hyperlink r:id="rId3529" ref="K3556"/>
    <hyperlink r:id="rId3530" ref="K3557"/>
    <hyperlink r:id="rId3531" ref="K3558"/>
    <hyperlink r:id="rId3532" ref="K3559"/>
    <hyperlink r:id="rId3533" ref="K3560"/>
    <hyperlink r:id="rId3534" ref="K3561"/>
    <hyperlink r:id="rId3535" ref="K3562"/>
    <hyperlink r:id="rId3536" ref="K3563"/>
    <hyperlink r:id="rId3537" ref="K3564"/>
    <hyperlink r:id="rId3538" ref="K3565"/>
    <hyperlink r:id="rId3539" ref="K3566"/>
    <hyperlink r:id="rId3540" ref="K3567"/>
    <hyperlink r:id="rId3541" ref="K3568"/>
    <hyperlink r:id="rId3542" ref="K3569"/>
    <hyperlink r:id="rId3543" ref="K3570"/>
    <hyperlink r:id="rId3544" ref="K3571"/>
    <hyperlink r:id="rId3545" ref="K3572"/>
    <hyperlink r:id="rId3546" ref="K3573"/>
    <hyperlink r:id="rId3547" ref="K3574"/>
    <hyperlink r:id="rId3548" ref="K3575"/>
    <hyperlink r:id="rId3549" ref="K3576"/>
    <hyperlink r:id="rId3550" ref="K3577"/>
    <hyperlink r:id="rId3551" ref="K3578"/>
    <hyperlink r:id="rId3552" ref="K3579"/>
    <hyperlink r:id="rId3553" ref="K3580"/>
    <hyperlink r:id="rId3554" ref="K3581"/>
    <hyperlink r:id="rId3555" ref="K3582"/>
    <hyperlink r:id="rId3556" ref="K3583"/>
    <hyperlink r:id="rId3557" ref="K3584"/>
    <hyperlink r:id="rId3558" ref="K3585"/>
    <hyperlink r:id="rId3559" ref="K3586"/>
    <hyperlink r:id="rId3560" ref="K3587"/>
    <hyperlink r:id="rId3561" ref="K3588"/>
    <hyperlink r:id="rId3562" ref="K3589"/>
    <hyperlink r:id="rId3563" ref="K3590"/>
    <hyperlink r:id="rId3564" ref="K3591"/>
    <hyperlink r:id="rId3565" ref="K3592"/>
    <hyperlink r:id="rId3566" ref="K3593"/>
    <hyperlink r:id="rId3567" ref="K3594"/>
    <hyperlink r:id="rId3568" ref="K3595"/>
    <hyperlink r:id="rId3569" ref="K3596"/>
    <hyperlink r:id="rId3570" ref="K3597"/>
    <hyperlink r:id="rId3571" ref="K3598"/>
    <hyperlink r:id="rId3572" ref="K3599"/>
    <hyperlink r:id="rId3573" ref="K3600"/>
    <hyperlink r:id="rId3574" ref="K3601"/>
    <hyperlink r:id="rId3575" ref="K3602"/>
    <hyperlink r:id="rId3576" ref="K3603"/>
    <hyperlink r:id="rId3577" ref="K3604"/>
    <hyperlink r:id="rId3578" ref="K3605"/>
    <hyperlink r:id="rId3579" ref="K3606"/>
    <hyperlink r:id="rId3580" ref="K3607"/>
    <hyperlink r:id="rId3581" ref="K3608"/>
    <hyperlink r:id="rId3582" ref="K3609"/>
    <hyperlink r:id="rId3583" ref="K3610"/>
    <hyperlink r:id="rId3584" ref="K3611"/>
    <hyperlink r:id="rId3585" ref="K3612"/>
    <hyperlink r:id="rId3586" ref="K3613"/>
    <hyperlink r:id="rId3587" ref="K3614"/>
    <hyperlink r:id="rId3588" ref="K3615"/>
    <hyperlink r:id="rId3589" ref="K3616"/>
    <hyperlink r:id="rId3590" ref="K3617"/>
    <hyperlink r:id="rId3591" ref="K3618"/>
    <hyperlink r:id="rId3592" ref="K3619"/>
    <hyperlink r:id="rId3593" ref="K3620"/>
    <hyperlink r:id="rId3594" ref="K3621"/>
    <hyperlink r:id="rId3595" ref="K3622"/>
    <hyperlink r:id="rId3596" ref="K3623"/>
    <hyperlink r:id="rId3597" ref="K3624"/>
    <hyperlink r:id="rId3598" ref="K3625"/>
    <hyperlink r:id="rId3599" ref="K3626"/>
    <hyperlink r:id="rId3600" ref="K3627"/>
    <hyperlink r:id="rId3601" ref="K3628"/>
    <hyperlink r:id="rId3602" ref="K3629"/>
    <hyperlink r:id="rId3603" ref="K3630"/>
    <hyperlink r:id="rId3604" ref="K3631"/>
    <hyperlink r:id="rId3605" ref="K3632"/>
    <hyperlink r:id="rId3606" ref="K3633"/>
    <hyperlink r:id="rId3607" ref="K3634"/>
    <hyperlink r:id="rId3608" ref="K3635"/>
    <hyperlink r:id="rId3609" ref="K3636"/>
    <hyperlink r:id="rId3610" ref="K3637"/>
    <hyperlink r:id="rId3611" ref="K3638"/>
    <hyperlink r:id="rId3612" ref="K3639"/>
    <hyperlink r:id="rId3613" ref="K3640"/>
    <hyperlink r:id="rId3614" ref="K3641"/>
    <hyperlink r:id="rId3615" ref="K3642"/>
    <hyperlink r:id="rId3616" ref="K3643"/>
    <hyperlink r:id="rId3617" ref="K3644"/>
    <hyperlink r:id="rId3618" ref="K3645"/>
    <hyperlink r:id="rId3619" ref="K3646"/>
    <hyperlink r:id="rId3620" ref="K3647"/>
    <hyperlink r:id="rId3621" ref="K3648"/>
    <hyperlink r:id="rId3622" ref="K3649"/>
    <hyperlink r:id="rId3623" ref="K3650"/>
    <hyperlink r:id="rId3624" ref="K3651"/>
    <hyperlink r:id="rId3625" ref="K3652"/>
    <hyperlink r:id="rId3626" ref="K3653"/>
    <hyperlink r:id="rId3627" ref="K3654"/>
    <hyperlink r:id="rId3628" ref="K3655"/>
    <hyperlink r:id="rId3629" ref="K3656"/>
    <hyperlink r:id="rId3630" ref="K3657"/>
    <hyperlink r:id="rId3631" ref="K3658"/>
    <hyperlink r:id="rId3632" ref="K3659"/>
    <hyperlink r:id="rId3633" ref="K3660"/>
    <hyperlink r:id="rId3634" ref="K3661"/>
    <hyperlink r:id="rId3635" ref="K3662"/>
    <hyperlink r:id="rId3636" ref="K3663"/>
    <hyperlink r:id="rId3637" ref="K3664"/>
    <hyperlink r:id="rId3638" ref="K3665"/>
    <hyperlink r:id="rId3639" ref="K3666"/>
    <hyperlink r:id="rId3640" ref="K3667"/>
    <hyperlink r:id="rId3641" ref="K3668"/>
    <hyperlink r:id="rId3642" ref="K3669"/>
    <hyperlink r:id="rId3643" ref="K3670"/>
    <hyperlink r:id="rId3644" ref="K3671"/>
    <hyperlink r:id="rId3645" ref="K3672"/>
    <hyperlink r:id="rId3646" ref="K3673"/>
    <hyperlink r:id="rId3647" ref="K3674"/>
    <hyperlink r:id="rId3648" ref="K3675"/>
    <hyperlink r:id="rId3649" ref="K3676"/>
    <hyperlink r:id="rId3650" ref="K3677"/>
    <hyperlink r:id="rId3651" ref="K3678"/>
    <hyperlink r:id="rId3652" ref="K3679"/>
    <hyperlink r:id="rId3653" ref="K3680"/>
    <hyperlink r:id="rId3654" ref="K3681"/>
    <hyperlink r:id="rId3655" ref="K3682"/>
    <hyperlink r:id="rId3656" ref="K3683"/>
    <hyperlink r:id="rId3657" ref="K3684"/>
    <hyperlink r:id="rId3658" ref="K3685"/>
    <hyperlink r:id="rId3659" ref="K3686"/>
    <hyperlink r:id="rId3660" ref="K3687"/>
    <hyperlink r:id="rId3661" ref="K3688"/>
    <hyperlink r:id="rId3662" ref="K3689"/>
    <hyperlink r:id="rId3663" ref="K3690"/>
    <hyperlink r:id="rId3664" ref="K3691"/>
    <hyperlink r:id="rId3665" ref="K3692"/>
    <hyperlink r:id="rId3666" ref="K3693"/>
    <hyperlink r:id="rId3667" ref="K3694"/>
    <hyperlink r:id="rId3668" ref="K3695"/>
    <hyperlink r:id="rId3669" ref="K3696"/>
    <hyperlink r:id="rId3670" ref="K3697"/>
    <hyperlink r:id="rId3671" ref="K3698"/>
    <hyperlink r:id="rId3672" ref="K3699"/>
    <hyperlink r:id="rId3673" ref="K3700"/>
    <hyperlink r:id="rId3674" ref="K3701"/>
    <hyperlink r:id="rId3675" ref="K3702"/>
    <hyperlink r:id="rId3676" ref="K3703"/>
    <hyperlink r:id="rId3677" ref="K3704"/>
    <hyperlink r:id="rId3678" ref="K3705"/>
    <hyperlink r:id="rId3679" ref="K3707"/>
    <hyperlink r:id="rId3680" ref="K3708"/>
    <hyperlink r:id="rId3681" ref="K3709"/>
    <hyperlink r:id="rId3682" ref="K3710"/>
    <hyperlink r:id="rId3683" ref="K3711"/>
    <hyperlink r:id="rId3684" ref="K3712"/>
    <hyperlink r:id="rId3685" ref="K3713"/>
    <hyperlink r:id="rId3686" ref="K3714"/>
    <hyperlink r:id="rId3687" ref="K3715"/>
    <hyperlink r:id="rId3688" ref="K3716"/>
    <hyperlink r:id="rId3689" ref="K3717"/>
    <hyperlink r:id="rId3690" ref="K3718"/>
    <hyperlink r:id="rId3691" ref="K3719"/>
    <hyperlink r:id="rId3692" ref="K3720"/>
    <hyperlink r:id="rId3693" ref="K3721"/>
    <hyperlink r:id="rId3694" ref="K3722"/>
    <hyperlink r:id="rId3695" ref="K3723"/>
    <hyperlink r:id="rId3696" ref="K3724"/>
    <hyperlink r:id="rId3697" ref="K3725"/>
    <hyperlink r:id="rId3698" ref="K3726"/>
    <hyperlink r:id="rId3699" ref="K3727"/>
    <hyperlink r:id="rId3700" ref="K3728"/>
    <hyperlink r:id="rId3701" ref="K3729"/>
    <hyperlink r:id="rId3702" ref="K3730"/>
    <hyperlink r:id="rId3703" ref="K3731"/>
    <hyperlink r:id="rId3704" ref="K3732"/>
    <hyperlink r:id="rId3705" ref="K3733"/>
    <hyperlink r:id="rId3706" ref="K3734"/>
    <hyperlink r:id="rId3707" ref="K3735"/>
    <hyperlink r:id="rId3708" ref="K3736"/>
    <hyperlink r:id="rId3709" ref="K3737"/>
    <hyperlink r:id="rId3710" ref="K3738"/>
    <hyperlink r:id="rId3711" ref="K3739"/>
    <hyperlink r:id="rId3712" ref="K3740"/>
    <hyperlink r:id="rId3713" ref="K3741"/>
    <hyperlink r:id="rId3714" ref="K3742"/>
    <hyperlink r:id="rId3715" ref="K3743"/>
    <hyperlink r:id="rId3716" ref="K3744"/>
    <hyperlink r:id="rId3717" ref="K3745"/>
    <hyperlink r:id="rId3718" ref="K3746"/>
    <hyperlink r:id="rId3719" ref="K3747"/>
    <hyperlink r:id="rId3720" ref="K3748"/>
    <hyperlink r:id="rId3721" ref="K3749"/>
    <hyperlink r:id="rId3722" ref="K3750"/>
    <hyperlink r:id="rId3723" ref="K3751"/>
    <hyperlink r:id="rId3724" ref="K3752"/>
    <hyperlink r:id="rId3725" ref="K3753"/>
    <hyperlink r:id="rId3726" ref="K3754"/>
    <hyperlink r:id="rId3727" ref="K3755"/>
    <hyperlink r:id="rId3728" ref="K3756"/>
    <hyperlink r:id="rId3729" ref="K3757"/>
    <hyperlink r:id="rId3730" ref="K3759"/>
    <hyperlink r:id="rId3731" ref="K3760"/>
    <hyperlink r:id="rId3732" ref="K3761"/>
    <hyperlink r:id="rId3733" ref="K3762"/>
    <hyperlink r:id="rId3734" ref="K3764"/>
    <hyperlink r:id="rId3735" ref="K3765"/>
    <hyperlink r:id="rId3736" ref="K3766"/>
    <hyperlink r:id="rId3737" ref="K3767"/>
    <hyperlink r:id="rId3738" ref="K3768"/>
    <hyperlink r:id="rId3739" ref="K3769"/>
    <hyperlink r:id="rId3740" ref="K3770"/>
    <hyperlink r:id="rId3741" ref="K3771"/>
    <hyperlink r:id="rId3742" ref="K3772"/>
    <hyperlink r:id="rId3743" ref="K3773"/>
    <hyperlink r:id="rId3744" ref="K3774"/>
    <hyperlink r:id="rId3745" ref="K3775"/>
    <hyperlink r:id="rId3746" ref="K3776"/>
    <hyperlink r:id="rId3747" ref="K3777"/>
    <hyperlink r:id="rId3748" ref="K3778"/>
    <hyperlink r:id="rId3749" ref="K3779"/>
    <hyperlink r:id="rId3750" ref="K3781"/>
    <hyperlink r:id="rId3751" ref="K3782"/>
    <hyperlink r:id="rId3752" ref="K3783"/>
    <hyperlink r:id="rId3753" ref="K3784"/>
    <hyperlink r:id="rId3754" ref="K3785"/>
    <hyperlink r:id="rId3755" ref="K3786"/>
    <hyperlink r:id="rId3756" ref="K3788"/>
    <hyperlink r:id="rId3757" ref="K3789"/>
    <hyperlink r:id="rId3758" ref="K3790"/>
    <hyperlink r:id="rId3759" ref="K3791"/>
    <hyperlink r:id="rId3760" ref="K3792"/>
    <hyperlink r:id="rId3761" ref="K3793"/>
    <hyperlink r:id="rId3762" ref="K3794"/>
    <hyperlink r:id="rId3763" ref="K3795"/>
    <hyperlink r:id="rId3764" ref="K3796"/>
    <hyperlink r:id="rId3765" ref="K3797"/>
    <hyperlink r:id="rId3766" ref="K3798"/>
    <hyperlink r:id="rId3767" ref="K3799"/>
    <hyperlink r:id="rId3768" ref="K3800"/>
    <hyperlink r:id="rId3769" ref="K3801"/>
    <hyperlink r:id="rId3770" ref="K3802"/>
    <hyperlink r:id="rId3771" ref="K3803"/>
    <hyperlink r:id="rId3772" ref="K3804"/>
    <hyperlink r:id="rId3773" ref="K3805"/>
    <hyperlink r:id="rId3774" ref="K3806"/>
    <hyperlink r:id="rId3775" ref="K3807"/>
    <hyperlink r:id="rId3776" ref="K3808"/>
    <hyperlink r:id="rId3777" ref="K3809"/>
    <hyperlink r:id="rId3778" ref="K3810"/>
    <hyperlink r:id="rId3779" ref="K3811"/>
    <hyperlink r:id="rId3780" ref="K3812"/>
    <hyperlink r:id="rId3781" ref="K3813"/>
    <hyperlink r:id="rId3782" ref="K3814"/>
    <hyperlink r:id="rId3783" ref="K3815"/>
    <hyperlink r:id="rId3784" ref="K3816"/>
    <hyperlink r:id="rId3785" ref="K3817"/>
    <hyperlink r:id="rId3786" ref="K3818"/>
    <hyperlink r:id="rId3787" ref="K3819"/>
  </hyperlinks>
  <drawing r:id="rId3788"/>
  <tableParts count="1">
    <tablePart r:id="rId379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31.5"/>
    <col customWidth="1" min="3" max="3" width="28.13"/>
    <col customWidth="1" min="4" max="4" width="23.38"/>
    <col customWidth="1" min="5" max="5" width="9.38"/>
    <col customWidth="1" min="6" max="6" width="36.88"/>
    <col customWidth="1" min="7" max="7" width="17.13"/>
  </cols>
  <sheetData>
    <row r="1">
      <c r="A1" s="36" t="s">
        <v>11389</v>
      </c>
      <c r="B1" s="36" t="s">
        <v>11390</v>
      </c>
      <c r="C1" s="36" t="s">
        <v>11391</v>
      </c>
      <c r="D1" s="36" t="s">
        <v>11392</v>
      </c>
      <c r="E1" s="36" t="s">
        <v>11393</v>
      </c>
      <c r="F1" s="36" t="s">
        <v>11394</v>
      </c>
      <c r="G1" s="36" t="s">
        <v>11395</v>
      </c>
      <c r="H1" s="36" t="s">
        <v>11396</v>
      </c>
    </row>
    <row r="2">
      <c r="A2" s="37">
        <f>IFERROR(__xludf.DUMMYFUNCTION("SORT({
 QUERY('Master Data All'!A2:X37256, ""select A, P, I, M where P is not null"", 0);
 QUERY('Master Data All'!A2:X37256, ""select A, Q, I, M where Q is not null"", 0);
 QUERY('Master Data All'!A2:X37256, ""select A, R, I, M where R is not null"", 0);"&amp;"
 QUERY('Master Data All'!A2:X37256, ""select A, S, I, M where S is not null"", 0);
 QUERY('Master Data All'!A2:X37256, ""select A, T, I, M where T is not null"", 0);
 QUERY('Master Data All'!A2:X37256, ""select A, U, I, M where U is not null"", 0);
 QUER"&amp;"Y('Master Data All'!A2:X37256, ""select A, V, I, M where V is not null"", 0);
 QUERY('Master Data All'!A2:X37256, ""select A, W, I, M where W is not null"", 0);
 QUERY('Master Data All'!A2:X37256, ""select A, X, I, M where X is not null"", 0)
}, 1, TRUE)
"),45897.58597868056)</f>
        <v>45897.58598</v>
      </c>
      <c r="B2" s="38" t="str">
        <f>IFERROR(__xludf.DUMMYFUNCTION("""COMPUTED_VALUE"""),"DEMARISTI S H FENI")</f>
        <v>DEMARISTI S H FENI</v>
      </c>
      <c r="C2" s="38" t="str">
        <f>IFERROR(__xludf.DUMMYFUNCTION("""COMPUTED_VALUE"""),"Reject")</f>
        <v>Reject</v>
      </c>
      <c r="D2" s="38"/>
      <c r="E2" s="38" t="str">
        <f t="array" ref="E2:E37256">IF(B2:B37256="", "", IFERROR(VLOOKUP(TRIM(B2:B37256), 'Database Promotor'!B:E, 4, FALSE), ""))
</f>
        <v/>
      </c>
      <c r="F2" s="38" t="str">
        <f t="array" ref="F2:F37256">IF(B2:B37256="", "", IFERROR(VLOOKUP(TRIM(B2:B37256), 'Database Promotor'!B:E, 2, FALSE), ""))
</f>
        <v/>
      </c>
      <c r="G2" s="38" t="str">
        <f t="array" ref="G2:G37256">IF(E2:E37256="", "", IFERROR(VLOOKUP(E2:E37256, 'Database Toko'!A:D, 2, FALSE), ""))
</f>
        <v/>
      </c>
      <c r="H2" s="38" t="str">
        <f t="array" ref="H2:H37256">IF(E2:E37256="", "", IFERROR(VLOOKUP(E2:E37256, 'Database Toko'!A:D, 4, FALSE), ""))</f>
        <v/>
      </c>
    </row>
    <row r="3">
      <c r="A3" s="37">
        <f>IFERROR(__xludf.DUMMYFUNCTION("""COMPUTED_VALUE"""),45897.59262289351)</f>
        <v>45897.59262</v>
      </c>
      <c r="B3" s="38" t="str">
        <f>IFERROR(__xludf.DUMMYFUNCTION("""COMPUTED_VALUE"""),"EMPI FRANGKI LIEM")</f>
        <v>EMPI FRANGKI LIEM</v>
      </c>
      <c r="C3" s="38" t="str">
        <f>IFERROR(__xludf.DUMMYFUNCTION("""COMPUTED_VALUE"""),"Acc")</f>
        <v>Acc</v>
      </c>
      <c r="D3" s="38" t="str">
        <f>IFERROR(__xludf.DUMMYFUNCTION("""COMPUTED_VALUE"""),"Y400")</f>
        <v>Y400</v>
      </c>
      <c r="E3" s="38" t="s">
        <v>11397</v>
      </c>
      <c r="F3" s="38" t="s">
        <v>220</v>
      </c>
      <c r="G3" s="38" t="s">
        <v>11398</v>
      </c>
      <c r="H3" s="38" t="s">
        <v>11399</v>
      </c>
    </row>
    <row r="4">
      <c r="A4" s="37">
        <f>IFERROR(__xludf.DUMMYFUNCTION("""COMPUTED_VALUE"""),45897.59448921296)</f>
        <v>45897.59449</v>
      </c>
      <c r="B4" s="38" t="str">
        <f>IFERROR(__xludf.DUMMYFUNCTION("""COMPUTED_VALUE"""),"EMPI FRANGKI LIEM")</f>
        <v>EMPI FRANGKI LIEM</v>
      </c>
      <c r="C4" s="38" t="str">
        <f>IFERROR(__xludf.DUMMYFUNCTION("""COMPUTED_VALUE"""),"Reject")</f>
        <v>Reject</v>
      </c>
      <c r="D4" s="38"/>
      <c r="E4" s="38" t="s">
        <v>11397</v>
      </c>
      <c r="F4" s="38" t="s">
        <v>220</v>
      </c>
      <c r="G4" s="38" t="s">
        <v>11398</v>
      </c>
      <c r="H4" s="38" t="s">
        <v>11399</v>
      </c>
    </row>
    <row r="5">
      <c r="A5" s="37">
        <f>IFERROR(__xludf.DUMMYFUNCTION("""COMPUTED_VALUE"""),45897.60611929398)</f>
        <v>45897.60612</v>
      </c>
      <c r="B5" s="38" t="str">
        <f>IFERROR(__xludf.DUMMYFUNCTION("""COMPUTED_VALUE"""),"YOHANA NOVIANA MARIANA GAA")</f>
        <v>YOHANA NOVIANA MARIANA GAA</v>
      </c>
      <c r="C5" s="38" t="str">
        <f>IFERROR(__xludf.DUMMYFUNCTION("""COMPUTED_VALUE"""),"Reject")</f>
        <v>Reject</v>
      </c>
      <c r="D5" s="38"/>
      <c r="E5" s="38" t="s">
        <v>11400</v>
      </c>
      <c r="F5" s="38" t="s">
        <v>204</v>
      </c>
      <c r="G5" s="38" t="s">
        <v>11401</v>
      </c>
      <c r="H5" s="38" t="s">
        <v>11399</v>
      </c>
    </row>
    <row r="6">
      <c r="A6" s="37">
        <f>IFERROR(__xludf.DUMMYFUNCTION("""COMPUTED_VALUE"""),45897.639471574075)</f>
        <v>45897.63947</v>
      </c>
      <c r="B6" s="38" t="str">
        <f>IFERROR(__xludf.DUMMYFUNCTION("""COMPUTED_VALUE"""),"PATRIANI MENGI ULY")</f>
        <v>PATRIANI MENGI ULY</v>
      </c>
      <c r="C6" s="38" t="str">
        <f>IFERROR(__xludf.DUMMYFUNCTION("""COMPUTED_VALUE"""),"Reject")</f>
        <v>Reject</v>
      </c>
      <c r="D6" s="38"/>
      <c r="E6" s="38" t="s">
        <v>11402</v>
      </c>
      <c r="F6" s="38" t="s">
        <v>204</v>
      </c>
      <c r="G6" s="38" t="s">
        <v>11403</v>
      </c>
      <c r="H6" s="38" t="s">
        <v>11399</v>
      </c>
    </row>
    <row r="7">
      <c r="A7" s="37">
        <f>IFERROR(__xludf.DUMMYFUNCTION("""COMPUTED_VALUE"""),45897.64885048611)</f>
        <v>45897.64885</v>
      </c>
      <c r="B7" s="38" t="str">
        <f>IFERROR(__xludf.DUMMYFUNCTION("""COMPUTED_VALUE"""),"NOVANTRY RUTHANIA NAFFIE")</f>
        <v>NOVANTRY RUTHANIA NAFFIE</v>
      </c>
      <c r="C7" s="38" t="str">
        <f>IFERROR(__xludf.DUMMYFUNCTION("""COMPUTED_VALUE"""),"Reject")</f>
        <v>Reject</v>
      </c>
      <c r="D7" s="38"/>
      <c r="E7" s="38" t="s">
        <v>11397</v>
      </c>
      <c r="F7" s="38" t="s">
        <v>220</v>
      </c>
      <c r="G7" s="38" t="s">
        <v>11398</v>
      </c>
      <c r="H7" s="38" t="s">
        <v>11399</v>
      </c>
    </row>
    <row r="8">
      <c r="A8" s="37">
        <f>IFERROR(__xludf.DUMMYFUNCTION("""COMPUTED_VALUE"""),45897.65071901621)</f>
        <v>45897.65072</v>
      </c>
      <c r="B8" s="38" t="str">
        <f>IFERROR(__xludf.DUMMYFUNCTION("""COMPUTED_VALUE"""),"NOVANTRY RUTHANIA NAFFIE")</f>
        <v>NOVANTRY RUTHANIA NAFFIE</v>
      </c>
      <c r="C8" s="38" t="str">
        <f>IFERROR(__xludf.DUMMYFUNCTION("""COMPUTED_VALUE"""),"Reject")</f>
        <v>Reject</v>
      </c>
      <c r="D8" s="38"/>
      <c r="E8" s="38" t="s">
        <v>11397</v>
      </c>
      <c r="F8" s="38" t="s">
        <v>220</v>
      </c>
      <c r="G8" s="38" t="s">
        <v>11398</v>
      </c>
      <c r="H8" s="38" t="s">
        <v>11399</v>
      </c>
    </row>
    <row r="9">
      <c r="A9" s="37">
        <f>IFERROR(__xludf.DUMMYFUNCTION("""COMPUTED_VALUE"""),45897.65229791666)</f>
        <v>45897.6523</v>
      </c>
      <c r="B9" s="38" t="str">
        <f>IFERROR(__xludf.DUMMYFUNCTION("""COMPUTED_VALUE"""),"YOHANA NOVIANA MARIANA GAA")</f>
        <v>YOHANA NOVIANA MARIANA GAA</v>
      </c>
      <c r="C9" s="38" t="str">
        <f>IFERROR(__xludf.DUMMYFUNCTION("""COMPUTED_VALUE"""),"Reject")</f>
        <v>Reject</v>
      </c>
      <c r="D9" s="38"/>
      <c r="E9" s="38" t="s">
        <v>11400</v>
      </c>
      <c r="F9" s="38" t="s">
        <v>204</v>
      </c>
      <c r="G9" s="38" t="s">
        <v>11401</v>
      </c>
      <c r="H9" s="38" t="s">
        <v>11399</v>
      </c>
    </row>
    <row r="10">
      <c r="A10" s="37">
        <f>IFERROR(__xludf.DUMMYFUNCTION("""COMPUTED_VALUE"""),45897.69177612269)</f>
        <v>45897.69178</v>
      </c>
      <c r="B10" s="38" t="str">
        <f>IFERROR(__xludf.DUMMYFUNCTION("""COMPUTED_VALUE"""),"DEMARISTI S H FENI")</f>
        <v>DEMARISTI S H FENI</v>
      </c>
      <c r="C10" s="38" t="str">
        <f>IFERROR(__xludf.DUMMYFUNCTION("""COMPUTED_VALUE"""),"Acc")</f>
        <v>Acc</v>
      </c>
      <c r="D10" s="38" t="str">
        <f>IFERROR(__xludf.DUMMYFUNCTION("""COMPUTED_VALUE"""),"Y400")</f>
        <v>Y400</v>
      </c>
      <c r="E10" s="38" t="s">
        <v>11404</v>
      </c>
      <c r="F10" s="38" t="s">
        <v>11404</v>
      </c>
      <c r="G10" s="38" t="s">
        <v>11404</v>
      </c>
      <c r="H10" s="38" t="s">
        <v>11404</v>
      </c>
    </row>
    <row r="11">
      <c r="A11" s="37">
        <f>IFERROR(__xludf.DUMMYFUNCTION("""COMPUTED_VALUE"""),45897.75415983797)</f>
        <v>45897.75416</v>
      </c>
      <c r="B11" s="38" t="str">
        <f>IFERROR(__xludf.DUMMYFUNCTION("""COMPUTED_VALUE"""),"YOHANIS TIPNONI")</f>
        <v>YOHANIS TIPNONI</v>
      </c>
      <c r="C11" s="38" t="str">
        <f>IFERROR(__xludf.DUMMYFUNCTION("""COMPUTED_VALUE"""),"Dapat Limit Cuma Dp kurang, masih pulang Bicara Sama Suami Soal Dp")</f>
        <v>Dapat Limit Cuma Dp kurang, masih pulang Bicara Sama Suami Soal Dp</v>
      </c>
      <c r="D11" s="38"/>
      <c r="E11" s="38" t="s">
        <v>11405</v>
      </c>
      <c r="F11" s="38" t="s">
        <v>220</v>
      </c>
      <c r="G11" s="38" t="s">
        <v>11406</v>
      </c>
      <c r="H11" s="38" t="s">
        <v>11399</v>
      </c>
    </row>
    <row r="12">
      <c r="A12" s="37">
        <f>IFERROR(__xludf.DUMMYFUNCTION("""COMPUTED_VALUE"""),45897.77933287037)</f>
        <v>45897.77933</v>
      </c>
      <c r="B12" s="38" t="str">
        <f>IFERROR(__xludf.DUMMYFUNCTION("""COMPUTED_VALUE"""),"YASINTHA MBU")</f>
        <v>YASINTHA MBU</v>
      </c>
      <c r="C12" s="38" t="str">
        <f>IFERROR(__xludf.DUMMYFUNCTION("""COMPUTED_VALUE"""),"Reject")</f>
        <v>Reject</v>
      </c>
      <c r="D12" s="38"/>
      <c r="E12" s="38" t="s">
        <v>11407</v>
      </c>
      <c r="F12" s="38" t="s">
        <v>220</v>
      </c>
      <c r="G12" s="38" t="s">
        <v>11408</v>
      </c>
      <c r="H12" s="38" t="s">
        <v>11399</v>
      </c>
    </row>
    <row r="13">
      <c r="A13" s="37">
        <f>IFERROR(__xludf.DUMMYFUNCTION("""COMPUTED_VALUE"""),45897.77954232639)</f>
        <v>45897.77954</v>
      </c>
      <c r="B13" s="38" t="str">
        <f>IFERROR(__xludf.DUMMYFUNCTION("""COMPUTED_VALUE"""),"AINI RAHMATINI NATALIA MOESTAKIM")</f>
        <v>AINI RAHMATINI NATALIA MOESTAKIM</v>
      </c>
      <c r="C13" s="38" t="str">
        <f>IFERROR(__xludf.DUMMYFUNCTION("""COMPUTED_VALUE"""),"Sistem masih bermasalah")</f>
        <v>Sistem masih bermasalah</v>
      </c>
      <c r="D13" s="38"/>
      <c r="E13" s="38" t="s">
        <v>11409</v>
      </c>
      <c r="F13" s="38" t="s">
        <v>204</v>
      </c>
      <c r="G13" s="38" t="s">
        <v>11410</v>
      </c>
      <c r="H13" s="38" t="s">
        <v>11399</v>
      </c>
    </row>
    <row r="14">
      <c r="A14" s="37">
        <f>IFERROR(__xludf.DUMMYFUNCTION("""COMPUTED_VALUE"""),45897.78107916666)</f>
        <v>45897.78108</v>
      </c>
      <c r="B14" s="38" t="str">
        <f>IFERROR(__xludf.DUMMYFUNCTION("""COMPUTED_VALUE"""),"AINI RAHMATINI NATALIA MOESTAKIM")</f>
        <v>AINI RAHMATINI NATALIA MOESTAKIM</v>
      </c>
      <c r="C14" s="38" t="str">
        <f>IFERROR(__xludf.DUMMYFUNCTION("""COMPUTED_VALUE"""),"Sistem  bermasalah")</f>
        <v>Sistem  bermasalah</v>
      </c>
      <c r="D14" s="38"/>
      <c r="E14" s="38" t="s">
        <v>11409</v>
      </c>
      <c r="F14" s="38" t="s">
        <v>204</v>
      </c>
      <c r="G14" s="38" t="s">
        <v>11410</v>
      </c>
      <c r="H14" s="38" t="s">
        <v>11399</v>
      </c>
    </row>
    <row r="15">
      <c r="A15" s="37">
        <f>IFERROR(__xludf.DUMMYFUNCTION("""COMPUTED_VALUE"""),45897.80027759259)</f>
        <v>45897.80028</v>
      </c>
      <c r="B15" s="38" t="str">
        <f>IFERROR(__xludf.DUMMYFUNCTION("""COMPUTED_VALUE"""),"Tes")</f>
        <v>Tes</v>
      </c>
      <c r="C15" s="38" t="str">
        <f>IFERROR(__xludf.DUMMYFUNCTION("""COMPUTED_VALUE"""),"Reject")</f>
        <v>Reject</v>
      </c>
      <c r="D15" s="38"/>
      <c r="E15" s="38" t="s">
        <v>11404</v>
      </c>
      <c r="F15" s="38" t="s">
        <v>11404</v>
      </c>
      <c r="G15" s="38" t="s">
        <v>11404</v>
      </c>
      <c r="H15" s="38" t="s">
        <v>11404</v>
      </c>
    </row>
    <row r="16">
      <c r="A16" s="37">
        <f>IFERROR(__xludf.DUMMYFUNCTION("""COMPUTED_VALUE"""),45897.80897542824)</f>
        <v>45897.80898</v>
      </c>
      <c r="B16" s="38" t="str">
        <f>IFERROR(__xludf.DUMMYFUNCTION("""COMPUTED_VALUE"""),"Tes")</f>
        <v>Tes</v>
      </c>
      <c r="C16" s="38" t="str">
        <f>IFERROR(__xludf.DUMMYFUNCTION("""COMPUTED_VALUE"""),"Reject")</f>
        <v>Reject</v>
      </c>
      <c r="D16" s="38"/>
      <c r="E16" s="38" t="s">
        <v>11404</v>
      </c>
      <c r="F16" s="38" t="s">
        <v>11404</v>
      </c>
      <c r="G16" s="38" t="s">
        <v>11404</v>
      </c>
      <c r="H16" s="38" t="s">
        <v>11404</v>
      </c>
    </row>
    <row r="17">
      <c r="A17" s="37">
        <f>IFERROR(__xludf.DUMMYFUNCTION("""COMPUTED_VALUE"""),45897.835055891206)</f>
        <v>45897.83506</v>
      </c>
      <c r="B17" s="38" t="str">
        <f>IFERROR(__xludf.DUMMYFUNCTION("""COMPUTED_VALUE"""),"AINI RAHMATINI NATALIA MOESTAKIM")</f>
        <v>AINI RAHMATINI NATALIA MOESTAKIM</v>
      </c>
      <c r="C17" s="38" t="str">
        <f>IFERROR(__xludf.DUMMYFUNCTION("""COMPUTED_VALUE"""),"Sistem eror")</f>
        <v>Sistem eror</v>
      </c>
      <c r="D17" s="38"/>
      <c r="E17" s="38" t="s">
        <v>11409</v>
      </c>
      <c r="F17" s="38" t="s">
        <v>204</v>
      </c>
      <c r="G17" s="38" t="s">
        <v>11410</v>
      </c>
      <c r="H17" s="38" t="s">
        <v>11399</v>
      </c>
    </row>
    <row r="18">
      <c r="A18" s="37">
        <f>IFERROR(__xludf.DUMMYFUNCTION("""COMPUTED_VALUE"""),45897.83743508102)</f>
        <v>45897.83744</v>
      </c>
      <c r="B18" s="38" t="str">
        <f>IFERROR(__xludf.DUMMYFUNCTION("""COMPUTED_VALUE"""),"FERI ELI KURNIAWAN")</f>
        <v>FERI ELI KURNIAWAN</v>
      </c>
      <c r="C18" s="38" t="str">
        <f>IFERROR(__xludf.DUMMYFUNCTION("""COMPUTED_VALUE"""),"Reject")</f>
        <v>Reject</v>
      </c>
      <c r="D18" s="38"/>
      <c r="E18" s="38" t="s">
        <v>11411</v>
      </c>
      <c r="F18" s="38" t="s">
        <v>220</v>
      </c>
      <c r="G18" s="38" t="s">
        <v>11412</v>
      </c>
      <c r="H18" s="38" t="s">
        <v>11399</v>
      </c>
    </row>
    <row r="19">
      <c r="A19" s="37">
        <f>IFERROR(__xludf.DUMMYFUNCTION("""COMPUTED_VALUE"""),45898.3801822338)</f>
        <v>45898.38018</v>
      </c>
      <c r="B19" s="38" t="str">
        <f>IFERROR(__xludf.DUMMYFUNCTION("""COMPUTED_VALUE"""),"YASINTHA MBU")</f>
        <v>YASINTHA MBU</v>
      </c>
      <c r="C19" s="38" t="str">
        <f>IFERROR(__xludf.DUMMYFUNCTION("""COMPUTED_VALUE"""),"Reject")</f>
        <v>Reject</v>
      </c>
      <c r="D19" s="38"/>
      <c r="E19" s="38" t="s">
        <v>11407</v>
      </c>
      <c r="F19" s="38" t="s">
        <v>220</v>
      </c>
      <c r="G19" s="38" t="s">
        <v>11408</v>
      </c>
      <c r="H19" s="38" t="s">
        <v>11399</v>
      </c>
    </row>
    <row r="20">
      <c r="A20" s="37">
        <f>IFERROR(__xludf.DUMMYFUNCTION("""COMPUTED_VALUE"""),45898.499299629635)</f>
        <v>45898.4993</v>
      </c>
      <c r="B20" s="38" t="str">
        <f>IFERROR(__xludf.DUMMYFUNCTION("""COMPUTED_VALUE"""),"YASINTHA MBU")</f>
        <v>YASINTHA MBU</v>
      </c>
      <c r="C20" s="38" t="str">
        <f>IFERROR(__xludf.DUMMYFUNCTION("""COMPUTED_VALUE"""),"Acc")</f>
        <v>Acc</v>
      </c>
      <c r="D20" s="38" t="str">
        <f>IFERROR(__xludf.DUMMYFUNCTION("""COMPUTED_VALUE"""),"Y400")</f>
        <v>Y400</v>
      </c>
      <c r="E20" s="38" t="s">
        <v>11407</v>
      </c>
      <c r="F20" s="38" t="s">
        <v>220</v>
      </c>
      <c r="G20" s="38" t="s">
        <v>11408</v>
      </c>
      <c r="H20" s="38" t="s">
        <v>11399</v>
      </c>
    </row>
    <row r="21">
      <c r="A21" s="37">
        <f>IFERROR(__xludf.DUMMYFUNCTION("""COMPUTED_VALUE"""),45898.57057521991)</f>
        <v>45898.57058</v>
      </c>
      <c r="B21" s="38" t="str">
        <f>IFERROR(__xludf.DUMMYFUNCTION("""COMPUTED_VALUE"""),"YOHANIS TIPNONI")</f>
        <v>YOHANIS TIPNONI</v>
      </c>
      <c r="C21" s="38" t="str">
        <f>IFERROR(__xludf.DUMMYFUNCTION("""COMPUTED_VALUE"""),"Reject")</f>
        <v>Reject</v>
      </c>
      <c r="D21" s="38"/>
      <c r="E21" s="38" t="s">
        <v>11405</v>
      </c>
      <c r="F21" s="38" t="s">
        <v>220</v>
      </c>
      <c r="G21" s="38" t="s">
        <v>11406</v>
      </c>
      <c r="H21" s="38" t="s">
        <v>11399</v>
      </c>
    </row>
    <row r="22">
      <c r="A22" s="37">
        <f>IFERROR(__xludf.DUMMYFUNCTION("""COMPUTED_VALUE"""),45898.65866562499)</f>
        <v>45898.65867</v>
      </c>
      <c r="B22" s="38" t="str">
        <f>IFERROR(__xludf.DUMMYFUNCTION("""COMPUTED_VALUE"""),"WARDIA")</f>
        <v>WARDIA</v>
      </c>
      <c r="C22" s="38" t="str">
        <f>IFERROR(__xludf.DUMMYFUNCTION("""COMPUTED_VALUE"""),"Reject")</f>
        <v>Reject</v>
      </c>
      <c r="D22" s="38" t="str">
        <f>IFERROR(__xludf.DUMMYFUNCTION("""COMPUTED_VALUE"""),"Y400")</f>
        <v>Y400</v>
      </c>
      <c r="E22" s="38" t="s">
        <v>11409</v>
      </c>
      <c r="F22" s="38" t="s">
        <v>204</v>
      </c>
      <c r="G22" s="38" t="s">
        <v>11410</v>
      </c>
      <c r="H22" s="38" t="s">
        <v>11399</v>
      </c>
    </row>
    <row r="23">
      <c r="A23" s="37">
        <f>IFERROR(__xludf.DUMMYFUNCTION("""COMPUTED_VALUE"""),45898.6762975)</f>
        <v>45898.6763</v>
      </c>
      <c r="B23" s="38" t="str">
        <f>IFERROR(__xludf.DUMMYFUNCTION("""COMPUTED_VALUE"""),"YASINTHA MBU")</f>
        <v>YASINTHA MBU</v>
      </c>
      <c r="C23" s="38" t="str">
        <f>IFERROR(__xludf.DUMMYFUNCTION("""COMPUTED_VALUE"""),"belum dapat limit")</f>
        <v>belum dapat limit</v>
      </c>
      <c r="D23" s="38" t="str">
        <f>IFERROR(__xludf.DUMMYFUNCTION("""COMPUTED_VALUE"""),"Y400")</f>
        <v>Y400</v>
      </c>
      <c r="E23" s="38" t="s">
        <v>11407</v>
      </c>
      <c r="F23" s="38" t="s">
        <v>220</v>
      </c>
      <c r="G23" s="38" t="s">
        <v>11408</v>
      </c>
      <c r="H23" s="38" t="s">
        <v>11399</v>
      </c>
    </row>
    <row r="24">
      <c r="A24" s="37">
        <f>IFERROR(__xludf.DUMMYFUNCTION("""COMPUTED_VALUE"""),45898.79220520833)</f>
        <v>45898.79221</v>
      </c>
      <c r="B24" s="38" t="str">
        <f>IFERROR(__xludf.DUMMYFUNCTION("""COMPUTED_VALUE"""),"YASINTHA MBU")</f>
        <v>YASINTHA MBU</v>
      </c>
      <c r="C24" s="38" t="str">
        <f>IFERROR(__xludf.DUMMYFUNCTION("""COMPUTED_VALUE"""),"Acc")</f>
        <v>Acc</v>
      </c>
      <c r="D24" s="38" t="str">
        <f>IFERROR(__xludf.DUMMYFUNCTION("""COMPUTED_VALUE"""),"V50 LITE")</f>
        <v>V50 LITE</v>
      </c>
      <c r="E24" s="38" t="s">
        <v>11407</v>
      </c>
      <c r="F24" s="38" t="s">
        <v>220</v>
      </c>
      <c r="G24" s="38" t="s">
        <v>11408</v>
      </c>
      <c r="H24" s="38" t="s">
        <v>11399</v>
      </c>
    </row>
    <row r="25">
      <c r="A25" s="37">
        <f>IFERROR(__xludf.DUMMYFUNCTION("""COMPUTED_VALUE"""),45898.83603935185)</f>
        <v>45898.83604</v>
      </c>
      <c r="B25" s="38" t="str">
        <f>IFERROR(__xludf.DUMMYFUNCTION("""COMPUTED_VALUE"""),"SELVINCE BAKO")</f>
        <v>SELVINCE BAKO</v>
      </c>
      <c r="C25" s="38" t="str">
        <f>IFERROR(__xludf.DUMMYFUNCTION("""COMPUTED_VALUE"""),"Tidak dapat limit")</f>
        <v>Tidak dapat limit</v>
      </c>
      <c r="D25" s="38" t="str">
        <f>IFERROR(__xludf.DUMMYFUNCTION("""COMPUTED_VALUE"""),"Y400")</f>
        <v>Y400</v>
      </c>
      <c r="E25" s="38" t="s">
        <v>11413</v>
      </c>
      <c r="F25" s="38" t="s">
        <v>204</v>
      </c>
      <c r="G25" s="38" t="s">
        <v>11414</v>
      </c>
      <c r="H25" s="38" t="s">
        <v>11399</v>
      </c>
    </row>
    <row r="26">
      <c r="A26" s="37">
        <f>IFERROR(__xludf.DUMMYFUNCTION("""COMPUTED_VALUE"""),45898.86502353009)</f>
        <v>45898.86502</v>
      </c>
      <c r="B26" s="38" t="str">
        <f>IFERROR(__xludf.DUMMYFUNCTION("""COMPUTED_VALUE"""),"SKOLASTIKA B TAUNAES")</f>
        <v>SKOLASTIKA B TAUNAES</v>
      </c>
      <c r="C26" s="38" t="str">
        <f>IFERROR(__xludf.DUMMYFUNCTION("""COMPUTED_VALUE"""),"Reject")</f>
        <v>Reject</v>
      </c>
      <c r="D26" s="38" t="str">
        <f>IFERROR(__xludf.DUMMYFUNCTION("""COMPUTED_VALUE"""),"Y400")</f>
        <v>Y400</v>
      </c>
      <c r="E26" s="38" t="s">
        <v>11413</v>
      </c>
      <c r="F26" s="38" t="s">
        <v>204</v>
      </c>
      <c r="G26" s="38" t="s">
        <v>11414</v>
      </c>
      <c r="H26" s="38" t="s">
        <v>11399</v>
      </c>
    </row>
    <row r="27">
      <c r="A27" s="37">
        <f>IFERROR(__xludf.DUMMYFUNCTION("""COMPUTED_VALUE"""),45898.86524013889)</f>
        <v>45898.86524</v>
      </c>
      <c r="B27" s="38" t="str">
        <f>IFERROR(__xludf.DUMMYFUNCTION("""COMPUTED_VALUE"""),"SELVINCE BAKO")</f>
        <v>SELVINCE BAKO</v>
      </c>
      <c r="C27" s="38" t="str">
        <f>IFERROR(__xludf.DUMMYFUNCTION("""COMPUTED_VALUE"""),"Tidak dapt limit")</f>
        <v>Tidak dapt limit</v>
      </c>
      <c r="D27" s="38" t="str">
        <f>IFERROR(__xludf.DUMMYFUNCTION("""COMPUTED_VALUE"""),"Lain nya...")</f>
        <v>Lain nya...</v>
      </c>
      <c r="E27" s="38" t="s">
        <v>11413</v>
      </c>
      <c r="F27" s="38" t="s">
        <v>204</v>
      </c>
      <c r="G27" s="38" t="s">
        <v>11414</v>
      </c>
      <c r="H27" s="38" t="s">
        <v>11399</v>
      </c>
    </row>
    <row r="28">
      <c r="A28" s="37">
        <f>IFERROR(__xludf.DUMMYFUNCTION("""COMPUTED_VALUE"""),45898.866954363424)</f>
        <v>45898.86695</v>
      </c>
      <c r="B28" s="38" t="str">
        <f>IFERROR(__xludf.DUMMYFUNCTION("""COMPUTED_VALUE"""),"YOHANIS TIPNONI")</f>
        <v>YOHANIS TIPNONI</v>
      </c>
      <c r="C28" s="38" t="str">
        <f>IFERROR(__xludf.DUMMYFUNCTION("""COMPUTED_VALUE"""),"Tidak dapat limit")</f>
        <v>Tidak dapat limit</v>
      </c>
      <c r="D28" s="38" t="str">
        <f>IFERROR(__xludf.DUMMYFUNCTION("""COMPUTED_VALUE"""),"Y400")</f>
        <v>Y400</v>
      </c>
      <c r="E28" s="38" t="s">
        <v>11405</v>
      </c>
      <c r="F28" s="38" t="s">
        <v>220</v>
      </c>
      <c r="G28" s="38" t="s">
        <v>11406</v>
      </c>
      <c r="H28" s="38" t="s">
        <v>11399</v>
      </c>
    </row>
    <row r="29">
      <c r="A29" s="37">
        <f>IFERROR(__xludf.DUMMYFUNCTION("""COMPUTED_VALUE"""),45898.867018321755)</f>
        <v>45898.86702</v>
      </c>
      <c r="B29" s="38" t="str">
        <f>IFERROR(__xludf.DUMMYFUNCTION("""COMPUTED_VALUE"""),"SKOLASTIKA B TAUNAES")</f>
        <v>SKOLASTIKA B TAUNAES</v>
      </c>
      <c r="C29" s="38" t="str">
        <f>IFERROR(__xludf.DUMMYFUNCTION("""COMPUTED_VALUE"""),"Reject")</f>
        <v>Reject</v>
      </c>
      <c r="D29" s="38" t="str">
        <f>IFERROR(__xludf.DUMMYFUNCTION("""COMPUTED_VALUE"""),"Y400")</f>
        <v>Y400</v>
      </c>
      <c r="E29" s="38" t="s">
        <v>11413</v>
      </c>
      <c r="F29" s="38" t="s">
        <v>204</v>
      </c>
      <c r="G29" s="38" t="s">
        <v>11414</v>
      </c>
      <c r="H29" s="38" t="s">
        <v>11399</v>
      </c>
    </row>
    <row r="30">
      <c r="A30" s="37">
        <f>IFERROR(__xludf.DUMMYFUNCTION("""COMPUTED_VALUE"""),45898.869698692135)</f>
        <v>45898.8697</v>
      </c>
      <c r="B30" s="38" t="str">
        <f>IFERROR(__xludf.DUMMYFUNCTION("""COMPUTED_VALUE"""),"YOHANIS TIPNONI")</f>
        <v>YOHANIS TIPNONI</v>
      </c>
      <c r="C30" s="38" t="str">
        <f>IFERROR(__xludf.DUMMYFUNCTION("""COMPUTED_VALUE"""),"Tidak ada limit")</f>
        <v>Tidak ada limit</v>
      </c>
      <c r="D30" s="38" t="str">
        <f>IFERROR(__xludf.DUMMYFUNCTION("""COMPUTED_VALUE"""),"Y400")</f>
        <v>Y400</v>
      </c>
      <c r="E30" s="38" t="s">
        <v>11405</v>
      </c>
      <c r="F30" s="38" t="s">
        <v>220</v>
      </c>
      <c r="G30" s="38" t="s">
        <v>11406</v>
      </c>
      <c r="H30" s="38" t="s">
        <v>11399</v>
      </c>
    </row>
    <row r="31">
      <c r="A31" s="37">
        <f>IFERROR(__xludf.DUMMYFUNCTION("""COMPUTED_VALUE"""),45898.870139907405)</f>
        <v>45898.87014</v>
      </c>
      <c r="B31" s="38" t="str">
        <f>IFERROR(__xludf.DUMMYFUNCTION("""COMPUTED_VALUE"""),"FEBRIANTHY ELISABET NA'U")</f>
        <v>FEBRIANTHY ELISABET NA'U</v>
      </c>
      <c r="C31" s="38" t="str">
        <f>IFERROR(__xludf.DUMMYFUNCTION("""COMPUTED_VALUE"""),"Reject")</f>
        <v>Reject</v>
      </c>
      <c r="D31" s="38" t="str">
        <f>IFERROR(__xludf.DUMMYFUNCTION("""COMPUTED_VALUE"""),"Y400")</f>
        <v>Y400</v>
      </c>
      <c r="E31" s="38" t="s">
        <v>11415</v>
      </c>
      <c r="F31" s="38" t="s">
        <v>204</v>
      </c>
      <c r="G31" s="38" t="s">
        <v>11416</v>
      </c>
      <c r="H31" s="38" t="s">
        <v>11399</v>
      </c>
    </row>
    <row r="32">
      <c r="A32" s="37">
        <f>IFERROR(__xludf.DUMMYFUNCTION("""COMPUTED_VALUE"""),45898.87224603009)</f>
        <v>45898.87225</v>
      </c>
      <c r="B32" s="38" t="str">
        <f>IFERROR(__xludf.DUMMYFUNCTION("""COMPUTED_VALUE"""),"FEBRIANTHY ELISABET NA'U")</f>
        <v>FEBRIANTHY ELISABET NA'U</v>
      </c>
      <c r="C32" s="38" t="str">
        <f>IFERROR(__xludf.DUMMYFUNCTION("""COMPUTED_VALUE"""),"Reject")</f>
        <v>Reject</v>
      </c>
      <c r="D32" s="38" t="str">
        <f>IFERROR(__xludf.DUMMYFUNCTION("""COMPUTED_VALUE"""),"Y400")</f>
        <v>Y400</v>
      </c>
      <c r="E32" s="38" t="s">
        <v>11415</v>
      </c>
      <c r="F32" s="38" t="s">
        <v>204</v>
      </c>
      <c r="G32" s="38" t="s">
        <v>11416</v>
      </c>
      <c r="H32" s="38" t="s">
        <v>11399</v>
      </c>
    </row>
    <row r="33">
      <c r="A33" s="37">
        <f>IFERROR(__xludf.DUMMYFUNCTION("""COMPUTED_VALUE"""),45899.52757194444)</f>
        <v>45899.52757</v>
      </c>
      <c r="B33" s="38" t="str">
        <f>IFERROR(__xludf.DUMMYFUNCTION("""COMPUTED_VALUE"""),"KESIA NATALIA I. BENU")</f>
        <v>KESIA NATALIA I. BENU</v>
      </c>
      <c r="C33" s="38" t="str">
        <f>IFERROR(__xludf.DUMMYFUNCTION("""COMPUTED_VALUE"""),"ACC")</f>
        <v>ACC</v>
      </c>
      <c r="D33" s="38" t="str">
        <f>IFERROR(__xludf.DUMMYFUNCTION("""COMPUTED_VALUE"""),"Y400 series")</f>
        <v>Y400 series</v>
      </c>
      <c r="E33" s="38" t="s">
        <v>11417</v>
      </c>
      <c r="F33" s="38" t="s">
        <v>257</v>
      </c>
      <c r="G33" s="38" t="s">
        <v>11418</v>
      </c>
      <c r="H33" s="38" t="s">
        <v>11419</v>
      </c>
    </row>
    <row r="34">
      <c r="A34" s="37">
        <f>IFERROR(__xludf.DUMMYFUNCTION("""COMPUTED_VALUE"""),45899.52757194444)</f>
        <v>45899.52757</v>
      </c>
      <c r="B34" s="38" t="str">
        <f>IFERROR(__xludf.DUMMYFUNCTION("""COMPUTED_VALUE"""),"MARNITHA JUWIKE TIMORATI RUNESI")</f>
        <v>MARNITHA JUWIKE TIMORATI RUNESI</v>
      </c>
      <c r="C34" s="38" t="str">
        <f>IFERROR(__xludf.DUMMYFUNCTION("""COMPUTED_VALUE"""),"ACC")</f>
        <v>ACC</v>
      </c>
      <c r="D34" s="38" t="str">
        <f>IFERROR(__xludf.DUMMYFUNCTION("""COMPUTED_VALUE"""),"Y400 series")</f>
        <v>Y400 series</v>
      </c>
      <c r="E34" s="38" t="s">
        <v>11420</v>
      </c>
      <c r="F34" s="38" t="s">
        <v>204</v>
      </c>
      <c r="G34" s="38" t="s">
        <v>11421</v>
      </c>
      <c r="H34" s="38" t="s">
        <v>11399</v>
      </c>
    </row>
    <row r="35">
      <c r="A35" s="37">
        <f>IFERROR(__xludf.DUMMYFUNCTION("""COMPUTED_VALUE"""),45899.57235034722)</f>
        <v>45899.57235</v>
      </c>
      <c r="B35" s="38" t="str">
        <f>IFERROR(__xludf.DUMMYFUNCTION("""COMPUTED_VALUE"""),"YOHANA NOVIANA MARIANA GAA")</f>
        <v>YOHANA NOVIANA MARIANA GAA</v>
      </c>
      <c r="C35" s="38" t="str">
        <f>IFERROR(__xludf.DUMMYFUNCTION("""COMPUTED_VALUE"""),"No Limit")</f>
        <v>No Limit</v>
      </c>
      <c r="D35" s="38"/>
      <c r="E35" s="38" t="s">
        <v>11400</v>
      </c>
      <c r="F35" s="38" t="s">
        <v>204</v>
      </c>
      <c r="G35" s="38" t="s">
        <v>11401</v>
      </c>
      <c r="H35" s="38" t="s">
        <v>11399</v>
      </c>
    </row>
    <row r="36">
      <c r="A36" s="37">
        <f>IFERROR(__xludf.DUMMYFUNCTION("""COMPUTED_VALUE"""),45899.619064976854)</f>
        <v>45899.61906</v>
      </c>
      <c r="B36" s="38" t="str">
        <f>IFERROR(__xludf.DUMMYFUNCTION("""COMPUTED_VALUE"""),"MERDA PUTRI BUNGSU KENAT")</f>
        <v>MERDA PUTRI BUNGSU KENAT</v>
      </c>
      <c r="C36" s="38" t="str">
        <f>IFERROR(__xludf.DUMMYFUNCTION("""COMPUTED_VALUE"""),"ACC")</f>
        <v>ACC</v>
      </c>
      <c r="D36" s="38" t="str">
        <f>IFERROR(__xludf.DUMMYFUNCTION("""COMPUTED_VALUE"""),"Y400 series")</f>
        <v>Y400 series</v>
      </c>
      <c r="E36" s="38" t="s">
        <v>11422</v>
      </c>
      <c r="F36" s="38" t="s">
        <v>215</v>
      </c>
      <c r="G36" s="38" t="s">
        <v>11423</v>
      </c>
      <c r="H36" s="38" t="s">
        <v>11424</v>
      </c>
    </row>
    <row r="37">
      <c r="A37" s="37">
        <f>IFERROR(__xludf.DUMMYFUNCTION("""COMPUTED_VALUE"""),45899.774507256945)</f>
        <v>45899.77451</v>
      </c>
      <c r="B37" s="38" t="str">
        <f>IFERROR(__xludf.DUMMYFUNCTION("""COMPUTED_VALUE"""),"EMPI FRANGKI LIEM")</f>
        <v>EMPI FRANGKI LIEM</v>
      </c>
      <c r="C37" s="38" t="str">
        <f>IFERROR(__xludf.DUMMYFUNCTION("""COMPUTED_VALUE"""),"ACC")</f>
        <v>ACC</v>
      </c>
      <c r="D37" s="38" t="str">
        <f>IFERROR(__xludf.DUMMYFUNCTION("""COMPUTED_VALUE"""),"Y400 series")</f>
        <v>Y400 series</v>
      </c>
      <c r="E37" s="38" t="s">
        <v>11397</v>
      </c>
      <c r="F37" s="38" t="s">
        <v>220</v>
      </c>
      <c r="G37" s="38" t="s">
        <v>11398</v>
      </c>
      <c r="H37" s="38" t="s">
        <v>11399</v>
      </c>
    </row>
    <row r="38">
      <c r="A38" s="37">
        <f>IFERROR(__xludf.DUMMYFUNCTION("""COMPUTED_VALUE"""),45899.774507256945)</f>
        <v>45899.77451</v>
      </c>
      <c r="B38" s="38" t="str">
        <f>IFERROR(__xludf.DUMMYFUNCTION("""COMPUTED_VALUE"""),"EMPI FRANGKI LIEM")</f>
        <v>EMPI FRANGKI LIEM</v>
      </c>
      <c r="C38" s="38" t="str">
        <f>IFERROR(__xludf.DUMMYFUNCTION("""COMPUTED_VALUE"""),"ACC")</f>
        <v>ACC</v>
      </c>
      <c r="D38" s="38" t="str">
        <f>IFERROR(__xludf.DUMMYFUNCTION("""COMPUTED_VALUE"""),"Y400 series")</f>
        <v>Y400 series</v>
      </c>
      <c r="E38" s="38" t="s">
        <v>11397</v>
      </c>
      <c r="F38" s="38" t="s">
        <v>220</v>
      </c>
      <c r="G38" s="38" t="s">
        <v>11398</v>
      </c>
      <c r="H38" s="38" t="s">
        <v>11399</v>
      </c>
    </row>
    <row r="39">
      <c r="A39" s="37">
        <f>IFERROR(__xludf.DUMMYFUNCTION("""COMPUTED_VALUE"""),45899.78745510416)</f>
        <v>45899.78746</v>
      </c>
      <c r="B39" s="38" t="str">
        <f>IFERROR(__xludf.DUMMYFUNCTION("""COMPUTED_VALUE"""),"YOHANIS TIPNONI")</f>
        <v>YOHANIS TIPNONI</v>
      </c>
      <c r="C39" s="38" t="str">
        <f>IFERROR(__xludf.DUMMYFUNCTION("""COMPUTED_VALUE"""),"No Limit")</f>
        <v>No Limit</v>
      </c>
      <c r="D39" s="38"/>
      <c r="E39" s="38" t="s">
        <v>11405</v>
      </c>
      <c r="F39" s="38" t="s">
        <v>220</v>
      </c>
      <c r="G39" s="38" t="s">
        <v>11406</v>
      </c>
      <c r="H39" s="38" t="s">
        <v>11399</v>
      </c>
    </row>
    <row r="40">
      <c r="A40" s="37">
        <f>IFERROR(__xludf.DUMMYFUNCTION("""COMPUTED_VALUE"""),45899.78745510416)</f>
        <v>45899.78746</v>
      </c>
      <c r="B40" s="38" t="str">
        <f>IFERROR(__xludf.DUMMYFUNCTION("""COMPUTED_VALUE"""),"YOHANIS TIPNONI")</f>
        <v>YOHANIS TIPNONI</v>
      </c>
      <c r="C40" s="38" t="str">
        <f>IFERROR(__xludf.DUMMYFUNCTION("""COMPUTED_VALUE"""),"No Limit")</f>
        <v>No Limit</v>
      </c>
      <c r="D40" s="38"/>
      <c r="E40" s="38" t="s">
        <v>11405</v>
      </c>
      <c r="F40" s="38" t="s">
        <v>220</v>
      </c>
      <c r="G40" s="38" t="s">
        <v>11406</v>
      </c>
      <c r="H40" s="38" t="s">
        <v>11399</v>
      </c>
    </row>
    <row r="41">
      <c r="A41" s="37">
        <f>IFERROR(__xludf.DUMMYFUNCTION("""COMPUTED_VALUE"""),45899.81200167824)</f>
        <v>45899.812</v>
      </c>
      <c r="B41" s="38" t="str">
        <f>IFERROR(__xludf.DUMMYFUNCTION("""COMPUTED_VALUE"""),"NOVANTRY RUTHANIA NAFFIE")</f>
        <v>NOVANTRY RUTHANIA NAFFIE</v>
      </c>
      <c r="C41" s="38" t="str">
        <f>IFERROR(__xludf.DUMMYFUNCTION("""COMPUTED_VALUE"""),"Belum disetujui")</f>
        <v>Belum disetujui</v>
      </c>
      <c r="D41" s="38"/>
      <c r="E41" s="38" t="s">
        <v>11397</v>
      </c>
      <c r="F41" s="38" t="s">
        <v>220</v>
      </c>
      <c r="G41" s="38" t="s">
        <v>11398</v>
      </c>
      <c r="H41" s="38" t="s">
        <v>11399</v>
      </c>
    </row>
    <row r="42">
      <c r="A42" s="37">
        <f>IFERROR(__xludf.DUMMYFUNCTION("""COMPUTED_VALUE"""),45899.81200167824)</f>
        <v>45899.812</v>
      </c>
      <c r="B42" s="38" t="str">
        <f>IFERROR(__xludf.DUMMYFUNCTION("""COMPUTED_VALUE"""),"NOVANTRY RUTHANIA NAFFIE")</f>
        <v>NOVANTRY RUTHANIA NAFFIE</v>
      </c>
      <c r="C42" s="38" t="str">
        <f>IFERROR(__xludf.DUMMYFUNCTION("""COMPUTED_VALUE"""),"Belum disetujui")</f>
        <v>Belum disetujui</v>
      </c>
      <c r="D42" s="38"/>
      <c r="E42" s="38" t="s">
        <v>11397</v>
      </c>
      <c r="F42" s="38" t="s">
        <v>220</v>
      </c>
      <c r="G42" s="38" t="s">
        <v>11398</v>
      </c>
      <c r="H42" s="38" t="s">
        <v>11399</v>
      </c>
    </row>
    <row r="43">
      <c r="A43" s="37">
        <f>IFERROR(__xludf.DUMMYFUNCTION("""COMPUTED_VALUE"""),45899.82615413194)</f>
        <v>45899.82615</v>
      </c>
      <c r="B43" s="38" t="str">
        <f>IFERROR(__xludf.DUMMYFUNCTION("""COMPUTED_VALUE"""),"NOVANTRY RUTHANIA NAFFIE")</f>
        <v>NOVANTRY RUTHANIA NAFFIE</v>
      </c>
      <c r="C43" s="38" t="str">
        <f>IFERROR(__xludf.DUMMYFUNCTION("""COMPUTED_VALUE"""),"Belum disetujui")</f>
        <v>Belum disetujui</v>
      </c>
      <c r="D43" s="38"/>
      <c r="E43" s="38" t="s">
        <v>11397</v>
      </c>
      <c r="F43" s="38" t="s">
        <v>220</v>
      </c>
      <c r="G43" s="38" t="s">
        <v>11398</v>
      </c>
      <c r="H43" s="38" t="s">
        <v>11399</v>
      </c>
    </row>
    <row r="44">
      <c r="A44" s="37">
        <f>IFERROR(__xludf.DUMMYFUNCTION("""COMPUTED_VALUE"""),45899.82615413194)</f>
        <v>45899.82615</v>
      </c>
      <c r="B44" s="38" t="str">
        <f>IFERROR(__xludf.DUMMYFUNCTION("""COMPUTED_VALUE"""),"NOVANTRY RUTHANIA NAFFIE")</f>
        <v>NOVANTRY RUTHANIA NAFFIE</v>
      </c>
      <c r="C44" s="38" t="str">
        <f>IFERROR(__xludf.DUMMYFUNCTION("""COMPUTED_VALUE"""),"Belum disetujui")</f>
        <v>Belum disetujui</v>
      </c>
      <c r="D44" s="38"/>
      <c r="E44" s="38" t="s">
        <v>11397</v>
      </c>
      <c r="F44" s="38" t="s">
        <v>220</v>
      </c>
      <c r="G44" s="38" t="s">
        <v>11398</v>
      </c>
      <c r="H44" s="38" t="s">
        <v>11399</v>
      </c>
    </row>
    <row r="45">
      <c r="A45" s="37">
        <f>IFERROR(__xludf.DUMMYFUNCTION("""COMPUTED_VALUE"""),45899.82789027778)</f>
        <v>45899.82789</v>
      </c>
      <c r="B45" s="38" t="str">
        <f>IFERROR(__xludf.DUMMYFUNCTION("""COMPUTED_VALUE"""),"FERI ELI KURNIAWAN")</f>
        <v>FERI ELI KURNIAWAN</v>
      </c>
      <c r="C45" s="38" t="str">
        <f>IFERROR(__xludf.DUMMYFUNCTION("""COMPUTED_VALUE"""),"ACC")</f>
        <v>ACC</v>
      </c>
      <c r="D45" s="38" t="str">
        <f>IFERROR(__xludf.DUMMYFUNCTION("""COMPUTED_VALUE"""),"Y400 series")</f>
        <v>Y400 series</v>
      </c>
      <c r="E45" s="38" t="s">
        <v>11411</v>
      </c>
      <c r="F45" s="38" t="s">
        <v>220</v>
      </c>
      <c r="G45" s="38" t="s">
        <v>11412</v>
      </c>
      <c r="H45" s="38" t="s">
        <v>11399</v>
      </c>
    </row>
    <row r="46">
      <c r="A46" s="37">
        <f>IFERROR(__xludf.DUMMYFUNCTION("""COMPUTED_VALUE"""),45899.82789027778)</f>
        <v>45899.82789</v>
      </c>
      <c r="B46" s="38" t="str">
        <f>IFERROR(__xludf.DUMMYFUNCTION("""COMPUTED_VALUE"""),"FERI ELI KURNIAWAN")</f>
        <v>FERI ELI KURNIAWAN</v>
      </c>
      <c r="C46" s="38" t="str">
        <f>IFERROR(__xludf.DUMMYFUNCTION("""COMPUTED_VALUE"""),"ACC")</f>
        <v>ACC</v>
      </c>
      <c r="D46" s="38" t="str">
        <f>IFERROR(__xludf.DUMMYFUNCTION("""COMPUTED_VALUE"""),"Y400 series")</f>
        <v>Y400 series</v>
      </c>
      <c r="E46" s="38" t="s">
        <v>11411</v>
      </c>
      <c r="F46" s="38" t="s">
        <v>220</v>
      </c>
      <c r="G46" s="38" t="s">
        <v>11412</v>
      </c>
      <c r="H46" s="38" t="s">
        <v>11399</v>
      </c>
    </row>
    <row r="47">
      <c r="A47" s="37">
        <f>IFERROR(__xludf.DUMMYFUNCTION("""COMPUTED_VALUE"""),45899.90095579861)</f>
        <v>45899.90096</v>
      </c>
      <c r="B47" s="38" t="str">
        <f>IFERROR(__xludf.DUMMYFUNCTION("""COMPUTED_VALUE"""),"YASINTHA MBU")</f>
        <v>YASINTHA MBU</v>
      </c>
      <c r="C47" s="38" t="str">
        <f>IFERROR(__xludf.DUMMYFUNCTION("""COMPUTED_VALUE"""),"No Limit")</f>
        <v>No Limit</v>
      </c>
      <c r="D47" s="38"/>
      <c r="E47" s="38" t="s">
        <v>11407</v>
      </c>
      <c r="F47" s="38" t="s">
        <v>220</v>
      </c>
      <c r="G47" s="38" t="s">
        <v>11408</v>
      </c>
      <c r="H47" s="38" t="s">
        <v>11399</v>
      </c>
    </row>
    <row r="48">
      <c r="A48" s="37">
        <f>IFERROR(__xludf.DUMMYFUNCTION("""COMPUTED_VALUE"""),45899.90095579861)</f>
        <v>45899.90096</v>
      </c>
      <c r="B48" s="38" t="str">
        <f>IFERROR(__xludf.DUMMYFUNCTION("""COMPUTED_VALUE"""),"YASINTHA MBU")</f>
        <v>YASINTHA MBU</v>
      </c>
      <c r="C48" s="38" t="str">
        <f>IFERROR(__xludf.DUMMYFUNCTION("""COMPUTED_VALUE"""),"No Limit")</f>
        <v>No Limit</v>
      </c>
      <c r="D48" s="38"/>
      <c r="E48" s="38" t="s">
        <v>11407</v>
      </c>
      <c r="F48" s="38" t="s">
        <v>220</v>
      </c>
      <c r="G48" s="38" t="s">
        <v>11408</v>
      </c>
      <c r="H48" s="38" t="s">
        <v>11399</v>
      </c>
    </row>
    <row r="49">
      <c r="A49" s="37">
        <f>IFERROR(__xludf.DUMMYFUNCTION("""COMPUTED_VALUE"""),45900.542593356484)</f>
        <v>45900.54259</v>
      </c>
      <c r="B49" s="38" t="str">
        <f>IFERROR(__xludf.DUMMYFUNCTION("""COMPUTED_VALUE"""),"PATRIANI MENGI ULY")</f>
        <v>PATRIANI MENGI ULY</v>
      </c>
      <c r="C49" s="38" t="str">
        <f>IFERROR(__xludf.DUMMYFUNCTION("""COMPUTED_VALUE"""),"Belum disetujui")</f>
        <v>Belum disetujui</v>
      </c>
      <c r="D49" s="38"/>
      <c r="E49" s="38" t="s">
        <v>11402</v>
      </c>
      <c r="F49" s="38" t="s">
        <v>204</v>
      </c>
      <c r="G49" s="38" t="s">
        <v>11403</v>
      </c>
      <c r="H49" s="38" t="s">
        <v>11399</v>
      </c>
    </row>
    <row r="50">
      <c r="A50" s="37">
        <f>IFERROR(__xludf.DUMMYFUNCTION("""COMPUTED_VALUE"""),45900.542593356484)</f>
        <v>45900.54259</v>
      </c>
      <c r="B50" s="38" t="str">
        <f>IFERROR(__xludf.DUMMYFUNCTION("""COMPUTED_VALUE"""),"PATRIANI MENGI ULY")</f>
        <v>PATRIANI MENGI ULY</v>
      </c>
      <c r="C50" s="38" t="str">
        <f>IFERROR(__xludf.DUMMYFUNCTION("""COMPUTED_VALUE"""),"Belum disetujui")</f>
        <v>Belum disetujui</v>
      </c>
      <c r="D50" s="38"/>
      <c r="E50" s="38" t="s">
        <v>11402</v>
      </c>
      <c r="F50" s="38" t="s">
        <v>204</v>
      </c>
      <c r="G50" s="38" t="s">
        <v>11403</v>
      </c>
      <c r="H50" s="38" t="s">
        <v>11399</v>
      </c>
    </row>
    <row r="51">
      <c r="A51" s="37">
        <f>IFERROR(__xludf.DUMMYFUNCTION("""COMPUTED_VALUE"""),45900.84245362269)</f>
        <v>45900.84245</v>
      </c>
      <c r="B51" s="38" t="str">
        <f>IFERROR(__xludf.DUMMYFUNCTION("""COMPUTED_VALUE"""),"AINI RAHMATINI NATALIA MOESTAKIM")</f>
        <v>AINI RAHMATINI NATALIA MOESTAKIM</v>
      </c>
      <c r="C51" s="38" t="str">
        <f>IFERROR(__xludf.DUMMYFUNCTION("""COMPUTED_VALUE"""),"Belum disetujui")</f>
        <v>Belum disetujui</v>
      </c>
      <c r="D51" s="38"/>
      <c r="E51" s="38" t="s">
        <v>11409</v>
      </c>
      <c r="F51" s="38" t="s">
        <v>204</v>
      </c>
      <c r="G51" s="38" t="s">
        <v>11410</v>
      </c>
      <c r="H51" s="38" t="s">
        <v>11399</v>
      </c>
    </row>
    <row r="52">
      <c r="A52" s="37">
        <f>IFERROR(__xludf.DUMMYFUNCTION("""COMPUTED_VALUE"""),45900.84245362269)</f>
        <v>45900.84245</v>
      </c>
      <c r="B52" s="38" t="str">
        <f>IFERROR(__xludf.DUMMYFUNCTION("""COMPUTED_VALUE"""),"AINI RAHMATINI NATALIA MOESTAKIM")</f>
        <v>AINI RAHMATINI NATALIA MOESTAKIM</v>
      </c>
      <c r="C52" s="38" t="str">
        <f>IFERROR(__xludf.DUMMYFUNCTION("""COMPUTED_VALUE"""),"Belum disetujui")</f>
        <v>Belum disetujui</v>
      </c>
      <c r="D52" s="38"/>
      <c r="E52" s="38" t="s">
        <v>11409</v>
      </c>
      <c r="F52" s="38" t="s">
        <v>204</v>
      </c>
      <c r="G52" s="38" t="s">
        <v>11410</v>
      </c>
      <c r="H52" s="38" t="s">
        <v>11399</v>
      </c>
    </row>
    <row r="53">
      <c r="A53" s="37">
        <f>IFERROR(__xludf.DUMMYFUNCTION("""COMPUTED_VALUE"""),45901.538850578705)</f>
        <v>45901.53885</v>
      </c>
      <c r="B53" s="38" t="str">
        <f>IFERROR(__xludf.DUMMYFUNCTION("""COMPUTED_VALUE"""),"YOVANDA KATRINA NAE")</f>
        <v>YOVANDA KATRINA NAE</v>
      </c>
      <c r="C53" s="38" t="str">
        <f>IFERROR(__xludf.DUMMYFUNCTION("""COMPUTED_VALUE"""),"Belum disetujui")</f>
        <v>Belum disetujui</v>
      </c>
      <c r="D53" s="38"/>
      <c r="E53" s="38" t="s">
        <v>11425</v>
      </c>
      <c r="F53" s="38" t="s">
        <v>205</v>
      </c>
      <c r="G53" s="38" t="s">
        <v>11426</v>
      </c>
      <c r="H53" s="38" t="s">
        <v>11419</v>
      </c>
    </row>
    <row r="54">
      <c r="A54" s="37">
        <f>IFERROR(__xludf.DUMMYFUNCTION("""COMPUTED_VALUE"""),45901.544305069445)</f>
        <v>45901.54431</v>
      </c>
      <c r="B54" s="38" t="str">
        <f>IFERROR(__xludf.DUMMYFUNCTION("""COMPUTED_VALUE"""),"ASTUTI BELA WAWO")</f>
        <v>ASTUTI BELA WAWO</v>
      </c>
      <c r="C54" s="38" t="str">
        <f>IFERROR(__xludf.DUMMYFUNCTION("""COMPUTED_VALUE"""),"ACC")</f>
        <v>ACC</v>
      </c>
      <c r="D54" s="38" t="str">
        <f>IFERROR(__xludf.DUMMYFUNCTION("""COMPUTED_VALUE"""),"Y400 series")</f>
        <v>Y400 series</v>
      </c>
      <c r="E54" s="38" t="s">
        <v>11427</v>
      </c>
      <c r="F54" s="38" t="s">
        <v>257</v>
      </c>
      <c r="G54" s="38" t="s">
        <v>11428</v>
      </c>
      <c r="H54" s="38" t="s">
        <v>11419</v>
      </c>
    </row>
    <row r="55">
      <c r="A55" s="37">
        <f>IFERROR(__xludf.DUMMYFUNCTION("""COMPUTED_VALUE"""),45901.557086574074)</f>
        <v>45901.55709</v>
      </c>
      <c r="B55" s="38" t="str">
        <f>IFERROR(__xludf.DUMMYFUNCTION("""COMPUTED_VALUE"""),"ASTUTI BELA WAWO")</f>
        <v>ASTUTI BELA WAWO</v>
      </c>
      <c r="C55" s="38" t="str">
        <f>IFERROR(__xludf.DUMMYFUNCTION("""COMPUTED_VALUE"""),"Belum disetujui")</f>
        <v>Belum disetujui</v>
      </c>
      <c r="D55" s="38"/>
      <c r="E55" s="38" t="s">
        <v>11427</v>
      </c>
      <c r="F55" s="38" t="s">
        <v>257</v>
      </c>
      <c r="G55" s="38" t="s">
        <v>11428</v>
      </c>
      <c r="H55" s="38" t="s">
        <v>11419</v>
      </c>
    </row>
    <row r="56">
      <c r="A56" s="37">
        <f>IFERROR(__xludf.DUMMYFUNCTION("""COMPUTED_VALUE"""),45901.55869613426)</f>
        <v>45901.5587</v>
      </c>
      <c r="B56" s="38" t="str">
        <f>IFERROR(__xludf.DUMMYFUNCTION("""COMPUTED_VALUE"""),"ASTUTI BELA WAWO")</f>
        <v>ASTUTI BELA WAWO</v>
      </c>
      <c r="C56" s="38" t="str">
        <f>IFERROR(__xludf.DUMMYFUNCTION("""COMPUTED_VALUE"""),"Belum disetujui")</f>
        <v>Belum disetujui</v>
      </c>
      <c r="D56" s="38"/>
      <c r="E56" s="38" t="s">
        <v>11427</v>
      </c>
      <c r="F56" s="38" t="s">
        <v>257</v>
      </c>
      <c r="G56" s="38" t="s">
        <v>11428</v>
      </c>
      <c r="H56" s="38" t="s">
        <v>11419</v>
      </c>
    </row>
    <row r="57">
      <c r="A57" s="37">
        <f>IFERROR(__xludf.DUMMYFUNCTION("""COMPUTED_VALUE"""),45901.60721225694)</f>
        <v>45901.60721</v>
      </c>
      <c r="B57" s="38" t="str">
        <f>IFERROR(__xludf.DUMMYFUNCTION("""COMPUTED_VALUE"""),"SULIS NURAINI INSYATUN")</f>
        <v>SULIS NURAINI INSYATUN</v>
      </c>
      <c r="C57" s="38" t="str">
        <f>IFERROR(__xludf.DUMMYFUNCTION("""COMPUTED_VALUE"""),"Belum disetujui")</f>
        <v>Belum disetujui</v>
      </c>
      <c r="D57" s="38"/>
      <c r="E57" s="38" t="s">
        <v>11429</v>
      </c>
      <c r="F57" s="38" t="s">
        <v>257</v>
      </c>
      <c r="G57" s="38" t="s">
        <v>11430</v>
      </c>
      <c r="H57" s="38" t="s">
        <v>11419</v>
      </c>
    </row>
    <row r="58">
      <c r="A58" s="37">
        <f>IFERROR(__xludf.DUMMYFUNCTION("""COMPUTED_VALUE"""),45901.60798973379)</f>
        <v>45901.60799</v>
      </c>
      <c r="B58" s="38" t="str">
        <f>IFERROR(__xludf.DUMMYFUNCTION("""COMPUTED_VALUE"""),"DEMARISTI S H FENI")</f>
        <v>DEMARISTI S H FENI</v>
      </c>
      <c r="C58" s="38" t="str">
        <f>IFERROR(__xludf.DUMMYFUNCTION("""COMPUTED_VALUE"""),"Belum disetujui")</f>
        <v>Belum disetujui</v>
      </c>
      <c r="D58" s="38"/>
      <c r="E58" s="38" t="s">
        <v>11404</v>
      </c>
      <c r="F58" s="38" t="s">
        <v>11404</v>
      </c>
      <c r="G58" s="38" t="s">
        <v>11404</v>
      </c>
      <c r="H58" s="38" t="s">
        <v>11404</v>
      </c>
    </row>
    <row r="59">
      <c r="A59" s="37">
        <f>IFERROR(__xludf.DUMMYFUNCTION("""COMPUTED_VALUE"""),45901.608943148145)</f>
        <v>45901.60894</v>
      </c>
      <c r="B59" s="38" t="str">
        <f>IFERROR(__xludf.DUMMYFUNCTION("""COMPUTED_VALUE"""),"YASINTHA MBU")</f>
        <v>YASINTHA MBU</v>
      </c>
      <c r="C59" s="38" t="str">
        <f>IFERROR(__xludf.DUMMYFUNCTION("""COMPUTED_VALUE"""),"Belum disetujui")</f>
        <v>Belum disetujui</v>
      </c>
      <c r="D59" s="38"/>
      <c r="E59" s="38" t="s">
        <v>11407</v>
      </c>
      <c r="F59" s="38" t="s">
        <v>220</v>
      </c>
      <c r="G59" s="38" t="s">
        <v>11408</v>
      </c>
      <c r="H59" s="38" t="s">
        <v>11399</v>
      </c>
    </row>
    <row r="60">
      <c r="A60" s="37">
        <f>IFERROR(__xludf.DUMMYFUNCTION("""COMPUTED_VALUE"""),45901.612523668984)</f>
        <v>45901.61252</v>
      </c>
      <c r="B60" s="38" t="str">
        <f>IFERROR(__xludf.DUMMYFUNCTION("""COMPUTED_VALUE"""),"IDMAL YUSDIRAN YUSUF")</f>
        <v>IDMAL YUSDIRAN YUSUF</v>
      </c>
      <c r="C60" s="38" t="str">
        <f>IFERROR(__xludf.DUMMYFUNCTION("""COMPUTED_VALUE"""),"ACC")</f>
        <v>ACC</v>
      </c>
      <c r="D60" s="38" t="str">
        <f>IFERROR(__xludf.DUMMYFUNCTION("""COMPUTED_VALUE"""),"Y400 series")</f>
        <v>Y400 series</v>
      </c>
      <c r="E60" s="38" t="s">
        <v>11417</v>
      </c>
      <c r="F60" s="38" t="s">
        <v>257</v>
      </c>
      <c r="G60" s="38" t="s">
        <v>11418</v>
      </c>
      <c r="H60" s="38" t="s">
        <v>11419</v>
      </c>
    </row>
    <row r="61">
      <c r="A61" s="37">
        <f>IFERROR(__xludf.DUMMYFUNCTION("""COMPUTED_VALUE"""),45901.654122106476)</f>
        <v>45901.65412</v>
      </c>
      <c r="B61" s="38" t="str">
        <f>IFERROR(__xludf.DUMMYFUNCTION("""COMPUTED_VALUE"""),"MARNITHA JUWIKE TIMORATI RUNESI")</f>
        <v>MARNITHA JUWIKE TIMORATI RUNESI</v>
      </c>
      <c r="C61" s="38" t="str">
        <f>IFERROR(__xludf.DUMMYFUNCTION("""COMPUTED_VALUE"""),"Belum disetujui")</f>
        <v>Belum disetujui</v>
      </c>
      <c r="D61" s="38"/>
      <c r="E61" s="38" t="s">
        <v>11420</v>
      </c>
      <c r="F61" s="38" t="s">
        <v>204</v>
      </c>
      <c r="G61" s="38" t="s">
        <v>11421</v>
      </c>
      <c r="H61" s="38" t="s">
        <v>11399</v>
      </c>
    </row>
    <row r="62">
      <c r="A62" s="37">
        <f>IFERROR(__xludf.DUMMYFUNCTION("""COMPUTED_VALUE"""),45901.665994166666)</f>
        <v>45901.66599</v>
      </c>
      <c r="B62" s="38" t="str">
        <f>IFERROR(__xludf.DUMMYFUNCTION("""COMPUTED_VALUE"""),"IDMAL YUSDIRAN YUSUF")</f>
        <v>IDMAL YUSDIRAN YUSUF</v>
      </c>
      <c r="C62" s="38" t="str">
        <f>IFERROR(__xludf.DUMMYFUNCTION("""COMPUTED_VALUE"""),"Belum disetujui")</f>
        <v>Belum disetujui</v>
      </c>
      <c r="D62" s="38"/>
      <c r="E62" s="38" t="s">
        <v>11417</v>
      </c>
      <c r="F62" s="38" t="s">
        <v>257</v>
      </c>
      <c r="G62" s="38" t="s">
        <v>11418</v>
      </c>
      <c r="H62" s="38" t="s">
        <v>11419</v>
      </c>
    </row>
    <row r="63">
      <c r="A63" s="37">
        <f>IFERROR(__xludf.DUMMYFUNCTION("""COMPUTED_VALUE"""),45901.66755630787)</f>
        <v>45901.66756</v>
      </c>
      <c r="B63" s="38" t="str">
        <f>IFERROR(__xludf.DUMMYFUNCTION("""COMPUTED_VALUE"""),"NOVANTRY RUTHANIA NAFFIE")</f>
        <v>NOVANTRY RUTHANIA NAFFIE</v>
      </c>
      <c r="C63" s="38" t="str">
        <f>IFERROR(__xludf.DUMMYFUNCTION("""COMPUTED_VALUE"""),"Belum disetujui")</f>
        <v>Belum disetujui</v>
      </c>
      <c r="D63" s="38"/>
      <c r="E63" s="38" t="s">
        <v>11397</v>
      </c>
      <c r="F63" s="38" t="s">
        <v>220</v>
      </c>
      <c r="G63" s="38" t="s">
        <v>11398</v>
      </c>
      <c r="H63" s="38" t="s">
        <v>11399</v>
      </c>
    </row>
    <row r="64">
      <c r="A64" s="37">
        <f>IFERROR(__xludf.DUMMYFUNCTION("""COMPUTED_VALUE"""),45901.68529576389)</f>
        <v>45901.6853</v>
      </c>
      <c r="B64" s="38" t="str">
        <f>IFERROR(__xludf.DUMMYFUNCTION("""COMPUTED_VALUE"""),"SULIS NURAINI INSYATUN")</f>
        <v>SULIS NURAINI INSYATUN</v>
      </c>
      <c r="C64" s="38" t="str">
        <f>IFERROR(__xludf.DUMMYFUNCTION("""COMPUTED_VALUE"""),"ACC")</f>
        <v>ACC</v>
      </c>
      <c r="D64" s="38" t="str">
        <f>IFERROR(__xludf.DUMMYFUNCTION("""COMPUTED_VALUE"""),"Y400 series")</f>
        <v>Y400 series</v>
      </c>
      <c r="E64" s="38" t="s">
        <v>11429</v>
      </c>
      <c r="F64" s="38" t="s">
        <v>257</v>
      </c>
      <c r="G64" s="38" t="s">
        <v>11430</v>
      </c>
      <c r="H64" s="38" t="s">
        <v>11419</v>
      </c>
    </row>
    <row r="65">
      <c r="A65" s="37">
        <f>IFERROR(__xludf.DUMMYFUNCTION("""COMPUTED_VALUE"""),45901.72030047454)</f>
        <v>45901.7203</v>
      </c>
      <c r="B65" s="38" t="str">
        <f>IFERROR(__xludf.DUMMYFUNCTION("""COMPUTED_VALUE"""),"SULIS NURAINI INSYATUN")</f>
        <v>SULIS NURAINI INSYATUN</v>
      </c>
      <c r="C65" s="38" t="str">
        <f>IFERROR(__xludf.DUMMYFUNCTION("""COMPUTED_VALUE"""),"Belum disetujui")</f>
        <v>Belum disetujui</v>
      </c>
      <c r="D65" s="38"/>
      <c r="E65" s="38" t="s">
        <v>11429</v>
      </c>
      <c r="F65" s="38" t="s">
        <v>257</v>
      </c>
      <c r="G65" s="38" t="s">
        <v>11430</v>
      </c>
      <c r="H65" s="38" t="s">
        <v>11419</v>
      </c>
    </row>
    <row r="66">
      <c r="A66" s="37">
        <f>IFERROR(__xludf.DUMMYFUNCTION("""COMPUTED_VALUE"""),45901.7713924537)</f>
        <v>45901.77139</v>
      </c>
      <c r="B66" s="38" t="str">
        <f>IFERROR(__xludf.DUMMYFUNCTION("""COMPUTED_VALUE"""),"DEMARISTI S H FENI")</f>
        <v>DEMARISTI S H FENI</v>
      </c>
      <c r="C66" s="38" t="str">
        <f>IFERROR(__xludf.DUMMYFUNCTION("""COMPUTED_VALUE"""),"Belum disetujui")</f>
        <v>Belum disetujui</v>
      </c>
      <c r="D66" s="38"/>
      <c r="E66" s="38" t="s">
        <v>11404</v>
      </c>
      <c r="F66" s="38" t="s">
        <v>11404</v>
      </c>
      <c r="G66" s="38" t="s">
        <v>11404</v>
      </c>
      <c r="H66" s="38" t="s">
        <v>11404</v>
      </c>
    </row>
    <row r="67">
      <c r="A67" s="37">
        <f>IFERROR(__xludf.DUMMYFUNCTION("""COMPUTED_VALUE"""),45901.77915246528)</f>
        <v>45901.77915</v>
      </c>
      <c r="B67" s="38" t="str">
        <f>IFERROR(__xludf.DUMMYFUNCTION("""COMPUTED_VALUE"""),"BERGITHA NIA OLIN")</f>
        <v>BERGITHA NIA OLIN</v>
      </c>
      <c r="C67" s="38" t="str">
        <f>IFERROR(__xludf.DUMMYFUNCTION("""COMPUTED_VALUE"""),"Belum disetujui")</f>
        <v>Belum disetujui</v>
      </c>
      <c r="D67" s="38"/>
      <c r="E67" s="38" t="s">
        <v>11431</v>
      </c>
      <c r="F67" s="38" t="s">
        <v>313</v>
      </c>
      <c r="G67" s="38" t="s">
        <v>11432</v>
      </c>
      <c r="H67" s="38" t="s">
        <v>11424</v>
      </c>
    </row>
    <row r="68">
      <c r="A68" s="37">
        <f>IFERROR(__xludf.DUMMYFUNCTION("""COMPUTED_VALUE"""),45901.78771160879)</f>
        <v>45901.78771</v>
      </c>
      <c r="B68" s="38" t="str">
        <f>IFERROR(__xludf.DUMMYFUNCTION("""COMPUTED_VALUE"""),"BERGITHA NIA OLIN")</f>
        <v>BERGITHA NIA OLIN</v>
      </c>
      <c r="C68" s="38" t="str">
        <f>IFERROR(__xludf.DUMMYFUNCTION("""COMPUTED_VALUE"""),"Belum disetujui")</f>
        <v>Belum disetujui</v>
      </c>
      <c r="D68" s="38"/>
      <c r="E68" s="38" t="s">
        <v>11431</v>
      </c>
      <c r="F68" s="38" t="s">
        <v>313</v>
      </c>
      <c r="G68" s="38" t="s">
        <v>11432</v>
      </c>
      <c r="H68" s="38" t="s">
        <v>11424</v>
      </c>
    </row>
    <row r="69">
      <c r="A69" s="37">
        <f>IFERROR(__xludf.DUMMYFUNCTION("""COMPUTED_VALUE"""),45901.78979534723)</f>
        <v>45901.7898</v>
      </c>
      <c r="B69" s="38" t="str">
        <f>IFERROR(__xludf.DUMMYFUNCTION("""COMPUTED_VALUE"""),"YOHANIS TIPNONI")</f>
        <v>YOHANIS TIPNONI</v>
      </c>
      <c r="C69" s="38" t="str">
        <f>IFERROR(__xludf.DUMMYFUNCTION("""COMPUTED_VALUE"""),"ACC")</f>
        <v>ACC</v>
      </c>
      <c r="D69" s="38" t="str">
        <f>IFERROR(__xludf.DUMMYFUNCTION("""COMPUTED_VALUE"""),"Y400 series")</f>
        <v>Y400 series</v>
      </c>
      <c r="E69" s="38" t="s">
        <v>11405</v>
      </c>
      <c r="F69" s="38" t="s">
        <v>220</v>
      </c>
      <c r="G69" s="38" t="s">
        <v>11406</v>
      </c>
      <c r="H69" s="38" t="s">
        <v>11399</v>
      </c>
    </row>
    <row r="70">
      <c r="A70" s="37">
        <f>IFERROR(__xludf.DUMMYFUNCTION("""COMPUTED_VALUE"""),45901.79177538194)</f>
        <v>45901.79178</v>
      </c>
      <c r="B70" s="38" t="str">
        <f>IFERROR(__xludf.DUMMYFUNCTION("""COMPUTED_VALUE"""),"BERGITHA NIA OLIN")</f>
        <v>BERGITHA NIA OLIN</v>
      </c>
      <c r="C70" s="38" t="str">
        <f>IFERROR(__xludf.DUMMYFUNCTION("""COMPUTED_VALUE"""),"Belum disetujui")</f>
        <v>Belum disetujui</v>
      </c>
      <c r="D70" s="38"/>
      <c r="E70" s="38" t="s">
        <v>11431</v>
      </c>
      <c r="F70" s="38" t="s">
        <v>313</v>
      </c>
      <c r="G70" s="38" t="s">
        <v>11432</v>
      </c>
      <c r="H70" s="38" t="s">
        <v>11424</v>
      </c>
    </row>
    <row r="71">
      <c r="A71" s="37">
        <f>IFERROR(__xludf.DUMMYFUNCTION("""COMPUTED_VALUE"""),45901.79504125)</f>
        <v>45901.79504</v>
      </c>
      <c r="B71" s="38" t="str">
        <f>IFERROR(__xludf.DUMMYFUNCTION("""COMPUTED_VALUE"""),"ADRIANA")</f>
        <v>ADRIANA</v>
      </c>
      <c r="C71" s="38" t="str">
        <f>IFERROR(__xludf.DUMMYFUNCTION("""COMPUTED_VALUE"""),"Belum disetujui")</f>
        <v>Belum disetujui</v>
      </c>
      <c r="D71" s="38"/>
      <c r="E71" s="38" t="s">
        <v>11433</v>
      </c>
      <c r="F71" s="38" t="s">
        <v>313</v>
      </c>
      <c r="G71" s="38" t="s">
        <v>11434</v>
      </c>
      <c r="H71" s="38" t="s">
        <v>11424</v>
      </c>
    </row>
    <row r="72">
      <c r="A72" s="37">
        <f>IFERROR(__xludf.DUMMYFUNCTION("""COMPUTED_VALUE"""),45901.80172587963)</f>
        <v>45901.80173</v>
      </c>
      <c r="B72" s="38" t="str">
        <f>IFERROR(__xludf.DUMMYFUNCTION("""COMPUTED_VALUE"""),"NOVANTRY RUTHANIA NAFFIE")</f>
        <v>NOVANTRY RUTHANIA NAFFIE</v>
      </c>
      <c r="C72" s="38" t="str">
        <f>IFERROR(__xludf.DUMMYFUNCTION("""COMPUTED_VALUE"""),"Belum disetujui")</f>
        <v>Belum disetujui</v>
      </c>
      <c r="D72" s="38"/>
      <c r="E72" s="38" t="s">
        <v>11397</v>
      </c>
      <c r="F72" s="38" t="s">
        <v>220</v>
      </c>
      <c r="G72" s="38" t="s">
        <v>11398</v>
      </c>
      <c r="H72" s="38" t="s">
        <v>11399</v>
      </c>
    </row>
    <row r="73">
      <c r="A73" s="37">
        <f>IFERROR(__xludf.DUMMYFUNCTION("""COMPUTED_VALUE"""),45901.803267453695)</f>
        <v>45901.80327</v>
      </c>
      <c r="B73" s="38" t="str">
        <f>IFERROR(__xludf.DUMMYFUNCTION("""COMPUTED_VALUE"""),"ASTUTI BELA WAWO")</f>
        <v>ASTUTI BELA WAWO</v>
      </c>
      <c r="C73" s="38" t="str">
        <f>IFERROR(__xludf.DUMMYFUNCTION("""COMPUTED_VALUE"""),"ACC")</f>
        <v>ACC</v>
      </c>
      <c r="D73" s="38" t="str">
        <f>IFERROR(__xludf.DUMMYFUNCTION("""COMPUTED_VALUE"""),"Y400 series")</f>
        <v>Y400 series</v>
      </c>
      <c r="E73" s="38" t="s">
        <v>11427</v>
      </c>
      <c r="F73" s="38" t="s">
        <v>257</v>
      </c>
      <c r="G73" s="38" t="s">
        <v>11428</v>
      </c>
      <c r="H73" s="38" t="s">
        <v>11419</v>
      </c>
    </row>
    <row r="74">
      <c r="A74" s="37">
        <f>IFERROR(__xludf.DUMMYFUNCTION("""COMPUTED_VALUE"""),45901.80976429398)</f>
        <v>45901.80976</v>
      </c>
      <c r="B74" s="38" t="str">
        <f>IFERROR(__xludf.DUMMYFUNCTION("""COMPUTED_VALUE"""),"ASTUTI BELA WAWO")</f>
        <v>ASTUTI BELA WAWO</v>
      </c>
      <c r="C74" s="38" t="str">
        <f>IFERROR(__xludf.DUMMYFUNCTION("""COMPUTED_VALUE"""),"Belum disetujui")</f>
        <v>Belum disetujui</v>
      </c>
      <c r="D74" s="38"/>
      <c r="E74" s="38" t="s">
        <v>11427</v>
      </c>
      <c r="F74" s="38" t="s">
        <v>257</v>
      </c>
      <c r="G74" s="38" t="s">
        <v>11428</v>
      </c>
      <c r="H74" s="38" t="s">
        <v>11419</v>
      </c>
    </row>
    <row r="75">
      <c r="A75" s="37">
        <f>IFERROR(__xludf.DUMMYFUNCTION("""COMPUTED_VALUE"""),45901.812202685185)</f>
        <v>45901.8122</v>
      </c>
      <c r="B75" s="38" t="str">
        <f>IFERROR(__xludf.DUMMYFUNCTION("""COMPUTED_VALUE"""),"ASTUTI BELA WAWO")</f>
        <v>ASTUTI BELA WAWO</v>
      </c>
      <c r="C75" s="38" t="str">
        <f>IFERROR(__xludf.DUMMYFUNCTION("""COMPUTED_VALUE"""),"Belum disetujui")</f>
        <v>Belum disetujui</v>
      </c>
      <c r="D75" s="38"/>
      <c r="E75" s="38" t="s">
        <v>11427</v>
      </c>
      <c r="F75" s="38" t="s">
        <v>257</v>
      </c>
      <c r="G75" s="38" t="s">
        <v>11428</v>
      </c>
      <c r="H75" s="38" t="s">
        <v>11419</v>
      </c>
    </row>
    <row r="76">
      <c r="A76" s="37">
        <f>IFERROR(__xludf.DUMMYFUNCTION("""COMPUTED_VALUE"""),45901.813779791664)</f>
        <v>45901.81378</v>
      </c>
      <c r="B76" s="38" t="str">
        <f>IFERROR(__xludf.DUMMYFUNCTION("""COMPUTED_VALUE"""),"ASTUTI BELA WAWO")</f>
        <v>ASTUTI BELA WAWO</v>
      </c>
      <c r="C76" s="38" t="str">
        <f>IFERROR(__xludf.DUMMYFUNCTION("""COMPUTED_VALUE"""),"Belum disetujui")</f>
        <v>Belum disetujui</v>
      </c>
      <c r="D76" s="38"/>
      <c r="E76" s="38" t="s">
        <v>11427</v>
      </c>
      <c r="F76" s="38" t="s">
        <v>257</v>
      </c>
      <c r="G76" s="38" t="s">
        <v>11428</v>
      </c>
      <c r="H76" s="38" t="s">
        <v>11419</v>
      </c>
    </row>
    <row r="77">
      <c r="A77" s="37">
        <f>IFERROR(__xludf.DUMMYFUNCTION("""COMPUTED_VALUE"""),45901.82026493055)</f>
        <v>45901.82026</v>
      </c>
      <c r="B77" s="38" t="str">
        <f>IFERROR(__xludf.DUMMYFUNCTION("""COMPUTED_VALUE"""),"EMPI FRANGKI LIEM")</f>
        <v>EMPI FRANGKI LIEM</v>
      </c>
      <c r="C77" s="38" t="str">
        <f>IFERROR(__xludf.DUMMYFUNCTION("""COMPUTED_VALUE"""),"ACC")</f>
        <v>ACC</v>
      </c>
      <c r="D77" s="38" t="str">
        <f>IFERROR(__xludf.DUMMYFUNCTION("""COMPUTED_VALUE"""),"Y400 series")</f>
        <v>Y400 series</v>
      </c>
      <c r="E77" s="38" t="s">
        <v>11397</v>
      </c>
      <c r="F77" s="38" t="s">
        <v>220</v>
      </c>
      <c r="G77" s="38" t="s">
        <v>11398</v>
      </c>
      <c r="H77" s="38" t="s">
        <v>11399</v>
      </c>
    </row>
    <row r="78">
      <c r="A78" s="37">
        <f>IFERROR(__xludf.DUMMYFUNCTION("""COMPUTED_VALUE"""),45901.82213983796)</f>
        <v>45901.82214</v>
      </c>
      <c r="B78" s="38" t="str">
        <f>IFERROR(__xludf.DUMMYFUNCTION("""COMPUTED_VALUE"""),"BERGITHA NIA OLIN")</f>
        <v>BERGITHA NIA OLIN</v>
      </c>
      <c r="C78" s="38" t="str">
        <f>IFERROR(__xludf.DUMMYFUNCTION("""COMPUTED_VALUE"""),"Belum disetujui")</f>
        <v>Belum disetujui</v>
      </c>
      <c r="D78" s="38"/>
      <c r="E78" s="38" t="s">
        <v>11431</v>
      </c>
      <c r="F78" s="38" t="s">
        <v>313</v>
      </c>
      <c r="G78" s="38" t="s">
        <v>11432</v>
      </c>
      <c r="H78" s="38" t="s">
        <v>11424</v>
      </c>
    </row>
    <row r="79">
      <c r="A79" s="37">
        <f>IFERROR(__xludf.DUMMYFUNCTION("""COMPUTED_VALUE"""),45901.82789208333)</f>
        <v>45901.82789</v>
      </c>
      <c r="B79" s="38" t="str">
        <f>IFERROR(__xludf.DUMMYFUNCTION("""COMPUTED_VALUE"""),"LINDA MELSIANA ELLO")</f>
        <v>LINDA MELSIANA ELLO</v>
      </c>
      <c r="C79" s="38" t="str">
        <f>IFERROR(__xludf.DUMMYFUNCTION("""COMPUTED_VALUE"""),"Belum disetujui")</f>
        <v>Belum disetujui</v>
      </c>
      <c r="D79" s="38"/>
      <c r="E79" s="38" t="s">
        <v>11435</v>
      </c>
      <c r="F79" s="38" t="s">
        <v>215</v>
      </c>
      <c r="G79" s="38" t="s">
        <v>11436</v>
      </c>
      <c r="H79" s="38" t="s">
        <v>11424</v>
      </c>
    </row>
    <row r="80">
      <c r="A80" s="37">
        <f>IFERROR(__xludf.DUMMYFUNCTION("""COMPUTED_VALUE"""),45901.83536979166)</f>
        <v>45901.83537</v>
      </c>
      <c r="B80" s="38" t="str">
        <f>IFERROR(__xludf.DUMMYFUNCTION("""COMPUTED_VALUE"""),"ROS YANE KANA LUDJI")</f>
        <v>ROS YANE KANA LUDJI</v>
      </c>
      <c r="C80" s="38" t="str">
        <f>IFERROR(__xludf.DUMMYFUNCTION("""COMPUTED_VALUE"""),"Belum disetujui")</f>
        <v>Belum disetujui</v>
      </c>
      <c r="D80" s="38"/>
      <c r="E80" s="38" t="s">
        <v>11437</v>
      </c>
      <c r="F80" s="38" t="s">
        <v>204</v>
      </c>
      <c r="G80" s="38" t="s">
        <v>11438</v>
      </c>
      <c r="H80" s="38" t="s">
        <v>11399</v>
      </c>
    </row>
    <row r="81">
      <c r="A81" s="37">
        <f>IFERROR(__xludf.DUMMYFUNCTION("""COMPUTED_VALUE"""),45901.839190879626)</f>
        <v>45901.83919</v>
      </c>
      <c r="B81" s="38" t="str">
        <f>IFERROR(__xludf.DUMMYFUNCTION("""COMPUTED_VALUE"""),"ROS YANE KANA LUDJI")</f>
        <v>ROS YANE KANA LUDJI</v>
      </c>
      <c r="C81" s="38" t="str">
        <f>IFERROR(__xludf.DUMMYFUNCTION("""COMPUTED_VALUE"""),"Belum disetujui")</f>
        <v>Belum disetujui</v>
      </c>
      <c r="D81" s="38"/>
      <c r="E81" s="38" t="s">
        <v>11437</v>
      </c>
      <c r="F81" s="38" t="s">
        <v>204</v>
      </c>
      <c r="G81" s="38" t="s">
        <v>11438</v>
      </c>
      <c r="H81" s="38" t="s">
        <v>11399</v>
      </c>
    </row>
    <row r="82">
      <c r="A82" s="37">
        <f>IFERROR(__xludf.DUMMYFUNCTION("""COMPUTED_VALUE"""),45901.84227118056)</f>
        <v>45901.84227</v>
      </c>
      <c r="B82" s="38" t="str">
        <f>IFERROR(__xludf.DUMMYFUNCTION("""COMPUTED_VALUE"""),"FEBRIANTHY ELISABET NA'U")</f>
        <v>FEBRIANTHY ELISABET NA'U</v>
      </c>
      <c r="C82" s="38" t="str">
        <f>IFERROR(__xludf.DUMMYFUNCTION("""COMPUTED_VALUE"""),"Belum disetujui")</f>
        <v>Belum disetujui</v>
      </c>
      <c r="D82" s="38"/>
      <c r="E82" s="38" t="s">
        <v>11415</v>
      </c>
      <c r="F82" s="38" t="s">
        <v>204</v>
      </c>
      <c r="G82" s="38" t="s">
        <v>11416</v>
      </c>
      <c r="H82" s="38" t="s">
        <v>11399</v>
      </c>
    </row>
    <row r="83">
      <c r="A83" s="37">
        <f>IFERROR(__xludf.DUMMYFUNCTION("""COMPUTED_VALUE"""),45901.8436855787)</f>
        <v>45901.84369</v>
      </c>
      <c r="B83" s="38" t="str">
        <f>IFERROR(__xludf.DUMMYFUNCTION("""COMPUTED_VALUE"""),"SELVINCE BAKO")</f>
        <v>SELVINCE BAKO</v>
      </c>
      <c r="C83" s="38" t="str">
        <f>IFERROR(__xludf.DUMMYFUNCTION("""COMPUTED_VALUE"""),"Belum disetujui")</f>
        <v>Belum disetujui</v>
      </c>
      <c r="D83" s="38"/>
      <c r="E83" s="38" t="s">
        <v>11413</v>
      </c>
      <c r="F83" s="38" t="s">
        <v>204</v>
      </c>
      <c r="G83" s="38" t="s">
        <v>11414</v>
      </c>
      <c r="H83" s="38" t="s">
        <v>11399</v>
      </c>
    </row>
    <row r="84">
      <c r="A84" s="37">
        <f>IFERROR(__xludf.DUMMYFUNCTION("""COMPUTED_VALUE"""),45901.84539569444)</f>
        <v>45901.8454</v>
      </c>
      <c r="B84" s="38" t="str">
        <f>IFERROR(__xludf.DUMMYFUNCTION("""COMPUTED_VALUE"""),"FEBRIANTHY ELISABET NA'U")</f>
        <v>FEBRIANTHY ELISABET NA'U</v>
      </c>
      <c r="C84" s="38" t="str">
        <f>IFERROR(__xludf.DUMMYFUNCTION("""COMPUTED_VALUE"""),"Belum disetujui")</f>
        <v>Belum disetujui</v>
      </c>
      <c r="D84" s="38"/>
      <c r="E84" s="38" t="s">
        <v>11415</v>
      </c>
      <c r="F84" s="38" t="s">
        <v>204</v>
      </c>
      <c r="G84" s="38" t="s">
        <v>11416</v>
      </c>
      <c r="H84" s="38" t="s">
        <v>11399</v>
      </c>
    </row>
    <row r="85">
      <c r="A85" s="37">
        <f>IFERROR(__xludf.DUMMYFUNCTION("""COMPUTED_VALUE"""),45901.84898120371)</f>
        <v>45901.84898</v>
      </c>
      <c r="B85" s="38" t="str">
        <f>IFERROR(__xludf.DUMMYFUNCTION("""COMPUTED_VALUE"""),"AINI RAHMATINI NATALIA MOESTAKIM")</f>
        <v>AINI RAHMATINI NATALIA MOESTAKIM</v>
      </c>
      <c r="C85" s="38" t="str">
        <f>IFERROR(__xludf.DUMMYFUNCTION("""COMPUTED_VALUE"""),"Belum disetujui")</f>
        <v>Belum disetujui</v>
      </c>
      <c r="D85" s="38"/>
      <c r="E85" s="38" t="s">
        <v>11409</v>
      </c>
      <c r="F85" s="38" t="s">
        <v>204</v>
      </c>
      <c r="G85" s="38" t="s">
        <v>11410</v>
      </c>
      <c r="H85" s="38" t="s">
        <v>11399</v>
      </c>
    </row>
    <row r="86">
      <c r="A86" s="37">
        <f>IFERROR(__xludf.DUMMYFUNCTION("""COMPUTED_VALUE"""),45901.84956012731)</f>
        <v>45901.84956</v>
      </c>
      <c r="B86" s="38" t="str">
        <f>IFERROR(__xludf.DUMMYFUNCTION("""COMPUTED_VALUE"""),"NUR FATIMAH MOLBANG")</f>
        <v>NUR FATIMAH MOLBANG</v>
      </c>
      <c r="C86" s="38" t="str">
        <f>IFERROR(__xludf.DUMMYFUNCTION("""COMPUTED_VALUE"""),"ACC")</f>
        <v>ACC</v>
      </c>
      <c r="D86" s="38" t="str">
        <f>IFERROR(__xludf.DUMMYFUNCTION("""COMPUTED_VALUE"""),"V50 Lite series")</f>
        <v>V50 Lite series</v>
      </c>
      <c r="E86" s="38" t="s">
        <v>11439</v>
      </c>
      <c r="F86" s="38" t="s">
        <v>313</v>
      </c>
      <c r="G86" s="38" t="s">
        <v>11440</v>
      </c>
      <c r="H86" s="38" t="s">
        <v>11424</v>
      </c>
    </row>
    <row r="87">
      <c r="A87" s="37">
        <f>IFERROR(__xludf.DUMMYFUNCTION("""COMPUTED_VALUE"""),45901.854148969906)</f>
        <v>45901.85415</v>
      </c>
      <c r="B87" s="38" t="str">
        <f>IFERROR(__xludf.DUMMYFUNCTION("""COMPUTED_VALUE"""),"ALDIANA WELIA PANIE")</f>
        <v>ALDIANA WELIA PANIE</v>
      </c>
      <c r="C87" s="38" t="str">
        <f>IFERROR(__xludf.DUMMYFUNCTION("""COMPUTED_VALUE"""),"Belum disetujui")</f>
        <v>Belum disetujui</v>
      </c>
      <c r="D87" s="38"/>
      <c r="E87" s="38" t="s">
        <v>11422</v>
      </c>
      <c r="F87" s="38" t="s">
        <v>215</v>
      </c>
      <c r="G87" s="38" t="s">
        <v>11423</v>
      </c>
      <c r="H87" s="38" t="s">
        <v>11424</v>
      </c>
    </row>
    <row r="88">
      <c r="A88" s="37">
        <f>IFERROR(__xludf.DUMMYFUNCTION("""COMPUTED_VALUE"""),45901.96731184028)</f>
        <v>45901.96731</v>
      </c>
      <c r="B88" s="38" t="str">
        <f>IFERROR(__xludf.DUMMYFUNCTION("""COMPUTED_VALUE"""),"PATRIANI MENGI ULY")</f>
        <v>PATRIANI MENGI ULY</v>
      </c>
      <c r="C88" s="38" t="str">
        <f>IFERROR(__xludf.DUMMYFUNCTION("""COMPUTED_VALUE"""),"ACC")</f>
        <v>ACC</v>
      </c>
      <c r="D88" s="38" t="str">
        <f>IFERROR(__xludf.DUMMYFUNCTION("""COMPUTED_VALUE"""),"Y400 series")</f>
        <v>Y400 series</v>
      </c>
      <c r="E88" s="38" t="s">
        <v>11402</v>
      </c>
      <c r="F88" s="38" t="s">
        <v>204</v>
      </c>
      <c r="G88" s="38" t="s">
        <v>11403</v>
      </c>
      <c r="H88" s="38" t="s">
        <v>11399</v>
      </c>
    </row>
    <row r="89">
      <c r="A89" s="37">
        <f>IFERROR(__xludf.DUMMYFUNCTION("""COMPUTED_VALUE"""),45902.43235957176)</f>
        <v>45902.43236</v>
      </c>
      <c r="B89" s="38" t="str">
        <f>IFERROR(__xludf.DUMMYFUNCTION("""COMPUTED_VALUE"""),"AINI RAHMATINI NATALIA MOESTAKIM")</f>
        <v>AINI RAHMATINI NATALIA MOESTAKIM</v>
      </c>
      <c r="C89" s="38" t="str">
        <f>IFERROR(__xludf.DUMMYFUNCTION("""COMPUTED_VALUE"""),"Belum disetujui")</f>
        <v>Belum disetujui</v>
      </c>
      <c r="D89" s="38"/>
      <c r="E89" s="38" t="s">
        <v>11409</v>
      </c>
      <c r="F89" s="38" t="s">
        <v>204</v>
      </c>
      <c r="G89" s="38" t="s">
        <v>11410</v>
      </c>
      <c r="H89" s="38" t="s">
        <v>11399</v>
      </c>
    </row>
    <row r="90">
      <c r="A90" s="37">
        <f>IFERROR(__xludf.DUMMYFUNCTION("""COMPUTED_VALUE"""),45902.437738657405)</f>
        <v>45902.43774</v>
      </c>
      <c r="B90" s="38" t="str">
        <f>IFERROR(__xludf.DUMMYFUNCTION("""COMPUTED_VALUE"""),"EMPI FRANGKI LIEM")</f>
        <v>EMPI FRANGKI LIEM</v>
      </c>
      <c r="C90" s="38" t="str">
        <f>IFERROR(__xludf.DUMMYFUNCTION("""COMPUTED_VALUE"""),"Belum disetujui")</f>
        <v>Belum disetujui</v>
      </c>
      <c r="D90" s="38"/>
      <c r="E90" s="38" t="s">
        <v>11397</v>
      </c>
      <c r="F90" s="38" t="s">
        <v>220</v>
      </c>
      <c r="G90" s="38" t="s">
        <v>11398</v>
      </c>
      <c r="H90" s="38" t="s">
        <v>11399</v>
      </c>
    </row>
    <row r="91">
      <c r="A91" s="37">
        <f>IFERROR(__xludf.DUMMYFUNCTION("""COMPUTED_VALUE"""),45902.460727233796)</f>
        <v>45902.46073</v>
      </c>
      <c r="B91" s="38" t="str">
        <f>IFERROR(__xludf.DUMMYFUNCTION("""COMPUTED_VALUE"""),"YASINTHA MBU")</f>
        <v>YASINTHA MBU</v>
      </c>
      <c r="C91" s="38" t="str">
        <f>IFERROR(__xludf.DUMMYFUNCTION("""COMPUTED_VALUE"""),"Belum disetujui")</f>
        <v>Belum disetujui</v>
      </c>
      <c r="D91" s="38"/>
      <c r="E91" s="38" t="s">
        <v>11407</v>
      </c>
      <c r="F91" s="38" t="s">
        <v>220</v>
      </c>
      <c r="G91" s="38" t="s">
        <v>11408</v>
      </c>
      <c r="H91" s="38" t="s">
        <v>11399</v>
      </c>
    </row>
    <row r="92">
      <c r="A92" s="37">
        <f>IFERROR(__xludf.DUMMYFUNCTION("""COMPUTED_VALUE"""),45902.46295875)</f>
        <v>45902.46296</v>
      </c>
      <c r="B92" s="38" t="str">
        <f>IFERROR(__xludf.DUMMYFUNCTION("""COMPUTED_VALUE"""),"ROS YANE KANA LUDJI")</f>
        <v>ROS YANE KANA LUDJI</v>
      </c>
      <c r="C92" s="38" t="str">
        <f>IFERROR(__xludf.DUMMYFUNCTION("""COMPUTED_VALUE"""),"Belum disetujui")</f>
        <v>Belum disetujui</v>
      </c>
      <c r="D92" s="38"/>
      <c r="E92" s="38" t="s">
        <v>11437</v>
      </c>
      <c r="F92" s="38" t="s">
        <v>204</v>
      </c>
      <c r="G92" s="38" t="s">
        <v>11438</v>
      </c>
      <c r="H92" s="38" t="s">
        <v>11399</v>
      </c>
    </row>
    <row r="93">
      <c r="A93" s="37">
        <f>IFERROR(__xludf.DUMMYFUNCTION("""COMPUTED_VALUE"""),45902.48496108797)</f>
        <v>45902.48496</v>
      </c>
      <c r="B93" s="38" t="str">
        <f>IFERROR(__xludf.DUMMYFUNCTION("""COMPUTED_VALUE"""),"YASINTHA MBU")</f>
        <v>YASINTHA MBU</v>
      </c>
      <c r="C93" s="38" t="str">
        <f>IFERROR(__xludf.DUMMYFUNCTION("""COMPUTED_VALUE"""),"Dapat limit tapi belum diproses")</f>
        <v>Dapat limit tapi belum diproses</v>
      </c>
      <c r="D93" s="38" t="str">
        <f>IFERROR(__xludf.DUMMYFUNCTION("""COMPUTED_VALUE"""),"Y400 series")</f>
        <v>Y400 series</v>
      </c>
      <c r="E93" s="38" t="s">
        <v>11407</v>
      </c>
      <c r="F93" s="38" t="s">
        <v>220</v>
      </c>
      <c r="G93" s="38" t="s">
        <v>11408</v>
      </c>
      <c r="H93" s="38" t="s">
        <v>11399</v>
      </c>
    </row>
    <row r="94">
      <c r="A94" s="37">
        <f>IFERROR(__xludf.DUMMYFUNCTION("""COMPUTED_VALUE"""),45902.51811761574)</f>
        <v>45902.51812</v>
      </c>
      <c r="B94" s="38" t="str">
        <f>IFERROR(__xludf.DUMMYFUNCTION("""COMPUTED_VALUE"""),"ADRIANA")</f>
        <v>ADRIANA</v>
      </c>
      <c r="C94" s="38" t="str">
        <f>IFERROR(__xludf.DUMMYFUNCTION("""COMPUTED_VALUE"""),"Belum disetujui")</f>
        <v>Belum disetujui</v>
      </c>
      <c r="D94" s="38"/>
      <c r="E94" s="38" t="s">
        <v>11433</v>
      </c>
      <c r="F94" s="38" t="s">
        <v>313</v>
      </c>
      <c r="G94" s="38" t="s">
        <v>11434</v>
      </c>
      <c r="H94" s="38" t="s">
        <v>11424</v>
      </c>
    </row>
    <row r="95">
      <c r="A95" s="37">
        <f>IFERROR(__xludf.DUMMYFUNCTION("""COMPUTED_VALUE"""),45902.5211544676)</f>
        <v>45902.52115</v>
      </c>
      <c r="B95" s="38" t="str">
        <f>IFERROR(__xludf.DUMMYFUNCTION("""COMPUTED_VALUE"""),"WARDIA")</f>
        <v>WARDIA</v>
      </c>
      <c r="C95" s="38" t="str">
        <f>IFERROR(__xludf.DUMMYFUNCTION("""COMPUTED_VALUE"""),"Belum disetujui")</f>
        <v>Belum disetujui</v>
      </c>
      <c r="D95" s="38"/>
      <c r="E95" s="38" t="s">
        <v>11409</v>
      </c>
      <c r="F95" s="38" t="s">
        <v>204</v>
      </c>
      <c r="G95" s="38" t="s">
        <v>11410</v>
      </c>
      <c r="H95" s="38" t="s">
        <v>11399</v>
      </c>
    </row>
    <row r="96">
      <c r="A96" s="37">
        <f>IFERROR(__xludf.DUMMYFUNCTION("""COMPUTED_VALUE"""),45902.52319717593)</f>
        <v>45902.5232</v>
      </c>
      <c r="B96" s="38" t="str">
        <f>IFERROR(__xludf.DUMMYFUNCTION("""COMPUTED_VALUE"""),"WARDIA")</f>
        <v>WARDIA</v>
      </c>
      <c r="C96" s="38" t="str">
        <f>IFERROR(__xludf.DUMMYFUNCTION("""COMPUTED_VALUE"""),"Belum disetujui")</f>
        <v>Belum disetujui</v>
      </c>
      <c r="D96" s="38"/>
      <c r="E96" s="38" t="s">
        <v>11409</v>
      </c>
      <c r="F96" s="38" t="s">
        <v>204</v>
      </c>
      <c r="G96" s="38" t="s">
        <v>11410</v>
      </c>
      <c r="H96" s="38" t="s">
        <v>11399</v>
      </c>
    </row>
    <row r="97">
      <c r="A97" s="37">
        <f>IFERROR(__xludf.DUMMYFUNCTION("""COMPUTED_VALUE"""),45902.545426805555)</f>
        <v>45902.54543</v>
      </c>
      <c r="B97" s="38" t="str">
        <f>IFERROR(__xludf.DUMMYFUNCTION("""COMPUTED_VALUE"""),"FEBRIANTHY ELISABET NA'U")</f>
        <v>FEBRIANTHY ELISABET NA'U</v>
      </c>
      <c r="C97" s="38" t="str">
        <f>IFERROR(__xludf.DUMMYFUNCTION("""COMPUTED_VALUE"""),"Belum disetujui")</f>
        <v>Belum disetujui</v>
      </c>
      <c r="D97" s="38"/>
      <c r="E97" s="38" t="s">
        <v>11415</v>
      </c>
      <c r="F97" s="38" t="s">
        <v>204</v>
      </c>
      <c r="G97" s="38" t="s">
        <v>11416</v>
      </c>
      <c r="H97" s="38" t="s">
        <v>11399</v>
      </c>
    </row>
    <row r="98">
      <c r="A98" s="37">
        <f>IFERROR(__xludf.DUMMYFUNCTION("""COMPUTED_VALUE"""),45902.555692581016)</f>
        <v>45902.55569</v>
      </c>
      <c r="B98" s="38" t="str">
        <f>IFERROR(__xludf.DUMMYFUNCTION("""COMPUTED_VALUE"""),"MERDA PUTRI BUNGSU KENAT")</f>
        <v>MERDA PUTRI BUNGSU KENAT</v>
      </c>
      <c r="C98" s="38" t="str">
        <f>IFERROR(__xludf.DUMMYFUNCTION("""COMPUTED_VALUE"""),"Dapat limit tapi belum diproses")</f>
        <v>Dapat limit tapi belum diproses</v>
      </c>
      <c r="D98" s="38" t="str">
        <f>IFERROR(__xludf.DUMMYFUNCTION("""COMPUTED_VALUE"""),"Y29 series")</f>
        <v>Y29 series</v>
      </c>
      <c r="E98" s="38" t="s">
        <v>11422</v>
      </c>
      <c r="F98" s="38" t="s">
        <v>215</v>
      </c>
      <c r="G98" s="38" t="s">
        <v>11423</v>
      </c>
      <c r="H98" s="38" t="s">
        <v>11424</v>
      </c>
    </row>
    <row r="99">
      <c r="A99" s="37">
        <f>IFERROR(__xludf.DUMMYFUNCTION("""COMPUTED_VALUE"""),45902.55781012731)</f>
        <v>45902.55781</v>
      </c>
      <c r="B99" s="38" t="str">
        <f>IFERROR(__xludf.DUMMYFUNCTION("""COMPUTED_VALUE"""),"MERDA PUTRI BUNGSU KENAT")</f>
        <v>MERDA PUTRI BUNGSU KENAT</v>
      </c>
      <c r="C99" s="38" t="str">
        <f>IFERROR(__xludf.DUMMYFUNCTION("""COMPUTED_VALUE"""),"Belum disetujui")</f>
        <v>Belum disetujui</v>
      </c>
      <c r="D99" s="38"/>
      <c r="E99" s="38" t="s">
        <v>11422</v>
      </c>
      <c r="F99" s="38" t="s">
        <v>215</v>
      </c>
      <c r="G99" s="38" t="s">
        <v>11423</v>
      </c>
      <c r="H99" s="38" t="s">
        <v>11424</v>
      </c>
    </row>
    <row r="100">
      <c r="A100" s="37">
        <f>IFERROR(__xludf.DUMMYFUNCTION("""COMPUTED_VALUE"""),45902.562344363425)</f>
        <v>45902.56234</v>
      </c>
      <c r="B100" s="38" t="str">
        <f>IFERROR(__xludf.DUMMYFUNCTION("""COMPUTED_VALUE"""),"SELVINCE BAKO")</f>
        <v>SELVINCE BAKO</v>
      </c>
      <c r="C100" s="38" t="str">
        <f>IFERROR(__xludf.DUMMYFUNCTION("""COMPUTED_VALUE"""),"Belum disetujui")</f>
        <v>Belum disetujui</v>
      </c>
      <c r="D100" s="38"/>
      <c r="E100" s="38" t="s">
        <v>11413</v>
      </c>
      <c r="F100" s="38" t="s">
        <v>204</v>
      </c>
      <c r="G100" s="38" t="s">
        <v>11414</v>
      </c>
      <c r="H100" s="38" t="s">
        <v>11399</v>
      </c>
    </row>
    <row r="101">
      <c r="A101" s="37">
        <f>IFERROR(__xludf.DUMMYFUNCTION("""COMPUTED_VALUE"""),45902.57149311343)</f>
        <v>45902.57149</v>
      </c>
      <c r="B101" s="38" t="str">
        <f>IFERROR(__xludf.DUMMYFUNCTION("""COMPUTED_VALUE"""),"BERGITHA NIA OLIN")</f>
        <v>BERGITHA NIA OLIN</v>
      </c>
      <c r="C101" s="38" t="str">
        <f>IFERROR(__xludf.DUMMYFUNCTION("""COMPUTED_VALUE"""),"Belum disetujui")</f>
        <v>Belum disetujui</v>
      </c>
      <c r="D101" s="38"/>
      <c r="E101" s="38" t="s">
        <v>11431</v>
      </c>
      <c r="F101" s="38" t="s">
        <v>313</v>
      </c>
      <c r="G101" s="38" t="s">
        <v>11432</v>
      </c>
      <c r="H101" s="38" t="s">
        <v>11424</v>
      </c>
    </row>
    <row r="102">
      <c r="A102" s="37">
        <f>IFERROR(__xludf.DUMMYFUNCTION("""COMPUTED_VALUE"""),45902.57340248842)</f>
        <v>45902.5734</v>
      </c>
      <c r="B102" s="38" t="str">
        <f>IFERROR(__xludf.DUMMYFUNCTION("""COMPUTED_VALUE"""),"BERGITHA NIA OLIN")</f>
        <v>BERGITHA NIA OLIN</v>
      </c>
      <c r="C102" s="38" t="str">
        <f>IFERROR(__xludf.DUMMYFUNCTION("""COMPUTED_VALUE"""),"Belum disetujui")</f>
        <v>Belum disetujui</v>
      </c>
      <c r="D102" s="38"/>
      <c r="E102" s="38" t="s">
        <v>11431</v>
      </c>
      <c r="F102" s="38" t="s">
        <v>313</v>
      </c>
      <c r="G102" s="38" t="s">
        <v>11432</v>
      </c>
      <c r="H102" s="38" t="s">
        <v>11424</v>
      </c>
    </row>
    <row r="103">
      <c r="A103" s="37">
        <f>IFERROR(__xludf.DUMMYFUNCTION("""COMPUTED_VALUE"""),45902.586242743055)</f>
        <v>45902.58624</v>
      </c>
      <c r="B103" s="38" t="str">
        <f>IFERROR(__xludf.DUMMYFUNCTION("""COMPUTED_VALUE"""),"ASRI NINGSI RAMBU ATA ENDI")</f>
        <v>ASRI NINGSI RAMBU ATA ENDI</v>
      </c>
      <c r="C103" s="38" t="str">
        <f>IFERROR(__xludf.DUMMYFUNCTION("""COMPUTED_VALUE"""),"Belum disetujui")</f>
        <v>Belum disetujui</v>
      </c>
      <c r="D103" s="38"/>
      <c r="E103" s="38" t="s">
        <v>11441</v>
      </c>
      <c r="F103" s="38" t="s">
        <v>205</v>
      </c>
      <c r="G103" s="38" t="s">
        <v>11442</v>
      </c>
      <c r="H103" s="38" t="s">
        <v>11419</v>
      </c>
    </row>
    <row r="104">
      <c r="A104" s="37">
        <f>IFERROR(__xludf.DUMMYFUNCTION("""COMPUTED_VALUE"""),45902.58930306713)</f>
        <v>45902.5893</v>
      </c>
      <c r="B104" s="38" t="str">
        <f>IFERROR(__xludf.DUMMYFUNCTION("""COMPUTED_VALUE"""),"ASRI NINGSI RAMBU ATA ENDI")</f>
        <v>ASRI NINGSI RAMBU ATA ENDI</v>
      </c>
      <c r="C104" s="38" t="str">
        <f>IFERROR(__xludf.DUMMYFUNCTION("""COMPUTED_VALUE"""),"Belum disetujui")</f>
        <v>Belum disetujui</v>
      </c>
      <c r="D104" s="38"/>
      <c r="E104" s="38" t="s">
        <v>11441</v>
      </c>
      <c r="F104" s="38" t="s">
        <v>205</v>
      </c>
      <c r="G104" s="38" t="s">
        <v>11442</v>
      </c>
      <c r="H104" s="38" t="s">
        <v>11419</v>
      </c>
    </row>
    <row r="105">
      <c r="A105" s="37">
        <f>IFERROR(__xludf.DUMMYFUNCTION("""COMPUTED_VALUE"""),45902.61159556713)</f>
        <v>45902.6116</v>
      </c>
      <c r="B105" s="38" t="str">
        <f>IFERROR(__xludf.DUMMYFUNCTION("""COMPUTED_VALUE"""),"FERI ELI KURNIAWAN")</f>
        <v>FERI ELI KURNIAWAN</v>
      </c>
      <c r="C105" s="38" t="str">
        <f>IFERROR(__xludf.DUMMYFUNCTION("""COMPUTED_VALUE"""),"Dapat limit tapi belum diproses")</f>
        <v>Dapat limit tapi belum diproses</v>
      </c>
      <c r="D105" s="38" t="str">
        <f>IFERROR(__xludf.DUMMYFUNCTION("""COMPUTED_VALUE"""),"Y400 series")</f>
        <v>Y400 series</v>
      </c>
      <c r="E105" s="38" t="s">
        <v>11411</v>
      </c>
      <c r="F105" s="38" t="s">
        <v>220</v>
      </c>
      <c r="G105" s="38" t="s">
        <v>11412</v>
      </c>
      <c r="H105" s="38" t="s">
        <v>11399</v>
      </c>
    </row>
    <row r="106">
      <c r="A106" s="37">
        <f>IFERROR(__xludf.DUMMYFUNCTION("""COMPUTED_VALUE"""),45902.6442158449)</f>
        <v>45902.64422</v>
      </c>
      <c r="B106" s="38" t="str">
        <f>IFERROR(__xludf.DUMMYFUNCTION("""COMPUTED_VALUE"""),"EMPI FRANGKI LIEM")</f>
        <v>EMPI FRANGKI LIEM</v>
      </c>
      <c r="C106" s="38" t="str">
        <f>IFERROR(__xludf.DUMMYFUNCTION("""COMPUTED_VALUE"""),"Belum disetujui")</f>
        <v>Belum disetujui</v>
      </c>
      <c r="D106" s="38"/>
      <c r="E106" s="38" t="s">
        <v>11397</v>
      </c>
      <c r="F106" s="38" t="s">
        <v>220</v>
      </c>
      <c r="G106" s="38" t="s">
        <v>11398</v>
      </c>
      <c r="H106" s="38" t="s">
        <v>11399</v>
      </c>
    </row>
    <row r="107">
      <c r="A107" s="37">
        <f>IFERROR(__xludf.DUMMYFUNCTION("""COMPUTED_VALUE"""),45902.6628462963)</f>
        <v>45902.66285</v>
      </c>
      <c r="B107" s="38" t="str">
        <f>IFERROR(__xludf.DUMMYFUNCTION("""COMPUTED_VALUE"""),"WINDRI MANOE")</f>
        <v>WINDRI MANOE</v>
      </c>
      <c r="C107" s="38" t="str">
        <f>IFERROR(__xludf.DUMMYFUNCTION("""COMPUTED_VALUE"""),"Belum disetujui")</f>
        <v>Belum disetujui</v>
      </c>
      <c r="D107" s="38"/>
      <c r="E107" s="38" t="s">
        <v>11443</v>
      </c>
      <c r="F107" s="38" t="s">
        <v>220</v>
      </c>
      <c r="G107" s="38" t="s">
        <v>11444</v>
      </c>
      <c r="H107" s="38" t="s">
        <v>11399</v>
      </c>
    </row>
    <row r="108">
      <c r="A108" s="37">
        <f>IFERROR(__xludf.DUMMYFUNCTION("""COMPUTED_VALUE"""),45902.66591690972)</f>
        <v>45902.66592</v>
      </c>
      <c r="B108" s="38" t="str">
        <f>IFERROR(__xludf.DUMMYFUNCTION("""COMPUTED_VALUE"""),"IRENE NOVALIA KADJU")</f>
        <v>IRENE NOVALIA KADJU</v>
      </c>
      <c r="C108" s="38" t="str">
        <f>IFERROR(__xludf.DUMMYFUNCTION("""COMPUTED_VALUE"""),"Belum disetujui")</f>
        <v>Belum disetujui</v>
      </c>
      <c r="D108" s="38"/>
      <c r="E108" s="38" t="s">
        <v>11445</v>
      </c>
      <c r="F108" s="38" t="s">
        <v>204</v>
      </c>
      <c r="G108" s="38" t="s">
        <v>11446</v>
      </c>
      <c r="H108" s="38" t="s">
        <v>11399</v>
      </c>
    </row>
    <row r="109">
      <c r="A109" s="37">
        <f>IFERROR(__xludf.DUMMYFUNCTION("""COMPUTED_VALUE"""),45902.6692593287)</f>
        <v>45902.66926</v>
      </c>
      <c r="B109" s="38" t="str">
        <f>IFERROR(__xludf.DUMMYFUNCTION("""COMPUTED_VALUE"""),"SULIS NURAINI INSYATUN")</f>
        <v>SULIS NURAINI INSYATUN</v>
      </c>
      <c r="C109" s="38" t="str">
        <f>IFERROR(__xludf.DUMMYFUNCTION("""COMPUTED_VALUE"""),"Dapat limit tapi belum diproses")</f>
        <v>Dapat limit tapi belum diproses</v>
      </c>
      <c r="D109" s="38" t="str">
        <f>IFERROR(__xludf.DUMMYFUNCTION("""COMPUTED_VALUE"""),"Y400 series")</f>
        <v>Y400 series</v>
      </c>
      <c r="E109" s="38" t="s">
        <v>11429</v>
      </c>
      <c r="F109" s="38" t="s">
        <v>257</v>
      </c>
      <c r="G109" s="38" t="s">
        <v>11430</v>
      </c>
      <c r="H109" s="38" t="s">
        <v>11419</v>
      </c>
    </row>
    <row r="110">
      <c r="A110" s="37">
        <f>IFERROR(__xludf.DUMMYFUNCTION("""COMPUTED_VALUE"""),45902.69138204861)</f>
        <v>45902.69138</v>
      </c>
      <c r="B110" s="38" t="str">
        <f>IFERROR(__xludf.DUMMYFUNCTION("""COMPUTED_VALUE"""),"ADRIANA")</f>
        <v>ADRIANA</v>
      </c>
      <c r="C110" s="38" t="str">
        <f>IFERROR(__xludf.DUMMYFUNCTION("""COMPUTED_VALUE"""),"Belum disetujui")</f>
        <v>Belum disetujui</v>
      </c>
      <c r="D110" s="38"/>
      <c r="E110" s="38" t="s">
        <v>11433</v>
      </c>
      <c r="F110" s="38" t="s">
        <v>313</v>
      </c>
      <c r="G110" s="38" t="s">
        <v>11434</v>
      </c>
      <c r="H110" s="38" t="s">
        <v>11424</v>
      </c>
    </row>
    <row r="111">
      <c r="A111" s="37">
        <f>IFERROR(__xludf.DUMMYFUNCTION("""COMPUTED_VALUE"""),45902.70738878472)</f>
        <v>45902.70739</v>
      </c>
      <c r="B111" s="38" t="str">
        <f>IFERROR(__xludf.DUMMYFUNCTION("""COMPUTED_VALUE"""),"YOHANIS TIPNONI")</f>
        <v>YOHANIS TIPNONI</v>
      </c>
      <c r="C111" s="38" t="str">
        <f>IFERROR(__xludf.DUMMYFUNCTION("""COMPUTED_VALUE"""),"Belum disetujui")</f>
        <v>Belum disetujui</v>
      </c>
      <c r="D111" s="38"/>
      <c r="E111" s="38" t="s">
        <v>11405</v>
      </c>
      <c r="F111" s="38" t="s">
        <v>220</v>
      </c>
      <c r="G111" s="38" t="s">
        <v>11406</v>
      </c>
      <c r="H111" s="38" t="s">
        <v>11399</v>
      </c>
    </row>
    <row r="112">
      <c r="A112" s="37">
        <f>IFERROR(__xludf.DUMMYFUNCTION("""COMPUTED_VALUE"""),45902.72966157408)</f>
        <v>45902.72966</v>
      </c>
      <c r="B112" s="38" t="str">
        <f>IFERROR(__xludf.DUMMYFUNCTION("""COMPUTED_VALUE"""),"MARNITHA JUWIKE TIMORATI RUNESI")</f>
        <v>MARNITHA JUWIKE TIMORATI RUNESI</v>
      </c>
      <c r="C112" s="38" t="str">
        <f>IFERROR(__xludf.DUMMYFUNCTION("""COMPUTED_VALUE"""),"Dapat limit tapi belum diproses")</f>
        <v>Dapat limit tapi belum diproses</v>
      </c>
      <c r="D112" s="38" t="str">
        <f>IFERROR(__xludf.DUMMYFUNCTION("""COMPUTED_VALUE"""),"V50 Lite series")</f>
        <v>V50 Lite series</v>
      </c>
      <c r="E112" s="38" t="s">
        <v>11420</v>
      </c>
      <c r="F112" s="38" t="s">
        <v>204</v>
      </c>
      <c r="G112" s="38" t="s">
        <v>11421</v>
      </c>
      <c r="H112" s="38" t="s">
        <v>11399</v>
      </c>
    </row>
    <row r="113">
      <c r="A113" s="37">
        <f>IFERROR(__xludf.DUMMYFUNCTION("""COMPUTED_VALUE"""),45902.7455541088)</f>
        <v>45902.74555</v>
      </c>
      <c r="B113" s="38" t="str">
        <f>IFERROR(__xludf.DUMMYFUNCTION("""COMPUTED_VALUE"""),"ALITA D PAU")</f>
        <v>ALITA D PAU</v>
      </c>
      <c r="C113" s="38" t="str">
        <f>IFERROR(__xludf.DUMMYFUNCTION("""COMPUTED_VALUE"""),"Dapat limit tapi belum diproses")</f>
        <v>Dapat limit tapi belum diproses</v>
      </c>
      <c r="D113" s="38" t="str">
        <f>IFERROR(__xludf.DUMMYFUNCTION("""COMPUTED_VALUE"""),"Y29 series")</f>
        <v>Y29 series</v>
      </c>
      <c r="E113" s="38" t="s">
        <v>11447</v>
      </c>
      <c r="F113" s="38" t="s">
        <v>205</v>
      </c>
      <c r="G113" s="38" t="s">
        <v>11448</v>
      </c>
      <c r="H113" s="38" t="s">
        <v>11419</v>
      </c>
    </row>
    <row r="114">
      <c r="A114" s="37">
        <f>IFERROR(__xludf.DUMMYFUNCTION("""COMPUTED_VALUE"""),45902.791140208334)</f>
        <v>45902.79114</v>
      </c>
      <c r="B114" s="38" t="str">
        <f>IFERROR(__xludf.DUMMYFUNCTION("""COMPUTED_VALUE"""),"SELVINCE BAKO")</f>
        <v>SELVINCE BAKO</v>
      </c>
      <c r="C114" s="38" t="str">
        <f>IFERROR(__xludf.DUMMYFUNCTION("""COMPUTED_VALUE"""),"Belum disetujui")</f>
        <v>Belum disetujui</v>
      </c>
      <c r="D114" s="38"/>
      <c r="E114" s="38" t="s">
        <v>11413</v>
      </c>
      <c r="F114" s="38" t="s">
        <v>204</v>
      </c>
      <c r="G114" s="38" t="s">
        <v>11414</v>
      </c>
      <c r="H114" s="38" t="s">
        <v>11399</v>
      </c>
    </row>
    <row r="115">
      <c r="A115" s="37">
        <f>IFERROR(__xludf.DUMMYFUNCTION("""COMPUTED_VALUE"""),45902.79341953703)</f>
        <v>45902.79342</v>
      </c>
      <c r="B115" s="38" t="str">
        <f>IFERROR(__xludf.DUMMYFUNCTION("""COMPUTED_VALUE"""),"DEMARISTI S H FENI")</f>
        <v>DEMARISTI S H FENI</v>
      </c>
      <c r="C115" s="38" t="str">
        <f>IFERROR(__xludf.DUMMYFUNCTION("""COMPUTED_VALUE"""),"Belum disetujui")</f>
        <v>Belum disetujui</v>
      </c>
      <c r="D115" s="38"/>
      <c r="E115" s="38" t="s">
        <v>11404</v>
      </c>
      <c r="F115" s="38" t="s">
        <v>11404</v>
      </c>
      <c r="G115" s="38" t="s">
        <v>11404</v>
      </c>
      <c r="H115" s="38" t="s">
        <v>11404</v>
      </c>
    </row>
    <row r="116">
      <c r="A116" s="37">
        <f>IFERROR(__xludf.DUMMYFUNCTION("""COMPUTED_VALUE"""),45902.80699758102)</f>
        <v>45902.807</v>
      </c>
      <c r="B116" s="38" t="str">
        <f>IFERROR(__xludf.DUMMYFUNCTION("""COMPUTED_VALUE"""),"DEWI RAHMAN")</f>
        <v>DEWI RAHMAN</v>
      </c>
      <c r="C116" s="38" t="str">
        <f>IFERROR(__xludf.DUMMYFUNCTION("""COMPUTED_VALUE"""),"Belum disetujui")</f>
        <v>Belum disetujui</v>
      </c>
      <c r="D116" s="38"/>
      <c r="E116" s="38" t="s">
        <v>11449</v>
      </c>
      <c r="F116" s="38" t="s">
        <v>11450</v>
      </c>
      <c r="G116" s="38" t="s">
        <v>11451</v>
      </c>
      <c r="H116" s="38" t="s">
        <v>11424</v>
      </c>
    </row>
    <row r="117">
      <c r="A117" s="37">
        <f>IFERROR(__xludf.DUMMYFUNCTION("""COMPUTED_VALUE"""),45902.81807995371)</f>
        <v>45902.81808</v>
      </c>
      <c r="B117" s="38" t="str">
        <f>IFERROR(__xludf.DUMMYFUNCTION("""COMPUTED_VALUE"""),"NOVANTRY RUTHANIA NAFFIE")</f>
        <v>NOVANTRY RUTHANIA NAFFIE</v>
      </c>
      <c r="C117" s="38" t="str">
        <f>IFERROR(__xludf.DUMMYFUNCTION("""COMPUTED_VALUE"""),"Belum disetujui")</f>
        <v>Belum disetujui</v>
      </c>
      <c r="D117" s="38"/>
      <c r="E117" s="38" t="s">
        <v>11397</v>
      </c>
      <c r="F117" s="38" t="s">
        <v>220</v>
      </c>
      <c r="G117" s="38" t="s">
        <v>11398</v>
      </c>
      <c r="H117" s="38" t="s">
        <v>11399</v>
      </c>
    </row>
    <row r="118">
      <c r="A118" s="37">
        <f>IFERROR(__xludf.DUMMYFUNCTION("""COMPUTED_VALUE"""),45902.823619282404)</f>
        <v>45902.82362</v>
      </c>
      <c r="B118" s="38" t="str">
        <f>IFERROR(__xludf.DUMMYFUNCTION("""COMPUTED_VALUE"""),"YOVANDA KATRINA NAE")</f>
        <v>YOVANDA KATRINA NAE</v>
      </c>
      <c r="C118" s="38" t="str">
        <f>IFERROR(__xludf.DUMMYFUNCTION("""COMPUTED_VALUE"""),"Belum disetujui")</f>
        <v>Belum disetujui</v>
      </c>
      <c r="D118" s="38"/>
      <c r="E118" s="38" t="s">
        <v>11425</v>
      </c>
      <c r="F118" s="38" t="s">
        <v>205</v>
      </c>
      <c r="G118" s="38" t="s">
        <v>11426</v>
      </c>
      <c r="H118" s="38" t="s">
        <v>11419</v>
      </c>
    </row>
    <row r="119">
      <c r="A119" s="37">
        <f>IFERROR(__xludf.DUMMYFUNCTION("""COMPUTED_VALUE"""),45902.824095497686)</f>
        <v>45902.8241</v>
      </c>
      <c r="B119" s="38" t="str">
        <f>IFERROR(__xludf.DUMMYFUNCTION("""COMPUTED_VALUE"""),"YOHANIS TIPNONI")</f>
        <v>YOHANIS TIPNONI</v>
      </c>
      <c r="C119" s="38" t="str">
        <f>IFERROR(__xludf.DUMMYFUNCTION("""COMPUTED_VALUE"""),"Belum disetujui")</f>
        <v>Belum disetujui</v>
      </c>
      <c r="D119" s="38"/>
      <c r="E119" s="38" t="s">
        <v>11405</v>
      </c>
      <c r="F119" s="38" t="s">
        <v>220</v>
      </c>
      <c r="G119" s="38" t="s">
        <v>11406</v>
      </c>
      <c r="H119" s="38" t="s">
        <v>11399</v>
      </c>
    </row>
    <row r="120">
      <c r="A120" s="37">
        <f>IFERROR(__xludf.DUMMYFUNCTION("""COMPUTED_VALUE"""),45902.82572391204)</f>
        <v>45902.82572</v>
      </c>
      <c r="B120" s="38" t="str">
        <f>IFERROR(__xludf.DUMMYFUNCTION("""COMPUTED_VALUE"""),"YOHANIS TIPNONI")</f>
        <v>YOHANIS TIPNONI</v>
      </c>
      <c r="C120" s="38" t="str">
        <f>IFERROR(__xludf.DUMMYFUNCTION("""COMPUTED_VALUE"""),"Belum disetujui")</f>
        <v>Belum disetujui</v>
      </c>
      <c r="D120" s="38"/>
      <c r="E120" s="38" t="s">
        <v>11405</v>
      </c>
      <c r="F120" s="38" t="s">
        <v>220</v>
      </c>
      <c r="G120" s="38" t="s">
        <v>11406</v>
      </c>
      <c r="H120" s="38" t="s">
        <v>11399</v>
      </c>
    </row>
    <row r="121">
      <c r="A121" s="37">
        <f>IFERROR(__xludf.DUMMYFUNCTION("""COMPUTED_VALUE"""),45902.82857892361)</f>
        <v>45902.82858</v>
      </c>
      <c r="B121" s="38" t="str">
        <f>IFERROR(__xludf.DUMMYFUNCTION("""COMPUTED_VALUE"""),"WARDIA")</f>
        <v>WARDIA</v>
      </c>
      <c r="C121" s="38" t="str">
        <f>IFERROR(__xludf.DUMMYFUNCTION("""COMPUTED_VALUE"""),"Belum disetujui")</f>
        <v>Belum disetujui</v>
      </c>
      <c r="D121" s="38"/>
      <c r="E121" s="38" t="s">
        <v>11409</v>
      </c>
      <c r="F121" s="38" t="s">
        <v>204</v>
      </c>
      <c r="G121" s="38" t="s">
        <v>11410</v>
      </c>
      <c r="H121" s="38" t="s">
        <v>11399</v>
      </c>
    </row>
    <row r="122">
      <c r="A122" s="37">
        <f>IFERROR(__xludf.DUMMYFUNCTION("""COMPUTED_VALUE"""),45902.851255347225)</f>
        <v>45902.85126</v>
      </c>
      <c r="B122" s="38" t="str">
        <f>IFERROR(__xludf.DUMMYFUNCTION("""COMPUTED_VALUE"""),"EMPI FRANGKI LIEM")</f>
        <v>EMPI FRANGKI LIEM</v>
      </c>
      <c r="C122" s="38" t="str">
        <f>IFERROR(__xludf.DUMMYFUNCTION("""COMPUTED_VALUE"""),"ACC")</f>
        <v>ACC</v>
      </c>
      <c r="D122" s="38" t="str">
        <f>IFERROR(__xludf.DUMMYFUNCTION("""COMPUTED_VALUE"""),"Y400 series")</f>
        <v>Y400 series</v>
      </c>
      <c r="E122" s="38" t="s">
        <v>11397</v>
      </c>
      <c r="F122" s="38" t="s">
        <v>220</v>
      </c>
      <c r="G122" s="38" t="s">
        <v>11398</v>
      </c>
      <c r="H122" s="38" t="s">
        <v>11399</v>
      </c>
    </row>
    <row r="123">
      <c r="A123" s="37">
        <f>IFERROR(__xludf.DUMMYFUNCTION("""COMPUTED_VALUE"""),45902.85840118055)</f>
        <v>45902.8584</v>
      </c>
      <c r="B123" s="38" t="str">
        <f>IFERROR(__xludf.DUMMYFUNCTION("""COMPUTED_VALUE"""),"NOVANTRY RUTHANIA NAFFIE")</f>
        <v>NOVANTRY RUTHANIA NAFFIE</v>
      </c>
      <c r="C123" s="38" t="str">
        <f>IFERROR(__xludf.DUMMYFUNCTION("""COMPUTED_VALUE"""),"Belum disetujui")</f>
        <v>Belum disetujui</v>
      </c>
      <c r="D123" s="38"/>
      <c r="E123" s="38" t="s">
        <v>11397</v>
      </c>
      <c r="F123" s="38" t="s">
        <v>220</v>
      </c>
      <c r="G123" s="38" t="s">
        <v>11398</v>
      </c>
      <c r="H123" s="38" t="s">
        <v>11399</v>
      </c>
    </row>
    <row r="124">
      <c r="A124" s="37">
        <f>IFERROR(__xludf.DUMMYFUNCTION("""COMPUTED_VALUE"""),45902.8599237963)</f>
        <v>45902.85992</v>
      </c>
      <c r="B124" s="38" t="str">
        <f>IFERROR(__xludf.DUMMYFUNCTION("""COMPUTED_VALUE"""),"LINDA MELSIANA ELLO")</f>
        <v>LINDA MELSIANA ELLO</v>
      </c>
      <c r="C124" s="38" t="str">
        <f>IFERROR(__xludf.DUMMYFUNCTION("""COMPUTED_VALUE"""),"Belum disetujui")</f>
        <v>Belum disetujui</v>
      </c>
      <c r="D124" s="38"/>
      <c r="E124" s="38" t="s">
        <v>11435</v>
      </c>
      <c r="F124" s="38" t="s">
        <v>215</v>
      </c>
      <c r="G124" s="38" t="s">
        <v>11436</v>
      </c>
      <c r="H124" s="38" t="s">
        <v>11424</v>
      </c>
    </row>
    <row r="125">
      <c r="A125" s="37">
        <f>IFERROR(__xludf.DUMMYFUNCTION("""COMPUTED_VALUE"""),45902.862251921295)</f>
        <v>45902.86225</v>
      </c>
      <c r="B125" s="38" t="str">
        <f>IFERROR(__xludf.DUMMYFUNCTION("""COMPUTED_VALUE"""),"LINDA MELSIANA ELLO")</f>
        <v>LINDA MELSIANA ELLO</v>
      </c>
      <c r="C125" s="38" t="str">
        <f>IFERROR(__xludf.DUMMYFUNCTION("""COMPUTED_VALUE"""),"Belum disetujui")</f>
        <v>Belum disetujui</v>
      </c>
      <c r="D125" s="38"/>
      <c r="E125" s="38" t="s">
        <v>11435</v>
      </c>
      <c r="F125" s="38" t="s">
        <v>215</v>
      </c>
      <c r="G125" s="38" t="s">
        <v>11436</v>
      </c>
      <c r="H125" s="38" t="s">
        <v>11424</v>
      </c>
    </row>
    <row r="126">
      <c r="A126" s="37">
        <f>IFERROR(__xludf.DUMMYFUNCTION("""COMPUTED_VALUE"""),45902.87992450232)</f>
        <v>45902.87992</v>
      </c>
      <c r="B126" s="38" t="str">
        <f>IFERROR(__xludf.DUMMYFUNCTION("""COMPUTED_VALUE"""),"FERI ELI KURNIAWAN")</f>
        <v>FERI ELI KURNIAWAN</v>
      </c>
      <c r="C126" s="38" t="str">
        <f>IFERROR(__xludf.DUMMYFUNCTION("""COMPUTED_VALUE"""),"Belum disetujui")</f>
        <v>Belum disetujui</v>
      </c>
      <c r="D126" s="38"/>
      <c r="E126" s="38" t="s">
        <v>11411</v>
      </c>
      <c r="F126" s="38" t="s">
        <v>220</v>
      </c>
      <c r="G126" s="38" t="s">
        <v>11412</v>
      </c>
      <c r="H126" s="38" t="s">
        <v>11399</v>
      </c>
    </row>
    <row r="127">
      <c r="A127" s="37">
        <f>IFERROR(__xludf.DUMMYFUNCTION("""COMPUTED_VALUE"""),45902.88612643519)</f>
        <v>45902.88613</v>
      </c>
      <c r="B127" s="38" t="str">
        <f>IFERROR(__xludf.DUMMYFUNCTION("""COMPUTED_VALUE"""),"MARATHA MARLINDA FANGGIDAE")</f>
        <v>MARATHA MARLINDA FANGGIDAE</v>
      </c>
      <c r="C127" s="38" t="str">
        <f>IFERROR(__xludf.DUMMYFUNCTION("""COMPUTED_VALUE"""),"ACC")</f>
        <v>ACC</v>
      </c>
      <c r="D127" s="38" t="str">
        <f>IFERROR(__xludf.DUMMYFUNCTION("""COMPUTED_VALUE"""),"Y400 series")</f>
        <v>Y400 series</v>
      </c>
      <c r="E127" s="38" t="s">
        <v>11435</v>
      </c>
      <c r="F127" s="38" t="s">
        <v>215</v>
      </c>
      <c r="G127" s="38" t="s">
        <v>11436</v>
      </c>
      <c r="H127" s="38" t="s">
        <v>11424</v>
      </c>
    </row>
    <row r="128">
      <c r="A128" s="37">
        <f>IFERROR(__xludf.DUMMYFUNCTION("""COMPUTED_VALUE"""),45902.88852997685)</f>
        <v>45902.88853</v>
      </c>
      <c r="B128" s="38" t="str">
        <f>IFERROR(__xludf.DUMMYFUNCTION("""COMPUTED_VALUE"""),"DWITNEY PRETY WANGGANDIMA")</f>
        <v>DWITNEY PRETY WANGGANDIMA</v>
      </c>
      <c r="C128" s="38" t="str">
        <f>IFERROR(__xludf.DUMMYFUNCTION("""COMPUTED_VALUE"""),"Belum disetujui")</f>
        <v>Belum disetujui</v>
      </c>
      <c r="D128" s="38"/>
      <c r="E128" s="38" t="s">
        <v>11443</v>
      </c>
      <c r="F128" s="38" t="s">
        <v>220</v>
      </c>
      <c r="G128" s="38" t="s">
        <v>11444</v>
      </c>
      <c r="H128" s="38" t="s">
        <v>11399</v>
      </c>
    </row>
    <row r="129">
      <c r="A129" s="37">
        <f>IFERROR(__xludf.DUMMYFUNCTION("""COMPUTED_VALUE"""),45902.89837310185)</f>
        <v>45902.89837</v>
      </c>
      <c r="B129" s="38" t="str">
        <f>IFERROR(__xludf.DUMMYFUNCTION("""COMPUTED_VALUE"""),"YOHANA NOVIANA MARIANA GAA")</f>
        <v>YOHANA NOVIANA MARIANA GAA</v>
      </c>
      <c r="C129" s="38" t="str">
        <f>IFERROR(__xludf.DUMMYFUNCTION("""COMPUTED_VALUE"""),"Belum disetujui")</f>
        <v>Belum disetujui</v>
      </c>
      <c r="D129" s="38"/>
      <c r="E129" s="38" t="s">
        <v>11400</v>
      </c>
      <c r="F129" s="38" t="s">
        <v>204</v>
      </c>
      <c r="G129" s="38" t="s">
        <v>11401</v>
      </c>
      <c r="H129" s="38" t="s">
        <v>11399</v>
      </c>
    </row>
    <row r="130">
      <c r="A130" s="37">
        <f>IFERROR(__xludf.DUMMYFUNCTION("""COMPUTED_VALUE"""),45902.91563149306)</f>
        <v>45902.91563</v>
      </c>
      <c r="B130" s="38" t="str">
        <f>IFERROR(__xludf.DUMMYFUNCTION("""COMPUTED_VALUE"""),"BERGITHA NIA OLIN")</f>
        <v>BERGITHA NIA OLIN</v>
      </c>
      <c r="C130" s="38" t="str">
        <f>IFERROR(__xludf.DUMMYFUNCTION("""COMPUTED_VALUE"""),"ACC")</f>
        <v>ACC</v>
      </c>
      <c r="D130" s="38" t="str">
        <f>IFERROR(__xludf.DUMMYFUNCTION("""COMPUTED_VALUE"""),"V50 series")</f>
        <v>V50 series</v>
      </c>
      <c r="E130" s="38" t="s">
        <v>11431</v>
      </c>
      <c r="F130" s="38" t="s">
        <v>313</v>
      </c>
      <c r="G130" s="38" t="s">
        <v>11432</v>
      </c>
      <c r="H130" s="38" t="s">
        <v>11424</v>
      </c>
    </row>
    <row r="131">
      <c r="A131" s="37">
        <f>IFERROR(__xludf.DUMMYFUNCTION("""COMPUTED_VALUE"""),45903.41674042824)</f>
        <v>45903.41674</v>
      </c>
      <c r="B131" s="38" t="str">
        <f>IFERROR(__xludf.DUMMYFUNCTION("""COMPUTED_VALUE"""),"HERONIMUS NAMU WALI")</f>
        <v>HERONIMUS NAMU WALI</v>
      </c>
      <c r="C131" s="38" t="str">
        <f>IFERROR(__xludf.DUMMYFUNCTION("""COMPUTED_VALUE"""),"Belum disetujui")</f>
        <v>Belum disetujui</v>
      </c>
      <c r="D131" s="38"/>
      <c r="E131" s="38" t="s">
        <v>11452</v>
      </c>
      <c r="F131" s="38" t="s">
        <v>205</v>
      </c>
      <c r="G131" s="38" t="s">
        <v>11453</v>
      </c>
      <c r="H131" s="38" t="s">
        <v>11419</v>
      </c>
    </row>
    <row r="132">
      <c r="A132" s="37">
        <f>IFERROR(__xludf.DUMMYFUNCTION("""COMPUTED_VALUE"""),45903.421036493055)</f>
        <v>45903.42104</v>
      </c>
      <c r="B132" s="38" t="str">
        <f>IFERROR(__xludf.DUMMYFUNCTION("""COMPUTED_VALUE"""),"SULIS NURAINI INSYATUN")</f>
        <v>SULIS NURAINI INSYATUN</v>
      </c>
      <c r="C132" s="38" t="str">
        <f>IFERROR(__xludf.DUMMYFUNCTION("""COMPUTED_VALUE"""),"Belum disetujui")</f>
        <v>Belum disetujui</v>
      </c>
      <c r="D132" s="38"/>
      <c r="E132" s="38" t="s">
        <v>11429</v>
      </c>
      <c r="F132" s="38" t="s">
        <v>257</v>
      </c>
      <c r="G132" s="38" t="s">
        <v>11430</v>
      </c>
      <c r="H132" s="38" t="s">
        <v>11419</v>
      </c>
    </row>
    <row r="133">
      <c r="A133" s="37">
        <f>IFERROR(__xludf.DUMMYFUNCTION("""COMPUTED_VALUE"""),45903.4338397338)</f>
        <v>45903.43384</v>
      </c>
      <c r="B133" s="38" t="str">
        <f>IFERROR(__xludf.DUMMYFUNCTION("""COMPUTED_VALUE"""),"MARNITHA JUWIKE TIMORATI RUNESI")</f>
        <v>MARNITHA JUWIKE TIMORATI RUNESI</v>
      </c>
      <c r="C133" s="38" t="str">
        <f>IFERROR(__xludf.DUMMYFUNCTION("""COMPUTED_VALUE"""),"Dapat limit tapi belum diproses")</f>
        <v>Dapat limit tapi belum diproses</v>
      </c>
      <c r="D133" s="38" t="str">
        <f>IFERROR(__xludf.DUMMYFUNCTION("""COMPUTED_VALUE"""),"Y400 series")</f>
        <v>Y400 series</v>
      </c>
      <c r="E133" s="38" t="s">
        <v>11420</v>
      </c>
      <c r="F133" s="38" t="s">
        <v>204</v>
      </c>
      <c r="G133" s="38" t="s">
        <v>11421</v>
      </c>
      <c r="H133" s="38" t="s">
        <v>11399</v>
      </c>
    </row>
    <row r="134">
      <c r="A134" s="37">
        <f>IFERROR(__xludf.DUMMYFUNCTION("""COMPUTED_VALUE"""),45903.45964724537)</f>
        <v>45903.45965</v>
      </c>
      <c r="B134" s="38" t="str">
        <f>IFERROR(__xludf.DUMMYFUNCTION("""COMPUTED_VALUE"""),"NOVANTRY RUTHANIA NAFFIE")</f>
        <v>NOVANTRY RUTHANIA NAFFIE</v>
      </c>
      <c r="C134" s="38" t="str">
        <f>IFERROR(__xludf.DUMMYFUNCTION("""COMPUTED_VALUE"""),"Belum disetujui")</f>
        <v>Belum disetujui</v>
      </c>
      <c r="D134" s="38"/>
      <c r="E134" s="38" t="s">
        <v>11397</v>
      </c>
      <c r="F134" s="38" t="s">
        <v>220</v>
      </c>
      <c r="G134" s="38" t="s">
        <v>11398</v>
      </c>
      <c r="H134" s="38" t="s">
        <v>11399</v>
      </c>
    </row>
    <row r="135">
      <c r="A135" s="37">
        <f>IFERROR(__xludf.DUMMYFUNCTION("""COMPUTED_VALUE"""),45903.4620721875)</f>
        <v>45903.46207</v>
      </c>
      <c r="B135" s="38" t="str">
        <f>IFERROR(__xludf.DUMMYFUNCTION("""COMPUTED_VALUE"""),"DEWI RAHMAN")</f>
        <v>DEWI RAHMAN</v>
      </c>
      <c r="C135" s="38" t="str">
        <f>IFERROR(__xludf.DUMMYFUNCTION("""COMPUTED_VALUE"""),"Belum disetujui")</f>
        <v>Belum disetujui</v>
      </c>
      <c r="D135" s="38"/>
      <c r="E135" s="38" t="s">
        <v>11449</v>
      </c>
      <c r="F135" s="38" t="s">
        <v>11450</v>
      </c>
      <c r="G135" s="38" t="s">
        <v>11451</v>
      </c>
      <c r="H135" s="38" t="s">
        <v>11424</v>
      </c>
    </row>
    <row r="136">
      <c r="A136" s="37">
        <f>IFERROR(__xludf.DUMMYFUNCTION("""COMPUTED_VALUE"""),45903.47750637731)</f>
        <v>45903.47751</v>
      </c>
      <c r="B136" s="38" t="str">
        <f>IFERROR(__xludf.DUMMYFUNCTION("""COMPUTED_VALUE"""),"NOVLIANA BARBALINA MISA")</f>
        <v>NOVLIANA BARBALINA MISA</v>
      </c>
      <c r="C136" s="38" t="str">
        <f>IFERROR(__xludf.DUMMYFUNCTION("""COMPUTED_VALUE"""),"Belum disetujui")</f>
        <v>Belum disetujui</v>
      </c>
      <c r="D136" s="38"/>
      <c r="E136" s="38" t="s">
        <v>11454</v>
      </c>
      <c r="F136" s="38" t="s">
        <v>205</v>
      </c>
      <c r="G136" s="38" t="s">
        <v>11455</v>
      </c>
      <c r="H136" s="38" t="s">
        <v>11419</v>
      </c>
    </row>
    <row r="137">
      <c r="A137" s="37">
        <f>IFERROR(__xludf.DUMMYFUNCTION("""COMPUTED_VALUE"""),45903.49193822916)</f>
        <v>45903.49194</v>
      </c>
      <c r="B137" s="38" t="str">
        <f>IFERROR(__xludf.DUMMYFUNCTION("""COMPUTED_VALUE"""),"LINDA MELSIANA ELLO")</f>
        <v>LINDA MELSIANA ELLO</v>
      </c>
      <c r="C137" s="38" t="str">
        <f>IFERROR(__xludf.DUMMYFUNCTION("""COMPUTED_VALUE"""),"Belum disetujui")</f>
        <v>Belum disetujui</v>
      </c>
      <c r="D137" s="38"/>
      <c r="E137" s="38" t="s">
        <v>11435</v>
      </c>
      <c r="F137" s="38" t="s">
        <v>215</v>
      </c>
      <c r="G137" s="38" t="s">
        <v>11436</v>
      </c>
      <c r="H137" s="38" t="s">
        <v>11424</v>
      </c>
    </row>
    <row r="138">
      <c r="A138" s="37">
        <f>IFERROR(__xludf.DUMMYFUNCTION("""COMPUTED_VALUE"""),45903.49520361111)</f>
        <v>45903.4952</v>
      </c>
      <c r="B138" s="38" t="str">
        <f>IFERROR(__xludf.DUMMYFUNCTION("""COMPUTED_VALUE"""),"MARNITHA JUWIKE TIMORATI RUNESI")</f>
        <v>MARNITHA JUWIKE TIMORATI RUNESI</v>
      </c>
      <c r="C138" s="38" t="str">
        <f>IFERROR(__xludf.DUMMYFUNCTION("""COMPUTED_VALUE"""),"Belum disetujui")</f>
        <v>Belum disetujui</v>
      </c>
      <c r="D138" s="38"/>
      <c r="E138" s="38" t="s">
        <v>11420</v>
      </c>
      <c r="F138" s="38" t="s">
        <v>204</v>
      </c>
      <c r="G138" s="38" t="s">
        <v>11421</v>
      </c>
      <c r="H138" s="38" t="s">
        <v>11399</v>
      </c>
    </row>
    <row r="139">
      <c r="A139" s="37">
        <f>IFERROR(__xludf.DUMMYFUNCTION("""COMPUTED_VALUE"""),45903.49885618056)</f>
        <v>45903.49886</v>
      </c>
      <c r="B139" s="38" t="str">
        <f>IFERROR(__xludf.DUMMYFUNCTION("""COMPUTED_VALUE"""),"FEBRIANTHY ELISABET NA'U")</f>
        <v>FEBRIANTHY ELISABET NA'U</v>
      </c>
      <c r="C139" s="38" t="str">
        <f>IFERROR(__xludf.DUMMYFUNCTION("""COMPUTED_VALUE"""),"Belum disetujui")</f>
        <v>Belum disetujui</v>
      </c>
      <c r="D139" s="38"/>
      <c r="E139" s="38" t="s">
        <v>11415</v>
      </c>
      <c r="F139" s="38" t="s">
        <v>204</v>
      </c>
      <c r="G139" s="38" t="s">
        <v>11416</v>
      </c>
      <c r="H139" s="38" t="s">
        <v>11399</v>
      </c>
    </row>
    <row r="140">
      <c r="A140" s="37">
        <f>IFERROR(__xludf.DUMMYFUNCTION("""COMPUTED_VALUE"""),45903.50160680555)</f>
        <v>45903.50161</v>
      </c>
      <c r="B140" s="38" t="str">
        <f>IFERROR(__xludf.DUMMYFUNCTION("""COMPUTED_VALUE"""),"NOVLIANA BARBALINA MISA")</f>
        <v>NOVLIANA BARBALINA MISA</v>
      </c>
      <c r="C140" s="38" t="str">
        <f>IFERROR(__xludf.DUMMYFUNCTION("""COMPUTED_VALUE"""),"Belum disetujui")</f>
        <v>Belum disetujui</v>
      </c>
      <c r="D140" s="38"/>
      <c r="E140" s="38" t="s">
        <v>11454</v>
      </c>
      <c r="F140" s="38" t="s">
        <v>205</v>
      </c>
      <c r="G140" s="38" t="s">
        <v>11455</v>
      </c>
      <c r="H140" s="38" t="s">
        <v>11419</v>
      </c>
    </row>
    <row r="141">
      <c r="A141" s="37">
        <f>IFERROR(__xludf.DUMMYFUNCTION("""COMPUTED_VALUE"""),45903.50515046297)</f>
        <v>45903.50515</v>
      </c>
      <c r="B141" s="38" t="str">
        <f>IFERROR(__xludf.DUMMYFUNCTION("""COMPUTED_VALUE"""),"MERDA PUTRI BUNGSU KENAT")</f>
        <v>MERDA PUTRI BUNGSU KENAT</v>
      </c>
      <c r="C141" s="38" t="str">
        <f>IFERROR(__xludf.DUMMYFUNCTION("""COMPUTED_VALUE"""),"Belum disetujui")</f>
        <v>Belum disetujui</v>
      </c>
      <c r="D141" s="38"/>
      <c r="E141" s="38" t="s">
        <v>11422</v>
      </c>
      <c r="F141" s="38" t="s">
        <v>215</v>
      </c>
      <c r="G141" s="38" t="s">
        <v>11423</v>
      </c>
      <c r="H141" s="38" t="s">
        <v>11424</v>
      </c>
    </row>
    <row r="142">
      <c r="A142" s="37">
        <f>IFERROR(__xludf.DUMMYFUNCTION("""COMPUTED_VALUE"""),45903.51059413195)</f>
        <v>45903.51059</v>
      </c>
      <c r="B142" s="38" t="str">
        <f>IFERROR(__xludf.DUMMYFUNCTION("""COMPUTED_VALUE"""),"PATRIANI MENGI ULY")</f>
        <v>PATRIANI MENGI ULY</v>
      </c>
      <c r="C142" s="38" t="str">
        <f>IFERROR(__xludf.DUMMYFUNCTION("""COMPUTED_VALUE"""),"Belum disetujui")</f>
        <v>Belum disetujui</v>
      </c>
      <c r="D142" s="38"/>
      <c r="E142" s="38" t="s">
        <v>11402</v>
      </c>
      <c r="F142" s="38" t="s">
        <v>204</v>
      </c>
      <c r="G142" s="38" t="s">
        <v>11403</v>
      </c>
      <c r="H142" s="38" t="s">
        <v>11399</v>
      </c>
    </row>
    <row r="143">
      <c r="A143" s="37">
        <f>IFERROR(__xludf.DUMMYFUNCTION("""COMPUTED_VALUE"""),45903.51299708334)</f>
        <v>45903.513</v>
      </c>
      <c r="B143" s="38" t="str">
        <f>IFERROR(__xludf.DUMMYFUNCTION("""COMPUTED_VALUE"""),"YASINTHA MBU")</f>
        <v>YASINTHA MBU</v>
      </c>
      <c r="C143" s="38" t="str">
        <f>IFERROR(__xludf.DUMMYFUNCTION("""COMPUTED_VALUE"""),"Dapat limit tapi belum diproses")</f>
        <v>Dapat limit tapi belum diproses</v>
      </c>
      <c r="D143" s="38" t="str">
        <f>IFERROR(__xludf.DUMMYFUNCTION("""COMPUTED_VALUE"""),"Y400 series")</f>
        <v>Y400 series</v>
      </c>
      <c r="E143" s="38" t="s">
        <v>11407</v>
      </c>
      <c r="F143" s="38" t="s">
        <v>220</v>
      </c>
      <c r="G143" s="38" t="s">
        <v>11408</v>
      </c>
      <c r="H143" s="38" t="s">
        <v>11399</v>
      </c>
    </row>
    <row r="144">
      <c r="A144" s="37">
        <f>IFERROR(__xludf.DUMMYFUNCTION("""COMPUTED_VALUE"""),45903.5226675463)</f>
        <v>45903.52267</v>
      </c>
      <c r="B144" s="38" t="str">
        <f>IFERROR(__xludf.DUMMYFUNCTION("""COMPUTED_VALUE"""),"DEMARISTI S H FENI")</f>
        <v>DEMARISTI S H FENI</v>
      </c>
      <c r="C144" s="38" t="str">
        <f>IFERROR(__xludf.DUMMYFUNCTION("""COMPUTED_VALUE"""),"Belum disetujui")</f>
        <v>Belum disetujui</v>
      </c>
      <c r="D144" s="38"/>
      <c r="E144" s="38" t="s">
        <v>11404</v>
      </c>
      <c r="F144" s="38" t="s">
        <v>11404</v>
      </c>
      <c r="G144" s="38" t="s">
        <v>11404</v>
      </c>
      <c r="H144" s="38" t="s">
        <v>11404</v>
      </c>
    </row>
    <row r="145">
      <c r="A145" s="37">
        <f>IFERROR(__xludf.DUMMYFUNCTION("""COMPUTED_VALUE"""),45903.523301111105)</f>
        <v>45903.5233</v>
      </c>
      <c r="B145" s="38" t="str">
        <f>IFERROR(__xludf.DUMMYFUNCTION("""COMPUTED_VALUE"""),"MERDA PUTRI BUNGSU KENAT")</f>
        <v>MERDA PUTRI BUNGSU KENAT</v>
      </c>
      <c r="C145" s="38" t="str">
        <f>IFERROR(__xludf.DUMMYFUNCTION("""COMPUTED_VALUE"""),"Belum disetujui")</f>
        <v>Belum disetujui</v>
      </c>
      <c r="D145" s="38"/>
      <c r="E145" s="38" t="s">
        <v>11422</v>
      </c>
      <c r="F145" s="38" t="s">
        <v>215</v>
      </c>
      <c r="G145" s="38" t="s">
        <v>11423</v>
      </c>
      <c r="H145" s="38" t="s">
        <v>11424</v>
      </c>
    </row>
    <row r="146">
      <c r="A146" s="37">
        <f>IFERROR(__xludf.DUMMYFUNCTION("""COMPUTED_VALUE"""),45903.52619703704)</f>
        <v>45903.5262</v>
      </c>
      <c r="B146" s="38" t="str">
        <f>IFERROR(__xludf.DUMMYFUNCTION("""COMPUTED_VALUE"""),"YOHANA NOVIANA MARIANA GAA")</f>
        <v>YOHANA NOVIANA MARIANA GAA</v>
      </c>
      <c r="C146" s="38" t="str">
        <f>IFERROR(__xludf.DUMMYFUNCTION("""COMPUTED_VALUE"""),"Dapat limit tapi belum diproses")</f>
        <v>Dapat limit tapi belum diproses</v>
      </c>
      <c r="D146" s="38" t="str">
        <f>IFERROR(__xludf.DUMMYFUNCTION("""COMPUTED_VALUE"""),"V60 series")</f>
        <v>V60 series</v>
      </c>
      <c r="E146" s="38" t="s">
        <v>11400</v>
      </c>
      <c r="F146" s="38" t="s">
        <v>204</v>
      </c>
      <c r="G146" s="38" t="s">
        <v>11401</v>
      </c>
      <c r="H146" s="38" t="s">
        <v>11399</v>
      </c>
    </row>
    <row r="147">
      <c r="A147" s="37">
        <f>IFERROR(__xludf.DUMMYFUNCTION("""COMPUTED_VALUE"""),45903.54990450232)</f>
        <v>45903.5499</v>
      </c>
      <c r="B147" s="38" t="str">
        <f>IFERROR(__xludf.DUMMYFUNCTION("""COMPUTED_VALUE"""),"MERDA PUTRI BUNGSU KENAT")</f>
        <v>MERDA PUTRI BUNGSU KENAT</v>
      </c>
      <c r="C147" s="38" t="str">
        <f>IFERROR(__xludf.DUMMYFUNCTION("""COMPUTED_VALUE"""),"Belum disetujui")</f>
        <v>Belum disetujui</v>
      </c>
      <c r="D147" s="38"/>
      <c r="E147" s="38" t="s">
        <v>11422</v>
      </c>
      <c r="F147" s="38" t="s">
        <v>215</v>
      </c>
      <c r="G147" s="38" t="s">
        <v>11423</v>
      </c>
      <c r="H147" s="38" t="s">
        <v>11424</v>
      </c>
    </row>
    <row r="148">
      <c r="A148" s="37">
        <f>IFERROR(__xludf.DUMMYFUNCTION("""COMPUTED_VALUE"""),45903.55392530092)</f>
        <v>45903.55393</v>
      </c>
      <c r="B148" s="38" t="str">
        <f>IFERROR(__xludf.DUMMYFUNCTION("""COMPUTED_VALUE"""),"EMPI FRANGKI LIEM")</f>
        <v>EMPI FRANGKI LIEM</v>
      </c>
      <c r="C148" s="38" t="str">
        <f>IFERROR(__xludf.DUMMYFUNCTION("""COMPUTED_VALUE"""),"Dapat limit tapi belum diproses")</f>
        <v>Dapat limit tapi belum diproses</v>
      </c>
      <c r="D148" s="38" t="str">
        <f>IFERROR(__xludf.DUMMYFUNCTION("""COMPUTED_VALUE"""),"Y400 series")</f>
        <v>Y400 series</v>
      </c>
      <c r="E148" s="38" t="s">
        <v>11397</v>
      </c>
      <c r="F148" s="38" t="s">
        <v>220</v>
      </c>
      <c r="G148" s="38" t="s">
        <v>11398</v>
      </c>
      <c r="H148" s="38" t="s">
        <v>11399</v>
      </c>
    </row>
    <row r="149">
      <c r="A149" s="37">
        <f>IFERROR(__xludf.DUMMYFUNCTION("""COMPUTED_VALUE"""),45903.55823761574)</f>
        <v>45903.55824</v>
      </c>
      <c r="B149" s="38" t="str">
        <f>IFERROR(__xludf.DUMMYFUNCTION("""COMPUTED_VALUE"""),"BERGITHA NIA OLIN")</f>
        <v>BERGITHA NIA OLIN</v>
      </c>
      <c r="C149" s="38" t="str">
        <f>IFERROR(__xludf.DUMMYFUNCTION("""COMPUTED_VALUE"""),"Dapat limit tapi belum diproses")</f>
        <v>Dapat limit tapi belum diproses</v>
      </c>
      <c r="D149" s="38" t="str">
        <f>IFERROR(__xludf.DUMMYFUNCTION("""COMPUTED_VALUE"""),"Y400 series")</f>
        <v>Y400 series</v>
      </c>
      <c r="E149" s="38" t="s">
        <v>11431</v>
      </c>
      <c r="F149" s="38" t="s">
        <v>313</v>
      </c>
      <c r="G149" s="38" t="s">
        <v>11432</v>
      </c>
      <c r="H149" s="38" t="s">
        <v>11424</v>
      </c>
    </row>
    <row r="150">
      <c r="A150" s="37">
        <f>IFERROR(__xludf.DUMMYFUNCTION("""COMPUTED_VALUE"""),45903.5665515625)</f>
        <v>45903.56655</v>
      </c>
      <c r="B150" s="38" t="str">
        <f>IFERROR(__xludf.DUMMYFUNCTION("""COMPUTED_VALUE"""),"DEMARISTI S H FENI")</f>
        <v>DEMARISTI S H FENI</v>
      </c>
      <c r="C150" s="38" t="str">
        <f>IFERROR(__xludf.DUMMYFUNCTION("""COMPUTED_VALUE"""),"Dapat limit tapi belum diproses")</f>
        <v>Dapat limit tapi belum diproses</v>
      </c>
      <c r="D150" s="38" t="str">
        <f>IFERROR(__xludf.DUMMYFUNCTION("""COMPUTED_VALUE"""),"V50 Lite series")</f>
        <v>V50 Lite series</v>
      </c>
      <c r="E150" s="38" t="s">
        <v>11404</v>
      </c>
      <c r="F150" s="38" t="s">
        <v>11404</v>
      </c>
      <c r="G150" s="38" t="s">
        <v>11404</v>
      </c>
      <c r="H150" s="38" t="s">
        <v>11404</v>
      </c>
    </row>
    <row r="151">
      <c r="A151" s="37">
        <f>IFERROR(__xludf.DUMMYFUNCTION("""COMPUTED_VALUE"""),45903.57589467593)</f>
        <v>45903.57589</v>
      </c>
      <c r="B151" s="38" t="str">
        <f>IFERROR(__xludf.DUMMYFUNCTION("""COMPUTED_VALUE"""),"NOVLIANA BARBALINA MISA")</f>
        <v>NOVLIANA BARBALINA MISA</v>
      </c>
      <c r="C151" s="38" t="str">
        <f>IFERROR(__xludf.DUMMYFUNCTION("""COMPUTED_VALUE"""),"ACC")</f>
        <v>ACC</v>
      </c>
      <c r="D151" s="38" t="str">
        <f>IFERROR(__xludf.DUMMYFUNCTION("""COMPUTED_VALUE"""),"Y400 series")</f>
        <v>Y400 series</v>
      </c>
      <c r="E151" s="38" t="s">
        <v>11454</v>
      </c>
      <c r="F151" s="38" t="s">
        <v>205</v>
      </c>
      <c r="G151" s="38" t="s">
        <v>11455</v>
      </c>
      <c r="H151" s="38" t="s">
        <v>11419</v>
      </c>
    </row>
    <row r="152">
      <c r="A152" s="37">
        <f>IFERROR(__xludf.DUMMYFUNCTION("""COMPUTED_VALUE"""),45903.60446351852)</f>
        <v>45903.60446</v>
      </c>
      <c r="B152" s="38" t="str">
        <f>IFERROR(__xludf.DUMMYFUNCTION("""COMPUTED_VALUE"""),"MARATHA MARLINDA FANGGIDAE")</f>
        <v>MARATHA MARLINDA FANGGIDAE</v>
      </c>
      <c r="C152" s="38" t="str">
        <f>IFERROR(__xludf.DUMMYFUNCTION("""COMPUTED_VALUE"""),"ACC")</f>
        <v>ACC</v>
      </c>
      <c r="D152" s="38" t="str">
        <f>IFERROR(__xludf.DUMMYFUNCTION("""COMPUTED_VALUE"""),"Y400 series")</f>
        <v>Y400 series</v>
      </c>
      <c r="E152" s="38" t="s">
        <v>11435</v>
      </c>
      <c r="F152" s="38" t="s">
        <v>215</v>
      </c>
      <c r="G152" s="38" t="s">
        <v>11436</v>
      </c>
      <c r="H152" s="38" t="s">
        <v>11424</v>
      </c>
    </row>
    <row r="153">
      <c r="A153" s="37">
        <f>IFERROR(__xludf.DUMMYFUNCTION("""COMPUTED_VALUE"""),45903.611863819446)</f>
        <v>45903.61186</v>
      </c>
      <c r="B153" s="38" t="str">
        <f>IFERROR(__xludf.DUMMYFUNCTION("""COMPUTED_VALUE"""),"MARNITHA JUWIKE TIMORATI RUNESI")</f>
        <v>MARNITHA JUWIKE TIMORATI RUNESI</v>
      </c>
      <c r="C153" s="38" t="str">
        <f>IFERROR(__xludf.DUMMYFUNCTION("""COMPUTED_VALUE"""),"Belum disetujui")</f>
        <v>Belum disetujui</v>
      </c>
      <c r="D153" s="38"/>
      <c r="E153" s="38" t="s">
        <v>11420</v>
      </c>
      <c r="F153" s="38" t="s">
        <v>204</v>
      </c>
      <c r="G153" s="38" t="s">
        <v>11421</v>
      </c>
      <c r="H153" s="38" t="s">
        <v>11399</v>
      </c>
    </row>
    <row r="154">
      <c r="A154" s="37">
        <f>IFERROR(__xludf.DUMMYFUNCTION("""COMPUTED_VALUE"""),45903.615107812504)</f>
        <v>45903.61511</v>
      </c>
      <c r="B154" s="38" t="str">
        <f>IFERROR(__xludf.DUMMYFUNCTION("""COMPUTED_VALUE"""),"NUR FATIMAH MOLBANG")</f>
        <v>NUR FATIMAH MOLBANG</v>
      </c>
      <c r="C154" s="38" t="str">
        <f>IFERROR(__xludf.DUMMYFUNCTION("""COMPUTED_VALUE"""),"Belum disetujui")</f>
        <v>Belum disetujui</v>
      </c>
      <c r="D154" s="38"/>
      <c r="E154" s="38" t="s">
        <v>11439</v>
      </c>
      <c r="F154" s="38" t="s">
        <v>313</v>
      </c>
      <c r="G154" s="38" t="s">
        <v>11440</v>
      </c>
      <c r="H154" s="38" t="s">
        <v>11424</v>
      </c>
    </row>
    <row r="155">
      <c r="A155" s="37">
        <f>IFERROR(__xludf.DUMMYFUNCTION("""COMPUTED_VALUE"""),45903.62025751157)</f>
        <v>45903.62026</v>
      </c>
      <c r="B155" s="38" t="str">
        <f>IFERROR(__xludf.DUMMYFUNCTION("""COMPUTED_VALUE"""),"HERONIMUS NAMU WALI")</f>
        <v>HERONIMUS NAMU WALI</v>
      </c>
      <c r="C155" s="38" t="str">
        <f>IFERROR(__xludf.DUMMYFUNCTION("""COMPUTED_VALUE"""),"ACC")</f>
        <v>ACC</v>
      </c>
      <c r="D155" s="38" t="str">
        <f>IFERROR(__xludf.DUMMYFUNCTION("""COMPUTED_VALUE"""),"Y400 series")</f>
        <v>Y400 series</v>
      </c>
      <c r="E155" s="38" t="s">
        <v>11452</v>
      </c>
      <c r="F155" s="38" t="s">
        <v>205</v>
      </c>
      <c r="G155" s="38" t="s">
        <v>11453</v>
      </c>
      <c r="H155" s="38" t="s">
        <v>11419</v>
      </c>
    </row>
    <row r="156">
      <c r="A156" s="37">
        <f>IFERROR(__xludf.DUMMYFUNCTION("""COMPUTED_VALUE"""),45903.622338587964)</f>
        <v>45903.62234</v>
      </c>
      <c r="B156" s="38" t="str">
        <f>IFERROR(__xludf.DUMMYFUNCTION("""COMPUTED_VALUE"""),"MARATHA MARLINDA FANGGIDAE")</f>
        <v>MARATHA MARLINDA FANGGIDAE</v>
      </c>
      <c r="C156" s="38" t="str">
        <f>IFERROR(__xludf.DUMMYFUNCTION("""COMPUTED_VALUE"""),"Belum disetujui")</f>
        <v>Belum disetujui</v>
      </c>
      <c r="D156" s="38"/>
      <c r="E156" s="38" t="s">
        <v>11435</v>
      </c>
      <c r="F156" s="38" t="s">
        <v>215</v>
      </c>
      <c r="G156" s="38" t="s">
        <v>11436</v>
      </c>
      <c r="H156" s="38" t="s">
        <v>11424</v>
      </c>
    </row>
    <row r="157">
      <c r="A157" s="37">
        <f>IFERROR(__xludf.DUMMYFUNCTION("""COMPUTED_VALUE"""),45903.647459513886)</f>
        <v>45903.64746</v>
      </c>
      <c r="B157" s="38" t="str">
        <f>IFERROR(__xludf.DUMMYFUNCTION("""COMPUTED_VALUE"""),"MARNITHA JUWIKE TIMORATI RUNESI")</f>
        <v>MARNITHA JUWIKE TIMORATI RUNESI</v>
      </c>
      <c r="C157" s="38" t="str">
        <f>IFERROR(__xludf.DUMMYFUNCTION("""COMPUTED_VALUE"""),"Belum disetujui")</f>
        <v>Belum disetujui</v>
      </c>
      <c r="D157" s="38"/>
      <c r="E157" s="38" t="s">
        <v>11420</v>
      </c>
      <c r="F157" s="38" t="s">
        <v>204</v>
      </c>
      <c r="G157" s="38" t="s">
        <v>11421</v>
      </c>
      <c r="H157" s="38" t="s">
        <v>11399</v>
      </c>
    </row>
    <row r="158">
      <c r="A158" s="37">
        <f>IFERROR(__xludf.DUMMYFUNCTION("""COMPUTED_VALUE"""),45903.669253206026)</f>
        <v>45903.66925</v>
      </c>
      <c r="B158" s="38" t="str">
        <f>IFERROR(__xludf.DUMMYFUNCTION("""COMPUTED_VALUE"""),"YOHANIS TIPNONI")</f>
        <v>YOHANIS TIPNONI</v>
      </c>
      <c r="C158" s="38" t="str">
        <f>IFERROR(__xludf.DUMMYFUNCTION("""COMPUTED_VALUE"""),"ACC")</f>
        <v>ACC</v>
      </c>
      <c r="D158" s="38" t="str">
        <f>IFERROR(__xludf.DUMMYFUNCTION("""COMPUTED_VALUE"""),"Y400 series")</f>
        <v>Y400 series</v>
      </c>
      <c r="E158" s="38" t="s">
        <v>11405</v>
      </c>
      <c r="F158" s="38" t="s">
        <v>220</v>
      </c>
      <c r="G158" s="38" t="s">
        <v>11406</v>
      </c>
      <c r="H158" s="38" t="s">
        <v>11399</v>
      </c>
    </row>
    <row r="159">
      <c r="A159" s="37">
        <f>IFERROR(__xludf.DUMMYFUNCTION("""COMPUTED_VALUE"""),45903.68648636573)</f>
        <v>45903.68649</v>
      </c>
      <c r="B159" s="38" t="str">
        <f>IFERROR(__xludf.DUMMYFUNCTION("""COMPUTED_VALUE"""),"FEBRIANTHY ELISABET NA'U")</f>
        <v>FEBRIANTHY ELISABET NA'U</v>
      </c>
      <c r="C159" s="38" t="str">
        <f>IFERROR(__xludf.DUMMYFUNCTION("""COMPUTED_VALUE"""),"Belum disetujui")</f>
        <v>Belum disetujui</v>
      </c>
      <c r="D159" s="38"/>
      <c r="E159" s="38" t="s">
        <v>11415</v>
      </c>
      <c r="F159" s="38" t="s">
        <v>204</v>
      </c>
      <c r="G159" s="38" t="s">
        <v>11416</v>
      </c>
      <c r="H159" s="38" t="s">
        <v>11399</v>
      </c>
    </row>
    <row r="160">
      <c r="A160" s="37">
        <f>IFERROR(__xludf.DUMMYFUNCTION("""COMPUTED_VALUE"""),45903.70627376158)</f>
        <v>45903.70627</v>
      </c>
      <c r="B160" s="38" t="str">
        <f>IFERROR(__xludf.DUMMYFUNCTION("""COMPUTED_VALUE"""),"ALDIANA WELIA PANIE")</f>
        <v>ALDIANA WELIA PANIE</v>
      </c>
      <c r="C160" s="38" t="str">
        <f>IFERROR(__xludf.DUMMYFUNCTION("""COMPUTED_VALUE"""),"Belum disetujui")</f>
        <v>Belum disetujui</v>
      </c>
      <c r="D160" s="38"/>
      <c r="E160" s="38" t="s">
        <v>11422</v>
      </c>
      <c r="F160" s="38" t="s">
        <v>215</v>
      </c>
      <c r="G160" s="38" t="s">
        <v>11423</v>
      </c>
      <c r="H160" s="38" t="s">
        <v>11424</v>
      </c>
    </row>
    <row r="161">
      <c r="A161" s="37">
        <f>IFERROR(__xludf.DUMMYFUNCTION("""COMPUTED_VALUE"""),45903.727471956016)</f>
        <v>45903.72747</v>
      </c>
      <c r="B161" s="38" t="str">
        <f>IFERROR(__xludf.DUMMYFUNCTION("""COMPUTED_VALUE"""),"NOVLIANA BARBALINA MISA")</f>
        <v>NOVLIANA BARBALINA MISA</v>
      </c>
      <c r="C161" s="38" t="str">
        <f>IFERROR(__xludf.DUMMYFUNCTION("""COMPUTED_VALUE"""),"Belum disetujui")</f>
        <v>Belum disetujui</v>
      </c>
      <c r="D161" s="38"/>
      <c r="E161" s="38" t="s">
        <v>11454</v>
      </c>
      <c r="F161" s="38" t="s">
        <v>205</v>
      </c>
      <c r="G161" s="38" t="s">
        <v>11455</v>
      </c>
      <c r="H161" s="38" t="s">
        <v>11419</v>
      </c>
    </row>
    <row r="162">
      <c r="A162" s="37">
        <f>IFERROR(__xludf.DUMMYFUNCTION("""COMPUTED_VALUE"""),45903.728208252316)</f>
        <v>45903.72821</v>
      </c>
      <c r="B162" s="38" t="str">
        <f>IFERROR(__xludf.DUMMYFUNCTION("""COMPUTED_VALUE"""),"EMPI FRANGKI LIEM")</f>
        <v>EMPI FRANGKI LIEM</v>
      </c>
      <c r="C162" s="38" t="str">
        <f>IFERROR(__xludf.DUMMYFUNCTION("""COMPUTED_VALUE"""),"Belum disetujui")</f>
        <v>Belum disetujui</v>
      </c>
      <c r="D162" s="38"/>
      <c r="E162" s="38" t="s">
        <v>11397</v>
      </c>
      <c r="F162" s="38" t="s">
        <v>220</v>
      </c>
      <c r="G162" s="38" t="s">
        <v>11398</v>
      </c>
      <c r="H162" s="38" t="s">
        <v>11399</v>
      </c>
    </row>
    <row r="163">
      <c r="A163" s="37">
        <f>IFERROR(__xludf.DUMMYFUNCTION("""COMPUTED_VALUE"""),45903.73656886574)</f>
        <v>45903.73657</v>
      </c>
      <c r="B163" s="38" t="str">
        <f>IFERROR(__xludf.DUMMYFUNCTION("""COMPUTED_VALUE"""),"HERONIMUS NAMU WALI")</f>
        <v>HERONIMUS NAMU WALI</v>
      </c>
      <c r="C163" s="38" t="str">
        <f>IFERROR(__xludf.DUMMYFUNCTION("""COMPUTED_VALUE"""),"ACC")</f>
        <v>ACC</v>
      </c>
      <c r="D163" s="38" t="str">
        <f>IFERROR(__xludf.DUMMYFUNCTION("""COMPUTED_VALUE"""),"Y400 series")</f>
        <v>Y400 series</v>
      </c>
      <c r="E163" s="38" t="s">
        <v>11452</v>
      </c>
      <c r="F163" s="38" t="s">
        <v>205</v>
      </c>
      <c r="G163" s="38" t="s">
        <v>11453</v>
      </c>
      <c r="H163" s="38" t="s">
        <v>11419</v>
      </c>
    </row>
    <row r="164">
      <c r="A164" s="37">
        <f>IFERROR(__xludf.DUMMYFUNCTION("""COMPUTED_VALUE"""),45903.75393306713)</f>
        <v>45903.75393</v>
      </c>
      <c r="B164" s="38" t="str">
        <f>IFERROR(__xludf.DUMMYFUNCTION("""COMPUTED_VALUE"""),"YASINTHA MBU")</f>
        <v>YASINTHA MBU</v>
      </c>
      <c r="C164" s="38" t="str">
        <f>IFERROR(__xludf.DUMMYFUNCTION("""COMPUTED_VALUE"""),"ACC")</f>
        <v>ACC</v>
      </c>
      <c r="D164" s="38" t="str">
        <f>IFERROR(__xludf.DUMMYFUNCTION("""COMPUTED_VALUE"""),"Y400 series")</f>
        <v>Y400 series</v>
      </c>
      <c r="E164" s="38" t="s">
        <v>11407</v>
      </c>
      <c r="F164" s="38" t="s">
        <v>220</v>
      </c>
      <c r="G164" s="38" t="s">
        <v>11408</v>
      </c>
      <c r="H164" s="38" t="s">
        <v>11399</v>
      </c>
    </row>
    <row r="165">
      <c r="A165" s="37">
        <f>IFERROR(__xludf.DUMMYFUNCTION("""COMPUTED_VALUE"""),45903.755648865736)</f>
        <v>45903.75565</v>
      </c>
      <c r="B165" s="38" t="str">
        <f>IFERROR(__xludf.DUMMYFUNCTION("""COMPUTED_VALUE"""),"PRETI SISILIA SILA")</f>
        <v>PRETI SISILIA SILA</v>
      </c>
      <c r="C165" s="38" t="str">
        <f>IFERROR(__xludf.DUMMYFUNCTION("""COMPUTED_VALUE"""),"Dapat limit tapi belum diproses")</f>
        <v>Dapat limit tapi belum diproses</v>
      </c>
      <c r="D165" s="38" t="str">
        <f>IFERROR(__xludf.DUMMYFUNCTION("""COMPUTED_VALUE"""),"V60 series")</f>
        <v>V60 series</v>
      </c>
      <c r="E165" s="38" t="s">
        <v>11456</v>
      </c>
      <c r="F165" s="38" t="s">
        <v>667</v>
      </c>
      <c r="G165" s="38" t="s">
        <v>11457</v>
      </c>
      <c r="H165" s="38" t="s">
        <v>11424</v>
      </c>
    </row>
    <row r="166">
      <c r="A166" s="37">
        <f>IFERROR(__xludf.DUMMYFUNCTION("""COMPUTED_VALUE"""),45903.75716833334)</f>
        <v>45903.75717</v>
      </c>
      <c r="B166" s="38" t="str">
        <f>IFERROR(__xludf.DUMMYFUNCTION("""COMPUTED_VALUE"""),"PRETI SISILIA SILA")</f>
        <v>PRETI SISILIA SILA</v>
      </c>
      <c r="C166" s="38" t="str">
        <f>IFERROR(__xludf.DUMMYFUNCTION("""COMPUTED_VALUE"""),"Dapat limit tapi belum diproses")</f>
        <v>Dapat limit tapi belum diproses</v>
      </c>
      <c r="D166" s="38" t="str">
        <f>IFERROR(__xludf.DUMMYFUNCTION("""COMPUTED_VALUE"""),"V60 series")</f>
        <v>V60 series</v>
      </c>
      <c r="E166" s="38" t="s">
        <v>11456</v>
      </c>
      <c r="F166" s="38" t="s">
        <v>667</v>
      </c>
      <c r="G166" s="38" t="s">
        <v>11457</v>
      </c>
      <c r="H166" s="38" t="s">
        <v>11424</v>
      </c>
    </row>
    <row r="167">
      <c r="A167" s="37">
        <f>IFERROR(__xludf.DUMMYFUNCTION("""COMPUTED_VALUE"""),45903.763307905094)</f>
        <v>45903.76331</v>
      </c>
      <c r="B167" s="38" t="str">
        <f>IFERROR(__xludf.DUMMYFUNCTION("""COMPUTED_VALUE"""),"BERGITHA NIA OLIN")</f>
        <v>BERGITHA NIA OLIN</v>
      </c>
      <c r="C167" s="38" t="str">
        <f>IFERROR(__xludf.DUMMYFUNCTION("""COMPUTED_VALUE"""),"Belum disetujui")</f>
        <v>Belum disetujui</v>
      </c>
      <c r="D167" s="38"/>
      <c r="E167" s="38" t="s">
        <v>11431</v>
      </c>
      <c r="F167" s="38" t="s">
        <v>313</v>
      </c>
      <c r="G167" s="38" t="s">
        <v>11432</v>
      </c>
      <c r="H167" s="38" t="s">
        <v>11424</v>
      </c>
    </row>
    <row r="168">
      <c r="A168" s="37">
        <f>IFERROR(__xludf.DUMMYFUNCTION("""COMPUTED_VALUE"""),45903.76481377315)</f>
        <v>45903.76481</v>
      </c>
      <c r="B168" s="38" t="str">
        <f>IFERROR(__xludf.DUMMYFUNCTION("""COMPUTED_VALUE"""),"BERGITHA NIA OLIN")</f>
        <v>BERGITHA NIA OLIN</v>
      </c>
      <c r="C168" s="38" t="str">
        <f>IFERROR(__xludf.DUMMYFUNCTION("""COMPUTED_VALUE"""),"Belum disetujui")</f>
        <v>Belum disetujui</v>
      </c>
      <c r="D168" s="38"/>
      <c r="E168" s="38" t="s">
        <v>11431</v>
      </c>
      <c r="F168" s="38" t="s">
        <v>313</v>
      </c>
      <c r="G168" s="38" t="s">
        <v>11432</v>
      </c>
      <c r="H168" s="38" t="s">
        <v>11424</v>
      </c>
    </row>
    <row r="169">
      <c r="A169" s="37">
        <f>IFERROR(__xludf.DUMMYFUNCTION("""COMPUTED_VALUE"""),45903.76637027778)</f>
        <v>45903.76637</v>
      </c>
      <c r="B169" s="38" t="str">
        <f>IFERROR(__xludf.DUMMYFUNCTION("""COMPUTED_VALUE"""),"BERGITHA NIA OLIN")</f>
        <v>BERGITHA NIA OLIN</v>
      </c>
      <c r="C169" s="38" t="str">
        <f>IFERROR(__xludf.DUMMYFUNCTION("""COMPUTED_VALUE"""),"Belum disetujui")</f>
        <v>Belum disetujui</v>
      </c>
      <c r="D169" s="38"/>
      <c r="E169" s="38" t="s">
        <v>11431</v>
      </c>
      <c r="F169" s="38" t="s">
        <v>313</v>
      </c>
      <c r="G169" s="38" t="s">
        <v>11432</v>
      </c>
      <c r="H169" s="38" t="s">
        <v>11424</v>
      </c>
    </row>
    <row r="170">
      <c r="A170" s="37">
        <f>IFERROR(__xludf.DUMMYFUNCTION("""COMPUTED_VALUE"""),45903.78417009259)</f>
        <v>45903.78417</v>
      </c>
      <c r="B170" s="38" t="str">
        <f>IFERROR(__xludf.DUMMYFUNCTION("""COMPUTED_VALUE"""),"ALDIANA WELIA PANIE")</f>
        <v>ALDIANA WELIA PANIE</v>
      </c>
      <c r="C170" s="38" t="str">
        <f>IFERROR(__xludf.DUMMYFUNCTION("""COMPUTED_VALUE"""),"Belum disetujui")</f>
        <v>Belum disetujui</v>
      </c>
      <c r="D170" s="38"/>
      <c r="E170" s="38" t="s">
        <v>11422</v>
      </c>
      <c r="F170" s="38" t="s">
        <v>215</v>
      </c>
      <c r="G170" s="38" t="s">
        <v>11423</v>
      </c>
      <c r="H170" s="38" t="s">
        <v>11424</v>
      </c>
    </row>
    <row r="171">
      <c r="A171" s="37">
        <f>IFERROR(__xludf.DUMMYFUNCTION("""COMPUTED_VALUE"""),45903.84232929398)</f>
        <v>45903.84233</v>
      </c>
      <c r="B171" s="38" t="str">
        <f>IFERROR(__xludf.DUMMYFUNCTION("""COMPUTED_VALUE"""),"HERONIMUS NAMU WALI")</f>
        <v>HERONIMUS NAMU WALI</v>
      </c>
      <c r="C171" s="38" t="str">
        <f>IFERROR(__xludf.DUMMYFUNCTION("""COMPUTED_VALUE"""),"Belum disetujui")</f>
        <v>Belum disetujui</v>
      </c>
      <c r="D171" s="38"/>
      <c r="E171" s="38" t="s">
        <v>11452</v>
      </c>
      <c r="F171" s="38" t="s">
        <v>205</v>
      </c>
      <c r="G171" s="38" t="s">
        <v>11453</v>
      </c>
      <c r="H171" s="38" t="s">
        <v>11419</v>
      </c>
    </row>
    <row r="172">
      <c r="A172" s="37">
        <f>IFERROR(__xludf.DUMMYFUNCTION("""COMPUTED_VALUE"""),45903.86015943287)</f>
        <v>45903.86016</v>
      </c>
      <c r="B172" s="38" t="str">
        <f>IFERROR(__xludf.DUMMYFUNCTION("""COMPUTED_VALUE"""),"DEMARISTI S H FENI")</f>
        <v>DEMARISTI S H FENI</v>
      </c>
      <c r="C172" s="38" t="str">
        <f>IFERROR(__xludf.DUMMYFUNCTION("""COMPUTED_VALUE"""),"Belum disetujui")</f>
        <v>Belum disetujui</v>
      </c>
      <c r="D172" s="38"/>
      <c r="E172" s="38" t="s">
        <v>11404</v>
      </c>
      <c r="F172" s="38" t="s">
        <v>11404</v>
      </c>
      <c r="G172" s="38" t="s">
        <v>11404</v>
      </c>
      <c r="H172" s="38" t="s">
        <v>11404</v>
      </c>
    </row>
    <row r="173">
      <c r="A173" s="37">
        <f>IFERROR(__xludf.DUMMYFUNCTION("""COMPUTED_VALUE"""),45903.877019328706)</f>
        <v>45903.87702</v>
      </c>
      <c r="B173" s="38" t="str">
        <f>IFERROR(__xludf.DUMMYFUNCTION("""COMPUTED_VALUE"""),"LINDA MELSIANA ELLO")</f>
        <v>LINDA MELSIANA ELLO</v>
      </c>
      <c r="C173" s="38" t="str">
        <f>IFERROR(__xludf.DUMMYFUNCTION("""COMPUTED_VALUE"""),"ACC")</f>
        <v>ACC</v>
      </c>
      <c r="D173" s="38" t="str">
        <f>IFERROR(__xludf.DUMMYFUNCTION("""COMPUTED_VALUE"""),"Y400 series")</f>
        <v>Y400 series</v>
      </c>
      <c r="E173" s="38" t="s">
        <v>11435</v>
      </c>
      <c r="F173" s="38" t="s">
        <v>215</v>
      </c>
      <c r="G173" s="38" t="s">
        <v>11436</v>
      </c>
      <c r="H173" s="38" t="s">
        <v>11424</v>
      </c>
    </row>
    <row r="174">
      <c r="A174" s="37">
        <f>IFERROR(__xludf.DUMMYFUNCTION("""COMPUTED_VALUE"""),45903.882083819444)</f>
        <v>45903.88208</v>
      </c>
      <c r="B174" s="38" t="str">
        <f>IFERROR(__xludf.DUMMYFUNCTION("""COMPUTED_VALUE"""),"LINDA MELSIANA ELLO")</f>
        <v>LINDA MELSIANA ELLO</v>
      </c>
      <c r="C174" s="38" t="str">
        <f>IFERROR(__xludf.DUMMYFUNCTION("""COMPUTED_VALUE"""),"Dapat limit tapi belum diproses")</f>
        <v>Dapat limit tapi belum diproses</v>
      </c>
      <c r="D174" s="38" t="str">
        <f>IFERROR(__xludf.DUMMYFUNCTION("""COMPUTED_VALUE"""),"Y400 series")</f>
        <v>Y400 series</v>
      </c>
      <c r="E174" s="38" t="s">
        <v>11435</v>
      </c>
      <c r="F174" s="38" t="s">
        <v>215</v>
      </c>
      <c r="G174" s="38" t="s">
        <v>11436</v>
      </c>
      <c r="H174" s="38" t="s">
        <v>11424</v>
      </c>
    </row>
    <row r="175">
      <c r="A175" s="37">
        <f>IFERROR(__xludf.DUMMYFUNCTION("""COMPUTED_VALUE"""),45903.8854666088)</f>
        <v>45903.88547</v>
      </c>
      <c r="B175" s="38" t="str">
        <f>IFERROR(__xludf.DUMMYFUNCTION("""COMPUTED_VALUE"""),"LINDA MELSIANA ELLO")</f>
        <v>LINDA MELSIANA ELLO</v>
      </c>
      <c r="C175" s="38" t="str">
        <f>IFERROR(__xludf.DUMMYFUNCTION("""COMPUTED_VALUE"""),"Belum disetujui")</f>
        <v>Belum disetujui</v>
      </c>
      <c r="D175" s="38"/>
      <c r="E175" s="38" t="s">
        <v>11435</v>
      </c>
      <c r="F175" s="38" t="s">
        <v>215</v>
      </c>
      <c r="G175" s="38" t="s">
        <v>11436</v>
      </c>
      <c r="H175" s="38" t="s">
        <v>11424</v>
      </c>
    </row>
    <row r="176">
      <c r="A176" s="37">
        <f>IFERROR(__xludf.DUMMYFUNCTION("""COMPUTED_VALUE"""),45903.894187604164)</f>
        <v>45903.89419</v>
      </c>
      <c r="B176" s="38" t="str">
        <f>IFERROR(__xludf.DUMMYFUNCTION("""COMPUTED_VALUE"""),"ASTUTI BELA WAWO")</f>
        <v>ASTUTI BELA WAWO</v>
      </c>
      <c r="C176" s="38" t="str">
        <f>IFERROR(__xludf.DUMMYFUNCTION("""COMPUTED_VALUE"""),"ACC")</f>
        <v>ACC</v>
      </c>
      <c r="D176" s="38" t="str">
        <f>IFERROR(__xludf.DUMMYFUNCTION("""COMPUTED_VALUE"""),"V50 Lite series")</f>
        <v>V50 Lite series</v>
      </c>
      <c r="E176" s="38" t="s">
        <v>11427</v>
      </c>
      <c r="F176" s="38" t="s">
        <v>257</v>
      </c>
      <c r="G176" s="38" t="s">
        <v>11428</v>
      </c>
      <c r="H176" s="38" t="s">
        <v>11419</v>
      </c>
    </row>
    <row r="177">
      <c r="A177" s="37">
        <f>IFERROR(__xludf.DUMMYFUNCTION("""COMPUTED_VALUE"""),45903.89924355325)</f>
        <v>45903.89924</v>
      </c>
      <c r="B177" s="38" t="str">
        <f>IFERROR(__xludf.DUMMYFUNCTION("""COMPUTED_VALUE"""),"ASTUTI BELA WAWO")</f>
        <v>ASTUTI BELA WAWO</v>
      </c>
      <c r="C177" s="38" t="str">
        <f>IFERROR(__xludf.DUMMYFUNCTION("""COMPUTED_VALUE"""),"Belum disetujui")</f>
        <v>Belum disetujui</v>
      </c>
      <c r="D177" s="38"/>
      <c r="E177" s="38" t="s">
        <v>11427</v>
      </c>
      <c r="F177" s="38" t="s">
        <v>257</v>
      </c>
      <c r="G177" s="38" t="s">
        <v>11428</v>
      </c>
      <c r="H177" s="38" t="s">
        <v>11419</v>
      </c>
    </row>
    <row r="178">
      <c r="A178" s="37">
        <f>IFERROR(__xludf.DUMMYFUNCTION("""COMPUTED_VALUE"""),45904.29015302083)</f>
        <v>45904.29015</v>
      </c>
      <c r="B178" s="38" t="str">
        <f>IFERROR(__xludf.DUMMYFUNCTION("""COMPUTED_VALUE"""),"MERDA PUTRI BUNGSU KENAT")</f>
        <v>MERDA PUTRI BUNGSU KENAT</v>
      </c>
      <c r="C178" s="38" t="str">
        <f>IFERROR(__xludf.DUMMYFUNCTION("""COMPUTED_VALUE"""),"Dapat limit tapi belum diproses")</f>
        <v>Dapat limit tapi belum diproses</v>
      </c>
      <c r="D178" s="38" t="str">
        <f>IFERROR(__xludf.DUMMYFUNCTION("""COMPUTED_VALUE"""),"Y29 series")</f>
        <v>Y29 series</v>
      </c>
      <c r="E178" s="38" t="s">
        <v>11422</v>
      </c>
      <c r="F178" s="38" t="s">
        <v>215</v>
      </c>
      <c r="G178" s="38" t="s">
        <v>11423</v>
      </c>
      <c r="H178" s="38" t="s">
        <v>11424</v>
      </c>
    </row>
    <row r="179">
      <c r="A179" s="37">
        <f>IFERROR(__xludf.DUMMYFUNCTION("""COMPUTED_VALUE"""),45904.415776458336)</f>
        <v>45904.41578</v>
      </c>
      <c r="B179" s="38" t="str">
        <f>IFERROR(__xludf.DUMMYFUNCTION("""COMPUTED_VALUE"""),"IDMAL YUSDIRAN YUSUF")</f>
        <v>IDMAL YUSDIRAN YUSUF</v>
      </c>
      <c r="C179" s="38" t="str">
        <f>IFERROR(__xludf.DUMMYFUNCTION("""COMPUTED_VALUE"""),"Belum disetujui")</f>
        <v>Belum disetujui</v>
      </c>
      <c r="D179" s="38"/>
      <c r="E179" s="38" t="s">
        <v>11417</v>
      </c>
      <c r="F179" s="38" t="s">
        <v>257</v>
      </c>
      <c r="G179" s="38" t="s">
        <v>11418</v>
      </c>
      <c r="H179" s="38" t="s">
        <v>11419</v>
      </c>
    </row>
    <row r="180">
      <c r="A180" s="37">
        <f>IFERROR(__xludf.DUMMYFUNCTION("""COMPUTED_VALUE"""),45904.45722178241)</f>
        <v>45904.45722</v>
      </c>
      <c r="B180" s="38" t="str">
        <f>IFERROR(__xludf.DUMMYFUNCTION("""COMPUTED_VALUE"""),"AMBU BAIQ JUMENAH")</f>
        <v>AMBU BAIQ JUMENAH</v>
      </c>
      <c r="C180" s="38" t="str">
        <f>IFERROR(__xludf.DUMMYFUNCTION("""COMPUTED_VALUE"""),"ACC")</f>
        <v>ACC</v>
      </c>
      <c r="D180" s="38" t="str">
        <f>IFERROR(__xludf.DUMMYFUNCTION("""COMPUTED_VALUE"""),"Y400 series")</f>
        <v>Y400 series</v>
      </c>
      <c r="E180" s="38" t="s">
        <v>11458</v>
      </c>
      <c r="F180" s="38" t="s">
        <v>205</v>
      </c>
      <c r="G180" s="38" t="s">
        <v>11459</v>
      </c>
      <c r="H180" s="38" t="s">
        <v>11419</v>
      </c>
    </row>
    <row r="181">
      <c r="A181" s="37">
        <f>IFERROR(__xludf.DUMMYFUNCTION("""COMPUTED_VALUE"""),45904.487522951385)</f>
        <v>45904.48752</v>
      </c>
      <c r="B181" s="38" t="str">
        <f>IFERROR(__xludf.DUMMYFUNCTION("""COMPUTED_VALUE"""),"PRETI SISILIA SILA")</f>
        <v>PRETI SISILIA SILA</v>
      </c>
      <c r="C181" s="38" t="str">
        <f>IFERROR(__xludf.DUMMYFUNCTION("""COMPUTED_VALUE"""),"Belum disetujui")</f>
        <v>Belum disetujui</v>
      </c>
      <c r="D181" s="38"/>
      <c r="E181" s="38" t="s">
        <v>11456</v>
      </c>
      <c r="F181" s="38" t="s">
        <v>667</v>
      </c>
      <c r="G181" s="38" t="s">
        <v>11457</v>
      </c>
      <c r="H181" s="38" t="s">
        <v>11424</v>
      </c>
    </row>
    <row r="182">
      <c r="A182" s="37">
        <f>IFERROR(__xludf.DUMMYFUNCTION("""COMPUTED_VALUE"""),45904.49424891204)</f>
        <v>45904.49425</v>
      </c>
      <c r="B182" s="38" t="str">
        <f>IFERROR(__xludf.DUMMYFUNCTION("""COMPUTED_VALUE"""),"ADRIANA")</f>
        <v>ADRIANA</v>
      </c>
      <c r="C182" s="38" t="str">
        <f>IFERROR(__xludf.DUMMYFUNCTION("""COMPUTED_VALUE"""),"Belum disetujui")</f>
        <v>Belum disetujui</v>
      </c>
      <c r="D182" s="38"/>
      <c r="E182" s="38" t="s">
        <v>11433</v>
      </c>
      <c r="F182" s="38" t="s">
        <v>313</v>
      </c>
      <c r="G182" s="38" t="s">
        <v>11434</v>
      </c>
      <c r="H182" s="38" t="s">
        <v>11424</v>
      </c>
    </row>
    <row r="183">
      <c r="A183" s="37">
        <f>IFERROR(__xludf.DUMMYFUNCTION("""COMPUTED_VALUE"""),45904.49621847222)</f>
        <v>45904.49622</v>
      </c>
      <c r="B183" s="38" t="str">
        <f>IFERROR(__xludf.DUMMYFUNCTION("""COMPUTED_VALUE"""),"ADRIANA")</f>
        <v>ADRIANA</v>
      </c>
      <c r="C183" s="38" t="str">
        <f>IFERROR(__xludf.DUMMYFUNCTION("""COMPUTED_VALUE"""),"Belum disetujui")</f>
        <v>Belum disetujui</v>
      </c>
      <c r="D183" s="38"/>
      <c r="E183" s="38" t="s">
        <v>11433</v>
      </c>
      <c r="F183" s="38" t="s">
        <v>313</v>
      </c>
      <c r="G183" s="38" t="s">
        <v>11434</v>
      </c>
      <c r="H183" s="38" t="s">
        <v>11424</v>
      </c>
    </row>
    <row r="184">
      <c r="A184" s="37">
        <f>IFERROR(__xludf.DUMMYFUNCTION("""COMPUTED_VALUE"""),45904.49939045138)</f>
        <v>45904.49939</v>
      </c>
      <c r="B184" s="38" t="str">
        <f>IFERROR(__xludf.DUMMYFUNCTION("""COMPUTED_VALUE"""),"ASTUTI BELA WAWO")</f>
        <v>ASTUTI BELA WAWO</v>
      </c>
      <c r="C184" s="38" t="str">
        <f>IFERROR(__xludf.DUMMYFUNCTION("""COMPUTED_VALUE"""),"Belum disetujui")</f>
        <v>Belum disetujui</v>
      </c>
      <c r="D184" s="38"/>
      <c r="E184" s="38" t="s">
        <v>11427</v>
      </c>
      <c r="F184" s="38" t="s">
        <v>257</v>
      </c>
      <c r="G184" s="38" t="s">
        <v>11428</v>
      </c>
      <c r="H184" s="38" t="s">
        <v>11419</v>
      </c>
    </row>
    <row r="185">
      <c r="A185" s="37">
        <f>IFERROR(__xludf.DUMMYFUNCTION("""COMPUTED_VALUE"""),45904.50455498842)</f>
        <v>45904.50455</v>
      </c>
      <c r="B185" s="38" t="str">
        <f>IFERROR(__xludf.DUMMYFUNCTION("""COMPUTED_VALUE"""),"YOVANDA KATRINA NAE")</f>
        <v>YOVANDA KATRINA NAE</v>
      </c>
      <c r="C185" s="38" t="str">
        <f>IFERROR(__xludf.DUMMYFUNCTION("""COMPUTED_VALUE"""),"Belum disetujui")</f>
        <v>Belum disetujui</v>
      </c>
      <c r="D185" s="38"/>
      <c r="E185" s="38" t="s">
        <v>11425</v>
      </c>
      <c r="F185" s="38" t="s">
        <v>205</v>
      </c>
      <c r="G185" s="38" t="s">
        <v>11426</v>
      </c>
      <c r="H185" s="38" t="s">
        <v>11419</v>
      </c>
    </row>
    <row r="186">
      <c r="A186" s="37">
        <f>IFERROR(__xludf.DUMMYFUNCTION("""COMPUTED_VALUE"""),45904.51271266204)</f>
        <v>45904.51271</v>
      </c>
      <c r="B186" s="38" t="str">
        <f>IFERROR(__xludf.DUMMYFUNCTION("""COMPUTED_VALUE"""),"ASTUTI BELA WAWO")</f>
        <v>ASTUTI BELA WAWO</v>
      </c>
      <c r="C186" s="38" t="str">
        <f>IFERROR(__xludf.DUMMYFUNCTION("""COMPUTED_VALUE"""),"Belum disetujui")</f>
        <v>Belum disetujui</v>
      </c>
      <c r="D186" s="38"/>
      <c r="E186" s="38" t="s">
        <v>11427</v>
      </c>
      <c r="F186" s="38" t="s">
        <v>257</v>
      </c>
      <c r="G186" s="38" t="s">
        <v>11428</v>
      </c>
      <c r="H186" s="38" t="s">
        <v>11419</v>
      </c>
    </row>
    <row r="187">
      <c r="A187" s="37">
        <f>IFERROR(__xludf.DUMMYFUNCTION("""COMPUTED_VALUE"""),45904.54816824074)</f>
        <v>45904.54817</v>
      </c>
      <c r="B187" s="38" t="str">
        <f>IFERROR(__xludf.DUMMYFUNCTION("""COMPUTED_VALUE"""),"SELVINCE BAKO")</f>
        <v>SELVINCE BAKO</v>
      </c>
      <c r="C187" s="38" t="str">
        <f>IFERROR(__xludf.DUMMYFUNCTION("""COMPUTED_VALUE"""),"Belum disetujui")</f>
        <v>Belum disetujui</v>
      </c>
      <c r="D187" s="38"/>
      <c r="E187" s="38" t="s">
        <v>11413</v>
      </c>
      <c r="F187" s="38" t="s">
        <v>204</v>
      </c>
      <c r="G187" s="38" t="s">
        <v>11414</v>
      </c>
      <c r="H187" s="38" t="s">
        <v>11399</v>
      </c>
    </row>
    <row r="188">
      <c r="A188" s="37">
        <f>IFERROR(__xludf.DUMMYFUNCTION("""COMPUTED_VALUE"""),45904.55295193287)</f>
        <v>45904.55295</v>
      </c>
      <c r="B188" s="38" t="str">
        <f>IFERROR(__xludf.DUMMYFUNCTION("""COMPUTED_VALUE"""),"ROS YANE KANA LUDJI")</f>
        <v>ROS YANE KANA LUDJI</v>
      </c>
      <c r="C188" s="38" t="str">
        <f>IFERROR(__xludf.DUMMYFUNCTION("""COMPUTED_VALUE"""),"Belum disetujui")</f>
        <v>Belum disetujui</v>
      </c>
      <c r="D188" s="38"/>
      <c r="E188" s="38" t="s">
        <v>11437</v>
      </c>
      <c r="F188" s="38" t="s">
        <v>204</v>
      </c>
      <c r="G188" s="38" t="s">
        <v>11438</v>
      </c>
      <c r="H188" s="38" t="s">
        <v>11399</v>
      </c>
    </row>
    <row r="189">
      <c r="A189" s="37">
        <f>IFERROR(__xludf.DUMMYFUNCTION("""COMPUTED_VALUE"""),45904.56490980324)</f>
        <v>45904.56491</v>
      </c>
      <c r="B189" s="38" t="str">
        <f>IFERROR(__xludf.DUMMYFUNCTION("""COMPUTED_VALUE"""),"SKOLASTIKA B TAUNAES")</f>
        <v>SKOLASTIKA B TAUNAES</v>
      </c>
      <c r="C189" s="38" t="str">
        <f>IFERROR(__xludf.DUMMYFUNCTION("""COMPUTED_VALUE"""),"Belum disetujui")</f>
        <v>Belum disetujui</v>
      </c>
      <c r="D189" s="38"/>
      <c r="E189" s="38" t="s">
        <v>11413</v>
      </c>
      <c r="F189" s="38" t="s">
        <v>204</v>
      </c>
      <c r="G189" s="38" t="s">
        <v>11414</v>
      </c>
      <c r="H189" s="38" t="s">
        <v>11399</v>
      </c>
    </row>
    <row r="190">
      <c r="A190" s="37">
        <f>IFERROR(__xludf.DUMMYFUNCTION("""COMPUTED_VALUE"""),45904.58407351852)</f>
        <v>45904.58407</v>
      </c>
      <c r="B190" s="38" t="str">
        <f>IFERROR(__xludf.DUMMYFUNCTION("""COMPUTED_VALUE"""),"FERI ELI KURNIAWAN")</f>
        <v>FERI ELI KURNIAWAN</v>
      </c>
      <c r="C190" s="38" t="str">
        <f>IFERROR(__xludf.DUMMYFUNCTION("""COMPUTED_VALUE"""),"Belum disetujui")</f>
        <v>Belum disetujui</v>
      </c>
      <c r="D190" s="38"/>
      <c r="E190" s="38" t="s">
        <v>11411</v>
      </c>
      <c r="F190" s="38" t="s">
        <v>220</v>
      </c>
      <c r="G190" s="38" t="s">
        <v>11412</v>
      </c>
      <c r="H190" s="38" t="s">
        <v>11399</v>
      </c>
    </row>
    <row r="191">
      <c r="A191" s="37">
        <f>IFERROR(__xludf.DUMMYFUNCTION("""COMPUTED_VALUE"""),45904.59941476852)</f>
        <v>45904.59941</v>
      </c>
      <c r="B191" s="38" t="str">
        <f>IFERROR(__xludf.DUMMYFUNCTION("""COMPUTED_VALUE"""),"YOHANIS TIPNONI")</f>
        <v>YOHANIS TIPNONI</v>
      </c>
      <c r="C191" s="38" t="str">
        <f>IFERROR(__xludf.DUMMYFUNCTION("""COMPUTED_VALUE"""),"ACC")</f>
        <v>ACC</v>
      </c>
      <c r="D191" s="38" t="str">
        <f>IFERROR(__xludf.DUMMYFUNCTION("""COMPUTED_VALUE"""),"V50 Lite series")</f>
        <v>V50 Lite series</v>
      </c>
      <c r="E191" s="38" t="s">
        <v>11405</v>
      </c>
      <c r="F191" s="38" t="s">
        <v>220</v>
      </c>
      <c r="G191" s="38" t="s">
        <v>11406</v>
      </c>
      <c r="H191" s="38" t="s">
        <v>11399</v>
      </c>
    </row>
    <row r="192">
      <c r="A192" s="37">
        <f>IFERROR(__xludf.DUMMYFUNCTION("""COMPUTED_VALUE"""),45904.60750119213)</f>
        <v>45904.6075</v>
      </c>
      <c r="B192" s="38" t="str">
        <f>IFERROR(__xludf.DUMMYFUNCTION("""COMPUTED_VALUE"""),"KESIA NATALIA I. BENU")</f>
        <v>KESIA NATALIA I. BENU</v>
      </c>
      <c r="C192" s="38" t="str">
        <f>IFERROR(__xludf.DUMMYFUNCTION("""COMPUTED_VALUE"""),"ACC")</f>
        <v>ACC</v>
      </c>
      <c r="D192" s="38" t="str">
        <f>IFERROR(__xludf.DUMMYFUNCTION("""COMPUTED_VALUE"""),"Y400 series")</f>
        <v>Y400 series</v>
      </c>
      <c r="E192" s="38" t="s">
        <v>11417</v>
      </c>
      <c r="F192" s="38" t="s">
        <v>257</v>
      </c>
      <c r="G192" s="38" t="s">
        <v>11418</v>
      </c>
      <c r="H192" s="38" t="s">
        <v>11419</v>
      </c>
    </row>
    <row r="193">
      <c r="A193" s="37">
        <f>IFERROR(__xludf.DUMMYFUNCTION("""COMPUTED_VALUE"""),45904.608359548605)</f>
        <v>45904.60836</v>
      </c>
      <c r="B193" s="38" t="str">
        <f>IFERROR(__xludf.DUMMYFUNCTION("""COMPUTED_VALUE"""),"MARNITHA JUWIKE TIMORATI RUNESI")</f>
        <v>MARNITHA JUWIKE TIMORATI RUNESI</v>
      </c>
      <c r="C193" s="38" t="str">
        <f>IFERROR(__xludf.DUMMYFUNCTION("""COMPUTED_VALUE"""),"Belum disetujui")</f>
        <v>Belum disetujui</v>
      </c>
      <c r="D193" s="38"/>
      <c r="E193" s="38" t="s">
        <v>11420</v>
      </c>
      <c r="F193" s="38" t="s">
        <v>204</v>
      </c>
      <c r="G193" s="38" t="s">
        <v>11421</v>
      </c>
      <c r="H193" s="38" t="s">
        <v>11399</v>
      </c>
    </row>
    <row r="194">
      <c r="A194" s="37">
        <f>IFERROR(__xludf.DUMMYFUNCTION("""COMPUTED_VALUE"""),45904.61412034722)</f>
        <v>45904.61412</v>
      </c>
      <c r="B194" s="38" t="str">
        <f>IFERROR(__xludf.DUMMYFUNCTION("""COMPUTED_VALUE"""),"SKOLASTIKA B TAUNAES")</f>
        <v>SKOLASTIKA B TAUNAES</v>
      </c>
      <c r="C194" s="38" t="str">
        <f>IFERROR(__xludf.DUMMYFUNCTION("""COMPUTED_VALUE"""),"Belum disetujui")</f>
        <v>Belum disetujui</v>
      </c>
      <c r="D194" s="38"/>
      <c r="E194" s="38" t="s">
        <v>11413</v>
      </c>
      <c r="F194" s="38" t="s">
        <v>204</v>
      </c>
      <c r="G194" s="38" t="s">
        <v>11414</v>
      </c>
      <c r="H194" s="38" t="s">
        <v>11399</v>
      </c>
    </row>
    <row r="195">
      <c r="A195" s="37">
        <f>IFERROR(__xludf.DUMMYFUNCTION("""COMPUTED_VALUE"""),45904.61562667824)</f>
        <v>45904.61563</v>
      </c>
      <c r="B195" s="38" t="str">
        <f>IFERROR(__xludf.DUMMYFUNCTION("""COMPUTED_VALUE"""),"AINI RAHMATINI NATALIA MOESTAKIM")</f>
        <v>AINI RAHMATINI NATALIA MOESTAKIM</v>
      </c>
      <c r="C195" s="38" t="str">
        <f>IFERROR(__xludf.DUMMYFUNCTION("""COMPUTED_VALUE"""),"Belum disetujui")</f>
        <v>Belum disetujui</v>
      </c>
      <c r="D195" s="38"/>
      <c r="E195" s="38" t="s">
        <v>11409</v>
      </c>
      <c r="F195" s="38" t="s">
        <v>204</v>
      </c>
      <c r="G195" s="38" t="s">
        <v>11410</v>
      </c>
      <c r="H195" s="38" t="s">
        <v>11399</v>
      </c>
    </row>
    <row r="196">
      <c r="A196" s="37">
        <f>IFERROR(__xludf.DUMMYFUNCTION("""COMPUTED_VALUE"""),45904.616012199076)</f>
        <v>45904.61601</v>
      </c>
      <c r="B196" s="38" t="str">
        <f>IFERROR(__xludf.DUMMYFUNCTION("""COMPUTED_VALUE"""),"WINDRI MANOE")</f>
        <v>WINDRI MANOE</v>
      </c>
      <c r="C196" s="38" t="str">
        <f>IFERROR(__xludf.DUMMYFUNCTION("""COMPUTED_VALUE"""),"Belum disetujui")</f>
        <v>Belum disetujui</v>
      </c>
      <c r="D196" s="38"/>
      <c r="E196" s="38" t="s">
        <v>11443</v>
      </c>
      <c r="F196" s="38" t="s">
        <v>220</v>
      </c>
      <c r="G196" s="38" t="s">
        <v>11444</v>
      </c>
      <c r="H196" s="38" t="s">
        <v>11399</v>
      </c>
    </row>
    <row r="197">
      <c r="A197" s="37">
        <f>IFERROR(__xludf.DUMMYFUNCTION("""COMPUTED_VALUE"""),45904.61636383102)</f>
        <v>45904.61636</v>
      </c>
      <c r="B197" s="38" t="str">
        <f>IFERROR(__xludf.DUMMYFUNCTION("""COMPUTED_VALUE"""),"SKOLASTIKA B TAUNAES")</f>
        <v>SKOLASTIKA B TAUNAES</v>
      </c>
      <c r="C197" s="38" t="str">
        <f>IFERROR(__xludf.DUMMYFUNCTION("""COMPUTED_VALUE"""),"Belum disetujui")</f>
        <v>Belum disetujui</v>
      </c>
      <c r="D197" s="38"/>
      <c r="E197" s="38" t="s">
        <v>11413</v>
      </c>
      <c r="F197" s="38" t="s">
        <v>204</v>
      </c>
      <c r="G197" s="38" t="s">
        <v>11414</v>
      </c>
      <c r="H197" s="38" t="s">
        <v>11399</v>
      </c>
    </row>
    <row r="198">
      <c r="A198" s="37">
        <f>IFERROR(__xludf.DUMMYFUNCTION("""COMPUTED_VALUE"""),45904.62128131944)</f>
        <v>45904.62128</v>
      </c>
      <c r="B198" s="38" t="str">
        <f>IFERROR(__xludf.DUMMYFUNCTION("""COMPUTED_VALUE"""),"MARNITHA JUWIKE TIMORATI RUNESI")</f>
        <v>MARNITHA JUWIKE TIMORATI RUNESI</v>
      </c>
      <c r="C198" s="38" t="str">
        <f>IFERROR(__xludf.DUMMYFUNCTION("""COMPUTED_VALUE"""),"Dapat limit tapi belum diproses")</f>
        <v>Dapat limit tapi belum diproses</v>
      </c>
      <c r="D198" s="38" t="str">
        <f>IFERROR(__xludf.DUMMYFUNCTION("""COMPUTED_VALUE"""),"Y400 series")</f>
        <v>Y400 series</v>
      </c>
      <c r="E198" s="38" t="s">
        <v>11420</v>
      </c>
      <c r="F198" s="38" t="s">
        <v>204</v>
      </c>
      <c r="G198" s="38" t="s">
        <v>11421</v>
      </c>
      <c r="H198" s="38" t="s">
        <v>11399</v>
      </c>
    </row>
    <row r="199">
      <c r="A199" s="37">
        <f>IFERROR(__xludf.DUMMYFUNCTION("""COMPUTED_VALUE"""),45904.66179884259)</f>
        <v>45904.6618</v>
      </c>
      <c r="B199" s="38" t="str">
        <f>IFERROR(__xludf.DUMMYFUNCTION("""COMPUTED_VALUE"""),"WINDRI MANOE")</f>
        <v>WINDRI MANOE</v>
      </c>
      <c r="C199" s="38" t="str">
        <f>IFERROR(__xludf.DUMMYFUNCTION("""COMPUTED_VALUE"""),"Belum disetujui")</f>
        <v>Belum disetujui</v>
      </c>
      <c r="D199" s="38"/>
      <c r="E199" s="38" t="s">
        <v>11443</v>
      </c>
      <c r="F199" s="38" t="s">
        <v>220</v>
      </c>
      <c r="G199" s="38" t="s">
        <v>11444</v>
      </c>
      <c r="H199" s="38" t="s">
        <v>11399</v>
      </c>
    </row>
    <row r="200">
      <c r="A200" s="37">
        <f>IFERROR(__xludf.DUMMYFUNCTION("""COMPUTED_VALUE"""),45904.664916875)</f>
        <v>45904.66492</v>
      </c>
      <c r="B200" s="38" t="str">
        <f>IFERROR(__xludf.DUMMYFUNCTION("""COMPUTED_VALUE"""),"NOVANTRY RUTHANIA NAFFIE")</f>
        <v>NOVANTRY RUTHANIA NAFFIE</v>
      </c>
      <c r="C200" s="38" t="str">
        <f>IFERROR(__xludf.DUMMYFUNCTION("""COMPUTED_VALUE"""),"Dapat limit tapi belum diproses")</f>
        <v>Dapat limit tapi belum diproses</v>
      </c>
      <c r="D200" s="38" t="str">
        <f>IFERROR(__xludf.DUMMYFUNCTION("""COMPUTED_VALUE"""),"Y400 series")</f>
        <v>Y400 series</v>
      </c>
      <c r="E200" s="38" t="s">
        <v>11397</v>
      </c>
      <c r="F200" s="38" t="s">
        <v>220</v>
      </c>
      <c r="G200" s="38" t="s">
        <v>11398</v>
      </c>
      <c r="H200" s="38" t="s">
        <v>11399</v>
      </c>
    </row>
    <row r="201">
      <c r="A201" s="37">
        <f>IFERROR(__xludf.DUMMYFUNCTION("""COMPUTED_VALUE"""),45904.67294827547)</f>
        <v>45904.67295</v>
      </c>
      <c r="B201" s="38" t="str">
        <f>IFERROR(__xludf.DUMMYFUNCTION("""COMPUTED_VALUE"""),"YASINTHA MBU")</f>
        <v>YASINTHA MBU</v>
      </c>
      <c r="C201" s="38" t="str">
        <f>IFERROR(__xludf.DUMMYFUNCTION("""COMPUTED_VALUE"""),"Belum disetujui")</f>
        <v>Belum disetujui</v>
      </c>
      <c r="D201" s="38"/>
      <c r="E201" s="38" t="s">
        <v>11407</v>
      </c>
      <c r="F201" s="38" t="s">
        <v>220</v>
      </c>
      <c r="G201" s="38" t="s">
        <v>11408</v>
      </c>
      <c r="H201" s="38" t="s">
        <v>11399</v>
      </c>
    </row>
    <row r="202">
      <c r="A202" s="37">
        <f>IFERROR(__xludf.DUMMYFUNCTION("""COMPUTED_VALUE"""),45904.675337939814)</f>
        <v>45904.67534</v>
      </c>
      <c r="B202" s="38" t="str">
        <f>IFERROR(__xludf.DUMMYFUNCTION("""COMPUTED_VALUE"""),"DEWI RAHMAN")</f>
        <v>DEWI RAHMAN</v>
      </c>
      <c r="C202" s="38" t="str">
        <f>IFERROR(__xludf.DUMMYFUNCTION("""COMPUTED_VALUE"""),"Belum disetujui")</f>
        <v>Belum disetujui</v>
      </c>
      <c r="D202" s="38"/>
      <c r="E202" s="38" t="s">
        <v>11449</v>
      </c>
      <c r="F202" s="38" t="s">
        <v>11450</v>
      </c>
      <c r="G202" s="38" t="s">
        <v>11451</v>
      </c>
      <c r="H202" s="38" t="s">
        <v>11424</v>
      </c>
    </row>
    <row r="203">
      <c r="A203" s="37">
        <f>IFERROR(__xludf.DUMMYFUNCTION("""COMPUTED_VALUE"""),45904.68274188657)</f>
        <v>45904.68274</v>
      </c>
      <c r="B203" s="38" t="str">
        <f>IFERROR(__xludf.DUMMYFUNCTION("""COMPUTED_VALUE"""),"ASRI NINGSI RAMBU ATA ENDI")</f>
        <v>ASRI NINGSI RAMBU ATA ENDI</v>
      </c>
      <c r="C203" s="38" t="str">
        <f>IFERROR(__xludf.DUMMYFUNCTION("""COMPUTED_VALUE"""),"Belum disetujui")</f>
        <v>Belum disetujui</v>
      </c>
      <c r="D203" s="38"/>
      <c r="E203" s="38" t="s">
        <v>11441</v>
      </c>
      <c r="F203" s="38" t="s">
        <v>205</v>
      </c>
      <c r="G203" s="38" t="s">
        <v>11442</v>
      </c>
      <c r="H203" s="38" t="s">
        <v>11419</v>
      </c>
    </row>
    <row r="204">
      <c r="A204" s="37">
        <f>IFERROR(__xludf.DUMMYFUNCTION("""COMPUTED_VALUE"""),45904.69350331019)</f>
        <v>45904.6935</v>
      </c>
      <c r="B204" s="38" t="str">
        <f>IFERROR(__xludf.DUMMYFUNCTION("""COMPUTED_VALUE"""),"IDMAL YUSDIRAN YUSUF")</f>
        <v>IDMAL YUSDIRAN YUSUF</v>
      </c>
      <c r="C204" s="38" t="str">
        <f>IFERROR(__xludf.DUMMYFUNCTION("""COMPUTED_VALUE"""),"Belum disetujui")</f>
        <v>Belum disetujui</v>
      </c>
      <c r="D204" s="38"/>
      <c r="E204" s="38" t="s">
        <v>11417</v>
      </c>
      <c r="F204" s="38" t="s">
        <v>257</v>
      </c>
      <c r="G204" s="38" t="s">
        <v>11418</v>
      </c>
      <c r="H204" s="38" t="s">
        <v>11419</v>
      </c>
    </row>
    <row r="205">
      <c r="A205" s="37">
        <f>IFERROR(__xludf.DUMMYFUNCTION("""COMPUTED_VALUE"""),45904.70378733797)</f>
        <v>45904.70379</v>
      </c>
      <c r="B205" s="38" t="str">
        <f>IFERROR(__xludf.DUMMYFUNCTION("""COMPUTED_VALUE"""),"WINDRI MANOE")</f>
        <v>WINDRI MANOE</v>
      </c>
      <c r="C205" s="38" t="str">
        <f>IFERROR(__xludf.DUMMYFUNCTION("""COMPUTED_VALUE"""),"Dapat limit tapi belum diproses")</f>
        <v>Dapat limit tapi belum diproses</v>
      </c>
      <c r="D205" s="38" t="str">
        <f>IFERROR(__xludf.DUMMYFUNCTION("""COMPUTED_VALUE"""),"V50 Lite series")</f>
        <v>V50 Lite series</v>
      </c>
      <c r="E205" s="38" t="s">
        <v>11443</v>
      </c>
      <c r="F205" s="38" t="s">
        <v>220</v>
      </c>
      <c r="G205" s="38" t="s">
        <v>11444</v>
      </c>
      <c r="H205" s="38" t="s">
        <v>11399</v>
      </c>
    </row>
    <row r="206">
      <c r="A206" s="37">
        <f>IFERROR(__xludf.DUMMYFUNCTION("""COMPUTED_VALUE"""),45904.70679388889)</f>
        <v>45904.70679</v>
      </c>
      <c r="B206" s="38" t="str">
        <f>IFERROR(__xludf.DUMMYFUNCTION("""COMPUTED_VALUE"""),"BERGITHA NIA OLIN")</f>
        <v>BERGITHA NIA OLIN</v>
      </c>
      <c r="C206" s="38" t="str">
        <f>IFERROR(__xludf.DUMMYFUNCTION("""COMPUTED_VALUE"""),"Belum disetujui")</f>
        <v>Belum disetujui</v>
      </c>
      <c r="D206" s="38"/>
      <c r="E206" s="38" t="s">
        <v>11431</v>
      </c>
      <c r="F206" s="38" t="s">
        <v>313</v>
      </c>
      <c r="G206" s="38" t="s">
        <v>11432</v>
      </c>
      <c r="H206" s="38" t="s">
        <v>11424</v>
      </c>
    </row>
    <row r="207">
      <c r="A207" s="37">
        <f>IFERROR(__xludf.DUMMYFUNCTION("""COMPUTED_VALUE"""),45904.719569699075)</f>
        <v>45904.71957</v>
      </c>
      <c r="B207" s="38" t="str">
        <f>IFERROR(__xludf.DUMMYFUNCTION("""COMPUTED_VALUE"""),"HERONIMUS NAMU WALI")</f>
        <v>HERONIMUS NAMU WALI</v>
      </c>
      <c r="C207" s="38" t="str">
        <f>IFERROR(__xludf.DUMMYFUNCTION("""COMPUTED_VALUE"""),"Belum disetujui")</f>
        <v>Belum disetujui</v>
      </c>
      <c r="D207" s="38"/>
      <c r="E207" s="38" t="s">
        <v>11452</v>
      </c>
      <c r="F207" s="38" t="s">
        <v>205</v>
      </c>
      <c r="G207" s="38" t="s">
        <v>11453</v>
      </c>
      <c r="H207" s="38" t="s">
        <v>11419</v>
      </c>
    </row>
    <row r="208">
      <c r="A208" s="37">
        <f>IFERROR(__xludf.DUMMYFUNCTION("""COMPUTED_VALUE"""),45904.724201840276)</f>
        <v>45904.7242</v>
      </c>
      <c r="B208" s="38" t="str">
        <f>IFERROR(__xludf.DUMMYFUNCTION("""COMPUTED_VALUE"""),"HERONIMUS NAMU WALI")</f>
        <v>HERONIMUS NAMU WALI</v>
      </c>
      <c r="C208" s="38" t="str">
        <f>IFERROR(__xludf.DUMMYFUNCTION("""COMPUTED_VALUE"""),"Belum disetujui")</f>
        <v>Belum disetujui</v>
      </c>
      <c r="D208" s="38"/>
      <c r="E208" s="38" t="s">
        <v>11452</v>
      </c>
      <c r="F208" s="38" t="s">
        <v>205</v>
      </c>
      <c r="G208" s="38" t="s">
        <v>11453</v>
      </c>
      <c r="H208" s="38" t="s">
        <v>11419</v>
      </c>
    </row>
    <row r="209">
      <c r="A209" s="37">
        <f>IFERROR(__xludf.DUMMYFUNCTION("""COMPUTED_VALUE"""),45904.72666194444)</f>
        <v>45904.72666</v>
      </c>
      <c r="B209" s="38" t="str">
        <f>IFERROR(__xludf.DUMMYFUNCTION("""COMPUTED_VALUE"""),"AINI RAHMATINI NATALIA MOESTAKIM")</f>
        <v>AINI RAHMATINI NATALIA MOESTAKIM</v>
      </c>
      <c r="C209" s="38" t="str">
        <f>IFERROR(__xludf.DUMMYFUNCTION("""COMPUTED_VALUE"""),"Belum disetujui")</f>
        <v>Belum disetujui</v>
      </c>
      <c r="D209" s="38"/>
      <c r="E209" s="38" t="s">
        <v>11409</v>
      </c>
      <c r="F209" s="38" t="s">
        <v>204</v>
      </c>
      <c r="G209" s="38" t="s">
        <v>11410</v>
      </c>
      <c r="H209" s="38" t="s">
        <v>11399</v>
      </c>
    </row>
    <row r="210">
      <c r="A210" s="37">
        <f>IFERROR(__xludf.DUMMYFUNCTION("""COMPUTED_VALUE"""),45904.73357081018)</f>
        <v>45904.73357</v>
      </c>
      <c r="B210" s="38" t="str">
        <f>IFERROR(__xludf.DUMMYFUNCTION("""COMPUTED_VALUE"""),"ROS YANE KANA LUDJI")</f>
        <v>ROS YANE KANA LUDJI</v>
      </c>
      <c r="C210" s="38" t="str">
        <f>IFERROR(__xludf.DUMMYFUNCTION("""COMPUTED_VALUE"""),"Belum disetujui")</f>
        <v>Belum disetujui</v>
      </c>
      <c r="D210" s="38"/>
      <c r="E210" s="38" t="s">
        <v>11437</v>
      </c>
      <c r="F210" s="38" t="s">
        <v>204</v>
      </c>
      <c r="G210" s="38" t="s">
        <v>11438</v>
      </c>
      <c r="H210" s="38" t="s">
        <v>11399</v>
      </c>
    </row>
    <row r="211">
      <c r="A211" s="37">
        <f>IFERROR(__xludf.DUMMYFUNCTION("""COMPUTED_VALUE"""),45904.74121417823)</f>
        <v>45904.74121</v>
      </c>
      <c r="B211" s="38" t="str">
        <f>IFERROR(__xludf.DUMMYFUNCTION("""COMPUTED_VALUE"""),"HERONIMUS NAMU WALI")</f>
        <v>HERONIMUS NAMU WALI</v>
      </c>
      <c r="C211" s="38" t="str">
        <f>IFERROR(__xludf.DUMMYFUNCTION("""COMPUTED_VALUE"""),"Belum disetujui")</f>
        <v>Belum disetujui</v>
      </c>
      <c r="D211" s="38"/>
      <c r="E211" s="38" t="s">
        <v>11452</v>
      </c>
      <c r="F211" s="38" t="s">
        <v>205</v>
      </c>
      <c r="G211" s="38" t="s">
        <v>11453</v>
      </c>
      <c r="H211" s="38" t="s">
        <v>11419</v>
      </c>
    </row>
    <row r="212">
      <c r="A212" s="37">
        <f>IFERROR(__xludf.DUMMYFUNCTION("""COMPUTED_VALUE"""),45904.74989438658)</f>
        <v>45904.74989</v>
      </c>
      <c r="B212" s="38" t="str">
        <f>IFERROR(__xludf.DUMMYFUNCTION("""COMPUTED_VALUE"""),"ADRIANA")</f>
        <v>ADRIANA</v>
      </c>
      <c r="C212" s="38" t="str">
        <f>IFERROR(__xludf.DUMMYFUNCTION("""COMPUTED_VALUE"""),"Belum disetujui")</f>
        <v>Belum disetujui</v>
      </c>
      <c r="D212" s="38"/>
      <c r="E212" s="38" t="s">
        <v>11433</v>
      </c>
      <c r="F212" s="38" t="s">
        <v>313</v>
      </c>
      <c r="G212" s="38" t="s">
        <v>11434</v>
      </c>
      <c r="H212" s="38" t="s">
        <v>11424</v>
      </c>
    </row>
    <row r="213">
      <c r="A213" s="37">
        <f>IFERROR(__xludf.DUMMYFUNCTION("""COMPUTED_VALUE"""),45904.750959201396)</f>
        <v>45904.75096</v>
      </c>
      <c r="B213" s="38" t="str">
        <f>IFERROR(__xludf.DUMMYFUNCTION("""COMPUTED_VALUE"""),"SELVINCE BAKO")</f>
        <v>SELVINCE BAKO</v>
      </c>
      <c r="C213" s="38" t="str">
        <f>IFERROR(__xludf.DUMMYFUNCTION("""COMPUTED_VALUE"""),"Belum disetujui")</f>
        <v>Belum disetujui</v>
      </c>
      <c r="D213" s="38"/>
      <c r="E213" s="38" t="s">
        <v>11413</v>
      </c>
      <c r="F213" s="38" t="s">
        <v>204</v>
      </c>
      <c r="G213" s="38" t="s">
        <v>11414</v>
      </c>
      <c r="H213" s="38" t="s">
        <v>11399</v>
      </c>
    </row>
    <row r="214">
      <c r="A214" s="37">
        <f>IFERROR(__xludf.DUMMYFUNCTION("""COMPUTED_VALUE"""),45904.752145694445)</f>
        <v>45904.75215</v>
      </c>
      <c r="B214" s="38" t="str">
        <f>IFERROR(__xludf.DUMMYFUNCTION("""COMPUTED_VALUE"""),"SULIS NURAINI INSYATUN")</f>
        <v>SULIS NURAINI INSYATUN</v>
      </c>
      <c r="C214" s="38" t="str">
        <f>IFERROR(__xludf.DUMMYFUNCTION("""COMPUTED_VALUE"""),"Dapat limit tapi belum diproses")</f>
        <v>Dapat limit tapi belum diproses</v>
      </c>
      <c r="D214" s="38" t="str">
        <f>IFERROR(__xludf.DUMMYFUNCTION("""COMPUTED_VALUE"""),"Y400 series")</f>
        <v>Y400 series</v>
      </c>
      <c r="E214" s="38" t="s">
        <v>11429</v>
      </c>
      <c r="F214" s="38" t="s">
        <v>257</v>
      </c>
      <c r="G214" s="38" t="s">
        <v>11430</v>
      </c>
      <c r="H214" s="38" t="s">
        <v>11419</v>
      </c>
    </row>
    <row r="215">
      <c r="A215" s="37">
        <f>IFERROR(__xludf.DUMMYFUNCTION("""COMPUTED_VALUE"""),45904.75238449075)</f>
        <v>45904.75238</v>
      </c>
      <c r="B215" s="38" t="str">
        <f>IFERROR(__xludf.DUMMYFUNCTION("""COMPUTED_VALUE"""),"LINDA MELSIANA ELLO")</f>
        <v>LINDA MELSIANA ELLO</v>
      </c>
      <c r="C215" s="38" t="str">
        <f>IFERROR(__xludf.DUMMYFUNCTION("""COMPUTED_VALUE"""),"Belum disetujui")</f>
        <v>Belum disetujui</v>
      </c>
      <c r="D215" s="38"/>
      <c r="E215" s="38" t="s">
        <v>11435</v>
      </c>
      <c r="F215" s="38" t="s">
        <v>215</v>
      </c>
      <c r="G215" s="38" t="s">
        <v>11436</v>
      </c>
      <c r="H215" s="38" t="s">
        <v>11424</v>
      </c>
    </row>
    <row r="216">
      <c r="A216" s="37">
        <f>IFERROR(__xludf.DUMMYFUNCTION("""COMPUTED_VALUE"""),45904.75694222222)</f>
        <v>45904.75694</v>
      </c>
      <c r="B216" s="38" t="str">
        <f>IFERROR(__xludf.DUMMYFUNCTION("""COMPUTED_VALUE"""),"FERI ELI KURNIAWAN")</f>
        <v>FERI ELI KURNIAWAN</v>
      </c>
      <c r="C216" s="38" t="str">
        <f>IFERROR(__xludf.DUMMYFUNCTION("""COMPUTED_VALUE"""),"Belum disetujui")</f>
        <v>Belum disetujui</v>
      </c>
      <c r="D216" s="38"/>
      <c r="E216" s="38" t="s">
        <v>11411</v>
      </c>
      <c r="F216" s="38" t="s">
        <v>220</v>
      </c>
      <c r="G216" s="38" t="s">
        <v>11412</v>
      </c>
      <c r="H216" s="38" t="s">
        <v>11399</v>
      </c>
    </row>
    <row r="217">
      <c r="A217" s="37">
        <f>IFERROR(__xludf.DUMMYFUNCTION("""COMPUTED_VALUE"""),45904.75748572917)</f>
        <v>45904.75749</v>
      </c>
      <c r="B217" s="38" t="str">
        <f>IFERROR(__xludf.DUMMYFUNCTION("""COMPUTED_VALUE"""),"ADRIANA")</f>
        <v>ADRIANA</v>
      </c>
      <c r="C217" s="38" t="str">
        <f>IFERROR(__xludf.DUMMYFUNCTION("""COMPUTED_VALUE"""),"Belum disetujui")</f>
        <v>Belum disetujui</v>
      </c>
      <c r="D217" s="38"/>
      <c r="E217" s="38" t="s">
        <v>11433</v>
      </c>
      <c r="F217" s="38" t="s">
        <v>313</v>
      </c>
      <c r="G217" s="38" t="s">
        <v>11434</v>
      </c>
      <c r="H217" s="38" t="s">
        <v>11424</v>
      </c>
    </row>
    <row r="218">
      <c r="A218" s="37">
        <f>IFERROR(__xludf.DUMMYFUNCTION("""COMPUTED_VALUE"""),45904.75854844908)</f>
        <v>45904.75855</v>
      </c>
      <c r="B218" s="38" t="str">
        <f>IFERROR(__xludf.DUMMYFUNCTION("""COMPUTED_VALUE"""),"DEWI RAHMAN")</f>
        <v>DEWI RAHMAN</v>
      </c>
      <c r="C218" s="38" t="str">
        <f>IFERROR(__xludf.DUMMYFUNCTION("""COMPUTED_VALUE"""),"Belum disetujui")</f>
        <v>Belum disetujui</v>
      </c>
      <c r="D218" s="38"/>
      <c r="E218" s="38" t="s">
        <v>11449</v>
      </c>
      <c r="F218" s="38" t="s">
        <v>11450</v>
      </c>
      <c r="G218" s="38" t="s">
        <v>11451</v>
      </c>
      <c r="H218" s="38" t="s">
        <v>11424</v>
      </c>
    </row>
    <row r="219">
      <c r="A219" s="37">
        <f>IFERROR(__xludf.DUMMYFUNCTION("""COMPUTED_VALUE"""),45904.75996398148)</f>
        <v>45904.75996</v>
      </c>
      <c r="B219" s="38" t="str">
        <f>IFERROR(__xludf.DUMMYFUNCTION("""COMPUTED_VALUE"""),"ADRIANA")</f>
        <v>ADRIANA</v>
      </c>
      <c r="C219" s="38" t="str">
        <f>IFERROR(__xludf.DUMMYFUNCTION("""COMPUTED_VALUE"""),"Dapat limit tapi belum diproses")</f>
        <v>Dapat limit tapi belum diproses</v>
      </c>
      <c r="D219" s="38" t="str">
        <f>IFERROR(__xludf.DUMMYFUNCTION("""COMPUTED_VALUE"""),"Y400 series")</f>
        <v>Y400 series</v>
      </c>
      <c r="E219" s="38" t="s">
        <v>11433</v>
      </c>
      <c r="F219" s="38" t="s">
        <v>313</v>
      </c>
      <c r="G219" s="38" t="s">
        <v>11434</v>
      </c>
      <c r="H219" s="38" t="s">
        <v>11424</v>
      </c>
    </row>
    <row r="220">
      <c r="A220" s="37">
        <f>IFERROR(__xludf.DUMMYFUNCTION("""COMPUTED_VALUE"""),45904.76001273149)</f>
        <v>45904.76001</v>
      </c>
      <c r="B220" s="38" t="str">
        <f>IFERROR(__xludf.DUMMYFUNCTION("""COMPUTED_VALUE"""),"YASINTHA MBU")</f>
        <v>YASINTHA MBU</v>
      </c>
      <c r="C220" s="38" t="str">
        <f>IFERROR(__xludf.DUMMYFUNCTION("""COMPUTED_VALUE"""),"ACC")</f>
        <v>ACC</v>
      </c>
      <c r="D220" s="38" t="str">
        <f>IFERROR(__xludf.DUMMYFUNCTION("""COMPUTED_VALUE"""),"Y400 series")</f>
        <v>Y400 series</v>
      </c>
      <c r="E220" s="38" t="s">
        <v>11407</v>
      </c>
      <c r="F220" s="38" t="s">
        <v>220</v>
      </c>
      <c r="G220" s="38" t="s">
        <v>11408</v>
      </c>
      <c r="H220" s="38" t="s">
        <v>11399</v>
      </c>
    </row>
    <row r="221">
      <c r="A221" s="37">
        <f>IFERROR(__xludf.DUMMYFUNCTION("""COMPUTED_VALUE"""),45904.76193217593)</f>
        <v>45904.76193</v>
      </c>
      <c r="B221" s="38" t="str">
        <f>IFERROR(__xludf.DUMMYFUNCTION("""COMPUTED_VALUE"""),"HERONIMUS NAMU WALI")</f>
        <v>HERONIMUS NAMU WALI</v>
      </c>
      <c r="C221" s="38" t="str">
        <f>IFERROR(__xludf.DUMMYFUNCTION("""COMPUTED_VALUE"""),"Belum disetujui")</f>
        <v>Belum disetujui</v>
      </c>
      <c r="D221" s="38"/>
      <c r="E221" s="38" t="s">
        <v>11452</v>
      </c>
      <c r="F221" s="38" t="s">
        <v>205</v>
      </c>
      <c r="G221" s="38" t="s">
        <v>11453</v>
      </c>
      <c r="H221" s="38" t="s">
        <v>11419</v>
      </c>
    </row>
    <row r="222">
      <c r="A222" s="37">
        <f>IFERROR(__xludf.DUMMYFUNCTION("""COMPUTED_VALUE"""),45904.76598993056)</f>
        <v>45904.76599</v>
      </c>
      <c r="B222" s="38" t="str">
        <f>IFERROR(__xludf.DUMMYFUNCTION("""COMPUTED_VALUE"""),"WARDIA")</f>
        <v>WARDIA</v>
      </c>
      <c r="C222" s="38" t="str">
        <f>IFERROR(__xludf.DUMMYFUNCTION("""COMPUTED_VALUE"""),"Belum disetujui")</f>
        <v>Belum disetujui</v>
      </c>
      <c r="D222" s="38"/>
      <c r="E222" s="38" t="s">
        <v>11409</v>
      </c>
      <c r="F222" s="38" t="s">
        <v>204</v>
      </c>
      <c r="G222" s="38" t="s">
        <v>11410</v>
      </c>
      <c r="H222" s="38" t="s">
        <v>11399</v>
      </c>
    </row>
    <row r="223">
      <c r="A223" s="37">
        <f>IFERROR(__xludf.DUMMYFUNCTION("""COMPUTED_VALUE"""),45904.77380424769)</f>
        <v>45904.7738</v>
      </c>
      <c r="B223" s="38" t="str">
        <f>IFERROR(__xludf.DUMMYFUNCTION("""COMPUTED_VALUE"""),"DEMARISTI S H FENI")</f>
        <v>DEMARISTI S H FENI</v>
      </c>
      <c r="C223" s="38" t="str">
        <f>IFERROR(__xludf.DUMMYFUNCTION("""COMPUTED_VALUE"""),"Belum disetujui")</f>
        <v>Belum disetujui</v>
      </c>
      <c r="D223" s="38"/>
      <c r="E223" s="38" t="s">
        <v>11404</v>
      </c>
      <c r="F223" s="38" t="s">
        <v>11404</v>
      </c>
      <c r="G223" s="38" t="s">
        <v>11404</v>
      </c>
      <c r="H223" s="38" t="s">
        <v>11404</v>
      </c>
    </row>
    <row r="224">
      <c r="A224" s="37">
        <f>IFERROR(__xludf.DUMMYFUNCTION("""COMPUTED_VALUE"""),45904.77730663194)</f>
        <v>45904.77731</v>
      </c>
      <c r="B224" s="38" t="str">
        <f>IFERROR(__xludf.DUMMYFUNCTION("""COMPUTED_VALUE"""),"LINDA MELSIANA ELLO")</f>
        <v>LINDA MELSIANA ELLO</v>
      </c>
      <c r="C224" s="38" t="str">
        <f>IFERROR(__xludf.DUMMYFUNCTION("""COMPUTED_VALUE"""),"Belum disetujui")</f>
        <v>Belum disetujui</v>
      </c>
      <c r="D224" s="38"/>
      <c r="E224" s="38" t="s">
        <v>11435</v>
      </c>
      <c r="F224" s="38" t="s">
        <v>215</v>
      </c>
      <c r="G224" s="38" t="s">
        <v>11436</v>
      </c>
      <c r="H224" s="38" t="s">
        <v>11424</v>
      </c>
    </row>
    <row r="225">
      <c r="A225" s="37">
        <f>IFERROR(__xludf.DUMMYFUNCTION("""COMPUTED_VALUE"""),45904.78217033565)</f>
        <v>45904.78217</v>
      </c>
      <c r="B225" s="38" t="str">
        <f>IFERROR(__xludf.DUMMYFUNCTION("""COMPUTED_VALUE"""),"FEBRIANTHY ELISABET NA'U")</f>
        <v>FEBRIANTHY ELISABET NA'U</v>
      </c>
      <c r="C225" s="38" t="str">
        <f>IFERROR(__xludf.DUMMYFUNCTION("""COMPUTED_VALUE"""),"Belum disetujui")</f>
        <v>Belum disetujui</v>
      </c>
      <c r="D225" s="38"/>
      <c r="E225" s="38" t="s">
        <v>11415</v>
      </c>
      <c r="F225" s="38" t="s">
        <v>204</v>
      </c>
      <c r="G225" s="38" t="s">
        <v>11416</v>
      </c>
      <c r="H225" s="38" t="s">
        <v>11399</v>
      </c>
    </row>
    <row r="226">
      <c r="A226" s="37">
        <f>IFERROR(__xludf.DUMMYFUNCTION("""COMPUTED_VALUE"""),45904.80314054398)</f>
        <v>45904.80314</v>
      </c>
      <c r="B226" s="38" t="str">
        <f>IFERROR(__xludf.DUMMYFUNCTION("""COMPUTED_VALUE"""),"KESIA NATALIA I. BENU")</f>
        <v>KESIA NATALIA I. BENU</v>
      </c>
      <c r="C226" s="38" t="str">
        <f>IFERROR(__xludf.DUMMYFUNCTION("""COMPUTED_VALUE"""),"ACC")</f>
        <v>ACC</v>
      </c>
      <c r="D226" s="38" t="str">
        <f>IFERROR(__xludf.DUMMYFUNCTION("""COMPUTED_VALUE"""),"Y400 series")</f>
        <v>Y400 series</v>
      </c>
      <c r="E226" s="38" t="s">
        <v>11417</v>
      </c>
      <c r="F226" s="38" t="s">
        <v>257</v>
      </c>
      <c r="G226" s="38" t="s">
        <v>11418</v>
      </c>
      <c r="H226" s="38" t="s">
        <v>11419</v>
      </c>
    </row>
    <row r="227">
      <c r="A227" s="37">
        <f>IFERROR(__xludf.DUMMYFUNCTION("""COMPUTED_VALUE"""),45904.809428148146)</f>
        <v>45904.80943</v>
      </c>
      <c r="B227" s="38" t="str">
        <f>IFERROR(__xludf.DUMMYFUNCTION("""COMPUTED_VALUE"""),"BERGITHA NIA OLIN")</f>
        <v>BERGITHA NIA OLIN</v>
      </c>
      <c r="C227" s="38" t="str">
        <f>IFERROR(__xludf.DUMMYFUNCTION("""COMPUTED_VALUE"""),"ACC")</f>
        <v>ACC</v>
      </c>
      <c r="D227" s="38" t="str">
        <f>IFERROR(__xludf.DUMMYFUNCTION("""COMPUTED_VALUE"""),"Y400 series")</f>
        <v>Y400 series</v>
      </c>
      <c r="E227" s="38" t="s">
        <v>11431</v>
      </c>
      <c r="F227" s="38" t="s">
        <v>313</v>
      </c>
      <c r="G227" s="38" t="s">
        <v>11432</v>
      </c>
      <c r="H227" s="38" t="s">
        <v>11424</v>
      </c>
    </row>
    <row r="228">
      <c r="A228" s="37">
        <f>IFERROR(__xludf.DUMMYFUNCTION("""COMPUTED_VALUE"""),45904.81048005787)</f>
        <v>45904.81048</v>
      </c>
      <c r="B228" s="38" t="str">
        <f>IFERROR(__xludf.DUMMYFUNCTION("""COMPUTED_VALUE"""),"SANTI MARIA LUKMINI NAHAK")</f>
        <v>SANTI MARIA LUKMINI NAHAK</v>
      </c>
      <c r="C228" s="38" t="str">
        <f>IFERROR(__xludf.DUMMYFUNCTION("""COMPUTED_VALUE"""),"Belum disetujui")</f>
        <v>Belum disetujui</v>
      </c>
      <c r="D228" s="38"/>
      <c r="E228" s="38" t="s">
        <v>11460</v>
      </c>
      <c r="F228" s="38" t="s">
        <v>871</v>
      </c>
      <c r="G228" s="38" t="s">
        <v>11461</v>
      </c>
      <c r="H228" s="38" t="s">
        <v>11424</v>
      </c>
    </row>
    <row r="229">
      <c r="A229" s="37">
        <f>IFERROR(__xludf.DUMMYFUNCTION("""COMPUTED_VALUE"""),45904.81229607639)</f>
        <v>45904.8123</v>
      </c>
      <c r="B229" s="38" t="str">
        <f>IFERROR(__xludf.DUMMYFUNCTION("""COMPUTED_VALUE"""),"YOVANDA KATRINA NAE")</f>
        <v>YOVANDA KATRINA NAE</v>
      </c>
      <c r="C229" s="38" t="str">
        <f>IFERROR(__xludf.DUMMYFUNCTION("""COMPUTED_VALUE"""),"Belum disetujui")</f>
        <v>Belum disetujui</v>
      </c>
      <c r="D229" s="38"/>
      <c r="E229" s="38" t="s">
        <v>11425</v>
      </c>
      <c r="F229" s="38" t="s">
        <v>205</v>
      </c>
      <c r="G229" s="38" t="s">
        <v>11426</v>
      </c>
      <c r="H229" s="38" t="s">
        <v>11419</v>
      </c>
    </row>
    <row r="230">
      <c r="A230" s="37">
        <f>IFERROR(__xludf.DUMMYFUNCTION("""COMPUTED_VALUE"""),45904.813605972224)</f>
        <v>45904.81361</v>
      </c>
      <c r="B230" s="38" t="str">
        <f>IFERROR(__xludf.DUMMYFUNCTION("""COMPUTED_VALUE"""),"YASINTHA MBU")</f>
        <v>YASINTHA MBU</v>
      </c>
      <c r="C230" s="38" t="str">
        <f>IFERROR(__xludf.DUMMYFUNCTION("""COMPUTED_VALUE"""),"Belum disetujui")</f>
        <v>Belum disetujui</v>
      </c>
      <c r="D230" s="38"/>
      <c r="E230" s="38" t="s">
        <v>11407</v>
      </c>
      <c r="F230" s="38" t="s">
        <v>220</v>
      </c>
      <c r="G230" s="38" t="s">
        <v>11408</v>
      </c>
      <c r="H230" s="38" t="s">
        <v>11399</v>
      </c>
    </row>
    <row r="231">
      <c r="A231" s="37">
        <f>IFERROR(__xludf.DUMMYFUNCTION("""COMPUTED_VALUE"""),45904.818576516205)</f>
        <v>45904.81858</v>
      </c>
      <c r="B231" s="38" t="str">
        <f>IFERROR(__xludf.DUMMYFUNCTION("""COMPUTED_VALUE"""),"NOVANTRY RUTHANIA NAFFIE")</f>
        <v>NOVANTRY RUTHANIA NAFFIE</v>
      </c>
      <c r="C231" s="38" t="str">
        <f>IFERROR(__xludf.DUMMYFUNCTION("""COMPUTED_VALUE"""),"Dapat limit tapi belum diproses")</f>
        <v>Dapat limit tapi belum diproses</v>
      </c>
      <c r="D231" s="38" t="str">
        <f>IFERROR(__xludf.DUMMYFUNCTION("""COMPUTED_VALUE"""),"V50 Lite series")</f>
        <v>V50 Lite series</v>
      </c>
      <c r="E231" s="38" t="s">
        <v>11397</v>
      </c>
      <c r="F231" s="38" t="s">
        <v>220</v>
      </c>
      <c r="G231" s="38" t="s">
        <v>11398</v>
      </c>
      <c r="H231" s="38" t="s">
        <v>11399</v>
      </c>
    </row>
    <row r="232">
      <c r="A232" s="37">
        <f>IFERROR(__xludf.DUMMYFUNCTION("""COMPUTED_VALUE"""),45904.82086886574)</f>
        <v>45904.82087</v>
      </c>
      <c r="B232" s="38" t="str">
        <f>IFERROR(__xludf.DUMMYFUNCTION("""COMPUTED_VALUE"""),"YASINTHA MBU")</f>
        <v>YASINTHA MBU</v>
      </c>
      <c r="C232" s="38" t="str">
        <f>IFERROR(__xludf.DUMMYFUNCTION("""COMPUTED_VALUE"""),"Belum disetujui")</f>
        <v>Belum disetujui</v>
      </c>
      <c r="D232" s="38"/>
      <c r="E232" s="38" t="s">
        <v>11407</v>
      </c>
      <c r="F232" s="38" t="s">
        <v>220</v>
      </c>
      <c r="G232" s="38" t="s">
        <v>11408</v>
      </c>
      <c r="H232" s="38" t="s">
        <v>11399</v>
      </c>
    </row>
    <row r="233">
      <c r="A233" s="37">
        <f>IFERROR(__xludf.DUMMYFUNCTION("""COMPUTED_VALUE"""),45904.828955115736)</f>
        <v>45904.82896</v>
      </c>
      <c r="B233" s="38" t="str">
        <f>IFERROR(__xludf.DUMMYFUNCTION("""COMPUTED_VALUE"""),"ADRIANA")</f>
        <v>ADRIANA</v>
      </c>
      <c r="C233" s="38" t="str">
        <f>IFERROR(__xludf.DUMMYFUNCTION("""COMPUTED_VALUE"""),"Belum disetujui")</f>
        <v>Belum disetujui</v>
      </c>
      <c r="D233" s="38"/>
      <c r="E233" s="38" t="s">
        <v>11433</v>
      </c>
      <c r="F233" s="38" t="s">
        <v>313</v>
      </c>
      <c r="G233" s="38" t="s">
        <v>11434</v>
      </c>
      <c r="H233" s="38" t="s">
        <v>11424</v>
      </c>
    </row>
    <row r="234">
      <c r="A234" s="37">
        <f>IFERROR(__xludf.DUMMYFUNCTION("""COMPUTED_VALUE"""),45904.83163333333)</f>
        <v>45904.83163</v>
      </c>
      <c r="B234" s="38" t="str">
        <f>IFERROR(__xludf.DUMMYFUNCTION("""COMPUTED_VALUE"""),"MEXY ALEXANDER HETMINA")</f>
        <v>MEXY ALEXANDER HETMINA</v>
      </c>
      <c r="C234" s="38" t="str">
        <f>IFERROR(__xludf.DUMMYFUNCTION("""COMPUTED_VALUE"""),"Belum disetujui")</f>
        <v>Belum disetujui</v>
      </c>
      <c r="D234" s="38"/>
      <c r="E234" s="38" t="s">
        <v>11413</v>
      </c>
      <c r="F234" s="38" t="s">
        <v>204</v>
      </c>
      <c r="G234" s="38" t="s">
        <v>11414</v>
      </c>
      <c r="H234" s="38" t="s">
        <v>11399</v>
      </c>
    </row>
    <row r="235">
      <c r="A235" s="37">
        <f>IFERROR(__xludf.DUMMYFUNCTION("""COMPUTED_VALUE"""),45904.83886556713)</f>
        <v>45904.83887</v>
      </c>
      <c r="B235" s="38" t="str">
        <f>IFERROR(__xludf.DUMMYFUNCTION("""COMPUTED_VALUE"""),"YANA DANGU")</f>
        <v>YANA DANGU</v>
      </c>
      <c r="C235" s="38" t="str">
        <f>IFERROR(__xludf.DUMMYFUNCTION("""COMPUTED_VALUE"""),"Belum disetujui")</f>
        <v>Belum disetujui</v>
      </c>
      <c r="D235" s="38"/>
      <c r="E235" s="38" t="s">
        <v>11397</v>
      </c>
      <c r="F235" s="38" t="s">
        <v>220</v>
      </c>
      <c r="G235" s="38" t="s">
        <v>11398</v>
      </c>
      <c r="H235" s="38" t="s">
        <v>11399</v>
      </c>
    </row>
    <row r="236">
      <c r="A236" s="37">
        <f>IFERROR(__xludf.DUMMYFUNCTION("""COMPUTED_VALUE"""),45904.84246872685)</f>
        <v>45904.84247</v>
      </c>
      <c r="B236" s="38" t="str">
        <f>IFERROR(__xludf.DUMMYFUNCTION("""COMPUTED_VALUE"""),"ROS YANE KANA LUDJI")</f>
        <v>ROS YANE KANA LUDJI</v>
      </c>
      <c r="C236" s="38" t="str">
        <f>IFERROR(__xludf.DUMMYFUNCTION("""COMPUTED_VALUE"""),"Belum disetujui")</f>
        <v>Belum disetujui</v>
      </c>
      <c r="D236" s="38"/>
      <c r="E236" s="38" t="s">
        <v>11437</v>
      </c>
      <c r="F236" s="38" t="s">
        <v>204</v>
      </c>
      <c r="G236" s="38" t="s">
        <v>11438</v>
      </c>
      <c r="H236" s="38" t="s">
        <v>11399</v>
      </c>
    </row>
    <row r="237">
      <c r="A237" s="37">
        <f>IFERROR(__xludf.DUMMYFUNCTION("""COMPUTED_VALUE"""),45904.84806982639)</f>
        <v>45904.84807</v>
      </c>
      <c r="B237" s="38" t="str">
        <f>IFERROR(__xludf.DUMMYFUNCTION("""COMPUTED_VALUE"""),"MERDA PUTRI BUNGSU KENAT")</f>
        <v>MERDA PUTRI BUNGSU KENAT</v>
      </c>
      <c r="C237" s="38" t="str">
        <f>IFERROR(__xludf.DUMMYFUNCTION("""COMPUTED_VALUE"""),"Dapat limit tapi belum diproses")</f>
        <v>Dapat limit tapi belum diproses</v>
      </c>
      <c r="D237" s="38" t="str">
        <f>IFERROR(__xludf.DUMMYFUNCTION("""COMPUTED_VALUE"""),"V60 series")</f>
        <v>V60 series</v>
      </c>
      <c r="E237" s="38" t="s">
        <v>11422</v>
      </c>
      <c r="F237" s="38" t="s">
        <v>215</v>
      </c>
      <c r="G237" s="38" t="s">
        <v>11423</v>
      </c>
      <c r="H237" s="38" t="s">
        <v>11424</v>
      </c>
    </row>
    <row r="238">
      <c r="A238" s="37">
        <f>IFERROR(__xludf.DUMMYFUNCTION("""COMPUTED_VALUE"""),45904.85937693287)</f>
        <v>45904.85938</v>
      </c>
      <c r="B238" s="38" t="str">
        <f>IFERROR(__xludf.DUMMYFUNCTION("""COMPUTED_VALUE"""),"ALDIANA WELIA PANIE")</f>
        <v>ALDIANA WELIA PANIE</v>
      </c>
      <c r="C238" s="38" t="str">
        <f>IFERROR(__xludf.DUMMYFUNCTION("""COMPUTED_VALUE"""),"Belum disetujui")</f>
        <v>Belum disetujui</v>
      </c>
      <c r="D238" s="38"/>
      <c r="E238" s="38" t="s">
        <v>11422</v>
      </c>
      <c r="F238" s="38" t="s">
        <v>215</v>
      </c>
      <c r="G238" s="38" t="s">
        <v>11423</v>
      </c>
      <c r="H238" s="38" t="s">
        <v>11424</v>
      </c>
    </row>
    <row r="239">
      <c r="A239" s="37">
        <f>IFERROR(__xludf.DUMMYFUNCTION("""COMPUTED_VALUE"""),45904.86015270833)</f>
        <v>45904.86015</v>
      </c>
      <c r="B239" s="38" t="str">
        <f>IFERROR(__xludf.DUMMYFUNCTION("""COMPUTED_VALUE"""),"MARATHA MARLINDA FANGGIDAE")</f>
        <v>MARATHA MARLINDA FANGGIDAE</v>
      </c>
      <c r="C239" s="38" t="str">
        <f>IFERROR(__xludf.DUMMYFUNCTION("""COMPUTED_VALUE"""),"Belum disetujui")</f>
        <v>Belum disetujui</v>
      </c>
      <c r="D239" s="38"/>
      <c r="E239" s="38" t="s">
        <v>11435</v>
      </c>
      <c r="F239" s="38" t="s">
        <v>215</v>
      </c>
      <c r="G239" s="38" t="s">
        <v>11436</v>
      </c>
      <c r="H239" s="38" t="s">
        <v>11424</v>
      </c>
    </row>
    <row r="240">
      <c r="A240" s="37">
        <f>IFERROR(__xludf.DUMMYFUNCTION("""COMPUTED_VALUE"""),45904.86083929398)</f>
        <v>45904.86084</v>
      </c>
      <c r="B240" s="38" t="str">
        <f>IFERROR(__xludf.DUMMYFUNCTION("""COMPUTED_VALUE"""),"ANYARMITHA SOPHIA SUEK")</f>
        <v>ANYARMITHA SOPHIA SUEK</v>
      </c>
      <c r="C240" s="38" t="str">
        <f>IFERROR(__xludf.DUMMYFUNCTION("""COMPUTED_VALUE"""),"Belum disetujui")</f>
        <v>Belum disetujui</v>
      </c>
      <c r="D240" s="38"/>
      <c r="E240" s="38" t="s">
        <v>11443</v>
      </c>
      <c r="F240" s="38" t="s">
        <v>220</v>
      </c>
      <c r="G240" s="38" t="s">
        <v>11444</v>
      </c>
      <c r="H240" s="38" t="s">
        <v>11399</v>
      </c>
    </row>
    <row r="241">
      <c r="A241" s="37">
        <f>IFERROR(__xludf.DUMMYFUNCTION("""COMPUTED_VALUE"""),45904.869292337964)</f>
        <v>45904.86929</v>
      </c>
      <c r="B241" s="38" t="str">
        <f>IFERROR(__xludf.DUMMYFUNCTION("""COMPUTED_VALUE"""),"ALITA D PAU")</f>
        <v>ALITA D PAU</v>
      </c>
      <c r="C241" s="38" t="str">
        <f>IFERROR(__xludf.DUMMYFUNCTION("""COMPUTED_VALUE"""),"Dapat limit tapi belum diproses")</f>
        <v>Dapat limit tapi belum diproses</v>
      </c>
      <c r="D241" s="38" t="str">
        <f>IFERROR(__xludf.DUMMYFUNCTION("""COMPUTED_VALUE"""),"Y400 series")</f>
        <v>Y400 series</v>
      </c>
      <c r="E241" s="38" t="s">
        <v>11447</v>
      </c>
      <c r="F241" s="38" t="s">
        <v>205</v>
      </c>
      <c r="G241" s="38" t="s">
        <v>11448</v>
      </c>
      <c r="H241" s="38" t="s">
        <v>11419</v>
      </c>
    </row>
    <row r="242">
      <c r="A242" s="37">
        <f>IFERROR(__xludf.DUMMYFUNCTION("""COMPUTED_VALUE"""),45904.87284131944)</f>
        <v>45904.87284</v>
      </c>
      <c r="B242" s="38" t="str">
        <f>IFERROR(__xludf.DUMMYFUNCTION("""COMPUTED_VALUE"""),"DEMARISTI S H FENI")</f>
        <v>DEMARISTI S H FENI</v>
      </c>
      <c r="C242" s="38" t="str">
        <f>IFERROR(__xludf.DUMMYFUNCTION("""COMPUTED_VALUE"""),"Dapat limit tapi belum diproses")</f>
        <v>Dapat limit tapi belum diproses</v>
      </c>
      <c r="D242" s="38" t="str">
        <f>IFERROR(__xludf.DUMMYFUNCTION("""COMPUTED_VALUE"""),"V50 series")</f>
        <v>V50 series</v>
      </c>
      <c r="E242" s="38" t="s">
        <v>11404</v>
      </c>
      <c r="F242" s="38" t="s">
        <v>11404</v>
      </c>
      <c r="G242" s="38" t="s">
        <v>11404</v>
      </c>
      <c r="H242" s="38" t="s">
        <v>11404</v>
      </c>
    </row>
    <row r="243">
      <c r="A243" s="37">
        <f>IFERROR(__xludf.DUMMYFUNCTION("""COMPUTED_VALUE"""),45904.87828037037)</f>
        <v>45904.87828</v>
      </c>
      <c r="B243" s="38" t="str">
        <f>IFERROR(__xludf.DUMMYFUNCTION("""COMPUTED_VALUE"""),"ALITA D PAU")</f>
        <v>ALITA D PAU</v>
      </c>
      <c r="C243" s="38" t="str">
        <f>IFERROR(__xludf.DUMMYFUNCTION("""COMPUTED_VALUE"""),"Belum disetujui")</f>
        <v>Belum disetujui</v>
      </c>
      <c r="D243" s="38"/>
      <c r="E243" s="38" t="s">
        <v>11447</v>
      </c>
      <c r="F243" s="38" t="s">
        <v>205</v>
      </c>
      <c r="G243" s="38" t="s">
        <v>11448</v>
      </c>
      <c r="H243" s="38" t="s">
        <v>11419</v>
      </c>
    </row>
    <row r="244">
      <c r="A244" s="37">
        <f>IFERROR(__xludf.DUMMYFUNCTION("""COMPUTED_VALUE"""),45904.92267234953)</f>
        <v>45904.92267</v>
      </c>
      <c r="B244" s="38" t="str">
        <f>IFERROR(__xludf.DUMMYFUNCTION("""COMPUTED_VALUE"""),"MERDA PUTRI BUNGSU KENAT")</f>
        <v>MERDA PUTRI BUNGSU KENAT</v>
      </c>
      <c r="C244" s="38" t="str">
        <f>IFERROR(__xludf.DUMMYFUNCTION("""COMPUTED_VALUE"""),"Dapat limit tapi belum diproses")</f>
        <v>Dapat limit tapi belum diproses</v>
      </c>
      <c r="D244" s="38" t="str">
        <f>IFERROR(__xludf.DUMMYFUNCTION("""COMPUTED_VALUE"""),"V60 Lite series")</f>
        <v>V60 Lite series</v>
      </c>
      <c r="E244" s="38" t="s">
        <v>11422</v>
      </c>
      <c r="F244" s="38" t="s">
        <v>215</v>
      </c>
      <c r="G244" s="38" t="s">
        <v>11423</v>
      </c>
      <c r="H244" s="38" t="s">
        <v>11424</v>
      </c>
    </row>
    <row r="245">
      <c r="A245" s="37">
        <f>IFERROR(__xludf.DUMMYFUNCTION("""COMPUTED_VALUE"""),45905.43130206019)</f>
        <v>45905.4313</v>
      </c>
      <c r="B245" s="38" t="str">
        <f>IFERROR(__xludf.DUMMYFUNCTION("""COMPUTED_VALUE"""),"AINI RAHMATINI NATALIA MOESTAKIM")</f>
        <v>AINI RAHMATINI NATALIA MOESTAKIM</v>
      </c>
      <c r="C245" s="38" t="str">
        <f>IFERROR(__xludf.DUMMYFUNCTION("""COMPUTED_VALUE"""),"Belum disetujui")</f>
        <v>Belum disetujui</v>
      </c>
      <c r="D245" s="38"/>
      <c r="E245" s="38" t="s">
        <v>11409</v>
      </c>
      <c r="F245" s="38" t="s">
        <v>204</v>
      </c>
      <c r="G245" s="38" t="s">
        <v>11410</v>
      </c>
      <c r="H245" s="38" t="s">
        <v>11399</v>
      </c>
    </row>
    <row r="246">
      <c r="A246" s="37">
        <f>IFERROR(__xludf.DUMMYFUNCTION("""COMPUTED_VALUE"""),45905.437764236114)</f>
        <v>45905.43776</v>
      </c>
      <c r="B246" s="38" t="str">
        <f>IFERROR(__xludf.DUMMYFUNCTION("""COMPUTED_VALUE"""),"FERI ELI KURNIAWAN")</f>
        <v>FERI ELI KURNIAWAN</v>
      </c>
      <c r="C246" s="38" t="str">
        <f>IFERROR(__xludf.DUMMYFUNCTION("""COMPUTED_VALUE"""),"Belum disetujui")</f>
        <v>Belum disetujui</v>
      </c>
      <c r="D246" s="38"/>
      <c r="E246" s="38" t="s">
        <v>11411</v>
      </c>
      <c r="F246" s="38" t="s">
        <v>220</v>
      </c>
      <c r="G246" s="38" t="s">
        <v>11412</v>
      </c>
      <c r="H246" s="38" t="s">
        <v>11399</v>
      </c>
    </row>
    <row r="247">
      <c r="A247" s="37">
        <f>IFERROR(__xludf.DUMMYFUNCTION("""COMPUTED_VALUE"""),45905.44668959491)</f>
        <v>45905.44669</v>
      </c>
      <c r="B247" s="38" t="str">
        <f>IFERROR(__xludf.DUMMYFUNCTION("""COMPUTED_VALUE"""),"PRETI SISILIA SILA")</f>
        <v>PRETI SISILIA SILA</v>
      </c>
      <c r="C247" s="38" t="str">
        <f>IFERROR(__xludf.DUMMYFUNCTION("""COMPUTED_VALUE"""),"Belum disetujui")</f>
        <v>Belum disetujui</v>
      </c>
      <c r="D247" s="38"/>
      <c r="E247" s="38" t="s">
        <v>11456</v>
      </c>
      <c r="F247" s="38" t="s">
        <v>667</v>
      </c>
      <c r="G247" s="38" t="s">
        <v>11457</v>
      </c>
      <c r="H247" s="38" t="s">
        <v>11424</v>
      </c>
    </row>
    <row r="248">
      <c r="A248" s="37">
        <f>IFERROR(__xludf.DUMMYFUNCTION("""COMPUTED_VALUE"""),45905.45254549768)</f>
        <v>45905.45255</v>
      </c>
      <c r="B248" s="38" t="str">
        <f>IFERROR(__xludf.DUMMYFUNCTION("""COMPUTED_VALUE"""),"ASTUTI BELA WAWO")</f>
        <v>ASTUTI BELA WAWO</v>
      </c>
      <c r="C248" s="38" t="str">
        <f>IFERROR(__xludf.DUMMYFUNCTION("""COMPUTED_VALUE"""),"Belum disetujui")</f>
        <v>Belum disetujui</v>
      </c>
      <c r="D248" s="38"/>
      <c r="E248" s="38" t="s">
        <v>11427</v>
      </c>
      <c r="F248" s="38" t="s">
        <v>257</v>
      </c>
      <c r="G248" s="38" t="s">
        <v>11428</v>
      </c>
      <c r="H248" s="38" t="s">
        <v>11419</v>
      </c>
    </row>
    <row r="249">
      <c r="A249" s="37">
        <f>IFERROR(__xludf.DUMMYFUNCTION("""COMPUTED_VALUE"""),45905.464948032415)</f>
        <v>45905.46495</v>
      </c>
      <c r="B249" s="38" t="str">
        <f>IFERROR(__xludf.DUMMYFUNCTION("""COMPUTED_VALUE"""),"WINDRI MANOE")</f>
        <v>WINDRI MANOE</v>
      </c>
      <c r="C249" s="38" t="str">
        <f>IFERROR(__xludf.DUMMYFUNCTION("""COMPUTED_VALUE"""),"Belum disetujui")</f>
        <v>Belum disetujui</v>
      </c>
      <c r="D249" s="38"/>
      <c r="E249" s="38" t="s">
        <v>11443</v>
      </c>
      <c r="F249" s="38" t="s">
        <v>220</v>
      </c>
      <c r="G249" s="38" t="s">
        <v>11444</v>
      </c>
      <c r="H249" s="38" t="s">
        <v>11399</v>
      </c>
    </row>
    <row r="250">
      <c r="A250" s="37">
        <f>IFERROR(__xludf.DUMMYFUNCTION("""COMPUTED_VALUE"""),45905.47757770833)</f>
        <v>45905.47758</v>
      </c>
      <c r="B250" s="38" t="str">
        <f>IFERROR(__xludf.DUMMYFUNCTION("""COMPUTED_VALUE"""),"AMBU BAIQ JUMENAH")</f>
        <v>AMBU BAIQ JUMENAH</v>
      </c>
      <c r="C250" s="38" t="str">
        <f>IFERROR(__xludf.DUMMYFUNCTION("""COMPUTED_VALUE"""),"Belum disetujui")</f>
        <v>Belum disetujui</v>
      </c>
      <c r="D250" s="38"/>
      <c r="E250" s="38" t="s">
        <v>11458</v>
      </c>
      <c r="F250" s="38" t="s">
        <v>205</v>
      </c>
      <c r="G250" s="38" t="s">
        <v>11459</v>
      </c>
      <c r="H250" s="38" t="s">
        <v>11419</v>
      </c>
    </row>
    <row r="251">
      <c r="A251" s="37">
        <f>IFERROR(__xludf.DUMMYFUNCTION("""COMPUTED_VALUE"""),45905.48790868056)</f>
        <v>45905.48791</v>
      </c>
      <c r="B251" s="38" t="str">
        <f>IFERROR(__xludf.DUMMYFUNCTION("""COMPUTED_VALUE"""),"BERGITHA NIA OLIN")</f>
        <v>BERGITHA NIA OLIN</v>
      </c>
      <c r="C251" s="38" t="str">
        <f>IFERROR(__xludf.DUMMYFUNCTION("""COMPUTED_VALUE"""),"ACC")</f>
        <v>ACC</v>
      </c>
      <c r="D251" s="38" t="str">
        <f>IFERROR(__xludf.DUMMYFUNCTION("""COMPUTED_VALUE"""),"Y400 series")</f>
        <v>Y400 series</v>
      </c>
      <c r="E251" s="38" t="s">
        <v>11431</v>
      </c>
      <c r="F251" s="38" t="s">
        <v>313</v>
      </c>
      <c r="G251" s="38" t="s">
        <v>11432</v>
      </c>
      <c r="H251" s="38" t="s">
        <v>11424</v>
      </c>
    </row>
    <row r="252">
      <c r="A252" s="37">
        <f>IFERROR(__xludf.DUMMYFUNCTION("""COMPUTED_VALUE"""),45905.500744178236)</f>
        <v>45905.50074</v>
      </c>
      <c r="B252" s="38" t="str">
        <f>IFERROR(__xludf.DUMMYFUNCTION("""COMPUTED_VALUE"""),"NUR FATIMAH MOLBANG")</f>
        <v>NUR FATIMAH MOLBANG</v>
      </c>
      <c r="C252" s="38" t="str">
        <f>IFERROR(__xludf.DUMMYFUNCTION("""COMPUTED_VALUE"""),"ACC")</f>
        <v>ACC</v>
      </c>
      <c r="D252" s="38" t="str">
        <f>IFERROR(__xludf.DUMMYFUNCTION("""COMPUTED_VALUE"""),"Y400 series")</f>
        <v>Y400 series</v>
      </c>
      <c r="E252" s="38" t="s">
        <v>11439</v>
      </c>
      <c r="F252" s="38" t="s">
        <v>313</v>
      </c>
      <c r="G252" s="38" t="s">
        <v>11440</v>
      </c>
      <c r="H252" s="38" t="s">
        <v>11424</v>
      </c>
    </row>
    <row r="253">
      <c r="A253" s="37">
        <f>IFERROR(__xludf.DUMMYFUNCTION("""COMPUTED_VALUE"""),45905.510003530086)</f>
        <v>45905.51</v>
      </c>
      <c r="B253" s="38" t="str">
        <f>IFERROR(__xludf.DUMMYFUNCTION("""COMPUTED_VALUE"""),"MARNITHA JUWIKE TIMORATI RUNESI")</f>
        <v>MARNITHA JUWIKE TIMORATI RUNESI</v>
      </c>
      <c r="C253" s="38" t="str">
        <f>IFERROR(__xludf.DUMMYFUNCTION("""COMPUTED_VALUE"""),"Belum disetujui")</f>
        <v>Belum disetujui</v>
      </c>
      <c r="D253" s="38"/>
      <c r="E253" s="38" t="s">
        <v>11420</v>
      </c>
      <c r="F253" s="38" t="s">
        <v>204</v>
      </c>
      <c r="G253" s="38" t="s">
        <v>11421</v>
      </c>
      <c r="H253" s="38" t="s">
        <v>11399</v>
      </c>
    </row>
    <row r="254">
      <c r="A254" s="37">
        <f>IFERROR(__xludf.DUMMYFUNCTION("""COMPUTED_VALUE"""),45905.54569907407)</f>
        <v>45905.5457</v>
      </c>
      <c r="B254" s="38" t="str">
        <f>IFERROR(__xludf.DUMMYFUNCTION("""COMPUTED_VALUE"""),"MARATHA MARLINDA FANGGIDAE")</f>
        <v>MARATHA MARLINDA FANGGIDAE</v>
      </c>
      <c r="C254" s="38" t="str">
        <f>IFERROR(__xludf.DUMMYFUNCTION("""COMPUTED_VALUE"""),"Dapat limit tapi belum diproses")</f>
        <v>Dapat limit tapi belum diproses</v>
      </c>
      <c r="D254" s="38" t="str">
        <f>IFERROR(__xludf.DUMMYFUNCTION("""COMPUTED_VALUE"""),"Y400 series")</f>
        <v>Y400 series</v>
      </c>
      <c r="E254" s="38" t="s">
        <v>11435</v>
      </c>
      <c r="F254" s="38" t="s">
        <v>215</v>
      </c>
      <c r="G254" s="38" t="s">
        <v>11436</v>
      </c>
      <c r="H254" s="38" t="s">
        <v>11424</v>
      </c>
    </row>
    <row r="255">
      <c r="A255" s="37">
        <f>IFERROR(__xludf.DUMMYFUNCTION("""COMPUTED_VALUE"""),45905.54775280093)</f>
        <v>45905.54775</v>
      </c>
      <c r="B255" s="38" t="str">
        <f>IFERROR(__xludf.DUMMYFUNCTION("""COMPUTED_VALUE"""),"KESIA NATALIA I. BENU")</f>
        <v>KESIA NATALIA I. BENU</v>
      </c>
      <c r="C255" s="38" t="str">
        <f>IFERROR(__xludf.DUMMYFUNCTION("""COMPUTED_VALUE"""),"ACC")</f>
        <v>ACC</v>
      </c>
      <c r="D255" s="38" t="str">
        <f>IFERROR(__xludf.DUMMYFUNCTION("""COMPUTED_VALUE"""),"Y400 series")</f>
        <v>Y400 series</v>
      </c>
      <c r="E255" s="38" t="s">
        <v>11417</v>
      </c>
      <c r="F255" s="38" t="s">
        <v>257</v>
      </c>
      <c r="G255" s="38" t="s">
        <v>11418</v>
      </c>
      <c r="H255" s="38" t="s">
        <v>11419</v>
      </c>
    </row>
    <row r="256">
      <c r="A256" s="37">
        <f>IFERROR(__xludf.DUMMYFUNCTION("""COMPUTED_VALUE"""),45905.55014060185)</f>
        <v>45905.55014</v>
      </c>
      <c r="B256" s="38" t="str">
        <f>IFERROR(__xludf.DUMMYFUNCTION("""COMPUTED_VALUE"""),"LINDA MELSIANA ELLO")</f>
        <v>LINDA MELSIANA ELLO</v>
      </c>
      <c r="C256" s="38" t="str">
        <f>IFERROR(__xludf.DUMMYFUNCTION("""COMPUTED_VALUE"""),"Belum disetujui")</f>
        <v>Belum disetujui</v>
      </c>
      <c r="D256" s="38"/>
      <c r="E256" s="38" t="s">
        <v>11435</v>
      </c>
      <c r="F256" s="38" t="s">
        <v>215</v>
      </c>
      <c r="G256" s="38" t="s">
        <v>11436</v>
      </c>
      <c r="H256" s="38" t="s">
        <v>11424</v>
      </c>
    </row>
    <row r="257">
      <c r="A257" s="37">
        <f>IFERROR(__xludf.DUMMYFUNCTION("""COMPUTED_VALUE"""),45905.550298043985)</f>
        <v>45905.5503</v>
      </c>
      <c r="B257" s="38" t="str">
        <f>IFERROR(__xludf.DUMMYFUNCTION("""COMPUTED_VALUE"""),"AINI RAHMATINI NATALIA MOESTAKIM")</f>
        <v>AINI RAHMATINI NATALIA MOESTAKIM</v>
      </c>
      <c r="C257" s="38" t="str">
        <f>IFERROR(__xludf.DUMMYFUNCTION("""COMPUTED_VALUE"""),"Belum disetujui")</f>
        <v>Belum disetujui</v>
      </c>
      <c r="D257" s="38"/>
      <c r="E257" s="38" t="s">
        <v>11409</v>
      </c>
      <c r="F257" s="38" t="s">
        <v>204</v>
      </c>
      <c r="G257" s="38" t="s">
        <v>11410</v>
      </c>
      <c r="H257" s="38" t="s">
        <v>11399</v>
      </c>
    </row>
    <row r="258">
      <c r="A258" s="37">
        <f>IFERROR(__xludf.DUMMYFUNCTION("""COMPUTED_VALUE"""),45905.55110416667)</f>
        <v>45905.5511</v>
      </c>
      <c r="B258" s="38" t="str">
        <f>IFERROR(__xludf.DUMMYFUNCTION("""COMPUTED_VALUE"""),"HERONIMUS NAMU WALI")</f>
        <v>HERONIMUS NAMU WALI</v>
      </c>
      <c r="C258" s="38" t="str">
        <f>IFERROR(__xludf.DUMMYFUNCTION("""COMPUTED_VALUE"""),"Belum disetujui")</f>
        <v>Belum disetujui</v>
      </c>
      <c r="D258" s="38"/>
      <c r="E258" s="38" t="s">
        <v>11452</v>
      </c>
      <c r="F258" s="38" t="s">
        <v>205</v>
      </c>
      <c r="G258" s="38" t="s">
        <v>11453</v>
      </c>
      <c r="H258" s="38" t="s">
        <v>11419</v>
      </c>
    </row>
    <row r="259">
      <c r="A259" s="37">
        <f>IFERROR(__xludf.DUMMYFUNCTION("""COMPUTED_VALUE"""),45905.5521372338)</f>
        <v>45905.55214</v>
      </c>
      <c r="B259" s="38" t="str">
        <f>IFERROR(__xludf.DUMMYFUNCTION("""COMPUTED_VALUE"""),"ADRIANA")</f>
        <v>ADRIANA</v>
      </c>
      <c r="C259" s="38" t="str">
        <f>IFERROR(__xludf.DUMMYFUNCTION("""COMPUTED_VALUE"""),"ACC")</f>
        <v>ACC</v>
      </c>
      <c r="D259" s="38" t="str">
        <f>IFERROR(__xludf.DUMMYFUNCTION("""COMPUTED_VALUE"""),"Y400 series")</f>
        <v>Y400 series</v>
      </c>
      <c r="E259" s="38" t="s">
        <v>11433</v>
      </c>
      <c r="F259" s="38" t="s">
        <v>313</v>
      </c>
      <c r="G259" s="38" t="s">
        <v>11434</v>
      </c>
      <c r="H259" s="38" t="s">
        <v>11424</v>
      </c>
    </row>
    <row r="260">
      <c r="A260" s="37">
        <f>IFERROR(__xludf.DUMMYFUNCTION("""COMPUTED_VALUE"""),45905.55247743055)</f>
        <v>45905.55248</v>
      </c>
      <c r="B260" s="38" t="str">
        <f>IFERROR(__xludf.DUMMYFUNCTION("""COMPUTED_VALUE"""),"LINDA MELSIANA ELLO")</f>
        <v>LINDA MELSIANA ELLO</v>
      </c>
      <c r="C260" s="38" t="str">
        <f>IFERROR(__xludf.DUMMYFUNCTION("""COMPUTED_VALUE"""),"Belum disetujui")</f>
        <v>Belum disetujui</v>
      </c>
      <c r="D260" s="38"/>
      <c r="E260" s="38" t="s">
        <v>11435</v>
      </c>
      <c r="F260" s="38" t="s">
        <v>215</v>
      </c>
      <c r="G260" s="38" t="s">
        <v>11436</v>
      </c>
      <c r="H260" s="38" t="s">
        <v>11424</v>
      </c>
    </row>
    <row r="261">
      <c r="A261" s="37">
        <f>IFERROR(__xludf.DUMMYFUNCTION("""COMPUTED_VALUE"""),45905.55587182871)</f>
        <v>45905.55587</v>
      </c>
      <c r="B261" s="38" t="str">
        <f>IFERROR(__xludf.DUMMYFUNCTION("""COMPUTED_VALUE"""),"LINDA MELSIANA ELLO")</f>
        <v>LINDA MELSIANA ELLO</v>
      </c>
      <c r="C261" s="38" t="str">
        <f>IFERROR(__xludf.DUMMYFUNCTION("""COMPUTED_VALUE"""),"Belum disetujui")</f>
        <v>Belum disetujui</v>
      </c>
      <c r="D261" s="38"/>
      <c r="E261" s="38" t="s">
        <v>11435</v>
      </c>
      <c r="F261" s="38" t="s">
        <v>215</v>
      </c>
      <c r="G261" s="38" t="s">
        <v>11436</v>
      </c>
      <c r="H261" s="38" t="s">
        <v>11424</v>
      </c>
    </row>
    <row r="262">
      <c r="A262" s="37">
        <f>IFERROR(__xludf.DUMMYFUNCTION("""COMPUTED_VALUE"""),45905.557817210654)</f>
        <v>45905.55782</v>
      </c>
      <c r="B262" s="38" t="str">
        <f>IFERROR(__xludf.DUMMYFUNCTION("""COMPUTED_VALUE"""),"ADRIANA")</f>
        <v>ADRIANA</v>
      </c>
      <c r="C262" s="38" t="str">
        <f>IFERROR(__xludf.DUMMYFUNCTION("""COMPUTED_VALUE"""),"Belum disetujui")</f>
        <v>Belum disetujui</v>
      </c>
      <c r="D262" s="38"/>
      <c r="E262" s="38" t="s">
        <v>11433</v>
      </c>
      <c r="F262" s="38" t="s">
        <v>313</v>
      </c>
      <c r="G262" s="38" t="s">
        <v>11434</v>
      </c>
      <c r="H262" s="38" t="s">
        <v>11424</v>
      </c>
    </row>
    <row r="263">
      <c r="A263" s="37">
        <f>IFERROR(__xludf.DUMMYFUNCTION("""COMPUTED_VALUE"""),45905.58115637732)</f>
        <v>45905.58116</v>
      </c>
      <c r="B263" s="38" t="str">
        <f>IFERROR(__xludf.DUMMYFUNCTION("""COMPUTED_VALUE"""),"FEBRIANTHY ELISABET NA'U")</f>
        <v>FEBRIANTHY ELISABET NA'U</v>
      </c>
      <c r="C263" s="38" t="str">
        <f>IFERROR(__xludf.DUMMYFUNCTION("""COMPUTED_VALUE"""),"ACC")</f>
        <v>ACC</v>
      </c>
      <c r="D263" s="38" t="str">
        <f>IFERROR(__xludf.DUMMYFUNCTION("""COMPUTED_VALUE"""),"Y400 series")</f>
        <v>Y400 series</v>
      </c>
      <c r="E263" s="38" t="s">
        <v>11415</v>
      </c>
      <c r="F263" s="38" t="s">
        <v>204</v>
      </c>
      <c r="G263" s="38" t="s">
        <v>11416</v>
      </c>
      <c r="H263" s="38" t="s">
        <v>11399</v>
      </c>
    </row>
    <row r="264">
      <c r="A264" s="37">
        <f>IFERROR(__xludf.DUMMYFUNCTION("""COMPUTED_VALUE"""),45905.58132822917)</f>
        <v>45905.58133</v>
      </c>
      <c r="B264" s="38" t="str">
        <f>IFERROR(__xludf.DUMMYFUNCTION("""COMPUTED_VALUE"""),"AZ ZAHRA SITI ZAINAB")</f>
        <v>AZ ZAHRA SITI ZAINAB</v>
      </c>
      <c r="C264" s="38" t="str">
        <f>IFERROR(__xludf.DUMMYFUNCTION("""COMPUTED_VALUE"""),"Belum disetujui")</f>
        <v>Belum disetujui</v>
      </c>
      <c r="D264" s="38"/>
      <c r="E264" s="38" t="s">
        <v>11462</v>
      </c>
      <c r="F264" s="38" t="s">
        <v>257</v>
      </c>
      <c r="G264" s="38" t="s">
        <v>11463</v>
      </c>
      <c r="H264" s="38" t="s">
        <v>11419</v>
      </c>
    </row>
    <row r="265">
      <c r="A265" s="37">
        <f>IFERROR(__xludf.DUMMYFUNCTION("""COMPUTED_VALUE"""),45905.58499456018)</f>
        <v>45905.58499</v>
      </c>
      <c r="B265" s="38" t="str">
        <f>IFERROR(__xludf.DUMMYFUNCTION("""COMPUTED_VALUE"""),"ALITA D PAU")</f>
        <v>ALITA D PAU</v>
      </c>
      <c r="C265" s="38" t="str">
        <f>IFERROR(__xludf.DUMMYFUNCTION("""COMPUTED_VALUE"""),"Belum disetujui")</f>
        <v>Belum disetujui</v>
      </c>
      <c r="D265" s="38"/>
      <c r="E265" s="38" t="s">
        <v>11447</v>
      </c>
      <c r="F265" s="38" t="s">
        <v>205</v>
      </c>
      <c r="G265" s="38" t="s">
        <v>11448</v>
      </c>
      <c r="H265" s="38" t="s">
        <v>11419</v>
      </c>
    </row>
    <row r="266">
      <c r="A266" s="37">
        <f>IFERROR(__xludf.DUMMYFUNCTION("""COMPUTED_VALUE"""),45905.589950706024)</f>
        <v>45905.58995</v>
      </c>
      <c r="B266" s="38" t="str">
        <f>IFERROR(__xludf.DUMMYFUNCTION("""COMPUTED_VALUE"""),"WINDRI MANOE")</f>
        <v>WINDRI MANOE</v>
      </c>
      <c r="C266" s="38" t="str">
        <f>IFERROR(__xludf.DUMMYFUNCTION("""COMPUTED_VALUE"""),"Belum disetujui")</f>
        <v>Belum disetujui</v>
      </c>
      <c r="D266" s="38"/>
      <c r="E266" s="38" t="s">
        <v>11443</v>
      </c>
      <c r="F266" s="38" t="s">
        <v>220</v>
      </c>
      <c r="G266" s="38" t="s">
        <v>11444</v>
      </c>
      <c r="H266" s="38" t="s">
        <v>11399</v>
      </c>
    </row>
    <row r="267">
      <c r="A267" s="37">
        <f>IFERROR(__xludf.DUMMYFUNCTION("""COMPUTED_VALUE"""),45905.60482177083)</f>
        <v>45905.60482</v>
      </c>
      <c r="B267" s="38" t="str">
        <f>IFERROR(__xludf.DUMMYFUNCTION("""COMPUTED_VALUE"""),"ALITA D PAU")</f>
        <v>ALITA D PAU</v>
      </c>
      <c r="C267" s="38" t="str">
        <f>IFERROR(__xludf.DUMMYFUNCTION("""COMPUTED_VALUE"""),"Belum disetujui")</f>
        <v>Belum disetujui</v>
      </c>
      <c r="D267" s="38"/>
      <c r="E267" s="38" t="s">
        <v>11447</v>
      </c>
      <c r="F267" s="38" t="s">
        <v>205</v>
      </c>
      <c r="G267" s="38" t="s">
        <v>11448</v>
      </c>
      <c r="H267" s="38" t="s">
        <v>11419</v>
      </c>
    </row>
    <row r="268">
      <c r="A268" s="37">
        <f>IFERROR(__xludf.DUMMYFUNCTION("""COMPUTED_VALUE"""),45905.62025681713)</f>
        <v>45905.62026</v>
      </c>
      <c r="B268" s="38" t="str">
        <f>IFERROR(__xludf.DUMMYFUNCTION("""COMPUTED_VALUE"""),"AMBU BAIQ JUMENAH")</f>
        <v>AMBU BAIQ JUMENAH</v>
      </c>
      <c r="C268" s="38" t="str">
        <f>IFERROR(__xludf.DUMMYFUNCTION("""COMPUTED_VALUE"""),"Belum disetujui")</f>
        <v>Belum disetujui</v>
      </c>
      <c r="D268" s="38"/>
      <c r="E268" s="38" t="s">
        <v>11458</v>
      </c>
      <c r="F268" s="38" t="s">
        <v>205</v>
      </c>
      <c r="G268" s="38" t="s">
        <v>11459</v>
      </c>
      <c r="H268" s="38" t="s">
        <v>11419</v>
      </c>
    </row>
    <row r="269">
      <c r="A269" s="37">
        <f>IFERROR(__xludf.DUMMYFUNCTION("""COMPUTED_VALUE"""),45905.621854652774)</f>
        <v>45905.62185</v>
      </c>
      <c r="B269" s="38" t="str">
        <f>IFERROR(__xludf.DUMMYFUNCTION("""COMPUTED_VALUE"""),"MARNITHA JUWIKE TIMORATI RUNESI")</f>
        <v>MARNITHA JUWIKE TIMORATI RUNESI</v>
      </c>
      <c r="C269" s="38" t="str">
        <f>IFERROR(__xludf.DUMMYFUNCTION("""COMPUTED_VALUE"""),"Belum disetujui")</f>
        <v>Belum disetujui</v>
      </c>
      <c r="D269" s="38"/>
      <c r="E269" s="38" t="s">
        <v>11420</v>
      </c>
      <c r="F269" s="38" t="s">
        <v>204</v>
      </c>
      <c r="G269" s="38" t="s">
        <v>11421</v>
      </c>
      <c r="H269" s="38" t="s">
        <v>11399</v>
      </c>
    </row>
    <row r="270">
      <c r="A270" s="37">
        <f>IFERROR(__xludf.DUMMYFUNCTION("""COMPUTED_VALUE"""),45905.6235194676)</f>
        <v>45905.62352</v>
      </c>
      <c r="B270" s="38" t="str">
        <f>IFERROR(__xludf.DUMMYFUNCTION("""COMPUTED_VALUE"""),"NOVANTRY RUTHANIA NAFFIE")</f>
        <v>NOVANTRY RUTHANIA NAFFIE</v>
      </c>
      <c r="C270" s="38" t="str">
        <f>IFERROR(__xludf.DUMMYFUNCTION("""COMPUTED_VALUE"""),"Belum disetujui")</f>
        <v>Belum disetujui</v>
      </c>
      <c r="D270" s="38"/>
      <c r="E270" s="38" t="s">
        <v>11397</v>
      </c>
      <c r="F270" s="38" t="s">
        <v>220</v>
      </c>
      <c r="G270" s="38" t="s">
        <v>11398</v>
      </c>
      <c r="H270" s="38" t="s">
        <v>11399</v>
      </c>
    </row>
    <row r="271">
      <c r="A271" s="37">
        <f>IFERROR(__xludf.DUMMYFUNCTION("""COMPUTED_VALUE"""),45905.62508403935)</f>
        <v>45905.62508</v>
      </c>
      <c r="B271" s="38" t="str">
        <f>IFERROR(__xludf.DUMMYFUNCTION("""COMPUTED_VALUE"""),"NOVANTRY RUTHANIA NAFFIE")</f>
        <v>NOVANTRY RUTHANIA NAFFIE</v>
      </c>
      <c r="C271" s="38" t="str">
        <f>IFERROR(__xludf.DUMMYFUNCTION("""COMPUTED_VALUE"""),"Belum disetujui")</f>
        <v>Belum disetujui</v>
      </c>
      <c r="D271" s="38"/>
      <c r="E271" s="38" t="s">
        <v>11397</v>
      </c>
      <c r="F271" s="38" t="s">
        <v>220</v>
      </c>
      <c r="G271" s="38" t="s">
        <v>11398</v>
      </c>
      <c r="H271" s="38" t="s">
        <v>11399</v>
      </c>
    </row>
    <row r="272">
      <c r="A272" s="37">
        <f>IFERROR(__xludf.DUMMYFUNCTION("""COMPUTED_VALUE"""),45905.6344184375)</f>
        <v>45905.63442</v>
      </c>
      <c r="B272" s="38" t="str">
        <f>IFERROR(__xludf.DUMMYFUNCTION("""COMPUTED_VALUE"""),"IDMAL YUSDIRAN YUSUF")</f>
        <v>IDMAL YUSDIRAN YUSUF</v>
      </c>
      <c r="C272" s="38" t="str">
        <f>IFERROR(__xludf.DUMMYFUNCTION("""COMPUTED_VALUE"""),"Belum disetujui")</f>
        <v>Belum disetujui</v>
      </c>
      <c r="D272" s="38"/>
      <c r="E272" s="38" t="s">
        <v>11417</v>
      </c>
      <c r="F272" s="38" t="s">
        <v>257</v>
      </c>
      <c r="G272" s="38" t="s">
        <v>11418</v>
      </c>
      <c r="H272" s="38" t="s">
        <v>11419</v>
      </c>
    </row>
    <row r="273">
      <c r="A273" s="37">
        <f>IFERROR(__xludf.DUMMYFUNCTION("""COMPUTED_VALUE"""),45905.636853275464)</f>
        <v>45905.63685</v>
      </c>
      <c r="B273" s="38" t="str">
        <f>IFERROR(__xludf.DUMMYFUNCTION("""COMPUTED_VALUE"""),"YOMELIANA MARIA MAGNO")</f>
        <v>YOMELIANA MARIA MAGNO</v>
      </c>
      <c r="C273" s="38" t="str">
        <f>IFERROR(__xludf.DUMMYFUNCTION("""COMPUTED_VALUE"""),"Belum disetujui")</f>
        <v>Belum disetujui</v>
      </c>
      <c r="D273" s="38"/>
      <c r="E273" s="38" t="s">
        <v>11460</v>
      </c>
      <c r="F273" s="38" t="s">
        <v>871</v>
      </c>
      <c r="G273" s="38" t="s">
        <v>11461</v>
      </c>
      <c r="H273" s="38" t="s">
        <v>11424</v>
      </c>
    </row>
    <row r="274">
      <c r="A274" s="37">
        <f>IFERROR(__xludf.DUMMYFUNCTION("""COMPUTED_VALUE"""),45905.64528607638)</f>
        <v>45905.64529</v>
      </c>
      <c r="B274" s="38" t="str">
        <f>IFERROR(__xludf.DUMMYFUNCTION("""COMPUTED_VALUE"""),"NUR FATIMAH MOLBANG")</f>
        <v>NUR FATIMAH MOLBANG</v>
      </c>
      <c r="C274" s="38" t="str">
        <f>IFERROR(__xludf.DUMMYFUNCTION("""COMPUTED_VALUE"""),"Dapat limit tapi belum diproses")</f>
        <v>Dapat limit tapi belum diproses</v>
      </c>
      <c r="D274" s="38" t="str">
        <f>IFERROR(__xludf.DUMMYFUNCTION("""COMPUTED_VALUE"""),"Y400 series")</f>
        <v>Y400 series</v>
      </c>
      <c r="E274" s="38" t="s">
        <v>11439</v>
      </c>
      <c r="F274" s="38" t="s">
        <v>313</v>
      </c>
      <c r="G274" s="38" t="s">
        <v>11440</v>
      </c>
      <c r="H274" s="38" t="s">
        <v>11424</v>
      </c>
    </row>
    <row r="275">
      <c r="A275" s="37">
        <f>IFERROR(__xludf.DUMMYFUNCTION("""COMPUTED_VALUE"""),45905.66307902777)</f>
        <v>45905.66308</v>
      </c>
      <c r="B275" s="38" t="str">
        <f>IFERROR(__xludf.DUMMYFUNCTION("""COMPUTED_VALUE"""),"SKOLASTIKA B TAUNAES")</f>
        <v>SKOLASTIKA B TAUNAES</v>
      </c>
      <c r="C275" s="38" t="str">
        <f>IFERROR(__xludf.DUMMYFUNCTION("""COMPUTED_VALUE"""),"Belum disetujui")</f>
        <v>Belum disetujui</v>
      </c>
      <c r="D275" s="38"/>
      <c r="E275" s="38" t="s">
        <v>11413</v>
      </c>
      <c r="F275" s="38" t="s">
        <v>204</v>
      </c>
      <c r="G275" s="38" t="s">
        <v>11414</v>
      </c>
      <c r="H275" s="38" t="s">
        <v>11399</v>
      </c>
    </row>
    <row r="276">
      <c r="A276" s="37">
        <f>IFERROR(__xludf.DUMMYFUNCTION("""COMPUTED_VALUE"""),45905.66586334491)</f>
        <v>45905.66586</v>
      </c>
      <c r="B276" s="38" t="str">
        <f>IFERROR(__xludf.DUMMYFUNCTION("""COMPUTED_VALUE"""),"SKOLASTIKA B TAUNAES")</f>
        <v>SKOLASTIKA B TAUNAES</v>
      </c>
      <c r="C276" s="38" t="str">
        <f>IFERROR(__xludf.DUMMYFUNCTION("""COMPUTED_VALUE"""),"Belum disetujui")</f>
        <v>Belum disetujui</v>
      </c>
      <c r="D276" s="38"/>
      <c r="E276" s="38" t="s">
        <v>11413</v>
      </c>
      <c r="F276" s="38" t="s">
        <v>204</v>
      </c>
      <c r="G276" s="38" t="s">
        <v>11414</v>
      </c>
      <c r="H276" s="38" t="s">
        <v>11399</v>
      </c>
    </row>
    <row r="277">
      <c r="A277" s="37">
        <f>IFERROR(__xludf.DUMMYFUNCTION("""COMPUTED_VALUE"""),45905.68519362268)</f>
        <v>45905.68519</v>
      </c>
      <c r="B277" s="38" t="str">
        <f>IFERROR(__xludf.DUMMYFUNCTION("""COMPUTED_VALUE"""),"WINDRI MANOE")</f>
        <v>WINDRI MANOE</v>
      </c>
      <c r="C277" s="38" t="str">
        <f>IFERROR(__xludf.DUMMYFUNCTION("""COMPUTED_VALUE"""),"Dapat limit tapi belum diproses")</f>
        <v>Dapat limit tapi belum diproses</v>
      </c>
      <c r="D277" s="38" t="str">
        <f>IFERROR(__xludf.DUMMYFUNCTION("""COMPUTED_VALUE"""),"Y400 series")</f>
        <v>Y400 series</v>
      </c>
      <c r="E277" s="38" t="s">
        <v>11443</v>
      </c>
      <c r="F277" s="38" t="s">
        <v>220</v>
      </c>
      <c r="G277" s="38" t="s">
        <v>11444</v>
      </c>
      <c r="H277" s="38" t="s">
        <v>11399</v>
      </c>
    </row>
    <row r="278">
      <c r="A278" s="37">
        <f>IFERROR(__xludf.DUMMYFUNCTION("""COMPUTED_VALUE"""),45905.7013784838)</f>
        <v>45905.70138</v>
      </c>
      <c r="B278" s="38" t="str">
        <f>IFERROR(__xludf.DUMMYFUNCTION("""COMPUTED_VALUE"""),"ASRI NINGSI RAMBU ATA ENDI")</f>
        <v>ASRI NINGSI RAMBU ATA ENDI</v>
      </c>
      <c r="C278" s="38" t="str">
        <f>IFERROR(__xludf.DUMMYFUNCTION("""COMPUTED_VALUE"""),"Belum disetujui")</f>
        <v>Belum disetujui</v>
      </c>
      <c r="D278" s="38"/>
      <c r="E278" s="38" t="s">
        <v>11441</v>
      </c>
      <c r="F278" s="38" t="s">
        <v>205</v>
      </c>
      <c r="G278" s="38" t="s">
        <v>11442</v>
      </c>
      <c r="H278" s="38" t="s">
        <v>11419</v>
      </c>
    </row>
    <row r="279">
      <c r="A279" s="37">
        <f>IFERROR(__xludf.DUMMYFUNCTION("""COMPUTED_VALUE"""),45905.70890385417)</f>
        <v>45905.7089</v>
      </c>
      <c r="B279" s="38" t="str">
        <f>IFERROR(__xludf.DUMMYFUNCTION("""COMPUTED_VALUE"""),"PATRIANI MENGI ULY")</f>
        <v>PATRIANI MENGI ULY</v>
      </c>
      <c r="C279" s="38" t="str">
        <f>IFERROR(__xludf.DUMMYFUNCTION("""COMPUTED_VALUE"""),"Belum disetujui")</f>
        <v>Belum disetujui</v>
      </c>
      <c r="D279" s="38"/>
      <c r="E279" s="38" t="s">
        <v>11402</v>
      </c>
      <c r="F279" s="38" t="s">
        <v>204</v>
      </c>
      <c r="G279" s="38" t="s">
        <v>11403</v>
      </c>
      <c r="H279" s="38" t="s">
        <v>11399</v>
      </c>
    </row>
    <row r="280">
      <c r="A280" s="37">
        <f>IFERROR(__xludf.DUMMYFUNCTION("""COMPUTED_VALUE"""),45905.71853863426)</f>
        <v>45905.71854</v>
      </c>
      <c r="B280" s="38" t="str">
        <f>IFERROR(__xludf.DUMMYFUNCTION("""COMPUTED_VALUE"""),"AINI RAHMATINI NATALIA MOESTAKIM")</f>
        <v>AINI RAHMATINI NATALIA MOESTAKIM</v>
      </c>
      <c r="C280" s="38" t="str">
        <f>IFERROR(__xludf.DUMMYFUNCTION("""COMPUTED_VALUE"""),"Belum disetujui")</f>
        <v>Belum disetujui</v>
      </c>
      <c r="D280" s="38"/>
      <c r="E280" s="38" t="s">
        <v>11409</v>
      </c>
      <c r="F280" s="38" t="s">
        <v>204</v>
      </c>
      <c r="G280" s="38" t="s">
        <v>11410</v>
      </c>
      <c r="H280" s="38" t="s">
        <v>11399</v>
      </c>
    </row>
    <row r="281">
      <c r="A281" s="37">
        <f>IFERROR(__xludf.DUMMYFUNCTION("""COMPUTED_VALUE"""),45905.728940914356)</f>
        <v>45905.72894</v>
      </c>
      <c r="B281" s="38" t="str">
        <f>IFERROR(__xludf.DUMMYFUNCTION("""COMPUTED_VALUE"""),"YASINTHA MBU")</f>
        <v>YASINTHA MBU</v>
      </c>
      <c r="C281" s="38" t="str">
        <f>IFERROR(__xludf.DUMMYFUNCTION("""COMPUTED_VALUE"""),"Belum disetujui")</f>
        <v>Belum disetujui</v>
      </c>
      <c r="D281" s="38"/>
      <c r="E281" s="38" t="s">
        <v>11407</v>
      </c>
      <c r="F281" s="38" t="s">
        <v>220</v>
      </c>
      <c r="G281" s="38" t="s">
        <v>11408</v>
      </c>
      <c r="H281" s="38" t="s">
        <v>11399</v>
      </c>
    </row>
    <row r="282">
      <c r="A282" s="37">
        <f>IFERROR(__xludf.DUMMYFUNCTION("""COMPUTED_VALUE"""),45905.73612633102)</f>
        <v>45905.73613</v>
      </c>
      <c r="B282" s="38" t="str">
        <f>IFERROR(__xludf.DUMMYFUNCTION("""COMPUTED_VALUE"""),"MERDA PUTRI BUNGSU KENAT")</f>
        <v>MERDA PUTRI BUNGSU KENAT</v>
      </c>
      <c r="C282" s="38" t="str">
        <f>IFERROR(__xludf.DUMMYFUNCTION("""COMPUTED_VALUE"""),"Dapat limit tapi belum diproses")</f>
        <v>Dapat limit tapi belum diproses</v>
      </c>
      <c r="D282" s="38" t="str">
        <f>IFERROR(__xludf.DUMMYFUNCTION("""COMPUTED_VALUE"""),"Y400 series")</f>
        <v>Y400 series</v>
      </c>
      <c r="E282" s="38" t="s">
        <v>11422</v>
      </c>
      <c r="F282" s="38" t="s">
        <v>215</v>
      </c>
      <c r="G282" s="38" t="s">
        <v>11423</v>
      </c>
      <c r="H282" s="38" t="s">
        <v>11424</v>
      </c>
    </row>
    <row r="283">
      <c r="A283" s="37">
        <f>IFERROR(__xludf.DUMMYFUNCTION("""COMPUTED_VALUE"""),45905.742999409726)</f>
        <v>45905.743</v>
      </c>
      <c r="B283" s="38" t="str">
        <f>IFERROR(__xludf.DUMMYFUNCTION("""COMPUTED_VALUE"""),"EMPI FRANGKI LIEM")</f>
        <v>EMPI FRANGKI LIEM</v>
      </c>
      <c r="C283" s="38" t="str">
        <f>IFERROR(__xludf.DUMMYFUNCTION("""COMPUTED_VALUE"""),"Belum disetujui")</f>
        <v>Belum disetujui</v>
      </c>
      <c r="D283" s="38"/>
      <c r="E283" s="38" t="s">
        <v>11397</v>
      </c>
      <c r="F283" s="38" t="s">
        <v>220</v>
      </c>
      <c r="G283" s="38" t="s">
        <v>11398</v>
      </c>
      <c r="H283" s="38" t="s">
        <v>11399</v>
      </c>
    </row>
    <row r="284">
      <c r="A284" s="37">
        <f>IFERROR(__xludf.DUMMYFUNCTION("""COMPUTED_VALUE"""),45905.74818331019)</f>
        <v>45905.74818</v>
      </c>
      <c r="B284" s="38" t="str">
        <f>IFERROR(__xludf.DUMMYFUNCTION("""COMPUTED_VALUE"""),"AINI RAHMATINI NATALIA MOESTAKIM")</f>
        <v>AINI RAHMATINI NATALIA MOESTAKIM</v>
      </c>
      <c r="C284" s="38" t="str">
        <f>IFERROR(__xludf.DUMMYFUNCTION("""COMPUTED_VALUE"""),"Belum disetujui")</f>
        <v>Belum disetujui</v>
      </c>
      <c r="D284" s="38"/>
      <c r="E284" s="38" t="s">
        <v>11409</v>
      </c>
      <c r="F284" s="38" t="s">
        <v>204</v>
      </c>
      <c r="G284" s="38" t="s">
        <v>11410</v>
      </c>
      <c r="H284" s="38" t="s">
        <v>11399</v>
      </c>
    </row>
    <row r="285">
      <c r="A285" s="37">
        <f>IFERROR(__xludf.DUMMYFUNCTION("""COMPUTED_VALUE"""),45905.75119162037)</f>
        <v>45905.75119</v>
      </c>
      <c r="B285" s="38" t="str">
        <f>IFERROR(__xludf.DUMMYFUNCTION("""COMPUTED_VALUE"""),"YOHANIS TIPNONI")</f>
        <v>YOHANIS TIPNONI</v>
      </c>
      <c r="C285" s="38" t="str">
        <f>IFERROR(__xludf.DUMMYFUNCTION("""COMPUTED_VALUE"""),"Belum disetujui")</f>
        <v>Belum disetujui</v>
      </c>
      <c r="D285" s="38"/>
      <c r="E285" s="38" t="s">
        <v>11405</v>
      </c>
      <c r="F285" s="38" t="s">
        <v>220</v>
      </c>
      <c r="G285" s="38" t="s">
        <v>11406</v>
      </c>
      <c r="H285" s="38" t="s">
        <v>11399</v>
      </c>
    </row>
    <row r="286">
      <c r="A286" s="37">
        <f>IFERROR(__xludf.DUMMYFUNCTION("""COMPUTED_VALUE"""),45905.75193734954)</f>
        <v>45905.75194</v>
      </c>
      <c r="B286" s="38" t="str">
        <f>IFERROR(__xludf.DUMMYFUNCTION("""COMPUTED_VALUE"""),"IRENE NOVALIA KADJU")</f>
        <v>IRENE NOVALIA KADJU</v>
      </c>
      <c r="C286" s="38" t="str">
        <f>IFERROR(__xludf.DUMMYFUNCTION("""COMPUTED_VALUE"""),"ACC")</f>
        <v>ACC</v>
      </c>
      <c r="D286" s="38" t="str">
        <f>IFERROR(__xludf.DUMMYFUNCTION("""COMPUTED_VALUE"""),"V50 Lite series")</f>
        <v>V50 Lite series</v>
      </c>
      <c r="E286" s="38" t="s">
        <v>11445</v>
      </c>
      <c r="F286" s="38" t="s">
        <v>204</v>
      </c>
      <c r="G286" s="38" t="s">
        <v>11446</v>
      </c>
      <c r="H286" s="38" t="s">
        <v>11399</v>
      </c>
    </row>
    <row r="287">
      <c r="A287" s="37">
        <f>IFERROR(__xludf.DUMMYFUNCTION("""COMPUTED_VALUE"""),45905.75593300926)</f>
        <v>45905.75593</v>
      </c>
      <c r="B287" s="38" t="str">
        <f>IFERROR(__xludf.DUMMYFUNCTION("""COMPUTED_VALUE"""),"PRETI SISILIA SILA")</f>
        <v>PRETI SISILIA SILA</v>
      </c>
      <c r="C287" s="38" t="str">
        <f>IFERROR(__xludf.DUMMYFUNCTION("""COMPUTED_VALUE"""),"Belum disetujui")</f>
        <v>Belum disetujui</v>
      </c>
      <c r="D287" s="38"/>
      <c r="E287" s="38" t="s">
        <v>11456</v>
      </c>
      <c r="F287" s="38" t="s">
        <v>667</v>
      </c>
      <c r="G287" s="38" t="s">
        <v>11457</v>
      </c>
      <c r="H287" s="38" t="s">
        <v>11424</v>
      </c>
    </row>
    <row r="288">
      <c r="A288" s="37">
        <f>IFERROR(__xludf.DUMMYFUNCTION("""COMPUTED_VALUE"""),45905.756378067126)</f>
        <v>45905.75638</v>
      </c>
      <c r="B288" s="38" t="str">
        <f>IFERROR(__xludf.DUMMYFUNCTION("""COMPUTED_VALUE"""),"YOHANA NOVIANA MARIANA GAA")</f>
        <v>YOHANA NOVIANA MARIANA GAA</v>
      </c>
      <c r="C288" s="38" t="str">
        <f>IFERROR(__xludf.DUMMYFUNCTION("""COMPUTED_VALUE"""),"Belum disetujui")</f>
        <v>Belum disetujui</v>
      </c>
      <c r="D288" s="38"/>
      <c r="E288" s="38" t="s">
        <v>11400</v>
      </c>
      <c r="F288" s="38" t="s">
        <v>204</v>
      </c>
      <c r="G288" s="38" t="s">
        <v>11401</v>
      </c>
      <c r="H288" s="38" t="s">
        <v>11399</v>
      </c>
    </row>
    <row r="289">
      <c r="A289" s="37">
        <f>IFERROR(__xludf.DUMMYFUNCTION("""COMPUTED_VALUE"""),45905.762497905096)</f>
        <v>45905.7625</v>
      </c>
      <c r="B289" s="38" t="str">
        <f>IFERROR(__xludf.DUMMYFUNCTION("""COMPUTED_VALUE"""),"ASTUTI BELA WAWO")</f>
        <v>ASTUTI BELA WAWO</v>
      </c>
      <c r="C289" s="38" t="str">
        <f>IFERROR(__xludf.DUMMYFUNCTION("""COMPUTED_VALUE"""),"Belum disetujui")</f>
        <v>Belum disetujui</v>
      </c>
      <c r="D289" s="38"/>
      <c r="E289" s="38" t="s">
        <v>11427</v>
      </c>
      <c r="F289" s="38" t="s">
        <v>257</v>
      </c>
      <c r="G289" s="38" t="s">
        <v>11428</v>
      </c>
      <c r="H289" s="38" t="s">
        <v>11419</v>
      </c>
    </row>
    <row r="290">
      <c r="A290" s="37">
        <f>IFERROR(__xludf.DUMMYFUNCTION("""COMPUTED_VALUE"""),45905.76690710648)</f>
        <v>45905.76691</v>
      </c>
      <c r="B290" s="38" t="str">
        <f>IFERROR(__xludf.DUMMYFUNCTION("""COMPUTED_VALUE"""),"WARDIA")</f>
        <v>WARDIA</v>
      </c>
      <c r="C290" s="38" t="str">
        <f>IFERROR(__xludf.DUMMYFUNCTION("""COMPUTED_VALUE"""),"Belum disetujui")</f>
        <v>Belum disetujui</v>
      </c>
      <c r="D290" s="38"/>
      <c r="E290" s="38" t="s">
        <v>11409</v>
      </c>
      <c r="F290" s="38" t="s">
        <v>204</v>
      </c>
      <c r="G290" s="38" t="s">
        <v>11410</v>
      </c>
      <c r="H290" s="38" t="s">
        <v>11399</v>
      </c>
    </row>
    <row r="291">
      <c r="A291" s="37">
        <f>IFERROR(__xludf.DUMMYFUNCTION("""COMPUTED_VALUE"""),45905.769493356485)</f>
        <v>45905.76949</v>
      </c>
      <c r="B291" s="38" t="str">
        <f>IFERROR(__xludf.DUMMYFUNCTION("""COMPUTED_VALUE"""),"YOVANDA KATRINA NAE")</f>
        <v>YOVANDA KATRINA NAE</v>
      </c>
      <c r="C291" s="38" t="str">
        <f>IFERROR(__xludf.DUMMYFUNCTION("""COMPUTED_VALUE"""),"Belum disetujui")</f>
        <v>Belum disetujui</v>
      </c>
      <c r="D291" s="38"/>
      <c r="E291" s="38" t="s">
        <v>11425</v>
      </c>
      <c r="F291" s="38" t="s">
        <v>205</v>
      </c>
      <c r="G291" s="38" t="s">
        <v>11426</v>
      </c>
      <c r="H291" s="38" t="s">
        <v>11419</v>
      </c>
    </row>
    <row r="292">
      <c r="A292" s="37">
        <f>IFERROR(__xludf.DUMMYFUNCTION("""COMPUTED_VALUE"""),45905.77123950231)</f>
        <v>45905.77124</v>
      </c>
      <c r="B292" s="38" t="str">
        <f>IFERROR(__xludf.DUMMYFUNCTION("""COMPUTED_VALUE"""),"SANTI MARIA LUKMINI NAHAK")</f>
        <v>SANTI MARIA LUKMINI NAHAK</v>
      </c>
      <c r="C292" s="38" t="str">
        <f>IFERROR(__xludf.DUMMYFUNCTION("""COMPUTED_VALUE"""),"Dapat limit tapi belum diproses")</f>
        <v>Dapat limit tapi belum diproses</v>
      </c>
      <c r="D292" s="38" t="str">
        <f>IFERROR(__xludf.DUMMYFUNCTION("""COMPUTED_VALUE"""),"Y400 series")</f>
        <v>Y400 series</v>
      </c>
      <c r="E292" s="38" t="s">
        <v>11460</v>
      </c>
      <c r="F292" s="38" t="s">
        <v>871</v>
      </c>
      <c r="G292" s="38" t="s">
        <v>11461</v>
      </c>
      <c r="H292" s="38" t="s">
        <v>11424</v>
      </c>
    </row>
    <row r="293">
      <c r="A293" s="37">
        <f>IFERROR(__xludf.DUMMYFUNCTION("""COMPUTED_VALUE"""),45905.773291377314)</f>
        <v>45905.77329</v>
      </c>
      <c r="B293" s="38" t="str">
        <f>IFERROR(__xludf.DUMMYFUNCTION("""COMPUTED_VALUE"""),"DEWI RAHMAN")</f>
        <v>DEWI RAHMAN</v>
      </c>
      <c r="C293" s="38" t="str">
        <f>IFERROR(__xludf.DUMMYFUNCTION("""COMPUTED_VALUE"""),"Belum disetujui")</f>
        <v>Belum disetujui</v>
      </c>
      <c r="D293" s="38"/>
      <c r="E293" s="38" t="s">
        <v>11449</v>
      </c>
      <c r="F293" s="38" t="s">
        <v>11450</v>
      </c>
      <c r="G293" s="38" t="s">
        <v>11451</v>
      </c>
      <c r="H293" s="38" t="s">
        <v>11424</v>
      </c>
    </row>
    <row r="294">
      <c r="A294" s="37">
        <f>IFERROR(__xludf.DUMMYFUNCTION("""COMPUTED_VALUE"""),45905.78172824074)</f>
        <v>45905.78173</v>
      </c>
      <c r="B294" s="38" t="str">
        <f>IFERROR(__xludf.DUMMYFUNCTION("""COMPUTED_VALUE"""),"YOMELIANA MARIA MAGNO")</f>
        <v>YOMELIANA MARIA MAGNO</v>
      </c>
      <c r="C294" s="38" t="str">
        <f>IFERROR(__xludf.DUMMYFUNCTION("""COMPUTED_VALUE"""),"ACC")</f>
        <v>ACC</v>
      </c>
      <c r="D294" s="38" t="str">
        <f>IFERROR(__xludf.DUMMYFUNCTION("""COMPUTED_VALUE"""),"Y400 series")</f>
        <v>Y400 series</v>
      </c>
      <c r="E294" s="38" t="s">
        <v>11460</v>
      </c>
      <c r="F294" s="38" t="s">
        <v>871</v>
      </c>
      <c r="G294" s="38" t="s">
        <v>11461</v>
      </c>
      <c r="H294" s="38" t="s">
        <v>11424</v>
      </c>
    </row>
    <row r="295">
      <c r="A295" s="37">
        <f>IFERROR(__xludf.DUMMYFUNCTION("""COMPUTED_VALUE"""),45905.7909195949)</f>
        <v>45905.79092</v>
      </c>
      <c r="B295" s="38" t="str">
        <f>IFERROR(__xludf.DUMMYFUNCTION("""COMPUTED_VALUE"""),"ROS YANE KANA LUDJI")</f>
        <v>ROS YANE KANA LUDJI</v>
      </c>
      <c r="C295" s="38" t="str">
        <f>IFERROR(__xludf.DUMMYFUNCTION("""COMPUTED_VALUE"""),"Belum disetujui")</f>
        <v>Belum disetujui</v>
      </c>
      <c r="D295" s="38"/>
      <c r="E295" s="38" t="s">
        <v>11437</v>
      </c>
      <c r="F295" s="38" t="s">
        <v>204</v>
      </c>
      <c r="G295" s="38" t="s">
        <v>11438</v>
      </c>
      <c r="H295" s="38" t="s">
        <v>11399</v>
      </c>
    </row>
    <row r="296">
      <c r="A296" s="37">
        <f>IFERROR(__xludf.DUMMYFUNCTION("""COMPUTED_VALUE"""),45905.8098297338)</f>
        <v>45905.80983</v>
      </c>
      <c r="B296" s="38" t="str">
        <f>IFERROR(__xludf.DUMMYFUNCTION("""COMPUTED_VALUE"""),"HERONIMUS NAMU WALI")</f>
        <v>HERONIMUS NAMU WALI</v>
      </c>
      <c r="C296" s="38" t="str">
        <f>IFERROR(__xludf.DUMMYFUNCTION("""COMPUTED_VALUE"""),"Belum disetujui")</f>
        <v>Belum disetujui</v>
      </c>
      <c r="D296" s="38"/>
      <c r="E296" s="38" t="s">
        <v>11452</v>
      </c>
      <c r="F296" s="38" t="s">
        <v>205</v>
      </c>
      <c r="G296" s="38" t="s">
        <v>11453</v>
      </c>
      <c r="H296" s="38" t="s">
        <v>11419</v>
      </c>
    </row>
    <row r="297">
      <c r="A297" s="37">
        <f>IFERROR(__xludf.DUMMYFUNCTION("""COMPUTED_VALUE"""),45905.81834762731)</f>
        <v>45905.81835</v>
      </c>
      <c r="B297" s="38" t="str">
        <f>IFERROR(__xludf.DUMMYFUNCTION("""COMPUTED_VALUE"""),"ANYARMITHA SOPHIA SUEK")</f>
        <v>ANYARMITHA SOPHIA SUEK</v>
      </c>
      <c r="C297" s="38" t="str">
        <f>IFERROR(__xludf.DUMMYFUNCTION("""COMPUTED_VALUE"""),"Belum disetujui")</f>
        <v>Belum disetujui</v>
      </c>
      <c r="D297" s="38"/>
      <c r="E297" s="38" t="s">
        <v>11443</v>
      </c>
      <c r="F297" s="38" t="s">
        <v>220</v>
      </c>
      <c r="G297" s="38" t="s">
        <v>11444</v>
      </c>
      <c r="H297" s="38" t="s">
        <v>11399</v>
      </c>
    </row>
    <row r="298">
      <c r="A298" s="37">
        <f>IFERROR(__xludf.DUMMYFUNCTION("""COMPUTED_VALUE"""),45905.8413306713)</f>
        <v>45905.84133</v>
      </c>
      <c r="B298" s="38" t="str">
        <f>IFERROR(__xludf.DUMMYFUNCTION("""COMPUTED_VALUE"""),"MERDA PUTRI BUNGSU KENAT")</f>
        <v>MERDA PUTRI BUNGSU KENAT</v>
      </c>
      <c r="C298" s="38" t="str">
        <f>IFERROR(__xludf.DUMMYFUNCTION("""COMPUTED_VALUE"""),"ACC")</f>
        <v>ACC</v>
      </c>
      <c r="D298" s="38" t="str">
        <f>IFERROR(__xludf.DUMMYFUNCTION("""COMPUTED_VALUE"""),"Y400 series")</f>
        <v>Y400 series</v>
      </c>
      <c r="E298" s="38" t="s">
        <v>11422</v>
      </c>
      <c r="F298" s="38" t="s">
        <v>215</v>
      </c>
      <c r="G298" s="38" t="s">
        <v>11423</v>
      </c>
      <c r="H298" s="38" t="s">
        <v>11424</v>
      </c>
    </row>
    <row r="299">
      <c r="A299" s="37">
        <f>IFERROR(__xludf.DUMMYFUNCTION("""COMPUTED_VALUE"""),45905.853185486114)</f>
        <v>45905.85319</v>
      </c>
      <c r="B299" s="38" t="str">
        <f>IFERROR(__xludf.DUMMYFUNCTION("""COMPUTED_VALUE"""),"ALDIANA WELIA PANIE")</f>
        <v>ALDIANA WELIA PANIE</v>
      </c>
      <c r="C299" s="38" t="str">
        <f>IFERROR(__xludf.DUMMYFUNCTION("""COMPUTED_VALUE"""),"Belum disetujui")</f>
        <v>Belum disetujui</v>
      </c>
      <c r="D299" s="38"/>
      <c r="E299" s="38" t="s">
        <v>11422</v>
      </c>
      <c r="F299" s="38" t="s">
        <v>215</v>
      </c>
      <c r="G299" s="38" t="s">
        <v>11423</v>
      </c>
      <c r="H299" s="38" t="s">
        <v>11424</v>
      </c>
    </row>
    <row r="300">
      <c r="A300" s="37">
        <f>IFERROR(__xludf.DUMMYFUNCTION("""COMPUTED_VALUE"""),45905.867286967594)</f>
        <v>45905.86729</v>
      </c>
      <c r="B300" s="38" t="str">
        <f>IFERROR(__xludf.DUMMYFUNCTION("""COMPUTED_VALUE"""),"YOHANIS TIPNONI")</f>
        <v>YOHANIS TIPNONI</v>
      </c>
      <c r="C300" s="38" t="str">
        <f>IFERROR(__xludf.DUMMYFUNCTION("""COMPUTED_VALUE"""),"Belum disetujui")</f>
        <v>Belum disetujui</v>
      </c>
      <c r="D300" s="38"/>
      <c r="E300" s="38" t="s">
        <v>11405</v>
      </c>
      <c r="F300" s="38" t="s">
        <v>220</v>
      </c>
      <c r="G300" s="38" t="s">
        <v>11406</v>
      </c>
      <c r="H300" s="38" t="s">
        <v>11399</v>
      </c>
    </row>
    <row r="301">
      <c r="A301" s="37">
        <f>IFERROR(__xludf.DUMMYFUNCTION("""COMPUTED_VALUE"""),45905.88422114583)</f>
        <v>45905.88422</v>
      </c>
      <c r="B301" s="38" t="str">
        <f>IFERROR(__xludf.DUMMYFUNCTION("""COMPUTED_VALUE"""),"MEXY ALEXANDER HETMINA")</f>
        <v>MEXY ALEXANDER HETMINA</v>
      </c>
      <c r="C301" s="38" t="str">
        <f>IFERROR(__xludf.DUMMYFUNCTION("""COMPUTED_VALUE"""),"Belum disetujui")</f>
        <v>Belum disetujui</v>
      </c>
      <c r="D301" s="38"/>
      <c r="E301" s="38" t="s">
        <v>11413</v>
      </c>
      <c r="F301" s="38" t="s">
        <v>204</v>
      </c>
      <c r="G301" s="38" t="s">
        <v>11414</v>
      </c>
      <c r="H301" s="38" t="s">
        <v>11399</v>
      </c>
    </row>
    <row r="302">
      <c r="A302" s="37">
        <f>IFERROR(__xludf.DUMMYFUNCTION("""COMPUTED_VALUE"""),45905.9027691088)</f>
        <v>45905.90277</v>
      </c>
      <c r="B302" s="38" t="str">
        <f>IFERROR(__xludf.DUMMYFUNCTION("""COMPUTED_VALUE"""),"DWITNEY PRETY WANGGANDIMA")</f>
        <v>DWITNEY PRETY WANGGANDIMA</v>
      </c>
      <c r="C302" s="38" t="str">
        <f>IFERROR(__xludf.DUMMYFUNCTION("""COMPUTED_VALUE"""),"Belum disetujui")</f>
        <v>Belum disetujui</v>
      </c>
      <c r="D302" s="38"/>
      <c r="E302" s="38" t="s">
        <v>11443</v>
      </c>
      <c r="F302" s="38" t="s">
        <v>220</v>
      </c>
      <c r="G302" s="38" t="s">
        <v>11444</v>
      </c>
      <c r="H302" s="38" t="s">
        <v>11399</v>
      </c>
    </row>
    <row r="303">
      <c r="A303" s="37">
        <f>IFERROR(__xludf.DUMMYFUNCTION("""COMPUTED_VALUE"""),45905.909909375)</f>
        <v>45905.90991</v>
      </c>
      <c r="B303" s="38" t="str">
        <f>IFERROR(__xludf.DUMMYFUNCTION("""COMPUTED_VALUE"""),"EMPI FRANGKI LIEM")</f>
        <v>EMPI FRANGKI LIEM</v>
      </c>
      <c r="C303" s="38" t="str">
        <f>IFERROR(__xludf.DUMMYFUNCTION("""COMPUTED_VALUE"""),"Belum disetujui")</f>
        <v>Belum disetujui</v>
      </c>
      <c r="D303" s="38"/>
      <c r="E303" s="38" t="s">
        <v>11397</v>
      </c>
      <c r="F303" s="38" t="s">
        <v>220</v>
      </c>
      <c r="G303" s="38" t="s">
        <v>11398</v>
      </c>
      <c r="H303" s="38" t="s">
        <v>11399</v>
      </c>
    </row>
    <row r="304">
      <c r="A304" s="37">
        <f>IFERROR(__xludf.DUMMYFUNCTION("""COMPUTED_VALUE"""),45906.42411533565)</f>
        <v>45906.42412</v>
      </c>
      <c r="B304" s="38" t="str">
        <f>IFERROR(__xludf.DUMMYFUNCTION("""COMPUTED_VALUE"""),"NUR FATIMAH MOLBANG")</f>
        <v>NUR FATIMAH MOLBANG</v>
      </c>
      <c r="C304" s="38" t="str">
        <f>IFERROR(__xludf.DUMMYFUNCTION("""COMPUTED_VALUE"""),"Belum disetujui")</f>
        <v>Belum disetujui</v>
      </c>
      <c r="D304" s="38"/>
      <c r="E304" s="38" t="s">
        <v>11439</v>
      </c>
      <c r="F304" s="38" t="s">
        <v>313</v>
      </c>
      <c r="G304" s="38" t="s">
        <v>11440</v>
      </c>
      <c r="H304" s="38" t="s">
        <v>11424</v>
      </c>
    </row>
    <row r="305">
      <c r="A305" s="37">
        <f>IFERROR(__xludf.DUMMYFUNCTION("""COMPUTED_VALUE"""),45906.47495283565)</f>
        <v>45906.47495</v>
      </c>
      <c r="B305" s="38" t="str">
        <f>IFERROR(__xludf.DUMMYFUNCTION("""COMPUTED_VALUE"""),"AINI RAHMATINI NATALIA MOESTAKIM")</f>
        <v>AINI RAHMATINI NATALIA MOESTAKIM</v>
      </c>
      <c r="C305" s="38" t="str">
        <f>IFERROR(__xludf.DUMMYFUNCTION("""COMPUTED_VALUE"""),"Belum disetujui")</f>
        <v>Belum disetujui</v>
      </c>
      <c r="D305" s="38"/>
      <c r="E305" s="38" t="s">
        <v>11409</v>
      </c>
      <c r="F305" s="38" t="s">
        <v>204</v>
      </c>
      <c r="G305" s="38" t="s">
        <v>11410</v>
      </c>
      <c r="H305" s="38" t="s">
        <v>11399</v>
      </c>
    </row>
    <row r="306">
      <c r="A306" s="37">
        <f>IFERROR(__xludf.DUMMYFUNCTION("""COMPUTED_VALUE"""),45906.49739430555)</f>
        <v>45906.49739</v>
      </c>
      <c r="B306" s="38" t="str">
        <f>IFERROR(__xludf.DUMMYFUNCTION("""COMPUTED_VALUE"""),"PATRIANI MENGI ULY")</f>
        <v>PATRIANI MENGI ULY</v>
      </c>
      <c r="C306" s="38" t="str">
        <f>IFERROR(__xludf.DUMMYFUNCTION("""COMPUTED_VALUE"""),"Belum disetujui")</f>
        <v>Belum disetujui</v>
      </c>
      <c r="D306" s="38"/>
      <c r="E306" s="38" t="s">
        <v>11402</v>
      </c>
      <c r="F306" s="38" t="s">
        <v>204</v>
      </c>
      <c r="G306" s="38" t="s">
        <v>11403</v>
      </c>
      <c r="H306" s="38" t="s">
        <v>11399</v>
      </c>
    </row>
    <row r="307">
      <c r="A307" s="37">
        <f>IFERROR(__xludf.DUMMYFUNCTION("""COMPUTED_VALUE"""),45906.50268320602)</f>
        <v>45906.50268</v>
      </c>
      <c r="B307" s="38" t="str">
        <f>IFERROR(__xludf.DUMMYFUNCTION("""COMPUTED_VALUE"""),"ALDIANA WELIA PANIE")</f>
        <v>ALDIANA WELIA PANIE</v>
      </c>
      <c r="C307" s="38" t="str">
        <f>IFERROR(__xludf.DUMMYFUNCTION("""COMPUTED_VALUE"""),"ACC")</f>
        <v>ACC</v>
      </c>
      <c r="D307" s="38" t="str">
        <f>IFERROR(__xludf.DUMMYFUNCTION("""COMPUTED_VALUE"""),"Y400 series")</f>
        <v>Y400 series</v>
      </c>
      <c r="E307" s="38" t="s">
        <v>11422</v>
      </c>
      <c r="F307" s="38" t="s">
        <v>215</v>
      </c>
      <c r="G307" s="38" t="s">
        <v>11423</v>
      </c>
      <c r="H307" s="38" t="s">
        <v>11424</v>
      </c>
    </row>
    <row r="308">
      <c r="A308" s="37">
        <f>IFERROR(__xludf.DUMMYFUNCTION("""COMPUTED_VALUE"""),45906.51751380787)</f>
        <v>45906.51751</v>
      </c>
      <c r="B308" s="38" t="str">
        <f>IFERROR(__xludf.DUMMYFUNCTION("""COMPUTED_VALUE"""),"WARDIA")</f>
        <v>WARDIA</v>
      </c>
      <c r="C308" s="38" t="str">
        <f>IFERROR(__xludf.DUMMYFUNCTION("""COMPUTED_VALUE"""),"Belum disetujui")</f>
        <v>Belum disetujui</v>
      </c>
      <c r="D308" s="38"/>
      <c r="E308" s="38" t="s">
        <v>11409</v>
      </c>
      <c r="F308" s="38" t="s">
        <v>204</v>
      </c>
      <c r="G308" s="38" t="s">
        <v>11410</v>
      </c>
      <c r="H308" s="38" t="s">
        <v>11399</v>
      </c>
    </row>
    <row r="309">
      <c r="A309" s="37">
        <f>IFERROR(__xludf.DUMMYFUNCTION("""COMPUTED_VALUE"""),45906.518441284716)</f>
        <v>45906.51844</v>
      </c>
      <c r="B309" s="38" t="str">
        <f>IFERROR(__xludf.DUMMYFUNCTION("""COMPUTED_VALUE"""),"WARDIA")</f>
        <v>WARDIA</v>
      </c>
      <c r="C309" s="38" t="str">
        <f>IFERROR(__xludf.DUMMYFUNCTION("""COMPUTED_VALUE"""),"Belum disetujui")</f>
        <v>Belum disetujui</v>
      </c>
      <c r="D309" s="38"/>
      <c r="E309" s="38" t="s">
        <v>11409</v>
      </c>
      <c r="F309" s="38" t="s">
        <v>204</v>
      </c>
      <c r="G309" s="38" t="s">
        <v>11410</v>
      </c>
      <c r="H309" s="38" t="s">
        <v>11399</v>
      </c>
    </row>
    <row r="310">
      <c r="A310" s="37">
        <f>IFERROR(__xludf.DUMMYFUNCTION("""COMPUTED_VALUE"""),45906.51957716435)</f>
        <v>45906.51958</v>
      </c>
      <c r="B310" s="38" t="str">
        <f>IFERROR(__xludf.DUMMYFUNCTION("""COMPUTED_VALUE"""),"ADRIANA")</f>
        <v>ADRIANA</v>
      </c>
      <c r="C310" s="38" t="str">
        <f>IFERROR(__xludf.DUMMYFUNCTION("""COMPUTED_VALUE"""),"Belum disetujui")</f>
        <v>Belum disetujui</v>
      </c>
      <c r="D310" s="38"/>
      <c r="E310" s="38" t="s">
        <v>11433</v>
      </c>
      <c r="F310" s="38" t="s">
        <v>313</v>
      </c>
      <c r="G310" s="38" t="s">
        <v>11434</v>
      </c>
      <c r="H310" s="38" t="s">
        <v>11424</v>
      </c>
    </row>
    <row r="311">
      <c r="A311" s="37">
        <f>IFERROR(__xludf.DUMMYFUNCTION("""COMPUTED_VALUE"""),45906.52008085648)</f>
        <v>45906.52008</v>
      </c>
      <c r="B311" s="38" t="str">
        <f>IFERROR(__xludf.DUMMYFUNCTION("""COMPUTED_VALUE"""),"YASINTHA MBU")</f>
        <v>YASINTHA MBU</v>
      </c>
      <c r="C311" s="38" t="str">
        <f>IFERROR(__xludf.DUMMYFUNCTION("""COMPUTED_VALUE"""),"Dapat limit tapi belum diproses")</f>
        <v>Dapat limit tapi belum diproses</v>
      </c>
      <c r="D311" s="38" t="str">
        <f>IFERROR(__xludf.DUMMYFUNCTION("""COMPUTED_VALUE"""),"Y400 series")</f>
        <v>Y400 series</v>
      </c>
      <c r="E311" s="38" t="s">
        <v>11407</v>
      </c>
      <c r="F311" s="38" t="s">
        <v>220</v>
      </c>
      <c r="G311" s="38" t="s">
        <v>11408</v>
      </c>
      <c r="H311" s="38" t="s">
        <v>11399</v>
      </c>
    </row>
    <row r="312">
      <c r="A312" s="37">
        <f>IFERROR(__xludf.DUMMYFUNCTION("""COMPUTED_VALUE"""),45906.521778263894)</f>
        <v>45906.52178</v>
      </c>
      <c r="B312" s="38" t="str">
        <f>IFERROR(__xludf.DUMMYFUNCTION("""COMPUTED_VALUE"""),"MARNITHA JUWIKE TIMORATI RUNESI")</f>
        <v>MARNITHA JUWIKE TIMORATI RUNESI</v>
      </c>
      <c r="C312" s="38" t="str">
        <f>IFERROR(__xludf.DUMMYFUNCTION("""COMPUTED_VALUE"""),"Belum disetujui")</f>
        <v>Belum disetujui</v>
      </c>
      <c r="D312" s="38"/>
      <c r="E312" s="38" t="s">
        <v>11420</v>
      </c>
      <c r="F312" s="38" t="s">
        <v>204</v>
      </c>
      <c r="G312" s="38" t="s">
        <v>11421</v>
      </c>
      <c r="H312" s="38" t="s">
        <v>11399</v>
      </c>
    </row>
    <row r="313">
      <c r="A313" s="37">
        <f>IFERROR(__xludf.DUMMYFUNCTION("""COMPUTED_VALUE"""),45906.531258125)</f>
        <v>45906.53126</v>
      </c>
      <c r="B313" s="38" t="str">
        <f>IFERROR(__xludf.DUMMYFUNCTION("""COMPUTED_VALUE"""),"KESIA NATALIA I. BENU")</f>
        <v>KESIA NATALIA I. BENU</v>
      </c>
      <c r="C313" s="38" t="str">
        <f>IFERROR(__xludf.DUMMYFUNCTION("""COMPUTED_VALUE"""),"ACC")</f>
        <v>ACC</v>
      </c>
      <c r="D313" s="38" t="str">
        <f>IFERROR(__xludf.DUMMYFUNCTION("""COMPUTED_VALUE"""),"Y400 series")</f>
        <v>Y400 series</v>
      </c>
      <c r="E313" s="38" t="s">
        <v>11417</v>
      </c>
      <c r="F313" s="38" t="s">
        <v>257</v>
      </c>
      <c r="G313" s="38" t="s">
        <v>11418</v>
      </c>
      <c r="H313" s="38" t="s">
        <v>11419</v>
      </c>
    </row>
    <row r="314">
      <c r="A314" s="37">
        <f>IFERROR(__xludf.DUMMYFUNCTION("""COMPUTED_VALUE"""),45906.534141689815)</f>
        <v>45906.53414</v>
      </c>
      <c r="B314" s="38" t="str">
        <f>IFERROR(__xludf.DUMMYFUNCTION("""COMPUTED_VALUE"""),"HERONIMUS NAMU WALI")</f>
        <v>HERONIMUS NAMU WALI</v>
      </c>
      <c r="C314" s="38" t="str">
        <f>IFERROR(__xludf.DUMMYFUNCTION("""COMPUTED_VALUE"""),"ACC")</f>
        <v>ACC</v>
      </c>
      <c r="D314" s="38" t="str">
        <f>IFERROR(__xludf.DUMMYFUNCTION("""COMPUTED_VALUE"""),"Y400 series")</f>
        <v>Y400 series</v>
      </c>
      <c r="E314" s="38" t="s">
        <v>11452</v>
      </c>
      <c r="F314" s="38" t="s">
        <v>205</v>
      </c>
      <c r="G314" s="38" t="s">
        <v>11453</v>
      </c>
      <c r="H314" s="38" t="s">
        <v>11419</v>
      </c>
    </row>
    <row r="315">
      <c r="A315" s="37">
        <f>IFERROR(__xludf.DUMMYFUNCTION("""COMPUTED_VALUE"""),45906.54512355324)</f>
        <v>45906.54512</v>
      </c>
      <c r="B315" s="38" t="str">
        <f>IFERROR(__xludf.DUMMYFUNCTION("""COMPUTED_VALUE"""),"FERI ELI KURNIAWAN")</f>
        <v>FERI ELI KURNIAWAN</v>
      </c>
      <c r="C315" s="38" t="str">
        <f>IFERROR(__xludf.DUMMYFUNCTION("""COMPUTED_VALUE"""),"ACC")</f>
        <v>ACC</v>
      </c>
      <c r="D315" s="38" t="str">
        <f>IFERROR(__xludf.DUMMYFUNCTION("""COMPUTED_VALUE"""),"Y400 series")</f>
        <v>Y400 series</v>
      </c>
      <c r="E315" s="38" t="s">
        <v>11411</v>
      </c>
      <c r="F315" s="38" t="s">
        <v>220</v>
      </c>
      <c r="G315" s="38" t="s">
        <v>11412</v>
      </c>
      <c r="H315" s="38" t="s">
        <v>11399</v>
      </c>
    </row>
    <row r="316">
      <c r="A316" s="37">
        <f>IFERROR(__xludf.DUMMYFUNCTION("""COMPUTED_VALUE"""),45906.560383275464)</f>
        <v>45906.56038</v>
      </c>
      <c r="B316" s="38" t="str">
        <f>IFERROR(__xludf.DUMMYFUNCTION("""COMPUTED_VALUE"""),"EMPI FRANGKI LIEM")</f>
        <v>EMPI FRANGKI LIEM</v>
      </c>
      <c r="C316" s="38" t="str">
        <f>IFERROR(__xludf.DUMMYFUNCTION("""COMPUTED_VALUE"""),"Belum disetujui")</f>
        <v>Belum disetujui</v>
      </c>
      <c r="D316" s="38"/>
      <c r="E316" s="38" t="s">
        <v>11397</v>
      </c>
      <c r="F316" s="38" t="s">
        <v>220</v>
      </c>
      <c r="G316" s="38" t="s">
        <v>11398</v>
      </c>
      <c r="H316" s="38" t="s">
        <v>11399</v>
      </c>
    </row>
    <row r="317">
      <c r="A317" s="37">
        <f>IFERROR(__xludf.DUMMYFUNCTION("""COMPUTED_VALUE"""),45906.562335428236)</f>
        <v>45906.56234</v>
      </c>
      <c r="B317" s="38" t="str">
        <f>IFERROR(__xludf.DUMMYFUNCTION("""COMPUTED_VALUE"""),"NUR FATIMAH MOLBANG")</f>
        <v>NUR FATIMAH MOLBANG</v>
      </c>
      <c r="C317" s="38" t="str">
        <f>IFERROR(__xludf.DUMMYFUNCTION("""COMPUTED_VALUE"""),"Belum disetujui")</f>
        <v>Belum disetujui</v>
      </c>
      <c r="D317" s="38"/>
      <c r="E317" s="38" t="s">
        <v>11439</v>
      </c>
      <c r="F317" s="38" t="s">
        <v>313</v>
      </c>
      <c r="G317" s="38" t="s">
        <v>11440</v>
      </c>
      <c r="H317" s="38" t="s">
        <v>11424</v>
      </c>
    </row>
    <row r="318">
      <c r="A318" s="37">
        <f>IFERROR(__xludf.DUMMYFUNCTION("""COMPUTED_VALUE"""),45906.57892597223)</f>
        <v>45906.57893</v>
      </c>
      <c r="B318" s="38" t="str">
        <f>IFERROR(__xludf.DUMMYFUNCTION("""COMPUTED_VALUE"""),"MARNITHA JUWIKE TIMORATI RUNESI")</f>
        <v>MARNITHA JUWIKE TIMORATI RUNESI</v>
      </c>
      <c r="C318" s="38" t="str">
        <f>IFERROR(__xludf.DUMMYFUNCTION("""COMPUTED_VALUE"""),"Belum disetujui")</f>
        <v>Belum disetujui</v>
      </c>
      <c r="D318" s="38"/>
      <c r="E318" s="38" t="s">
        <v>11420</v>
      </c>
      <c r="F318" s="38" t="s">
        <v>204</v>
      </c>
      <c r="G318" s="38" t="s">
        <v>11421</v>
      </c>
      <c r="H318" s="38" t="s">
        <v>11399</v>
      </c>
    </row>
    <row r="319">
      <c r="A319" s="37">
        <f>IFERROR(__xludf.DUMMYFUNCTION("""COMPUTED_VALUE"""),45906.599120300925)</f>
        <v>45906.59912</v>
      </c>
      <c r="B319" s="38" t="str">
        <f>IFERROR(__xludf.DUMMYFUNCTION("""COMPUTED_VALUE"""),"DEWI RAHMAN")</f>
        <v>DEWI RAHMAN</v>
      </c>
      <c r="C319" s="38" t="str">
        <f>IFERROR(__xludf.DUMMYFUNCTION("""COMPUTED_VALUE"""),"Belum disetujui")</f>
        <v>Belum disetujui</v>
      </c>
      <c r="D319" s="38"/>
      <c r="E319" s="38" t="s">
        <v>11449</v>
      </c>
      <c r="F319" s="38" t="s">
        <v>11450</v>
      </c>
      <c r="G319" s="38" t="s">
        <v>11451</v>
      </c>
      <c r="H319" s="38" t="s">
        <v>11424</v>
      </c>
    </row>
    <row r="320">
      <c r="A320" s="37">
        <f>IFERROR(__xludf.DUMMYFUNCTION("""COMPUTED_VALUE"""),45906.639958321764)</f>
        <v>45906.63996</v>
      </c>
      <c r="B320" s="38" t="str">
        <f>IFERROR(__xludf.DUMMYFUNCTION("""COMPUTED_VALUE"""),"WARDIA")</f>
        <v>WARDIA</v>
      </c>
      <c r="C320" s="38" t="str">
        <f>IFERROR(__xludf.DUMMYFUNCTION("""COMPUTED_VALUE"""),"Belum disetujui")</f>
        <v>Belum disetujui</v>
      </c>
      <c r="D320" s="38"/>
      <c r="E320" s="38" t="s">
        <v>11409</v>
      </c>
      <c r="F320" s="38" t="s">
        <v>204</v>
      </c>
      <c r="G320" s="38" t="s">
        <v>11410</v>
      </c>
      <c r="H320" s="38" t="s">
        <v>11399</v>
      </c>
    </row>
    <row r="321">
      <c r="A321" s="37">
        <f>IFERROR(__xludf.DUMMYFUNCTION("""COMPUTED_VALUE"""),45906.64178480324)</f>
        <v>45906.64178</v>
      </c>
      <c r="B321" s="38" t="str">
        <f>IFERROR(__xludf.DUMMYFUNCTION("""COMPUTED_VALUE"""),"SELVINCE BAKO")</f>
        <v>SELVINCE BAKO</v>
      </c>
      <c r="C321" s="38" t="str">
        <f>IFERROR(__xludf.DUMMYFUNCTION("""COMPUTED_VALUE"""),"Belum disetujui")</f>
        <v>Belum disetujui</v>
      </c>
      <c r="D321" s="38"/>
      <c r="E321" s="38" t="s">
        <v>11413</v>
      </c>
      <c r="F321" s="38" t="s">
        <v>204</v>
      </c>
      <c r="G321" s="38" t="s">
        <v>11414</v>
      </c>
      <c r="H321" s="38" t="s">
        <v>11399</v>
      </c>
    </row>
    <row r="322">
      <c r="A322" s="37">
        <f>IFERROR(__xludf.DUMMYFUNCTION("""COMPUTED_VALUE"""),45906.64399582176)</f>
        <v>45906.644</v>
      </c>
      <c r="B322" s="38" t="str">
        <f>IFERROR(__xludf.DUMMYFUNCTION("""COMPUTED_VALUE"""),"YASINTHA MBU")</f>
        <v>YASINTHA MBU</v>
      </c>
      <c r="C322" s="38" t="str">
        <f>IFERROR(__xludf.DUMMYFUNCTION("""COMPUTED_VALUE"""),"ACC")</f>
        <v>ACC</v>
      </c>
      <c r="D322" s="38" t="str">
        <f>IFERROR(__xludf.DUMMYFUNCTION("""COMPUTED_VALUE"""),"Y400 series")</f>
        <v>Y400 series</v>
      </c>
      <c r="E322" s="38" t="s">
        <v>11407</v>
      </c>
      <c r="F322" s="38" t="s">
        <v>220</v>
      </c>
      <c r="G322" s="38" t="s">
        <v>11408</v>
      </c>
      <c r="H322" s="38" t="s">
        <v>11399</v>
      </c>
    </row>
    <row r="323">
      <c r="A323" s="37">
        <f>IFERROR(__xludf.DUMMYFUNCTION("""COMPUTED_VALUE"""),45906.64907707176)</f>
        <v>45906.64908</v>
      </c>
      <c r="B323" s="38" t="str">
        <f>IFERROR(__xludf.DUMMYFUNCTION("""COMPUTED_VALUE"""),"SKOLASTIKA B TAUNAES")</f>
        <v>SKOLASTIKA B TAUNAES</v>
      </c>
      <c r="C323" s="38" t="str">
        <f>IFERROR(__xludf.DUMMYFUNCTION("""COMPUTED_VALUE"""),"Belum disetujui")</f>
        <v>Belum disetujui</v>
      </c>
      <c r="D323" s="38"/>
      <c r="E323" s="38" t="s">
        <v>11413</v>
      </c>
      <c r="F323" s="38" t="s">
        <v>204</v>
      </c>
      <c r="G323" s="38" t="s">
        <v>11414</v>
      </c>
      <c r="H323" s="38" t="s">
        <v>11399</v>
      </c>
    </row>
    <row r="324">
      <c r="A324" s="37">
        <f>IFERROR(__xludf.DUMMYFUNCTION("""COMPUTED_VALUE"""),45906.65081863426)</f>
        <v>45906.65082</v>
      </c>
      <c r="B324" s="38" t="str">
        <f>IFERROR(__xludf.DUMMYFUNCTION("""COMPUTED_VALUE"""),"SKOLASTIKA B TAUNAES")</f>
        <v>SKOLASTIKA B TAUNAES</v>
      </c>
      <c r="C324" s="38" t="str">
        <f>IFERROR(__xludf.DUMMYFUNCTION("""COMPUTED_VALUE"""),"Belum disetujui")</f>
        <v>Belum disetujui</v>
      </c>
      <c r="D324" s="38"/>
      <c r="E324" s="38" t="s">
        <v>11413</v>
      </c>
      <c r="F324" s="38" t="s">
        <v>204</v>
      </c>
      <c r="G324" s="38" t="s">
        <v>11414</v>
      </c>
      <c r="H324" s="38" t="s">
        <v>11399</v>
      </c>
    </row>
    <row r="325">
      <c r="A325" s="37">
        <f>IFERROR(__xludf.DUMMYFUNCTION("""COMPUTED_VALUE"""),45906.65906164352)</f>
        <v>45906.65906</v>
      </c>
      <c r="B325" s="38" t="str">
        <f>IFERROR(__xludf.DUMMYFUNCTION("""COMPUTED_VALUE"""),"MARATHA MARLINDA FANGGIDAE")</f>
        <v>MARATHA MARLINDA FANGGIDAE</v>
      </c>
      <c r="C325" s="38" t="str">
        <f>IFERROR(__xludf.DUMMYFUNCTION("""COMPUTED_VALUE"""),"ACC")</f>
        <v>ACC</v>
      </c>
      <c r="D325" s="38" t="str">
        <f>IFERROR(__xludf.DUMMYFUNCTION("""COMPUTED_VALUE"""),"Y400 series")</f>
        <v>Y400 series</v>
      </c>
      <c r="E325" s="38" t="s">
        <v>11435</v>
      </c>
      <c r="F325" s="38" t="s">
        <v>215</v>
      </c>
      <c r="G325" s="38" t="s">
        <v>11436</v>
      </c>
      <c r="H325" s="38" t="s">
        <v>11424</v>
      </c>
    </row>
    <row r="326">
      <c r="A326" s="37">
        <f>IFERROR(__xludf.DUMMYFUNCTION("""COMPUTED_VALUE"""),45906.70939662037)</f>
        <v>45906.7094</v>
      </c>
      <c r="B326" s="38" t="str">
        <f>IFERROR(__xludf.DUMMYFUNCTION("""COMPUTED_VALUE"""),"SULIS NURAINI INSYATUN")</f>
        <v>SULIS NURAINI INSYATUN</v>
      </c>
      <c r="C326" s="38" t="str">
        <f>IFERROR(__xludf.DUMMYFUNCTION("""COMPUTED_VALUE"""),"Belum disetujui")</f>
        <v>Belum disetujui</v>
      </c>
      <c r="D326" s="38"/>
      <c r="E326" s="38" t="s">
        <v>11429</v>
      </c>
      <c r="F326" s="38" t="s">
        <v>257</v>
      </c>
      <c r="G326" s="38" t="s">
        <v>11430</v>
      </c>
      <c r="H326" s="38" t="s">
        <v>11419</v>
      </c>
    </row>
    <row r="327">
      <c r="A327" s="37">
        <f>IFERROR(__xludf.DUMMYFUNCTION("""COMPUTED_VALUE"""),45906.715494895834)</f>
        <v>45906.71549</v>
      </c>
      <c r="B327" s="38" t="str">
        <f>IFERROR(__xludf.DUMMYFUNCTION("""COMPUTED_VALUE"""),"MARNITHA JUWIKE TIMORATI RUNESI")</f>
        <v>MARNITHA JUWIKE TIMORATI RUNESI</v>
      </c>
      <c r="C327" s="38" t="str">
        <f>IFERROR(__xludf.DUMMYFUNCTION("""COMPUTED_VALUE"""),"Belum disetujui")</f>
        <v>Belum disetujui</v>
      </c>
      <c r="D327" s="38"/>
      <c r="E327" s="38" t="s">
        <v>11420</v>
      </c>
      <c r="F327" s="38" t="s">
        <v>204</v>
      </c>
      <c r="G327" s="38" t="s">
        <v>11421</v>
      </c>
      <c r="H327" s="38" t="s">
        <v>11399</v>
      </c>
    </row>
    <row r="328">
      <c r="A328" s="37">
        <f>IFERROR(__xludf.DUMMYFUNCTION("""COMPUTED_VALUE"""),45906.72593943287)</f>
        <v>45906.72594</v>
      </c>
      <c r="B328" s="38" t="str">
        <f>IFERROR(__xludf.DUMMYFUNCTION("""COMPUTED_VALUE"""),"ASTUTI BELA WAWO")</f>
        <v>ASTUTI BELA WAWO</v>
      </c>
      <c r="C328" s="38" t="str">
        <f>IFERROR(__xludf.DUMMYFUNCTION("""COMPUTED_VALUE"""),"Belum disetujui")</f>
        <v>Belum disetujui</v>
      </c>
      <c r="D328" s="38"/>
      <c r="E328" s="38" t="s">
        <v>11427</v>
      </c>
      <c r="F328" s="38" t="s">
        <v>257</v>
      </c>
      <c r="G328" s="38" t="s">
        <v>11428</v>
      </c>
      <c r="H328" s="38" t="s">
        <v>11419</v>
      </c>
    </row>
    <row r="329">
      <c r="A329" s="37">
        <f>IFERROR(__xludf.DUMMYFUNCTION("""COMPUTED_VALUE"""),45906.73922872685)</f>
        <v>45906.73923</v>
      </c>
      <c r="B329" s="38" t="str">
        <f>IFERROR(__xludf.DUMMYFUNCTION("""COMPUTED_VALUE"""),"FERI ELI KURNIAWAN")</f>
        <v>FERI ELI KURNIAWAN</v>
      </c>
      <c r="C329" s="38" t="str">
        <f>IFERROR(__xludf.DUMMYFUNCTION("""COMPUTED_VALUE"""),"Dapat limit tapi belum diproses")</f>
        <v>Dapat limit tapi belum diproses</v>
      </c>
      <c r="D329" s="38" t="str">
        <f>IFERROR(__xludf.DUMMYFUNCTION("""COMPUTED_VALUE"""),"Y400 series")</f>
        <v>Y400 series</v>
      </c>
      <c r="E329" s="38" t="s">
        <v>11411</v>
      </c>
      <c r="F329" s="38" t="s">
        <v>220</v>
      </c>
      <c r="G329" s="38" t="s">
        <v>11412</v>
      </c>
      <c r="H329" s="38" t="s">
        <v>11399</v>
      </c>
    </row>
    <row r="330">
      <c r="A330" s="37">
        <f>IFERROR(__xludf.DUMMYFUNCTION("""COMPUTED_VALUE"""),45906.74572197917)</f>
        <v>45906.74572</v>
      </c>
      <c r="B330" s="38" t="str">
        <f>IFERROR(__xludf.DUMMYFUNCTION("""COMPUTED_VALUE"""),"YOVANDA KATRINA NAE")</f>
        <v>YOVANDA KATRINA NAE</v>
      </c>
      <c r="C330" s="38" t="str">
        <f>IFERROR(__xludf.DUMMYFUNCTION("""COMPUTED_VALUE"""),"ACC")</f>
        <v>ACC</v>
      </c>
      <c r="D330" s="38" t="str">
        <f>IFERROR(__xludf.DUMMYFUNCTION("""COMPUTED_VALUE"""),"Y400 series")</f>
        <v>Y400 series</v>
      </c>
      <c r="E330" s="38" t="s">
        <v>11425</v>
      </c>
      <c r="F330" s="38" t="s">
        <v>205</v>
      </c>
      <c r="G330" s="38" t="s">
        <v>11426</v>
      </c>
      <c r="H330" s="38" t="s">
        <v>11419</v>
      </c>
    </row>
    <row r="331">
      <c r="A331" s="37">
        <f>IFERROR(__xludf.DUMMYFUNCTION("""COMPUTED_VALUE"""),45906.77713236111)</f>
        <v>45906.77713</v>
      </c>
      <c r="B331" s="38" t="str">
        <f>IFERROR(__xludf.DUMMYFUNCTION("""COMPUTED_VALUE"""),"YOHANA NOVIANA MARIANA GAA")</f>
        <v>YOHANA NOVIANA MARIANA GAA</v>
      </c>
      <c r="C331" s="38" t="str">
        <f>IFERROR(__xludf.DUMMYFUNCTION("""COMPUTED_VALUE"""),"Belum disetujui")</f>
        <v>Belum disetujui</v>
      </c>
      <c r="D331" s="38"/>
      <c r="E331" s="38" t="s">
        <v>11400</v>
      </c>
      <c r="F331" s="38" t="s">
        <v>204</v>
      </c>
      <c r="G331" s="38" t="s">
        <v>11401</v>
      </c>
      <c r="H331" s="38" t="s">
        <v>11399</v>
      </c>
    </row>
    <row r="332">
      <c r="A332" s="37">
        <f>IFERROR(__xludf.DUMMYFUNCTION("""COMPUTED_VALUE"""),45906.79679721065)</f>
        <v>45906.7968</v>
      </c>
      <c r="B332" s="38" t="str">
        <f>IFERROR(__xludf.DUMMYFUNCTION("""COMPUTED_VALUE"""),"MERDA PUTRI BUNGSU KENAT")</f>
        <v>MERDA PUTRI BUNGSU KENAT</v>
      </c>
      <c r="C332" s="38" t="str">
        <f>IFERROR(__xludf.DUMMYFUNCTION("""COMPUTED_VALUE"""),"Belum disetujui")</f>
        <v>Belum disetujui</v>
      </c>
      <c r="D332" s="38"/>
      <c r="E332" s="38" t="s">
        <v>11422</v>
      </c>
      <c r="F332" s="38" t="s">
        <v>215</v>
      </c>
      <c r="G332" s="38" t="s">
        <v>11423</v>
      </c>
      <c r="H332" s="38" t="s">
        <v>11424</v>
      </c>
    </row>
    <row r="333">
      <c r="A333" s="37">
        <f>IFERROR(__xludf.DUMMYFUNCTION("""COMPUTED_VALUE"""),45906.811035266204)</f>
        <v>45906.81104</v>
      </c>
      <c r="B333" s="38" t="str">
        <f>IFERROR(__xludf.DUMMYFUNCTION("""COMPUTED_VALUE"""),"YOHANA NOVIANA MARIANA GAA")</f>
        <v>YOHANA NOVIANA MARIANA GAA</v>
      </c>
      <c r="C333" s="38" t="str">
        <f>IFERROR(__xludf.DUMMYFUNCTION("""COMPUTED_VALUE"""),"Belum disetujui")</f>
        <v>Belum disetujui</v>
      </c>
      <c r="D333" s="38"/>
      <c r="E333" s="38" t="s">
        <v>11400</v>
      </c>
      <c r="F333" s="38" t="s">
        <v>204</v>
      </c>
      <c r="G333" s="38" t="s">
        <v>11401</v>
      </c>
      <c r="H333" s="38" t="s">
        <v>11399</v>
      </c>
    </row>
    <row r="334">
      <c r="A334" s="37">
        <f>IFERROR(__xludf.DUMMYFUNCTION("""COMPUTED_VALUE"""),45906.83000181713)</f>
        <v>45906.83</v>
      </c>
      <c r="B334" s="38" t="str">
        <f>IFERROR(__xludf.DUMMYFUNCTION("""COMPUTED_VALUE"""),"YOVANDA KATRINA NAE")</f>
        <v>YOVANDA KATRINA NAE</v>
      </c>
      <c r="C334" s="38" t="str">
        <f>IFERROR(__xludf.DUMMYFUNCTION("""COMPUTED_VALUE"""),"Belum disetujui")</f>
        <v>Belum disetujui</v>
      </c>
      <c r="D334" s="38"/>
      <c r="E334" s="38" t="s">
        <v>11425</v>
      </c>
      <c r="F334" s="38" t="s">
        <v>205</v>
      </c>
      <c r="G334" s="38" t="s">
        <v>11426</v>
      </c>
      <c r="H334" s="38" t="s">
        <v>11419</v>
      </c>
    </row>
    <row r="335">
      <c r="A335" s="37">
        <f>IFERROR(__xludf.DUMMYFUNCTION("""COMPUTED_VALUE"""),45906.84152673611)</f>
        <v>45906.84153</v>
      </c>
      <c r="B335" s="38" t="str">
        <f>IFERROR(__xludf.DUMMYFUNCTION("""COMPUTED_VALUE"""),"HERONIMUS NAMU WALI")</f>
        <v>HERONIMUS NAMU WALI</v>
      </c>
      <c r="C335" s="38" t="str">
        <f>IFERROR(__xludf.DUMMYFUNCTION("""COMPUTED_VALUE"""),"ACC")</f>
        <v>ACC</v>
      </c>
      <c r="D335" s="38" t="str">
        <f>IFERROR(__xludf.DUMMYFUNCTION("""COMPUTED_VALUE"""),"Y400 series")</f>
        <v>Y400 series</v>
      </c>
      <c r="E335" s="38" t="s">
        <v>11452</v>
      </c>
      <c r="F335" s="38" t="s">
        <v>205</v>
      </c>
      <c r="G335" s="38" t="s">
        <v>11453</v>
      </c>
      <c r="H335" s="38" t="s">
        <v>11419</v>
      </c>
    </row>
    <row r="336">
      <c r="A336" s="37">
        <f>IFERROR(__xludf.DUMMYFUNCTION("""COMPUTED_VALUE"""),45906.8426841551)</f>
        <v>45906.84268</v>
      </c>
      <c r="B336" s="38" t="str">
        <f>IFERROR(__xludf.DUMMYFUNCTION("""COMPUTED_VALUE"""),"LINDA MELSIANA ELLO")</f>
        <v>LINDA MELSIANA ELLO</v>
      </c>
      <c r="C336" s="38" t="str">
        <f>IFERROR(__xludf.DUMMYFUNCTION("""COMPUTED_VALUE"""),"Belum disetujui")</f>
        <v>Belum disetujui</v>
      </c>
      <c r="D336" s="38"/>
      <c r="E336" s="38" t="s">
        <v>11435</v>
      </c>
      <c r="F336" s="38" t="s">
        <v>215</v>
      </c>
      <c r="G336" s="38" t="s">
        <v>11436</v>
      </c>
      <c r="H336" s="38" t="s">
        <v>11424</v>
      </c>
    </row>
    <row r="337">
      <c r="A337" s="37">
        <f>IFERROR(__xludf.DUMMYFUNCTION("""COMPUTED_VALUE"""),45906.85228071759)</f>
        <v>45906.85228</v>
      </c>
      <c r="B337" s="38" t="str">
        <f>IFERROR(__xludf.DUMMYFUNCTION("""COMPUTED_VALUE"""),"EMPI FRANGKI LIEM")</f>
        <v>EMPI FRANGKI LIEM</v>
      </c>
      <c r="C337" s="38" t="str">
        <f>IFERROR(__xludf.DUMMYFUNCTION("""COMPUTED_VALUE"""),"Dapat limit tapi belum diproses")</f>
        <v>Dapat limit tapi belum diproses</v>
      </c>
      <c r="D337" s="38" t="str">
        <f>IFERROR(__xludf.DUMMYFUNCTION("""COMPUTED_VALUE"""),"V60 series")</f>
        <v>V60 series</v>
      </c>
      <c r="E337" s="38" t="s">
        <v>11397</v>
      </c>
      <c r="F337" s="38" t="s">
        <v>220</v>
      </c>
      <c r="G337" s="38" t="s">
        <v>11398</v>
      </c>
      <c r="H337" s="38" t="s">
        <v>11399</v>
      </c>
    </row>
    <row r="338">
      <c r="A338" s="37">
        <f>IFERROR(__xludf.DUMMYFUNCTION("""COMPUTED_VALUE"""),45906.87781898148)</f>
        <v>45906.87782</v>
      </c>
      <c r="B338" s="38" t="str">
        <f>IFERROR(__xludf.DUMMYFUNCTION("""COMPUTED_VALUE"""),"SANTI MARIA LUKMINI NAHAK")</f>
        <v>SANTI MARIA LUKMINI NAHAK</v>
      </c>
      <c r="C338" s="38" t="str">
        <f>IFERROR(__xludf.DUMMYFUNCTION("""COMPUTED_VALUE"""),"Belum disetujui")</f>
        <v>Belum disetujui</v>
      </c>
      <c r="D338" s="38"/>
      <c r="E338" s="38" t="s">
        <v>11460</v>
      </c>
      <c r="F338" s="38" t="s">
        <v>871</v>
      </c>
      <c r="G338" s="38" t="s">
        <v>11461</v>
      </c>
      <c r="H338" s="38" t="s">
        <v>11424</v>
      </c>
    </row>
    <row r="339">
      <c r="A339" s="37">
        <f>IFERROR(__xludf.DUMMYFUNCTION("""COMPUTED_VALUE"""),45906.88009907407)</f>
        <v>45906.8801</v>
      </c>
      <c r="B339" s="38" t="str">
        <f>IFERROR(__xludf.DUMMYFUNCTION("""COMPUTED_VALUE"""),"YOHANA NOVIANA MARIANA GAA")</f>
        <v>YOHANA NOVIANA MARIANA GAA</v>
      </c>
      <c r="C339" s="38" t="str">
        <f>IFERROR(__xludf.DUMMYFUNCTION("""COMPUTED_VALUE"""),"Dapat limit tapi belum diproses")</f>
        <v>Dapat limit tapi belum diproses</v>
      </c>
      <c r="D339" s="38" t="str">
        <f>IFERROR(__xludf.DUMMYFUNCTION("""COMPUTED_VALUE"""),"Y400 series")</f>
        <v>Y400 series</v>
      </c>
      <c r="E339" s="38" t="s">
        <v>11400</v>
      </c>
      <c r="F339" s="38" t="s">
        <v>204</v>
      </c>
      <c r="G339" s="38" t="s">
        <v>11401</v>
      </c>
      <c r="H339" s="38" t="s">
        <v>11399</v>
      </c>
    </row>
    <row r="340">
      <c r="A340" s="37">
        <f>IFERROR(__xludf.DUMMYFUNCTION("""COMPUTED_VALUE"""),45906.95191019676)</f>
        <v>45906.95191</v>
      </c>
      <c r="B340" s="38" t="str">
        <f>IFERROR(__xludf.DUMMYFUNCTION("""COMPUTED_VALUE"""),"YOHANIS TIPNONI")</f>
        <v>YOHANIS TIPNONI</v>
      </c>
      <c r="C340" s="38" t="str">
        <f>IFERROR(__xludf.DUMMYFUNCTION("""COMPUTED_VALUE"""),"Dapat limit tapi belum diproses")</f>
        <v>Dapat limit tapi belum diproses</v>
      </c>
      <c r="D340" s="38" t="str">
        <f>IFERROR(__xludf.DUMMYFUNCTION("""COMPUTED_VALUE"""),"V60 series")</f>
        <v>V60 series</v>
      </c>
      <c r="E340" s="38" t="s">
        <v>11405</v>
      </c>
      <c r="F340" s="38" t="s">
        <v>220</v>
      </c>
      <c r="G340" s="38" t="s">
        <v>11406</v>
      </c>
      <c r="H340" s="38" t="s">
        <v>11399</v>
      </c>
    </row>
    <row r="341">
      <c r="A341" s="37">
        <f>IFERROR(__xludf.DUMMYFUNCTION("""COMPUTED_VALUE"""),45906.95856173611)</f>
        <v>45906.95856</v>
      </c>
      <c r="B341" s="38" t="str">
        <f>IFERROR(__xludf.DUMMYFUNCTION("""COMPUTED_VALUE"""),"FERI ELI KURNIAWAN")</f>
        <v>FERI ELI KURNIAWAN</v>
      </c>
      <c r="C341" s="38" t="str">
        <f>IFERROR(__xludf.DUMMYFUNCTION("""COMPUTED_VALUE"""),"Belum disetujui")</f>
        <v>Belum disetujui</v>
      </c>
      <c r="D341" s="38"/>
      <c r="E341" s="38" t="s">
        <v>11411</v>
      </c>
      <c r="F341" s="38" t="s">
        <v>220</v>
      </c>
      <c r="G341" s="38" t="s">
        <v>11412</v>
      </c>
      <c r="H341" s="38" t="s">
        <v>11399</v>
      </c>
    </row>
    <row r="342">
      <c r="A342" s="37">
        <f>IFERROR(__xludf.DUMMYFUNCTION("""COMPUTED_VALUE"""),45907.5117037963)</f>
        <v>45907.5117</v>
      </c>
      <c r="B342" s="38" t="str">
        <f>IFERROR(__xludf.DUMMYFUNCTION("""COMPUTED_VALUE"""),"FERI ELI KURNIAWAN")</f>
        <v>FERI ELI KURNIAWAN</v>
      </c>
      <c r="C342" s="38" t="str">
        <f>IFERROR(__xludf.DUMMYFUNCTION("""COMPUTED_VALUE"""),"Belum disetujui")</f>
        <v>Belum disetujui</v>
      </c>
      <c r="D342" s="38"/>
      <c r="E342" s="38" t="s">
        <v>11411</v>
      </c>
      <c r="F342" s="38" t="s">
        <v>220</v>
      </c>
      <c r="G342" s="38" t="s">
        <v>11412</v>
      </c>
      <c r="H342" s="38" t="s">
        <v>11399</v>
      </c>
    </row>
    <row r="343">
      <c r="A343" s="37">
        <f>IFERROR(__xludf.DUMMYFUNCTION("""COMPUTED_VALUE"""),45907.51279252315)</f>
        <v>45907.51279</v>
      </c>
      <c r="B343" s="38" t="str">
        <f>IFERROR(__xludf.DUMMYFUNCTION("""COMPUTED_VALUE"""),"FERI ELI KURNIAWAN")</f>
        <v>FERI ELI KURNIAWAN</v>
      </c>
      <c r="C343" s="38" t="str">
        <f>IFERROR(__xludf.DUMMYFUNCTION("""COMPUTED_VALUE"""),"Belum disetujui")</f>
        <v>Belum disetujui</v>
      </c>
      <c r="D343" s="38"/>
      <c r="E343" s="38" t="s">
        <v>11411</v>
      </c>
      <c r="F343" s="38" t="s">
        <v>220</v>
      </c>
      <c r="G343" s="38" t="s">
        <v>11412</v>
      </c>
      <c r="H343" s="38" t="s">
        <v>11399</v>
      </c>
    </row>
    <row r="344">
      <c r="A344" s="37">
        <f>IFERROR(__xludf.DUMMYFUNCTION("""COMPUTED_VALUE"""),45907.513864050925)</f>
        <v>45907.51386</v>
      </c>
      <c r="B344" s="38" t="str">
        <f>IFERROR(__xludf.DUMMYFUNCTION("""COMPUTED_VALUE"""),"FERI ELI KURNIAWAN")</f>
        <v>FERI ELI KURNIAWAN</v>
      </c>
      <c r="C344" s="38" t="str">
        <f>IFERROR(__xludf.DUMMYFUNCTION("""COMPUTED_VALUE"""),"Belum disetujui")</f>
        <v>Belum disetujui</v>
      </c>
      <c r="D344" s="38"/>
      <c r="E344" s="38" t="s">
        <v>11411</v>
      </c>
      <c r="F344" s="38" t="s">
        <v>220</v>
      </c>
      <c r="G344" s="38" t="s">
        <v>11412</v>
      </c>
      <c r="H344" s="38" t="s">
        <v>11399</v>
      </c>
    </row>
    <row r="345">
      <c r="A345" s="37">
        <f>IFERROR(__xludf.DUMMYFUNCTION("""COMPUTED_VALUE"""),45907.51480804398)</f>
        <v>45907.51481</v>
      </c>
      <c r="B345" s="38" t="str">
        <f>IFERROR(__xludf.DUMMYFUNCTION("""COMPUTED_VALUE"""),"FERI ELI KURNIAWAN")</f>
        <v>FERI ELI KURNIAWAN</v>
      </c>
      <c r="C345" s="38" t="str">
        <f>IFERROR(__xludf.DUMMYFUNCTION("""COMPUTED_VALUE"""),"Belum disetujui")</f>
        <v>Belum disetujui</v>
      </c>
      <c r="D345" s="38"/>
      <c r="E345" s="38" t="s">
        <v>11411</v>
      </c>
      <c r="F345" s="38" t="s">
        <v>220</v>
      </c>
      <c r="G345" s="38" t="s">
        <v>11412</v>
      </c>
      <c r="H345" s="38" t="s">
        <v>11399</v>
      </c>
    </row>
    <row r="346">
      <c r="A346" s="37">
        <f>IFERROR(__xludf.DUMMYFUNCTION("""COMPUTED_VALUE"""),45907.575490208335)</f>
        <v>45907.57549</v>
      </c>
      <c r="B346" s="38" t="str">
        <f>IFERROR(__xludf.DUMMYFUNCTION("""COMPUTED_VALUE"""),"ASRI NINGSI RAMBU ATA ENDI")</f>
        <v>ASRI NINGSI RAMBU ATA ENDI</v>
      </c>
      <c r="C346" s="38" t="str">
        <f>IFERROR(__xludf.DUMMYFUNCTION("""COMPUTED_VALUE"""),"ACC")</f>
        <v>ACC</v>
      </c>
      <c r="D346" s="38" t="str">
        <f>IFERROR(__xludf.DUMMYFUNCTION("""COMPUTED_VALUE"""),"Y400 series")</f>
        <v>Y400 series</v>
      </c>
      <c r="E346" s="38" t="s">
        <v>11441</v>
      </c>
      <c r="F346" s="38" t="s">
        <v>205</v>
      </c>
      <c r="G346" s="38" t="s">
        <v>11442</v>
      </c>
      <c r="H346" s="38" t="s">
        <v>11419</v>
      </c>
    </row>
    <row r="347">
      <c r="A347" s="37">
        <f>IFERROR(__xludf.DUMMYFUNCTION("""COMPUTED_VALUE"""),45907.60270152778)</f>
        <v>45907.6027</v>
      </c>
      <c r="B347" s="38" t="str">
        <f>IFERROR(__xludf.DUMMYFUNCTION("""COMPUTED_VALUE"""),"WARDIA")</f>
        <v>WARDIA</v>
      </c>
      <c r="C347" s="38" t="str">
        <f>IFERROR(__xludf.DUMMYFUNCTION("""COMPUTED_VALUE"""),"Belum disetujui")</f>
        <v>Belum disetujui</v>
      </c>
      <c r="D347" s="38"/>
      <c r="E347" s="38" t="s">
        <v>11409</v>
      </c>
      <c r="F347" s="38" t="s">
        <v>204</v>
      </c>
      <c r="G347" s="38" t="s">
        <v>11410</v>
      </c>
      <c r="H347" s="38" t="s">
        <v>11399</v>
      </c>
    </row>
    <row r="348">
      <c r="A348" s="37">
        <f>IFERROR(__xludf.DUMMYFUNCTION("""COMPUTED_VALUE"""),45907.7043781713)</f>
        <v>45907.70438</v>
      </c>
      <c r="B348" s="38" t="str">
        <f>IFERROR(__xludf.DUMMYFUNCTION("""COMPUTED_VALUE"""),"DWITNEY PRETY WANGGANDIMA")</f>
        <v>DWITNEY PRETY WANGGANDIMA</v>
      </c>
      <c r="C348" s="38" t="str">
        <f>IFERROR(__xludf.DUMMYFUNCTION("""COMPUTED_VALUE"""),"Belum disetujui")</f>
        <v>Belum disetujui</v>
      </c>
      <c r="D348" s="38"/>
      <c r="E348" s="38" t="s">
        <v>11443</v>
      </c>
      <c r="F348" s="38" t="s">
        <v>220</v>
      </c>
      <c r="G348" s="38" t="s">
        <v>11444</v>
      </c>
      <c r="H348" s="38" t="s">
        <v>11399</v>
      </c>
    </row>
    <row r="349">
      <c r="A349" s="37">
        <f>IFERROR(__xludf.DUMMYFUNCTION("""COMPUTED_VALUE"""),45907.708675497684)</f>
        <v>45907.70868</v>
      </c>
      <c r="B349" s="38" t="str">
        <f>IFERROR(__xludf.DUMMYFUNCTION("""COMPUTED_VALUE"""),"AINI RAHMATINI NATALIA MOESTAKIM")</f>
        <v>AINI RAHMATINI NATALIA MOESTAKIM</v>
      </c>
      <c r="C349" s="38" t="str">
        <f>IFERROR(__xludf.DUMMYFUNCTION("""COMPUTED_VALUE"""),"Belum disetujui")</f>
        <v>Belum disetujui</v>
      </c>
      <c r="D349" s="38"/>
      <c r="E349" s="38" t="s">
        <v>11409</v>
      </c>
      <c r="F349" s="38" t="s">
        <v>204</v>
      </c>
      <c r="G349" s="38" t="s">
        <v>11410</v>
      </c>
      <c r="H349" s="38" t="s">
        <v>11399</v>
      </c>
    </row>
    <row r="350">
      <c r="A350" s="37">
        <f>IFERROR(__xludf.DUMMYFUNCTION("""COMPUTED_VALUE"""),45907.72388887731)</f>
        <v>45907.72389</v>
      </c>
      <c r="B350" s="38" t="str">
        <f>IFERROR(__xludf.DUMMYFUNCTION("""COMPUTED_VALUE"""),"AINI RAHMATINI NATALIA MOESTAKIM")</f>
        <v>AINI RAHMATINI NATALIA MOESTAKIM</v>
      </c>
      <c r="C350" s="38" t="str">
        <f>IFERROR(__xludf.DUMMYFUNCTION("""COMPUTED_VALUE"""),"Belum disetujui")</f>
        <v>Belum disetujui</v>
      </c>
      <c r="D350" s="38"/>
      <c r="E350" s="38" t="s">
        <v>11409</v>
      </c>
      <c r="F350" s="38" t="s">
        <v>204</v>
      </c>
      <c r="G350" s="38" t="s">
        <v>11410</v>
      </c>
      <c r="H350" s="38" t="s">
        <v>11399</v>
      </c>
    </row>
    <row r="351">
      <c r="A351" s="37">
        <f>IFERROR(__xludf.DUMMYFUNCTION("""COMPUTED_VALUE"""),45907.75514101852)</f>
        <v>45907.75514</v>
      </c>
      <c r="B351" s="38" t="str">
        <f>IFERROR(__xludf.DUMMYFUNCTION("""COMPUTED_VALUE"""),"AINI RAHMATINI NATALIA MOESTAKIM")</f>
        <v>AINI RAHMATINI NATALIA MOESTAKIM</v>
      </c>
      <c r="C351" s="38" t="str">
        <f>IFERROR(__xludf.DUMMYFUNCTION("""COMPUTED_VALUE"""),"Belum disetujui")</f>
        <v>Belum disetujui</v>
      </c>
      <c r="D351" s="38"/>
      <c r="E351" s="38" t="s">
        <v>11409</v>
      </c>
      <c r="F351" s="38" t="s">
        <v>204</v>
      </c>
      <c r="G351" s="38" t="s">
        <v>11410</v>
      </c>
      <c r="H351" s="38" t="s">
        <v>11399</v>
      </c>
    </row>
    <row r="352">
      <c r="A352" s="37">
        <f>IFERROR(__xludf.DUMMYFUNCTION("""COMPUTED_VALUE"""),45907.80215027778)</f>
        <v>45907.80215</v>
      </c>
      <c r="B352" s="38" t="str">
        <f>IFERROR(__xludf.DUMMYFUNCTION("""COMPUTED_VALUE"""),"HERONIMUS NAMU WALI")</f>
        <v>HERONIMUS NAMU WALI</v>
      </c>
      <c r="C352" s="38" t="str">
        <f>IFERROR(__xludf.DUMMYFUNCTION("""COMPUTED_VALUE"""),"Belum disetujui")</f>
        <v>Belum disetujui</v>
      </c>
      <c r="D352" s="38"/>
      <c r="E352" s="38" t="s">
        <v>11452</v>
      </c>
      <c r="F352" s="38" t="s">
        <v>205</v>
      </c>
      <c r="G352" s="38" t="s">
        <v>11453</v>
      </c>
      <c r="H352" s="38" t="s">
        <v>11419</v>
      </c>
    </row>
    <row r="353">
      <c r="A353" s="37">
        <f>IFERROR(__xludf.DUMMYFUNCTION("""COMPUTED_VALUE"""),45907.80777813658)</f>
        <v>45907.80778</v>
      </c>
      <c r="B353" s="38" t="str">
        <f>IFERROR(__xludf.DUMMYFUNCTION("""COMPUTED_VALUE"""),"IDMAL YUSDIRAN YUSUF")</f>
        <v>IDMAL YUSDIRAN YUSUF</v>
      </c>
      <c r="C353" s="38" t="str">
        <f>IFERROR(__xludf.DUMMYFUNCTION("""COMPUTED_VALUE"""),"Belum disetujui")</f>
        <v>Belum disetujui</v>
      </c>
      <c r="D353" s="38"/>
      <c r="E353" s="38" t="s">
        <v>11417</v>
      </c>
      <c r="F353" s="38" t="s">
        <v>257</v>
      </c>
      <c r="G353" s="38" t="s">
        <v>11418</v>
      </c>
      <c r="H353" s="38" t="s">
        <v>11419</v>
      </c>
    </row>
    <row r="354">
      <c r="A354" s="37">
        <f>IFERROR(__xludf.DUMMYFUNCTION("""COMPUTED_VALUE"""),45907.80820083333)</f>
        <v>45907.8082</v>
      </c>
      <c r="B354" s="38" t="str">
        <f>IFERROR(__xludf.DUMMYFUNCTION("""COMPUTED_VALUE"""),"WARDIA")</f>
        <v>WARDIA</v>
      </c>
      <c r="C354" s="38" t="str">
        <f>IFERROR(__xludf.DUMMYFUNCTION("""COMPUTED_VALUE"""),"Belum disetujui")</f>
        <v>Belum disetujui</v>
      </c>
      <c r="D354" s="38"/>
      <c r="E354" s="38" t="s">
        <v>11409</v>
      </c>
      <c r="F354" s="38" t="s">
        <v>204</v>
      </c>
      <c r="G354" s="38" t="s">
        <v>11410</v>
      </c>
      <c r="H354" s="38" t="s">
        <v>11399</v>
      </c>
    </row>
    <row r="355">
      <c r="A355" s="37">
        <f>IFERROR(__xludf.DUMMYFUNCTION("""COMPUTED_VALUE"""),45907.83011386575)</f>
        <v>45907.83011</v>
      </c>
      <c r="B355" s="38" t="str">
        <f>IFERROR(__xludf.DUMMYFUNCTION("""COMPUTED_VALUE"""),"WARDIA")</f>
        <v>WARDIA</v>
      </c>
      <c r="C355" s="38" t="str">
        <f>IFERROR(__xludf.DUMMYFUNCTION("""COMPUTED_VALUE"""),"Belum disetujui")</f>
        <v>Belum disetujui</v>
      </c>
      <c r="D355" s="38"/>
      <c r="E355" s="38" t="s">
        <v>11409</v>
      </c>
      <c r="F355" s="38" t="s">
        <v>204</v>
      </c>
      <c r="G355" s="38" t="s">
        <v>11410</v>
      </c>
      <c r="H355" s="38" t="s">
        <v>11399</v>
      </c>
    </row>
    <row r="356">
      <c r="A356" s="37">
        <f>IFERROR(__xludf.DUMMYFUNCTION("""COMPUTED_VALUE"""),45907.83704107639)</f>
        <v>45907.83704</v>
      </c>
      <c r="B356" s="38" t="str">
        <f>IFERROR(__xludf.DUMMYFUNCTION("""COMPUTED_VALUE"""),"SKOLASTIKA B TAUNAES")</f>
        <v>SKOLASTIKA B TAUNAES</v>
      </c>
      <c r="C356" s="38" t="str">
        <f>IFERROR(__xludf.DUMMYFUNCTION("""COMPUTED_VALUE"""),"Belum disetujui")</f>
        <v>Belum disetujui</v>
      </c>
      <c r="D356" s="38"/>
      <c r="E356" s="38" t="s">
        <v>11413</v>
      </c>
      <c r="F356" s="38" t="s">
        <v>204</v>
      </c>
      <c r="G356" s="38" t="s">
        <v>11414</v>
      </c>
      <c r="H356" s="38" t="s">
        <v>11399</v>
      </c>
    </row>
    <row r="357">
      <c r="A357" s="37">
        <f>IFERROR(__xludf.DUMMYFUNCTION("""COMPUTED_VALUE"""),45907.83876766204)</f>
        <v>45907.83877</v>
      </c>
      <c r="B357" s="38" t="str">
        <f>IFERROR(__xludf.DUMMYFUNCTION("""COMPUTED_VALUE"""),"SKOLASTIKA B TAUNAES")</f>
        <v>SKOLASTIKA B TAUNAES</v>
      </c>
      <c r="C357" s="38" t="str">
        <f>IFERROR(__xludf.DUMMYFUNCTION("""COMPUTED_VALUE"""),"Belum disetujui")</f>
        <v>Belum disetujui</v>
      </c>
      <c r="D357" s="38"/>
      <c r="E357" s="38" t="s">
        <v>11413</v>
      </c>
      <c r="F357" s="38" t="s">
        <v>204</v>
      </c>
      <c r="G357" s="38" t="s">
        <v>11414</v>
      </c>
      <c r="H357" s="38" t="s">
        <v>11399</v>
      </c>
    </row>
    <row r="358">
      <c r="A358" s="37">
        <f>IFERROR(__xludf.DUMMYFUNCTION("""COMPUTED_VALUE"""),45907.8401185301)</f>
        <v>45907.84012</v>
      </c>
      <c r="B358" s="38" t="str">
        <f>IFERROR(__xludf.DUMMYFUNCTION("""COMPUTED_VALUE"""),"SKOLASTIKA B TAUNAES")</f>
        <v>SKOLASTIKA B TAUNAES</v>
      </c>
      <c r="C358" s="38" t="str">
        <f>IFERROR(__xludf.DUMMYFUNCTION("""COMPUTED_VALUE"""),"Belum disetujui")</f>
        <v>Belum disetujui</v>
      </c>
      <c r="D358" s="38"/>
      <c r="E358" s="38" t="s">
        <v>11413</v>
      </c>
      <c r="F358" s="38" t="s">
        <v>204</v>
      </c>
      <c r="G358" s="38" t="s">
        <v>11414</v>
      </c>
      <c r="H358" s="38" t="s">
        <v>11399</v>
      </c>
    </row>
    <row r="359">
      <c r="A359" s="37">
        <f>IFERROR(__xludf.DUMMYFUNCTION("""COMPUTED_VALUE"""),45907.86486149306)</f>
        <v>45907.86486</v>
      </c>
      <c r="B359" s="38" t="str">
        <f>IFERROR(__xludf.DUMMYFUNCTION("""COMPUTED_VALUE"""),"SKOLASTIKA B TAUNAES")</f>
        <v>SKOLASTIKA B TAUNAES</v>
      </c>
      <c r="C359" s="38" t="str">
        <f>IFERROR(__xludf.DUMMYFUNCTION("""COMPUTED_VALUE"""),"Belum disetujui")</f>
        <v>Belum disetujui</v>
      </c>
      <c r="D359" s="38"/>
      <c r="E359" s="38" t="s">
        <v>11413</v>
      </c>
      <c r="F359" s="38" t="s">
        <v>204</v>
      </c>
      <c r="G359" s="38" t="s">
        <v>11414</v>
      </c>
      <c r="H359" s="38" t="s">
        <v>11399</v>
      </c>
    </row>
    <row r="360">
      <c r="A360" s="37">
        <f>IFERROR(__xludf.DUMMYFUNCTION("""COMPUTED_VALUE"""),45907.865917627314)</f>
        <v>45907.86592</v>
      </c>
      <c r="B360" s="38" t="str">
        <f>IFERROR(__xludf.DUMMYFUNCTION("""COMPUTED_VALUE"""),"SKOLASTIKA B TAUNAES")</f>
        <v>SKOLASTIKA B TAUNAES</v>
      </c>
      <c r="C360" s="38" t="str">
        <f>IFERROR(__xludf.DUMMYFUNCTION("""COMPUTED_VALUE"""),"Belum disetujui")</f>
        <v>Belum disetujui</v>
      </c>
      <c r="D360" s="38"/>
      <c r="E360" s="38" t="s">
        <v>11413</v>
      </c>
      <c r="F360" s="38" t="s">
        <v>204</v>
      </c>
      <c r="G360" s="38" t="s">
        <v>11414</v>
      </c>
      <c r="H360" s="38" t="s">
        <v>11399</v>
      </c>
    </row>
    <row r="361">
      <c r="A361" s="37">
        <f>IFERROR(__xludf.DUMMYFUNCTION("""COMPUTED_VALUE"""),45907.87273258102)</f>
        <v>45907.87273</v>
      </c>
      <c r="B361" s="38" t="str">
        <f>IFERROR(__xludf.DUMMYFUNCTION("""COMPUTED_VALUE"""),"WARDIA")</f>
        <v>WARDIA</v>
      </c>
      <c r="C361" s="38" t="str">
        <f>IFERROR(__xludf.DUMMYFUNCTION("""COMPUTED_VALUE"""),"Dapat limit tapi belum diproses")</f>
        <v>Dapat limit tapi belum diproses</v>
      </c>
      <c r="D361" s="38" t="str">
        <f>IFERROR(__xludf.DUMMYFUNCTION("""COMPUTED_VALUE"""),"V60 series")</f>
        <v>V60 series</v>
      </c>
      <c r="E361" s="38" t="s">
        <v>11409</v>
      </c>
      <c r="F361" s="38" t="s">
        <v>204</v>
      </c>
      <c r="G361" s="38" t="s">
        <v>11410</v>
      </c>
      <c r="H361" s="38" t="s">
        <v>11399</v>
      </c>
    </row>
    <row r="362">
      <c r="A362" s="37">
        <f>IFERROR(__xludf.DUMMYFUNCTION("""COMPUTED_VALUE"""),45907.877176828704)</f>
        <v>45907.87718</v>
      </c>
      <c r="B362" s="38" t="str">
        <f>IFERROR(__xludf.DUMMYFUNCTION("""COMPUTED_VALUE"""),"SELVINCE BAKO")</f>
        <v>SELVINCE BAKO</v>
      </c>
      <c r="C362" s="38" t="str">
        <f>IFERROR(__xludf.DUMMYFUNCTION("""COMPUTED_VALUE"""),"Belum disetujui")</f>
        <v>Belum disetujui</v>
      </c>
      <c r="D362" s="38"/>
      <c r="E362" s="38" t="s">
        <v>11413</v>
      </c>
      <c r="F362" s="38" t="s">
        <v>204</v>
      </c>
      <c r="G362" s="38" t="s">
        <v>11414</v>
      </c>
      <c r="H362" s="38" t="s">
        <v>11399</v>
      </c>
    </row>
    <row r="363">
      <c r="A363" s="37">
        <f>IFERROR(__xludf.DUMMYFUNCTION("""COMPUTED_VALUE"""),45907.90380581019)</f>
        <v>45907.90381</v>
      </c>
      <c r="B363" s="38" t="str">
        <f>IFERROR(__xludf.DUMMYFUNCTION("""COMPUTED_VALUE"""),"SELVINCE BAKO")</f>
        <v>SELVINCE BAKO</v>
      </c>
      <c r="C363" s="38" t="str">
        <f>IFERROR(__xludf.DUMMYFUNCTION("""COMPUTED_VALUE"""),"Belum disetujui")</f>
        <v>Belum disetujui</v>
      </c>
      <c r="D363" s="38"/>
      <c r="E363" s="38" t="s">
        <v>11413</v>
      </c>
      <c r="F363" s="38" t="s">
        <v>204</v>
      </c>
      <c r="G363" s="38" t="s">
        <v>11414</v>
      </c>
      <c r="H363" s="38" t="s">
        <v>11399</v>
      </c>
    </row>
    <row r="364">
      <c r="A364" s="37">
        <f>IFERROR(__xludf.DUMMYFUNCTION("""COMPUTED_VALUE"""),45908.40393907407)</f>
        <v>45908.40394</v>
      </c>
      <c r="B364" s="38" t="str">
        <f>IFERROR(__xludf.DUMMYFUNCTION("""COMPUTED_VALUE"""),"WARDIA")</f>
        <v>WARDIA</v>
      </c>
      <c r="C364" s="38" t="str">
        <f>IFERROR(__xludf.DUMMYFUNCTION("""COMPUTED_VALUE"""),"Belum disetujui")</f>
        <v>Belum disetujui</v>
      </c>
      <c r="D364" s="38"/>
      <c r="E364" s="38" t="s">
        <v>11409</v>
      </c>
      <c r="F364" s="38" t="s">
        <v>204</v>
      </c>
      <c r="G364" s="38" t="s">
        <v>11410</v>
      </c>
      <c r="H364" s="38" t="s">
        <v>11399</v>
      </c>
    </row>
    <row r="365">
      <c r="A365" s="37">
        <f>IFERROR(__xludf.DUMMYFUNCTION("""COMPUTED_VALUE"""),45908.43431038194)</f>
        <v>45908.43431</v>
      </c>
      <c r="B365" s="38" t="str">
        <f>IFERROR(__xludf.DUMMYFUNCTION("""COMPUTED_VALUE"""),"EMPI FRANGKI LIEM")</f>
        <v>EMPI FRANGKI LIEM</v>
      </c>
      <c r="C365" s="38" t="str">
        <f>IFERROR(__xludf.DUMMYFUNCTION("""COMPUTED_VALUE"""),"Dapat limit tapi belum diproses")</f>
        <v>Dapat limit tapi belum diproses</v>
      </c>
      <c r="D365" s="38" t="str">
        <f>IFERROR(__xludf.DUMMYFUNCTION("""COMPUTED_VALUE"""),"V60 series")</f>
        <v>V60 series</v>
      </c>
      <c r="E365" s="38" t="s">
        <v>11397</v>
      </c>
      <c r="F365" s="38" t="s">
        <v>220</v>
      </c>
      <c r="G365" s="38" t="s">
        <v>11398</v>
      </c>
      <c r="H365" s="38" t="s">
        <v>11399</v>
      </c>
    </row>
    <row r="366">
      <c r="A366" s="37">
        <f>IFERROR(__xludf.DUMMYFUNCTION("""COMPUTED_VALUE"""),45908.43543060186)</f>
        <v>45908.43543</v>
      </c>
      <c r="B366" s="38" t="str">
        <f>IFERROR(__xludf.DUMMYFUNCTION("""COMPUTED_VALUE"""),"SANTI MARIA LUKMINI NAHAK")</f>
        <v>SANTI MARIA LUKMINI NAHAK</v>
      </c>
      <c r="C366" s="38" t="str">
        <f>IFERROR(__xludf.DUMMYFUNCTION("""COMPUTED_VALUE"""),"Dapat limit tapi belum diproses")</f>
        <v>Dapat limit tapi belum diproses</v>
      </c>
      <c r="D366" s="38" t="str">
        <f>IFERROR(__xludf.DUMMYFUNCTION("""COMPUTED_VALUE"""),"Y400 series")</f>
        <v>Y400 series</v>
      </c>
      <c r="E366" s="38" t="s">
        <v>11460</v>
      </c>
      <c r="F366" s="38" t="s">
        <v>871</v>
      </c>
      <c r="G366" s="38" t="s">
        <v>11461</v>
      </c>
      <c r="H366" s="38" t="s">
        <v>11424</v>
      </c>
    </row>
    <row r="367">
      <c r="A367" s="37">
        <f>IFERROR(__xludf.DUMMYFUNCTION("""COMPUTED_VALUE"""),45908.44671057871)</f>
        <v>45908.44671</v>
      </c>
      <c r="B367" s="38" t="str">
        <f>IFERROR(__xludf.DUMMYFUNCTION("""COMPUTED_VALUE"""),"IRENE NOVALIA KADJU")</f>
        <v>IRENE NOVALIA KADJU</v>
      </c>
      <c r="C367" s="38" t="str">
        <f>IFERROR(__xludf.DUMMYFUNCTION("""COMPUTED_VALUE"""),"ACC")</f>
        <v>ACC</v>
      </c>
      <c r="D367" s="38" t="str">
        <f>IFERROR(__xludf.DUMMYFUNCTION("""COMPUTED_VALUE"""),"V50 Lite series")</f>
        <v>V50 Lite series</v>
      </c>
      <c r="E367" s="38" t="s">
        <v>11445</v>
      </c>
      <c r="F367" s="38" t="s">
        <v>204</v>
      </c>
      <c r="G367" s="38" t="s">
        <v>11446</v>
      </c>
      <c r="H367" s="38" t="s">
        <v>11399</v>
      </c>
    </row>
    <row r="368">
      <c r="A368" s="37">
        <f>IFERROR(__xludf.DUMMYFUNCTION("""COMPUTED_VALUE"""),45908.44913240741)</f>
        <v>45908.44913</v>
      </c>
      <c r="B368" s="38" t="str">
        <f>IFERROR(__xludf.DUMMYFUNCTION("""COMPUTED_VALUE"""),"IRENE NOVALIA KADJU")</f>
        <v>IRENE NOVALIA KADJU</v>
      </c>
      <c r="C368" s="38" t="str">
        <f>IFERROR(__xludf.DUMMYFUNCTION("""COMPUTED_VALUE"""),"ACC")</f>
        <v>ACC</v>
      </c>
      <c r="D368" s="38" t="str">
        <f>IFERROR(__xludf.DUMMYFUNCTION("""COMPUTED_VALUE"""),"V50 Lite series")</f>
        <v>V50 Lite series</v>
      </c>
      <c r="E368" s="38" t="s">
        <v>11445</v>
      </c>
      <c r="F368" s="38" t="s">
        <v>204</v>
      </c>
      <c r="G368" s="38" t="s">
        <v>11446</v>
      </c>
      <c r="H368" s="38" t="s">
        <v>11399</v>
      </c>
    </row>
    <row r="369">
      <c r="A369" s="37">
        <f>IFERROR(__xludf.DUMMYFUNCTION("""COMPUTED_VALUE"""),45908.45308907408)</f>
        <v>45908.45309</v>
      </c>
      <c r="B369" s="38" t="str">
        <f>IFERROR(__xludf.DUMMYFUNCTION("""COMPUTED_VALUE"""),"SKOLASTIKA B TAUNAES")</f>
        <v>SKOLASTIKA B TAUNAES</v>
      </c>
      <c r="C369" s="38" t="str">
        <f>IFERROR(__xludf.DUMMYFUNCTION("""COMPUTED_VALUE"""),"Belum disetujui")</f>
        <v>Belum disetujui</v>
      </c>
      <c r="D369" s="38"/>
      <c r="E369" s="38" t="s">
        <v>11413</v>
      </c>
      <c r="F369" s="38" t="s">
        <v>204</v>
      </c>
      <c r="G369" s="38" t="s">
        <v>11414</v>
      </c>
      <c r="H369" s="38" t="s">
        <v>11399</v>
      </c>
    </row>
    <row r="370">
      <c r="A370" s="37">
        <f>IFERROR(__xludf.DUMMYFUNCTION("""COMPUTED_VALUE"""),45908.460602060186)</f>
        <v>45908.4606</v>
      </c>
      <c r="B370" s="38" t="str">
        <f>IFERROR(__xludf.DUMMYFUNCTION("""COMPUTED_VALUE"""),"MARNITHA JUWIKE TIMORATI RUNESI")</f>
        <v>MARNITHA JUWIKE TIMORATI RUNESI</v>
      </c>
      <c r="C370" s="38" t="str">
        <f>IFERROR(__xludf.DUMMYFUNCTION("""COMPUTED_VALUE"""),"Belum disetujui")</f>
        <v>Belum disetujui</v>
      </c>
      <c r="D370" s="38"/>
      <c r="E370" s="38" t="s">
        <v>11420</v>
      </c>
      <c r="F370" s="38" t="s">
        <v>204</v>
      </c>
      <c r="G370" s="38" t="s">
        <v>11421</v>
      </c>
      <c r="H370" s="38" t="s">
        <v>11399</v>
      </c>
    </row>
    <row r="371">
      <c r="A371" s="37">
        <f>IFERROR(__xludf.DUMMYFUNCTION("""COMPUTED_VALUE"""),45908.47634039352)</f>
        <v>45908.47634</v>
      </c>
      <c r="B371" s="38" t="str">
        <f>IFERROR(__xludf.DUMMYFUNCTION("""COMPUTED_VALUE"""),"YOMELIANA MARIA MAGNO")</f>
        <v>YOMELIANA MARIA MAGNO</v>
      </c>
      <c r="C371" s="38" t="str">
        <f>IFERROR(__xludf.DUMMYFUNCTION("""COMPUTED_VALUE"""),"Belum disetujui")</f>
        <v>Belum disetujui</v>
      </c>
      <c r="D371" s="38"/>
      <c r="E371" s="38" t="s">
        <v>11460</v>
      </c>
      <c r="F371" s="38" t="s">
        <v>871</v>
      </c>
      <c r="G371" s="38" t="s">
        <v>11461</v>
      </c>
      <c r="H371" s="38" t="s">
        <v>11424</v>
      </c>
    </row>
    <row r="372">
      <c r="A372" s="37">
        <f>IFERROR(__xludf.DUMMYFUNCTION("""COMPUTED_VALUE"""),45908.48251623843)</f>
        <v>45908.48252</v>
      </c>
      <c r="B372" s="38" t="str">
        <f>IFERROR(__xludf.DUMMYFUNCTION("""COMPUTED_VALUE"""),"YOHANIS TIPNONI")</f>
        <v>YOHANIS TIPNONI</v>
      </c>
      <c r="C372" s="38" t="str">
        <f>IFERROR(__xludf.DUMMYFUNCTION("""COMPUTED_VALUE"""),"Belum disetujui")</f>
        <v>Belum disetujui</v>
      </c>
      <c r="D372" s="38"/>
      <c r="E372" s="38" t="s">
        <v>11405</v>
      </c>
      <c r="F372" s="38" t="s">
        <v>220</v>
      </c>
      <c r="G372" s="38" t="s">
        <v>11406</v>
      </c>
      <c r="H372" s="38" t="s">
        <v>11399</v>
      </c>
    </row>
    <row r="373">
      <c r="A373" s="37">
        <f>IFERROR(__xludf.DUMMYFUNCTION("""COMPUTED_VALUE"""),45908.514493634255)</f>
        <v>45908.51449</v>
      </c>
      <c r="B373" s="38" t="str">
        <f>IFERROR(__xludf.DUMMYFUNCTION("""COMPUTED_VALUE"""),"PATRIANI MENGI ULY")</f>
        <v>PATRIANI MENGI ULY</v>
      </c>
      <c r="C373" s="38" t="str">
        <f>IFERROR(__xludf.DUMMYFUNCTION("""COMPUTED_VALUE"""),"Belum disetujui")</f>
        <v>Belum disetujui</v>
      </c>
      <c r="D373" s="38"/>
      <c r="E373" s="38" t="s">
        <v>11402</v>
      </c>
      <c r="F373" s="38" t="s">
        <v>204</v>
      </c>
      <c r="G373" s="38" t="s">
        <v>11403</v>
      </c>
      <c r="H373" s="38" t="s">
        <v>11399</v>
      </c>
    </row>
    <row r="374">
      <c r="A374" s="37">
        <f>IFERROR(__xludf.DUMMYFUNCTION("""COMPUTED_VALUE"""),45908.517219629626)</f>
        <v>45908.51722</v>
      </c>
      <c r="B374" s="38" t="str">
        <f>IFERROR(__xludf.DUMMYFUNCTION("""COMPUTED_VALUE"""),"YOMELIANA MARIA MAGNO")</f>
        <v>YOMELIANA MARIA MAGNO</v>
      </c>
      <c r="C374" s="38" t="str">
        <f>IFERROR(__xludf.DUMMYFUNCTION("""COMPUTED_VALUE"""),"Belum disetujui")</f>
        <v>Belum disetujui</v>
      </c>
      <c r="D374" s="38"/>
      <c r="E374" s="38" t="s">
        <v>11460</v>
      </c>
      <c r="F374" s="38" t="s">
        <v>871</v>
      </c>
      <c r="G374" s="38" t="s">
        <v>11461</v>
      </c>
      <c r="H374" s="38" t="s">
        <v>11424</v>
      </c>
    </row>
    <row r="375">
      <c r="A375" s="37">
        <f>IFERROR(__xludf.DUMMYFUNCTION("""COMPUTED_VALUE"""),45908.52658719908)</f>
        <v>45908.52659</v>
      </c>
      <c r="B375" s="38" t="str">
        <f>IFERROR(__xludf.DUMMYFUNCTION("""COMPUTED_VALUE"""),"MEXY ALEXANDER HETMINA")</f>
        <v>MEXY ALEXANDER HETMINA</v>
      </c>
      <c r="C375" s="38" t="str">
        <f>IFERROR(__xludf.DUMMYFUNCTION("""COMPUTED_VALUE"""),"Belum disetujui")</f>
        <v>Belum disetujui</v>
      </c>
      <c r="D375" s="38"/>
      <c r="E375" s="38" t="s">
        <v>11413</v>
      </c>
      <c r="F375" s="38" t="s">
        <v>204</v>
      </c>
      <c r="G375" s="38" t="s">
        <v>11414</v>
      </c>
      <c r="H375" s="38" t="s">
        <v>11399</v>
      </c>
    </row>
    <row r="376">
      <c r="A376" s="37">
        <f>IFERROR(__xludf.DUMMYFUNCTION("""COMPUTED_VALUE"""),45908.5278303588)</f>
        <v>45908.52783</v>
      </c>
      <c r="B376" s="38" t="str">
        <f>IFERROR(__xludf.DUMMYFUNCTION("""COMPUTED_VALUE"""),"MARNITHA JUWIKE TIMORATI RUNESI")</f>
        <v>MARNITHA JUWIKE TIMORATI RUNESI</v>
      </c>
      <c r="C376" s="38" t="str">
        <f>IFERROR(__xludf.DUMMYFUNCTION("""COMPUTED_VALUE"""),"Belum disetujui")</f>
        <v>Belum disetujui</v>
      </c>
      <c r="D376" s="38"/>
      <c r="E376" s="38" t="s">
        <v>11420</v>
      </c>
      <c r="F376" s="38" t="s">
        <v>204</v>
      </c>
      <c r="G376" s="38" t="s">
        <v>11421</v>
      </c>
      <c r="H376" s="38" t="s">
        <v>11399</v>
      </c>
    </row>
    <row r="377">
      <c r="A377" s="37">
        <f>IFERROR(__xludf.DUMMYFUNCTION("""COMPUTED_VALUE"""),45908.547215844905)</f>
        <v>45908.54722</v>
      </c>
      <c r="B377" s="38" t="str">
        <f>IFERROR(__xludf.DUMMYFUNCTION("""COMPUTED_VALUE"""),"MEXY ALEXANDER HETMINA")</f>
        <v>MEXY ALEXANDER HETMINA</v>
      </c>
      <c r="C377" s="38" t="str">
        <f>IFERROR(__xludf.DUMMYFUNCTION("""COMPUTED_VALUE"""),"Belum disetujui")</f>
        <v>Belum disetujui</v>
      </c>
      <c r="D377" s="38"/>
      <c r="E377" s="38" t="s">
        <v>11413</v>
      </c>
      <c r="F377" s="38" t="s">
        <v>204</v>
      </c>
      <c r="G377" s="38" t="s">
        <v>11414</v>
      </c>
      <c r="H377" s="38" t="s">
        <v>11399</v>
      </c>
    </row>
    <row r="378">
      <c r="A378" s="37">
        <f>IFERROR(__xludf.DUMMYFUNCTION("""COMPUTED_VALUE"""),45908.54909152778)</f>
        <v>45908.54909</v>
      </c>
      <c r="B378" s="38" t="str">
        <f>IFERROR(__xludf.DUMMYFUNCTION("""COMPUTED_VALUE"""),"ASTUTI BELA WAWO")</f>
        <v>ASTUTI BELA WAWO</v>
      </c>
      <c r="C378" s="38" t="str">
        <f>IFERROR(__xludf.DUMMYFUNCTION("""COMPUTED_VALUE"""),"ACC")</f>
        <v>ACC</v>
      </c>
      <c r="D378" s="38" t="str">
        <f>IFERROR(__xludf.DUMMYFUNCTION("""COMPUTED_VALUE"""),"Y400 series")</f>
        <v>Y400 series</v>
      </c>
      <c r="E378" s="38" t="s">
        <v>11427</v>
      </c>
      <c r="F378" s="38" t="s">
        <v>257</v>
      </c>
      <c r="G378" s="38" t="s">
        <v>11428</v>
      </c>
      <c r="H378" s="38" t="s">
        <v>11419</v>
      </c>
    </row>
    <row r="379">
      <c r="A379" s="37">
        <f>IFERROR(__xludf.DUMMYFUNCTION("""COMPUTED_VALUE"""),45908.56217633102)</f>
        <v>45908.56218</v>
      </c>
      <c r="B379" s="38" t="str">
        <f>IFERROR(__xludf.DUMMYFUNCTION("""COMPUTED_VALUE"""),"ANYARMITHA SOPHIA SUEK")</f>
        <v>ANYARMITHA SOPHIA SUEK</v>
      </c>
      <c r="C379" s="38" t="str">
        <f>IFERROR(__xludf.DUMMYFUNCTION("""COMPUTED_VALUE"""),"Belum disetujui")</f>
        <v>Belum disetujui</v>
      </c>
      <c r="D379" s="38"/>
      <c r="E379" s="38" t="s">
        <v>11443</v>
      </c>
      <c r="F379" s="38" t="s">
        <v>220</v>
      </c>
      <c r="G379" s="38" t="s">
        <v>11444</v>
      </c>
      <c r="H379" s="38" t="s">
        <v>11399</v>
      </c>
    </row>
    <row r="380">
      <c r="A380" s="37">
        <f>IFERROR(__xludf.DUMMYFUNCTION("""COMPUTED_VALUE"""),45908.56558652778)</f>
        <v>45908.56559</v>
      </c>
      <c r="B380" s="38" t="str">
        <f>IFERROR(__xludf.DUMMYFUNCTION("""COMPUTED_VALUE"""),"HERONIMUS NAMU WALI")</f>
        <v>HERONIMUS NAMU WALI</v>
      </c>
      <c r="C380" s="38" t="str">
        <f>IFERROR(__xludf.DUMMYFUNCTION("""COMPUTED_VALUE"""),"Belum disetujui")</f>
        <v>Belum disetujui</v>
      </c>
      <c r="D380" s="38"/>
      <c r="E380" s="38" t="s">
        <v>11452</v>
      </c>
      <c r="F380" s="38" t="s">
        <v>205</v>
      </c>
      <c r="G380" s="38" t="s">
        <v>11453</v>
      </c>
      <c r="H380" s="38" t="s">
        <v>11419</v>
      </c>
    </row>
    <row r="381">
      <c r="A381" s="37">
        <f>IFERROR(__xludf.DUMMYFUNCTION("""COMPUTED_VALUE"""),45908.568286712965)</f>
        <v>45908.56829</v>
      </c>
      <c r="B381" s="38" t="str">
        <f>IFERROR(__xludf.DUMMYFUNCTION("""COMPUTED_VALUE"""),"NUR FATIMAH MOLBANG")</f>
        <v>NUR FATIMAH MOLBANG</v>
      </c>
      <c r="C381" s="38" t="str">
        <f>IFERROR(__xludf.DUMMYFUNCTION("""COMPUTED_VALUE"""),"ACC")</f>
        <v>ACC</v>
      </c>
      <c r="D381" s="38" t="str">
        <f>IFERROR(__xludf.DUMMYFUNCTION("""COMPUTED_VALUE"""),"V50 Lite series")</f>
        <v>V50 Lite series</v>
      </c>
      <c r="E381" s="38" t="s">
        <v>11439</v>
      </c>
      <c r="F381" s="38" t="s">
        <v>313</v>
      </c>
      <c r="G381" s="38" t="s">
        <v>11440</v>
      </c>
      <c r="H381" s="38" t="s">
        <v>11424</v>
      </c>
    </row>
    <row r="382">
      <c r="A382" s="37">
        <f>IFERROR(__xludf.DUMMYFUNCTION("""COMPUTED_VALUE"""),45908.57903269676)</f>
        <v>45908.57903</v>
      </c>
      <c r="B382" s="38" t="str">
        <f>IFERROR(__xludf.DUMMYFUNCTION("""COMPUTED_VALUE"""),"YOMELIANA MARIA MAGNO")</f>
        <v>YOMELIANA MARIA MAGNO</v>
      </c>
      <c r="C382" s="38" t="str">
        <f>IFERROR(__xludf.DUMMYFUNCTION("""COMPUTED_VALUE"""),"Belum disetujui")</f>
        <v>Belum disetujui</v>
      </c>
      <c r="D382" s="38"/>
      <c r="E382" s="38" t="s">
        <v>11460</v>
      </c>
      <c r="F382" s="38" t="s">
        <v>871</v>
      </c>
      <c r="G382" s="38" t="s">
        <v>11461</v>
      </c>
      <c r="H382" s="38" t="s">
        <v>11424</v>
      </c>
    </row>
    <row r="383">
      <c r="A383" s="37">
        <f>IFERROR(__xludf.DUMMYFUNCTION("""COMPUTED_VALUE"""),45908.58106076389)</f>
        <v>45908.58106</v>
      </c>
      <c r="B383" s="38" t="str">
        <f>IFERROR(__xludf.DUMMYFUNCTION("""COMPUTED_VALUE"""),"DWITNEY PRETY WANGGANDIMA")</f>
        <v>DWITNEY PRETY WANGGANDIMA</v>
      </c>
      <c r="C383" s="38" t="str">
        <f>IFERROR(__xludf.DUMMYFUNCTION("""COMPUTED_VALUE"""),"Belum disetujui")</f>
        <v>Belum disetujui</v>
      </c>
      <c r="D383" s="38"/>
      <c r="E383" s="38" t="s">
        <v>11443</v>
      </c>
      <c r="F383" s="38" t="s">
        <v>220</v>
      </c>
      <c r="G383" s="38" t="s">
        <v>11444</v>
      </c>
      <c r="H383" s="38" t="s">
        <v>11399</v>
      </c>
    </row>
    <row r="384">
      <c r="A384" s="37">
        <f>IFERROR(__xludf.DUMMYFUNCTION("""COMPUTED_VALUE"""),45908.59405918981)</f>
        <v>45908.59406</v>
      </c>
      <c r="B384" s="38" t="str">
        <f>IFERROR(__xludf.DUMMYFUNCTION("""COMPUTED_VALUE"""),"MERDA PUTRI BUNGSU KENAT")</f>
        <v>MERDA PUTRI BUNGSU KENAT</v>
      </c>
      <c r="C384" s="38" t="str">
        <f>IFERROR(__xludf.DUMMYFUNCTION("""COMPUTED_VALUE"""),"Belum disetujui")</f>
        <v>Belum disetujui</v>
      </c>
      <c r="D384" s="38"/>
      <c r="E384" s="38" t="s">
        <v>11422</v>
      </c>
      <c r="F384" s="38" t="s">
        <v>215</v>
      </c>
      <c r="G384" s="38" t="s">
        <v>11423</v>
      </c>
      <c r="H384" s="38" t="s">
        <v>11424</v>
      </c>
    </row>
    <row r="385">
      <c r="A385" s="37">
        <f>IFERROR(__xludf.DUMMYFUNCTION("""COMPUTED_VALUE"""),45908.59675738426)</f>
        <v>45908.59676</v>
      </c>
      <c r="B385" s="38" t="str">
        <f>IFERROR(__xludf.DUMMYFUNCTION("""COMPUTED_VALUE"""),"NOVANTRY RUTHANIA NAFFIE")</f>
        <v>NOVANTRY RUTHANIA NAFFIE</v>
      </c>
      <c r="C385" s="38" t="str">
        <f>IFERROR(__xludf.DUMMYFUNCTION("""COMPUTED_VALUE"""),"Belum disetujui")</f>
        <v>Belum disetujui</v>
      </c>
      <c r="D385" s="38"/>
      <c r="E385" s="38" t="s">
        <v>11397</v>
      </c>
      <c r="F385" s="38" t="s">
        <v>220</v>
      </c>
      <c r="G385" s="38" t="s">
        <v>11398</v>
      </c>
      <c r="H385" s="38" t="s">
        <v>11399</v>
      </c>
    </row>
    <row r="386">
      <c r="A386" s="37">
        <f>IFERROR(__xludf.DUMMYFUNCTION("""COMPUTED_VALUE"""),45908.597286759265)</f>
        <v>45908.59729</v>
      </c>
      <c r="B386" s="38" t="str">
        <f>IFERROR(__xludf.DUMMYFUNCTION("""COMPUTED_VALUE"""),"SANTI MARIA LUKMINI NAHAK")</f>
        <v>SANTI MARIA LUKMINI NAHAK</v>
      </c>
      <c r="C386" s="38" t="str">
        <f>IFERROR(__xludf.DUMMYFUNCTION("""COMPUTED_VALUE"""),"Belum disetujui")</f>
        <v>Belum disetujui</v>
      </c>
      <c r="D386" s="38"/>
      <c r="E386" s="38" t="s">
        <v>11460</v>
      </c>
      <c r="F386" s="38" t="s">
        <v>871</v>
      </c>
      <c r="G386" s="38" t="s">
        <v>11461</v>
      </c>
      <c r="H386" s="38" t="s">
        <v>11424</v>
      </c>
    </row>
    <row r="387">
      <c r="A387" s="37">
        <f>IFERROR(__xludf.DUMMYFUNCTION("""COMPUTED_VALUE"""),45908.60628787037)</f>
        <v>45908.60629</v>
      </c>
      <c r="B387" s="38" t="str">
        <f>IFERROR(__xludf.DUMMYFUNCTION("""COMPUTED_VALUE"""),"HERONIMUS NAMU WALI")</f>
        <v>HERONIMUS NAMU WALI</v>
      </c>
      <c r="C387" s="38" t="str">
        <f>IFERROR(__xludf.DUMMYFUNCTION("""COMPUTED_VALUE"""),"Belum disetujui")</f>
        <v>Belum disetujui</v>
      </c>
      <c r="D387" s="38"/>
      <c r="E387" s="38" t="s">
        <v>11452</v>
      </c>
      <c r="F387" s="38" t="s">
        <v>205</v>
      </c>
      <c r="G387" s="38" t="s">
        <v>11453</v>
      </c>
      <c r="H387" s="38" t="s">
        <v>11419</v>
      </c>
    </row>
    <row r="388">
      <c r="A388" s="37">
        <f>IFERROR(__xludf.DUMMYFUNCTION("""COMPUTED_VALUE"""),45908.62775428241)</f>
        <v>45908.62775</v>
      </c>
      <c r="B388" s="38" t="str">
        <f>IFERROR(__xludf.DUMMYFUNCTION("""COMPUTED_VALUE"""),"ADRIANA")</f>
        <v>ADRIANA</v>
      </c>
      <c r="C388" s="38" t="str">
        <f>IFERROR(__xludf.DUMMYFUNCTION("""COMPUTED_VALUE"""),"Belum disetujui")</f>
        <v>Belum disetujui</v>
      </c>
      <c r="D388" s="38"/>
      <c r="E388" s="38" t="s">
        <v>11433</v>
      </c>
      <c r="F388" s="38" t="s">
        <v>313</v>
      </c>
      <c r="G388" s="38" t="s">
        <v>11434</v>
      </c>
      <c r="H388" s="38" t="s">
        <v>11424</v>
      </c>
    </row>
    <row r="389">
      <c r="A389" s="37">
        <f>IFERROR(__xludf.DUMMYFUNCTION("""COMPUTED_VALUE"""),45908.628171111115)</f>
        <v>45908.62817</v>
      </c>
      <c r="B389" s="38" t="str">
        <f>IFERROR(__xludf.DUMMYFUNCTION("""COMPUTED_VALUE"""),"SANTI MARIA LUKMINI NAHAK")</f>
        <v>SANTI MARIA LUKMINI NAHAK</v>
      </c>
      <c r="C389" s="38" t="str">
        <f>IFERROR(__xludf.DUMMYFUNCTION("""COMPUTED_VALUE"""),"Belum disetujui")</f>
        <v>Belum disetujui</v>
      </c>
      <c r="D389" s="38"/>
      <c r="E389" s="38" t="s">
        <v>11460</v>
      </c>
      <c r="F389" s="38" t="s">
        <v>871</v>
      </c>
      <c r="G389" s="38" t="s">
        <v>11461</v>
      </c>
      <c r="H389" s="38" t="s">
        <v>11424</v>
      </c>
    </row>
    <row r="390">
      <c r="A390" s="37">
        <f>IFERROR(__xludf.DUMMYFUNCTION("""COMPUTED_VALUE"""),45908.64659199074)</f>
        <v>45908.64659</v>
      </c>
      <c r="B390" s="38" t="str">
        <f>IFERROR(__xludf.DUMMYFUNCTION("""COMPUTED_VALUE"""),"ASTUTI BELA WAWO")</f>
        <v>ASTUTI BELA WAWO</v>
      </c>
      <c r="C390" s="38" t="str">
        <f>IFERROR(__xludf.DUMMYFUNCTION("""COMPUTED_VALUE"""),"ACC")</f>
        <v>ACC</v>
      </c>
      <c r="D390" s="38" t="str">
        <f>IFERROR(__xludf.DUMMYFUNCTION("""COMPUTED_VALUE"""),"Y400 series")</f>
        <v>Y400 series</v>
      </c>
      <c r="E390" s="38" t="s">
        <v>11427</v>
      </c>
      <c r="F390" s="38" t="s">
        <v>257</v>
      </c>
      <c r="G390" s="38" t="s">
        <v>11428</v>
      </c>
      <c r="H390" s="38" t="s">
        <v>11419</v>
      </c>
    </row>
    <row r="391">
      <c r="A391" s="37">
        <f>IFERROR(__xludf.DUMMYFUNCTION("""COMPUTED_VALUE"""),45908.6480037037)</f>
        <v>45908.648</v>
      </c>
      <c r="B391" s="38" t="str">
        <f>IFERROR(__xludf.DUMMYFUNCTION("""COMPUTED_VALUE"""),"ASTUTI BELA WAWO")</f>
        <v>ASTUTI BELA WAWO</v>
      </c>
      <c r="C391" s="38" t="str">
        <f>IFERROR(__xludf.DUMMYFUNCTION("""COMPUTED_VALUE"""),"Belum disetujui")</f>
        <v>Belum disetujui</v>
      </c>
      <c r="D391" s="38"/>
      <c r="E391" s="38" t="s">
        <v>11427</v>
      </c>
      <c r="F391" s="38" t="s">
        <v>257</v>
      </c>
      <c r="G391" s="38" t="s">
        <v>11428</v>
      </c>
      <c r="H391" s="38" t="s">
        <v>11419</v>
      </c>
    </row>
    <row r="392">
      <c r="A392" s="37">
        <f>IFERROR(__xludf.DUMMYFUNCTION("""COMPUTED_VALUE"""),45908.67864263889)</f>
        <v>45908.67864</v>
      </c>
      <c r="B392" s="38" t="str">
        <f>IFERROR(__xludf.DUMMYFUNCTION("""COMPUTED_VALUE"""),"KESIA NATALIA I. BENU")</f>
        <v>KESIA NATALIA I. BENU</v>
      </c>
      <c r="C392" s="38" t="str">
        <f>IFERROR(__xludf.DUMMYFUNCTION("""COMPUTED_VALUE"""),"Dapat limit tapi belum diproses")</f>
        <v>Dapat limit tapi belum diproses</v>
      </c>
      <c r="D392" s="38" t="str">
        <f>IFERROR(__xludf.DUMMYFUNCTION("""COMPUTED_VALUE"""),"Y400 series")</f>
        <v>Y400 series</v>
      </c>
      <c r="E392" s="38" t="s">
        <v>11417</v>
      </c>
      <c r="F392" s="38" t="s">
        <v>257</v>
      </c>
      <c r="G392" s="38" t="s">
        <v>11418</v>
      </c>
      <c r="H392" s="38" t="s">
        <v>11419</v>
      </c>
    </row>
    <row r="393">
      <c r="A393" s="37">
        <f>IFERROR(__xludf.DUMMYFUNCTION("""COMPUTED_VALUE"""),45908.6851855787)</f>
        <v>45908.68519</v>
      </c>
      <c r="B393" s="38" t="str">
        <f>IFERROR(__xludf.DUMMYFUNCTION("""COMPUTED_VALUE"""),"EMPI FRANGKI LIEM")</f>
        <v>EMPI FRANGKI LIEM</v>
      </c>
      <c r="C393" s="38" t="str">
        <f>IFERROR(__xludf.DUMMYFUNCTION("""COMPUTED_VALUE"""),"Belum disetujui")</f>
        <v>Belum disetujui</v>
      </c>
      <c r="D393" s="38"/>
      <c r="E393" s="38" t="s">
        <v>11397</v>
      </c>
      <c r="F393" s="38" t="s">
        <v>220</v>
      </c>
      <c r="G393" s="38" t="s">
        <v>11398</v>
      </c>
      <c r="H393" s="38" t="s">
        <v>11399</v>
      </c>
    </row>
    <row r="394">
      <c r="A394" s="37">
        <f>IFERROR(__xludf.DUMMYFUNCTION("""COMPUTED_VALUE"""),45908.707703263884)</f>
        <v>45908.7077</v>
      </c>
      <c r="B394" s="38" t="str">
        <f>IFERROR(__xludf.DUMMYFUNCTION("""COMPUTED_VALUE"""),"ADRIANA")</f>
        <v>ADRIANA</v>
      </c>
      <c r="C394" s="38" t="str">
        <f>IFERROR(__xludf.DUMMYFUNCTION("""COMPUTED_VALUE"""),"Dapat limit tapi belum diproses")</f>
        <v>Dapat limit tapi belum diproses</v>
      </c>
      <c r="D394" s="38" t="str">
        <f>IFERROR(__xludf.DUMMYFUNCTION("""COMPUTED_VALUE"""),"Y400 series")</f>
        <v>Y400 series</v>
      </c>
      <c r="E394" s="38" t="s">
        <v>11433</v>
      </c>
      <c r="F394" s="38" t="s">
        <v>313</v>
      </c>
      <c r="G394" s="38" t="s">
        <v>11434</v>
      </c>
      <c r="H394" s="38" t="s">
        <v>11424</v>
      </c>
    </row>
    <row r="395">
      <c r="A395" s="37">
        <f>IFERROR(__xludf.DUMMYFUNCTION("""COMPUTED_VALUE"""),45908.73858493056)</f>
        <v>45908.73858</v>
      </c>
      <c r="B395" s="38" t="str">
        <f>IFERROR(__xludf.DUMMYFUNCTION("""COMPUTED_VALUE"""),"SULIS NURAINI INSYATUN")</f>
        <v>SULIS NURAINI INSYATUN</v>
      </c>
      <c r="C395" s="38" t="str">
        <f>IFERROR(__xludf.DUMMYFUNCTION("""COMPUTED_VALUE"""),"ACC")</f>
        <v>ACC</v>
      </c>
      <c r="D395" s="38" t="str">
        <f>IFERROR(__xludf.DUMMYFUNCTION("""COMPUTED_VALUE"""),"V50 Lite series")</f>
        <v>V50 Lite series</v>
      </c>
      <c r="E395" s="38" t="s">
        <v>11429</v>
      </c>
      <c r="F395" s="38" t="s">
        <v>257</v>
      </c>
      <c r="G395" s="38" t="s">
        <v>11430</v>
      </c>
      <c r="H395" s="38" t="s">
        <v>11419</v>
      </c>
    </row>
    <row r="396">
      <c r="A396" s="37">
        <f>IFERROR(__xludf.DUMMYFUNCTION("""COMPUTED_VALUE"""),45908.74232041667)</f>
        <v>45908.74232</v>
      </c>
      <c r="B396" s="38" t="str">
        <f>IFERROR(__xludf.DUMMYFUNCTION("""COMPUTED_VALUE"""),"DWITNEY PRETY WANGGANDIMA")</f>
        <v>DWITNEY PRETY WANGGANDIMA</v>
      </c>
      <c r="C396" s="38" t="str">
        <f>IFERROR(__xludf.DUMMYFUNCTION("""COMPUTED_VALUE"""),"Belum disetujui")</f>
        <v>Belum disetujui</v>
      </c>
      <c r="D396" s="38"/>
      <c r="E396" s="38" t="s">
        <v>11443</v>
      </c>
      <c r="F396" s="38" t="s">
        <v>220</v>
      </c>
      <c r="G396" s="38" t="s">
        <v>11444</v>
      </c>
      <c r="H396" s="38" t="s">
        <v>11399</v>
      </c>
    </row>
    <row r="397">
      <c r="A397" s="37">
        <f>IFERROR(__xludf.DUMMYFUNCTION("""COMPUTED_VALUE"""),45908.76510797454)</f>
        <v>45908.76511</v>
      </c>
      <c r="B397" s="38" t="str">
        <f>IFERROR(__xludf.DUMMYFUNCTION("""COMPUTED_VALUE"""),"YOHANIS TIPNONI")</f>
        <v>YOHANIS TIPNONI</v>
      </c>
      <c r="C397" s="38" t="str">
        <f>IFERROR(__xludf.DUMMYFUNCTION("""COMPUTED_VALUE"""),"ACC")</f>
        <v>ACC</v>
      </c>
      <c r="D397" s="38" t="str">
        <f>IFERROR(__xludf.DUMMYFUNCTION("""COMPUTED_VALUE"""),"Y400 series")</f>
        <v>Y400 series</v>
      </c>
      <c r="E397" s="38" t="s">
        <v>11405</v>
      </c>
      <c r="F397" s="38" t="s">
        <v>220</v>
      </c>
      <c r="G397" s="38" t="s">
        <v>11406</v>
      </c>
      <c r="H397" s="38" t="s">
        <v>11399</v>
      </c>
    </row>
    <row r="398">
      <c r="A398" s="37">
        <f>IFERROR(__xludf.DUMMYFUNCTION("""COMPUTED_VALUE"""),45908.76685039352)</f>
        <v>45908.76685</v>
      </c>
      <c r="B398" s="38" t="str">
        <f>IFERROR(__xludf.DUMMYFUNCTION("""COMPUTED_VALUE"""),"YOHANIS TIPNONI")</f>
        <v>YOHANIS TIPNONI</v>
      </c>
      <c r="C398" s="38" t="str">
        <f>IFERROR(__xludf.DUMMYFUNCTION("""COMPUTED_VALUE"""),"Dapat limit tapi belum diproses")</f>
        <v>Dapat limit tapi belum diproses</v>
      </c>
      <c r="D398" s="38" t="str">
        <f>IFERROR(__xludf.DUMMYFUNCTION("""COMPUTED_VALUE"""),"Y400 series")</f>
        <v>Y400 series</v>
      </c>
      <c r="E398" s="38" t="s">
        <v>11405</v>
      </c>
      <c r="F398" s="38" t="s">
        <v>220</v>
      </c>
      <c r="G398" s="38" t="s">
        <v>11406</v>
      </c>
      <c r="H398" s="38" t="s">
        <v>11399</v>
      </c>
    </row>
    <row r="399">
      <c r="A399" s="37">
        <f>IFERROR(__xludf.DUMMYFUNCTION("""COMPUTED_VALUE"""),45908.774569189816)</f>
        <v>45908.77457</v>
      </c>
      <c r="B399" s="38" t="str">
        <f>IFERROR(__xludf.DUMMYFUNCTION("""COMPUTED_VALUE"""),"TERSIANA KADJA PAU")</f>
        <v>TERSIANA KADJA PAU</v>
      </c>
      <c r="C399" s="38" t="str">
        <f>IFERROR(__xludf.DUMMYFUNCTION("""COMPUTED_VALUE"""),"Belum disetujui")</f>
        <v>Belum disetujui</v>
      </c>
      <c r="D399" s="38"/>
      <c r="E399" s="38" t="s">
        <v>11411</v>
      </c>
      <c r="F399" s="38" t="s">
        <v>220</v>
      </c>
      <c r="G399" s="38" t="s">
        <v>11412</v>
      </c>
      <c r="H399" s="38" t="s">
        <v>11399</v>
      </c>
    </row>
    <row r="400">
      <c r="A400" s="37">
        <f>IFERROR(__xludf.DUMMYFUNCTION("""COMPUTED_VALUE"""),45908.78103278935)</f>
        <v>45908.78103</v>
      </c>
      <c r="B400" s="38" t="str">
        <f>IFERROR(__xludf.DUMMYFUNCTION("""COMPUTED_VALUE"""),"MARNITHA JUWIKE TIMORATI RUNESI")</f>
        <v>MARNITHA JUWIKE TIMORATI RUNESI</v>
      </c>
      <c r="C400" s="38" t="str">
        <f>IFERROR(__xludf.DUMMYFUNCTION("""COMPUTED_VALUE"""),"Belum disetujui")</f>
        <v>Belum disetujui</v>
      </c>
      <c r="D400" s="38"/>
      <c r="E400" s="38" t="s">
        <v>11420</v>
      </c>
      <c r="F400" s="38" t="s">
        <v>204</v>
      </c>
      <c r="G400" s="38" t="s">
        <v>11421</v>
      </c>
      <c r="H400" s="38" t="s">
        <v>11399</v>
      </c>
    </row>
    <row r="401">
      <c r="A401" s="37">
        <f>IFERROR(__xludf.DUMMYFUNCTION("""COMPUTED_VALUE"""),45908.79152546296)</f>
        <v>45908.79153</v>
      </c>
      <c r="B401" s="38" t="str">
        <f>IFERROR(__xludf.DUMMYFUNCTION("""COMPUTED_VALUE"""),"YOVANDA KATRINA NAE")</f>
        <v>YOVANDA KATRINA NAE</v>
      </c>
      <c r="C401" s="38" t="str">
        <f>IFERROR(__xludf.DUMMYFUNCTION("""COMPUTED_VALUE"""),"Belum disetujui")</f>
        <v>Belum disetujui</v>
      </c>
      <c r="D401" s="38"/>
      <c r="E401" s="38" t="s">
        <v>11425</v>
      </c>
      <c r="F401" s="38" t="s">
        <v>205</v>
      </c>
      <c r="G401" s="38" t="s">
        <v>11426</v>
      </c>
      <c r="H401" s="38" t="s">
        <v>11419</v>
      </c>
    </row>
    <row r="402">
      <c r="A402" s="37">
        <f>IFERROR(__xludf.DUMMYFUNCTION("""COMPUTED_VALUE"""),45908.804560509256)</f>
        <v>45908.80456</v>
      </c>
      <c r="B402" s="38" t="str">
        <f>IFERROR(__xludf.DUMMYFUNCTION("""COMPUTED_VALUE"""),"YOHANA NOVIANA MARIANA GAA")</f>
        <v>YOHANA NOVIANA MARIANA GAA</v>
      </c>
      <c r="C402" s="38" t="str">
        <f>IFERROR(__xludf.DUMMYFUNCTION("""COMPUTED_VALUE"""),"ACC")</f>
        <v>ACC</v>
      </c>
      <c r="D402" s="38" t="str">
        <f>IFERROR(__xludf.DUMMYFUNCTION("""COMPUTED_VALUE"""),"V50 Lite series")</f>
        <v>V50 Lite series</v>
      </c>
      <c r="E402" s="38" t="s">
        <v>11400</v>
      </c>
      <c r="F402" s="38" t="s">
        <v>204</v>
      </c>
      <c r="G402" s="38" t="s">
        <v>11401</v>
      </c>
      <c r="H402" s="38" t="s">
        <v>11399</v>
      </c>
    </row>
    <row r="403">
      <c r="A403" s="37">
        <f>IFERROR(__xludf.DUMMYFUNCTION("""COMPUTED_VALUE"""),45908.827633622685)</f>
        <v>45908.82763</v>
      </c>
      <c r="B403" s="38" t="str">
        <f>IFERROR(__xludf.DUMMYFUNCTION("""COMPUTED_VALUE"""),"IRENE NOVALIA KADJU")</f>
        <v>IRENE NOVALIA KADJU</v>
      </c>
      <c r="C403" s="38" t="str">
        <f>IFERROR(__xludf.DUMMYFUNCTION("""COMPUTED_VALUE"""),"Belum disetujui")</f>
        <v>Belum disetujui</v>
      </c>
      <c r="D403" s="38"/>
      <c r="E403" s="38" t="s">
        <v>11445</v>
      </c>
      <c r="F403" s="38" t="s">
        <v>204</v>
      </c>
      <c r="G403" s="38" t="s">
        <v>11446</v>
      </c>
      <c r="H403" s="38" t="s">
        <v>11399</v>
      </c>
    </row>
    <row r="404">
      <c r="A404" s="37">
        <f>IFERROR(__xludf.DUMMYFUNCTION("""COMPUTED_VALUE"""),45908.84856415509)</f>
        <v>45908.84856</v>
      </c>
      <c r="B404" s="38" t="str">
        <f>IFERROR(__xludf.DUMMYFUNCTION("""COMPUTED_VALUE"""),"ALDIANA WELIA PANIE")</f>
        <v>ALDIANA WELIA PANIE</v>
      </c>
      <c r="C404" s="38" t="str">
        <f>IFERROR(__xludf.DUMMYFUNCTION("""COMPUTED_VALUE"""),"Belum disetujui")</f>
        <v>Belum disetujui</v>
      </c>
      <c r="D404" s="38"/>
      <c r="E404" s="38" t="s">
        <v>11422</v>
      </c>
      <c r="F404" s="38" t="s">
        <v>215</v>
      </c>
      <c r="G404" s="38" t="s">
        <v>11423</v>
      </c>
      <c r="H404" s="38" t="s">
        <v>11424</v>
      </c>
    </row>
    <row r="405">
      <c r="A405" s="37">
        <f>IFERROR(__xludf.DUMMYFUNCTION("""COMPUTED_VALUE"""),45908.86564946759)</f>
        <v>45908.86565</v>
      </c>
      <c r="B405" s="38" t="str">
        <f>IFERROR(__xludf.DUMMYFUNCTION("""COMPUTED_VALUE"""),"YOHANA NOVIANA MARIANA GAA")</f>
        <v>YOHANA NOVIANA MARIANA GAA</v>
      </c>
      <c r="C405" s="38" t="str">
        <f>IFERROR(__xludf.DUMMYFUNCTION("""COMPUTED_VALUE"""),"Belum disetujui")</f>
        <v>Belum disetujui</v>
      </c>
      <c r="D405" s="38"/>
      <c r="E405" s="38" t="s">
        <v>11400</v>
      </c>
      <c r="F405" s="38" t="s">
        <v>204</v>
      </c>
      <c r="G405" s="38" t="s">
        <v>11401</v>
      </c>
      <c r="H405" s="38" t="s">
        <v>11399</v>
      </c>
    </row>
    <row r="406">
      <c r="A406" s="37">
        <f>IFERROR(__xludf.DUMMYFUNCTION("""COMPUTED_VALUE"""),45908.86680369212)</f>
        <v>45908.8668</v>
      </c>
      <c r="B406" s="38" t="str">
        <f>IFERROR(__xludf.DUMMYFUNCTION("""COMPUTED_VALUE"""),"IRENE NOVALIA KADJU")</f>
        <v>IRENE NOVALIA KADJU</v>
      </c>
      <c r="C406" s="38" t="str">
        <f>IFERROR(__xludf.DUMMYFUNCTION("""COMPUTED_VALUE"""),"Belum disetujui")</f>
        <v>Belum disetujui</v>
      </c>
      <c r="D406" s="38"/>
      <c r="E406" s="38" t="s">
        <v>11445</v>
      </c>
      <c r="F406" s="38" t="s">
        <v>204</v>
      </c>
      <c r="G406" s="38" t="s">
        <v>11446</v>
      </c>
      <c r="H406" s="38" t="s">
        <v>11399</v>
      </c>
    </row>
    <row r="407">
      <c r="A407" s="37">
        <f>IFERROR(__xludf.DUMMYFUNCTION("""COMPUTED_VALUE"""),45908.87163284722)</f>
        <v>45908.87163</v>
      </c>
      <c r="B407" s="38" t="str">
        <f>IFERROR(__xludf.DUMMYFUNCTION("""COMPUTED_VALUE"""),"EMPI FRANGKI LIEM")</f>
        <v>EMPI FRANGKI LIEM</v>
      </c>
      <c r="C407" s="38" t="str">
        <f>IFERROR(__xludf.DUMMYFUNCTION("""COMPUTED_VALUE"""),"ACC")</f>
        <v>ACC</v>
      </c>
      <c r="D407" s="38" t="str">
        <f>IFERROR(__xludf.DUMMYFUNCTION("""COMPUTED_VALUE"""),"Y400 series")</f>
        <v>Y400 series</v>
      </c>
      <c r="E407" s="38" t="s">
        <v>11397</v>
      </c>
      <c r="F407" s="38" t="s">
        <v>220</v>
      </c>
      <c r="G407" s="38" t="s">
        <v>11398</v>
      </c>
      <c r="H407" s="38" t="s">
        <v>11399</v>
      </c>
    </row>
    <row r="408">
      <c r="A408" s="37">
        <f>IFERROR(__xludf.DUMMYFUNCTION("""COMPUTED_VALUE"""),45908.87252633102)</f>
        <v>45908.87253</v>
      </c>
      <c r="B408" s="38" t="str">
        <f>IFERROR(__xludf.DUMMYFUNCTION("""COMPUTED_VALUE"""),"NUR FATIMAH MOLBANG")</f>
        <v>NUR FATIMAH MOLBANG</v>
      </c>
      <c r="C408" s="38" t="str">
        <f>IFERROR(__xludf.DUMMYFUNCTION("""COMPUTED_VALUE"""),"Belum disetujui")</f>
        <v>Belum disetujui</v>
      </c>
      <c r="D408" s="38"/>
      <c r="E408" s="38" t="s">
        <v>11439</v>
      </c>
      <c r="F408" s="38" t="s">
        <v>313</v>
      </c>
      <c r="G408" s="38" t="s">
        <v>11440</v>
      </c>
      <c r="H408" s="38" t="s">
        <v>11424</v>
      </c>
    </row>
    <row r="409">
      <c r="A409" s="37">
        <f>IFERROR(__xludf.DUMMYFUNCTION("""COMPUTED_VALUE"""),45908.87382730324)</f>
        <v>45908.87383</v>
      </c>
      <c r="B409" s="38" t="str">
        <f>IFERROR(__xludf.DUMMYFUNCTION("""COMPUTED_VALUE"""),"EMPI FRANGKI LIEM")</f>
        <v>EMPI FRANGKI LIEM</v>
      </c>
      <c r="C409" s="38" t="str">
        <f>IFERROR(__xludf.DUMMYFUNCTION("""COMPUTED_VALUE"""),"Dapat limit tapi belum diproses")</f>
        <v>Dapat limit tapi belum diproses</v>
      </c>
      <c r="D409" s="38" t="str">
        <f>IFERROR(__xludf.DUMMYFUNCTION("""COMPUTED_VALUE"""),"V60 series")</f>
        <v>V60 series</v>
      </c>
      <c r="E409" s="38" t="s">
        <v>11397</v>
      </c>
      <c r="F409" s="38" t="s">
        <v>220</v>
      </c>
      <c r="G409" s="38" t="s">
        <v>11398</v>
      </c>
      <c r="H409" s="38" t="s">
        <v>11399</v>
      </c>
    </row>
    <row r="410">
      <c r="A410" s="37">
        <f>IFERROR(__xludf.DUMMYFUNCTION("""COMPUTED_VALUE"""),45908.90430716435)</f>
        <v>45908.90431</v>
      </c>
      <c r="B410" s="38" t="str">
        <f>IFERROR(__xludf.DUMMYFUNCTION("""COMPUTED_VALUE"""),"TERSIANA KADJA PAU")</f>
        <v>TERSIANA KADJA PAU</v>
      </c>
      <c r="C410" s="38" t="str">
        <f>IFERROR(__xludf.DUMMYFUNCTION("""COMPUTED_VALUE"""),"Belum disetujui")</f>
        <v>Belum disetujui</v>
      </c>
      <c r="D410" s="38"/>
      <c r="E410" s="38" t="s">
        <v>11411</v>
      </c>
      <c r="F410" s="38" t="s">
        <v>220</v>
      </c>
      <c r="G410" s="38" t="s">
        <v>11412</v>
      </c>
      <c r="H410" s="38" t="s">
        <v>11399</v>
      </c>
    </row>
    <row r="411">
      <c r="A411" s="37">
        <f>IFERROR(__xludf.DUMMYFUNCTION("""COMPUTED_VALUE"""),45908.94074545139)</f>
        <v>45908.94075</v>
      </c>
      <c r="B411" s="38" t="str">
        <f>IFERROR(__xludf.DUMMYFUNCTION("""COMPUTED_VALUE"""),"FEBRIANTHY ELISABET NA'U")</f>
        <v>FEBRIANTHY ELISABET NA'U</v>
      </c>
      <c r="C411" s="38" t="str">
        <f>IFERROR(__xludf.DUMMYFUNCTION("""COMPUTED_VALUE"""),"Belum disetujui")</f>
        <v>Belum disetujui</v>
      </c>
      <c r="D411" s="38"/>
      <c r="E411" s="38" t="s">
        <v>11415</v>
      </c>
      <c r="F411" s="38" t="s">
        <v>204</v>
      </c>
      <c r="G411" s="38" t="s">
        <v>11416</v>
      </c>
      <c r="H411" s="38" t="s">
        <v>11399</v>
      </c>
    </row>
    <row r="412">
      <c r="A412" s="37">
        <f>IFERROR(__xludf.DUMMYFUNCTION("""COMPUTED_VALUE"""),45909.421172546296)</f>
        <v>45909.42117</v>
      </c>
      <c r="B412" s="38" t="str">
        <f>IFERROR(__xludf.DUMMYFUNCTION("""COMPUTED_VALUE"""),"NOVLIANA BARBALINA MISA")</f>
        <v>NOVLIANA BARBALINA MISA</v>
      </c>
      <c r="C412" s="38" t="str">
        <f>IFERROR(__xludf.DUMMYFUNCTION("""COMPUTED_VALUE"""),"Belum disetujui")</f>
        <v>Belum disetujui</v>
      </c>
      <c r="D412" s="38"/>
      <c r="E412" s="38" t="s">
        <v>11454</v>
      </c>
      <c r="F412" s="38" t="s">
        <v>205</v>
      </c>
      <c r="G412" s="38" t="s">
        <v>11455</v>
      </c>
      <c r="H412" s="38" t="s">
        <v>11419</v>
      </c>
    </row>
    <row r="413">
      <c r="A413" s="37">
        <f>IFERROR(__xludf.DUMMYFUNCTION("""COMPUTED_VALUE"""),45909.44154881944)</f>
        <v>45909.44155</v>
      </c>
      <c r="B413" s="38" t="str">
        <f>IFERROR(__xludf.DUMMYFUNCTION("""COMPUTED_VALUE"""),"WARDIA")</f>
        <v>WARDIA</v>
      </c>
      <c r="C413" s="38" t="str">
        <f>IFERROR(__xludf.DUMMYFUNCTION("""COMPUTED_VALUE"""),"Belum disetujui")</f>
        <v>Belum disetujui</v>
      </c>
      <c r="D413" s="38"/>
      <c r="E413" s="38" t="s">
        <v>11409</v>
      </c>
      <c r="F413" s="38" t="s">
        <v>204</v>
      </c>
      <c r="G413" s="38" t="s">
        <v>11410</v>
      </c>
      <c r="H413" s="38" t="s">
        <v>11399</v>
      </c>
    </row>
    <row r="414">
      <c r="A414" s="37">
        <f>IFERROR(__xludf.DUMMYFUNCTION("""COMPUTED_VALUE"""),45909.45361149305)</f>
        <v>45909.45361</v>
      </c>
      <c r="B414" s="38" t="str">
        <f>IFERROR(__xludf.DUMMYFUNCTION("""COMPUTED_VALUE"""),"AMBU BAIQ JUMENAH")</f>
        <v>AMBU BAIQ JUMENAH</v>
      </c>
      <c r="C414" s="38" t="str">
        <f>IFERROR(__xludf.DUMMYFUNCTION("""COMPUTED_VALUE"""),"Belum disetujui")</f>
        <v>Belum disetujui</v>
      </c>
      <c r="D414" s="38"/>
      <c r="E414" s="38" t="s">
        <v>11458</v>
      </c>
      <c r="F414" s="38" t="s">
        <v>205</v>
      </c>
      <c r="G414" s="38" t="s">
        <v>11459</v>
      </c>
      <c r="H414" s="38" t="s">
        <v>11419</v>
      </c>
    </row>
    <row r="415">
      <c r="A415" s="37">
        <f>IFERROR(__xludf.DUMMYFUNCTION("""COMPUTED_VALUE"""),45909.46004972223)</f>
        <v>45909.46005</v>
      </c>
      <c r="B415" s="38" t="str">
        <f>IFERROR(__xludf.DUMMYFUNCTION("""COMPUTED_VALUE"""),"MARNITHA JUWIKE TIMORATI RUNESI")</f>
        <v>MARNITHA JUWIKE TIMORATI RUNESI</v>
      </c>
      <c r="C415" s="38" t="str">
        <f>IFERROR(__xludf.DUMMYFUNCTION("""COMPUTED_VALUE"""),"Belum disetujui")</f>
        <v>Belum disetujui</v>
      </c>
      <c r="D415" s="38"/>
      <c r="E415" s="38" t="s">
        <v>11420</v>
      </c>
      <c r="F415" s="38" t="s">
        <v>204</v>
      </c>
      <c r="G415" s="38" t="s">
        <v>11421</v>
      </c>
      <c r="H415" s="38" t="s">
        <v>11399</v>
      </c>
    </row>
    <row r="416">
      <c r="A416" s="37">
        <f>IFERROR(__xludf.DUMMYFUNCTION("""COMPUTED_VALUE"""),45909.47588928241)</f>
        <v>45909.47589</v>
      </c>
      <c r="B416" s="38" t="str">
        <f>IFERROR(__xludf.DUMMYFUNCTION("""COMPUTED_VALUE"""),"LINDA MELSIANA ELLO")</f>
        <v>LINDA MELSIANA ELLO</v>
      </c>
      <c r="C416" s="38" t="str">
        <f>IFERROR(__xludf.DUMMYFUNCTION("""COMPUTED_VALUE"""),"Belum disetujui")</f>
        <v>Belum disetujui</v>
      </c>
      <c r="D416" s="38"/>
      <c r="E416" s="38" t="s">
        <v>11435</v>
      </c>
      <c r="F416" s="38" t="s">
        <v>215</v>
      </c>
      <c r="G416" s="38" t="s">
        <v>11436</v>
      </c>
      <c r="H416" s="38" t="s">
        <v>11424</v>
      </c>
    </row>
    <row r="417">
      <c r="A417" s="37">
        <f>IFERROR(__xludf.DUMMYFUNCTION("""COMPUTED_VALUE"""),45909.47627068287)</f>
        <v>45909.47627</v>
      </c>
      <c r="B417" s="38" t="str">
        <f>IFERROR(__xludf.DUMMYFUNCTION("""COMPUTED_VALUE"""),"SANTI MARIA LUKMINI NAHAK")</f>
        <v>SANTI MARIA LUKMINI NAHAK</v>
      </c>
      <c r="C417" s="38" t="str">
        <f>IFERROR(__xludf.DUMMYFUNCTION("""COMPUTED_VALUE"""),"Dapat limit tapi belum diproses")</f>
        <v>Dapat limit tapi belum diproses</v>
      </c>
      <c r="D417" s="38" t="str">
        <f>IFERROR(__xludf.DUMMYFUNCTION("""COMPUTED_VALUE"""),"Y400 series")</f>
        <v>Y400 series</v>
      </c>
      <c r="E417" s="38" t="s">
        <v>11460</v>
      </c>
      <c r="F417" s="38" t="s">
        <v>871</v>
      </c>
      <c r="G417" s="38" t="s">
        <v>11461</v>
      </c>
      <c r="H417" s="38" t="s">
        <v>11424</v>
      </c>
    </row>
    <row r="418">
      <c r="A418" s="37">
        <f>IFERROR(__xludf.DUMMYFUNCTION("""COMPUTED_VALUE"""),45909.484000567136)</f>
        <v>45909.484</v>
      </c>
      <c r="B418" s="38" t="str">
        <f>IFERROR(__xludf.DUMMYFUNCTION("""COMPUTED_VALUE"""),"AMBU BAIQ JUMENAH")</f>
        <v>AMBU BAIQ JUMENAH</v>
      </c>
      <c r="C418" s="38" t="str">
        <f>IFERROR(__xludf.DUMMYFUNCTION("""COMPUTED_VALUE"""),"Belum disetujui")</f>
        <v>Belum disetujui</v>
      </c>
      <c r="D418" s="38"/>
      <c r="E418" s="38" t="s">
        <v>11458</v>
      </c>
      <c r="F418" s="38" t="s">
        <v>205</v>
      </c>
      <c r="G418" s="38" t="s">
        <v>11459</v>
      </c>
      <c r="H418" s="38" t="s">
        <v>11419</v>
      </c>
    </row>
    <row r="419">
      <c r="A419" s="37">
        <f>IFERROR(__xludf.DUMMYFUNCTION("""COMPUTED_VALUE"""),45909.49907356482)</f>
        <v>45909.49907</v>
      </c>
      <c r="B419" s="38" t="str">
        <f>IFERROR(__xludf.DUMMYFUNCTION("""COMPUTED_VALUE"""),"PRETI SISILIA SILA")</f>
        <v>PRETI SISILIA SILA</v>
      </c>
      <c r="C419" s="38" t="str">
        <f>IFERROR(__xludf.DUMMYFUNCTION("""COMPUTED_VALUE"""),"Dapat limit tapi belum diproses")</f>
        <v>Dapat limit tapi belum diproses</v>
      </c>
      <c r="D419" s="38" t="str">
        <f>IFERROR(__xludf.DUMMYFUNCTION("""COMPUTED_VALUE"""),"Y400 series")</f>
        <v>Y400 series</v>
      </c>
      <c r="E419" s="38" t="s">
        <v>11456</v>
      </c>
      <c r="F419" s="38" t="s">
        <v>667</v>
      </c>
      <c r="G419" s="38" t="s">
        <v>11457</v>
      </c>
      <c r="H419" s="38" t="s">
        <v>11424</v>
      </c>
    </row>
    <row r="420">
      <c r="A420" s="37">
        <f>IFERROR(__xludf.DUMMYFUNCTION("""COMPUTED_VALUE"""),45909.500109699075)</f>
        <v>45909.50011</v>
      </c>
      <c r="B420" s="38" t="str">
        <f>IFERROR(__xludf.DUMMYFUNCTION("""COMPUTED_VALUE"""),"ANITA ANA AMAH")</f>
        <v>ANITA ANA AMAH</v>
      </c>
      <c r="C420" s="38" t="str">
        <f>IFERROR(__xludf.DUMMYFUNCTION("""COMPUTED_VALUE"""),"Belum disetujui")</f>
        <v>Belum disetujui</v>
      </c>
      <c r="D420" s="38"/>
      <c r="E420" s="38" t="s">
        <v>11425</v>
      </c>
      <c r="F420" s="38" t="s">
        <v>205</v>
      </c>
      <c r="G420" s="38" t="s">
        <v>11426</v>
      </c>
      <c r="H420" s="38" t="s">
        <v>11419</v>
      </c>
    </row>
    <row r="421">
      <c r="A421" s="37">
        <f>IFERROR(__xludf.DUMMYFUNCTION("""COMPUTED_VALUE"""),45909.501494571756)</f>
        <v>45909.50149</v>
      </c>
      <c r="B421" s="38" t="str">
        <f>IFERROR(__xludf.DUMMYFUNCTION("""COMPUTED_VALUE"""),"NOVANTRY RUTHANIA NAFFIE")</f>
        <v>NOVANTRY RUTHANIA NAFFIE</v>
      </c>
      <c r="C421" s="38" t="str">
        <f>IFERROR(__xludf.DUMMYFUNCTION("""COMPUTED_VALUE"""),"Belum disetujui")</f>
        <v>Belum disetujui</v>
      </c>
      <c r="D421" s="38"/>
      <c r="E421" s="38" t="s">
        <v>11397</v>
      </c>
      <c r="F421" s="38" t="s">
        <v>220</v>
      </c>
      <c r="G421" s="38" t="s">
        <v>11398</v>
      </c>
      <c r="H421" s="38" t="s">
        <v>11399</v>
      </c>
    </row>
    <row r="422">
      <c r="A422" s="37">
        <f>IFERROR(__xludf.DUMMYFUNCTION("""COMPUTED_VALUE"""),45909.50274862268)</f>
        <v>45909.50275</v>
      </c>
      <c r="B422" s="38" t="str">
        <f>IFERROR(__xludf.DUMMYFUNCTION("""COMPUTED_VALUE"""),"ADRIANA")</f>
        <v>ADRIANA</v>
      </c>
      <c r="C422" s="38" t="str">
        <f>IFERROR(__xludf.DUMMYFUNCTION("""COMPUTED_VALUE"""),"Dapat limit tapi belum diproses")</f>
        <v>Dapat limit tapi belum diproses</v>
      </c>
      <c r="D422" s="38" t="str">
        <f>IFERROR(__xludf.DUMMYFUNCTION("""COMPUTED_VALUE"""),"Y400 series")</f>
        <v>Y400 series</v>
      </c>
      <c r="E422" s="38" t="s">
        <v>11433</v>
      </c>
      <c r="F422" s="38" t="s">
        <v>313</v>
      </c>
      <c r="G422" s="38" t="s">
        <v>11434</v>
      </c>
      <c r="H422" s="38" t="s">
        <v>11424</v>
      </c>
    </row>
    <row r="423">
      <c r="A423" s="37">
        <f>IFERROR(__xludf.DUMMYFUNCTION("""COMPUTED_VALUE"""),45909.5111931713)</f>
        <v>45909.51119</v>
      </c>
      <c r="B423" s="38" t="str">
        <f>IFERROR(__xludf.DUMMYFUNCTION("""COMPUTED_VALUE"""),"BERGITHA NIA OLIN")</f>
        <v>BERGITHA NIA OLIN</v>
      </c>
      <c r="C423" s="38" t="str">
        <f>IFERROR(__xludf.DUMMYFUNCTION("""COMPUTED_VALUE"""),"Belum disetujui")</f>
        <v>Belum disetujui</v>
      </c>
      <c r="D423" s="38"/>
      <c r="E423" s="38" t="s">
        <v>11431</v>
      </c>
      <c r="F423" s="38" t="s">
        <v>313</v>
      </c>
      <c r="G423" s="38" t="s">
        <v>11432</v>
      </c>
      <c r="H423" s="38" t="s">
        <v>11424</v>
      </c>
    </row>
    <row r="424">
      <c r="A424" s="37">
        <f>IFERROR(__xludf.DUMMYFUNCTION("""COMPUTED_VALUE"""),45909.51821827546)</f>
        <v>45909.51822</v>
      </c>
      <c r="B424" s="38" t="str">
        <f>IFERROR(__xludf.DUMMYFUNCTION("""COMPUTED_VALUE"""),"NOVANTRY RUTHANIA NAFFIE")</f>
        <v>NOVANTRY RUTHANIA NAFFIE</v>
      </c>
      <c r="C424" s="38" t="str">
        <f>IFERROR(__xludf.DUMMYFUNCTION("""COMPUTED_VALUE"""),"Belum disetujui")</f>
        <v>Belum disetujui</v>
      </c>
      <c r="D424" s="38"/>
      <c r="E424" s="38" t="s">
        <v>11397</v>
      </c>
      <c r="F424" s="38" t="s">
        <v>220</v>
      </c>
      <c r="G424" s="38" t="s">
        <v>11398</v>
      </c>
      <c r="H424" s="38" t="s">
        <v>11399</v>
      </c>
    </row>
    <row r="425">
      <c r="A425" s="37">
        <f>IFERROR(__xludf.DUMMYFUNCTION("""COMPUTED_VALUE"""),45909.52885710648)</f>
        <v>45909.52886</v>
      </c>
      <c r="B425" s="38" t="str">
        <f>IFERROR(__xludf.DUMMYFUNCTION("""COMPUTED_VALUE"""),"MEXY ALEXANDER HETMINA")</f>
        <v>MEXY ALEXANDER HETMINA</v>
      </c>
      <c r="C425" s="38" t="str">
        <f>IFERROR(__xludf.DUMMYFUNCTION("""COMPUTED_VALUE"""),"ACC")</f>
        <v>ACC</v>
      </c>
      <c r="D425" s="38" t="str">
        <f>IFERROR(__xludf.DUMMYFUNCTION("""COMPUTED_VALUE"""),"Y400 series")</f>
        <v>Y400 series</v>
      </c>
      <c r="E425" s="38" t="s">
        <v>11413</v>
      </c>
      <c r="F425" s="38" t="s">
        <v>204</v>
      </c>
      <c r="G425" s="38" t="s">
        <v>11414</v>
      </c>
      <c r="H425" s="38" t="s">
        <v>11399</v>
      </c>
    </row>
    <row r="426">
      <c r="A426" s="37">
        <f>IFERROR(__xludf.DUMMYFUNCTION("""COMPUTED_VALUE"""),45909.535929178244)</f>
        <v>45909.53593</v>
      </c>
      <c r="B426" s="38" t="str">
        <f>IFERROR(__xludf.DUMMYFUNCTION("""COMPUTED_VALUE"""),"MARNITHA JUWIKE TIMORATI RUNESI")</f>
        <v>MARNITHA JUWIKE TIMORATI RUNESI</v>
      </c>
      <c r="C426" s="38" t="str">
        <f>IFERROR(__xludf.DUMMYFUNCTION("""COMPUTED_VALUE"""),"Belum disetujui")</f>
        <v>Belum disetujui</v>
      </c>
      <c r="D426" s="38"/>
      <c r="E426" s="38" t="s">
        <v>11420</v>
      </c>
      <c r="F426" s="38" t="s">
        <v>204</v>
      </c>
      <c r="G426" s="38" t="s">
        <v>11421</v>
      </c>
      <c r="H426" s="38" t="s">
        <v>11399</v>
      </c>
    </row>
    <row r="427">
      <c r="A427" s="37">
        <f>IFERROR(__xludf.DUMMYFUNCTION("""COMPUTED_VALUE"""),45909.546296064815)</f>
        <v>45909.5463</v>
      </c>
      <c r="B427" s="38" t="str">
        <f>IFERROR(__xludf.DUMMYFUNCTION("""COMPUTED_VALUE"""),"KESIA NATALIA I. BENU")</f>
        <v>KESIA NATALIA I. BENU</v>
      </c>
      <c r="C427" s="38" t="str">
        <f>IFERROR(__xludf.DUMMYFUNCTION("""COMPUTED_VALUE"""),"Belum disetujui")</f>
        <v>Belum disetujui</v>
      </c>
      <c r="D427" s="38"/>
      <c r="E427" s="38" t="s">
        <v>11417</v>
      </c>
      <c r="F427" s="38" t="s">
        <v>257</v>
      </c>
      <c r="G427" s="38" t="s">
        <v>11418</v>
      </c>
      <c r="H427" s="38" t="s">
        <v>11419</v>
      </c>
    </row>
    <row r="428">
      <c r="A428" s="37">
        <f>IFERROR(__xludf.DUMMYFUNCTION("""COMPUTED_VALUE"""),45909.55776134259)</f>
        <v>45909.55776</v>
      </c>
      <c r="B428" s="38" t="str">
        <f>IFERROR(__xludf.DUMMYFUNCTION("""COMPUTED_VALUE"""),"AZ ZAHRA SITI ZAINAB")</f>
        <v>AZ ZAHRA SITI ZAINAB</v>
      </c>
      <c r="C428" s="38" t="str">
        <f>IFERROR(__xludf.DUMMYFUNCTION("""COMPUTED_VALUE"""),"Belum disetujui")</f>
        <v>Belum disetujui</v>
      </c>
      <c r="D428" s="38"/>
      <c r="E428" s="38" t="s">
        <v>11462</v>
      </c>
      <c r="F428" s="38" t="s">
        <v>257</v>
      </c>
      <c r="G428" s="38" t="s">
        <v>11463</v>
      </c>
      <c r="H428" s="38" t="s">
        <v>11419</v>
      </c>
    </row>
    <row r="429">
      <c r="A429" s="37">
        <f>IFERROR(__xludf.DUMMYFUNCTION("""COMPUTED_VALUE"""),45909.5586765625)</f>
        <v>45909.55868</v>
      </c>
      <c r="B429" s="38" t="str">
        <f>IFERROR(__xludf.DUMMYFUNCTION("""COMPUTED_VALUE"""),"MARNITHA JUWIKE TIMORATI RUNESI")</f>
        <v>MARNITHA JUWIKE TIMORATI RUNESI</v>
      </c>
      <c r="C429" s="38" t="str">
        <f>IFERROR(__xludf.DUMMYFUNCTION("""COMPUTED_VALUE"""),"Belum disetujui")</f>
        <v>Belum disetujui</v>
      </c>
      <c r="D429" s="38"/>
      <c r="E429" s="38" t="s">
        <v>11420</v>
      </c>
      <c r="F429" s="38" t="s">
        <v>204</v>
      </c>
      <c r="G429" s="38" t="s">
        <v>11421</v>
      </c>
      <c r="H429" s="38" t="s">
        <v>11399</v>
      </c>
    </row>
    <row r="430">
      <c r="A430" s="37">
        <f>IFERROR(__xludf.DUMMYFUNCTION("""COMPUTED_VALUE"""),45909.584212754635)</f>
        <v>45909.58421</v>
      </c>
      <c r="B430" s="38" t="str">
        <f>IFERROR(__xludf.DUMMYFUNCTION("""COMPUTED_VALUE"""),"ADRIANA")</f>
        <v>ADRIANA</v>
      </c>
      <c r="C430" s="38" t="str">
        <f>IFERROR(__xludf.DUMMYFUNCTION("""COMPUTED_VALUE"""),"Belum disetujui")</f>
        <v>Belum disetujui</v>
      </c>
      <c r="D430" s="38"/>
      <c r="E430" s="38" t="s">
        <v>11433</v>
      </c>
      <c r="F430" s="38" t="s">
        <v>313</v>
      </c>
      <c r="G430" s="38" t="s">
        <v>11434</v>
      </c>
      <c r="H430" s="38" t="s">
        <v>11424</v>
      </c>
    </row>
    <row r="431">
      <c r="A431" s="37">
        <f>IFERROR(__xludf.DUMMYFUNCTION("""COMPUTED_VALUE"""),45909.60152737269)</f>
        <v>45909.60153</v>
      </c>
      <c r="B431" s="38" t="str">
        <f>IFERROR(__xludf.DUMMYFUNCTION("""COMPUTED_VALUE"""),"SELVINCE BAKO")</f>
        <v>SELVINCE BAKO</v>
      </c>
      <c r="C431" s="38" t="str">
        <f>IFERROR(__xludf.DUMMYFUNCTION("""COMPUTED_VALUE"""),"Belum disetujui")</f>
        <v>Belum disetujui</v>
      </c>
      <c r="D431" s="38"/>
      <c r="E431" s="38" t="s">
        <v>11413</v>
      </c>
      <c r="F431" s="38" t="s">
        <v>204</v>
      </c>
      <c r="G431" s="38" t="s">
        <v>11414</v>
      </c>
      <c r="H431" s="38" t="s">
        <v>11399</v>
      </c>
    </row>
    <row r="432">
      <c r="A432" s="37">
        <f>IFERROR(__xludf.DUMMYFUNCTION("""COMPUTED_VALUE"""),45909.623964039354)</f>
        <v>45909.62396</v>
      </c>
      <c r="B432" s="38" t="str">
        <f>IFERROR(__xludf.DUMMYFUNCTION("""COMPUTED_VALUE"""),"ALDIANA WELIA PANIE")</f>
        <v>ALDIANA WELIA PANIE</v>
      </c>
      <c r="C432" s="38" t="str">
        <f>IFERROR(__xludf.DUMMYFUNCTION("""COMPUTED_VALUE"""),"ACC")</f>
        <v>ACC</v>
      </c>
      <c r="D432" s="38" t="str">
        <f>IFERROR(__xludf.DUMMYFUNCTION("""COMPUTED_VALUE"""),"Y400 series")</f>
        <v>Y400 series</v>
      </c>
      <c r="E432" s="38" t="s">
        <v>11422</v>
      </c>
      <c r="F432" s="38" t="s">
        <v>215</v>
      </c>
      <c r="G432" s="38" t="s">
        <v>11423</v>
      </c>
      <c r="H432" s="38" t="s">
        <v>11424</v>
      </c>
    </row>
    <row r="433">
      <c r="A433" s="37">
        <f>IFERROR(__xludf.DUMMYFUNCTION("""COMPUTED_VALUE"""),45909.62445152778)</f>
        <v>45909.62445</v>
      </c>
      <c r="B433" s="38" t="str">
        <f>IFERROR(__xludf.DUMMYFUNCTION("""COMPUTED_VALUE"""),"ASRI NINGSI RAMBU ATA ENDI")</f>
        <v>ASRI NINGSI RAMBU ATA ENDI</v>
      </c>
      <c r="C433" s="38" t="str">
        <f>IFERROR(__xludf.DUMMYFUNCTION("""COMPUTED_VALUE"""),"Belum disetujui")</f>
        <v>Belum disetujui</v>
      </c>
      <c r="D433" s="38"/>
      <c r="E433" s="38" t="s">
        <v>11441</v>
      </c>
      <c r="F433" s="38" t="s">
        <v>205</v>
      </c>
      <c r="G433" s="38" t="s">
        <v>11442</v>
      </c>
      <c r="H433" s="38" t="s">
        <v>11419</v>
      </c>
    </row>
    <row r="434">
      <c r="A434" s="37">
        <f>IFERROR(__xludf.DUMMYFUNCTION("""COMPUTED_VALUE"""),45909.638109768515)</f>
        <v>45909.63811</v>
      </c>
      <c r="B434" s="38" t="str">
        <f>IFERROR(__xludf.DUMMYFUNCTION("""COMPUTED_VALUE"""),"ADRIANA")</f>
        <v>ADRIANA</v>
      </c>
      <c r="C434" s="38" t="str">
        <f>IFERROR(__xludf.DUMMYFUNCTION("""COMPUTED_VALUE"""),"Belum disetujui")</f>
        <v>Belum disetujui</v>
      </c>
      <c r="D434" s="38"/>
      <c r="E434" s="38" t="s">
        <v>11433</v>
      </c>
      <c r="F434" s="38" t="s">
        <v>313</v>
      </c>
      <c r="G434" s="38" t="s">
        <v>11434</v>
      </c>
      <c r="H434" s="38" t="s">
        <v>11424</v>
      </c>
    </row>
    <row r="435">
      <c r="A435" s="37">
        <f>IFERROR(__xludf.DUMMYFUNCTION("""COMPUTED_VALUE"""),45909.63915076389)</f>
        <v>45909.63915</v>
      </c>
      <c r="B435" s="38" t="str">
        <f>IFERROR(__xludf.DUMMYFUNCTION("""COMPUTED_VALUE"""),"ALDIANA WELIA PANIE")</f>
        <v>ALDIANA WELIA PANIE</v>
      </c>
      <c r="C435" s="38" t="str">
        <f>IFERROR(__xludf.DUMMYFUNCTION("""COMPUTED_VALUE"""),"Dapat limit tapi belum diproses")</f>
        <v>Dapat limit tapi belum diproses</v>
      </c>
      <c r="D435" s="38" t="str">
        <f>IFERROR(__xludf.DUMMYFUNCTION("""COMPUTED_VALUE"""),"Y400 series")</f>
        <v>Y400 series</v>
      </c>
      <c r="E435" s="38" t="s">
        <v>11422</v>
      </c>
      <c r="F435" s="38" t="s">
        <v>215</v>
      </c>
      <c r="G435" s="38" t="s">
        <v>11423</v>
      </c>
      <c r="H435" s="38" t="s">
        <v>11424</v>
      </c>
    </row>
    <row r="436">
      <c r="A436" s="37">
        <f>IFERROR(__xludf.DUMMYFUNCTION("""COMPUTED_VALUE"""),45909.67380240741)</f>
        <v>45909.6738</v>
      </c>
      <c r="B436" s="38" t="str">
        <f>IFERROR(__xludf.DUMMYFUNCTION("""COMPUTED_VALUE"""),"HERONIMUS NAMU WALI")</f>
        <v>HERONIMUS NAMU WALI</v>
      </c>
      <c r="C436" s="38" t="str">
        <f>IFERROR(__xludf.DUMMYFUNCTION("""COMPUTED_VALUE"""),"ACC")</f>
        <v>ACC</v>
      </c>
      <c r="D436" s="38" t="str">
        <f>IFERROR(__xludf.DUMMYFUNCTION("""COMPUTED_VALUE"""),"V50 Lite series")</f>
        <v>V50 Lite series</v>
      </c>
      <c r="E436" s="38" t="s">
        <v>11452</v>
      </c>
      <c r="F436" s="38" t="s">
        <v>205</v>
      </c>
      <c r="G436" s="38" t="s">
        <v>11453</v>
      </c>
      <c r="H436" s="38" t="s">
        <v>11419</v>
      </c>
    </row>
    <row r="437">
      <c r="A437" s="37">
        <f>IFERROR(__xludf.DUMMYFUNCTION("""COMPUTED_VALUE"""),45909.675273229164)</f>
        <v>45909.67527</v>
      </c>
      <c r="B437" s="38" t="str">
        <f>IFERROR(__xludf.DUMMYFUNCTION("""COMPUTED_VALUE"""),"WINDRI MANOE")</f>
        <v>WINDRI MANOE</v>
      </c>
      <c r="C437" s="38" t="str">
        <f>IFERROR(__xludf.DUMMYFUNCTION("""COMPUTED_VALUE"""),"Belum disetujui")</f>
        <v>Belum disetujui</v>
      </c>
      <c r="D437" s="38"/>
      <c r="E437" s="38" t="s">
        <v>11443</v>
      </c>
      <c r="F437" s="38" t="s">
        <v>220</v>
      </c>
      <c r="G437" s="38" t="s">
        <v>11444</v>
      </c>
      <c r="H437" s="38" t="s">
        <v>11399</v>
      </c>
    </row>
    <row r="438">
      <c r="A438" s="37">
        <f>IFERROR(__xludf.DUMMYFUNCTION("""COMPUTED_VALUE"""),45909.68097270834)</f>
        <v>45909.68097</v>
      </c>
      <c r="B438" s="38" t="str">
        <f>IFERROR(__xludf.DUMMYFUNCTION("""COMPUTED_VALUE"""),"FERI ELI KURNIAWAN")</f>
        <v>FERI ELI KURNIAWAN</v>
      </c>
      <c r="C438" s="38" t="str">
        <f>IFERROR(__xludf.DUMMYFUNCTION("""COMPUTED_VALUE"""),"Belum disetujui")</f>
        <v>Belum disetujui</v>
      </c>
      <c r="D438" s="38"/>
      <c r="E438" s="38" t="s">
        <v>11411</v>
      </c>
      <c r="F438" s="38" t="s">
        <v>220</v>
      </c>
      <c r="G438" s="38" t="s">
        <v>11412</v>
      </c>
      <c r="H438" s="38" t="s">
        <v>11399</v>
      </c>
    </row>
    <row r="439">
      <c r="A439" s="37">
        <f>IFERROR(__xludf.DUMMYFUNCTION("""COMPUTED_VALUE"""),45909.69932605325)</f>
        <v>45909.69933</v>
      </c>
      <c r="B439" s="38" t="str">
        <f>IFERROR(__xludf.DUMMYFUNCTION("""COMPUTED_VALUE"""),"ALDIANA WELIA PANIE")</f>
        <v>ALDIANA WELIA PANIE</v>
      </c>
      <c r="C439" s="38" t="str">
        <f>IFERROR(__xludf.DUMMYFUNCTION("""COMPUTED_VALUE"""),"Belum disetujui")</f>
        <v>Belum disetujui</v>
      </c>
      <c r="D439" s="38"/>
      <c r="E439" s="38" t="s">
        <v>11422</v>
      </c>
      <c r="F439" s="38" t="s">
        <v>215</v>
      </c>
      <c r="G439" s="38" t="s">
        <v>11423</v>
      </c>
      <c r="H439" s="38" t="s">
        <v>11424</v>
      </c>
    </row>
    <row r="440">
      <c r="A440" s="37">
        <f>IFERROR(__xludf.DUMMYFUNCTION("""COMPUTED_VALUE"""),45909.70387733796)</f>
        <v>45909.70388</v>
      </c>
      <c r="B440" s="38" t="str">
        <f>IFERROR(__xludf.DUMMYFUNCTION("""COMPUTED_VALUE"""),"FERI ELI KURNIAWAN")</f>
        <v>FERI ELI KURNIAWAN</v>
      </c>
      <c r="C440" s="38" t="str">
        <f>IFERROR(__xludf.DUMMYFUNCTION("""COMPUTED_VALUE"""),"Dapat limit tapi belum diproses")</f>
        <v>Dapat limit tapi belum diproses</v>
      </c>
      <c r="D440" s="38" t="str">
        <f>IFERROR(__xludf.DUMMYFUNCTION("""COMPUTED_VALUE"""),"Y29 series")</f>
        <v>Y29 series</v>
      </c>
      <c r="E440" s="38" t="s">
        <v>11411</v>
      </c>
      <c r="F440" s="38" t="s">
        <v>220</v>
      </c>
      <c r="G440" s="38" t="s">
        <v>11412</v>
      </c>
      <c r="H440" s="38" t="s">
        <v>11399</v>
      </c>
    </row>
    <row r="441">
      <c r="A441" s="37">
        <f>IFERROR(__xludf.DUMMYFUNCTION("""COMPUTED_VALUE"""),45909.71159322916)</f>
        <v>45909.71159</v>
      </c>
      <c r="B441" s="38" t="str">
        <f>IFERROR(__xludf.DUMMYFUNCTION("""COMPUTED_VALUE"""),"WINDRI MANOE")</f>
        <v>WINDRI MANOE</v>
      </c>
      <c r="C441" s="38" t="str">
        <f>IFERROR(__xludf.DUMMYFUNCTION("""COMPUTED_VALUE"""),"Dapat limit tapi belum diproses")</f>
        <v>Dapat limit tapi belum diproses</v>
      </c>
      <c r="D441" s="38" t="str">
        <f>IFERROR(__xludf.DUMMYFUNCTION("""COMPUTED_VALUE"""),"V60 series")</f>
        <v>V60 series</v>
      </c>
      <c r="E441" s="38" t="s">
        <v>11443</v>
      </c>
      <c r="F441" s="38" t="s">
        <v>220</v>
      </c>
      <c r="G441" s="38" t="s">
        <v>11444</v>
      </c>
      <c r="H441" s="38" t="s">
        <v>11399</v>
      </c>
    </row>
    <row r="442">
      <c r="A442" s="37">
        <f>IFERROR(__xludf.DUMMYFUNCTION("""COMPUTED_VALUE"""),45909.72438413195)</f>
        <v>45909.72438</v>
      </c>
      <c r="B442" s="38" t="str">
        <f>IFERROR(__xludf.DUMMYFUNCTION("""COMPUTED_VALUE"""),"ADRIANA")</f>
        <v>ADRIANA</v>
      </c>
      <c r="C442" s="38" t="str">
        <f>IFERROR(__xludf.DUMMYFUNCTION("""COMPUTED_VALUE"""),"Belum disetujui")</f>
        <v>Belum disetujui</v>
      </c>
      <c r="D442" s="38"/>
      <c r="E442" s="38" t="s">
        <v>11433</v>
      </c>
      <c r="F442" s="38" t="s">
        <v>313</v>
      </c>
      <c r="G442" s="38" t="s">
        <v>11434</v>
      </c>
      <c r="H442" s="38" t="s">
        <v>11424</v>
      </c>
    </row>
    <row r="443">
      <c r="A443" s="37">
        <f>IFERROR(__xludf.DUMMYFUNCTION("""COMPUTED_VALUE"""),45909.7257797338)</f>
        <v>45909.72578</v>
      </c>
      <c r="B443" s="38" t="str">
        <f>IFERROR(__xludf.DUMMYFUNCTION("""COMPUTED_VALUE"""),"ADRIANA")</f>
        <v>ADRIANA</v>
      </c>
      <c r="C443" s="38" t="str">
        <f>IFERROR(__xludf.DUMMYFUNCTION("""COMPUTED_VALUE"""),"Belum disetujui")</f>
        <v>Belum disetujui</v>
      </c>
      <c r="D443" s="38"/>
      <c r="E443" s="38" t="s">
        <v>11433</v>
      </c>
      <c r="F443" s="38" t="s">
        <v>313</v>
      </c>
      <c r="G443" s="38" t="s">
        <v>11434</v>
      </c>
      <c r="H443" s="38" t="s">
        <v>11424</v>
      </c>
    </row>
    <row r="444">
      <c r="A444" s="37">
        <f>IFERROR(__xludf.DUMMYFUNCTION("""COMPUTED_VALUE"""),45909.729614282405)</f>
        <v>45909.72961</v>
      </c>
      <c r="B444" s="38" t="str">
        <f>IFERROR(__xludf.DUMMYFUNCTION("""COMPUTED_VALUE"""),"BERGITHA NIA OLIN")</f>
        <v>BERGITHA NIA OLIN</v>
      </c>
      <c r="C444" s="38" t="str">
        <f>IFERROR(__xludf.DUMMYFUNCTION("""COMPUTED_VALUE"""),"Belum disetujui")</f>
        <v>Belum disetujui</v>
      </c>
      <c r="D444" s="38"/>
      <c r="E444" s="38" t="s">
        <v>11431</v>
      </c>
      <c r="F444" s="38" t="s">
        <v>313</v>
      </c>
      <c r="G444" s="38" t="s">
        <v>11432</v>
      </c>
      <c r="H444" s="38" t="s">
        <v>11424</v>
      </c>
    </row>
    <row r="445">
      <c r="A445" s="37">
        <f>IFERROR(__xludf.DUMMYFUNCTION("""COMPUTED_VALUE"""),45909.73376122685)</f>
        <v>45909.73376</v>
      </c>
      <c r="B445" s="38" t="str">
        <f>IFERROR(__xludf.DUMMYFUNCTION("""COMPUTED_VALUE"""),"NUR FATIMAH MOLBANG")</f>
        <v>NUR FATIMAH MOLBANG</v>
      </c>
      <c r="C445" s="38" t="str">
        <f>IFERROR(__xludf.DUMMYFUNCTION("""COMPUTED_VALUE"""),"Belum disetujui")</f>
        <v>Belum disetujui</v>
      </c>
      <c r="D445" s="38"/>
      <c r="E445" s="38" t="s">
        <v>11439</v>
      </c>
      <c r="F445" s="38" t="s">
        <v>313</v>
      </c>
      <c r="G445" s="38" t="s">
        <v>11440</v>
      </c>
      <c r="H445" s="38" t="s">
        <v>11424</v>
      </c>
    </row>
    <row r="446">
      <c r="A446" s="37">
        <f>IFERROR(__xludf.DUMMYFUNCTION("""COMPUTED_VALUE"""),45909.735162638885)</f>
        <v>45909.73516</v>
      </c>
      <c r="B446" s="38" t="str">
        <f>IFERROR(__xludf.DUMMYFUNCTION("""COMPUTED_VALUE"""),"MARNITHA JUWIKE TIMORATI RUNESI")</f>
        <v>MARNITHA JUWIKE TIMORATI RUNESI</v>
      </c>
      <c r="C446" s="38" t="str">
        <f>IFERROR(__xludf.DUMMYFUNCTION("""COMPUTED_VALUE"""),"Belum disetujui")</f>
        <v>Belum disetujui</v>
      </c>
      <c r="D446" s="38"/>
      <c r="E446" s="38" t="s">
        <v>11420</v>
      </c>
      <c r="F446" s="38" t="s">
        <v>204</v>
      </c>
      <c r="G446" s="38" t="s">
        <v>11421</v>
      </c>
      <c r="H446" s="38" t="s">
        <v>11399</v>
      </c>
    </row>
    <row r="447">
      <c r="A447" s="37">
        <f>IFERROR(__xludf.DUMMYFUNCTION("""COMPUTED_VALUE"""),45909.7389266088)</f>
        <v>45909.73893</v>
      </c>
      <c r="B447" s="38" t="str">
        <f>IFERROR(__xludf.DUMMYFUNCTION("""COMPUTED_VALUE"""),"PUSPA ANGGREINI")</f>
        <v>PUSPA ANGGREINI</v>
      </c>
      <c r="C447" s="38" t="str">
        <f>IFERROR(__xludf.DUMMYFUNCTION("""COMPUTED_VALUE"""),"Belum disetujui")</f>
        <v>Belum disetujui</v>
      </c>
      <c r="D447" s="38"/>
      <c r="E447" s="38" t="s">
        <v>11427</v>
      </c>
      <c r="F447" s="38" t="s">
        <v>257</v>
      </c>
      <c r="G447" s="38" t="s">
        <v>11428</v>
      </c>
      <c r="H447" s="38" t="s">
        <v>11419</v>
      </c>
    </row>
    <row r="448">
      <c r="A448" s="37">
        <f>IFERROR(__xludf.DUMMYFUNCTION("""COMPUTED_VALUE"""),45909.742484918985)</f>
        <v>45909.74248</v>
      </c>
      <c r="B448" s="38" t="str">
        <f>IFERROR(__xludf.DUMMYFUNCTION("""COMPUTED_VALUE"""),"SULIS NURAINI INSYATUN")</f>
        <v>SULIS NURAINI INSYATUN</v>
      </c>
      <c r="C448" s="38" t="str">
        <f>IFERROR(__xludf.DUMMYFUNCTION("""COMPUTED_VALUE"""),"ACC")</f>
        <v>ACC</v>
      </c>
      <c r="D448" s="38" t="str">
        <f>IFERROR(__xludf.DUMMYFUNCTION("""COMPUTED_VALUE"""),"Y400 series")</f>
        <v>Y400 series</v>
      </c>
      <c r="E448" s="38" t="s">
        <v>11429</v>
      </c>
      <c r="F448" s="38" t="s">
        <v>257</v>
      </c>
      <c r="G448" s="38" t="s">
        <v>11430</v>
      </c>
      <c r="H448" s="38" t="s">
        <v>11419</v>
      </c>
    </row>
    <row r="449">
      <c r="A449" s="37">
        <f>IFERROR(__xludf.DUMMYFUNCTION("""COMPUTED_VALUE"""),45909.74420857639)</f>
        <v>45909.74421</v>
      </c>
      <c r="B449" s="38" t="str">
        <f>IFERROR(__xludf.DUMMYFUNCTION("""COMPUTED_VALUE"""),"YOMELIANA MARIA MAGNO")</f>
        <v>YOMELIANA MARIA MAGNO</v>
      </c>
      <c r="C449" s="38" t="str">
        <f>IFERROR(__xludf.DUMMYFUNCTION("""COMPUTED_VALUE"""),"Dapat limit tapi belum diproses")</f>
        <v>Dapat limit tapi belum diproses</v>
      </c>
      <c r="D449" s="38" t="str">
        <f>IFERROR(__xludf.DUMMYFUNCTION("""COMPUTED_VALUE"""),"Y400 series")</f>
        <v>Y400 series</v>
      </c>
      <c r="E449" s="38" t="s">
        <v>11460</v>
      </c>
      <c r="F449" s="38" t="s">
        <v>871</v>
      </c>
      <c r="G449" s="38" t="s">
        <v>11461</v>
      </c>
      <c r="H449" s="38" t="s">
        <v>11424</v>
      </c>
    </row>
    <row r="450">
      <c r="A450" s="37">
        <f>IFERROR(__xludf.DUMMYFUNCTION("""COMPUTED_VALUE"""),45909.75591368055)</f>
        <v>45909.75591</v>
      </c>
      <c r="B450" s="38" t="str">
        <f>IFERROR(__xludf.DUMMYFUNCTION("""COMPUTED_VALUE"""),"MEXY ALEXANDER HETMINA")</f>
        <v>MEXY ALEXANDER HETMINA</v>
      </c>
      <c r="C450" s="38" t="str">
        <f>IFERROR(__xludf.DUMMYFUNCTION("""COMPUTED_VALUE"""),"ACC")</f>
        <v>ACC</v>
      </c>
      <c r="D450" s="38" t="str">
        <f>IFERROR(__xludf.DUMMYFUNCTION("""COMPUTED_VALUE"""),"Y400 series")</f>
        <v>Y400 series</v>
      </c>
      <c r="E450" s="38" t="s">
        <v>11413</v>
      </c>
      <c r="F450" s="38" t="s">
        <v>204</v>
      </c>
      <c r="G450" s="38" t="s">
        <v>11414</v>
      </c>
      <c r="H450" s="38" t="s">
        <v>11399</v>
      </c>
    </row>
    <row r="451">
      <c r="A451" s="37">
        <f>IFERROR(__xludf.DUMMYFUNCTION("""COMPUTED_VALUE"""),45909.75595027778)</f>
        <v>45909.75595</v>
      </c>
      <c r="B451" s="38" t="str">
        <f>IFERROR(__xludf.DUMMYFUNCTION("""COMPUTED_VALUE"""),"MERDA PUTRI BUNGSU KENAT")</f>
        <v>MERDA PUTRI BUNGSU KENAT</v>
      </c>
      <c r="C451" s="38" t="str">
        <f>IFERROR(__xludf.DUMMYFUNCTION("""COMPUTED_VALUE"""),"ACC")</f>
        <v>ACC</v>
      </c>
      <c r="D451" s="38" t="str">
        <f>IFERROR(__xludf.DUMMYFUNCTION("""COMPUTED_VALUE"""),"V50 Lite series")</f>
        <v>V50 Lite series</v>
      </c>
      <c r="E451" s="38" t="s">
        <v>11422</v>
      </c>
      <c r="F451" s="38" t="s">
        <v>215</v>
      </c>
      <c r="G451" s="38" t="s">
        <v>11423</v>
      </c>
      <c r="H451" s="38" t="s">
        <v>11424</v>
      </c>
    </row>
    <row r="452">
      <c r="A452" s="37">
        <f>IFERROR(__xludf.DUMMYFUNCTION("""COMPUTED_VALUE"""),45909.76631623843)</f>
        <v>45909.76632</v>
      </c>
      <c r="B452" s="38" t="str">
        <f>IFERROR(__xludf.DUMMYFUNCTION("""COMPUTED_VALUE"""),"NOVANTRY RUTHANIA NAFFIE")</f>
        <v>NOVANTRY RUTHANIA NAFFIE</v>
      </c>
      <c r="C452" s="38" t="str">
        <f>IFERROR(__xludf.DUMMYFUNCTION("""COMPUTED_VALUE"""),"Dapat limit tapi belum diproses")</f>
        <v>Dapat limit tapi belum diproses</v>
      </c>
      <c r="D452" s="38" t="str">
        <f>IFERROR(__xludf.DUMMYFUNCTION("""COMPUTED_VALUE"""),"Y400 series")</f>
        <v>Y400 series</v>
      </c>
      <c r="E452" s="38" t="s">
        <v>11397</v>
      </c>
      <c r="F452" s="38" t="s">
        <v>220</v>
      </c>
      <c r="G452" s="38" t="s">
        <v>11398</v>
      </c>
      <c r="H452" s="38" t="s">
        <v>11399</v>
      </c>
    </row>
    <row r="453">
      <c r="A453" s="37">
        <f>IFERROR(__xludf.DUMMYFUNCTION("""COMPUTED_VALUE"""),45909.76716125)</f>
        <v>45909.76716</v>
      </c>
      <c r="B453" s="38" t="str">
        <f>IFERROR(__xludf.DUMMYFUNCTION("""COMPUTED_VALUE"""),"YOVANDA KATRINA NAE")</f>
        <v>YOVANDA KATRINA NAE</v>
      </c>
      <c r="C453" s="38" t="str">
        <f>IFERROR(__xludf.DUMMYFUNCTION("""COMPUTED_VALUE"""),"Dapat limit tapi belum diproses")</f>
        <v>Dapat limit tapi belum diproses</v>
      </c>
      <c r="D453" s="38" t="str">
        <f>IFERROR(__xludf.DUMMYFUNCTION("""COMPUTED_VALUE"""),"Y29 series")</f>
        <v>Y29 series</v>
      </c>
      <c r="E453" s="38" t="s">
        <v>11425</v>
      </c>
      <c r="F453" s="38" t="s">
        <v>205</v>
      </c>
      <c r="G453" s="38" t="s">
        <v>11426</v>
      </c>
      <c r="H453" s="38" t="s">
        <v>11419</v>
      </c>
    </row>
    <row r="454">
      <c r="A454" s="37">
        <f>IFERROR(__xludf.DUMMYFUNCTION("""COMPUTED_VALUE"""),45909.77362797454)</f>
        <v>45909.77363</v>
      </c>
      <c r="B454" s="38" t="str">
        <f>IFERROR(__xludf.DUMMYFUNCTION("""COMPUTED_VALUE"""),"BERGITHA NIA OLIN")</f>
        <v>BERGITHA NIA OLIN</v>
      </c>
      <c r="C454" s="38" t="str">
        <f>IFERROR(__xludf.DUMMYFUNCTION("""COMPUTED_VALUE"""),"Dapat limit tapi belum diproses")</f>
        <v>Dapat limit tapi belum diproses</v>
      </c>
      <c r="D454" s="38" t="str">
        <f>IFERROR(__xludf.DUMMYFUNCTION("""COMPUTED_VALUE"""),"Y400 series")</f>
        <v>Y400 series</v>
      </c>
      <c r="E454" s="38" t="s">
        <v>11431</v>
      </c>
      <c r="F454" s="38" t="s">
        <v>313</v>
      </c>
      <c r="G454" s="38" t="s">
        <v>11432</v>
      </c>
      <c r="H454" s="38" t="s">
        <v>11424</v>
      </c>
    </row>
    <row r="455">
      <c r="A455" s="37">
        <f>IFERROR(__xludf.DUMMYFUNCTION("""COMPUTED_VALUE"""),45909.775215960646)</f>
        <v>45909.77522</v>
      </c>
      <c r="B455" s="38" t="str">
        <f>IFERROR(__xludf.DUMMYFUNCTION("""COMPUTED_VALUE"""),"IDMAL YUSDIRAN YUSUF")</f>
        <v>IDMAL YUSDIRAN YUSUF</v>
      </c>
      <c r="C455" s="38" t="str">
        <f>IFERROR(__xludf.DUMMYFUNCTION("""COMPUTED_VALUE"""),"Belum disetujui")</f>
        <v>Belum disetujui</v>
      </c>
      <c r="D455" s="38"/>
      <c r="E455" s="38" t="s">
        <v>11417</v>
      </c>
      <c r="F455" s="38" t="s">
        <v>257</v>
      </c>
      <c r="G455" s="38" t="s">
        <v>11418</v>
      </c>
      <c r="H455" s="38" t="s">
        <v>11419</v>
      </c>
    </row>
    <row r="456">
      <c r="A456" s="37">
        <f>IFERROR(__xludf.DUMMYFUNCTION("""COMPUTED_VALUE"""),45909.78498509259)</f>
        <v>45909.78499</v>
      </c>
      <c r="B456" s="38" t="str">
        <f>IFERROR(__xludf.DUMMYFUNCTION("""COMPUTED_VALUE"""),"YOHANIS TIPNONI")</f>
        <v>YOHANIS TIPNONI</v>
      </c>
      <c r="C456" s="38" t="str">
        <f>IFERROR(__xludf.DUMMYFUNCTION("""COMPUTED_VALUE"""),"Belum disetujui")</f>
        <v>Belum disetujui</v>
      </c>
      <c r="D456" s="38"/>
      <c r="E456" s="38" t="s">
        <v>11405</v>
      </c>
      <c r="F456" s="38" t="s">
        <v>220</v>
      </c>
      <c r="G456" s="38" t="s">
        <v>11406</v>
      </c>
      <c r="H456" s="38" t="s">
        <v>11399</v>
      </c>
    </row>
    <row r="457">
      <c r="A457" s="37">
        <f>IFERROR(__xludf.DUMMYFUNCTION("""COMPUTED_VALUE"""),45909.78669145833)</f>
        <v>45909.78669</v>
      </c>
      <c r="B457" s="38" t="str">
        <f>IFERROR(__xludf.DUMMYFUNCTION("""COMPUTED_VALUE"""),"YOHANIS TIPNONI")</f>
        <v>YOHANIS TIPNONI</v>
      </c>
      <c r="C457" s="38" t="str">
        <f>IFERROR(__xludf.DUMMYFUNCTION("""COMPUTED_VALUE"""),"Dapat limit tapi belum diproses")</f>
        <v>Dapat limit tapi belum diproses</v>
      </c>
      <c r="D457" s="38" t="str">
        <f>IFERROR(__xludf.DUMMYFUNCTION("""COMPUTED_VALUE"""),"Y400 series")</f>
        <v>Y400 series</v>
      </c>
      <c r="E457" s="38" t="s">
        <v>11405</v>
      </c>
      <c r="F457" s="38" t="s">
        <v>220</v>
      </c>
      <c r="G457" s="38" t="s">
        <v>11406</v>
      </c>
      <c r="H457" s="38" t="s">
        <v>11399</v>
      </c>
    </row>
    <row r="458">
      <c r="A458" s="37">
        <f>IFERROR(__xludf.DUMMYFUNCTION("""COMPUTED_VALUE"""),45909.78860771991)</f>
        <v>45909.78861</v>
      </c>
      <c r="B458" s="38" t="str">
        <f>IFERROR(__xludf.DUMMYFUNCTION("""COMPUTED_VALUE"""),"MARATHA MARLINDA FANGGIDAE")</f>
        <v>MARATHA MARLINDA FANGGIDAE</v>
      </c>
      <c r="C458" s="38" t="str">
        <f>IFERROR(__xludf.DUMMYFUNCTION("""COMPUTED_VALUE"""),"ACC")</f>
        <v>ACC</v>
      </c>
      <c r="D458" s="38" t="str">
        <f>IFERROR(__xludf.DUMMYFUNCTION("""COMPUTED_VALUE"""),"Y400 series")</f>
        <v>Y400 series</v>
      </c>
      <c r="E458" s="38" t="s">
        <v>11435</v>
      </c>
      <c r="F458" s="38" t="s">
        <v>215</v>
      </c>
      <c r="G458" s="38" t="s">
        <v>11436</v>
      </c>
      <c r="H458" s="38" t="s">
        <v>11424</v>
      </c>
    </row>
    <row r="459">
      <c r="A459" s="37">
        <f>IFERROR(__xludf.DUMMYFUNCTION("""COMPUTED_VALUE"""),45909.7890932176)</f>
        <v>45909.78909</v>
      </c>
      <c r="B459" s="38" t="str">
        <f>IFERROR(__xludf.DUMMYFUNCTION("""COMPUTED_VALUE"""),"LINDA MELSIANA ELLO")</f>
        <v>LINDA MELSIANA ELLO</v>
      </c>
      <c r="C459" s="38" t="str">
        <f>IFERROR(__xludf.DUMMYFUNCTION("""COMPUTED_VALUE"""),"Belum disetujui")</f>
        <v>Belum disetujui</v>
      </c>
      <c r="D459" s="38"/>
      <c r="E459" s="38" t="s">
        <v>11435</v>
      </c>
      <c r="F459" s="38" t="s">
        <v>215</v>
      </c>
      <c r="G459" s="38" t="s">
        <v>11436</v>
      </c>
      <c r="H459" s="38" t="s">
        <v>11424</v>
      </c>
    </row>
    <row r="460">
      <c r="A460" s="37">
        <f>IFERROR(__xludf.DUMMYFUNCTION("""COMPUTED_VALUE"""),45909.79081986111)</f>
        <v>45909.79082</v>
      </c>
      <c r="B460" s="38" t="str">
        <f>IFERROR(__xludf.DUMMYFUNCTION("""COMPUTED_VALUE"""),"MARATHA MARLINDA FANGGIDAE")</f>
        <v>MARATHA MARLINDA FANGGIDAE</v>
      </c>
      <c r="C460" s="38" t="str">
        <f>IFERROR(__xludf.DUMMYFUNCTION("""COMPUTED_VALUE"""),"ACC")</f>
        <v>ACC</v>
      </c>
      <c r="D460" s="38" t="str">
        <f>IFERROR(__xludf.DUMMYFUNCTION("""COMPUTED_VALUE"""),"Y400 series")</f>
        <v>Y400 series</v>
      </c>
      <c r="E460" s="38" t="s">
        <v>11435</v>
      </c>
      <c r="F460" s="38" t="s">
        <v>215</v>
      </c>
      <c r="G460" s="38" t="s">
        <v>11436</v>
      </c>
      <c r="H460" s="38" t="s">
        <v>11424</v>
      </c>
    </row>
    <row r="461">
      <c r="A461" s="37">
        <f>IFERROR(__xludf.DUMMYFUNCTION("""COMPUTED_VALUE"""),45909.79173291667)</f>
        <v>45909.79173</v>
      </c>
      <c r="B461" s="38" t="str">
        <f>IFERROR(__xludf.DUMMYFUNCTION("""COMPUTED_VALUE"""),"HERONIMUS NAMU WALI")</f>
        <v>HERONIMUS NAMU WALI</v>
      </c>
      <c r="C461" s="38" t="str">
        <f>IFERROR(__xludf.DUMMYFUNCTION("""COMPUTED_VALUE"""),"ACC")</f>
        <v>ACC</v>
      </c>
      <c r="D461" s="38" t="str">
        <f>IFERROR(__xludf.DUMMYFUNCTION("""COMPUTED_VALUE"""),"Y400 series")</f>
        <v>Y400 series</v>
      </c>
      <c r="E461" s="38" t="s">
        <v>11452</v>
      </c>
      <c r="F461" s="38" t="s">
        <v>205</v>
      </c>
      <c r="G461" s="38" t="s">
        <v>11453</v>
      </c>
      <c r="H461" s="38" t="s">
        <v>11419</v>
      </c>
    </row>
    <row r="462">
      <c r="A462" s="37">
        <f>IFERROR(__xludf.DUMMYFUNCTION("""COMPUTED_VALUE"""),45909.79767922454)</f>
        <v>45909.79768</v>
      </c>
      <c r="B462" s="38" t="str">
        <f>IFERROR(__xludf.DUMMYFUNCTION("""COMPUTED_VALUE"""),"DWITNEY PRETY WANGGANDIMA")</f>
        <v>DWITNEY PRETY WANGGANDIMA</v>
      </c>
      <c r="C462" s="38" t="str">
        <f>IFERROR(__xludf.DUMMYFUNCTION("""COMPUTED_VALUE"""),"Belum disetujui")</f>
        <v>Belum disetujui</v>
      </c>
      <c r="D462" s="38"/>
      <c r="E462" s="38" t="s">
        <v>11443</v>
      </c>
      <c r="F462" s="38" t="s">
        <v>220</v>
      </c>
      <c r="G462" s="38" t="s">
        <v>11444</v>
      </c>
      <c r="H462" s="38" t="s">
        <v>11399</v>
      </c>
    </row>
    <row r="463">
      <c r="A463" s="37">
        <f>IFERROR(__xludf.DUMMYFUNCTION("""COMPUTED_VALUE"""),45909.803822534726)</f>
        <v>45909.80382</v>
      </c>
      <c r="B463" s="38" t="str">
        <f>IFERROR(__xludf.DUMMYFUNCTION("""COMPUTED_VALUE"""),"DWITNEY PRETY WANGGANDIMA")</f>
        <v>DWITNEY PRETY WANGGANDIMA</v>
      </c>
      <c r="C463" s="38" t="str">
        <f>IFERROR(__xludf.DUMMYFUNCTION("""COMPUTED_VALUE"""),"Belum disetujui")</f>
        <v>Belum disetujui</v>
      </c>
      <c r="D463" s="38"/>
      <c r="E463" s="38" t="s">
        <v>11443</v>
      </c>
      <c r="F463" s="38" t="s">
        <v>220</v>
      </c>
      <c r="G463" s="38" t="s">
        <v>11444</v>
      </c>
      <c r="H463" s="38" t="s">
        <v>11399</v>
      </c>
    </row>
    <row r="464">
      <c r="A464" s="37">
        <f>IFERROR(__xludf.DUMMYFUNCTION("""COMPUTED_VALUE"""),45909.82161412037)</f>
        <v>45909.82161</v>
      </c>
      <c r="B464" s="38" t="str">
        <f>IFERROR(__xludf.DUMMYFUNCTION("""COMPUTED_VALUE"""),"WINDRI MANOE")</f>
        <v>WINDRI MANOE</v>
      </c>
      <c r="C464" s="38" t="str">
        <f>IFERROR(__xludf.DUMMYFUNCTION("""COMPUTED_VALUE"""),"Belum disetujui")</f>
        <v>Belum disetujui</v>
      </c>
      <c r="D464" s="38"/>
      <c r="E464" s="38" t="s">
        <v>11443</v>
      </c>
      <c r="F464" s="38" t="s">
        <v>220</v>
      </c>
      <c r="G464" s="38" t="s">
        <v>11444</v>
      </c>
      <c r="H464" s="38" t="s">
        <v>11399</v>
      </c>
    </row>
    <row r="465">
      <c r="A465" s="37">
        <f>IFERROR(__xludf.DUMMYFUNCTION("""COMPUTED_VALUE"""),45909.82285328704)</f>
        <v>45909.82285</v>
      </c>
      <c r="B465" s="38" t="str">
        <f>IFERROR(__xludf.DUMMYFUNCTION("""COMPUTED_VALUE"""),"LINDA MELSIANA ELLO")</f>
        <v>LINDA MELSIANA ELLO</v>
      </c>
      <c r="C465" s="38" t="str">
        <f>IFERROR(__xludf.DUMMYFUNCTION("""COMPUTED_VALUE"""),"Belum disetujui")</f>
        <v>Belum disetujui</v>
      </c>
      <c r="D465" s="38"/>
      <c r="E465" s="38" t="s">
        <v>11435</v>
      </c>
      <c r="F465" s="38" t="s">
        <v>215</v>
      </c>
      <c r="G465" s="38" t="s">
        <v>11436</v>
      </c>
      <c r="H465" s="38" t="s">
        <v>11424</v>
      </c>
    </row>
    <row r="466">
      <c r="A466" s="37">
        <f>IFERROR(__xludf.DUMMYFUNCTION("""COMPUTED_VALUE"""),45909.82882325232)</f>
        <v>45909.82882</v>
      </c>
      <c r="B466" s="38" t="str">
        <f>IFERROR(__xludf.DUMMYFUNCTION("""COMPUTED_VALUE"""),"PATRIANI MENGI ULY")</f>
        <v>PATRIANI MENGI ULY</v>
      </c>
      <c r="C466" s="38" t="str">
        <f>IFERROR(__xludf.DUMMYFUNCTION("""COMPUTED_VALUE"""),"Dapat limit tapi belum diproses")</f>
        <v>Dapat limit tapi belum diproses</v>
      </c>
      <c r="D466" s="38" t="str">
        <f>IFERROR(__xludf.DUMMYFUNCTION("""COMPUTED_VALUE"""),"V60 series")</f>
        <v>V60 series</v>
      </c>
      <c r="E466" s="38" t="s">
        <v>11402</v>
      </c>
      <c r="F466" s="38" t="s">
        <v>204</v>
      </c>
      <c r="G466" s="38" t="s">
        <v>11403</v>
      </c>
      <c r="H466" s="38" t="s">
        <v>11399</v>
      </c>
    </row>
    <row r="467">
      <c r="A467" s="37">
        <f>IFERROR(__xludf.DUMMYFUNCTION("""COMPUTED_VALUE"""),45909.830439791665)</f>
        <v>45909.83044</v>
      </c>
      <c r="B467" s="38" t="str">
        <f>IFERROR(__xludf.DUMMYFUNCTION("""COMPUTED_VALUE"""),"MARNITHA JUWIKE TIMORATI RUNESI")</f>
        <v>MARNITHA JUWIKE TIMORATI RUNESI</v>
      </c>
      <c r="C467" s="38" t="str">
        <f>IFERROR(__xludf.DUMMYFUNCTION("""COMPUTED_VALUE"""),"Dapat limit tapi belum diproses")</f>
        <v>Dapat limit tapi belum diproses</v>
      </c>
      <c r="D467" s="38" t="str">
        <f>IFERROR(__xludf.DUMMYFUNCTION("""COMPUTED_VALUE"""),"Y400 series")</f>
        <v>Y400 series</v>
      </c>
      <c r="E467" s="38" t="s">
        <v>11420</v>
      </c>
      <c r="F467" s="38" t="s">
        <v>204</v>
      </c>
      <c r="G467" s="38" t="s">
        <v>11421</v>
      </c>
      <c r="H467" s="38" t="s">
        <v>11399</v>
      </c>
    </row>
    <row r="468">
      <c r="A468" s="37">
        <f>IFERROR(__xludf.DUMMYFUNCTION("""COMPUTED_VALUE"""),45909.83166495371)</f>
        <v>45909.83166</v>
      </c>
      <c r="B468" s="38" t="str">
        <f>IFERROR(__xludf.DUMMYFUNCTION("""COMPUTED_VALUE"""),"ASTUTI BELA WAWO")</f>
        <v>ASTUTI BELA WAWO</v>
      </c>
      <c r="C468" s="38" t="str">
        <f>IFERROR(__xludf.DUMMYFUNCTION("""COMPUTED_VALUE"""),"ACC")</f>
        <v>ACC</v>
      </c>
      <c r="D468" s="38" t="str">
        <f>IFERROR(__xludf.DUMMYFUNCTION("""COMPUTED_VALUE"""),"Y400 series")</f>
        <v>Y400 series</v>
      </c>
      <c r="E468" s="38" t="s">
        <v>11427</v>
      </c>
      <c r="F468" s="38" t="s">
        <v>257</v>
      </c>
      <c r="G468" s="38" t="s">
        <v>11428</v>
      </c>
      <c r="H468" s="38" t="s">
        <v>11419</v>
      </c>
    </row>
    <row r="469">
      <c r="A469" s="37">
        <f>IFERROR(__xludf.DUMMYFUNCTION("""COMPUTED_VALUE"""),45909.83317997685)</f>
        <v>45909.83318</v>
      </c>
      <c r="B469" s="38" t="str">
        <f>IFERROR(__xludf.DUMMYFUNCTION("""COMPUTED_VALUE"""),"ASTUTI BELA WAWO")</f>
        <v>ASTUTI BELA WAWO</v>
      </c>
      <c r="C469" s="38" t="str">
        <f>IFERROR(__xludf.DUMMYFUNCTION("""COMPUTED_VALUE"""),"ACC")</f>
        <v>ACC</v>
      </c>
      <c r="D469" s="38" t="str">
        <f>IFERROR(__xludf.DUMMYFUNCTION("""COMPUTED_VALUE"""),"Y400 series")</f>
        <v>Y400 series</v>
      </c>
      <c r="E469" s="38" t="s">
        <v>11427</v>
      </c>
      <c r="F469" s="38" t="s">
        <v>257</v>
      </c>
      <c r="G469" s="38" t="s">
        <v>11428</v>
      </c>
      <c r="H469" s="38" t="s">
        <v>11419</v>
      </c>
    </row>
    <row r="470">
      <c r="A470" s="37">
        <f>IFERROR(__xludf.DUMMYFUNCTION("""COMPUTED_VALUE"""),45909.86034224537)</f>
        <v>45909.86034</v>
      </c>
      <c r="B470" s="38" t="str">
        <f>IFERROR(__xludf.DUMMYFUNCTION("""COMPUTED_VALUE"""),"FEBRIANTHY ELISABET NA'U")</f>
        <v>FEBRIANTHY ELISABET NA'U</v>
      </c>
      <c r="C470" s="38" t="str">
        <f>IFERROR(__xludf.DUMMYFUNCTION("""COMPUTED_VALUE"""),"Belum disetujui")</f>
        <v>Belum disetujui</v>
      </c>
      <c r="D470" s="38"/>
      <c r="E470" s="38" t="s">
        <v>11415</v>
      </c>
      <c r="F470" s="38" t="s">
        <v>204</v>
      </c>
      <c r="G470" s="38" t="s">
        <v>11416</v>
      </c>
      <c r="H470" s="38" t="s">
        <v>11399</v>
      </c>
    </row>
    <row r="471">
      <c r="A471" s="37">
        <f>IFERROR(__xludf.DUMMYFUNCTION("""COMPUTED_VALUE"""),45909.88777094908)</f>
        <v>45909.88777</v>
      </c>
      <c r="B471" s="38" t="str">
        <f>IFERROR(__xludf.DUMMYFUNCTION("""COMPUTED_VALUE"""),"WARDIA")</f>
        <v>WARDIA</v>
      </c>
      <c r="C471" s="38" t="str">
        <f>IFERROR(__xludf.DUMMYFUNCTION("""COMPUTED_VALUE"""),"Belum disetujui")</f>
        <v>Belum disetujui</v>
      </c>
      <c r="D471" s="38"/>
      <c r="E471" s="38" t="s">
        <v>11409</v>
      </c>
      <c r="F471" s="38" t="s">
        <v>204</v>
      </c>
      <c r="G471" s="38" t="s">
        <v>11410</v>
      </c>
      <c r="H471" s="38" t="s">
        <v>11399</v>
      </c>
    </row>
    <row r="472">
      <c r="A472" s="37">
        <f>IFERROR(__xludf.DUMMYFUNCTION("""COMPUTED_VALUE"""),45909.89310253472)</f>
        <v>45909.8931</v>
      </c>
      <c r="B472" s="38" t="str">
        <f>IFERROR(__xludf.DUMMYFUNCTION("""COMPUTED_VALUE"""),"ANYARMITHA SOPHIA SUEK")</f>
        <v>ANYARMITHA SOPHIA SUEK</v>
      </c>
      <c r="C472" s="38" t="str">
        <f>IFERROR(__xludf.DUMMYFUNCTION("""COMPUTED_VALUE"""),"Belum disetujui")</f>
        <v>Belum disetujui</v>
      </c>
      <c r="D472" s="38"/>
      <c r="E472" s="38" t="s">
        <v>11443</v>
      </c>
      <c r="F472" s="38" t="s">
        <v>220</v>
      </c>
      <c r="G472" s="38" t="s">
        <v>11444</v>
      </c>
      <c r="H472" s="38" t="s">
        <v>11399</v>
      </c>
    </row>
    <row r="473">
      <c r="A473" s="37">
        <f>IFERROR(__xludf.DUMMYFUNCTION("""COMPUTED_VALUE"""),45909.91058857639)</f>
        <v>45909.91059</v>
      </c>
      <c r="B473" s="38" t="str">
        <f>IFERROR(__xludf.DUMMYFUNCTION("""COMPUTED_VALUE"""),"MERDA PUTRI BUNGSU KENAT")</f>
        <v>MERDA PUTRI BUNGSU KENAT</v>
      </c>
      <c r="C473" s="38" t="str">
        <f>IFERROR(__xludf.DUMMYFUNCTION("""COMPUTED_VALUE"""),"ACC")</f>
        <v>ACC</v>
      </c>
      <c r="D473" s="38" t="str">
        <f>IFERROR(__xludf.DUMMYFUNCTION("""COMPUTED_VALUE"""),"Y400 series")</f>
        <v>Y400 series</v>
      </c>
      <c r="E473" s="38" t="s">
        <v>11422</v>
      </c>
      <c r="F473" s="38" t="s">
        <v>215</v>
      </c>
      <c r="G473" s="38" t="s">
        <v>11423</v>
      </c>
      <c r="H473" s="38" t="s">
        <v>11424</v>
      </c>
    </row>
    <row r="474">
      <c r="A474" s="37">
        <f>IFERROR(__xludf.DUMMYFUNCTION("""COMPUTED_VALUE"""),45910.41198484954)</f>
        <v>45910.41198</v>
      </c>
      <c r="B474" s="38" t="str">
        <f>IFERROR(__xludf.DUMMYFUNCTION("""COMPUTED_VALUE"""),"AINI RAHMATINI NATALIA MOESTAKIM")</f>
        <v>AINI RAHMATINI NATALIA MOESTAKIM</v>
      </c>
      <c r="C474" s="38" t="str">
        <f>IFERROR(__xludf.DUMMYFUNCTION("""COMPUTED_VALUE"""),"Belum disetujui")</f>
        <v>Belum disetujui</v>
      </c>
      <c r="D474" s="38"/>
      <c r="E474" s="38" t="s">
        <v>11409</v>
      </c>
      <c r="F474" s="38" t="s">
        <v>204</v>
      </c>
      <c r="G474" s="38" t="s">
        <v>11410</v>
      </c>
      <c r="H474" s="38" t="s">
        <v>11399</v>
      </c>
    </row>
    <row r="475">
      <c r="A475" s="37">
        <f>IFERROR(__xludf.DUMMYFUNCTION("""COMPUTED_VALUE"""),45910.41323547454)</f>
        <v>45910.41324</v>
      </c>
      <c r="B475" s="38" t="str">
        <f>IFERROR(__xludf.DUMMYFUNCTION("""COMPUTED_VALUE"""),"AINI RAHMATINI NATALIA MOESTAKIM")</f>
        <v>AINI RAHMATINI NATALIA MOESTAKIM</v>
      </c>
      <c r="C475" s="38" t="str">
        <f>IFERROR(__xludf.DUMMYFUNCTION("""COMPUTED_VALUE"""),"Belum disetujui")</f>
        <v>Belum disetujui</v>
      </c>
      <c r="D475" s="38"/>
      <c r="E475" s="38" t="s">
        <v>11409</v>
      </c>
      <c r="F475" s="38" t="s">
        <v>204</v>
      </c>
      <c r="G475" s="38" t="s">
        <v>11410</v>
      </c>
      <c r="H475" s="38" t="s">
        <v>11399</v>
      </c>
    </row>
    <row r="476">
      <c r="A476" s="37">
        <f>IFERROR(__xludf.DUMMYFUNCTION("""COMPUTED_VALUE"""),45910.41894618055)</f>
        <v>45910.41895</v>
      </c>
      <c r="B476" s="38" t="str">
        <f>IFERROR(__xludf.DUMMYFUNCTION("""COMPUTED_VALUE"""),"YASINTHA MBU")</f>
        <v>YASINTHA MBU</v>
      </c>
      <c r="C476" s="38" t="str">
        <f>IFERROR(__xludf.DUMMYFUNCTION("""COMPUTED_VALUE"""),"Belum disetujui")</f>
        <v>Belum disetujui</v>
      </c>
      <c r="D476" s="38"/>
      <c r="E476" s="38" t="s">
        <v>11407</v>
      </c>
      <c r="F476" s="38" t="s">
        <v>220</v>
      </c>
      <c r="G476" s="38" t="s">
        <v>11408</v>
      </c>
      <c r="H476" s="38" t="s">
        <v>11399</v>
      </c>
    </row>
    <row r="477">
      <c r="A477" s="37">
        <f>IFERROR(__xludf.DUMMYFUNCTION("""COMPUTED_VALUE"""),45910.42226613426)</f>
        <v>45910.42227</v>
      </c>
      <c r="B477" s="38" t="str">
        <f>IFERROR(__xludf.DUMMYFUNCTION("""COMPUTED_VALUE"""),"YASINTHA MBU")</f>
        <v>YASINTHA MBU</v>
      </c>
      <c r="C477" s="38" t="str">
        <f>IFERROR(__xludf.DUMMYFUNCTION("""COMPUTED_VALUE"""),"Belum disetujui")</f>
        <v>Belum disetujui</v>
      </c>
      <c r="D477" s="38"/>
      <c r="E477" s="38" t="s">
        <v>11407</v>
      </c>
      <c r="F477" s="38" t="s">
        <v>220</v>
      </c>
      <c r="G477" s="38" t="s">
        <v>11408</v>
      </c>
      <c r="H477" s="38" t="s">
        <v>11399</v>
      </c>
    </row>
    <row r="478">
      <c r="A478" s="37">
        <f>IFERROR(__xludf.DUMMYFUNCTION("""COMPUTED_VALUE"""),45910.43094940972)</f>
        <v>45910.43095</v>
      </c>
      <c r="B478" s="38" t="str">
        <f>IFERROR(__xludf.DUMMYFUNCTION("""COMPUTED_VALUE"""),"NUR FATIMAH MOLBANG")</f>
        <v>NUR FATIMAH MOLBANG</v>
      </c>
      <c r="C478" s="38" t="str">
        <f>IFERROR(__xludf.DUMMYFUNCTION("""COMPUTED_VALUE"""),"Belum disetujui")</f>
        <v>Belum disetujui</v>
      </c>
      <c r="D478" s="38"/>
      <c r="E478" s="38" t="s">
        <v>11439</v>
      </c>
      <c r="F478" s="38" t="s">
        <v>313</v>
      </c>
      <c r="G478" s="38" t="s">
        <v>11440</v>
      </c>
      <c r="H478" s="38" t="s">
        <v>11424</v>
      </c>
    </row>
    <row r="479">
      <c r="A479" s="37">
        <f>IFERROR(__xludf.DUMMYFUNCTION("""COMPUTED_VALUE"""),45910.43125068287)</f>
        <v>45910.43125</v>
      </c>
      <c r="B479" s="38" t="str">
        <f>IFERROR(__xludf.DUMMYFUNCTION("""COMPUTED_VALUE"""),"YASINTHA MBU")</f>
        <v>YASINTHA MBU</v>
      </c>
      <c r="C479" s="38" t="str">
        <f>IFERROR(__xludf.DUMMYFUNCTION("""COMPUTED_VALUE"""),"Belum disetujui")</f>
        <v>Belum disetujui</v>
      </c>
      <c r="D479" s="38"/>
      <c r="E479" s="38" t="s">
        <v>11407</v>
      </c>
      <c r="F479" s="38" t="s">
        <v>220</v>
      </c>
      <c r="G479" s="38" t="s">
        <v>11408</v>
      </c>
      <c r="H479" s="38" t="s">
        <v>11399</v>
      </c>
    </row>
    <row r="480">
      <c r="A480" s="37">
        <f>IFERROR(__xludf.DUMMYFUNCTION("""COMPUTED_VALUE"""),45910.478924537034)</f>
        <v>45910.47892</v>
      </c>
      <c r="B480" s="38" t="str">
        <f>IFERROR(__xludf.DUMMYFUNCTION("""COMPUTED_VALUE"""),"MARNITHA JUWIKE TIMORATI RUNESI")</f>
        <v>MARNITHA JUWIKE TIMORATI RUNESI</v>
      </c>
      <c r="C480" s="38" t="str">
        <f>IFERROR(__xludf.DUMMYFUNCTION("""COMPUTED_VALUE"""),"Belum disetujui")</f>
        <v>Belum disetujui</v>
      </c>
      <c r="D480" s="38"/>
      <c r="E480" s="38" t="s">
        <v>11420</v>
      </c>
      <c r="F480" s="38" t="s">
        <v>204</v>
      </c>
      <c r="G480" s="38" t="s">
        <v>11421</v>
      </c>
      <c r="H480" s="38" t="s">
        <v>11399</v>
      </c>
    </row>
    <row r="481">
      <c r="A481" s="37">
        <f>IFERROR(__xludf.DUMMYFUNCTION("""COMPUTED_VALUE"""),45910.501766284724)</f>
        <v>45910.50177</v>
      </c>
      <c r="B481" s="38" t="str">
        <f>IFERROR(__xludf.DUMMYFUNCTION("""COMPUTED_VALUE"""),"KESIA NATALIA I. BENU")</f>
        <v>KESIA NATALIA I. BENU</v>
      </c>
      <c r="C481" s="38" t="str">
        <f>IFERROR(__xludf.DUMMYFUNCTION("""COMPUTED_VALUE"""),"Belum disetujui")</f>
        <v>Belum disetujui</v>
      </c>
      <c r="D481" s="38"/>
      <c r="E481" s="38" t="s">
        <v>11417</v>
      </c>
      <c r="F481" s="38" t="s">
        <v>257</v>
      </c>
      <c r="G481" s="38" t="s">
        <v>11418</v>
      </c>
      <c r="H481" s="38" t="s">
        <v>11419</v>
      </c>
    </row>
    <row r="482">
      <c r="A482" s="37">
        <f>IFERROR(__xludf.DUMMYFUNCTION("""COMPUTED_VALUE"""),45910.50288684027)</f>
        <v>45910.50289</v>
      </c>
      <c r="B482" s="38" t="str">
        <f>IFERROR(__xludf.DUMMYFUNCTION("""COMPUTED_VALUE"""),"BERGITHA NIA OLIN")</f>
        <v>BERGITHA NIA OLIN</v>
      </c>
      <c r="C482" s="38" t="str">
        <f>IFERROR(__xludf.DUMMYFUNCTION("""COMPUTED_VALUE"""),"Belum disetujui")</f>
        <v>Belum disetujui</v>
      </c>
      <c r="D482" s="38"/>
      <c r="E482" s="38" t="s">
        <v>11431</v>
      </c>
      <c r="F482" s="38" t="s">
        <v>313</v>
      </c>
      <c r="G482" s="38" t="s">
        <v>11432</v>
      </c>
      <c r="H482" s="38" t="s">
        <v>11424</v>
      </c>
    </row>
    <row r="483">
      <c r="A483" s="37">
        <f>IFERROR(__xludf.DUMMYFUNCTION("""COMPUTED_VALUE"""),45910.50606980324)</f>
        <v>45910.50607</v>
      </c>
      <c r="B483" s="38" t="str">
        <f>IFERROR(__xludf.DUMMYFUNCTION("""COMPUTED_VALUE"""),"AZ ZAHRA SITI ZAINAB")</f>
        <v>AZ ZAHRA SITI ZAINAB</v>
      </c>
      <c r="C483" s="38" t="str">
        <f>IFERROR(__xludf.DUMMYFUNCTION("""COMPUTED_VALUE"""),"Belum disetujui")</f>
        <v>Belum disetujui</v>
      </c>
      <c r="D483" s="38"/>
      <c r="E483" s="38" t="s">
        <v>11462</v>
      </c>
      <c r="F483" s="38" t="s">
        <v>257</v>
      </c>
      <c r="G483" s="38" t="s">
        <v>11463</v>
      </c>
      <c r="H483" s="38" t="s">
        <v>11419</v>
      </c>
    </row>
    <row r="484">
      <c r="A484" s="37">
        <f>IFERROR(__xludf.DUMMYFUNCTION("""COMPUTED_VALUE"""),45910.51992292824)</f>
        <v>45910.51992</v>
      </c>
      <c r="B484" s="38" t="str">
        <f>IFERROR(__xludf.DUMMYFUNCTION("""COMPUTED_VALUE"""),"FEBRIANTHY ELISABET NA'U")</f>
        <v>FEBRIANTHY ELISABET NA'U</v>
      </c>
      <c r="C484" s="38" t="str">
        <f>IFERROR(__xludf.DUMMYFUNCTION("""COMPUTED_VALUE"""),"Belum disetujui")</f>
        <v>Belum disetujui</v>
      </c>
      <c r="D484" s="38"/>
      <c r="E484" s="38" t="s">
        <v>11415</v>
      </c>
      <c r="F484" s="38" t="s">
        <v>204</v>
      </c>
      <c r="G484" s="38" t="s">
        <v>11416</v>
      </c>
      <c r="H484" s="38" t="s">
        <v>11399</v>
      </c>
    </row>
    <row r="485">
      <c r="A485" s="37">
        <f>IFERROR(__xludf.DUMMYFUNCTION("""COMPUTED_VALUE"""),45910.53772353009)</f>
        <v>45910.53772</v>
      </c>
      <c r="B485" s="38" t="str">
        <f>IFERROR(__xludf.DUMMYFUNCTION("""COMPUTED_VALUE"""),"FERI ELI KURNIAWAN")</f>
        <v>FERI ELI KURNIAWAN</v>
      </c>
      <c r="C485" s="38" t="str">
        <f>IFERROR(__xludf.DUMMYFUNCTION("""COMPUTED_VALUE"""),"Belum disetujui")</f>
        <v>Belum disetujui</v>
      </c>
      <c r="D485" s="38"/>
      <c r="E485" s="38" t="s">
        <v>11411</v>
      </c>
      <c r="F485" s="38" t="s">
        <v>220</v>
      </c>
      <c r="G485" s="38" t="s">
        <v>11412</v>
      </c>
      <c r="H485" s="38" t="s">
        <v>11399</v>
      </c>
    </row>
    <row r="486">
      <c r="A486" s="37">
        <f>IFERROR(__xludf.DUMMYFUNCTION("""COMPUTED_VALUE"""),45910.53802496528)</f>
        <v>45910.53802</v>
      </c>
      <c r="B486" s="38" t="str">
        <f>IFERROR(__xludf.DUMMYFUNCTION("""COMPUTED_VALUE"""),"YOHANA NOVIANA MARIANA GAA")</f>
        <v>YOHANA NOVIANA MARIANA GAA</v>
      </c>
      <c r="C486" s="38" t="str">
        <f>IFERROR(__xludf.DUMMYFUNCTION("""COMPUTED_VALUE"""),"Belum disetujui")</f>
        <v>Belum disetujui</v>
      </c>
      <c r="D486" s="38"/>
      <c r="E486" s="38" t="s">
        <v>11400</v>
      </c>
      <c r="F486" s="38" t="s">
        <v>204</v>
      </c>
      <c r="G486" s="38" t="s">
        <v>11401</v>
      </c>
      <c r="H486" s="38" t="s">
        <v>11399</v>
      </c>
    </row>
    <row r="487">
      <c r="A487" s="37">
        <f>IFERROR(__xludf.DUMMYFUNCTION("""COMPUTED_VALUE"""),45910.549069525456)</f>
        <v>45910.54907</v>
      </c>
      <c r="B487" s="38" t="str">
        <f>IFERROR(__xludf.DUMMYFUNCTION("""COMPUTED_VALUE"""),"SULIS NURAINI INSYATUN")</f>
        <v>SULIS NURAINI INSYATUN</v>
      </c>
      <c r="C487" s="38" t="str">
        <f>IFERROR(__xludf.DUMMYFUNCTION("""COMPUTED_VALUE"""),"Belum disetujui")</f>
        <v>Belum disetujui</v>
      </c>
      <c r="D487" s="38"/>
      <c r="E487" s="38" t="s">
        <v>11429</v>
      </c>
      <c r="F487" s="38" t="s">
        <v>257</v>
      </c>
      <c r="G487" s="38" t="s">
        <v>11430</v>
      </c>
      <c r="H487" s="38" t="s">
        <v>11419</v>
      </c>
    </row>
    <row r="488">
      <c r="A488" s="37">
        <f>IFERROR(__xludf.DUMMYFUNCTION("""COMPUTED_VALUE"""),45910.55073372685)</f>
        <v>45910.55073</v>
      </c>
      <c r="B488" s="38" t="str">
        <f>IFERROR(__xludf.DUMMYFUNCTION("""COMPUTED_VALUE"""),"DEMARISTI S H FENI")</f>
        <v>DEMARISTI S H FENI</v>
      </c>
      <c r="C488" s="38" t="str">
        <f>IFERROR(__xludf.DUMMYFUNCTION("""COMPUTED_VALUE"""),"Belum disetujui")</f>
        <v>Belum disetujui</v>
      </c>
      <c r="D488" s="38"/>
      <c r="E488" s="38" t="s">
        <v>11404</v>
      </c>
      <c r="F488" s="38" t="s">
        <v>11404</v>
      </c>
      <c r="G488" s="38" t="s">
        <v>11404</v>
      </c>
      <c r="H488" s="38" t="s">
        <v>11404</v>
      </c>
    </row>
    <row r="489">
      <c r="A489" s="37">
        <f>IFERROR(__xludf.DUMMYFUNCTION("""COMPUTED_VALUE"""),45910.55128682871)</f>
        <v>45910.55129</v>
      </c>
      <c r="B489" s="38" t="str">
        <f>IFERROR(__xludf.DUMMYFUNCTION("""COMPUTED_VALUE"""),"NOVANTRY RUTHANIA NAFFIE")</f>
        <v>NOVANTRY RUTHANIA NAFFIE</v>
      </c>
      <c r="C489" s="38" t="str">
        <f>IFERROR(__xludf.DUMMYFUNCTION("""COMPUTED_VALUE"""),"ACC")</f>
        <v>ACC</v>
      </c>
      <c r="D489" s="38" t="str">
        <f>IFERROR(__xludf.DUMMYFUNCTION("""COMPUTED_VALUE"""),"Y400 series")</f>
        <v>Y400 series</v>
      </c>
      <c r="E489" s="38" t="s">
        <v>11397</v>
      </c>
      <c r="F489" s="38" t="s">
        <v>220</v>
      </c>
      <c r="G489" s="38" t="s">
        <v>11398</v>
      </c>
      <c r="H489" s="38" t="s">
        <v>11399</v>
      </c>
    </row>
    <row r="490">
      <c r="A490" s="37">
        <f>IFERROR(__xludf.DUMMYFUNCTION("""COMPUTED_VALUE"""),45910.588658472225)</f>
        <v>45910.58866</v>
      </c>
      <c r="B490" s="38" t="str">
        <f>IFERROR(__xludf.DUMMYFUNCTION("""COMPUTED_VALUE"""),"NOVLIANA BARBALINA MISA")</f>
        <v>NOVLIANA BARBALINA MISA</v>
      </c>
      <c r="C490" s="38" t="str">
        <f>IFERROR(__xludf.DUMMYFUNCTION("""COMPUTED_VALUE"""),"Belum disetujui")</f>
        <v>Belum disetujui</v>
      </c>
      <c r="D490" s="38"/>
      <c r="E490" s="38" t="s">
        <v>11454</v>
      </c>
      <c r="F490" s="38" t="s">
        <v>205</v>
      </c>
      <c r="G490" s="38" t="s">
        <v>11455</v>
      </c>
      <c r="H490" s="38" t="s">
        <v>11419</v>
      </c>
    </row>
    <row r="491">
      <c r="A491" s="37">
        <f>IFERROR(__xludf.DUMMYFUNCTION("""COMPUTED_VALUE"""),45910.591020555556)</f>
        <v>45910.59102</v>
      </c>
      <c r="B491" s="38" t="str">
        <f>IFERROR(__xludf.DUMMYFUNCTION("""COMPUTED_VALUE"""),"MERDA PUTRI BUNGSU KENAT")</f>
        <v>MERDA PUTRI BUNGSU KENAT</v>
      </c>
      <c r="C491" s="38" t="str">
        <f>IFERROR(__xludf.DUMMYFUNCTION("""COMPUTED_VALUE"""),"ACC")</f>
        <v>ACC</v>
      </c>
      <c r="D491" s="38" t="str">
        <f>IFERROR(__xludf.DUMMYFUNCTION("""COMPUTED_VALUE"""),"Y400 series")</f>
        <v>Y400 series</v>
      </c>
      <c r="E491" s="38" t="s">
        <v>11422</v>
      </c>
      <c r="F491" s="38" t="s">
        <v>215</v>
      </c>
      <c r="G491" s="38" t="s">
        <v>11423</v>
      </c>
      <c r="H491" s="38" t="s">
        <v>11424</v>
      </c>
    </row>
    <row r="492">
      <c r="A492" s="37">
        <f>IFERROR(__xludf.DUMMYFUNCTION("""COMPUTED_VALUE"""),45910.59170114583)</f>
        <v>45910.5917</v>
      </c>
      <c r="B492" s="38" t="str">
        <f>IFERROR(__xludf.DUMMYFUNCTION("""COMPUTED_VALUE"""),"NOVLIANA BARBALINA MISA")</f>
        <v>NOVLIANA BARBALINA MISA</v>
      </c>
      <c r="C492" s="38" t="str">
        <f>IFERROR(__xludf.DUMMYFUNCTION("""COMPUTED_VALUE"""),"Belum disetujui")</f>
        <v>Belum disetujui</v>
      </c>
      <c r="D492" s="38"/>
      <c r="E492" s="38" t="s">
        <v>11454</v>
      </c>
      <c r="F492" s="38" t="s">
        <v>205</v>
      </c>
      <c r="G492" s="38" t="s">
        <v>11455</v>
      </c>
      <c r="H492" s="38" t="s">
        <v>11419</v>
      </c>
    </row>
    <row r="493">
      <c r="A493" s="37">
        <f>IFERROR(__xludf.DUMMYFUNCTION("""COMPUTED_VALUE"""),45910.5952084375)</f>
        <v>45910.59521</v>
      </c>
      <c r="B493" s="38" t="str">
        <f>IFERROR(__xludf.DUMMYFUNCTION("""COMPUTED_VALUE"""),"SELVINCE BAKO")</f>
        <v>SELVINCE BAKO</v>
      </c>
      <c r="C493" s="38" t="str">
        <f>IFERROR(__xludf.DUMMYFUNCTION("""COMPUTED_VALUE"""),"Belum disetujui")</f>
        <v>Belum disetujui</v>
      </c>
      <c r="D493" s="38"/>
      <c r="E493" s="38" t="s">
        <v>11413</v>
      </c>
      <c r="F493" s="38" t="s">
        <v>204</v>
      </c>
      <c r="G493" s="38" t="s">
        <v>11414</v>
      </c>
      <c r="H493" s="38" t="s">
        <v>11399</v>
      </c>
    </row>
    <row r="494">
      <c r="A494" s="37">
        <f>IFERROR(__xludf.DUMMYFUNCTION("""COMPUTED_VALUE"""),45910.60415013889)</f>
        <v>45910.60415</v>
      </c>
      <c r="B494" s="38" t="str">
        <f>IFERROR(__xludf.DUMMYFUNCTION("""COMPUTED_VALUE"""),"IRENE NOVALIA KADJU")</f>
        <v>IRENE NOVALIA KADJU</v>
      </c>
      <c r="C494" s="38" t="str">
        <f>IFERROR(__xludf.DUMMYFUNCTION("""COMPUTED_VALUE"""),"Belum disetujui")</f>
        <v>Belum disetujui</v>
      </c>
      <c r="D494" s="38"/>
      <c r="E494" s="38" t="s">
        <v>11445</v>
      </c>
      <c r="F494" s="38" t="s">
        <v>204</v>
      </c>
      <c r="G494" s="38" t="s">
        <v>11446</v>
      </c>
      <c r="H494" s="38" t="s">
        <v>11399</v>
      </c>
    </row>
    <row r="495">
      <c r="A495" s="37">
        <f>IFERROR(__xludf.DUMMYFUNCTION("""COMPUTED_VALUE"""),45910.60589261574)</f>
        <v>45910.60589</v>
      </c>
      <c r="B495" s="38" t="str">
        <f>IFERROR(__xludf.DUMMYFUNCTION("""COMPUTED_VALUE"""),"IRENE NOVALIA KADJU")</f>
        <v>IRENE NOVALIA KADJU</v>
      </c>
      <c r="C495" s="38" t="str">
        <f>IFERROR(__xludf.DUMMYFUNCTION("""COMPUTED_VALUE"""),"Belum disetujui")</f>
        <v>Belum disetujui</v>
      </c>
      <c r="D495" s="38"/>
      <c r="E495" s="38" t="s">
        <v>11445</v>
      </c>
      <c r="F495" s="38" t="s">
        <v>204</v>
      </c>
      <c r="G495" s="38" t="s">
        <v>11446</v>
      </c>
      <c r="H495" s="38" t="s">
        <v>11399</v>
      </c>
    </row>
    <row r="496">
      <c r="A496" s="37">
        <f>IFERROR(__xludf.DUMMYFUNCTION("""COMPUTED_VALUE"""),45910.62390969907)</f>
        <v>45910.62391</v>
      </c>
      <c r="B496" s="38" t="str">
        <f>IFERROR(__xludf.DUMMYFUNCTION("""COMPUTED_VALUE"""),"IRENE NOVALIA KADJU")</f>
        <v>IRENE NOVALIA KADJU</v>
      </c>
      <c r="C496" s="38" t="str">
        <f>IFERROR(__xludf.DUMMYFUNCTION("""COMPUTED_VALUE"""),"Belum disetujui")</f>
        <v>Belum disetujui</v>
      </c>
      <c r="D496" s="38"/>
      <c r="E496" s="38" t="s">
        <v>11445</v>
      </c>
      <c r="F496" s="38" t="s">
        <v>204</v>
      </c>
      <c r="G496" s="38" t="s">
        <v>11446</v>
      </c>
      <c r="H496" s="38" t="s">
        <v>11399</v>
      </c>
    </row>
    <row r="497">
      <c r="A497" s="37">
        <f>IFERROR(__xludf.DUMMYFUNCTION("""COMPUTED_VALUE"""),45910.71296391204)</f>
        <v>45910.71296</v>
      </c>
      <c r="B497" s="38" t="str">
        <f>IFERROR(__xludf.DUMMYFUNCTION("""COMPUTED_VALUE"""),"YOMELIANA MARIA MAGNO")</f>
        <v>YOMELIANA MARIA MAGNO</v>
      </c>
      <c r="C497" s="38" t="str">
        <f>IFERROR(__xludf.DUMMYFUNCTION("""COMPUTED_VALUE"""),"Belum disetujui")</f>
        <v>Belum disetujui</v>
      </c>
      <c r="D497" s="38"/>
      <c r="E497" s="38" t="s">
        <v>11460</v>
      </c>
      <c r="F497" s="38" t="s">
        <v>871</v>
      </c>
      <c r="G497" s="38" t="s">
        <v>11461</v>
      </c>
      <c r="H497" s="38" t="s">
        <v>11424</v>
      </c>
    </row>
    <row r="498">
      <c r="A498" s="37">
        <f>IFERROR(__xludf.DUMMYFUNCTION("""COMPUTED_VALUE"""),45910.72288149306)</f>
        <v>45910.72288</v>
      </c>
      <c r="B498" s="38" t="str">
        <f>IFERROR(__xludf.DUMMYFUNCTION("""COMPUTED_VALUE"""),"WINDRI MANOE")</f>
        <v>WINDRI MANOE</v>
      </c>
      <c r="C498" s="38" t="str">
        <f>IFERROR(__xludf.DUMMYFUNCTION("""COMPUTED_VALUE"""),"Belum disetujui")</f>
        <v>Belum disetujui</v>
      </c>
      <c r="D498" s="38"/>
      <c r="E498" s="38" t="s">
        <v>11443</v>
      </c>
      <c r="F498" s="38" t="s">
        <v>220</v>
      </c>
      <c r="G498" s="38" t="s">
        <v>11444</v>
      </c>
      <c r="H498" s="38" t="s">
        <v>11399</v>
      </c>
    </row>
    <row r="499">
      <c r="A499" s="37">
        <f>IFERROR(__xludf.DUMMYFUNCTION("""COMPUTED_VALUE"""),45910.722967800924)</f>
        <v>45910.72297</v>
      </c>
      <c r="B499" s="38" t="str">
        <f>IFERROR(__xludf.DUMMYFUNCTION("""COMPUTED_VALUE"""),"MARNITHA JUWIKE TIMORATI RUNESI")</f>
        <v>MARNITHA JUWIKE TIMORATI RUNESI</v>
      </c>
      <c r="C499" s="38" t="str">
        <f>IFERROR(__xludf.DUMMYFUNCTION("""COMPUTED_VALUE"""),"ACC")</f>
        <v>ACC</v>
      </c>
      <c r="D499" s="38" t="str">
        <f>IFERROR(__xludf.DUMMYFUNCTION("""COMPUTED_VALUE"""),"Y400 series")</f>
        <v>Y400 series</v>
      </c>
      <c r="E499" s="38" t="s">
        <v>11420</v>
      </c>
      <c r="F499" s="38" t="s">
        <v>204</v>
      </c>
      <c r="G499" s="38" t="s">
        <v>11421</v>
      </c>
      <c r="H499" s="38" t="s">
        <v>11399</v>
      </c>
    </row>
    <row r="500">
      <c r="A500" s="37">
        <f>IFERROR(__xludf.DUMMYFUNCTION("""COMPUTED_VALUE"""),45910.724478310185)</f>
        <v>45910.72448</v>
      </c>
      <c r="B500" s="38" t="str">
        <f>IFERROR(__xludf.DUMMYFUNCTION("""COMPUTED_VALUE"""),"MARNITHA JUWIKE TIMORATI RUNESI")</f>
        <v>MARNITHA JUWIKE TIMORATI RUNESI</v>
      </c>
      <c r="C500" s="38" t="str">
        <f>IFERROR(__xludf.DUMMYFUNCTION("""COMPUTED_VALUE"""),"ACC")</f>
        <v>ACC</v>
      </c>
      <c r="D500" s="38" t="str">
        <f>IFERROR(__xludf.DUMMYFUNCTION("""COMPUTED_VALUE"""),"Y400 series")</f>
        <v>Y400 series</v>
      </c>
      <c r="E500" s="38" t="s">
        <v>11420</v>
      </c>
      <c r="F500" s="38" t="s">
        <v>204</v>
      </c>
      <c r="G500" s="38" t="s">
        <v>11421</v>
      </c>
      <c r="H500" s="38" t="s">
        <v>11399</v>
      </c>
    </row>
    <row r="501">
      <c r="A501" s="37">
        <f>IFERROR(__xludf.DUMMYFUNCTION("""COMPUTED_VALUE"""),45910.72519339121)</f>
        <v>45910.72519</v>
      </c>
      <c r="B501" s="38" t="str">
        <f>IFERROR(__xludf.DUMMYFUNCTION("""COMPUTED_VALUE"""),"YOHANIS TIPNONI")</f>
        <v>YOHANIS TIPNONI</v>
      </c>
      <c r="C501" s="38" t="str">
        <f>IFERROR(__xludf.DUMMYFUNCTION("""COMPUTED_VALUE"""),"Belum disetujui")</f>
        <v>Belum disetujui</v>
      </c>
      <c r="D501" s="38"/>
      <c r="E501" s="38" t="s">
        <v>11405</v>
      </c>
      <c r="F501" s="38" t="s">
        <v>220</v>
      </c>
      <c r="G501" s="38" t="s">
        <v>11406</v>
      </c>
      <c r="H501" s="38" t="s">
        <v>11399</v>
      </c>
    </row>
    <row r="502">
      <c r="A502" s="37">
        <f>IFERROR(__xludf.DUMMYFUNCTION("""COMPUTED_VALUE"""),45910.7345672338)</f>
        <v>45910.73457</v>
      </c>
      <c r="B502" s="38" t="str">
        <f>IFERROR(__xludf.DUMMYFUNCTION("""COMPUTED_VALUE"""),"YASINTHA MBU")</f>
        <v>YASINTHA MBU</v>
      </c>
      <c r="C502" s="38" t="str">
        <f>IFERROR(__xludf.DUMMYFUNCTION("""COMPUTED_VALUE"""),"Belum disetujui")</f>
        <v>Belum disetujui</v>
      </c>
      <c r="D502" s="38"/>
      <c r="E502" s="38" t="s">
        <v>11407</v>
      </c>
      <c r="F502" s="38" t="s">
        <v>220</v>
      </c>
      <c r="G502" s="38" t="s">
        <v>11408</v>
      </c>
      <c r="H502" s="38" t="s">
        <v>11399</v>
      </c>
    </row>
    <row r="503">
      <c r="A503" s="37">
        <f>IFERROR(__xludf.DUMMYFUNCTION("""COMPUTED_VALUE"""),45910.73776369214)</f>
        <v>45910.73776</v>
      </c>
      <c r="B503" s="38" t="str">
        <f>IFERROR(__xludf.DUMMYFUNCTION("""COMPUTED_VALUE"""),"TERSIANA KADJA PAU")</f>
        <v>TERSIANA KADJA PAU</v>
      </c>
      <c r="C503" s="38" t="str">
        <f>IFERROR(__xludf.DUMMYFUNCTION("""COMPUTED_VALUE"""),"Belum disetujui")</f>
        <v>Belum disetujui</v>
      </c>
      <c r="D503" s="38"/>
      <c r="E503" s="38" t="s">
        <v>11411</v>
      </c>
      <c r="F503" s="38" t="s">
        <v>220</v>
      </c>
      <c r="G503" s="38" t="s">
        <v>11412</v>
      </c>
      <c r="H503" s="38" t="s">
        <v>11399</v>
      </c>
    </row>
    <row r="504">
      <c r="A504" s="37">
        <f>IFERROR(__xludf.DUMMYFUNCTION("""COMPUTED_VALUE"""),45910.74717997685)</f>
        <v>45910.74718</v>
      </c>
      <c r="B504" s="38" t="str">
        <f>IFERROR(__xludf.DUMMYFUNCTION("""COMPUTED_VALUE"""),"IDMAL YUSDIRAN YUSUF")</f>
        <v>IDMAL YUSDIRAN YUSUF</v>
      </c>
      <c r="C504" s="38" t="str">
        <f>IFERROR(__xludf.DUMMYFUNCTION("""COMPUTED_VALUE"""),"Belum disetujui")</f>
        <v>Belum disetujui</v>
      </c>
      <c r="D504" s="38"/>
      <c r="E504" s="38" t="s">
        <v>11417</v>
      </c>
      <c r="F504" s="38" t="s">
        <v>257</v>
      </c>
      <c r="G504" s="38" t="s">
        <v>11418</v>
      </c>
      <c r="H504" s="38" t="s">
        <v>11419</v>
      </c>
    </row>
    <row r="505">
      <c r="A505" s="37">
        <f>IFERROR(__xludf.DUMMYFUNCTION("""COMPUTED_VALUE"""),45910.74730059028)</f>
        <v>45910.7473</v>
      </c>
      <c r="B505" s="38" t="str">
        <f>IFERROR(__xludf.DUMMYFUNCTION("""COMPUTED_VALUE"""),"ADRIANA")</f>
        <v>ADRIANA</v>
      </c>
      <c r="C505" s="38" t="str">
        <f>IFERROR(__xludf.DUMMYFUNCTION("""COMPUTED_VALUE"""),"Belum disetujui")</f>
        <v>Belum disetujui</v>
      </c>
      <c r="D505" s="38"/>
      <c r="E505" s="38" t="s">
        <v>11433</v>
      </c>
      <c r="F505" s="38" t="s">
        <v>313</v>
      </c>
      <c r="G505" s="38" t="s">
        <v>11434</v>
      </c>
      <c r="H505" s="38" t="s">
        <v>11424</v>
      </c>
    </row>
    <row r="506">
      <c r="A506" s="37">
        <f>IFERROR(__xludf.DUMMYFUNCTION("""COMPUTED_VALUE"""),45910.77342868056)</f>
        <v>45910.77343</v>
      </c>
      <c r="B506" s="38" t="str">
        <f>IFERROR(__xludf.DUMMYFUNCTION("""COMPUTED_VALUE"""),"AINI RAHMATINI NATALIA MOESTAKIM")</f>
        <v>AINI RAHMATINI NATALIA MOESTAKIM</v>
      </c>
      <c r="C506" s="38" t="str">
        <f>IFERROR(__xludf.DUMMYFUNCTION("""COMPUTED_VALUE"""),"Belum disetujui")</f>
        <v>Belum disetujui</v>
      </c>
      <c r="D506" s="38"/>
      <c r="E506" s="38" t="s">
        <v>11409</v>
      </c>
      <c r="F506" s="38" t="s">
        <v>204</v>
      </c>
      <c r="G506" s="38" t="s">
        <v>11410</v>
      </c>
      <c r="H506" s="38" t="s">
        <v>11399</v>
      </c>
    </row>
    <row r="507">
      <c r="A507" s="37">
        <f>IFERROR(__xludf.DUMMYFUNCTION("""COMPUTED_VALUE"""),45910.77638695602)</f>
        <v>45910.77639</v>
      </c>
      <c r="B507" s="38" t="str">
        <f>IFERROR(__xludf.DUMMYFUNCTION("""COMPUTED_VALUE"""),"PRETI SISILIA SILA")</f>
        <v>PRETI SISILIA SILA</v>
      </c>
      <c r="C507" s="38" t="str">
        <f>IFERROR(__xludf.DUMMYFUNCTION("""COMPUTED_VALUE"""),"Belum disetujui")</f>
        <v>Belum disetujui</v>
      </c>
      <c r="D507" s="38"/>
      <c r="E507" s="38" t="s">
        <v>11456</v>
      </c>
      <c r="F507" s="38" t="s">
        <v>667</v>
      </c>
      <c r="G507" s="38" t="s">
        <v>11457</v>
      </c>
      <c r="H507" s="38" t="s">
        <v>11424</v>
      </c>
    </row>
    <row r="508">
      <c r="A508" s="37">
        <f>IFERROR(__xludf.DUMMYFUNCTION("""COMPUTED_VALUE"""),45910.78186854167)</f>
        <v>45910.78187</v>
      </c>
      <c r="B508" s="38" t="str">
        <f>IFERROR(__xludf.DUMMYFUNCTION("""COMPUTED_VALUE"""),"YOHANIS TIPNONI")</f>
        <v>YOHANIS TIPNONI</v>
      </c>
      <c r="C508" s="38" t="str">
        <f>IFERROR(__xludf.DUMMYFUNCTION("""COMPUTED_VALUE"""),"Dapat limit tapi belum diproses")</f>
        <v>Dapat limit tapi belum diproses</v>
      </c>
      <c r="D508" s="38" t="str">
        <f>IFERROR(__xludf.DUMMYFUNCTION("""COMPUTED_VALUE"""),"Y400 series")</f>
        <v>Y400 series</v>
      </c>
      <c r="E508" s="38" t="s">
        <v>11405</v>
      </c>
      <c r="F508" s="38" t="s">
        <v>220</v>
      </c>
      <c r="G508" s="38" t="s">
        <v>11406</v>
      </c>
      <c r="H508" s="38" t="s">
        <v>11399</v>
      </c>
    </row>
    <row r="509">
      <c r="A509" s="37">
        <f>IFERROR(__xludf.DUMMYFUNCTION("""COMPUTED_VALUE"""),45910.79651165509)</f>
        <v>45910.79651</v>
      </c>
      <c r="B509" s="38" t="str">
        <f>IFERROR(__xludf.DUMMYFUNCTION("""COMPUTED_VALUE"""),"ASTUTI BELA WAWO")</f>
        <v>ASTUTI BELA WAWO</v>
      </c>
      <c r="C509" s="38" t="str">
        <f>IFERROR(__xludf.DUMMYFUNCTION("""COMPUTED_VALUE"""),"ACC")</f>
        <v>ACC</v>
      </c>
      <c r="D509" s="38" t="str">
        <f>IFERROR(__xludf.DUMMYFUNCTION("""COMPUTED_VALUE"""),"V50 Lite series")</f>
        <v>V50 Lite series</v>
      </c>
      <c r="E509" s="38" t="s">
        <v>11427</v>
      </c>
      <c r="F509" s="38" t="s">
        <v>257</v>
      </c>
      <c r="G509" s="38" t="s">
        <v>11428</v>
      </c>
      <c r="H509" s="38" t="s">
        <v>11419</v>
      </c>
    </row>
    <row r="510">
      <c r="A510" s="37">
        <f>IFERROR(__xludf.DUMMYFUNCTION("""COMPUTED_VALUE"""),45910.79840886574)</f>
        <v>45910.79841</v>
      </c>
      <c r="B510" s="38" t="str">
        <f>IFERROR(__xludf.DUMMYFUNCTION("""COMPUTED_VALUE"""),"DEMARISTI S H FENI")</f>
        <v>DEMARISTI S H FENI</v>
      </c>
      <c r="C510" s="38" t="str">
        <f>IFERROR(__xludf.DUMMYFUNCTION("""COMPUTED_VALUE"""),"Belum disetujui")</f>
        <v>Belum disetujui</v>
      </c>
      <c r="D510" s="38"/>
      <c r="E510" s="38" t="s">
        <v>11404</v>
      </c>
      <c r="F510" s="38" t="s">
        <v>11404</v>
      </c>
      <c r="G510" s="38" t="s">
        <v>11404</v>
      </c>
      <c r="H510" s="38" t="s">
        <v>11404</v>
      </c>
    </row>
    <row r="511">
      <c r="A511" s="37">
        <f>IFERROR(__xludf.DUMMYFUNCTION("""COMPUTED_VALUE"""),45910.804269293985)</f>
        <v>45910.80427</v>
      </c>
      <c r="B511" s="38" t="str">
        <f>IFERROR(__xludf.DUMMYFUNCTION("""COMPUTED_VALUE"""),"MEXY ALEXANDER HETMINA")</f>
        <v>MEXY ALEXANDER HETMINA</v>
      </c>
      <c r="C511" s="38" t="str">
        <f>IFERROR(__xludf.DUMMYFUNCTION("""COMPUTED_VALUE"""),"Dapat limit tapi belum diproses")</f>
        <v>Dapat limit tapi belum diproses</v>
      </c>
      <c r="D511" s="38" t="str">
        <f>IFERROR(__xludf.DUMMYFUNCTION("""COMPUTED_VALUE"""),"Y400 series")</f>
        <v>Y400 series</v>
      </c>
      <c r="E511" s="38" t="s">
        <v>11413</v>
      </c>
      <c r="F511" s="38" t="s">
        <v>204</v>
      </c>
      <c r="G511" s="38" t="s">
        <v>11414</v>
      </c>
      <c r="H511" s="38" t="s">
        <v>11399</v>
      </c>
    </row>
    <row r="512">
      <c r="A512" s="37">
        <f>IFERROR(__xludf.DUMMYFUNCTION("""COMPUTED_VALUE"""),45910.81856523148)</f>
        <v>45910.81857</v>
      </c>
      <c r="B512" s="38" t="str">
        <f>IFERROR(__xludf.DUMMYFUNCTION("""COMPUTED_VALUE"""),"MARNITHA JUWIKE TIMORATI RUNESI")</f>
        <v>MARNITHA JUWIKE TIMORATI RUNESI</v>
      </c>
      <c r="C512" s="38" t="str">
        <f>IFERROR(__xludf.DUMMYFUNCTION("""COMPUTED_VALUE"""),"Dapat limit tapi belum diproses")</f>
        <v>Dapat limit tapi belum diproses</v>
      </c>
      <c r="D512" s="38" t="str">
        <f>IFERROR(__xludf.DUMMYFUNCTION("""COMPUTED_VALUE"""),"Y400 series")</f>
        <v>Y400 series</v>
      </c>
      <c r="E512" s="38" t="s">
        <v>11420</v>
      </c>
      <c r="F512" s="38" t="s">
        <v>204</v>
      </c>
      <c r="G512" s="38" t="s">
        <v>11421</v>
      </c>
      <c r="H512" s="38" t="s">
        <v>11399</v>
      </c>
    </row>
    <row r="513">
      <c r="A513" s="37">
        <f>IFERROR(__xludf.DUMMYFUNCTION("""COMPUTED_VALUE"""),45910.8213274537)</f>
        <v>45910.82133</v>
      </c>
      <c r="B513" s="38" t="str">
        <f>IFERROR(__xludf.DUMMYFUNCTION("""COMPUTED_VALUE"""),"DEMARISTI S H FENI")</f>
        <v>DEMARISTI S H FENI</v>
      </c>
      <c r="C513" s="38" t="str">
        <f>IFERROR(__xludf.DUMMYFUNCTION("""COMPUTED_VALUE"""),"Belum disetujui")</f>
        <v>Belum disetujui</v>
      </c>
      <c r="D513" s="38"/>
      <c r="E513" s="38" t="s">
        <v>11404</v>
      </c>
      <c r="F513" s="38" t="s">
        <v>11404</v>
      </c>
      <c r="G513" s="38" t="s">
        <v>11404</v>
      </c>
      <c r="H513" s="38" t="s">
        <v>11404</v>
      </c>
    </row>
    <row r="514">
      <c r="A514" s="37">
        <f>IFERROR(__xludf.DUMMYFUNCTION("""COMPUTED_VALUE"""),45910.82169819444)</f>
        <v>45910.8217</v>
      </c>
      <c r="B514" s="38" t="str">
        <f>IFERROR(__xludf.DUMMYFUNCTION("""COMPUTED_VALUE"""),"SANTI MARIA LUKMINI NAHAK")</f>
        <v>SANTI MARIA LUKMINI NAHAK</v>
      </c>
      <c r="C514" s="38" t="str">
        <f>IFERROR(__xludf.DUMMYFUNCTION("""COMPUTED_VALUE"""),"Belum disetujui")</f>
        <v>Belum disetujui</v>
      </c>
      <c r="D514" s="38"/>
      <c r="E514" s="38" t="s">
        <v>11460</v>
      </c>
      <c r="F514" s="38" t="s">
        <v>871</v>
      </c>
      <c r="G514" s="38" t="s">
        <v>11461</v>
      </c>
      <c r="H514" s="38" t="s">
        <v>11424</v>
      </c>
    </row>
    <row r="515">
      <c r="A515" s="37">
        <f>IFERROR(__xludf.DUMMYFUNCTION("""COMPUTED_VALUE"""),45910.82522814815)</f>
        <v>45910.82523</v>
      </c>
      <c r="B515" s="38" t="str">
        <f>IFERROR(__xludf.DUMMYFUNCTION("""COMPUTED_VALUE"""),"ASRI NINGSI RAMBU ATA ENDI")</f>
        <v>ASRI NINGSI RAMBU ATA ENDI</v>
      </c>
      <c r="C515" s="38" t="str">
        <f>IFERROR(__xludf.DUMMYFUNCTION("""COMPUTED_VALUE"""),"Belum disetujui")</f>
        <v>Belum disetujui</v>
      </c>
      <c r="D515" s="38"/>
      <c r="E515" s="38" t="s">
        <v>11441</v>
      </c>
      <c r="F515" s="38" t="s">
        <v>205</v>
      </c>
      <c r="G515" s="38" t="s">
        <v>11442</v>
      </c>
      <c r="H515" s="38" t="s">
        <v>11419</v>
      </c>
    </row>
    <row r="516">
      <c r="A516" s="37">
        <f>IFERROR(__xludf.DUMMYFUNCTION("""COMPUTED_VALUE"""),45910.850796273146)</f>
        <v>45910.8508</v>
      </c>
      <c r="B516" s="38" t="str">
        <f>IFERROR(__xludf.DUMMYFUNCTION("""COMPUTED_VALUE"""),"ROS YANE KANA LUDJI")</f>
        <v>ROS YANE KANA LUDJI</v>
      </c>
      <c r="C516" s="38" t="str">
        <f>IFERROR(__xludf.DUMMYFUNCTION("""COMPUTED_VALUE"""),"Dapat limit tapi belum diproses")</f>
        <v>Dapat limit tapi belum diproses</v>
      </c>
      <c r="D516" s="38" t="str">
        <f>IFERROR(__xludf.DUMMYFUNCTION("""COMPUTED_VALUE"""),"Y29 series")</f>
        <v>Y29 series</v>
      </c>
      <c r="E516" s="38" t="s">
        <v>11437</v>
      </c>
      <c r="F516" s="38" t="s">
        <v>204</v>
      </c>
      <c r="G516" s="38" t="s">
        <v>11438</v>
      </c>
      <c r="H516" s="38" t="s">
        <v>11399</v>
      </c>
    </row>
    <row r="517">
      <c r="A517" s="37">
        <f>IFERROR(__xludf.DUMMYFUNCTION("""COMPUTED_VALUE"""),45910.85388416667)</f>
        <v>45910.85388</v>
      </c>
      <c r="B517" s="38" t="str">
        <f>IFERROR(__xludf.DUMMYFUNCTION("""COMPUTED_VALUE"""),"ROS YANE KANA LUDJI")</f>
        <v>ROS YANE KANA LUDJI</v>
      </c>
      <c r="C517" s="38" t="str">
        <f>IFERROR(__xludf.DUMMYFUNCTION("""COMPUTED_VALUE"""),"Dapat limit tapi belum diproses")</f>
        <v>Dapat limit tapi belum diproses</v>
      </c>
      <c r="D517" s="38" t="str">
        <f>IFERROR(__xludf.DUMMYFUNCTION("""COMPUTED_VALUE"""),"Y29 series")</f>
        <v>Y29 series</v>
      </c>
      <c r="E517" s="38" t="s">
        <v>11437</v>
      </c>
      <c r="F517" s="38" t="s">
        <v>204</v>
      </c>
      <c r="G517" s="38" t="s">
        <v>11438</v>
      </c>
      <c r="H517" s="38" t="s">
        <v>11399</v>
      </c>
    </row>
    <row r="518">
      <c r="A518" s="37">
        <f>IFERROR(__xludf.DUMMYFUNCTION("""COMPUTED_VALUE"""),45910.85806949074)</f>
        <v>45910.85807</v>
      </c>
      <c r="B518" s="38" t="str">
        <f>IFERROR(__xludf.DUMMYFUNCTION("""COMPUTED_VALUE"""),"LINDA MELSIANA ELLO")</f>
        <v>LINDA MELSIANA ELLO</v>
      </c>
      <c r="C518" s="38" t="str">
        <f>IFERROR(__xludf.DUMMYFUNCTION("""COMPUTED_VALUE"""),"Dapat limit tapi belum diproses")</f>
        <v>Dapat limit tapi belum diproses</v>
      </c>
      <c r="D518" s="38" t="str">
        <f>IFERROR(__xludf.DUMMYFUNCTION("""COMPUTED_VALUE"""),"Y400 series")</f>
        <v>Y400 series</v>
      </c>
      <c r="E518" s="38" t="s">
        <v>11435</v>
      </c>
      <c r="F518" s="38" t="s">
        <v>215</v>
      </c>
      <c r="G518" s="38" t="s">
        <v>11436</v>
      </c>
      <c r="H518" s="38" t="s">
        <v>11424</v>
      </c>
    </row>
    <row r="519">
      <c r="A519" s="37">
        <f>IFERROR(__xludf.DUMMYFUNCTION("""COMPUTED_VALUE"""),45910.86989667824)</f>
        <v>45910.8699</v>
      </c>
      <c r="B519" s="38" t="str">
        <f>IFERROR(__xludf.DUMMYFUNCTION("""COMPUTED_VALUE"""),"FERI ELI KURNIAWAN")</f>
        <v>FERI ELI KURNIAWAN</v>
      </c>
      <c r="C519" s="38" t="str">
        <f>IFERROR(__xludf.DUMMYFUNCTION("""COMPUTED_VALUE"""),"Belum disetujui")</f>
        <v>Belum disetujui</v>
      </c>
      <c r="D519" s="38"/>
      <c r="E519" s="38" t="s">
        <v>11411</v>
      </c>
      <c r="F519" s="38" t="s">
        <v>220</v>
      </c>
      <c r="G519" s="38" t="s">
        <v>11412</v>
      </c>
      <c r="H519" s="38" t="s">
        <v>11399</v>
      </c>
    </row>
    <row r="520">
      <c r="A520" s="37">
        <f>IFERROR(__xludf.DUMMYFUNCTION("""COMPUTED_VALUE"""),45910.87542662037)</f>
        <v>45910.87543</v>
      </c>
      <c r="B520" s="38" t="str">
        <f>IFERROR(__xludf.DUMMYFUNCTION("""COMPUTED_VALUE"""),"DEMARISTI S H FENI")</f>
        <v>DEMARISTI S H FENI</v>
      </c>
      <c r="C520" s="38" t="str">
        <f>IFERROR(__xludf.DUMMYFUNCTION("""COMPUTED_VALUE"""),"Dapat limit tapi belum diproses")</f>
        <v>Dapat limit tapi belum diproses</v>
      </c>
      <c r="D520" s="38" t="str">
        <f>IFERROR(__xludf.DUMMYFUNCTION("""COMPUTED_VALUE"""),"Y400 series")</f>
        <v>Y400 series</v>
      </c>
      <c r="E520" s="38" t="s">
        <v>11404</v>
      </c>
      <c r="F520" s="38" t="s">
        <v>11404</v>
      </c>
      <c r="G520" s="38" t="s">
        <v>11404</v>
      </c>
      <c r="H520" s="38" t="s">
        <v>11404</v>
      </c>
    </row>
    <row r="521">
      <c r="A521" s="37">
        <f>IFERROR(__xludf.DUMMYFUNCTION("""COMPUTED_VALUE"""),45910.920308553235)</f>
        <v>45910.92031</v>
      </c>
      <c r="B521" s="38" t="str">
        <f>IFERROR(__xludf.DUMMYFUNCTION("""COMPUTED_VALUE"""),"MARNITHA JUWIKE TIMORATI RUNESI")</f>
        <v>MARNITHA JUWIKE TIMORATI RUNESI</v>
      </c>
      <c r="C521" s="38" t="str">
        <f>IFERROR(__xludf.DUMMYFUNCTION("""COMPUTED_VALUE"""),"Belum disetujui")</f>
        <v>Belum disetujui</v>
      </c>
      <c r="D521" s="38"/>
      <c r="E521" s="38" t="s">
        <v>11420</v>
      </c>
      <c r="F521" s="38" t="s">
        <v>204</v>
      </c>
      <c r="G521" s="38" t="s">
        <v>11421</v>
      </c>
      <c r="H521" s="38" t="s">
        <v>11399</v>
      </c>
    </row>
    <row r="522">
      <c r="A522" s="37">
        <f>IFERROR(__xludf.DUMMYFUNCTION("""COMPUTED_VALUE"""),45910.953312025464)</f>
        <v>45910.95331</v>
      </c>
      <c r="B522" s="38" t="str">
        <f>IFERROR(__xludf.DUMMYFUNCTION("""COMPUTED_VALUE"""),"SKOLASTIKA B TAUNAES")</f>
        <v>SKOLASTIKA B TAUNAES</v>
      </c>
      <c r="C522" s="38" t="str">
        <f>IFERROR(__xludf.DUMMYFUNCTION("""COMPUTED_VALUE"""),"ACC")</f>
        <v>ACC</v>
      </c>
      <c r="D522" s="38" t="str">
        <f>IFERROR(__xludf.DUMMYFUNCTION("""COMPUTED_VALUE"""),"V60 series")</f>
        <v>V60 series</v>
      </c>
      <c r="E522" s="38" t="s">
        <v>11413</v>
      </c>
      <c r="F522" s="38" t="s">
        <v>204</v>
      </c>
      <c r="G522" s="38" t="s">
        <v>11414</v>
      </c>
      <c r="H522" s="38" t="s">
        <v>11399</v>
      </c>
    </row>
    <row r="523">
      <c r="A523" s="37">
        <f>IFERROR(__xludf.DUMMYFUNCTION("""COMPUTED_VALUE"""),45910.95539015046)</f>
        <v>45910.95539</v>
      </c>
      <c r="B523" s="38" t="str">
        <f>IFERROR(__xludf.DUMMYFUNCTION("""COMPUTED_VALUE"""),"SKOLASTIKA B TAUNAES")</f>
        <v>SKOLASTIKA B TAUNAES</v>
      </c>
      <c r="C523" s="38" t="str">
        <f>IFERROR(__xludf.DUMMYFUNCTION("""COMPUTED_VALUE"""),"Belum disetujui")</f>
        <v>Belum disetujui</v>
      </c>
      <c r="D523" s="38"/>
      <c r="E523" s="38" t="s">
        <v>11413</v>
      </c>
      <c r="F523" s="38" t="s">
        <v>204</v>
      </c>
      <c r="G523" s="38" t="s">
        <v>11414</v>
      </c>
      <c r="H523" s="38" t="s">
        <v>11399</v>
      </c>
    </row>
    <row r="524">
      <c r="A524" s="37">
        <f>IFERROR(__xludf.DUMMYFUNCTION("""COMPUTED_VALUE"""),45911.40550216435)</f>
        <v>45911.4055</v>
      </c>
      <c r="B524" s="38" t="str">
        <f>IFERROR(__xludf.DUMMYFUNCTION("""COMPUTED_VALUE"""),"SANTI MARIA LUKMINI NAHAK")</f>
        <v>SANTI MARIA LUKMINI NAHAK</v>
      </c>
      <c r="C524" s="38" t="str">
        <f>IFERROR(__xludf.DUMMYFUNCTION("""COMPUTED_VALUE"""),"Belum disetujui")</f>
        <v>Belum disetujui</v>
      </c>
      <c r="D524" s="38"/>
      <c r="E524" s="38" t="s">
        <v>11460</v>
      </c>
      <c r="F524" s="38" t="s">
        <v>871</v>
      </c>
      <c r="G524" s="38" t="s">
        <v>11461</v>
      </c>
      <c r="H524" s="38" t="s">
        <v>11424</v>
      </c>
    </row>
    <row r="525">
      <c r="A525" s="37">
        <f>IFERROR(__xludf.DUMMYFUNCTION("""COMPUTED_VALUE"""),45911.420379317125)</f>
        <v>45911.42038</v>
      </c>
      <c r="B525" s="38" t="str">
        <f>IFERROR(__xludf.DUMMYFUNCTION("""COMPUTED_VALUE"""),"NUR FATIMAH MOLBANG")</f>
        <v>NUR FATIMAH MOLBANG</v>
      </c>
      <c r="C525" s="38" t="str">
        <f>IFERROR(__xludf.DUMMYFUNCTION("""COMPUTED_VALUE"""),"Belum disetujui")</f>
        <v>Belum disetujui</v>
      </c>
      <c r="D525" s="38"/>
      <c r="E525" s="38" t="s">
        <v>11439</v>
      </c>
      <c r="F525" s="38" t="s">
        <v>313</v>
      </c>
      <c r="G525" s="38" t="s">
        <v>11440</v>
      </c>
      <c r="H525" s="38" t="s">
        <v>11424</v>
      </c>
    </row>
    <row r="526">
      <c r="A526" s="37">
        <f>IFERROR(__xludf.DUMMYFUNCTION("""COMPUTED_VALUE"""),45911.427934050924)</f>
        <v>45911.42793</v>
      </c>
      <c r="B526" s="38" t="str">
        <f>IFERROR(__xludf.DUMMYFUNCTION("""COMPUTED_VALUE"""),"TERSIANA KADJA PAU")</f>
        <v>TERSIANA KADJA PAU</v>
      </c>
      <c r="C526" s="38" t="str">
        <f>IFERROR(__xludf.DUMMYFUNCTION("""COMPUTED_VALUE"""),"Dapat limit tapi belum diproses")</f>
        <v>Dapat limit tapi belum diproses</v>
      </c>
      <c r="D526" s="38" t="str">
        <f>IFERROR(__xludf.DUMMYFUNCTION("""COMPUTED_VALUE"""),"Y400 series")</f>
        <v>Y400 series</v>
      </c>
      <c r="E526" s="38" t="s">
        <v>11411</v>
      </c>
      <c r="F526" s="38" t="s">
        <v>220</v>
      </c>
      <c r="G526" s="38" t="s">
        <v>11412</v>
      </c>
      <c r="H526" s="38" t="s">
        <v>11399</v>
      </c>
    </row>
    <row r="527">
      <c r="A527" s="37">
        <f>IFERROR(__xludf.DUMMYFUNCTION("""COMPUTED_VALUE"""),45911.42810089121)</f>
        <v>45911.4281</v>
      </c>
      <c r="B527" s="38" t="str">
        <f>IFERROR(__xludf.DUMMYFUNCTION("""COMPUTED_VALUE"""),"BERGITHA NIA OLIN")</f>
        <v>BERGITHA NIA OLIN</v>
      </c>
      <c r="C527" s="38" t="str">
        <f>IFERROR(__xludf.DUMMYFUNCTION("""COMPUTED_VALUE"""),"Belum disetujui")</f>
        <v>Belum disetujui</v>
      </c>
      <c r="D527" s="38"/>
      <c r="E527" s="38" t="s">
        <v>11431</v>
      </c>
      <c r="F527" s="38" t="s">
        <v>313</v>
      </c>
      <c r="G527" s="38" t="s">
        <v>11432</v>
      </c>
      <c r="H527" s="38" t="s">
        <v>11424</v>
      </c>
    </row>
    <row r="528">
      <c r="A528" s="37">
        <f>IFERROR(__xludf.DUMMYFUNCTION("""COMPUTED_VALUE"""),45911.430080740734)</f>
        <v>45911.43008</v>
      </c>
      <c r="B528" s="38" t="str">
        <f>IFERROR(__xludf.DUMMYFUNCTION("""COMPUTED_VALUE"""),"BERGITHA NIA OLIN")</f>
        <v>BERGITHA NIA OLIN</v>
      </c>
      <c r="C528" s="38" t="str">
        <f>IFERROR(__xludf.DUMMYFUNCTION("""COMPUTED_VALUE"""),"Belum disetujui")</f>
        <v>Belum disetujui</v>
      </c>
      <c r="D528" s="38"/>
      <c r="E528" s="38" t="s">
        <v>11431</v>
      </c>
      <c r="F528" s="38" t="s">
        <v>313</v>
      </c>
      <c r="G528" s="38" t="s">
        <v>11432</v>
      </c>
      <c r="H528" s="38" t="s">
        <v>11424</v>
      </c>
    </row>
    <row r="529">
      <c r="A529" s="37">
        <f>IFERROR(__xludf.DUMMYFUNCTION("""COMPUTED_VALUE"""),45911.430951041664)</f>
        <v>45911.43095</v>
      </c>
      <c r="B529" s="38" t="str">
        <f>IFERROR(__xludf.DUMMYFUNCTION("""COMPUTED_VALUE"""),"SANTI MARIA LUKMINI NAHAK")</f>
        <v>SANTI MARIA LUKMINI NAHAK</v>
      </c>
      <c r="C529" s="38" t="str">
        <f>IFERROR(__xludf.DUMMYFUNCTION("""COMPUTED_VALUE"""),"Belum disetujui")</f>
        <v>Belum disetujui</v>
      </c>
      <c r="D529" s="38"/>
      <c r="E529" s="38" t="s">
        <v>11460</v>
      </c>
      <c r="F529" s="38" t="s">
        <v>871</v>
      </c>
      <c r="G529" s="38" t="s">
        <v>11461</v>
      </c>
      <c r="H529" s="38" t="s">
        <v>11424</v>
      </c>
    </row>
    <row r="530">
      <c r="A530" s="37">
        <f>IFERROR(__xludf.DUMMYFUNCTION("""COMPUTED_VALUE"""),45911.43799)</f>
        <v>45911.43799</v>
      </c>
      <c r="B530" s="38" t="str">
        <f>IFERROR(__xludf.DUMMYFUNCTION("""COMPUTED_VALUE"""),"TERSIANA KADJA PAU")</f>
        <v>TERSIANA KADJA PAU</v>
      </c>
      <c r="C530" s="38" t="str">
        <f>IFERROR(__xludf.DUMMYFUNCTION("""COMPUTED_VALUE"""),"Belum disetujui")</f>
        <v>Belum disetujui</v>
      </c>
      <c r="D530" s="38"/>
      <c r="E530" s="38" t="s">
        <v>11411</v>
      </c>
      <c r="F530" s="38" t="s">
        <v>220</v>
      </c>
      <c r="G530" s="38" t="s">
        <v>11412</v>
      </c>
      <c r="H530" s="38" t="s">
        <v>11399</v>
      </c>
    </row>
    <row r="531">
      <c r="A531" s="37">
        <f>IFERROR(__xludf.DUMMYFUNCTION("""COMPUTED_VALUE"""),45911.46203858797)</f>
        <v>45911.46204</v>
      </c>
      <c r="B531" s="38" t="str">
        <f>IFERROR(__xludf.DUMMYFUNCTION("""COMPUTED_VALUE"""),"IDMAL YUSDIRAN YUSUF")</f>
        <v>IDMAL YUSDIRAN YUSUF</v>
      </c>
      <c r="C531" s="38" t="str">
        <f>IFERROR(__xludf.DUMMYFUNCTION("""COMPUTED_VALUE"""),"Dapat limit tapi belum diproses")</f>
        <v>Dapat limit tapi belum diproses</v>
      </c>
      <c r="D531" s="38" t="str">
        <f>IFERROR(__xludf.DUMMYFUNCTION("""COMPUTED_VALUE"""),"Y400 series")</f>
        <v>Y400 series</v>
      </c>
      <c r="E531" s="38" t="s">
        <v>11417</v>
      </c>
      <c r="F531" s="38" t="s">
        <v>257</v>
      </c>
      <c r="G531" s="38" t="s">
        <v>11418</v>
      </c>
      <c r="H531" s="38" t="s">
        <v>11419</v>
      </c>
    </row>
    <row r="532">
      <c r="A532" s="37">
        <f>IFERROR(__xludf.DUMMYFUNCTION("""COMPUTED_VALUE"""),45911.482861331024)</f>
        <v>45911.48286</v>
      </c>
      <c r="B532" s="38" t="str">
        <f>IFERROR(__xludf.DUMMYFUNCTION("""COMPUTED_VALUE"""),"IRENE NOVALIA KADJU")</f>
        <v>IRENE NOVALIA KADJU</v>
      </c>
      <c r="C532" s="38" t="str">
        <f>IFERROR(__xludf.DUMMYFUNCTION("""COMPUTED_VALUE"""),"Belum disetujui")</f>
        <v>Belum disetujui</v>
      </c>
      <c r="D532" s="38"/>
      <c r="E532" s="38" t="s">
        <v>11445</v>
      </c>
      <c r="F532" s="38" t="s">
        <v>204</v>
      </c>
      <c r="G532" s="38" t="s">
        <v>11446</v>
      </c>
      <c r="H532" s="38" t="s">
        <v>11399</v>
      </c>
    </row>
    <row r="533">
      <c r="A533" s="37">
        <f>IFERROR(__xludf.DUMMYFUNCTION("""COMPUTED_VALUE"""),45911.485540312504)</f>
        <v>45911.48554</v>
      </c>
      <c r="B533" s="38" t="str">
        <f>IFERROR(__xludf.DUMMYFUNCTION("""COMPUTED_VALUE"""),"AMBU BAIQ JUMENAH")</f>
        <v>AMBU BAIQ JUMENAH</v>
      </c>
      <c r="C533" s="38" t="str">
        <f>IFERROR(__xludf.DUMMYFUNCTION("""COMPUTED_VALUE"""),"Belum disetujui")</f>
        <v>Belum disetujui</v>
      </c>
      <c r="D533" s="38"/>
      <c r="E533" s="38" t="s">
        <v>11458</v>
      </c>
      <c r="F533" s="38" t="s">
        <v>205</v>
      </c>
      <c r="G533" s="38" t="s">
        <v>11459</v>
      </c>
      <c r="H533" s="38" t="s">
        <v>11419</v>
      </c>
    </row>
    <row r="534">
      <c r="A534" s="37">
        <f>IFERROR(__xludf.DUMMYFUNCTION("""COMPUTED_VALUE"""),45911.49743290509)</f>
        <v>45911.49743</v>
      </c>
      <c r="B534" s="38" t="str">
        <f>IFERROR(__xludf.DUMMYFUNCTION("""COMPUTED_VALUE"""),"NUR FATIMAH MOLBANG")</f>
        <v>NUR FATIMAH MOLBANG</v>
      </c>
      <c r="C534" s="38" t="str">
        <f>IFERROR(__xludf.DUMMYFUNCTION("""COMPUTED_VALUE"""),"Belum disetujui")</f>
        <v>Belum disetujui</v>
      </c>
      <c r="D534" s="38"/>
      <c r="E534" s="38" t="s">
        <v>11439</v>
      </c>
      <c r="F534" s="38" t="s">
        <v>313</v>
      </c>
      <c r="G534" s="38" t="s">
        <v>11440</v>
      </c>
      <c r="H534" s="38" t="s">
        <v>11424</v>
      </c>
    </row>
    <row r="535">
      <c r="A535" s="37">
        <f>IFERROR(__xludf.DUMMYFUNCTION("""COMPUTED_VALUE"""),45911.500107175925)</f>
        <v>45911.50011</v>
      </c>
      <c r="B535" s="38" t="str">
        <f>IFERROR(__xludf.DUMMYFUNCTION("""COMPUTED_VALUE"""),"NOVLIANA BARBALINA MISA")</f>
        <v>NOVLIANA BARBALINA MISA</v>
      </c>
      <c r="C535" s="38" t="str">
        <f>IFERROR(__xludf.DUMMYFUNCTION("""COMPUTED_VALUE"""),"ACC")</f>
        <v>ACC</v>
      </c>
      <c r="D535" s="38" t="str">
        <f>IFERROR(__xludf.DUMMYFUNCTION("""COMPUTED_VALUE"""),"Y400 series")</f>
        <v>Y400 series</v>
      </c>
      <c r="E535" s="38" t="s">
        <v>11454</v>
      </c>
      <c r="F535" s="38" t="s">
        <v>205</v>
      </c>
      <c r="G535" s="38" t="s">
        <v>11455</v>
      </c>
      <c r="H535" s="38" t="s">
        <v>11419</v>
      </c>
    </row>
    <row r="536">
      <c r="A536" s="37">
        <f>IFERROR(__xludf.DUMMYFUNCTION("""COMPUTED_VALUE"""),45911.50617001158)</f>
        <v>45911.50617</v>
      </c>
      <c r="B536" s="38" t="str">
        <f>IFERROR(__xludf.DUMMYFUNCTION("""COMPUTED_VALUE"""),"YOHANIS TIPNONI")</f>
        <v>YOHANIS TIPNONI</v>
      </c>
      <c r="C536" s="38" t="str">
        <f>IFERROR(__xludf.DUMMYFUNCTION("""COMPUTED_VALUE"""),"Belum disetujui")</f>
        <v>Belum disetujui</v>
      </c>
      <c r="D536" s="38"/>
      <c r="E536" s="38" t="s">
        <v>11405</v>
      </c>
      <c r="F536" s="38" t="s">
        <v>220</v>
      </c>
      <c r="G536" s="38" t="s">
        <v>11406</v>
      </c>
      <c r="H536" s="38" t="s">
        <v>11399</v>
      </c>
    </row>
    <row r="537">
      <c r="A537" s="37">
        <f>IFERROR(__xludf.DUMMYFUNCTION("""COMPUTED_VALUE"""),45911.51723899306)</f>
        <v>45911.51724</v>
      </c>
      <c r="B537" s="38" t="str">
        <f>IFERROR(__xludf.DUMMYFUNCTION("""COMPUTED_VALUE"""),"PATRIANI MENGI ULY")</f>
        <v>PATRIANI MENGI ULY</v>
      </c>
      <c r="C537" s="38" t="str">
        <f>IFERROR(__xludf.DUMMYFUNCTION("""COMPUTED_VALUE"""),"Dapat limit tapi belum diproses")</f>
        <v>Dapat limit tapi belum diproses</v>
      </c>
      <c r="D537" s="38" t="str">
        <f>IFERROR(__xludf.DUMMYFUNCTION("""COMPUTED_VALUE"""),"Y29 series")</f>
        <v>Y29 series</v>
      </c>
      <c r="E537" s="38" t="s">
        <v>11402</v>
      </c>
      <c r="F537" s="38" t="s">
        <v>204</v>
      </c>
      <c r="G537" s="38" t="s">
        <v>11403</v>
      </c>
      <c r="H537" s="38" t="s">
        <v>11399</v>
      </c>
    </row>
    <row r="538">
      <c r="A538" s="37">
        <f>IFERROR(__xludf.DUMMYFUNCTION("""COMPUTED_VALUE"""),45911.522842013896)</f>
        <v>45911.52284</v>
      </c>
      <c r="B538" s="38" t="str">
        <f>IFERROR(__xludf.DUMMYFUNCTION("""COMPUTED_VALUE"""),"ADRIANA")</f>
        <v>ADRIANA</v>
      </c>
      <c r="C538" s="38" t="str">
        <f>IFERROR(__xludf.DUMMYFUNCTION("""COMPUTED_VALUE"""),"Belum disetujui")</f>
        <v>Belum disetujui</v>
      </c>
      <c r="D538" s="38"/>
      <c r="E538" s="38" t="s">
        <v>11433</v>
      </c>
      <c r="F538" s="38" t="s">
        <v>313</v>
      </c>
      <c r="G538" s="38" t="s">
        <v>11434</v>
      </c>
      <c r="H538" s="38" t="s">
        <v>11424</v>
      </c>
    </row>
    <row r="539">
      <c r="A539" s="37">
        <f>IFERROR(__xludf.DUMMYFUNCTION("""COMPUTED_VALUE"""),45911.553497824076)</f>
        <v>45911.5535</v>
      </c>
      <c r="B539" s="38" t="str">
        <f>IFERROR(__xludf.DUMMYFUNCTION("""COMPUTED_VALUE"""),"NOVLIANA BARBALINA MISA")</f>
        <v>NOVLIANA BARBALINA MISA</v>
      </c>
      <c r="C539" s="38" t="str">
        <f>IFERROR(__xludf.DUMMYFUNCTION("""COMPUTED_VALUE"""),"Belum disetujui")</f>
        <v>Belum disetujui</v>
      </c>
      <c r="D539" s="38"/>
      <c r="E539" s="38" t="s">
        <v>11454</v>
      </c>
      <c r="F539" s="38" t="s">
        <v>205</v>
      </c>
      <c r="G539" s="38" t="s">
        <v>11455</v>
      </c>
      <c r="H539" s="38" t="s">
        <v>11419</v>
      </c>
    </row>
    <row r="540">
      <c r="A540" s="37">
        <f>IFERROR(__xludf.DUMMYFUNCTION("""COMPUTED_VALUE"""),45911.56510648149)</f>
        <v>45911.56511</v>
      </c>
      <c r="B540" s="38" t="str">
        <f>IFERROR(__xludf.DUMMYFUNCTION("""COMPUTED_VALUE"""),"MERDA PUTRI BUNGSU KENAT")</f>
        <v>MERDA PUTRI BUNGSU KENAT</v>
      </c>
      <c r="C540" s="38" t="str">
        <f>IFERROR(__xludf.DUMMYFUNCTION("""COMPUTED_VALUE"""),"Belum disetujui")</f>
        <v>Belum disetujui</v>
      </c>
      <c r="D540" s="38"/>
      <c r="E540" s="38" t="s">
        <v>11422</v>
      </c>
      <c r="F540" s="38" t="s">
        <v>215</v>
      </c>
      <c r="G540" s="38" t="s">
        <v>11423</v>
      </c>
      <c r="H540" s="38" t="s">
        <v>11424</v>
      </c>
    </row>
    <row r="541">
      <c r="A541" s="37">
        <f>IFERROR(__xludf.DUMMYFUNCTION("""COMPUTED_VALUE"""),45911.56684974537)</f>
        <v>45911.56685</v>
      </c>
      <c r="B541" s="38" t="str">
        <f>IFERROR(__xludf.DUMMYFUNCTION("""COMPUTED_VALUE"""),"MARATHA MARLINDA FANGGIDAE")</f>
        <v>MARATHA MARLINDA FANGGIDAE</v>
      </c>
      <c r="C541" s="38" t="str">
        <f>IFERROR(__xludf.DUMMYFUNCTION("""COMPUTED_VALUE"""),"Belum disetujui")</f>
        <v>Belum disetujui</v>
      </c>
      <c r="D541" s="38"/>
      <c r="E541" s="38" t="s">
        <v>11435</v>
      </c>
      <c r="F541" s="38" t="s">
        <v>215</v>
      </c>
      <c r="G541" s="38" t="s">
        <v>11436</v>
      </c>
      <c r="H541" s="38" t="s">
        <v>11424</v>
      </c>
    </row>
    <row r="542">
      <c r="A542" s="37">
        <f>IFERROR(__xludf.DUMMYFUNCTION("""COMPUTED_VALUE"""),45911.56748349537)</f>
        <v>45911.56748</v>
      </c>
      <c r="B542" s="38" t="str">
        <f>IFERROR(__xludf.DUMMYFUNCTION("""COMPUTED_VALUE"""),"AMBU BAIQ JUMENAH")</f>
        <v>AMBU BAIQ JUMENAH</v>
      </c>
      <c r="C542" s="38" t="str">
        <f>IFERROR(__xludf.DUMMYFUNCTION("""COMPUTED_VALUE"""),"ACC")</f>
        <v>ACC</v>
      </c>
      <c r="D542" s="38" t="str">
        <f>IFERROR(__xludf.DUMMYFUNCTION("""COMPUTED_VALUE"""),"Y400 series")</f>
        <v>Y400 series</v>
      </c>
      <c r="E542" s="38" t="s">
        <v>11458</v>
      </c>
      <c r="F542" s="38" t="s">
        <v>205</v>
      </c>
      <c r="G542" s="38" t="s">
        <v>11459</v>
      </c>
      <c r="H542" s="38" t="s">
        <v>11419</v>
      </c>
    </row>
    <row r="543">
      <c r="A543" s="37">
        <f>IFERROR(__xludf.DUMMYFUNCTION("""COMPUTED_VALUE"""),45911.56782700231)</f>
        <v>45911.56783</v>
      </c>
      <c r="B543" s="38" t="str">
        <f>IFERROR(__xludf.DUMMYFUNCTION("""COMPUTED_VALUE"""),"BERGITHA NIA OLIN")</f>
        <v>BERGITHA NIA OLIN</v>
      </c>
      <c r="C543" s="38" t="str">
        <f>IFERROR(__xludf.DUMMYFUNCTION("""COMPUTED_VALUE"""),"Belum disetujui")</f>
        <v>Belum disetujui</v>
      </c>
      <c r="D543" s="38"/>
      <c r="E543" s="38" t="s">
        <v>11431</v>
      </c>
      <c r="F543" s="38" t="s">
        <v>313</v>
      </c>
      <c r="G543" s="38" t="s">
        <v>11432</v>
      </c>
      <c r="H543" s="38" t="s">
        <v>11424</v>
      </c>
    </row>
    <row r="544">
      <c r="A544" s="37">
        <f>IFERROR(__xludf.DUMMYFUNCTION("""COMPUTED_VALUE"""),45911.568002326385)</f>
        <v>45911.568</v>
      </c>
      <c r="B544" s="38" t="str">
        <f>IFERROR(__xludf.DUMMYFUNCTION("""COMPUTED_VALUE"""),"MERDA PUTRI BUNGSU KENAT")</f>
        <v>MERDA PUTRI BUNGSU KENAT</v>
      </c>
      <c r="C544" s="38" t="str">
        <f>IFERROR(__xludf.DUMMYFUNCTION("""COMPUTED_VALUE"""),"Belum disetujui")</f>
        <v>Belum disetujui</v>
      </c>
      <c r="D544" s="38"/>
      <c r="E544" s="38" t="s">
        <v>11422</v>
      </c>
      <c r="F544" s="38" t="s">
        <v>215</v>
      </c>
      <c r="G544" s="38" t="s">
        <v>11423</v>
      </c>
      <c r="H544" s="38" t="s">
        <v>11424</v>
      </c>
    </row>
    <row r="545">
      <c r="A545" s="37">
        <f>IFERROR(__xludf.DUMMYFUNCTION("""COMPUTED_VALUE"""),45911.599588599536)</f>
        <v>45911.59959</v>
      </c>
      <c r="B545" s="38" t="str">
        <f>IFERROR(__xludf.DUMMYFUNCTION("""COMPUTED_VALUE"""),"NOVANTRY RUTHANIA NAFFIE")</f>
        <v>NOVANTRY RUTHANIA NAFFIE</v>
      </c>
      <c r="C545" s="38" t="str">
        <f>IFERROR(__xludf.DUMMYFUNCTION("""COMPUTED_VALUE"""),"Belum disetujui")</f>
        <v>Belum disetujui</v>
      </c>
      <c r="D545" s="38"/>
      <c r="E545" s="38" t="s">
        <v>11397</v>
      </c>
      <c r="F545" s="38" t="s">
        <v>220</v>
      </c>
      <c r="G545" s="38" t="s">
        <v>11398</v>
      </c>
      <c r="H545" s="38" t="s">
        <v>11399</v>
      </c>
    </row>
    <row r="546">
      <c r="A546" s="37">
        <f>IFERROR(__xludf.DUMMYFUNCTION("""COMPUTED_VALUE"""),45911.61031783565)</f>
        <v>45911.61032</v>
      </c>
      <c r="B546" s="38" t="str">
        <f>IFERROR(__xludf.DUMMYFUNCTION("""COMPUTED_VALUE"""),"AINI RAHMATINI NATALIA MOESTAKIM")</f>
        <v>AINI RAHMATINI NATALIA MOESTAKIM</v>
      </c>
      <c r="C546" s="38" t="str">
        <f>IFERROR(__xludf.DUMMYFUNCTION("""COMPUTED_VALUE"""),"Belum disetujui")</f>
        <v>Belum disetujui</v>
      </c>
      <c r="D546" s="38"/>
      <c r="E546" s="38" t="s">
        <v>11409</v>
      </c>
      <c r="F546" s="38" t="s">
        <v>204</v>
      </c>
      <c r="G546" s="38" t="s">
        <v>11410</v>
      </c>
      <c r="H546" s="38" t="s">
        <v>11399</v>
      </c>
    </row>
    <row r="547">
      <c r="A547" s="37">
        <f>IFERROR(__xludf.DUMMYFUNCTION("""COMPUTED_VALUE"""),45911.61364802084)</f>
        <v>45911.61365</v>
      </c>
      <c r="B547" s="38" t="str">
        <f>IFERROR(__xludf.DUMMYFUNCTION("""COMPUTED_VALUE"""),"AINI RAHMATINI NATALIA MOESTAKIM")</f>
        <v>AINI RAHMATINI NATALIA MOESTAKIM</v>
      </c>
      <c r="C547" s="38" t="str">
        <f>IFERROR(__xludf.DUMMYFUNCTION("""COMPUTED_VALUE"""),"Belum disetujui")</f>
        <v>Belum disetujui</v>
      </c>
      <c r="D547" s="38"/>
      <c r="E547" s="38" t="s">
        <v>11409</v>
      </c>
      <c r="F547" s="38" t="s">
        <v>204</v>
      </c>
      <c r="G547" s="38" t="s">
        <v>11410</v>
      </c>
      <c r="H547" s="38" t="s">
        <v>11399</v>
      </c>
    </row>
    <row r="548">
      <c r="A548" s="37">
        <f>IFERROR(__xludf.DUMMYFUNCTION("""COMPUTED_VALUE"""),45911.615635381946)</f>
        <v>45911.61564</v>
      </c>
      <c r="B548" s="38" t="str">
        <f>IFERROR(__xludf.DUMMYFUNCTION("""COMPUTED_VALUE"""),"NOVANTRY RUTHANIA NAFFIE")</f>
        <v>NOVANTRY RUTHANIA NAFFIE</v>
      </c>
      <c r="C548" s="38" t="str">
        <f>IFERROR(__xludf.DUMMYFUNCTION("""COMPUTED_VALUE"""),"Belum disetujui")</f>
        <v>Belum disetujui</v>
      </c>
      <c r="D548" s="38"/>
      <c r="E548" s="38" t="s">
        <v>11397</v>
      </c>
      <c r="F548" s="38" t="s">
        <v>220</v>
      </c>
      <c r="G548" s="38" t="s">
        <v>11398</v>
      </c>
      <c r="H548" s="38" t="s">
        <v>11399</v>
      </c>
    </row>
    <row r="549">
      <c r="A549" s="37">
        <f>IFERROR(__xludf.DUMMYFUNCTION("""COMPUTED_VALUE"""),45911.683081793984)</f>
        <v>45911.68308</v>
      </c>
      <c r="B549" s="38" t="str">
        <f>IFERROR(__xludf.DUMMYFUNCTION("""COMPUTED_VALUE"""),"EMPI FRANGKI LIEM")</f>
        <v>EMPI FRANGKI LIEM</v>
      </c>
      <c r="C549" s="38" t="str">
        <f>IFERROR(__xludf.DUMMYFUNCTION("""COMPUTED_VALUE"""),"Belum disetujui")</f>
        <v>Belum disetujui</v>
      </c>
      <c r="D549" s="38"/>
      <c r="E549" s="38" t="s">
        <v>11397</v>
      </c>
      <c r="F549" s="38" t="s">
        <v>220</v>
      </c>
      <c r="G549" s="38" t="s">
        <v>11398</v>
      </c>
      <c r="H549" s="38" t="s">
        <v>11399</v>
      </c>
    </row>
    <row r="550">
      <c r="A550" s="37">
        <f>IFERROR(__xludf.DUMMYFUNCTION("""COMPUTED_VALUE"""),45911.68833618055)</f>
        <v>45911.68834</v>
      </c>
      <c r="B550" s="38" t="str">
        <f>IFERROR(__xludf.DUMMYFUNCTION("""COMPUTED_VALUE"""),"DWITNEY PRETY WANGGANDIMA")</f>
        <v>DWITNEY PRETY WANGGANDIMA</v>
      </c>
      <c r="C550" s="38" t="str">
        <f>IFERROR(__xludf.DUMMYFUNCTION("""COMPUTED_VALUE"""),"Belum disetujui")</f>
        <v>Belum disetujui</v>
      </c>
      <c r="D550" s="38"/>
      <c r="E550" s="38" t="s">
        <v>11443</v>
      </c>
      <c r="F550" s="38" t="s">
        <v>220</v>
      </c>
      <c r="G550" s="38" t="s">
        <v>11444</v>
      </c>
      <c r="H550" s="38" t="s">
        <v>11399</v>
      </c>
    </row>
    <row r="551">
      <c r="A551" s="37">
        <f>IFERROR(__xludf.DUMMYFUNCTION("""COMPUTED_VALUE"""),45911.69940597223)</f>
        <v>45911.69941</v>
      </c>
      <c r="B551" s="38" t="str">
        <f>IFERROR(__xludf.DUMMYFUNCTION("""COMPUTED_VALUE"""),"SULIS NURAINI INSYATUN")</f>
        <v>SULIS NURAINI INSYATUN</v>
      </c>
      <c r="C551" s="38" t="str">
        <f>IFERROR(__xludf.DUMMYFUNCTION("""COMPUTED_VALUE"""),"ACC")</f>
        <v>ACC</v>
      </c>
      <c r="D551" s="38" t="str">
        <f>IFERROR(__xludf.DUMMYFUNCTION("""COMPUTED_VALUE"""),"Y400 series")</f>
        <v>Y400 series</v>
      </c>
      <c r="E551" s="38" t="s">
        <v>11429</v>
      </c>
      <c r="F551" s="38" t="s">
        <v>257</v>
      </c>
      <c r="G551" s="38" t="s">
        <v>11430</v>
      </c>
      <c r="H551" s="38" t="s">
        <v>11419</v>
      </c>
    </row>
    <row r="552">
      <c r="A552" s="37">
        <f>IFERROR(__xludf.DUMMYFUNCTION("""COMPUTED_VALUE"""),45911.74823841435)</f>
        <v>45911.74824</v>
      </c>
      <c r="B552" s="38" t="str">
        <f>IFERROR(__xludf.DUMMYFUNCTION("""COMPUTED_VALUE"""),"WINDRI MANOE")</f>
        <v>WINDRI MANOE</v>
      </c>
      <c r="C552" s="38" t="str">
        <f>IFERROR(__xludf.DUMMYFUNCTION("""COMPUTED_VALUE"""),"Dapat limit tapi belum diproses")</f>
        <v>Dapat limit tapi belum diproses</v>
      </c>
      <c r="D552" s="38" t="str">
        <f>IFERROR(__xludf.DUMMYFUNCTION("""COMPUTED_VALUE"""),"V60 series")</f>
        <v>V60 series</v>
      </c>
      <c r="E552" s="38" t="s">
        <v>11443</v>
      </c>
      <c r="F552" s="38" t="s">
        <v>220</v>
      </c>
      <c r="G552" s="38" t="s">
        <v>11444</v>
      </c>
      <c r="H552" s="38" t="s">
        <v>11399</v>
      </c>
    </row>
    <row r="553">
      <c r="A553" s="37">
        <f>IFERROR(__xludf.DUMMYFUNCTION("""COMPUTED_VALUE"""),45911.749695405095)</f>
        <v>45911.7497</v>
      </c>
      <c r="B553" s="38" t="str">
        <f>IFERROR(__xludf.DUMMYFUNCTION("""COMPUTED_VALUE"""),"WINDRI MANOE")</f>
        <v>WINDRI MANOE</v>
      </c>
      <c r="C553" s="38" t="str">
        <f>IFERROR(__xludf.DUMMYFUNCTION("""COMPUTED_VALUE"""),"Dapat limit tapi belum diproses")</f>
        <v>Dapat limit tapi belum diproses</v>
      </c>
      <c r="D553" s="38" t="str">
        <f>IFERROR(__xludf.DUMMYFUNCTION("""COMPUTED_VALUE"""),"Y400 series")</f>
        <v>Y400 series</v>
      </c>
      <c r="E553" s="38" t="s">
        <v>11443</v>
      </c>
      <c r="F553" s="38" t="s">
        <v>220</v>
      </c>
      <c r="G553" s="38" t="s">
        <v>11444</v>
      </c>
      <c r="H553" s="38" t="s">
        <v>11399</v>
      </c>
    </row>
    <row r="554">
      <c r="A554" s="37">
        <f>IFERROR(__xludf.DUMMYFUNCTION("""COMPUTED_VALUE"""),45911.751996597224)</f>
        <v>45911.752</v>
      </c>
      <c r="B554" s="38" t="str">
        <f>IFERROR(__xludf.DUMMYFUNCTION("""COMPUTED_VALUE"""),"ROS YANE KANA LUDJI")</f>
        <v>ROS YANE KANA LUDJI</v>
      </c>
      <c r="C554" s="38" t="str">
        <f>IFERROR(__xludf.DUMMYFUNCTION("""COMPUTED_VALUE"""),"Belum disetujui")</f>
        <v>Belum disetujui</v>
      </c>
      <c r="D554" s="38"/>
      <c r="E554" s="38" t="s">
        <v>11437</v>
      </c>
      <c r="F554" s="38" t="s">
        <v>204</v>
      </c>
      <c r="G554" s="38" t="s">
        <v>11438</v>
      </c>
      <c r="H554" s="38" t="s">
        <v>11399</v>
      </c>
    </row>
    <row r="555">
      <c r="A555" s="37">
        <f>IFERROR(__xludf.DUMMYFUNCTION("""COMPUTED_VALUE"""),45911.75496121528)</f>
        <v>45911.75496</v>
      </c>
      <c r="B555" s="38" t="str">
        <f>IFERROR(__xludf.DUMMYFUNCTION("""COMPUTED_VALUE"""),"ROS YANE KANA LUDJI")</f>
        <v>ROS YANE KANA LUDJI</v>
      </c>
      <c r="C555" s="38" t="str">
        <f>IFERROR(__xludf.DUMMYFUNCTION("""COMPUTED_VALUE"""),"ACC")</f>
        <v>ACC</v>
      </c>
      <c r="D555" s="38" t="str">
        <f>IFERROR(__xludf.DUMMYFUNCTION("""COMPUTED_VALUE"""),"Y400 series")</f>
        <v>Y400 series</v>
      </c>
      <c r="E555" s="38" t="s">
        <v>11437</v>
      </c>
      <c r="F555" s="38" t="s">
        <v>204</v>
      </c>
      <c r="G555" s="38" t="s">
        <v>11438</v>
      </c>
      <c r="H555" s="38" t="s">
        <v>11399</v>
      </c>
    </row>
    <row r="556">
      <c r="A556" s="37">
        <f>IFERROR(__xludf.DUMMYFUNCTION("""COMPUTED_VALUE"""),45911.75524347222)</f>
        <v>45911.75524</v>
      </c>
      <c r="B556" s="38" t="str">
        <f>IFERROR(__xludf.DUMMYFUNCTION("""COMPUTED_VALUE"""),"ANYARMITHA SOPHIA SUEK")</f>
        <v>ANYARMITHA SOPHIA SUEK</v>
      </c>
      <c r="C556" s="38" t="str">
        <f>IFERROR(__xludf.DUMMYFUNCTION("""COMPUTED_VALUE"""),"Belum disetujui")</f>
        <v>Belum disetujui</v>
      </c>
      <c r="D556" s="38"/>
      <c r="E556" s="38" t="s">
        <v>11443</v>
      </c>
      <c r="F556" s="38" t="s">
        <v>220</v>
      </c>
      <c r="G556" s="38" t="s">
        <v>11444</v>
      </c>
      <c r="H556" s="38" t="s">
        <v>11399</v>
      </c>
    </row>
    <row r="557">
      <c r="A557" s="37">
        <f>IFERROR(__xludf.DUMMYFUNCTION("""COMPUTED_VALUE"""),45911.76148538195)</f>
        <v>45911.76149</v>
      </c>
      <c r="B557" s="38" t="str">
        <f>IFERROR(__xludf.DUMMYFUNCTION("""COMPUTED_VALUE"""),"WINDRI MANOE")</f>
        <v>WINDRI MANOE</v>
      </c>
      <c r="C557" s="38" t="str">
        <f>IFERROR(__xludf.DUMMYFUNCTION("""COMPUTED_VALUE"""),"Belum disetujui")</f>
        <v>Belum disetujui</v>
      </c>
      <c r="D557" s="38"/>
      <c r="E557" s="38" t="s">
        <v>11443</v>
      </c>
      <c r="F557" s="38" t="s">
        <v>220</v>
      </c>
      <c r="G557" s="38" t="s">
        <v>11444</v>
      </c>
      <c r="H557" s="38" t="s">
        <v>11399</v>
      </c>
    </row>
    <row r="558">
      <c r="A558" s="37">
        <f>IFERROR(__xludf.DUMMYFUNCTION("""COMPUTED_VALUE"""),45911.76155916667)</f>
        <v>45911.76156</v>
      </c>
      <c r="B558" s="38" t="str">
        <f>IFERROR(__xludf.DUMMYFUNCTION("""COMPUTED_VALUE"""),"SELVINCE BAKO")</f>
        <v>SELVINCE BAKO</v>
      </c>
      <c r="C558" s="38" t="str">
        <f>IFERROR(__xludf.DUMMYFUNCTION("""COMPUTED_VALUE"""),"Belum disetujui")</f>
        <v>Belum disetujui</v>
      </c>
      <c r="D558" s="38"/>
      <c r="E558" s="38" t="s">
        <v>11413</v>
      </c>
      <c r="F558" s="38" t="s">
        <v>204</v>
      </c>
      <c r="G558" s="38" t="s">
        <v>11414</v>
      </c>
      <c r="H558" s="38" t="s">
        <v>11399</v>
      </c>
    </row>
    <row r="559">
      <c r="A559" s="37">
        <f>IFERROR(__xludf.DUMMYFUNCTION("""COMPUTED_VALUE"""),45911.76266782407)</f>
        <v>45911.76267</v>
      </c>
      <c r="B559" s="38" t="str">
        <f>IFERROR(__xludf.DUMMYFUNCTION("""COMPUTED_VALUE"""),"KESIA NATALIA I. BENU")</f>
        <v>KESIA NATALIA I. BENU</v>
      </c>
      <c r="C559" s="38" t="str">
        <f>IFERROR(__xludf.DUMMYFUNCTION("""COMPUTED_VALUE"""),"ACC")</f>
        <v>ACC</v>
      </c>
      <c r="D559" s="38" t="str">
        <f>IFERROR(__xludf.DUMMYFUNCTION("""COMPUTED_VALUE"""),"Y400 series")</f>
        <v>Y400 series</v>
      </c>
      <c r="E559" s="38" t="s">
        <v>11417</v>
      </c>
      <c r="F559" s="38" t="s">
        <v>257</v>
      </c>
      <c r="G559" s="38" t="s">
        <v>11418</v>
      </c>
      <c r="H559" s="38" t="s">
        <v>11419</v>
      </c>
    </row>
    <row r="560">
      <c r="A560" s="37">
        <f>IFERROR(__xludf.DUMMYFUNCTION("""COMPUTED_VALUE"""),45911.77971377315)</f>
        <v>45911.77971</v>
      </c>
      <c r="B560" s="38" t="str">
        <f>IFERROR(__xludf.DUMMYFUNCTION("""COMPUTED_VALUE"""),"FEBRIANTHY ELISABET NA'U")</f>
        <v>FEBRIANTHY ELISABET NA'U</v>
      </c>
      <c r="C560" s="38" t="str">
        <f>IFERROR(__xludf.DUMMYFUNCTION("""COMPUTED_VALUE"""),"Belum disetujui")</f>
        <v>Belum disetujui</v>
      </c>
      <c r="D560" s="38"/>
      <c r="E560" s="38" t="s">
        <v>11415</v>
      </c>
      <c r="F560" s="38" t="s">
        <v>204</v>
      </c>
      <c r="G560" s="38" t="s">
        <v>11416</v>
      </c>
      <c r="H560" s="38" t="s">
        <v>11399</v>
      </c>
    </row>
    <row r="561">
      <c r="A561" s="37">
        <f>IFERROR(__xludf.DUMMYFUNCTION("""COMPUTED_VALUE"""),45911.78901931713)</f>
        <v>45911.78902</v>
      </c>
      <c r="B561" s="38" t="str">
        <f>IFERROR(__xludf.DUMMYFUNCTION("""COMPUTED_VALUE"""),"SELVINCE BAKO")</f>
        <v>SELVINCE BAKO</v>
      </c>
      <c r="C561" s="38" t="str">
        <f>IFERROR(__xludf.DUMMYFUNCTION("""COMPUTED_VALUE"""),"Belum disetujui")</f>
        <v>Belum disetujui</v>
      </c>
      <c r="D561" s="38"/>
      <c r="E561" s="38" t="s">
        <v>11413</v>
      </c>
      <c r="F561" s="38" t="s">
        <v>204</v>
      </c>
      <c r="G561" s="38" t="s">
        <v>11414</v>
      </c>
      <c r="H561" s="38" t="s">
        <v>11399</v>
      </c>
    </row>
    <row r="562">
      <c r="A562" s="37">
        <f>IFERROR(__xludf.DUMMYFUNCTION("""COMPUTED_VALUE"""),45911.79037851852)</f>
        <v>45911.79038</v>
      </c>
      <c r="B562" s="38" t="str">
        <f>IFERROR(__xludf.DUMMYFUNCTION("""COMPUTED_VALUE"""),"WARDIA")</f>
        <v>WARDIA</v>
      </c>
      <c r="C562" s="38" t="str">
        <f>IFERROR(__xludf.DUMMYFUNCTION("""COMPUTED_VALUE"""),"Belum disetujui")</f>
        <v>Belum disetujui</v>
      </c>
      <c r="D562" s="38"/>
      <c r="E562" s="38" t="s">
        <v>11409</v>
      </c>
      <c r="F562" s="38" t="s">
        <v>204</v>
      </c>
      <c r="G562" s="38" t="s">
        <v>11410</v>
      </c>
      <c r="H562" s="38" t="s">
        <v>11399</v>
      </c>
    </row>
    <row r="563">
      <c r="A563" s="37">
        <f>IFERROR(__xludf.DUMMYFUNCTION("""COMPUTED_VALUE"""),45911.79114686343)</f>
        <v>45911.79115</v>
      </c>
      <c r="B563" s="38" t="str">
        <f>IFERROR(__xludf.DUMMYFUNCTION("""COMPUTED_VALUE"""),"PUSPA ANGGREINI")</f>
        <v>PUSPA ANGGREINI</v>
      </c>
      <c r="C563" s="38" t="str">
        <f>IFERROR(__xludf.DUMMYFUNCTION("""COMPUTED_VALUE"""),"Belum disetujui")</f>
        <v>Belum disetujui</v>
      </c>
      <c r="D563" s="38"/>
      <c r="E563" s="38" t="s">
        <v>11427</v>
      </c>
      <c r="F563" s="38" t="s">
        <v>257</v>
      </c>
      <c r="G563" s="38" t="s">
        <v>11428</v>
      </c>
      <c r="H563" s="38" t="s">
        <v>11419</v>
      </c>
    </row>
    <row r="564">
      <c r="A564" s="37">
        <f>IFERROR(__xludf.DUMMYFUNCTION("""COMPUTED_VALUE"""),45911.79450780092)</f>
        <v>45911.79451</v>
      </c>
      <c r="B564" s="38" t="str">
        <f>IFERROR(__xludf.DUMMYFUNCTION("""COMPUTED_VALUE"""),"AZ ZAHRA SITI ZAINAB")</f>
        <v>AZ ZAHRA SITI ZAINAB</v>
      </c>
      <c r="C564" s="38" t="str">
        <f>IFERROR(__xludf.DUMMYFUNCTION("""COMPUTED_VALUE"""),"Belum disetujui")</f>
        <v>Belum disetujui</v>
      </c>
      <c r="D564" s="38"/>
      <c r="E564" s="38" t="s">
        <v>11462</v>
      </c>
      <c r="F564" s="38" t="s">
        <v>257</v>
      </c>
      <c r="G564" s="38" t="s">
        <v>11463</v>
      </c>
      <c r="H564" s="38" t="s">
        <v>11419</v>
      </c>
    </row>
    <row r="565">
      <c r="A565" s="37">
        <f>IFERROR(__xludf.DUMMYFUNCTION("""COMPUTED_VALUE"""),45911.801123425925)</f>
        <v>45911.80112</v>
      </c>
      <c r="B565" s="38" t="str">
        <f>IFERROR(__xludf.DUMMYFUNCTION("""COMPUTED_VALUE"""),"YANA DANGU")</f>
        <v>YANA DANGU</v>
      </c>
      <c r="C565" s="38" t="str">
        <f>IFERROR(__xludf.DUMMYFUNCTION("""COMPUTED_VALUE"""),"Belum disetujui")</f>
        <v>Belum disetujui</v>
      </c>
      <c r="D565" s="38"/>
      <c r="E565" s="38" t="s">
        <v>11397</v>
      </c>
      <c r="F565" s="38" t="s">
        <v>220</v>
      </c>
      <c r="G565" s="38" t="s">
        <v>11398</v>
      </c>
      <c r="H565" s="38" t="s">
        <v>11399</v>
      </c>
    </row>
    <row r="566">
      <c r="A566" s="37">
        <f>IFERROR(__xludf.DUMMYFUNCTION("""COMPUTED_VALUE"""),45911.80820734954)</f>
        <v>45911.80821</v>
      </c>
      <c r="B566" s="38" t="str">
        <f>IFERROR(__xludf.DUMMYFUNCTION("""COMPUTED_VALUE"""),"IDMAL YUSDIRAN YUSUF")</f>
        <v>IDMAL YUSDIRAN YUSUF</v>
      </c>
      <c r="C566" s="38" t="str">
        <f>IFERROR(__xludf.DUMMYFUNCTION("""COMPUTED_VALUE"""),"Belum disetujui")</f>
        <v>Belum disetujui</v>
      </c>
      <c r="D566" s="38"/>
      <c r="E566" s="38" t="s">
        <v>11417</v>
      </c>
      <c r="F566" s="38" t="s">
        <v>257</v>
      </c>
      <c r="G566" s="38" t="s">
        <v>11418</v>
      </c>
      <c r="H566" s="38" t="s">
        <v>11419</v>
      </c>
    </row>
    <row r="567">
      <c r="A567" s="37">
        <f>IFERROR(__xludf.DUMMYFUNCTION("""COMPUTED_VALUE"""),45911.817692048615)</f>
        <v>45911.81769</v>
      </c>
      <c r="B567" s="38" t="str">
        <f>IFERROR(__xludf.DUMMYFUNCTION("""COMPUTED_VALUE"""),"NOVANTRY RUTHANIA NAFFIE")</f>
        <v>NOVANTRY RUTHANIA NAFFIE</v>
      </c>
      <c r="C567" s="38" t="str">
        <f>IFERROR(__xludf.DUMMYFUNCTION("""COMPUTED_VALUE"""),"Belum disetujui")</f>
        <v>Belum disetujui</v>
      </c>
      <c r="D567" s="38"/>
      <c r="E567" s="38" t="s">
        <v>11397</v>
      </c>
      <c r="F567" s="38" t="s">
        <v>220</v>
      </c>
      <c r="G567" s="38" t="s">
        <v>11398</v>
      </c>
      <c r="H567" s="38" t="s">
        <v>11399</v>
      </c>
    </row>
    <row r="568">
      <c r="A568" s="37">
        <f>IFERROR(__xludf.DUMMYFUNCTION("""COMPUTED_VALUE"""),45911.81899413194)</f>
        <v>45911.81899</v>
      </c>
      <c r="B568" s="38" t="str">
        <f>IFERROR(__xludf.DUMMYFUNCTION("""COMPUTED_VALUE"""),"FERI ELI KURNIAWAN")</f>
        <v>FERI ELI KURNIAWAN</v>
      </c>
      <c r="C568" s="38" t="str">
        <f>IFERROR(__xludf.DUMMYFUNCTION("""COMPUTED_VALUE"""),"Belum disetujui")</f>
        <v>Belum disetujui</v>
      </c>
      <c r="D568" s="38"/>
      <c r="E568" s="38" t="s">
        <v>11411</v>
      </c>
      <c r="F568" s="38" t="s">
        <v>220</v>
      </c>
      <c r="G568" s="38" t="s">
        <v>11412</v>
      </c>
      <c r="H568" s="38" t="s">
        <v>11399</v>
      </c>
    </row>
    <row r="569">
      <c r="A569" s="37">
        <f>IFERROR(__xludf.DUMMYFUNCTION("""COMPUTED_VALUE"""),45911.820680254634)</f>
        <v>45911.82068</v>
      </c>
      <c r="B569" s="38" t="str">
        <f>IFERROR(__xludf.DUMMYFUNCTION("""COMPUTED_VALUE"""),"ANYARMITHA SOPHIA SUEK")</f>
        <v>ANYARMITHA SOPHIA SUEK</v>
      </c>
      <c r="C569" s="38" t="str">
        <f>IFERROR(__xludf.DUMMYFUNCTION("""COMPUTED_VALUE"""),"Belum disetujui")</f>
        <v>Belum disetujui</v>
      </c>
      <c r="D569" s="38"/>
      <c r="E569" s="38" t="s">
        <v>11443</v>
      </c>
      <c r="F569" s="38" t="s">
        <v>220</v>
      </c>
      <c r="G569" s="38" t="s">
        <v>11444</v>
      </c>
      <c r="H569" s="38" t="s">
        <v>11399</v>
      </c>
    </row>
    <row r="570">
      <c r="A570" s="37">
        <f>IFERROR(__xludf.DUMMYFUNCTION("""COMPUTED_VALUE"""),45911.822460902775)</f>
        <v>45911.82246</v>
      </c>
      <c r="B570" s="38" t="str">
        <f>IFERROR(__xludf.DUMMYFUNCTION("""COMPUTED_VALUE"""),"FEBRIANTHY ELISABET NA'U")</f>
        <v>FEBRIANTHY ELISABET NA'U</v>
      </c>
      <c r="C570" s="38" t="str">
        <f>IFERROR(__xludf.DUMMYFUNCTION("""COMPUTED_VALUE"""),"Belum disetujui")</f>
        <v>Belum disetujui</v>
      </c>
      <c r="D570" s="38"/>
      <c r="E570" s="38" t="s">
        <v>11415</v>
      </c>
      <c r="F570" s="38" t="s">
        <v>204</v>
      </c>
      <c r="G570" s="38" t="s">
        <v>11416</v>
      </c>
      <c r="H570" s="38" t="s">
        <v>11399</v>
      </c>
    </row>
    <row r="571">
      <c r="A571" s="37">
        <f>IFERROR(__xludf.DUMMYFUNCTION("""COMPUTED_VALUE"""),45911.82702078704)</f>
        <v>45911.82702</v>
      </c>
      <c r="B571" s="38" t="str">
        <f>IFERROR(__xludf.DUMMYFUNCTION("""COMPUTED_VALUE"""),"YANA DANGU")</f>
        <v>YANA DANGU</v>
      </c>
      <c r="C571" s="38" t="str">
        <f>IFERROR(__xludf.DUMMYFUNCTION("""COMPUTED_VALUE"""),"Dapat limit tapi belum diproses")</f>
        <v>Dapat limit tapi belum diproses</v>
      </c>
      <c r="D571" s="38" t="str">
        <f>IFERROR(__xludf.DUMMYFUNCTION("""COMPUTED_VALUE"""),"Y400 series")</f>
        <v>Y400 series</v>
      </c>
      <c r="E571" s="38" t="s">
        <v>11397</v>
      </c>
      <c r="F571" s="38" t="s">
        <v>220</v>
      </c>
      <c r="G571" s="38" t="s">
        <v>11398</v>
      </c>
      <c r="H571" s="38" t="s">
        <v>11399</v>
      </c>
    </row>
    <row r="572">
      <c r="A572" s="37">
        <f>IFERROR(__xludf.DUMMYFUNCTION("""COMPUTED_VALUE"""),45911.8332130787)</f>
        <v>45911.83321</v>
      </c>
      <c r="B572" s="38" t="str">
        <f>IFERROR(__xludf.DUMMYFUNCTION("""COMPUTED_VALUE"""),"FERI ELI KURNIAWAN")</f>
        <v>FERI ELI KURNIAWAN</v>
      </c>
      <c r="C572" s="38" t="str">
        <f>IFERROR(__xludf.DUMMYFUNCTION("""COMPUTED_VALUE"""),"Belum disetujui")</f>
        <v>Belum disetujui</v>
      </c>
      <c r="D572" s="38"/>
      <c r="E572" s="38" t="s">
        <v>11411</v>
      </c>
      <c r="F572" s="38" t="s">
        <v>220</v>
      </c>
      <c r="G572" s="38" t="s">
        <v>11412</v>
      </c>
      <c r="H572" s="38" t="s">
        <v>11399</v>
      </c>
    </row>
    <row r="573">
      <c r="A573" s="37">
        <f>IFERROR(__xludf.DUMMYFUNCTION("""COMPUTED_VALUE"""),45911.836954374994)</f>
        <v>45911.83695</v>
      </c>
      <c r="B573" s="38" t="str">
        <f>IFERROR(__xludf.DUMMYFUNCTION("""COMPUTED_VALUE"""),"YOVANDA KATRINA NAE")</f>
        <v>YOVANDA KATRINA NAE</v>
      </c>
      <c r="C573" s="38" t="str">
        <f>IFERROR(__xludf.DUMMYFUNCTION("""COMPUTED_VALUE"""),"Belum disetujui")</f>
        <v>Belum disetujui</v>
      </c>
      <c r="D573" s="38"/>
      <c r="E573" s="38" t="s">
        <v>11425</v>
      </c>
      <c r="F573" s="38" t="s">
        <v>205</v>
      </c>
      <c r="G573" s="38" t="s">
        <v>11426</v>
      </c>
      <c r="H573" s="38" t="s">
        <v>11419</v>
      </c>
    </row>
    <row r="574">
      <c r="A574" s="37">
        <f>IFERROR(__xludf.DUMMYFUNCTION("""COMPUTED_VALUE"""),45911.839876909726)</f>
        <v>45911.83988</v>
      </c>
      <c r="B574" s="38" t="str">
        <f>IFERROR(__xludf.DUMMYFUNCTION("""COMPUTED_VALUE"""),"ADRIANA")</f>
        <v>ADRIANA</v>
      </c>
      <c r="C574" s="38" t="str">
        <f>IFERROR(__xludf.DUMMYFUNCTION("""COMPUTED_VALUE"""),"Dapat limit tapi belum diproses")</f>
        <v>Dapat limit tapi belum diproses</v>
      </c>
      <c r="D574" s="38" t="str">
        <f>IFERROR(__xludf.DUMMYFUNCTION("""COMPUTED_VALUE"""),"Y400 series")</f>
        <v>Y400 series</v>
      </c>
      <c r="E574" s="38" t="s">
        <v>11433</v>
      </c>
      <c r="F574" s="38" t="s">
        <v>313</v>
      </c>
      <c r="G574" s="38" t="s">
        <v>11434</v>
      </c>
      <c r="H574" s="38" t="s">
        <v>11424</v>
      </c>
    </row>
    <row r="575">
      <c r="A575" s="37">
        <f>IFERROR(__xludf.DUMMYFUNCTION("""COMPUTED_VALUE"""),45911.871912303235)</f>
        <v>45911.87191</v>
      </c>
      <c r="B575" s="38" t="str">
        <f>IFERROR(__xludf.DUMMYFUNCTION("""COMPUTED_VALUE"""),"YOHANIS TIPNONI")</f>
        <v>YOHANIS TIPNONI</v>
      </c>
      <c r="C575" s="38" t="str">
        <f>IFERROR(__xludf.DUMMYFUNCTION("""COMPUTED_VALUE"""),"Belum disetujui")</f>
        <v>Belum disetujui</v>
      </c>
      <c r="D575" s="38"/>
      <c r="E575" s="38" t="s">
        <v>11405</v>
      </c>
      <c r="F575" s="38" t="s">
        <v>220</v>
      </c>
      <c r="G575" s="38" t="s">
        <v>11406</v>
      </c>
      <c r="H575" s="38" t="s">
        <v>11399</v>
      </c>
    </row>
    <row r="576">
      <c r="A576" s="37">
        <f>IFERROR(__xludf.DUMMYFUNCTION("""COMPUTED_VALUE"""),45911.87571699074)</f>
        <v>45911.87572</v>
      </c>
      <c r="B576" s="38" t="str">
        <f>IFERROR(__xludf.DUMMYFUNCTION("""COMPUTED_VALUE"""),"YOHANIS TIPNONI")</f>
        <v>YOHANIS TIPNONI</v>
      </c>
      <c r="C576" s="38" t="str">
        <f>IFERROR(__xludf.DUMMYFUNCTION("""COMPUTED_VALUE"""),"Belum disetujui")</f>
        <v>Belum disetujui</v>
      </c>
      <c r="D576" s="38"/>
      <c r="E576" s="38" t="s">
        <v>11405</v>
      </c>
      <c r="F576" s="38" t="s">
        <v>220</v>
      </c>
      <c r="G576" s="38" t="s">
        <v>11406</v>
      </c>
      <c r="H576" s="38" t="s">
        <v>11399</v>
      </c>
    </row>
    <row r="577">
      <c r="A577" s="37">
        <f>IFERROR(__xludf.DUMMYFUNCTION("""COMPUTED_VALUE"""),45911.87877185185)</f>
        <v>45911.87877</v>
      </c>
      <c r="B577" s="38" t="str">
        <f>IFERROR(__xludf.DUMMYFUNCTION("""COMPUTED_VALUE"""),"YOHANIS TIPNONI")</f>
        <v>YOHANIS TIPNONI</v>
      </c>
      <c r="C577" s="38" t="str">
        <f>IFERROR(__xludf.DUMMYFUNCTION("""COMPUTED_VALUE"""),"Belum disetujui")</f>
        <v>Belum disetujui</v>
      </c>
      <c r="D577" s="38"/>
      <c r="E577" s="38" t="s">
        <v>11405</v>
      </c>
      <c r="F577" s="38" t="s">
        <v>220</v>
      </c>
      <c r="G577" s="38" t="s">
        <v>11406</v>
      </c>
      <c r="H577" s="38" t="s">
        <v>11399</v>
      </c>
    </row>
    <row r="578">
      <c r="A578" s="37">
        <f>IFERROR(__xludf.DUMMYFUNCTION("""COMPUTED_VALUE"""),45911.949169374995)</f>
        <v>45911.94917</v>
      </c>
      <c r="B578" s="38" t="str">
        <f>IFERROR(__xludf.DUMMYFUNCTION("""COMPUTED_VALUE"""),"ANITA ANA AMAH")</f>
        <v>ANITA ANA AMAH</v>
      </c>
      <c r="C578" s="38" t="str">
        <f>IFERROR(__xludf.DUMMYFUNCTION("""COMPUTED_VALUE"""),"Dapat limit tapi belum diproses")</f>
        <v>Dapat limit tapi belum diproses</v>
      </c>
      <c r="D578" s="38" t="str">
        <f>IFERROR(__xludf.DUMMYFUNCTION("""COMPUTED_VALUE"""),"Y400 series")</f>
        <v>Y400 series</v>
      </c>
      <c r="E578" s="38" t="s">
        <v>11425</v>
      </c>
      <c r="F578" s="38" t="s">
        <v>205</v>
      </c>
      <c r="G578" s="38" t="s">
        <v>11426</v>
      </c>
      <c r="H578" s="38" t="s">
        <v>11419</v>
      </c>
    </row>
    <row r="579">
      <c r="A579" s="37">
        <f>IFERROR(__xludf.DUMMYFUNCTION("""COMPUTED_VALUE"""),45912.474941273154)</f>
        <v>45912.47494</v>
      </c>
      <c r="B579" s="38" t="str">
        <f>IFERROR(__xludf.DUMMYFUNCTION("""COMPUTED_VALUE"""),"YOVANDA KATRINA NAE")</f>
        <v>YOVANDA KATRINA NAE</v>
      </c>
      <c r="C579" s="38" t="str">
        <f>IFERROR(__xludf.DUMMYFUNCTION("""COMPUTED_VALUE"""),"Belum disetujui")</f>
        <v>Belum disetujui</v>
      </c>
      <c r="D579" s="38"/>
      <c r="E579" s="38" t="s">
        <v>11425</v>
      </c>
      <c r="F579" s="38" t="s">
        <v>205</v>
      </c>
      <c r="G579" s="38" t="s">
        <v>11426</v>
      </c>
      <c r="H579" s="38" t="s">
        <v>11419</v>
      </c>
    </row>
    <row r="580">
      <c r="A580" s="37">
        <f>IFERROR(__xludf.DUMMYFUNCTION("""COMPUTED_VALUE"""),45912.477678773146)</f>
        <v>45912.47768</v>
      </c>
      <c r="B580" s="38" t="str">
        <f>IFERROR(__xludf.DUMMYFUNCTION("""COMPUTED_VALUE"""),"MEXY ALEXANDER HETMINA")</f>
        <v>MEXY ALEXANDER HETMINA</v>
      </c>
      <c r="C580" s="38" t="str">
        <f>IFERROR(__xludf.DUMMYFUNCTION("""COMPUTED_VALUE"""),"Belum disetujui")</f>
        <v>Belum disetujui</v>
      </c>
      <c r="D580" s="38"/>
      <c r="E580" s="38" t="s">
        <v>11413</v>
      </c>
      <c r="F580" s="38" t="s">
        <v>204</v>
      </c>
      <c r="G580" s="38" t="s">
        <v>11414</v>
      </c>
      <c r="H580" s="38" t="s">
        <v>11399</v>
      </c>
    </row>
    <row r="581">
      <c r="A581" s="37">
        <f>IFERROR(__xludf.DUMMYFUNCTION("""COMPUTED_VALUE"""),45912.50755354167)</f>
        <v>45912.50755</v>
      </c>
      <c r="B581" s="38" t="str">
        <f>IFERROR(__xludf.DUMMYFUNCTION("""COMPUTED_VALUE"""),"SELVINCE BAKO")</f>
        <v>SELVINCE BAKO</v>
      </c>
      <c r="C581" s="38" t="str">
        <f>IFERROR(__xludf.DUMMYFUNCTION("""COMPUTED_VALUE"""),"Belum disetujui")</f>
        <v>Belum disetujui</v>
      </c>
      <c r="D581" s="38"/>
      <c r="E581" s="38" t="s">
        <v>11413</v>
      </c>
      <c r="F581" s="38" t="s">
        <v>204</v>
      </c>
      <c r="G581" s="38" t="s">
        <v>11414</v>
      </c>
      <c r="H581" s="38" t="s">
        <v>11399</v>
      </c>
    </row>
    <row r="582">
      <c r="A582" s="37">
        <f>IFERROR(__xludf.DUMMYFUNCTION("""COMPUTED_VALUE"""),45912.524919375)</f>
        <v>45912.52492</v>
      </c>
      <c r="B582" s="38" t="str">
        <f>IFERROR(__xludf.DUMMYFUNCTION("""COMPUTED_VALUE"""),"NOVANTRY RUTHANIA NAFFIE")</f>
        <v>NOVANTRY RUTHANIA NAFFIE</v>
      </c>
      <c r="C582" s="38" t="str">
        <f>IFERROR(__xludf.DUMMYFUNCTION("""COMPUTED_VALUE"""),"Belum disetujui")</f>
        <v>Belum disetujui</v>
      </c>
      <c r="D582" s="38"/>
      <c r="E582" s="38" t="s">
        <v>11397</v>
      </c>
      <c r="F582" s="38" t="s">
        <v>220</v>
      </c>
      <c r="G582" s="38" t="s">
        <v>11398</v>
      </c>
      <c r="H582" s="38" t="s">
        <v>11399</v>
      </c>
    </row>
    <row r="583">
      <c r="A583" s="37">
        <f>IFERROR(__xludf.DUMMYFUNCTION("""COMPUTED_VALUE"""),45912.5362408912)</f>
        <v>45912.53624</v>
      </c>
      <c r="B583" s="38" t="str">
        <f>IFERROR(__xludf.DUMMYFUNCTION("""COMPUTED_VALUE"""),"NOVANTRY RUTHANIA NAFFIE")</f>
        <v>NOVANTRY RUTHANIA NAFFIE</v>
      </c>
      <c r="C583" s="38" t="str">
        <f>IFERROR(__xludf.DUMMYFUNCTION("""COMPUTED_VALUE"""),"Belum disetujui")</f>
        <v>Belum disetujui</v>
      </c>
      <c r="D583" s="38"/>
      <c r="E583" s="38" t="s">
        <v>11397</v>
      </c>
      <c r="F583" s="38" t="s">
        <v>220</v>
      </c>
      <c r="G583" s="38" t="s">
        <v>11398</v>
      </c>
      <c r="H583" s="38" t="s">
        <v>11399</v>
      </c>
    </row>
    <row r="584">
      <c r="A584" s="37">
        <f>IFERROR(__xludf.DUMMYFUNCTION("""COMPUTED_VALUE"""),45912.540194340276)</f>
        <v>45912.54019</v>
      </c>
      <c r="B584" s="38" t="str">
        <f>IFERROR(__xludf.DUMMYFUNCTION("""COMPUTED_VALUE"""),"YANA DANGU")</f>
        <v>YANA DANGU</v>
      </c>
      <c r="C584" s="38" t="str">
        <f>IFERROR(__xludf.DUMMYFUNCTION("""COMPUTED_VALUE"""),"Belum disetujui")</f>
        <v>Belum disetujui</v>
      </c>
      <c r="D584" s="38"/>
      <c r="E584" s="38" t="s">
        <v>11397</v>
      </c>
      <c r="F584" s="38" t="s">
        <v>220</v>
      </c>
      <c r="G584" s="38" t="s">
        <v>11398</v>
      </c>
      <c r="H584" s="38" t="s">
        <v>11399</v>
      </c>
    </row>
    <row r="585">
      <c r="A585" s="37">
        <f>IFERROR(__xludf.DUMMYFUNCTION("""COMPUTED_VALUE"""),45912.553056331024)</f>
        <v>45912.55306</v>
      </c>
      <c r="B585" s="38" t="str">
        <f>IFERROR(__xludf.DUMMYFUNCTION("""COMPUTED_VALUE"""),"ASTUTI BELA WAWO")</f>
        <v>ASTUTI BELA WAWO</v>
      </c>
      <c r="C585" s="38" t="str">
        <f>IFERROR(__xludf.DUMMYFUNCTION("""COMPUTED_VALUE"""),"ACC")</f>
        <v>ACC</v>
      </c>
      <c r="D585" s="38" t="str">
        <f>IFERROR(__xludf.DUMMYFUNCTION("""COMPUTED_VALUE"""),"V50 Lite series")</f>
        <v>V50 Lite series</v>
      </c>
      <c r="E585" s="38" t="s">
        <v>11427</v>
      </c>
      <c r="F585" s="38" t="s">
        <v>257</v>
      </c>
      <c r="G585" s="38" t="s">
        <v>11428</v>
      </c>
      <c r="H585" s="38" t="s">
        <v>11419</v>
      </c>
    </row>
    <row r="586">
      <c r="A586" s="37">
        <f>IFERROR(__xludf.DUMMYFUNCTION("""COMPUTED_VALUE"""),45912.607283067126)</f>
        <v>45912.60728</v>
      </c>
      <c r="B586" s="38" t="str">
        <f>IFERROR(__xludf.DUMMYFUNCTION("""COMPUTED_VALUE"""),"KESIA NATALIA I. BENU")</f>
        <v>KESIA NATALIA I. BENU</v>
      </c>
      <c r="C586" s="38" t="str">
        <f>IFERROR(__xludf.DUMMYFUNCTION("""COMPUTED_VALUE"""),"Belum disetujui")</f>
        <v>Belum disetujui</v>
      </c>
      <c r="D586" s="38"/>
      <c r="E586" s="38" t="s">
        <v>11417</v>
      </c>
      <c r="F586" s="38" t="s">
        <v>257</v>
      </c>
      <c r="G586" s="38" t="s">
        <v>11418</v>
      </c>
      <c r="H586" s="38" t="s">
        <v>11419</v>
      </c>
    </row>
    <row r="587">
      <c r="A587" s="37">
        <f>IFERROR(__xludf.DUMMYFUNCTION("""COMPUTED_VALUE"""),45912.61778148148)</f>
        <v>45912.61778</v>
      </c>
      <c r="B587" s="38" t="str">
        <f>IFERROR(__xludf.DUMMYFUNCTION("""COMPUTED_VALUE"""),"MARNITHA JUWIKE TIMORATI RUNESI")</f>
        <v>MARNITHA JUWIKE TIMORATI RUNESI</v>
      </c>
      <c r="C587" s="38" t="str">
        <f>IFERROR(__xludf.DUMMYFUNCTION("""COMPUTED_VALUE"""),"Belum disetujui")</f>
        <v>Belum disetujui</v>
      </c>
      <c r="D587" s="38"/>
      <c r="E587" s="38" t="s">
        <v>11420</v>
      </c>
      <c r="F587" s="38" t="s">
        <v>204</v>
      </c>
      <c r="G587" s="38" t="s">
        <v>11421</v>
      </c>
      <c r="H587" s="38" t="s">
        <v>11399</v>
      </c>
    </row>
    <row r="588">
      <c r="A588" s="37">
        <f>IFERROR(__xludf.DUMMYFUNCTION("""COMPUTED_VALUE"""),45912.61915366898)</f>
        <v>45912.61915</v>
      </c>
      <c r="B588" s="38" t="str">
        <f>IFERROR(__xludf.DUMMYFUNCTION("""COMPUTED_VALUE"""),"MARNITHA JUWIKE TIMORATI RUNESI")</f>
        <v>MARNITHA JUWIKE TIMORATI RUNESI</v>
      </c>
      <c r="C588" s="38" t="str">
        <f>IFERROR(__xludf.DUMMYFUNCTION("""COMPUTED_VALUE"""),"Belum disetujui")</f>
        <v>Belum disetujui</v>
      </c>
      <c r="D588" s="38"/>
      <c r="E588" s="38" t="s">
        <v>11420</v>
      </c>
      <c r="F588" s="38" t="s">
        <v>204</v>
      </c>
      <c r="G588" s="38" t="s">
        <v>11421</v>
      </c>
      <c r="H588" s="38" t="s">
        <v>11399</v>
      </c>
    </row>
    <row r="589">
      <c r="A589" s="37">
        <f>IFERROR(__xludf.DUMMYFUNCTION("""COMPUTED_VALUE"""),45912.62924207176)</f>
        <v>45912.62924</v>
      </c>
      <c r="B589" s="38" t="str">
        <f>IFERROR(__xludf.DUMMYFUNCTION("""COMPUTED_VALUE"""),"YOHANIS TIPNONI")</f>
        <v>YOHANIS TIPNONI</v>
      </c>
      <c r="C589" s="38" t="str">
        <f>IFERROR(__xludf.DUMMYFUNCTION("""COMPUTED_VALUE"""),"Belum disetujui")</f>
        <v>Belum disetujui</v>
      </c>
      <c r="D589" s="38"/>
      <c r="E589" s="38" t="s">
        <v>11405</v>
      </c>
      <c r="F589" s="38" t="s">
        <v>220</v>
      </c>
      <c r="G589" s="38" t="s">
        <v>11406</v>
      </c>
      <c r="H589" s="38" t="s">
        <v>11399</v>
      </c>
    </row>
    <row r="590">
      <c r="A590" s="37">
        <f>IFERROR(__xludf.DUMMYFUNCTION("""COMPUTED_VALUE"""),45912.63295398148)</f>
        <v>45912.63295</v>
      </c>
      <c r="B590" s="38" t="str">
        <f>IFERROR(__xludf.DUMMYFUNCTION("""COMPUTED_VALUE"""),"WARDIA")</f>
        <v>WARDIA</v>
      </c>
      <c r="C590" s="38" t="str">
        <f>IFERROR(__xludf.DUMMYFUNCTION("""COMPUTED_VALUE"""),"Belum disetujui")</f>
        <v>Belum disetujui</v>
      </c>
      <c r="D590" s="38"/>
      <c r="E590" s="38" t="s">
        <v>11409</v>
      </c>
      <c r="F590" s="38" t="s">
        <v>204</v>
      </c>
      <c r="G590" s="38" t="s">
        <v>11410</v>
      </c>
      <c r="H590" s="38" t="s">
        <v>11399</v>
      </c>
    </row>
    <row r="591">
      <c r="A591" s="37">
        <f>IFERROR(__xludf.DUMMYFUNCTION("""COMPUTED_VALUE"""),45912.63460001157)</f>
        <v>45912.6346</v>
      </c>
      <c r="B591" s="38" t="str">
        <f>IFERROR(__xludf.DUMMYFUNCTION("""COMPUTED_VALUE"""),"LINDA MELSIANA ELLO")</f>
        <v>LINDA MELSIANA ELLO</v>
      </c>
      <c r="C591" s="38" t="str">
        <f>IFERROR(__xludf.DUMMYFUNCTION("""COMPUTED_VALUE"""),"Dapat limit tapi belum diproses")</f>
        <v>Dapat limit tapi belum diproses</v>
      </c>
      <c r="D591" s="38" t="str">
        <f>IFERROR(__xludf.DUMMYFUNCTION("""COMPUTED_VALUE"""),"V60 series")</f>
        <v>V60 series</v>
      </c>
      <c r="E591" s="38" t="s">
        <v>11435</v>
      </c>
      <c r="F591" s="38" t="s">
        <v>215</v>
      </c>
      <c r="G591" s="38" t="s">
        <v>11436</v>
      </c>
      <c r="H591" s="38" t="s">
        <v>11424</v>
      </c>
    </row>
    <row r="592">
      <c r="A592" s="37">
        <f>IFERROR(__xludf.DUMMYFUNCTION("""COMPUTED_VALUE"""),45912.649158125)</f>
        <v>45912.64916</v>
      </c>
      <c r="B592" s="38" t="str">
        <f>IFERROR(__xludf.DUMMYFUNCTION("""COMPUTED_VALUE"""),"SANTI MARIA LUKMINI NAHAK")</f>
        <v>SANTI MARIA LUKMINI NAHAK</v>
      </c>
      <c r="C592" s="38" t="str">
        <f>IFERROR(__xludf.DUMMYFUNCTION("""COMPUTED_VALUE"""),"Belum disetujui")</f>
        <v>Belum disetujui</v>
      </c>
      <c r="D592" s="38"/>
      <c r="E592" s="38" t="s">
        <v>11460</v>
      </c>
      <c r="F592" s="38" t="s">
        <v>871</v>
      </c>
      <c r="G592" s="38" t="s">
        <v>11461</v>
      </c>
      <c r="H592" s="38" t="s">
        <v>11424</v>
      </c>
    </row>
    <row r="593">
      <c r="A593" s="37">
        <f>IFERROR(__xludf.DUMMYFUNCTION("""COMPUTED_VALUE"""),45912.694737777776)</f>
        <v>45912.69474</v>
      </c>
      <c r="B593" s="38" t="str">
        <f>IFERROR(__xludf.DUMMYFUNCTION("""COMPUTED_VALUE"""),"NOVANTRY RUTHANIA NAFFIE")</f>
        <v>NOVANTRY RUTHANIA NAFFIE</v>
      </c>
      <c r="C593" s="38" t="str">
        <f>IFERROR(__xludf.DUMMYFUNCTION("""COMPUTED_VALUE"""),"Belum disetujui")</f>
        <v>Belum disetujui</v>
      </c>
      <c r="D593" s="38"/>
      <c r="E593" s="38" t="s">
        <v>11397</v>
      </c>
      <c r="F593" s="38" t="s">
        <v>220</v>
      </c>
      <c r="G593" s="38" t="s">
        <v>11398</v>
      </c>
      <c r="H593" s="38" t="s">
        <v>11399</v>
      </c>
    </row>
    <row r="594">
      <c r="A594" s="37">
        <f>IFERROR(__xludf.DUMMYFUNCTION("""COMPUTED_VALUE"""),45912.73544813658)</f>
        <v>45912.73545</v>
      </c>
      <c r="B594" s="38" t="str">
        <f>IFERROR(__xludf.DUMMYFUNCTION("""COMPUTED_VALUE"""),"YOMELIANA MARIA MAGNO")</f>
        <v>YOMELIANA MARIA MAGNO</v>
      </c>
      <c r="C594" s="38" t="str">
        <f>IFERROR(__xludf.DUMMYFUNCTION("""COMPUTED_VALUE"""),"Belum disetujui")</f>
        <v>Belum disetujui</v>
      </c>
      <c r="D594" s="38"/>
      <c r="E594" s="38" t="s">
        <v>11460</v>
      </c>
      <c r="F594" s="38" t="s">
        <v>871</v>
      </c>
      <c r="G594" s="38" t="s">
        <v>11461</v>
      </c>
      <c r="H594" s="38" t="s">
        <v>11424</v>
      </c>
    </row>
    <row r="595">
      <c r="A595" s="37">
        <f>IFERROR(__xludf.DUMMYFUNCTION("""COMPUTED_VALUE"""),45912.739101875)</f>
        <v>45912.7391</v>
      </c>
      <c r="B595" s="38" t="str">
        <f>IFERROR(__xludf.DUMMYFUNCTION("""COMPUTED_VALUE"""),"YOMELIANA MARIA MAGNO")</f>
        <v>YOMELIANA MARIA MAGNO</v>
      </c>
      <c r="C595" s="38" t="str">
        <f>IFERROR(__xludf.DUMMYFUNCTION("""COMPUTED_VALUE"""),"Dapat limit tapi belum diproses")</f>
        <v>Dapat limit tapi belum diproses</v>
      </c>
      <c r="D595" s="38" t="str">
        <f>IFERROR(__xludf.DUMMYFUNCTION("""COMPUTED_VALUE"""),"Y400 series")</f>
        <v>Y400 series</v>
      </c>
      <c r="E595" s="38" t="s">
        <v>11460</v>
      </c>
      <c r="F595" s="38" t="s">
        <v>871</v>
      </c>
      <c r="G595" s="38" t="s">
        <v>11461</v>
      </c>
      <c r="H595" s="38" t="s">
        <v>11424</v>
      </c>
    </row>
    <row r="596">
      <c r="A596" s="37">
        <f>IFERROR(__xludf.DUMMYFUNCTION("""COMPUTED_VALUE"""),45912.74182751158)</f>
        <v>45912.74183</v>
      </c>
      <c r="B596" s="38" t="str">
        <f>IFERROR(__xludf.DUMMYFUNCTION("""COMPUTED_VALUE"""),"WINDRI MANOE")</f>
        <v>WINDRI MANOE</v>
      </c>
      <c r="C596" s="38" t="str">
        <f>IFERROR(__xludf.DUMMYFUNCTION("""COMPUTED_VALUE"""),"Belum disetujui")</f>
        <v>Belum disetujui</v>
      </c>
      <c r="D596" s="38"/>
      <c r="E596" s="38" t="s">
        <v>11443</v>
      </c>
      <c r="F596" s="38" t="s">
        <v>220</v>
      </c>
      <c r="G596" s="38" t="s">
        <v>11444</v>
      </c>
      <c r="H596" s="38" t="s">
        <v>11399</v>
      </c>
    </row>
    <row r="597">
      <c r="A597" s="37">
        <f>IFERROR(__xludf.DUMMYFUNCTION("""COMPUTED_VALUE"""),45912.749005300924)</f>
        <v>45912.74901</v>
      </c>
      <c r="B597" s="38" t="str">
        <f>IFERROR(__xludf.DUMMYFUNCTION("""COMPUTED_VALUE"""),"YOHANIS TIPNONI")</f>
        <v>YOHANIS TIPNONI</v>
      </c>
      <c r="C597" s="38" t="str">
        <f>IFERROR(__xludf.DUMMYFUNCTION("""COMPUTED_VALUE"""),"Belum disetujui")</f>
        <v>Belum disetujui</v>
      </c>
      <c r="D597" s="38"/>
      <c r="E597" s="38" t="s">
        <v>11405</v>
      </c>
      <c r="F597" s="38" t="s">
        <v>220</v>
      </c>
      <c r="G597" s="38" t="s">
        <v>11406</v>
      </c>
      <c r="H597" s="38" t="s">
        <v>11399</v>
      </c>
    </row>
    <row r="598">
      <c r="A598" s="37">
        <f>IFERROR(__xludf.DUMMYFUNCTION("""COMPUTED_VALUE"""),45912.74906326389)</f>
        <v>45912.74906</v>
      </c>
      <c r="B598" s="38" t="str">
        <f>IFERROR(__xludf.DUMMYFUNCTION("""COMPUTED_VALUE"""),"MARNITHA JUWIKE TIMORATI RUNESI")</f>
        <v>MARNITHA JUWIKE TIMORATI RUNESI</v>
      </c>
      <c r="C598" s="38" t="str">
        <f>IFERROR(__xludf.DUMMYFUNCTION("""COMPUTED_VALUE"""),"Belum disetujui")</f>
        <v>Belum disetujui</v>
      </c>
      <c r="D598" s="38"/>
      <c r="E598" s="38" t="s">
        <v>11420</v>
      </c>
      <c r="F598" s="38" t="s">
        <v>204</v>
      </c>
      <c r="G598" s="38" t="s">
        <v>11421</v>
      </c>
      <c r="H598" s="38" t="s">
        <v>11399</v>
      </c>
    </row>
    <row r="599">
      <c r="A599" s="37">
        <f>IFERROR(__xludf.DUMMYFUNCTION("""COMPUTED_VALUE"""),45912.750868055555)</f>
        <v>45912.75087</v>
      </c>
      <c r="B599" s="38" t="str">
        <f>IFERROR(__xludf.DUMMYFUNCTION("""COMPUTED_VALUE"""),"AINI RAHMATINI NATALIA MOESTAKIM")</f>
        <v>AINI RAHMATINI NATALIA MOESTAKIM</v>
      </c>
      <c r="C599" s="38" t="str">
        <f>IFERROR(__xludf.DUMMYFUNCTION("""COMPUTED_VALUE"""),"Belum disetujui")</f>
        <v>Belum disetujui</v>
      </c>
      <c r="D599" s="38"/>
      <c r="E599" s="38" t="s">
        <v>11409</v>
      </c>
      <c r="F599" s="38" t="s">
        <v>204</v>
      </c>
      <c r="G599" s="38" t="s">
        <v>11410</v>
      </c>
      <c r="H599" s="38" t="s">
        <v>11399</v>
      </c>
    </row>
    <row r="600">
      <c r="A600" s="37">
        <f>IFERROR(__xludf.DUMMYFUNCTION("""COMPUTED_VALUE"""),45912.767617777776)</f>
        <v>45912.76762</v>
      </c>
      <c r="B600" s="38" t="str">
        <f>IFERROR(__xludf.DUMMYFUNCTION("""COMPUTED_VALUE"""),"WINDRI MANOE")</f>
        <v>WINDRI MANOE</v>
      </c>
      <c r="C600" s="38" t="str">
        <f>IFERROR(__xludf.DUMMYFUNCTION("""COMPUTED_VALUE"""),"Belum disetujui")</f>
        <v>Belum disetujui</v>
      </c>
      <c r="D600" s="38"/>
      <c r="E600" s="38" t="s">
        <v>11443</v>
      </c>
      <c r="F600" s="38" t="s">
        <v>220</v>
      </c>
      <c r="G600" s="38" t="s">
        <v>11444</v>
      </c>
      <c r="H600" s="38" t="s">
        <v>11399</v>
      </c>
    </row>
    <row r="601">
      <c r="A601" s="37">
        <f>IFERROR(__xludf.DUMMYFUNCTION("""COMPUTED_VALUE"""),45912.79148729167)</f>
        <v>45912.79149</v>
      </c>
      <c r="B601" s="38" t="str">
        <f>IFERROR(__xludf.DUMMYFUNCTION("""COMPUTED_VALUE"""),"YASINTHA MBU")</f>
        <v>YASINTHA MBU</v>
      </c>
      <c r="C601" s="38" t="str">
        <f>IFERROR(__xludf.DUMMYFUNCTION("""COMPUTED_VALUE"""),"Dapat limit tapi belum diproses")</f>
        <v>Dapat limit tapi belum diproses</v>
      </c>
      <c r="D601" s="38" t="str">
        <f>IFERROR(__xludf.DUMMYFUNCTION("""COMPUTED_VALUE"""),"Y400 series")</f>
        <v>Y400 series</v>
      </c>
      <c r="E601" s="38" t="s">
        <v>11407</v>
      </c>
      <c r="F601" s="38" t="s">
        <v>220</v>
      </c>
      <c r="G601" s="38" t="s">
        <v>11408</v>
      </c>
      <c r="H601" s="38" t="s">
        <v>11399</v>
      </c>
    </row>
    <row r="602">
      <c r="A602" s="37">
        <f>IFERROR(__xludf.DUMMYFUNCTION("""COMPUTED_VALUE"""),45912.8109640162)</f>
        <v>45912.81096</v>
      </c>
      <c r="B602" s="38" t="str">
        <f>IFERROR(__xludf.DUMMYFUNCTION("""COMPUTED_VALUE"""),"AZ ZAHRA SITI ZAINAB")</f>
        <v>AZ ZAHRA SITI ZAINAB</v>
      </c>
      <c r="C602" s="38" t="str">
        <f>IFERROR(__xludf.DUMMYFUNCTION("""COMPUTED_VALUE"""),"Belum disetujui")</f>
        <v>Belum disetujui</v>
      </c>
      <c r="D602" s="38"/>
      <c r="E602" s="38" t="s">
        <v>11462</v>
      </c>
      <c r="F602" s="38" t="s">
        <v>257</v>
      </c>
      <c r="G602" s="38" t="s">
        <v>11463</v>
      </c>
      <c r="H602" s="38" t="s">
        <v>11419</v>
      </c>
    </row>
    <row r="603">
      <c r="A603" s="37">
        <f>IFERROR(__xludf.DUMMYFUNCTION("""COMPUTED_VALUE"""),45912.81934898148)</f>
        <v>45912.81935</v>
      </c>
      <c r="B603" s="38" t="str">
        <f>IFERROR(__xludf.DUMMYFUNCTION("""COMPUTED_VALUE"""),"ASTUTI BELA WAWO")</f>
        <v>ASTUTI BELA WAWO</v>
      </c>
      <c r="C603" s="38" t="str">
        <f>IFERROR(__xludf.DUMMYFUNCTION("""COMPUTED_VALUE"""),"ACC")</f>
        <v>ACC</v>
      </c>
      <c r="D603" s="38" t="str">
        <f>IFERROR(__xludf.DUMMYFUNCTION("""COMPUTED_VALUE"""),"Y400 series")</f>
        <v>Y400 series</v>
      </c>
      <c r="E603" s="38" t="s">
        <v>11427</v>
      </c>
      <c r="F603" s="38" t="s">
        <v>257</v>
      </c>
      <c r="G603" s="38" t="s">
        <v>11428</v>
      </c>
      <c r="H603" s="38" t="s">
        <v>11419</v>
      </c>
    </row>
    <row r="604">
      <c r="A604" s="37">
        <f>IFERROR(__xludf.DUMMYFUNCTION("""COMPUTED_VALUE"""),45912.83921056713)</f>
        <v>45912.83921</v>
      </c>
      <c r="B604" s="38" t="str">
        <f>IFERROR(__xludf.DUMMYFUNCTION("""COMPUTED_VALUE"""),"ROS YANE KANA LUDJI")</f>
        <v>ROS YANE KANA LUDJI</v>
      </c>
      <c r="C604" s="38" t="str">
        <f>IFERROR(__xludf.DUMMYFUNCTION("""COMPUTED_VALUE"""),"Belum disetujui")</f>
        <v>Belum disetujui</v>
      </c>
      <c r="D604" s="38"/>
      <c r="E604" s="38" t="s">
        <v>11437</v>
      </c>
      <c r="F604" s="38" t="s">
        <v>204</v>
      </c>
      <c r="G604" s="38" t="s">
        <v>11438</v>
      </c>
      <c r="H604" s="38" t="s">
        <v>11399</v>
      </c>
    </row>
    <row r="605">
      <c r="A605" s="37">
        <f>IFERROR(__xludf.DUMMYFUNCTION("""COMPUTED_VALUE"""),45912.85901395833)</f>
        <v>45912.85901</v>
      </c>
      <c r="B605" s="38" t="str">
        <f>IFERROR(__xludf.DUMMYFUNCTION("""COMPUTED_VALUE"""),"FEBRIANTHY ELISABET NA'U")</f>
        <v>FEBRIANTHY ELISABET NA'U</v>
      </c>
      <c r="C605" s="38" t="str">
        <f>IFERROR(__xludf.DUMMYFUNCTION("""COMPUTED_VALUE"""),"Belum disetujui")</f>
        <v>Belum disetujui</v>
      </c>
      <c r="D605" s="38"/>
      <c r="E605" s="38" t="s">
        <v>11415</v>
      </c>
      <c r="F605" s="38" t="s">
        <v>204</v>
      </c>
      <c r="G605" s="38" t="s">
        <v>11416</v>
      </c>
      <c r="H605" s="38" t="s">
        <v>11399</v>
      </c>
    </row>
    <row r="606">
      <c r="A606" s="37">
        <f>IFERROR(__xludf.DUMMYFUNCTION("""COMPUTED_VALUE"""),45912.860117118056)</f>
        <v>45912.86012</v>
      </c>
      <c r="B606" s="38" t="str">
        <f>IFERROR(__xludf.DUMMYFUNCTION("""COMPUTED_VALUE"""),"FEBRIANTHY ELISABET NA'U")</f>
        <v>FEBRIANTHY ELISABET NA'U</v>
      </c>
      <c r="C606" s="38" t="str">
        <f>IFERROR(__xludf.DUMMYFUNCTION("""COMPUTED_VALUE"""),"Belum disetujui")</f>
        <v>Belum disetujui</v>
      </c>
      <c r="D606" s="38"/>
      <c r="E606" s="38" t="s">
        <v>11415</v>
      </c>
      <c r="F606" s="38" t="s">
        <v>204</v>
      </c>
      <c r="G606" s="38" t="s">
        <v>11416</v>
      </c>
      <c r="H606" s="38" t="s">
        <v>11399</v>
      </c>
    </row>
    <row r="607">
      <c r="A607" s="37">
        <f>IFERROR(__xludf.DUMMYFUNCTION("""COMPUTED_VALUE"""),45912.86153645833)</f>
        <v>45912.86154</v>
      </c>
      <c r="B607" s="38" t="str">
        <f>IFERROR(__xludf.DUMMYFUNCTION("""COMPUTED_VALUE"""),"FEBRIANTHY ELISABET NA'U")</f>
        <v>FEBRIANTHY ELISABET NA'U</v>
      </c>
      <c r="C607" s="38" t="str">
        <f>IFERROR(__xludf.DUMMYFUNCTION("""COMPUTED_VALUE"""),"Belum disetujui")</f>
        <v>Belum disetujui</v>
      </c>
      <c r="D607" s="38"/>
      <c r="E607" s="38" t="s">
        <v>11415</v>
      </c>
      <c r="F607" s="38" t="s">
        <v>204</v>
      </c>
      <c r="G607" s="38" t="s">
        <v>11416</v>
      </c>
      <c r="H607" s="38" t="s">
        <v>11399</v>
      </c>
    </row>
    <row r="608">
      <c r="A608" s="37">
        <f>IFERROR(__xludf.DUMMYFUNCTION("""COMPUTED_VALUE"""),45912.86709758102)</f>
        <v>45912.8671</v>
      </c>
      <c r="B608" s="38" t="str">
        <f>IFERROR(__xludf.DUMMYFUNCTION("""COMPUTED_VALUE"""),"HERONIMUS NAMU WALI")</f>
        <v>HERONIMUS NAMU WALI</v>
      </c>
      <c r="C608" s="38" t="str">
        <f>IFERROR(__xludf.DUMMYFUNCTION("""COMPUTED_VALUE"""),"Belum disetujui")</f>
        <v>Belum disetujui</v>
      </c>
      <c r="D608" s="38"/>
      <c r="E608" s="38" t="s">
        <v>11452</v>
      </c>
      <c r="F608" s="38" t="s">
        <v>205</v>
      </c>
      <c r="G608" s="38" t="s">
        <v>11453</v>
      </c>
      <c r="H608" s="38" t="s">
        <v>11419</v>
      </c>
    </row>
    <row r="609">
      <c r="A609" s="37">
        <f>IFERROR(__xludf.DUMMYFUNCTION("""COMPUTED_VALUE"""),45913.4010987037)</f>
        <v>45913.4011</v>
      </c>
      <c r="B609" s="38" t="str">
        <f>IFERROR(__xludf.DUMMYFUNCTION("""COMPUTED_VALUE"""),"BERGITHA NIA OLIN")</f>
        <v>BERGITHA NIA OLIN</v>
      </c>
      <c r="C609" s="38" t="str">
        <f>IFERROR(__xludf.DUMMYFUNCTION("""COMPUTED_VALUE"""),"Belum disetujui")</f>
        <v>Belum disetujui</v>
      </c>
      <c r="D609" s="38"/>
      <c r="E609" s="38" t="s">
        <v>11431</v>
      </c>
      <c r="F609" s="38" t="s">
        <v>313</v>
      </c>
      <c r="G609" s="38" t="s">
        <v>11432</v>
      </c>
      <c r="H609" s="38" t="s">
        <v>11424</v>
      </c>
    </row>
    <row r="610">
      <c r="A610" s="37">
        <f>IFERROR(__xludf.DUMMYFUNCTION("""COMPUTED_VALUE"""),45913.40353258102)</f>
        <v>45913.40353</v>
      </c>
      <c r="B610" s="38" t="str">
        <f>IFERROR(__xludf.DUMMYFUNCTION("""COMPUTED_VALUE"""),"DEWI RAHMAN")</f>
        <v>DEWI RAHMAN</v>
      </c>
      <c r="C610" s="38" t="str">
        <f>IFERROR(__xludf.DUMMYFUNCTION("""COMPUTED_VALUE"""),"Belum disetujui")</f>
        <v>Belum disetujui</v>
      </c>
      <c r="D610" s="38"/>
      <c r="E610" s="38" t="s">
        <v>11449</v>
      </c>
      <c r="F610" s="38" t="s">
        <v>11450</v>
      </c>
      <c r="G610" s="38" t="s">
        <v>11451</v>
      </c>
      <c r="H610" s="38" t="s">
        <v>11424</v>
      </c>
    </row>
    <row r="611">
      <c r="A611" s="37">
        <f>IFERROR(__xludf.DUMMYFUNCTION("""COMPUTED_VALUE"""),45913.43524245371)</f>
        <v>45913.43524</v>
      </c>
      <c r="B611" s="38" t="str">
        <f>IFERROR(__xludf.DUMMYFUNCTION("""COMPUTED_VALUE"""),"ALDIANA WELIA PANIE")</f>
        <v>ALDIANA WELIA PANIE</v>
      </c>
      <c r="C611" s="38" t="str">
        <f>IFERROR(__xludf.DUMMYFUNCTION("""COMPUTED_VALUE"""),"Belum disetujui")</f>
        <v>Belum disetujui</v>
      </c>
      <c r="D611" s="38"/>
      <c r="E611" s="38" t="s">
        <v>11422</v>
      </c>
      <c r="F611" s="38" t="s">
        <v>215</v>
      </c>
      <c r="G611" s="38" t="s">
        <v>11423</v>
      </c>
      <c r="H611" s="38" t="s">
        <v>11424</v>
      </c>
    </row>
    <row r="612">
      <c r="A612" s="37">
        <f>IFERROR(__xludf.DUMMYFUNCTION("""COMPUTED_VALUE"""),45913.455087939816)</f>
        <v>45913.45509</v>
      </c>
      <c r="B612" s="38" t="str">
        <f>IFERROR(__xludf.DUMMYFUNCTION("""COMPUTED_VALUE"""),"WARDIA")</f>
        <v>WARDIA</v>
      </c>
      <c r="C612" s="38" t="str">
        <f>IFERROR(__xludf.DUMMYFUNCTION("""COMPUTED_VALUE"""),"Dapat limit tapi belum diproses")</f>
        <v>Dapat limit tapi belum diproses</v>
      </c>
      <c r="D612" s="38" t="str">
        <f>IFERROR(__xludf.DUMMYFUNCTION("""COMPUTED_VALUE"""),"Y400 series")</f>
        <v>Y400 series</v>
      </c>
      <c r="E612" s="38" t="s">
        <v>11409</v>
      </c>
      <c r="F612" s="38" t="s">
        <v>204</v>
      </c>
      <c r="G612" s="38" t="s">
        <v>11410</v>
      </c>
      <c r="H612" s="38" t="s">
        <v>11399</v>
      </c>
    </row>
    <row r="613">
      <c r="A613" s="37">
        <f>IFERROR(__xludf.DUMMYFUNCTION("""COMPUTED_VALUE"""),45913.47157371527)</f>
        <v>45913.47157</v>
      </c>
      <c r="B613" s="38" t="str">
        <f>IFERROR(__xludf.DUMMYFUNCTION("""COMPUTED_VALUE"""),"MERDA PUTRI BUNGSU KENAT")</f>
        <v>MERDA PUTRI BUNGSU KENAT</v>
      </c>
      <c r="C613" s="38" t="str">
        <f>IFERROR(__xludf.DUMMYFUNCTION("""COMPUTED_VALUE"""),"Belum disetujui")</f>
        <v>Belum disetujui</v>
      </c>
      <c r="D613" s="38"/>
      <c r="E613" s="38" t="s">
        <v>11422</v>
      </c>
      <c r="F613" s="38" t="s">
        <v>215</v>
      </c>
      <c r="G613" s="38" t="s">
        <v>11423</v>
      </c>
      <c r="H613" s="38" t="s">
        <v>11424</v>
      </c>
    </row>
    <row r="614">
      <c r="A614" s="37">
        <f>IFERROR(__xludf.DUMMYFUNCTION("""COMPUTED_VALUE"""),45913.49666527777)</f>
        <v>45913.49667</v>
      </c>
      <c r="B614" s="38" t="str">
        <f>IFERROR(__xludf.DUMMYFUNCTION("""COMPUTED_VALUE"""),"IDMAL YUSDIRAN YUSUF")</f>
        <v>IDMAL YUSDIRAN YUSUF</v>
      </c>
      <c r="C614" s="38" t="str">
        <f>IFERROR(__xludf.DUMMYFUNCTION("""COMPUTED_VALUE"""),"Belum disetujui")</f>
        <v>Belum disetujui</v>
      </c>
      <c r="D614" s="38"/>
      <c r="E614" s="38" t="s">
        <v>11417</v>
      </c>
      <c r="F614" s="38" t="s">
        <v>257</v>
      </c>
      <c r="G614" s="38" t="s">
        <v>11418</v>
      </c>
      <c r="H614" s="38" t="s">
        <v>11419</v>
      </c>
    </row>
    <row r="615">
      <c r="A615" s="37">
        <f>IFERROR(__xludf.DUMMYFUNCTION("""COMPUTED_VALUE"""),45913.50141612268)</f>
        <v>45913.50142</v>
      </c>
      <c r="B615" s="38" t="str">
        <f>IFERROR(__xludf.DUMMYFUNCTION("""COMPUTED_VALUE"""),"WARDIA")</f>
        <v>WARDIA</v>
      </c>
      <c r="C615" s="38" t="str">
        <f>IFERROR(__xludf.DUMMYFUNCTION("""COMPUTED_VALUE"""),"Dapat limit tapi belum diproses")</f>
        <v>Dapat limit tapi belum diproses</v>
      </c>
      <c r="D615" s="38" t="str">
        <f>IFERROR(__xludf.DUMMYFUNCTION("""COMPUTED_VALUE"""),"Y400 series")</f>
        <v>Y400 series</v>
      </c>
      <c r="E615" s="38" t="s">
        <v>11409</v>
      </c>
      <c r="F615" s="38" t="s">
        <v>204</v>
      </c>
      <c r="G615" s="38" t="s">
        <v>11410</v>
      </c>
      <c r="H615" s="38" t="s">
        <v>11399</v>
      </c>
    </row>
    <row r="616">
      <c r="A616" s="37">
        <f>IFERROR(__xludf.DUMMYFUNCTION("""COMPUTED_VALUE"""),45913.51347326389)</f>
        <v>45913.51347</v>
      </c>
      <c r="B616" s="38" t="str">
        <f>IFERROR(__xludf.DUMMYFUNCTION("""COMPUTED_VALUE"""),"SELVINCE BAKO")</f>
        <v>SELVINCE BAKO</v>
      </c>
      <c r="C616" s="38" t="str">
        <f>IFERROR(__xludf.DUMMYFUNCTION("""COMPUTED_VALUE"""),"Belum disetujui")</f>
        <v>Belum disetujui</v>
      </c>
      <c r="D616" s="38"/>
      <c r="E616" s="38" t="s">
        <v>11413</v>
      </c>
      <c r="F616" s="38" t="s">
        <v>204</v>
      </c>
      <c r="G616" s="38" t="s">
        <v>11414</v>
      </c>
      <c r="H616" s="38" t="s">
        <v>11399</v>
      </c>
    </row>
    <row r="617">
      <c r="A617" s="37">
        <f>IFERROR(__xludf.DUMMYFUNCTION("""COMPUTED_VALUE"""),45913.51937570602)</f>
        <v>45913.51938</v>
      </c>
      <c r="B617" s="38" t="str">
        <f>IFERROR(__xludf.DUMMYFUNCTION("""COMPUTED_VALUE"""),"WARDIA")</f>
        <v>WARDIA</v>
      </c>
      <c r="C617" s="38" t="str">
        <f>IFERROR(__xludf.DUMMYFUNCTION("""COMPUTED_VALUE"""),"Dapat limit tapi belum diproses")</f>
        <v>Dapat limit tapi belum diproses</v>
      </c>
      <c r="D617" s="38" t="str">
        <f>IFERROR(__xludf.DUMMYFUNCTION("""COMPUTED_VALUE"""),"Y400 series")</f>
        <v>Y400 series</v>
      </c>
      <c r="E617" s="38" t="s">
        <v>11409</v>
      </c>
      <c r="F617" s="38" t="s">
        <v>204</v>
      </c>
      <c r="G617" s="38" t="s">
        <v>11410</v>
      </c>
      <c r="H617" s="38" t="s">
        <v>11399</v>
      </c>
    </row>
    <row r="618">
      <c r="A618" s="37">
        <f>IFERROR(__xludf.DUMMYFUNCTION("""COMPUTED_VALUE"""),45913.527790416665)</f>
        <v>45913.52779</v>
      </c>
      <c r="B618" s="38" t="str">
        <f>IFERROR(__xludf.DUMMYFUNCTION("""COMPUTED_VALUE"""),"YOVANDA KATRINA NAE")</f>
        <v>YOVANDA KATRINA NAE</v>
      </c>
      <c r="C618" s="38" t="str">
        <f>IFERROR(__xludf.DUMMYFUNCTION("""COMPUTED_VALUE"""),"Belum disetujui")</f>
        <v>Belum disetujui</v>
      </c>
      <c r="D618" s="38"/>
      <c r="E618" s="38" t="s">
        <v>11425</v>
      </c>
      <c r="F618" s="38" t="s">
        <v>205</v>
      </c>
      <c r="G618" s="38" t="s">
        <v>11426</v>
      </c>
      <c r="H618" s="38" t="s">
        <v>11419</v>
      </c>
    </row>
    <row r="619">
      <c r="A619" s="37">
        <f>IFERROR(__xludf.DUMMYFUNCTION("""COMPUTED_VALUE"""),45913.52814178241)</f>
        <v>45913.52814</v>
      </c>
      <c r="B619" s="38" t="str">
        <f>IFERROR(__xludf.DUMMYFUNCTION("""COMPUTED_VALUE"""),"ANITA ANA AMAH")</f>
        <v>ANITA ANA AMAH</v>
      </c>
      <c r="C619" s="38" t="str">
        <f>IFERROR(__xludf.DUMMYFUNCTION("""COMPUTED_VALUE"""),"Belum disetujui")</f>
        <v>Belum disetujui</v>
      </c>
      <c r="D619" s="38"/>
      <c r="E619" s="38" t="s">
        <v>11425</v>
      </c>
      <c r="F619" s="38" t="s">
        <v>205</v>
      </c>
      <c r="G619" s="38" t="s">
        <v>11426</v>
      </c>
      <c r="H619" s="38" t="s">
        <v>11419</v>
      </c>
    </row>
    <row r="620">
      <c r="A620" s="37">
        <f>IFERROR(__xludf.DUMMYFUNCTION("""COMPUTED_VALUE"""),45913.545785462964)</f>
        <v>45913.54579</v>
      </c>
      <c r="B620" s="38" t="str">
        <f>IFERROR(__xludf.DUMMYFUNCTION("""COMPUTED_VALUE"""),"MERDA PUTRI BUNGSU KENAT")</f>
        <v>MERDA PUTRI BUNGSU KENAT</v>
      </c>
      <c r="C620" s="38" t="str">
        <f>IFERROR(__xludf.DUMMYFUNCTION("""COMPUTED_VALUE"""),"Belum disetujui")</f>
        <v>Belum disetujui</v>
      </c>
      <c r="D620" s="38"/>
      <c r="E620" s="38" t="s">
        <v>11422</v>
      </c>
      <c r="F620" s="38" t="s">
        <v>215</v>
      </c>
      <c r="G620" s="38" t="s">
        <v>11423</v>
      </c>
      <c r="H620" s="38" t="s">
        <v>11424</v>
      </c>
    </row>
    <row r="621">
      <c r="A621" s="37">
        <f>IFERROR(__xludf.DUMMYFUNCTION("""COMPUTED_VALUE"""),45913.563181377314)</f>
        <v>45913.56318</v>
      </c>
      <c r="B621" s="38" t="str">
        <f>IFERROR(__xludf.DUMMYFUNCTION("""COMPUTED_VALUE"""),"PRETI SISILIA SILA")</f>
        <v>PRETI SISILIA SILA</v>
      </c>
      <c r="C621" s="38" t="str">
        <f>IFERROR(__xludf.DUMMYFUNCTION("""COMPUTED_VALUE"""),"Belum disetujui")</f>
        <v>Belum disetujui</v>
      </c>
      <c r="D621" s="38"/>
      <c r="E621" s="38" t="s">
        <v>11456</v>
      </c>
      <c r="F621" s="38" t="s">
        <v>667</v>
      </c>
      <c r="G621" s="38" t="s">
        <v>11457</v>
      </c>
      <c r="H621" s="38" t="s">
        <v>11424</v>
      </c>
    </row>
    <row r="622">
      <c r="A622" s="37">
        <f>IFERROR(__xludf.DUMMYFUNCTION("""COMPUTED_VALUE"""),45913.573245266205)</f>
        <v>45913.57325</v>
      </c>
      <c r="B622" s="38" t="str">
        <f>IFERROR(__xludf.DUMMYFUNCTION("""COMPUTED_VALUE"""),"EMPI FRANGKI LIEM")</f>
        <v>EMPI FRANGKI LIEM</v>
      </c>
      <c r="C622" s="38" t="str">
        <f>IFERROR(__xludf.DUMMYFUNCTION("""COMPUTED_VALUE"""),"ACC")</f>
        <v>ACC</v>
      </c>
      <c r="D622" s="38" t="str">
        <f>IFERROR(__xludf.DUMMYFUNCTION("""COMPUTED_VALUE"""),"V50 Lite series")</f>
        <v>V50 Lite series</v>
      </c>
      <c r="E622" s="38" t="s">
        <v>11397</v>
      </c>
      <c r="F622" s="38" t="s">
        <v>220</v>
      </c>
      <c r="G622" s="38" t="s">
        <v>11398</v>
      </c>
      <c r="H622" s="38" t="s">
        <v>11399</v>
      </c>
    </row>
    <row r="623">
      <c r="A623" s="37">
        <f>IFERROR(__xludf.DUMMYFUNCTION("""COMPUTED_VALUE"""),45913.60929659723)</f>
        <v>45913.6093</v>
      </c>
      <c r="B623" s="38" t="str">
        <f>IFERROR(__xludf.DUMMYFUNCTION("""COMPUTED_VALUE"""),"TERSIANA KADJA PAU")</f>
        <v>TERSIANA KADJA PAU</v>
      </c>
      <c r="C623" s="38" t="str">
        <f>IFERROR(__xludf.DUMMYFUNCTION("""COMPUTED_VALUE"""),"Belum disetujui")</f>
        <v>Belum disetujui</v>
      </c>
      <c r="D623" s="38"/>
      <c r="E623" s="38" t="s">
        <v>11411</v>
      </c>
      <c r="F623" s="38" t="s">
        <v>220</v>
      </c>
      <c r="G623" s="38" t="s">
        <v>11412</v>
      </c>
      <c r="H623" s="38" t="s">
        <v>11399</v>
      </c>
    </row>
    <row r="624">
      <c r="A624" s="37">
        <f>IFERROR(__xludf.DUMMYFUNCTION("""COMPUTED_VALUE"""),45913.623084722225)</f>
        <v>45913.62308</v>
      </c>
      <c r="B624" s="38" t="str">
        <f>IFERROR(__xludf.DUMMYFUNCTION("""COMPUTED_VALUE"""),"ANYARMITHA SOPHIA SUEK")</f>
        <v>ANYARMITHA SOPHIA SUEK</v>
      </c>
      <c r="C624" s="38" t="str">
        <f>IFERROR(__xludf.DUMMYFUNCTION("""COMPUTED_VALUE"""),"Dapat limit tapi belum diproses")</f>
        <v>Dapat limit tapi belum diproses</v>
      </c>
      <c r="D624" s="38" t="str">
        <f>IFERROR(__xludf.DUMMYFUNCTION("""COMPUTED_VALUE"""),"V60 series")</f>
        <v>V60 series</v>
      </c>
      <c r="E624" s="38" t="s">
        <v>11443</v>
      </c>
      <c r="F624" s="38" t="s">
        <v>220</v>
      </c>
      <c r="G624" s="38" t="s">
        <v>11444</v>
      </c>
      <c r="H624" s="38" t="s">
        <v>11399</v>
      </c>
    </row>
    <row r="625">
      <c r="A625" s="37">
        <f>IFERROR(__xludf.DUMMYFUNCTION("""COMPUTED_VALUE"""),45913.62317421297)</f>
        <v>45913.62317</v>
      </c>
      <c r="B625" s="38" t="str">
        <f>IFERROR(__xludf.DUMMYFUNCTION("""COMPUTED_VALUE"""),"FERI ELI KURNIAWAN")</f>
        <v>FERI ELI KURNIAWAN</v>
      </c>
      <c r="C625" s="38" t="str">
        <f>IFERROR(__xludf.DUMMYFUNCTION("""COMPUTED_VALUE"""),"Belum disetujui")</f>
        <v>Belum disetujui</v>
      </c>
      <c r="D625" s="38"/>
      <c r="E625" s="38" t="s">
        <v>11411</v>
      </c>
      <c r="F625" s="38" t="s">
        <v>220</v>
      </c>
      <c r="G625" s="38" t="s">
        <v>11412</v>
      </c>
      <c r="H625" s="38" t="s">
        <v>11399</v>
      </c>
    </row>
    <row r="626">
      <c r="A626" s="37">
        <f>IFERROR(__xludf.DUMMYFUNCTION("""COMPUTED_VALUE"""),45913.658325509256)</f>
        <v>45913.65833</v>
      </c>
      <c r="B626" s="38" t="str">
        <f>IFERROR(__xludf.DUMMYFUNCTION("""COMPUTED_VALUE"""),"TERSIANA KADJA PAU")</f>
        <v>TERSIANA KADJA PAU</v>
      </c>
      <c r="C626" s="38" t="str">
        <f>IFERROR(__xludf.DUMMYFUNCTION("""COMPUTED_VALUE"""),"Belum disetujui")</f>
        <v>Belum disetujui</v>
      </c>
      <c r="D626" s="38"/>
      <c r="E626" s="38" t="s">
        <v>11411</v>
      </c>
      <c r="F626" s="38" t="s">
        <v>220</v>
      </c>
      <c r="G626" s="38" t="s">
        <v>11412</v>
      </c>
      <c r="H626" s="38" t="s">
        <v>11399</v>
      </c>
    </row>
    <row r="627">
      <c r="A627" s="37">
        <f>IFERROR(__xludf.DUMMYFUNCTION("""COMPUTED_VALUE"""),45913.66762995371)</f>
        <v>45913.66763</v>
      </c>
      <c r="B627" s="38" t="str">
        <f>IFERROR(__xludf.DUMMYFUNCTION("""COMPUTED_VALUE"""),"NOVLIANA BARBALINA MISA")</f>
        <v>NOVLIANA BARBALINA MISA</v>
      </c>
      <c r="C627" s="38" t="str">
        <f>IFERROR(__xludf.DUMMYFUNCTION("""COMPUTED_VALUE"""),"ACC")</f>
        <v>ACC</v>
      </c>
      <c r="D627" s="38" t="str">
        <f>IFERROR(__xludf.DUMMYFUNCTION("""COMPUTED_VALUE"""),"Y400 series")</f>
        <v>Y400 series</v>
      </c>
      <c r="E627" s="38" t="s">
        <v>11454</v>
      </c>
      <c r="F627" s="38" t="s">
        <v>205</v>
      </c>
      <c r="G627" s="38" t="s">
        <v>11455</v>
      </c>
      <c r="H627" s="38" t="s">
        <v>11419</v>
      </c>
    </row>
    <row r="628">
      <c r="A628" s="37">
        <f>IFERROR(__xludf.DUMMYFUNCTION("""COMPUTED_VALUE"""),45913.668576805554)</f>
        <v>45913.66858</v>
      </c>
      <c r="B628" s="38" t="str">
        <f>IFERROR(__xludf.DUMMYFUNCTION("""COMPUTED_VALUE"""),"YOHANIS TIPNONI")</f>
        <v>YOHANIS TIPNONI</v>
      </c>
      <c r="C628" s="38" t="str">
        <f>IFERROR(__xludf.DUMMYFUNCTION("""COMPUTED_VALUE"""),"Belum disetujui")</f>
        <v>Belum disetujui</v>
      </c>
      <c r="D628" s="38"/>
      <c r="E628" s="38" t="s">
        <v>11405</v>
      </c>
      <c r="F628" s="38" t="s">
        <v>220</v>
      </c>
      <c r="G628" s="38" t="s">
        <v>11406</v>
      </c>
      <c r="H628" s="38" t="s">
        <v>11399</v>
      </c>
    </row>
    <row r="629">
      <c r="A629" s="37">
        <f>IFERROR(__xludf.DUMMYFUNCTION("""COMPUTED_VALUE"""),45913.673187175926)</f>
        <v>45913.67319</v>
      </c>
      <c r="B629" s="38" t="str">
        <f>IFERROR(__xludf.DUMMYFUNCTION("""COMPUTED_VALUE"""),"ADRIANA")</f>
        <v>ADRIANA</v>
      </c>
      <c r="C629" s="38" t="str">
        <f>IFERROR(__xludf.DUMMYFUNCTION("""COMPUTED_VALUE"""),"Dapat limit tapi belum diproses")</f>
        <v>Dapat limit tapi belum diproses</v>
      </c>
      <c r="D629" s="38" t="str">
        <f>IFERROR(__xludf.DUMMYFUNCTION("""COMPUTED_VALUE"""),"Y400 series")</f>
        <v>Y400 series</v>
      </c>
      <c r="E629" s="38" t="s">
        <v>11433</v>
      </c>
      <c r="F629" s="38" t="s">
        <v>313</v>
      </c>
      <c r="G629" s="38" t="s">
        <v>11434</v>
      </c>
      <c r="H629" s="38" t="s">
        <v>11424</v>
      </c>
    </row>
    <row r="630">
      <c r="A630" s="37">
        <f>IFERROR(__xludf.DUMMYFUNCTION("""COMPUTED_VALUE"""),45913.673968599534)</f>
        <v>45913.67397</v>
      </c>
      <c r="B630" s="38" t="str">
        <f>IFERROR(__xludf.DUMMYFUNCTION("""COMPUTED_VALUE"""),"NOVLIANA BARBALINA MISA")</f>
        <v>NOVLIANA BARBALINA MISA</v>
      </c>
      <c r="C630" s="38" t="str">
        <f>IFERROR(__xludf.DUMMYFUNCTION("""COMPUTED_VALUE"""),"Belum disetujui")</f>
        <v>Belum disetujui</v>
      </c>
      <c r="D630" s="38"/>
      <c r="E630" s="38" t="s">
        <v>11454</v>
      </c>
      <c r="F630" s="38" t="s">
        <v>205</v>
      </c>
      <c r="G630" s="38" t="s">
        <v>11455</v>
      </c>
      <c r="H630" s="38" t="s">
        <v>11419</v>
      </c>
    </row>
    <row r="631">
      <c r="A631" s="37">
        <f>IFERROR(__xludf.DUMMYFUNCTION("""COMPUTED_VALUE"""),45913.67882738426)</f>
        <v>45913.67883</v>
      </c>
      <c r="B631" s="38" t="str">
        <f>IFERROR(__xludf.DUMMYFUNCTION("""COMPUTED_VALUE"""),"TERSIANA KADJA PAU")</f>
        <v>TERSIANA KADJA PAU</v>
      </c>
      <c r="C631" s="38" t="str">
        <f>IFERROR(__xludf.DUMMYFUNCTION("""COMPUTED_VALUE"""),"Belum disetujui")</f>
        <v>Belum disetujui</v>
      </c>
      <c r="D631" s="38"/>
      <c r="E631" s="38" t="s">
        <v>11411</v>
      </c>
      <c r="F631" s="38" t="s">
        <v>220</v>
      </c>
      <c r="G631" s="38" t="s">
        <v>11412</v>
      </c>
      <c r="H631" s="38" t="s">
        <v>11399</v>
      </c>
    </row>
    <row r="632">
      <c r="A632" s="37">
        <f>IFERROR(__xludf.DUMMYFUNCTION("""COMPUTED_VALUE"""),45913.67997027778)</f>
        <v>45913.67997</v>
      </c>
      <c r="B632" s="38" t="str">
        <f>IFERROR(__xludf.DUMMYFUNCTION("""COMPUTED_VALUE"""),"SELVINCE BAKO")</f>
        <v>SELVINCE BAKO</v>
      </c>
      <c r="C632" s="38" t="str">
        <f>IFERROR(__xludf.DUMMYFUNCTION("""COMPUTED_VALUE"""),"Belum disetujui")</f>
        <v>Belum disetujui</v>
      </c>
      <c r="D632" s="38"/>
      <c r="E632" s="38" t="s">
        <v>11413</v>
      </c>
      <c r="F632" s="38" t="s">
        <v>204</v>
      </c>
      <c r="G632" s="38" t="s">
        <v>11414</v>
      </c>
      <c r="H632" s="38" t="s">
        <v>11399</v>
      </c>
    </row>
    <row r="633">
      <c r="A633" s="37">
        <f>IFERROR(__xludf.DUMMYFUNCTION("""COMPUTED_VALUE"""),45913.682766261576)</f>
        <v>45913.68277</v>
      </c>
      <c r="B633" s="38" t="str">
        <f>IFERROR(__xludf.DUMMYFUNCTION("""COMPUTED_VALUE"""),"SELVINCE BAKO")</f>
        <v>SELVINCE BAKO</v>
      </c>
      <c r="C633" s="38" t="str">
        <f>IFERROR(__xludf.DUMMYFUNCTION("""COMPUTED_VALUE"""),"Belum disetujui")</f>
        <v>Belum disetujui</v>
      </c>
      <c r="D633" s="38"/>
      <c r="E633" s="38" t="s">
        <v>11413</v>
      </c>
      <c r="F633" s="38" t="s">
        <v>204</v>
      </c>
      <c r="G633" s="38" t="s">
        <v>11414</v>
      </c>
      <c r="H633" s="38" t="s">
        <v>11399</v>
      </c>
    </row>
    <row r="634">
      <c r="A634" s="37">
        <f>IFERROR(__xludf.DUMMYFUNCTION("""COMPUTED_VALUE"""),45913.69603113426)</f>
        <v>45913.69603</v>
      </c>
      <c r="B634" s="38" t="str">
        <f>IFERROR(__xludf.DUMMYFUNCTION("""COMPUTED_VALUE"""),"ASTUTI BELA WAWO")</f>
        <v>ASTUTI BELA WAWO</v>
      </c>
      <c r="C634" s="38" t="str">
        <f>IFERROR(__xludf.DUMMYFUNCTION("""COMPUTED_VALUE"""),"Dapat limit tapi belum diproses")</f>
        <v>Dapat limit tapi belum diproses</v>
      </c>
      <c r="D634" s="38" t="str">
        <f>IFERROR(__xludf.DUMMYFUNCTION("""COMPUTED_VALUE"""),"Y400 series")</f>
        <v>Y400 series</v>
      </c>
      <c r="E634" s="38" t="s">
        <v>11427</v>
      </c>
      <c r="F634" s="38" t="s">
        <v>257</v>
      </c>
      <c r="G634" s="38" t="s">
        <v>11428</v>
      </c>
      <c r="H634" s="38" t="s">
        <v>11419</v>
      </c>
    </row>
    <row r="635">
      <c r="A635" s="37">
        <f>IFERROR(__xludf.DUMMYFUNCTION("""COMPUTED_VALUE"""),45913.697040439816)</f>
        <v>45913.69704</v>
      </c>
      <c r="B635" s="38" t="str">
        <f>IFERROR(__xludf.DUMMYFUNCTION("""COMPUTED_VALUE"""),"WINDRI MANOE")</f>
        <v>WINDRI MANOE</v>
      </c>
      <c r="C635" s="38" t="str">
        <f>IFERROR(__xludf.DUMMYFUNCTION("""COMPUTED_VALUE"""),"Belum disetujui")</f>
        <v>Belum disetujui</v>
      </c>
      <c r="D635" s="38"/>
      <c r="E635" s="38" t="s">
        <v>11443</v>
      </c>
      <c r="F635" s="38" t="s">
        <v>220</v>
      </c>
      <c r="G635" s="38" t="s">
        <v>11444</v>
      </c>
      <c r="H635" s="38" t="s">
        <v>11399</v>
      </c>
    </row>
    <row r="636">
      <c r="A636" s="37">
        <f>IFERROR(__xludf.DUMMYFUNCTION("""COMPUTED_VALUE"""),45913.69759013889)</f>
        <v>45913.69759</v>
      </c>
      <c r="B636" s="38" t="str">
        <f>IFERROR(__xludf.DUMMYFUNCTION("""COMPUTED_VALUE"""),"ASTUTI BELA WAWO")</f>
        <v>ASTUTI BELA WAWO</v>
      </c>
      <c r="C636" s="38" t="str">
        <f>IFERROR(__xludf.DUMMYFUNCTION("""COMPUTED_VALUE"""),"Belum disetujui")</f>
        <v>Belum disetujui</v>
      </c>
      <c r="D636" s="38"/>
      <c r="E636" s="38" t="s">
        <v>11427</v>
      </c>
      <c r="F636" s="38" t="s">
        <v>257</v>
      </c>
      <c r="G636" s="38" t="s">
        <v>11428</v>
      </c>
      <c r="H636" s="38" t="s">
        <v>11419</v>
      </c>
    </row>
    <row r="637">
      <c r="A637" s="37">
        <f>IFERROR(__xludf.DUMMYFUNCTION("""COMPUTED_VALUE"""),45913.722949629635)</f>
        <v>45913.72295</v>
      </c>
      <c r="B637" s="38" t="str">
        <f>IFERROR(__xludf.DUMMYFUNCTION("""COMPUTED_VALUE"""),"DEWI RAHMAN")</f>
        <v>DEWI RAHMAN</v>
      </c>
      <c r="C637" s="38" t="str">
        <f>IFERROR(__xludf.DUMMYFUNCTION("""COMPUTED_VALUE"""),"Dapat limit tapi belum diproses")</f>
        <v>Dapat limit tapi belum diproses</v>
      </c>
      <c r="D637" s="38" t="str">
        <f>IFERROR(__xludf.DUMMYFUNCTION("""COMPUTED_VALUE"""),"Y400 series")</f>
        <v>Y400 series</v>
      </c>
      <c r="E637" s="38" t="s">
        <v>11449</v>
      </c>
      <c r="F637" s="38" t="s">
        <v>11450</v>
      </c>
      <c r="G637" s="38" t="s">
        <v>11451</v>
      </c>
      <c r="H637" s="38" t="s">
        <v>11424</v>
      </c>
    </row>
    <row r="638">
      <c r="A638" s="37">
        <f>IFERROR(__xludf.DUMMYFUNCTION("""COMPUTED_VALUE"""),45913.726524375)</f>
        <v>45913.72652</v>
      </c>
      <c r="B638" s="38" t="str">
        <f>IFERROR(__xludf.DUMMYFUNCTION("""COMPUTED_VALUE"""),"NOVANTRY RUTHANIA NAFFIE")</f>
        <v>NOVANTRY RUTHANIA NAFFIE</v>
      </c>
      <c r="C638" s="38" t="str">
        <f>IFERROR(__xludf.DUMMYFUNCTION("""COMPUTED_VALUE"""),"Belum disetujui")</f>
        <v>Belum disetujui</v>
      </c>
      <c r="D638" s="38"/>
      <c r="E638" s="38" t="s">
        <v>11397</v>
      </c>
      <c r="F638" s="38" t="s">
        <v>220</v>
      </c>
      <c r="G638" s="38" t="s">
        <v>11398</v>
      </c>
      <c r="H638" s="38" t="s">
        <v>11399</v>
      </c>
    </row>
    <row r="639">
      <c r="A639" s="37">
        <f>IFERROR(__xludf.DUMMYFUNCTION("""COMPUTED_VALUE"""),45913.73682247685)</f>
        <v>45913.73682</v>
      </c>
      <c r="B639" s="38" t="str">
        <f>IFERROR(__xludf.DUMMYFUNCTION("""COMPUTED_VALUE"""),"MERDA PUTRI BUNGSU KENAT")</f>
        <v>MERDA PUTRI BUNGSU KENAT</v>
      </c>
      <c r="C639" s="38" t="str">
        <f>IFERROR(__xludf.DUMMYFUNCTION("""COMPUTED_VALUE"""),"ACC")</f>
        <v>ACC</v>
      </c>
      <c r="D639" s="38" t="str">
        <f>IFERROR(__xludf.DUMMYFUNCTION("""COMPUTED_VALUE"""),"V50 Lite series")</f>
        <v>V50 Lite series</v>
      </c>
      <c r="E639" s="38" t="s">
        <v>11422</v>
      </c>
      <c r="F639" s="38" t="s">
        <v>215</v>
      </c>
      <c r="G639" s="38" t="s">
        <v>11423</v>
      </c>
      <c r="H639" s="38" t="s">
        <v>11424</v>
      </c>
    </row>
    <row r="640">
      <c r="A640" s="37">
        <f>IFERROR(__xludf.DUMMYFUNCTION("""COMPUTED_VALUE"""),45913.753996423606)</f>
        <v>45913.754</v>
      </c>
      <c r="B640" s="38" t="str">
        <f>IFERROR(__xludf.DUMMYFUNCTION("""COMPUTED_VALUE"""),"DWITNEY PRETY WANGGANDIMA")</f>
        <v>DWITNEY PRETY WANGGANDIMA</v>
      </c>
      <c r="C640" s="38" t="str">
        <f>IFERROR(__xludf.DUMMYFUNCTION("""COMPUTED_VALUE"""),"Belum disetujui")</f>
        <v>Belum disetujui</v>
      </c>
      <c r="D640" s="38"/>
      <c r="E640" s="38" t="s">
        <v>11443</v>
      </c>
      <c r="F640" s="38" t="s">
        <v>220</v>
      </c>
      <c r="G640" s="38" t="s">
        <v>11444</v>
      </c>
      <c r="H640" s="38" t="s">
        <v>11399</v>
      </c>
    </row>
    <row r="641">
      <c r="A641" s="37">
        <f>IFERROR(__xludf.DUMMYFUNCTION("""COMPUTED_VALUE"""),45913.773978460646)</f>
        <v>45913.77398</v>
      </c>
      <c r="B641" s="38" t="str">
        <f>IFERROR(__xludf.DUMMYFUNCTION("""COMPUTED_VALUE"""),"DEWI RAHMAN")</f>
        <v>DEWI RAHMAN</v>
      </c>
      <c r="C641" s="38" t="str">
        <f>IFERROR(__xludf.DUMMYFUNCTION("""COMPUTED_VALUE"""),"Belum disetujui")</f>
        <v>Belum disetujui</v>
      </c>
      <c r="D641" s="38"/>
      <c r="E641" s="38" t="s">
        <v>11449</v>
      </c>
      <c r="F641" s="38" t="s">
        <v>11450</v>
      </c>
      <c r="G641" s="38" t="s">
        <v>11451</v>
      </c>
      <c r="H641" s="38" t="s">
        <v>11424</v>
      </c>
    </row>
    <row r="642">
      <c r="A642" s="37">
        <f>IFERROR(__xludf.DUMMYFUNCTION("""COMPUTED_VALUE"""),45913.78225363426)</f>
        <v>45913.78225</v>
      </c>
      <c r="B642" s="38" t="str">
        <f>IFERROR(__xludf.DUMMYFUNCTION("""COMPUTED_VALUE"""),"MARNITHA JUWIKE TIMORATI RUNESI")</f>
        <v>MARNITHA JUWIKE TIMORATI RUNESI</v>
      </c>
      <c r="C642" s="38" t="str">
        <f>IFERROR(__xludf.DUMMYFUNCTION("""COMPUTED_VALUE"""),"ACC")</f>
        <v>ACC</v>
      </c>
      <c r="D642" s="38" t="str">
        <f>IFERROR(__xludf.DUMMYFUNCTION("""COMPUTED_VALUE"""),"V60 series")</f>
        <v>V60 series</v>
      </c>
      <c r="E642" s="38" t="s">
        <v>11420</v>
      </c>
      <c r="F642" s="38" t="s">
        <v>204</v>
      </c>
      <c r="G642" s="38" t="s">
        <v>11421</v>
      </c>
      <c r="H642" s="38" t="s">
        <v>11399</v>
      </c>
    </row>
    <row r="643">
      <c r="A643" s="37">
        <f>IFERROR(__xludf.DUMMYFUNCTION("""COMPUTED_VALUE"""),45913.783517094904)</f>
        <v>45913.78352</v>
      </c>
      <c r="B643" s="38" t="str">
        <f>IFERROR(__xludf.DUMMYFUNCTION("""COMPUTED_VALUE"""),"MARNITHA JUWIKE TIMORATI RUNESI")</f>
        <v>MARNITHA JUWIKE TIMORATI RUNESI</v>
      </c>
      <c r="C643" s="38" t="str">
        <f>IFERROR(__xludf.DUMMYFUNCTION("""COMPUTED_VALUE"""),"Dapat limit tapi belum diproses")</f>
        <v>Dapat limit tapi belum diproses</v>
      </c>
      <c r="D643" s="38" t="str">
        <f>IFERROR(__xludf.DUMMYFUNCTION("""COMPUTED_VALUE"""),"V60 series")</f>
        <v>V60 series</v>
      </c>
      <c r="E643" s="38" t="s">
        <v>11420</v>
      </c>
      <c r="F643" s="38" t="s">
        <v>204</v>
      </c>
      <c r="G643" s="38" t="s">
        <v>11421</v>
      </c>
      <c r="H643" s="38" t="s">
        <v>11399</v>
      </c>
    </row>
    <row r="644">
      <c r="A644" s="37">
        <f>IFERROR(__xludf.DUMMYFUNCTION("""COMPUTED_VALUE"""),45913.80005725694)</f>
        <v>45913.80006</v>
      </c>
      <c r="B644" s="38" t="str">
        <f>IFERROR(__xludf.DUMMYFUNCTION("""COMPUTED_VALUE"""),"ASRI NINGSI RAMBU ATA ENDI")</f>
        <v>ASRI NINGSI RAMBU ATA ENDI</v>
      </c>
      <c r="C644" s="38" t="str">
        <f>IFERROR(__xludf.DUMMYFUNCTION("""COMPUTED_VALUE"""),"Belum disetujui")</f>
        <v>Belum disetujui</v>
      </c>
      <c r="D644" s="38"/>
      <c r="E644" s="38" t="s">
        <v>11441</v>
      </c>
      <c r="F644" s="38" t="s">
        <v>205</v>
      </c>
      <c r="G644" s="38" t="s">
        <v>11442</v>
      </c>
      <c r="H644" s="38" t="s">
        <v>11419</v>
      </c>
    </row>
    <row r="645">
      <c r="A645" s="37">
        <f>IFERROR(__xludf.DUMMYFUNCTION("""COMPUTED_VALUE"""),45913.804108564815)</f>
        <v>45913.80411</v>
      </c>
      <c r="B645" s="38" t="str">
        <f>IFERROR(__xludf.DUMMYFUNCTION("""COMPUTED_VALUE"""),"MEXY ALEXANDER HETMINA")</f>
        <v>MEXY ALEXANDER HETMINA</v>
      </c>
      <c r="C645" s="38" t="str">
        <f>IFERROR(__xludf.DUMMYFUNCTION("""COMPUTED_VALUE"""),"Belum disetujui")</f>
        <v>Belum disetujui</v>
      </c>
      <c r="D645" s="38"/>
      <c r="E645" s="38" t="s">
        <v>11413</v>
      </c>
      <c r="F645" s="38" t="s">
        <v>204</v>
      </c>
      <c r="G645" s="38" t="s">
        <v>11414</v>
      </c>
      <c r="H645" s="38" t="s">
        <v>11399</v>
      </c>
    </row>
    <row r="646">
      <c r="A646" s="37">
        <f>IFERROR(__xludf.DUMMYFUNCTION("""COMPUTED_VALUE"""),45913.8133028588)</f>
        <v>45913.8133</v>
      </c>
      <c r="B646" s="38" t="str">
        <f>IFERROR(__xludf.DUMMYFUNCTION("""COMPUTED_VALUE"""),"ALITA D PAU")</f>
        <v>ALITA D PAU</v>
      </c>
      <c r="C646" s="38" t="str">
        <f>IFERROR(__xludf.DUMMYFUNCTION("""COMPUTED_VALUE"""),"Dapat limit tapi belum diproses")</f>
        <v>Dapat limit tapi belum diproses</v>
      </c>
      <c r="D646" s="38" t="str">
        <f>IFERROR(__xludf.DUMMYFUNCTION("""COMPUTED_VALUE"""),"Y400 series")</f>
        <v>Y400 series</v>
      </c>
      <c r="E646" s="38" t="s">
        <v>11447</v>
      </c>
      <c r="F646" s="38" t="s">
        <v>205</v>
      </c>
      <c r="G646" s="38" t="s">
        <v>11448</v>
      </c>
      <c r="H646" s="38" t="s">
        <v>11419</v>
      </c>
    </row>
    <row r="647">
      <c r="A647" s="37">
        <f>IFERROR(__xludf.DUMMYFUNCTION("""COMPUTED_VALUE"""),45913.81590637731)</f>
        <v>45913.81591</v>
      </c>
      <c r="B647" s="38" t="str">
        <f>IFERROR(__xludf.DUMMYFUNCTION("""COMPUTED_VALUE"""),"ALDIANA WELIA PANIE")</f>
        <v>ALDIANA WELIA PANIE</v>
      </c>
      <c r="C647" s="38" t="str">
        <f>IFERROR(__xludf.DUMMYFUNCTION("""COMPUTED_VALUE"""),"Belum disetujui")</f>
        <v>Belum disetujui</v>
      </c>
      <c r="D647" s="38"/>
      <c r="E647" s="38" t="s">
        <v>11422</v>
      </c>
      <c r="F647" s="38" t="s">
        <v>215</v>
      </c>
      <c r="G647" s="38" t="s">
        <v>11423</v>
      </c>
      <c r="H647" s="38" t="s">
        <v>11424</v>
      </c>
    </row>
    <row r="648">
      <c r="A648" s="37">
        <f>IFERROR(__xludf.DUMMYFUNCTION("""COMPUTED_VALUE"""),45913.81663342592)</f>
        <v>45913.81663</v>
      </c>
      <c r="B648" s="38" t="str">
        <f>IFERROR(__xludf.DUMMYFUNCTION("""COMPUTED_VALUE"""),"HERONIMUS NAMU WALI")</f>
        <v>HERONIMUS NAMU WALI</v>
      </c>
      <c r="C648" s="38" t="str">
        <f>IFERROR(__xludf.DUMMYFUNCTION("""COMPUTED_VALUE"""),"Belum disetujui")</f>
        <v>Belum disetujui</v>
      </c>
      <c r="D648" s="38"/>
      <c r="E648" s="38" t="s">
        <v>11452</v>
      </c>
      <c r="F648" s="38" t="s">
        <v>205</v>
      </c>
      <c r="G648" s="38" t="s">
        <v>11453</v>
      </c>
      <c r="H648" s="38" t="s">
        <v>11419</v>
      </c>
    </row>
    <row r="649">
      <c r="A649" s="37">
        <f>IFERROR(__xludf.DUMMYFUNCTION("""COMPUTED_VALUE"""),45913.85110940973)</f>
        <v>45913.85111</v>
      </c>
      <c r="B649" s="38" t="str">
        <f>IFERROR(__xludf.DUMMYFUNCTION("""COMPUTED_VALUE"""),"DWITNEY PRETY WANGGANDIMA")</f>
        <v>DWITNEY PRETY WANGGANDIMA</v>
      </c>
      <c r="C649" s="38" t="str">
        <f>IFERROR(__xludf.DUMMYFUNCTION("""COMPUTED_VALUE"""),"Dapat limit tapi belum diproses")</f>
        <v>Dapat limit tapi belum diproses</v>
      </c>
      <c r="D649" s="38" t="str">
        <f>IFERROR(__xludf.DUMMYFUNCTION("""COMPUTED_VALUE"""),"V60 series")</f>
        <v>V60 series</v>
      </c>
      <c r="E649" s="38" t="s">
        <v>11443</v>
      </c>
      <c r="F649" s="38" t="s">
        <v>220</v>
      </c>
      <c r="G649" s="38" t="s">
        <v>11444</v>
      </c>
      <c r="H649" s="38" t="s">
        <v>11399</v>
      </c>
    </row>
    <row r="650">
      <c r="A650" s="37">
        <f>IFERROR(__xludf.DUMMYFUNCTION("""COMPUTED_VALUE"""),45913.85795009259)</f>
        <v>45913.85795</v>
      </c>
      <c r="B650" s="38" t="str">
        <f>IFERROR(__xludf.DUMMYFUNCTION("""COMPUTED_VALUE"""),"WARDIA")</f>
        <v>WARDIA</v>
      </c>
      <c r="C650" s="38" t="str">
        <f>IFERROR(__xludf.DUMMYFUNCTION("""COMPUTED_VALUE"""),"Belum disetujui")</f>
        <v>Belum disetujui</v>
      </c>
      <c r="D650" s="38"/>
      <c r="E650" s="38" t="s">
        <v>11409</v>
      </c>
      <c r="F650" s="38" t="s">
        <v>204</v>
      </c>
      <c r="G650" s="38" t="s">
        <v>11410</v>
      </c>
      <c r="H650" s="38" t="s">
        <v>11399</v>
      </c>
    </row>
    <row r="651">
      <c r="A651" s="37">
        <f>IFERROR(__xludf.DUMMYFUNCTION("""COMPUTED_VALUE"""),45913.89565325231)</f>
        <v>45913.89565</v>
      </c>
      <c r="B651" s="38" t="str">
        <f>IFERROR(__xludf.DUMMYFUNCTION("""COMPUTED_VALUE"""),"FERI ELI KURNIAWAN")</f>
        <v>FERI ELI KURNIAWAN</v>
      </c>
      <c r="C651" s="38" t="str">
        <f>IFERROR(__xludf.DUMMYFUNCTION("""COMPUTED_VALUE"""),"Belum disetujui")</f>
        <v>Belum disetujui</v>
      </c>
      <c r="D651" s="38"/>
      <c r="E651" s="38" t="s">
        <v>11411</v>
      </c>
      <c r="F651" s="38" t="s">
        <v>220</v>
      </c>
      <c r="G651" s="38" t="s">
        <v>11412</v>
      </c>
      <c r="H651" s="38" t="s">
        <v>11399</v>
      </c>
    </row>
    <row r="652">
      <c r="A652" s="37">
        <f>IFERROR(__xludf.DUMMYFUNCTION("""COMPUTED_VALUE"""),45913.8963108912)</f>
        <v>45913.89631</v>
      </c>
      <c r="B652" s="38" t="str">
        <f>IFERROR(__xludf.DUMMYFUNCTION("""COMPUTED_VALUE"""),"HERONIMUS NAMU WALI")</f>
        <v>HERONIMUS NAMU WALI</v>
      </c>
      <c r="C652" s="38" t="str">
        <f>IFERROR(__xludf.DUMMYFUNCTION("""COMPUTED_VALUE"""),"ACC")</f>
        <v>ACC</v>
      </c>
      <c r="D652" s="38" t="str">
        <f>IFERROR(__xludf.DUMMYFUNCTION("""COMPUTED_VALUE"""),"Y400 series")</f>
        <v>Y400 series</v>
      </c>
      <c r="E652" s="38" t="s">
        <v>11452</v>
      </c>
      <c r="F652" s="38" t="s">
        <v>205</v>
      </c>
      <c r="G652" s="38" t="s">
        <v>11453</v>
      </c>
      <c r="H652" s="38" t="s">
        <v>11419</v>
      </c>
    </row>
    <row r="653">
      <c r="A653" s="37">
        <f>IFERROR(__xludf.DUMMYFUNCTION("""COMPUTED_VALUE"""),45913.89654472222)</f>
        <v>45913.89654</v>
      </c>
      <c r="B653" s="38" t="str">
        <f>IFERROR(__xludf.DUMMYFUNCTION("""COMPUTED_VALUE"""),"DEMARISTI S H FENI")</f>
        <v>DEMARISTI S H FENI</v>
      </c>
      <c r="C653" s="38" t="str">
        <f>IFERROR(__xludf.DUMMYFUNCTION("""COMPUTED_VALUE"""),"Belum disetujui")</f>
        <v>Belum disetujui</v>
      </c>
      <c r="D653" s="38"/>
      <c r="E653" s="38" t="s">
        <v>11404</v>
      </c>
      <c r="F653" s="38" t="s">
        <v>11404</v>
      </c>
      <c r="G653" s="38" t="s">
        <v>11404</v>
      </c>
      <c r="H653" s="38" t="s">
        <v>11404</v>
      </c>
    </row>
    <row r="654">
      <c r="A654" s="37">
        <f>IFERROR(__xludf.DUMMYFUNCTION("""COMPUTED_VALUE"""),45913.89756081018)</f>
        <v>45913.89756</v>
      </c>
      <c r="B654" s="38" t="str">
        <f>IFERROR(__xludf.DUMMYFUNCTION("""COMPUTED_VALUE"""),"FERI ELI KURNIAWAN")</f>
        <v>FERI ELI KURNIAWAN</v>
      </c>
      <c r="C654" s="38" t="str">
        <f>IFERROR(__xludf.DUMMYFUNCTION("""COMPUTED_VALUE"""),"Dapat limit tapi belum diproses")</f>
        <v>Dapat limit tapi belum diproses</v>
      </c>
      <c r="D654" s="38" t="str">
        <f>IFERROR(__xludf.DUMMYFUNCTION("""COMPUTED_VALUE"""),"Y400 series")</f>
        <v>Y400 series</v>
      </c>
      <c r="E654" s="38" t="s">
        <v>11411</v>
      </c>
      <c r="F654" s="38" t="s">
        <v>220</v>
      </c>
      <c r="G654" s="38" t="s">
        <v>11412</v>
      </c>
      <c r="H654" s="38" t="s">
        <v>11399</v>
      </c>
    </row>
    <row r="655">
      <c r="A655" s="37">
        <f>IFERROR(__xludf.DUMMYFUNCTION("""COMPUTED_VALUE"""),45914.48987158565)</f>
        <v>45914.48987</v>
      </c>
      <c r="B655" s="38" t="str">
        <f>IFERROR(__xludf.DUMMYFUNCTION("""COMPUTED_VALUE"""),"TERSIANA KADJA PAU")</f>
        <v>TERSIANA KADJA PAU</v>
      </c>
      <c r="C655" s="38" t="str">
        <f>IFERROR(__xludf.DUMMYFUNCTION("""COMPUTED_VALUE"""),"Belum disetujui")</f>
        <v>Belum disetujui</v>
      </c>
      <c r="D655" s="38"/>
      <c r="E655" s="38" t="s">
        <v>11411</v>
      </c>
      <c r="F655" s="38" t="s">
        <v>220</v>
      </c>
      <c r="G655" s="38" t="s">
        <v>11412</v>
      </c>
      <c r="H655" s="38" t="s">
        <v>11399</v>
      </c>
    </row>
    <row r="656">
      <c r="A656" s="37">
        <f>IFERROR(__xludf.DUMMYFUNCTION("""COMPUTED_VALUE"""),45914.544054942126)</f>
        <v>45914.54405</v>
      </c>
      <c r="B656" s="38" t="str">
        <f>IFERROR(__xludf.DUMMYFUNCTION("""COMPUTED_VALUE"""),"FEBRIANTHY ELISABET NA'U")</f>
        <v>FEBRIANTHY ELISABET NA'U</v>
      </c>
      <c r="C656" s="38" t="str">
        <f>IFERROR(__xludf.DUMMYFUNCTION("""COMPUTED_VALUE"""),"Belum disetujui")</f>
        <v>Belum disetujui</v>
      </c>
      <c r="D656" s="38"/>
      <c r="E656" s="38" t="s">
        <v>11415</v>
      </c>
      <c r="F656" s="38" t="s">
        <v>204</v>
      </c>
      <c r="G656" s="38" t="s">
        <v>11416</v>
      </c>
      <c r="H656" s="38" t="s">
        <v>11399</v>
      </c>
    </row>
    <row r="657">
      <c r="A657" s="37">
        <f>IFERROR(__xludf.DUMMYFUNCTION("""COMPUTED_VALUE"""),45914.54733822917)</f>
        <v>45914.54734</v>
      </c>
      <c r="B657" s="38" t="str">
        <f>IFERROR(__xludf.DUMMYFUNCTION("""COMPUTED_VALUE"""),"WARDIA")</f>
        <v>WARDIA</v>
      </c>
      <c r="C657" s="38" t="str">
        <f>IFERROR(__xludf.DUMMYFUNCTION("""COMPUTED_VALUE"""),"Belum disetujui")</f>
        <v>Belum disetujui</v>
      </c>
      <c r="D657" s="38"/>
      <c r="E657" s="38" t="s">
        <v>11409</v>
      </c>
      <c r="F657" s="38" t="s">
        <v>204</v>
      </c>
      <c r="G657" s="38" t="s">
        <v>11410</v>
      </c>
      <c r="H657" s="38" t="s">
        <v>11399</v>
      </c>
    </row>
    <row r="658">
      <c r="A658" s="37">
        <f>IFERROR(__xludf.DUMMYFUNCTION("""COMPUTED_VALUE"""),45914.557629270836)</f>
        <v>45914.55763</v>
      </c>
      <c r="B658" s="38" t="str">
        <f>IFERROR(__xludf.DUMMYFUNCTION("""COMPUTED_VALUE"""),"FEBRIANTHY ELISABET NA'U")</f>
        <v>FEBRIANTHY ELISABET NA'U</v>
      </c>
      <c r="C658" s="38" t="str">
        <f>IFERROR(__xludf.DUMMYFUNCTION("""COMPUTED_VALUE"""),"Dapat limit tapi belum diproses")</f>
        <v>Dapat limit tapi belum diproses</v>
      </c>
      <c r="D658" s="38" t="str">
        <f>IFERROR(__xludf.DUMMYFUNCTION("""COMPUTED_VALUE"""),"V50 Lite series")</f>
        <v>V50 Lite series</v>
      </c>
      <c r="E658" s="38" t="s">
        <v>11415</v>
      </c>
      <c r="F658" s="38" t="s">
        <v>204</v>
      </c>
      <c r="G658" s="38" t="s">
        <v>11416</v>
      </c>
      <c r="H658" s="38" t="s">
        <v>11399</v>
      </c>
    </row>
    <row r="659">
      <c r="A659" s="37">
        <f>IFERROR(__xludf.DUMMYFUNCTION("""COMPUTED_VALUE"""),45914.64413725694)</f>
        <v>45914.64414</v>
      </c>
      <c r="B659" s="38" t="str">
        <f>IFERROR(__xludf.DUMMYFUNCTION("""COMPUTED_VALUE"""),"WARDIA")</f>
        <v>WARDIA</v>
      </c>
      <c r="C659" s="38" t="str">
        <f>IFERROR(__xludf.DUMMYFUNCTION("""COMPUTED_VALUE"""),"Belum disetujui")</f>
        <v>Belum disetujui</v>
      </c>
      <c r="D659" s="38"/>
      <c r="E659" s="38" t="s">
        <v>11409</v>
      </c>
      <c r="F659" s="38" t="s">
        <v>204</v>
      </c>
      <c r="G659" s="38" t="s">
        <v>11410</v>
      </c>
      <c r="H659" s="38" t="s">
        <v>11399</v>
      </c>
    </row>
    <row r="660">
      <c r="A660" s="37">
        <f>IFERROR(__xludf.DUMMYFUNCTION("""COMPUTED_VALUE"""),45914.707331921294)</f>
        <v>45914.70733</v>
      </c>
      <c r="B660" s="38" t="str">
        <f>IFERROR(__xludf.DUMMYFUNCTION("""COMPUTED_VALUE"""),"FERI ELI KURNIAWAN")</f>
        <v>FERI ELI KURNIAWAN</v>
      </c>
      <c r="C660" s="38" t="str">
        <f>IFERROR(__xludf.DUMMYFUNCTION("""COMPUTED_VALUE"""),"Belum disetujui")</f>
        <v>Belum disetujui</v>
      </c>
      <c r="D660" s="38"/>
      <c r="E660" s="38" t="s">
        <v>11411</v>
      </c>
      <c r="F660" s="38" t="s">
        <v>220</v>
      </c>
      <c r="G660" s="38" t="s">
        <v>11412</v>
      </c>
      <c r="H660" s="38" t="s">
        <v>11399</v>
      </c>
    </row>
    <row r="661">
      <c r="A661" s="37">
        <f>IFERROR(__xludf.DUMMYFUNCTION("""COMPUTED_VALUE"""),45914.71533334491)</f>
        <v>45914.71533</v>
      </c>
      <c r="B661" s="38" t="str">
        <f>IFERROR(__xludf.DUMMYFUNCTION("""COMPUTED_VALUE"""),"FERI ELI KURNIAWAN")</f>
        <v>FERI ELI KURNIAWAN</v>
      </c>
      <c r="C661" s="38" t="str">
        <f>IFERROR(__xludf.DUMMYFUNCTION("""COMPUTED_VALUE"""),"Belum disetujui")</f>
        <v>Belum disetujui</v>
      </c>
      <c r="D661" s="38"/>
      <c r="E661" s="38" t="s">
        <v>11411</v>
      </c>
      <c r="F661" s="38" t="s">
        <v>220</v>
      </c>
      <c r="G661" s="38" t="s">
        <v>11412</v>
      </c>
      <c r="H661" s="38" t="s">
        <v>11399</v>
      </c>
    </row>
    <row r="662">
      <c r="A662" s="37">
        <f>IFERROR(__xludf.DUMMYFUNCTION("""COMPUTED_VALUE"""),45914.71643309028)</f>
        <v>45914.71643</v>
      </c>
      <c r="B662" s="38" t="str">
        <f>IFERROR(__xludf.DUMMYFUNCTION("""COMPUTED_VALUE"""),"FERI ELI KURNIAWAN")</f>
        <v>FERI ELI KURNIAWAN</v>
      </c>
      <c r="C662" s="38" t="str">
        <f>IFERROR(__xludf.DUMMYFUNCTION("""COMPUTED_VALUE"""),"Belum disetujui")</f>
        <v>Belum disetujui</v>
      </c>
      <c r="D662" s="38"/>
      <c r="E662" s="38" t="s">
        <v>11411</v>
      </c>
      <c r="F662" s="38" t="s">
        <v>220</v>
      </c>
      <c r="G662" s="38" t="s">
        <v>11412</v>
      </c>
      <c r="H662" s="38" t="s">
        <v>11399</v>
      </c>
    </row>
    <row r="663">
      <c r="A663" s="37">
        <f>IFERROR(__xludf.DUMMYFUNCTION("""COMPUTED_VALUE"""),45914.73955851852)</f>
        <v>45914.73956</v>
      </c>
      <c r="B663" s="38" t="str">
        <f>IFERROR(__xludf.DUMMYFUNCTION("""COMPUTED_VALUE"""),"TERSIANA KADJA PAU")</f>
        <v>TERSIANA KADJA PAU</v>
      </c>
      <c r="C663" s="38" t="str">
        <f>IFERROR(__xludf.DUMMYFUNCTION("""COMPUTED_VALUE"""),"Belum disetujui")</f>
        <v>Belum disetujui</v>
      </c>
      <c r="D663" s="38"/>
      <c r="E663" s="38" t="s">
        <v>11411</v>
      </c>
      <c r="F663" s="38" t="s">
        <v>220</v>
      </c>
      <c r="G663" s="38" t="s">
        <v>11412</v>
      </c>
      <c r="H663" s="38" t="s">
        <v>11399</v>
      </c>
    </row>
    <row r="664">
      <c r="A664" s="37">
        <f>IFERROR(__xludf.DUMMYFUNCTION("""COMPUTED_VALUE"""),45914.745687511575)</f>
        <v>45914.74569</v>
      </c>
      <c r="B664" s="38" t="str">
        <f>IFERROR(__xludf.DUMMYFUNCTION("""COMPUTED_VALUE"""),"SELVINCE BAKO")</f>
        <v>SELVINCE BAKO</v>
      </c>
      <c r="C664" s="38" t="str">
        <f>IFERROR(__xludf.DUMMYFUNCTION("""COMPUTED_VALUE"""),"Belum disetujui")</f>
        <v>Belum disetujui</v>
      </c>
      <c r="D664" s="38"/>
      <c r="E664" s="38" t="s">
        <v>11413</v>
      </c>
      <c r="F664" s="38" t="s">
        <v>204</v>
      </c>
      <c r="G664" s="38" t="s">
        <v>11414</v>
      </c>
      <c r="H664" s="38" t="s">
        <v>11399</v>
      </c>
    </row>
    <row r="665">
      <c r="A665" s="37">
        <f>IFERROR(__xludf.DUMMYFUNCTION("""COMPUTED_VALUE"""),45914.74722923611)</f>
        <v>45914.74723</v>
      </c>
      <c r="B665" s="38" t="str">
        <f>IFERROR(__xludf.DUMMYFUNCTION("""COMPUTED_VALUE"""),"SELVINCE BAKO")</f>
        <v>SELVINCE BAKO</v>
      </c>
      <c r="C665" s="38" t="str">
        <f>IFERROR(__xludf.DUMMYFUNCTION("""COMPUTED_VALUE"""),"Belum disetujui")</f>
        <v>Belum disetujui</v>
      </c>
      <c r="D665" s="38"/>
      <c r="E665" s="38" t="s">
        <v>11413</v>
      </c>
      <c r="F665" s="38" t="s">
        <v>204</v>
      </c>
      <c r="G665" s="38" t="s">
        <v>11414</v>
      </c>
      <c r="H665" s="38" t="s">
        <v>11399</v>
      </c>
    </row>
    <row r="666">
      <c r="A666" s="37">
        <f>IFERROR(__xludf.DUMMYFUNCTION("""COMPUTED_VALUE"""),45914.75061195601)</f>
        <v>45914.75061</v>
      </c>
      <c r="B666" s="38" t="str">
        <f>IFERROR(__xludf.DUMMYFUNCTION("""COMPUTED_VALUE"""),"TERSIANA KADJA PAU")</f>
        <v>TERSIANA KADJA PAU</v>
      </c>
      <c r="C666" s="38" t="str">
        <f>IFERROR(__xludf.DUMMYFUNCTION("""COMPUTED_VALUE"""),"Belum disetujui")</f>
        <v>Belum disetujui</v>
      </c>
      <c r="D666" s="38"/>
      <c r="E666" s="38" t="s">
        <v>11411</v>
      </c>
      <c r="F666" s="38" t="s">
        <v>220</v>
      </c>
      <c r="G666" s="38" t="s">
        <v>11412</v>
      </c>
      <c r="H666" s="38" t="s">
        <v>11399</v>
      </c>
    </row>
    <row r="667">
      <c r="A667" s="37">
        <f>IFERROR(__xludf.DUMMYFUNCTION("""COMPUTED_VALUE"""),45914.75884789352)</f>
        <v>45914.75885</v>
      </c>
      <c r="B667" s="38" t="str">
        <f>IFERROR(__xludf.DUMMYFUNCTION("""COMPUTED_VALUE"""),"WARDIA")</f>
        <v>WARDIA</v>
      </c>
      <c r="C667" s="38" t="str">
        <f>IFERROR(__xludf.DUMMYFUNCTION("""COMPUTED_VALUE"""),"Dapat limit tapi belum diproses")</f>
        <v>Dapat limit tapi belum diproses</v>
      </c>
      <c r="D667" s="38" t="str">
        <f>IFERROR(__xludf.DUMMYFUNCTION("""COMPUTED_VALUE"""),"Y400 series")</f>
        <v>Y400 series</v>
      </c>
      <c r="E667" s="38" t="s">
        <v>11409</v>
      </c>
      <c r="F667" s="38" t="s">
        <v>204</v>
      </c>
      <c r="G667" s="38" t="s">
        <v>11410</v>
      </c>
      <c r="H667" s="38" t="s">
        <v>11399</v>
      </c>
    </row>
    <row r="668">
      <c r="A668" s="37">
        <f>IFERROR(__xludf.DUMMYFUNCTION("""COMPUTED_VALUE"""),45914.79483300926)</f>
        <v>45914.79483</v>
      </c>
      <c r="B668" s="38" t="str">
        <f>IFERROR(__xludf.DUMMYFUNCTION("""COMPUTED_VALUE"""),"SELVINCE BAKO")</f>
        <v>SELVINCE BAKO</v>
      </c>
      <c r="C668" s="38" t="str">
        <f>IFERROR(__xludf.DUMMYFUNCTION("""COMPUTED_VALUE"""),"Belum disetujui")</f>
        <v>Belum disetujui</v>
      </c>
      <c r="D668" s="38"/>
      <c r="E668" s="38" t="s">
        <v>11413</v>
      </c>
      <c r="F668" s="38" t="s">
        <v>204</v>
      </c>
      <c r="G668" s="38" t="s">
        <v>11414</v>
      </c>
      <c r="H668" s="38" t="s">
        <v>11399</v>
      </c>
    </row>
    <row r="669">
      <c r="A669" s="37">
        <f>IFERROR(__xludf.DUMMYFUNCTION("""COMPUTED_VALUE"""),45914.80469769676)</f>
        <v>45914.8047</v>
      </c>
      <c r="B669" s="38" t="str">
        <f>IFERROR(__xludf.DUMMYFUNCTION("""COMPUTED_VALUE"""),"ASRI NINGSI RAMBU ATA ENDI")</f>
        <v>ASRI NINGSI RAMBU ATA ENDI</v>
      </c>
      <c r="C669" s="38" t="str">
        <f>IFERROR(__xludf.DUMMYFUNCTION("""COMPUTED_VALUE"""),"Belum disetujui")</f>
        <v>Belum disetujui</v>
      </c>
      <c r="D669" s="38"/>
      <c r="E669" s="38" t="s">
        <v>11441</v>
      </c>
      <c r="F669" s="38" t="s">
        <v>205</v>
      </c>
      <c r="G669" s="38" t="s">
        <v>11442</v>
      </c>
      <c r="H669" s="38" t="s">
        <v>11419</v>
      </c>
    </row>
    <row r="670">
      <c r="A670" s="37">
        <f>IFERROR(__xludf.DUMMYFUNCTION("""COMPUTED_VALUE"""),45914.81513072916)</f>
        <v>45914.81513</v>
      </c>
      <c r="B670" s="38" t="str">
        <f>IFERROR(__xludf.DUMMYFUNCTION("""COMPUTED_VALUE"""),"DWITNEY PRETY WANGGANDIMA")</f>
        <v>DWITNEY PRETY WANGGANDIMA</v>
      </c>
      <c r="C670" s="38" t="str">
        <f>IFERROR(__xludf.DUMMYFUNCTION("""COMPUTED_VALUE"""),"Belum disetujui")</f>
        <v>Belum disetujui</v>
      </c>
      <c r="D670" s="38"/>
      <c r="E670" s="38" t="s">
        <v>11443</v>
      </c>
      <c r="F670" s="38" t="s">
        <v>220</v>
      </c>
      <c r="G670" s="38" t="s">
        <v>11444</v>
      </c>
      <c r="H670" s="38" t="s">
        <v>11399</v>
      </c>
    </row>
    <row r="671">
      <c r="A671" s="37">
        <f>IFERROR(__xludf.DUMMYFUNCTION("""COMPUTED_VALUE"""),45914.82146034722)</f>
        <v>45914.82146</v>
      </c>
      <c r="B671" s="38" t="str">
        <f>IFERROR(__xludf.DUMMYFUNCTION("""COMPUTED_VALUE"""),"ASTUTI BELA WAWO")</f>
        <v>ASTUTI BELA WAWO</v>
      </c>
      <c r="C671" s="38" t="str">
        <f>IFERROR(__xludf.DUMMYFUNCTION("""COMPUTED_VALUE"""),"Belum disetujui")</f>
        <v>Belum disetujui</v>
      </c>
      <c r="D671" s="38"/>
      <c r="E671" s="38" t="s">
        <v>11427</v>
      </c>
      <c r="F671" s="38" t="s">
        <v>257</v>
      </c>
      <c r="G671" s="38" t="s">
        <v>11428</v>
      </c>
      <c r="H671" s="38" t="s">
        <v>11419</v>
      </c>
    </row>
    <row r="672">
      <c r="A672" s="37">
        <f>IFERROR(__xludf.DUMMYFUNCTION("""COMPUTED_VALUE"""),45914.830176435185)</f>
        <v>45914.83018</v>
      </c>
      <c r="B672" s="38" t="str">
        <f>IFERROR(__xludf.DUMMYFUNCTION("""COMPUTED_VALUE"""),"TERSIANA KADJA PAU")</f>
        <v>TERSIANA KADJA PAU</v>
      </c>
      <c r="C672" s="38" t="str">
        <f>IFERROR(__xludf.DUMMYFUNCTION("""COMPUTED_VALUE"""),"Dapat limit tapi belum diproses")</f>
        <v>Dapat limit tapi belum diproses</v>
      </c>
      <c r="D672" s="38" t="str">
        <f>IFERROR(__xludf.DUMMYFUNCTION("""COMPUTED_VALUE"""),"Y400 series")</f>
        <v>Y400 series</v>
      </c>
      <c r="E672" s="38" t="s">
        <v>11411</v>
      </c>
      <c r="F672" s="38" t="s">
        <v>220</v>
      </c>
      <c r="G672" s="38" t="s">
        <v>11412</v>
      </c>
      <c r="H672" s="38" t="s">
        <v>11399</v>
      </c>
    </row>
    <row r="673">
      <c r="A673" s="37">
        <f>IFERROR(__xludf.DUMMYFUNCTION("""COMPUTED_VALUE"""),45914.86712011574)</f>
        <v>45914.86712</v>
      </c>
      <c r="B673" s="38" t="str">
        <f>IFERROR(__xludf.DUMMYFUNCTION("""COMPUTED_VALUE"""),"DWITNEY PRETY WANGGANDIMA")</f>
        <v>DWITNEY PRETY WANGGANDIMA</v>
      </c>
      <c r="C673" s="38" t="str">
        <f>IFERROR(__xludf.DUMMYFUNCTION("""COMPUTED_VALUE"""),"Belum disetujui")</f>
        <v>Belum disetujui</v>
      </c>
      <c r="D673" s="38"/>
      <c r="E673" s="38" t="s">
        <v>11443</v>
      </c>
      <c r="F673" s="38" t="s">
        <v>220</v>
      </c>
      <c r="G673" s="38" t="s">
        <v>11444</v>
      </c>
      <c r="H673" s="38" t="s">
        <v>11399</v>
      </c>
    </row>
    <row r="674">
      <c r="A674" s="37">
        <f>IFERROR(__xludf.DUMMYFUNCTION("""COMPUTED_VALUE"""),45914.868590266204)</f>
        <v>45914.86859</v>
      </c>
      <c r="B674" s="38" t="str">
        <f>IFERROR(__xludf.DUMMYFUNCTION("""COMPUTED_VALUE"""),"DWITNEY PRETY WANGGANDIMA")</f>
        <v>DWITNEY PRETY WANGGANDIMA</v>
      </c>
      <c r="C674" s="38" t="str">
        <f>IFERROR(__xludf.DUMMYFUNCTION("""COMPUTED_VALUE"""),"Belum disetujui")</f>
        <v>Belum disetujui</v>
      </c>
      <c r="D674" s="38"/>
      <c r="E674" s="38" t="s">
        <v>11443</v>
      </c>
      <c r="F674" s="38" t="s">
        <v>220</v>
      </c>
      <c r="G674" s="38" t="s">
        <v>11444</v>
      </c>
      <c r="H674" s="38" t="s">
        <v>11399</v>
      </c>
    </row>
    <row r="675">
      <c r="A675" s="37">
        <f>IFERROR(__xludf.DUMMYFUNCTION("""COMPUTED_VALUE"""),45914.875663125)</f>
        <v>45914.87566</v>
      </c>
      <c r="B675" s="38" t="str">
        <f>IFERROR(__xludf.DUMMYFUNCTION("""COMPUTED_VALUE"""),"SKOLASTIKA B TAUNAES")</f>
        <v>SKOLASTIKA B TAUNAES</v>
      </c>
      <c r="C675" s="38" t="str">
        <f>IFERROR(__xludf.DUMMYFUNCTION("""COMPUTED_VALUE"""),"Belum disetujui")</f>
        <v>Belum disetujui</v>
      </c>
      <c r="D675" s="38"/>
      <c r="E675" s="38" t="s">
        <v>11413</v>
      </c>
      <c r="F675" s="38" t="s">
        <v>204</v>
      </c>
      <c r="G675" s="38" t="s">
        <v>11414</v>
      </c>
      <c r="H675" s="38" t="s">
        <v>11399</v>
      </c>
    </row>
    <row r="676">
      <c r="A676" s="37">
        <f>IFERROR(__xludf.DUMMYFUNCTION("""COMPUTED_VALUE"""),45914.87644027778)</f>
        <v>45914.87644</v>
      </c>
      <c r="B676" s="38" t="str">
        <f>IFERROR(__xludf.DUMMYFUNCTION("""COMPUTED_VALUE"""),"SELVINCE BAKO")</f>
        <v>SELVINCE BAKO</v>
      </c>
      <c r="C676" s="38" t="str">
        <f>IFERROR(__xludf.DUMMYFUNCTION("""COMPUTED_VALUE"""),"Belum disetujui")</f>
        <v>Belum disetujui</v>
      </c>
      <c r="D676" s="38"/>
      <c r="E676" s="38" t="s">
        <v>11413</v>
      </c>
      <c r="F676" s="38" t="s">
        <v>204</v>
      </c>
      <c r="G676" s="38" t="s">
        <v>11414</v>
      </c>
      <c r="H676" s="38" t="s">
        <v>11399</v>
      </c>
    </row>
    <row r="677">
      <c r="A677" s="37">
        <f>IFERROR(__xludf.DUMMYFUNCTION("""COMPUTED_VALUE"""),45914.87846399306)</f>
        <v>45914.87846</v>
      </c>
      <c r="B677" s="38" t="str">
        <f>IFERROR(__xludf.DUMMYFUNCTION("""COMPUTED_VALUE"""),"SKOLASTIKA B TAUNAES")</f>
        <v>SKOLASTIKA B TAUNAES</v>
      </c>
      <c r="C677" s="38" t="str">
        <f>IFERROR(__xludf.DUMMYFUNCTION("""COMPUTED_VALUE"""),"Belum disetujui")</f>
        <v>Belum disetujui</v>
      </c>
      <c r="D677" s="38"/>
      <c r="E677" s="38" t="s">
        <v>11413</v>
      </c>
      <c r="F677" s="38" t="s">
        <v>204</v>
      </c>
      <c r="G677" s="38" t="s">
        <v>11414</v>
      </c>
      <c r="H677" s="38" t="s">
        <v>11399</v>
      </c>
    </row>
    <row r="678">
      <c r="A678" s="37">
        <f>IFERROR(__xludf.DUMMYFUNCTION("""COMPUTED_VALUE"""),45914.87990103009)</f>
        <v>45914.8799</v>
      </c>
      <c r="B678" s="38" t="str">
        <f>IFERROR(__xludf.DUMMYFUNCTION("""COMPUTED_VALUE"""),"SKOLASTIKA B TAUNAES")</f>
        <v>SKOLASTIKA B TAUNAES</v>
      </c>
      <c r="C678" s="38" t="str">
        <f>IFERROR(__xludf.DUMMYFUNCTION("""COMPUTED_VALUE"""),"Belum disetujui")</f>
        <v>Belum disetujui</v>
      </c>
      <c r="D678" s="38"/>
      <c r="E678" s="38" t="s">
        <v>11413</v>
      </c>
      <c r="F678" s="38" t="s">
        <v>204</v>
      </c>
      <c r="G678" s="38" t="s">
        <v>11414</v>
      </c>
      <c r="H678" s="38" t="s">
        <v>11399</v>
      </c>
    </row>
    <row r="679">
      <c r="A679" s="37">
        <f>IFERROR(__xludf.DUMMYFUNCTION("""COMPUTED_VALUE"""),45914.88149847222)</f>
        <v>45914.8815</v>
      </c>
      <c r="B679" s="38" t="str">
        <f>IFERROR(__xludf.DUMMYFUNCTION("""COMPUTED_VALUE"""),"SKOLASTIKA B TAUNAES")</f>
        <v>SKOLASTIKA B TAUNAES</v>
      </c>
      <c r="C679" s="38" t="str">
        <f>IFERROR(__xludf.DUMMYFUNCTION("""COMPUTED_VALUE"""),"Belum disetujui")</f>
        <v>Belum disetujui</v>
      </c>
      <c r="D679" s="38"/>
      <c r="E679" s="38" t="s">
        <v>11413</v>
      </c>
      <c r="F679" s="38" t="s">
        <v>204</v>
      </c>
      <c r="G679" s="38" t="s">
        <v>11414</v>
      </c>
      <c r="H679" s="38" t="s">
        <v>11399</v>
      </c>
    </row>
    <row r="680">
      <c r="A680" s="37">
        <f>IFERROR(__xludf.DUMMYFUNCTION("""COMPUTED_VALUE"""),45914.881980046295)</f>
        <v>45914.88198</v>
      </c>
      <c r="B680" s="38" t="str">
        <f>IFERROR(__xludf.DUMMYFUNCTION("""COMPUTED_VALUE"""),"DWITNEY PRETY WANGGANDIMA")</f>
        <v>DWITNEY PRETY WANGGANDIMA</v>
      </c>
      <c r="C680" s="38" t="str">
        <f>IFERROR(__xludf.DUMMYFUNCTION("""COMPUTED_VALUE"""),"Belum disetujui")</f>
        <v>Belum disetujui</v>
      </c>
      <c r="D680" s="38"/>
      <c r="E680" s="38" t="s">
        <v>11443</v>
      </c>
      <c r="F680" s="38" t="s">
        <v>220</v>
      </c>
      <c r="G680" s="38" t="s">
        <v>11444</v>
      </c>
      <c r="H680" s="38" t="s">
        <v>11399</v>
      </c>
    </row>
    <row r="681">
      <c r="A681" s="37">
        <f>IFERROR(__xludf.DUMMYFUNCTION("""COMPUTED_VALUE"""),45914.88335827547)</f>
        <v>45914.88336</v>
      </c>
      <c r="B681" s="38" t="str">
        <f>IFERROR(__xludf.DUMMYFUNCTION("""COMPUTED_VALUE"""),"SKOLASTIKA B TAUNAES")</f>
        <v>SKOLASTIKA B TAUNAES</v>
      </c>
      <c r="C681" s="38" t="str">
        <f>IFERROR(__xludf.DUMMYFUNCTION("""COMPUTED_VALUE"""),"Belum disetujui")</f>
        <v>Belum disetujui</v>
      </c>
      <c r="D681" s="38"/>
      <c r="E681" s="38" t="s">
        <v>11413</v>
      </c>
      <c r="F681" s="38" t="s">
        <v>204</v>
      </c>
      <c r="G681" s="38" t="s">
        <v>11414</v>
      </c>
      <c r="H681" s="38" t="s">
        <v>11399</v>
      </c>
    </row>
    <row r="682">
      <c r="A682" s="37">
        <f>IFERROR(__xludf.DUMMYFUNCTION("""COMPUTED_VALUE"""),45914.88660195602)</f>
        <v>45914.8866</v>
      </c>
      <c r="B682" s="38" t="str">
        <f>IFERROR(__xludf.DUMMYFUNCTION("""COMPUTED_VALUE"""),"FEBRIANTHY ELISABET NA'U")</f>
        <v>FEBRIANTHY ELISABET NA'U</v>
      </c>
      <c r="C682" s="38" t="str">
        <f>IFERROR(__xludf.DUMMYFUNCTION("""COMPUTED_VALUE"""),"Dapat limit tapi belum diproses")</f>
        <v>Dapat limit tapi belum diproses</v>
      </c>
      <c r="D682" s="38" t="str">
        <f>IFERROR(__xludf.DUMMYFUNCTION("""COMPUTED_VALUE"""),"V50 Lite series")</f>
        <v>V50 Lite series</v>
      </c>
      <c r="E682" s="38" t="s">
        <v>11415</v>
      </c>
      <c r="F682" s="38" t="s">
        <v>204</v>
      </c>
      <c r="G682" s="38" t="s">
        <v>11416</v>
      </c>
      <c r="H682" s="38" t="s">
        <v>11399</v>
      </c>
    </row>
    <row r="683">
      <c r="A683" s="37">
        <f>IFERROR(__xludf.DUMMYFUNCTION("""COMPUTED_VALUE"""),45914.88770649306)</f>
        <v>45914.88771</v>
      </c>
      <c r="B683" s="38" t="str">
        <f>IFERROR(__xludf.DUMMYFUNCTION("""COMPUTED_VALUE"""),"FEBRIANTHY ELISABET NA'U")</f>
        <v>FEBRIANTHY ELISABET NA'U</v>
      </c>
      <c r="C683" s="38" t="str">
        <f>IFERROR(__xludf.DUMMYFUNCTION("""COMPUTED_VALUE"""),"Dapat limit tapi belum diproses")</f>
        <v>Dapat limit tapi belum diproses</v>
      </c>
      <c r="D683" s="38" t="str">
        <f>IFERROR(__xludf.DUMMYFUNCTION("""COMPUTED_VALUE"""),"V50 Lite series")</f>
        <v>V50 Lite series</v>
      </c>
      <c r="E683" s="38" t="s">
        <v>11415</v>
      </c>
      <c r="F683" s="38" t="s">
        <v>204</v>
      </c>
      <c r="G683" s="38" t="s">
        <v>11416</v>
      </c>
      <c r="H683" s="38" t="s">
        <v>11399</v>
      </c>
    </row>
    <row r="684">
      <c r="A684" s="37">
        <f>IFERROR(__xludf.DUMMYFUNCTION("""COMPUTED_VALUE"""),45914.88954521991)</f>
        <v>45914.88955</v>
      </c>
      <c r="B684" s="38" t="str">
        <f>IFERROR(__xludf.DUMMYFUNCTION("""COMPUTED_VALUE"""),"SKOLASTIKA B TAUNAES")</f>
        <v>SKOLASTIKA B TAUNAES</v>
      </c>
      <c r="C684" s="38" t="str">
        <f>IFERROR(__xludf.DUMMYFUNCTION("""COMPUTED_VALUE"""),"Belum disetujui")</f>
        <v>Belum disetujui</v>
      </c>
      <c r="D684" s="38"/>
      <c r="E684" s="38" t="s">
        <v>11413</v>
      </c>
      <c r="F684" s="38" t="s">
        <v>204</v>
      </c>
      <c r="G684" s="38" t="s">
        <v>11414</v>
      </c>
      <c r="H684" s="38" t="s">
        <v>11399</v>
      </c>
    </row>
    <row r="685">
      <c r="A685" s="37">
        <f>IFERROR(__xludf.DUMMYFUNCTION("""COMPUTED_VALUE"""),45914.91297464121)</f>
        <v>45914.91297</v>
      </c>
      <c r="B685" s="38" t="str">
        <f>IFERROR(__xludf.DUMMYFUNCTION("""COMPUTED_VALUE"""),"DWITNEY PRETY WANGGANDIMA")</f>
        <v>DWITNEY PRETY WANGGANDIMA</v>
      </c>
      <c r="C685" s="38" t="str">
        <f>IFERROR(__xludf.DUMMYFUNCTION("""COMPUTED_VALUE"""),"Belum disetujui")</f>
        <v>Belum disetujui</v>
      </c>
      <c r="D685" s="38"/>
      <c r="E685" s="38" t="s">
        <v>11443</v>
      </c>
      <c r="F685" s="38" t="s">
        <v>220</v>
      </c>
      <c r="G685" s="38" t="s">
        <v>11444</v>
      </c>
      <c r="H685" s="38" t="s">
        <v>11399</v>
      </c>
    </row>
    <row r="686">
      <c r="A686" s="37">
        <f>IFERROR(__xludf.DUMMYFUNCTION("""COMPUTED_VALUE"""),45915.088978796295)</f>
        <v>45915.08898</v>
      </c>
      <c r="B686" s="38" t="str">
        <f>IFERROR(__xludf.DUMMYFUNCTION("""COMPUTED_VALUE"""),"MEXY ALEXANDER HETMINA")</f>
        <v>MEXY ALEXANDER HETMINA</v>
      </c>
      <c r="C686" s="38" t="str">
        <f>IFERROR(__xludf.DUMMYFUNCTION("""COMPUTED_VALUE"""),"Belum disetujui")</f>
        <v>Belum disetujui</v>
      </c>
      <c r="D686" s="38"/>
      <c r="E686" s="38" t="s">
        <v>11413</v>
      </c>
      <c r="F686" s="38" t="s">
        <v>204</v>
      </c>
      <c r="G686" s="38" t="s">
        <v>11414</v>
      </c>
      <c r="H686" s="38" t="s">
        <v>11399</v>
      </c>
    </row>
    <row r="687">
      <c r="A687" s="37">
        <f>IFERROR(__xludf.DUMMYFUNCTION("""COMPUTED_VALUE"""),45915.38540844907)</f>
        <v>45915.38541</v>
      </c>
      <c r="B687" s="38" t="str">
        <f>IFERROR(__xludf.DUMMYFUNCTION("""COMPUTED_VALUE"""),"KESIA NATALIA I. BENU")</f>
        <v>KESIA NATALIA I. BENU</v>
      </c>
      <c r="C687" s="38" t="str">
        <f>IFERROR(__xludf.DUMMYFUNCTION("""COMPUTED_VALUE"""),"Belum disetujui")</f>
        <v>Belum disetujui</v>
      </c>
      <c r="D687" s="38"/>
      <c r="E687" s="38" t="s">
        <v>11417</v>
      </c>
      <c r="F687" s="38" t="s">
        <v>257</v>
      </c>
      <c r="G687" s="38" t="s">
        <v>11418</v>
      </c>
      <c r="H687" s="38" t="s">
        <v>11419</v>
      </c>
    </row>
    <row r="688">
      <c r="A688" s="37">
        <f>IFERROR(__xludf.DUMMYFUNCTION("""COMPUTED_VALUE"""),45915.39703945602)</f>
        <v>45915.39704</v>
      </c>
      <c r="B688" s="38" t="str">
        <f>IFERROR(__xludf.DUMMYFUNCTION("""COMPUTED_VALUE"""),"YASINTHA MBU")</f>
        <v>YASINTHA MBU</v>
      </c>
      <c r="C688" s="38" t="str">
        <f>IFERROR(__xludf.DUMMYFUNCTION("""COMPUTED_VALUE"""),"Dapat limit tapi belum diproses")</f>
        <v>Dapat limit tapi belum diproses</v>
      </c>
      <c r="D688" s="38" t="str">
        <f>IFERROR(__xludf.DUMMYFUNCTION("""COMPUTED_VALUE"""),"Y400 series")</f>
        <v>Y400 series</v>
      </c>
      <c r="E688" s="38" t="s">
        <v>11407</v>
      </c>
      <c r="F688" s="38" t="s">
        <v>220</v>
      </c>
      <c r="G688" s="38" t="s">
        <v>11408</v>
      </c>
      <c r="H688" s="38" t="s">
        <v>11399</v>
      </c>
    </row>
    <row r="689">
      <c r="A689" s="37">
        <f>IFERROR(__xludf.DUMMYFUNCTION("""COMPUTED_VALUE"""),45915.44729398149)</f>
        <v>45915.44729</v>
      </c>
      <c r="B689" s="38" t="str">
        <f>IFERROR(__xludf.DUMMYFUNCTION("""COMPUTED_VALUE"""),"YEREMIAS MBAWA KANJAPI")</f>
        <v>YEREMIAS MBAWA KANJAPI</v>
      </c>
      <c r="C689" s="38" t="str">
        <f>IFERROR(__xludf.DUMMYFUNCTION("""COMPUTED_VALUE"""),"Belum disetujui")</f>
        <v>Belum disetujui</v>
      </c>
      <c r="D689" s="38"/>
      <c r="E689" s="38" t="s">
        <v>11447</v>
      </c>
      <c r="F689" s="38" t="s">
        <v>205</v>
      </c>
      <c r="G689" s="38" t="s">
        <v>11448</v>
      </c>
      <c r="H689" s="38" t="s">
        <v>11419</v>
      </c>
    </row>
    <row r="690">
      <c r="A690" s="37">
        <f>IFERROR(__xludf.DUMMYFUNCTION("""COMPUTED_VALUE"""),45915.44987354167)</f>
        <v>45915.44987</v>
      </c>
      <c r="B690" s="38" t="str">
        <f>IFERROR(__xludf.DUMMYFUNCTION("""COMPUTED_VALUE"""),"ALDIANA WELIA PANIE")</f>
        <v>ALDIANA WELIA PANIE</v>
      </c>
      <c r="C690" s="38" t="str">
        <f>IFERROR(__xludf.DUMMYFUNCTION("""COMPUTED_VALUE"""),"Belum disetujui")</f>
        <v>Belum disetujui</v>
      </c>
      <c r="D690" s="38"/>
      <c r="E690" s="38" t="s">
        <v>11422</v>
      </c>
      <c r="F690" s="38" t="s">
        <v>215</v>
      </c>
      <c r="G690" s="38" t="s">
        <v>11423</v>
      </c>
      <c r="H690" s="38" t="s">
        <v>11424</v>
      </c>
    </row>
    <row r="691">
      <c r="A691" s="37">
        <f>IFERROR(__xludf.DUMMYFUNCTION("""COMPUTED_VALUE"""),45915.450716817126)</f>
        <v>45915.45072</v>
      </c>
      <c r="B691" s="38" t="str">
        <f>IFERROR(__xludf.DUMMYFUNCTION("""COMPUTED_VALUE"""),"YOMELIANA MARIA MAGNO")</f>
        <v>YOMELIANA MARIA MAGNO</v>
      </c>
      <c r="C691" s="38" t="str">
        <f>IFERROR(__xludf.DUMMYFUNCTION("""COMPUTED_VALUE"""),"ACC")</f>
        <v>ACC</v>
      </c>
      <c r="D691" s="38" t="str">
        <f>IFERROR(__xludf.DUMMYFUNCTION("""COMPUTED_VALUE"""),"Y400 series")</f>
        <v>Y400 series</v>
      </c>
      <c r="E691" s="38" t="s">
        <v>11460</v>
      </c>
      <c r="F691" s="38" t="s">
        <v>871</v>
      </c>
      <c r="G691" s="38" t="s">
        <v>11461</v>
      </c>
      <c r="H691" s="38" t="s">
        <v>11424</v>
      </c>
    </row>
    <row r="692">
      <c r="A692" s="37">
        <f>IFERROR(__xludf.DUMMYFUNCTION("""COMPUTED_VALUE"""),45915.45248056713)</f>
        <v>45915.45248</v>
      </c>
      <c r="B692" s="38" t="str">
        <f>IFERROR(__xludf.DUMMYFUNCTION("""COMPUTED_VALUE"""),"YOHANA NOVIANA MARIANA GAA")</f>
        <v>YOHANA NOVIANA MARIANA GAA</v>
      </c>
      <c r="C692" s="38" t="str">
        <f>IFERROR(__xludf.DUMMYFUNCTION("""COMPUTED_VALUE"""),"ACC")</f>
        <v>ACC</v>
      </c>
      <c r="D692" s="38" t="str">
        <f>IFERROR(__xludf.DUMMYFUNCTION("""COMPUTED_VALUE"""),"Y400 series")</f>
        <v>Y400 series</v>
      </c>
      <c r="E692" s="38" t="s">
        <v>11400</v>
      </c>
      <c r="F692" s="38" t="s">
        <v>204</v>
      </c>
      <c r="G692" s="38" t="s">
        <v>11401</v>
      </c>
      <c r="H692" s="38" t="s">
        <v>11399</v>
      </c>
    </row>
    <row r="693">
      <c r="A693" s="37">
        <f>IFERROR(__xludf.DUMMYFUNCTION("""COMPUTED_VALUE"""),45915.45475111111)</f>
        <v>45915.45475</v>
      </c>
      <c r="B693" s="38" t="str">
        <f>IFERROR(__xludf.DUMMYFUNCTION("""COMPUTED_VALUE"""),"AINI RAHMATINI NATALIA MOESTAKIM")</f>
        <v>AINI RAHMATINI NATALIA MOESTAKIM</v>
      </c>
      <c r="C693" s="38" t="str">
        <f>IFERROR(__xludf.DUMMYFUNCTION("""COMPUTED_VALUE"""),"Belum disetujui")</f>
        <v>Belum disetujui</v>
      </c>
      <c r="D693" s="38"/>
      <c r="E693" s="38" t="s">
        <v>11409</v>
      </c>
      <c r="F693" s="38" t="s">
        <v>204</v>
      </c>
      <c r="G693" s="38" t="s">
        <v>11410</v>
      </c>
      <c r="H693" s="38" t="s">
        <v>11399</v>
      </c>
    </row>
    <row r="694">
      <c r="A694" s="37">
        <f>IFERROR(__xludf.DUMMYFUNCTION("""COMPUTED_VALUE"""),45915.464480497685)</f>
        <v>45915.46448</v>
      </c>
      <c r="B694" s="38" t="str">
        <f>IFERROR(__xludf.DUMMYFUNCTION("""COMPUTED_VALUE"""),"NOVANTRY RUTHANIA NAFFIE")</f>
        <v>NOVANTRY RUTHANIA NAFFIE</v>
      </c>
      <c r="C694" s="38" t="str">
        <f>IFERROR(__xludf.DUMMYFUNCTION("""COMPUTED_VALUE"""),"Belum disetujui")</f>
        <v>Belum disetujui</v>
      </c>
      <c r="D694" s="38"/>
      <c r="E694" s="38" t="s">
        <v>11397</v>
      </c>
      <c r="F694" s="38" t="s">
        <v>220</v>
      </c>
      <c r="G694" s="38" t="s">
        <v>11398</v>
      </c>
      <c r="H694" s="38" t="s">
        <v>11399</v>
      </c>
    </row>
    <row r="695">
      <c r="A695" s="37">
        <f>IFERROR(__xludf.DUMMYFUNCTION("""COMPUTED_VALUE"""),45915.4664108912)</f>
        <v>45915.46641</v>
      </c>
      <c r="B695" s="38" t="str">
        <f>IFERROR(__xludf.DUMMYFUNCTION("""COMPUTED_VALUE"""),"NOVANTRY RUTHANIA NAFFIE")</f>
        <v>NOVANTRY RUTHANIA NAFFIE</v>
      </c>
      <c r="C695" s="38" t="str">
        <f>IFERROR(__xludf.DUMMYFUNCTION("""COMPUTED_VALUE"""),"Dapat limit tapi belum diproses")</f>
        <v>Dapat limit tapi belum diproses</v>
      </c>
      <c r="D695" s="38" t="str">
        <f>IFERROR(__xludf.DUMMYFUNCTION("""COMPUTED_VALUE"""),"Y400 series")</f>
        <v>Y400 series</v>
      </c>
      <c r="E695" s="38" t="s">
        <v>11397</v>
      </c>
      <c r="F695" s="38" t="s">
        <v>220</v>
      </c>
      <c r="G695" s="38" t="s">
        <v>11398</v>
      </c>
      <c r="H695" s="38" t="s">
        <v>11399</v>
      </c>
    </row>
    <row r="696">
      <c r="A696" s="37">
        <f>IFERROR(__xludf.DUMMYFUNCTION("""COMPUTED_VALUE"""),45915.46840665509)</f>
        <v>45915.46841</v>
      </c>
      <c r="B696" s="38" t="str">
        <f>IFERROR(__xludf.DUMMYFUNCTION("""COMPUTED_VALUE"""),"NOVANTRY RUTHANIA NAFFIE")</f>
        <v>NOVANTRY RUTHANIA NAFFIE</v>
      </c>
      <c r="C696" s="38" t="str">
        <f>IFERROR(__xludf.DUMMYFUNCTION("""COMPUTED_VALUE"""),"Belum disetujui")</f>
        <v>Belum disetujui</v>
      </c>
      <c r="D696" s="38"/>
      <c r="E696" s="38" t="s">
        <v>11397</v>
      </c>
      <c r="F696" s="38" t="s">
        <v>220</v>
      </c>
      <c r="G696" s="38" t="s">
        <v>11398</v>
      </c>
      <c r="H696" s="38" t="s">
        <v>11399</v>
      </c>
    </row>
    <row r="697">
      <c r="A697" s="37">
        <f>IFERROR(__xludf.DUMMYFUNCTION("""COMPUTED_VALUE"""),45915.47063739583)</f>
        <v>45915.47064</v>
      </c>
      <c r="B697" s="38" t="str">
        <f>IFERROR(__xludf.DUMMYFUNCTION("""COMPUTED_VALUE"""),"NOVANTRY RUTHANIA NAFFIE")</f>
        <v>NOVANTRY RUTHANIA NAFFIE</v>
      </c>
      <c r="C697" s="38" t="str">
        <f>IFERROR(__xludf.DUMMYFUNCTION("""COMPUTED_VALUE"""),"Dapat limit tapi belum diproses")</f>
        <v>Dapat limit tapi belum diproses</v>
      </c>
      <c r="D697" s="38" t="str">
        <f>IFERROR(__xludf.DUMMYFUNCTION("""COMPUTED_VALUE"""),"Y400 series")</f>
        <v>Y400 series</v>
      </c>
      <c r="E697" s="38" t="s">
        <v>11397</v>
      </c>
      <c r="F697" s="38" t="s">
        <v>220</v>
      </c>
      <c r="G697" s="38" t="s">
        <v>11398</v>
      </c>
      <c r="H697" s="38" t="s">
        <v>11399</v>
      </c>
    </row>
    <row r="698">
      <c r="A698" s="37">
        <f>IFERROR(__xludf.DUMMYFUNCTION("""COMPUTED_VALUE"""),45915.47478164353)</f>
        <v>45915.47478</v>
      </c>
      <c r="B698" s="38" t="str">
        <f>IFERROR(__xludf.DUMMYFUNCTION("""COMPUTED_VALUE"""),"MARNITHA JUWIKE TIMORATI RUNESI")</f>
        <v>MARNITHA JUWIKE TIMORATI RUNESI</v>
      </c>
      <c r="C698" s="38" t="str">
        <f>IFERROR(__xludf.DUMMYFUNCTION("""COMPUTED_VALUE"""),"Belum disetujui")</f>
        <v>Belum disetujui</v>
      </c>
      <c r="D698" s="38"/>
      <c r="E698" s="38" t="s">
        <v>11420</v>
      </c>
      <c r="F698" s="38" t="s">
        <v>204</v>
      </c>
      <c r="G698" s="38" t="s">
        <v>11421</v>
      </c>
      <c r="H698" s="38" t="s">
        <v>11399</v>
      </c>
    </row>
    <row r="699">
      <c r="A699" s="37">
        <f>IFERROR(__xludf.DUMMYFUNCTION("""COMPUTED_VALUE"""),45915.476269074075)</f>
        <v>45915.47627</v>
      </c>
      <c r="B699" s="38" t="str">
        <f>IFERROR(__xludf.DUMMYFUNCTION("""COMPUTED_VALUE"""),"MARNITHA JUWIKE TIMORATI RUNESI")</f>
        <v>MARNITHA JUWIKE TIMORATI RUNESI</v>
      </c>
      <c r="C699" s="38" t="str">
        <f>IFERROR(__xludf.DUMMYFUNCTION("""COMPUTED_VALUE"""),"Belum disetujui")</f>
        <v>Belum disetujui</v>
      </c>
      <c r="D699" s="38"/>
      <c r="E699" s="38" t="s">
        <v>11420</v>
      </c>
      <c r="F699" s="38" t="s">
        <v>204</v>
      </c>
      <c r="G699" s="38" t="s">
        <v>11421</v>
      </c>
      <c r="H699" s="38" t="s">
        <v>11399</v>
      </c>
    </row>
    <row r="700">
      <c r="A700" s="37">
        <f>IFERROR(__xludf.DUMMYFUNCTION("""COMPUTED_VALUE"""),45915.48510053241)</f>
        <v>45915.4851</v>
      </c>
      <c r="B700" s="38" t="str">
        <f>IFERROR(__xludf.DUMMYFUNCTION("""COMPUTED_VALUE"""),"IDMAL YUSDIRAN YUSUF")</f>
        <v>IDMAL YUSDIRAN YUSUF</v>
      </c>
      <c r="C700" s="38" t="str">
        <f>IFERROR(__xludf.DUMMYFUNCTION("""COMPUTED_VALUE"""),"Dapat limit tapi belum diproses")</f>
        <v>Dapat limit tapi belum diproses</v>
      </c>
      <c r="D700" s="38" t="str">
        <f>IFERROR(__xludf.DUMMYFUNCTION("""COMPUTED_VALUE"""),"Y400 series")</f>
        <v>Y400 series</v>
      </c>
      <c r="E700" s="38" t="s">
        <v>11417</v>
      </c>
      <c r="F700" s="38" t="s">
        <v>257</v>
      </c>
      <c r="G700" s="38" t="s">
        <v>11418</v>
      </c>
      <c r="H700" s="38" t="s">
        <v>11419</v>
      </c>
    </row>
    <row r="701">
      <c r="A701" s="37">
        <f>IFERROR(__xludf.DUMMYFUNCTION("""COMPUTED_VALUE"""),45915.5055222338)</f>
        <v>45915.50552</v>
      </c>
      <c r="B701" s="38" t="str">
        <f>IFERROR(__xludf.DUMMYFUNCTION("""COMPUTED_VALUE"""),"NABILA RAHMAWATI")</f>
        <v>NABILA RAHMAWATI</v>
      </c>
      <c r="C701" s="38" t="str">
        <f>IFERROR(__xludf.DUMMYFUNCTION("""COMPUTED_VALUE"""),"Belum disetujui")</f>
        <v>Belum disetujui</v>
      </c>
      <c r="D701" s="38"/>
      <c r="E701" s="38" t="s">
        <v>11464</v>
      </c>
      <c r="F701" s="38" t="s">
        <v>257</v>
      </c>
      <c r="G701" s="38" t="s">
        <v>11465</v>
      </c>
      <c r="H701" s="38" t="s">
        <v>11419</v>
      </c>
    </row>
    <row r="702">
      <c r="A702" s="37">
        <f>IFERROR(__xludf.DUMMYFUNCTION("""COMPUTED_VALUE"""),45915.508409594906)</f>
        <v>45915.50841</v>
      </c>
      <c r="B702" s="38" t="str">
        <f>IFERROR(__xludf.DUMMYFUNCTION("""COMPUTED_VALUE"""),"AZ ZAHRA SITI ZAINAB")</f>
        <v>AZ ZAHRA SITI ZAINAB</v>
      </c>
      <c r="C702" s="38" t="str">
        <f>IFERROR(__xludf.DUMMYFUNCTION("""COMPUTED_VALUE"""),"Belum disetujui")</f>
        <v>Belum disetujui</v>
      </c>
      <c r="D702" s="38"/>
      <c r="E702" s="38" t="s">
        <v>11462</v>
      </c>
      <c r="F702" s="38" t="s">
        <v>257</v>
      </c>
      <c r="G702" s="38" t="s">
        <v>11463</v>
      </c>
      <c r="H702" s="38" t="s">
        <v>11419</v>
      </c>
    </row>
    <row r="703">
      <c r="A703" s="37">
        <f>IFERROR(__xludf.DUMMYFUNCTION("""COMPUTED_VALUE"""),45915.52466347222)</f>
        <v>45915.52466</v>
      </c>
      <c r="B703" s="38" t="str">
        <f>IFERROR(__xludf.DUMMYFUNCTION("""COMPUTED_VALUE"""),"ROS YANE KANA LUDJI")</f>
        <v>ROS YANE KANA LUDJI</v>
      </c>
      <c r="C703" s="38" t="str">
        <f>IFERROR(__xludf.DUMMYFUNCTION("""COMPUTED_VALUE"""),"Dapat limit tapi belum diproses")</f>
        <v>Dapat limit tapi belum diproses</v>
      </c>
      <c r="D703" s="38" t="str">
        <f>IFERROR(__xludf.DUMMYFUNCTION("""COMPUTED_VALUE"""),"Y29 series")</f>
        <v>Y29 series</v>
      </c>
      <c r="E703" s="38" t="s">
        <v>11437</v>
      </c>
      <c r="F703" s="38" t="s">
        <v>204</v>
      </c>
      <c r="G703" s="38" t="s">
        <v>11438</v>
      </c>
      <c r="H703" s="38" t="s">
        <v>11399</v>
      </c>
    </row>
    <row r="704">
      <c r="A704" s="37">
        <f>IFERROR(__xludf.DUMMYFUNCTION("""COMPUTED_VALUE"""),45915.528097013885)</f>
        <v>45915.5281</v>
      </c>
      <c r="B704" s="38" t="str">
        <f>IFERROR(__xludf.DUMMYFUNCTION("""COMPUTED_VALUE"""),"ADRIANA")</f>
        <v>ADRIANA</v>
      </c>
      <c r="C704" s="38" t="str">
        <f>IFERROR(__xludf.DUMMYFUNCTION("""COMPUTED_VALUE"""),"Belum disetujui")</f>
        <v>Belum disetujui</v>
      </c>
      <c r="D704" s="38"/>
      <c r="E704" s="38" t="s">
        <v>11433</v>
      </c>
      <c r="F704" s="38" t="s">
        <v>313</v>
      </c>
      <c r="G704" s="38" t="s">
        <v>11434</v>
      </c>
      <c r="H704" s="38" t="s">
        <v>11424</v>
      </c>
    </row>
    <row r="705">
      <c r="A705" s="37">
        <f>IFERROR(__xludf.DUMMYFUNCTION("""COMPUTED_VALUE"""),45915.52869358796)</f>
        <v>45915.52869</v>
      </c>
      <c r="B705" s="38" t="str">
        <f>IFERROR(__xludf.DUMMYFUNCTION("""COMPUTED_VALUE"""),"ASTUTI BELA WAWO")</f>
        <v>ASTUTI BELA WAWO</v>
      </c>
      <c r="C705" s="38" t="str">
        <f>IFERROR(__xludf.DUMMYFUNCTION("""COMPUTED_VALUE"""),"ACC")</f>
        <v>ACC</v>
      </c>
      <c r="D705" s="38" t="str">
        <f>IFERROR(__xludf.DUMMYFUNCTION("""COMPUTED_VALUE"""),"Y400 series")</f>
        <v>Y400 series</v>
      </c>
      <c r="E705" s="38" t="s">
        <v>11427</v>
      </c>
      <c r="F705" s="38" t="s">
        <v>257</v>
      </c>
      <c r="G705" s="38" t="s">
        <v>11428</v>
      </c>
      <c r="H705" s="38" t="s">
        <v>11419</v>
      </c>
    </row>
    <row r="706">
      <c r="A706" s="37">
        <f>IFERROR(__xludf.DUMMYFUNCTION("""COMPUTED_VALUE"""),45915.5441224537)</f>
        <v>45915.54412</v>
      </c>
      <c r="B706" s="38" t="str">
        <f>IFERROR(__xludf.DUMMYFUNCTION("""COMPUTED_VALUE"""),"ESTER LUDJI")</f>
        <v>ESTER LUDJI</v>
      </c>
      <c r="C706" s="38" t="str">
        <f>IFERROR(__xludf.DUMMYFUNCTION("""COMPUTED_VALUE"""),"Belum disetujui")</f>
        <v>Belum disetujui</v>
      </c>
      <c r="D706" s="38"/>
      <c r="E706" s="38" t="s">
        <v>11441</v>
      </c>
      <c r="F706" s="38" t="s">
        <v>205</v>
      </c>
      <c r="G706" s="38" t="s">
        <v>11442</v>
      </c>
      <c r="H706" s="38" t="s">
        <v>11419</v>
      </c>
    </row>
    <row r="707">
      <c r="A707" s="37">
        <f>IFERROR(__xludf.DUMMYFUNCTION("""COMPUTED_VALUE"""),45915.57398770833)</f>
        <v>45915.57399</v>
      </c>
      <c r="B707" s="38" t="str">
        <f>IFERROR(__xludf.DUMMYFUNCTION("""COMPUTED_VALUE"""),"DEMARISTI S H FENI")</f>
        <v>DEMARISTI S H FENI</v>
      </c>
      <c r="C707" s="38" t="str">
        <f>IFERROR(__xludf.DUMMYFUNCTION("""COMPUTED_VALUE"""),"ACC")</f>
        <v>ACC</v>
      </c>
      <c r="D707" s="38" t="str">
        <f>IFERROR(__xludf.DUMMYFUNCTION("""COMPUTED_VALUE"""),"Y400 series")</f>
        <v>Y400 series</v>
      </c>
      <c r="E707" s="38" t="s">
        <v>11404</v>
      </c>
      <c r="F707" s="38" t="s">
        <v>11404</v>
      </c>
      <c r="G707" s="38" t="s">
        <v>11404</v>
      </c>
      <c r="H707" s="38" t="s">
        <v>11404</v>
      </c>
    </row>
    <row r="708">
      <c r="A708" s="37">
        <f>IFERROR(__xludf.DUMMYFUNCTION("""COMPUTED_VALUE"""),45915.58588895833)</f>
        <v>45915.58589</v>
      </c>
      <c r="B708" s="38" t="str">
        <f>IFERROR(__xludf.DUMMYFUNCTION("""COMPUTED_VALUE"""),"PRETI SISILIA SILA")</f>
        <v>PRETI SISILIA SILA</v>
      </c>
      <c r="C708" s="38" t="str">
        <f>IFERROR(__xludf.DUMMYFUNCTION("""COMPUTED_VALUE"""),"ACC")</f>
        <v>ACC</v>
      </c>
      <c r="D708" s="38" t="str">
        <f>IFERROR(__xludf.DUMMYFUNCTION("""COMPUTED_VALUE"""),"Y400 series")</f>
        <v>Y400 series</v>
      </c>
      <c r="E708" s="38" t="s">
        <v>11456</v>
      </c>
      <c r="F708" s="38" t="s">
        <v>667</v>
      </c>
      <c r="G708" s="38" t="s">
        <v>11457</v>
      </c>
      <c r="H708" s="38" t="s">
        <v>11424</v>
      </c>
    </row>
    <row r="709">
      <c r="A709" s="37">
        <f>IFERROR(__xludf.DUMMYFUNCTION("""COMPUTED_VALUE"""),45915.58615105325)</f>
        <v>45915.58615</v>
      </c>
      <c r="B709" s="38" t="str">
        <f>IFERROR(__xludf.DUMMYFUNCTION("""COMPUTED_VALUE"""),"WINDRI MANOE")</f>
        <v>WINDRI MANOE</v>
      </c>
      <c r="C709" s="38" t="str">
        <f>IFERROR(__xludf.DUMMYFUNCTION("""COMPUTED_VALUE"""),"ACC")</f>
        <v>ACC</v>
      </c>
      <c r="D709" s="38" t="str">
        <f>IFERROR(__xludf.DUMMYFUNCTION("""COMPUTED_VALUE"""),"V60 series")</f>
        <v>V60 series</v>
      </c>
      <c r="E709" s="38" t="s">
        <v>11443</v>
      </c>
      <c r="F709" s="38" t="s">
        <v>220</v>
      </c>
      <c r="G709" s="38" t="s">
        <v>11444</v>
      </c>
      <c r="H709" s="38" t="s">
        <v>11399</v>
      </c>
    </row>
    <row r="710">
      <c r="A710" s="37">
        <f>IFERROR(__xludf.DUMMYFUNCTION("""COMPUTED_VALUE"""),45915.58727174768)</f>
        <v>45915.58727</v>
      </c>
      <c r="B710" s="38" t="str">
        <f>IFERROR(__xludf.DUMMYFUNCTION("""COMPUTED_VALUE"""),"WARDIA")</f>
        <v>WARDIA</v>
      </c>
      <c r="C710" s="38" t="str">
        <f>IFERROR(__xludf.DUMMYFUNCTION("""COMPUTED_VALUE"""),"Belum disetujui")</f>
        <v>Belum disetujui</v>
      </c>
      <c r="D710" s="38"/>
      <c r="E710" s="38" t="s">
        <v>11409</v>
      </c>
      <c r="F710" s="38" t="s">
        <v>204</v>
      </c>
      <c r="G710" s="38" t="s">
        <v>11410</v>
      </c>
      <c r="H710" s="38" t="s">
        <v>11399</v>
      </c>
    </row>
    <row r="711">
      <c r="A711" s="37">
        <f>IFERROR(__xludf.DUMMYFUNCTION("""COMPUTED_VALUE"""),45915.66136825232)</f>
        <v>45915.66137</v>
      </c>
      <c r="B711" s="38" t="str">
        <f>IFERROR(__xludf.DUMMYFUNCTION("""COMPUTED_VALUE"""),"DEWI RAHMAN")</f>
        <v>DEWI RAHMAN</v>
      </c>
      <c r="C711" s="38" t="str">
        <f>IFERROR(__xludf.DUMMYFUNCTION("""COMPUTED_VALUE"""),"Belum disetujui")</f>
        <v>Belum disetujui</v>
      </c>
      <c r="D711" s="38"/>
      <c r="E711" s="38" t="s">
        <v>11449</v>
      </c>
      <c r="F711" s="38" t="s">
        <v>11450</v>
      </c>
      <c r="G711" s="38" t="s">
        <v>11451</v>
      </c>
      <c r="H711" s="38" t="s">
        <v>11424</v>
      </c>
    </row>
    <row r="712">
      <c r="A712" s="37">
        <f>IFERROR(__xludf.DUMMYFUNCTION("""COMPUTED_VALUE"""),45915.66932501157)</f>
        <v>45915.66933</v>
      </c>
      <c r="B712" s="38" t="str">
        <f>IFERROR(__xludf.DUMMYFUNCTION("""COMPUTED_VALUE"""),"ASTUTI BELA WAWO")</f>
        <v>ASTUTI BELA WAWO</v>
      </c>
      <c r="C712" s="38" t="str">
        <f>IFERROR(__xludf.DUMMYFUNCTION("""COMPUTED_VALUE"""),"Belum disetujui")</f>
        <v>Belum disetujui</v>
      </c>
      <c r="D712" s="38"/>
      <c r="E712" s="38" t="s">
        <v>11427</v>
      </c>
      <c r="F712" s="38" t="s">
        <v>257</v>
      </c>
      <c r="G712" s="38" t="s">
        <v>11428</v>
      </c>
      <c r="H712" s="38" t="s">
        <v>11419</v>
      </c>
    </row>
    <row r="713">
      <c r="A713" s="37">
        <f>IFERROR(__xludf.DUMMYFUNCTION("""COMPUTED_VALUE"""),45915.69063008102)</f>
        <v>45915.69063</v>
      </c>
      <c r="B713" s="38" t="str">
        <f>IFERROR(__xludf.DUMMYFUNCTION("""COMPUTED_VALUE"""),"PRETI SISILIA SILA")</f>
        <v>PRETI SISILIA SILA</v>
      </c>
      <c r="C713" s="38" t="str">
        <f>IFERROR(__xludf.DUMMYFUNCTION("""COMPUTED_VALUE"""),"Belum disetujui")</f>
        <v>Belum disetujui</v>
      </c>
      <c r="D713" s="38"/>
      <c r="E713" s="38" t="s">
        <v>11456</v>
      </c>
      <c r="F713" s="38" t="s">
        <v>667</v>
      </c>
      <c r="G713" s="38" t="s">
        <v>11457</v>
      </c>
      <c r="H713" s="38" t="s">
        <v>11424</v>
      </c>
    </row>
    <row r="714">
      <c r="A714" s="37">
        <f>IFERROR(__xludf.DUMMYFUNCTION("""COMPUTED_VALUE"""),45915.69460923611)</f>
        <v>45915.69461</v>
      </c>
      <c r="B714" s="38" t="str">
        <f>IFERROR(__xludf.DUMMYFUNCTION("""COMPUTED_VALUE"""),"PUSPA ANGGREINI")</f>
        <v>PUSPA ANGGREINI</v>
      </c>
      <c r="C714" s="38" t="str">
        <f>IFERROR(__xludf.DUMMYFUNCTION("""COMPUTED_VALUE"""),"Belum disetujui")</f>
        <v>Belum disetujui</v>
      </c>
      <c r="D714" s="38"/>
      <c r="E714" s="38" t="s">
        <v>11427</v>
      </c>
      <c r="F714" s="38" t="s">
        <v>257</v>
      </c>
      <c r="G714" s="38" t="s">
        <v>11428</v>
      </c>
      <c r="H714" s="38" t="s">
        <v>11419</v>
      </c>
    </row>
    <row r="715">
      <c r="A715" s="37">
        <f>IFERROR(__xludf.DUMMYFUNCTION("""COMPUTED_VALUE"""),45915.69576725694)</f>
        <v>45915.69577</v>
      </c>
      <c r="B715" s="38" t="str">
        <f>IFERROR(__xludf.DUMMYFUNCTION("""COMPUTED_VALUE"""),"SULIS NURAINI INSYATUN")</f>
        <v>SULIS NURAINI INSYATUN</v>
      </c>
      <c r="C715" s="38" t="str">
        <f>IFERROR(__xludf.DUMMYFUNCTION("""COMPUTED_VALUE"""),"Belum disetujui")</f>
        <v>Belum disetujui</v>
      </c>
      <c r="D715" s="38"/>
      <c r="E715" s="38" t="s">
        <v>11429</v>
      </c>
      <c r="F715" s="38" t="s">
        <v>257</v>
      </c>
      <c r="G715" s="38" t="s">
        <v>11430</v>
      </c>
      <c r="H715" s="38" t="s">
        <v>11419</v>
      </c>
    </row>
    <row r="716">
      <c r="A716" s="37">
        <f>IFERROR(__xludf.DUMMYFUNCTION("""COMPUTED_VALUE"""),45915.69688412037)</f>
        <v>45915.69688</v>
      </c>
      <c r="B716" s="38" t="str">
        <f>IFERROR(__xludf.DUMMYFUNCTION("""COMPUTED_VALUE"""),"SULIS NURAINI INSYATUN")</f>
        <v>SULIS NURAINI INSYATUN</v>
      </c>
      <c r="C716" s="38" t="str">
        <f>IFERROR(__xludf.DUMMYFUNCTION("""COMPUTED_VALUE"""),"Belum disetujui")</f>
        <v>Belum disetujui</v>
      </c>
      <c r="D716" s="38"/>
      <c r="E716" s="38" t="s">
        <v>11429</v>
      </c>
      <c r="F716" s="38" t="s">
        <v>257</v>
      </c>
      <c r="G716" s="38" t="s">
        <v>11430</v>
      </c>
      <c r="H716" s="38" t="s">
        <v>11419</v>
      </c>
    </row>
    <row r="717">
      <c r="A717" s="37">
        <f>IFERROR(__xludf.DUMMYFUNCTION("""COMPUTED_VALUE"""),45915.720926898146)</f>
        <v>45915.72093</v>
      </c>
      <c r="B717" s="38" t="str">
        <f>IFERROR(__xludf.DUMMYFUNCTION("""COMPUTED_VALUE"""),"ANITA ANA AMAH")</f>
        <v>ANITA ANA AMAH</v>
      </c>
      <c r="C717" s="38" t="str">
        <f>IFERROR(__xludf.DUMMYFUNCTION("""COMPUTED_VALUE"""),"Belum disetujui")</f>
        <v>Belum disetujui</v>
      </c>
      <c r="D717" s="38"/>
      <c r="E717" s="38" t="s">
        <v>11425</v>
      </c>
      <c r="F717" s="38" t="s">
        <v>205</v>
      </c>
      <c r="G717" s="38" t="s">
        <v>11426</v>
      </c>
      <c r="H717" s="38" t="s">
        <v>11419</v>
      </c>
    </row>
    <row r="718">
      <c r="A718" s="37">
        <f>IFERROR(__xludf.DUMMYFUNCTION("""COMPUTED_VALUE"""),45915.73271497685)</f>
        <v>45915.73271</v>
      </c>
      <c r="B718" s="38" t="str">
        <f>IFERROR(__xludf.DUMMYFUNCTION("""COMPUTED_VALUE"""),"HERONIMUS NAMU WALI")</f>
        <v>HERONIMUS NAMU WALI</v>
      </c>
      <c r="C718" s="38" t="str">
        <f>IFERROR(__xludf.DUMMYFUNCTION("""COMPUTED_VALUE"""),"Belum disetujui")</f>
        <v>Belum disetujui</v>
      </c>
      <c r="D718" s="38"/>
      <c r="E718" s="38" t="s">
        <v>11452</v>
      </c>
      <c r="F718" s="38" t="s">
        <v>205</v>
      </c>
      <c r="G718" s="38" t="s">
        <v>11453</v>
      </c>
      <c r="H718" s="38" t="s">
        <v>11419</v>
      </c>
    </row>
    <row r="719">
      <c r="A719" s="37">
        <f>IFERROR(__xludf.DUMMYFUNCTION("""COMPUTED_VALUE"""),45915.73865568287)</f>
        <v>45915.73866</v>
      </c>
      <c r="B719" s="38" t="str">
        <f>IFERROR(__xludf.DUMMYFUNCTION("""COMPUTED_VALUE"""),"BERGITHA NIA OLIN")</f>
        <v>BERGITHA NIA OLIN</v>
      </c>
      <c r="C719" s="38" t="str">
        <f>IFERROR(__xludf.DUMMYFUNCTION("""COMPUTED_VALUE"""),"Belum disetujui")</f>
        <v>Belum disetujui</v>
      </c>
      <c r="D719" s="38"/>
      <c r="E719" s="38" t="s">
        <v>11431</v>
      </c>
      <c r="F719" s="38" t="s">
        <v>313</v>
      </c>
      <c r="G719" s="38" t="s">
        <v>11432</v>
      </c>
      <c r="H719" s="38" t="s">
        <v>11424</v>
      </c>
    </row>
    <row r="720">
      <c r="A720" s="37">
        <f>IFERROR(__xludf.DUMMYFUNCTION("""COMPUTED_VALUE"""),45915.73943843749)</f>
        <v>45915.73944</v>
      </c>
      <c r="B720" s="38" t="str">
        <f>IFERROR(__xludf.DUMMYFUNCTION("""COMPUTED_VALUE"""),"ADRIANA")</f>
        <v>ADRIANA</v>
      </c>
      <c r="C720" s="38" t="str">
        <f>IFERROR(__xludf.DUMMYFUNCTION("""COMPUTED_VALUE"""),"Dapat limit tapi belum diproses")</f>
        <v>Dapat limit tapi belum diproses</v>
      </c>
      <c r="D720" s="38" t="str">
        <f>IFERROR(__xludf.DUMMYFUNCTION("""COMPUTED_VALUE"""),"Y400 series")</f>
        <v>Y400 series</v>
      </c>
      <c r="E720" s="38" t="s">
        <v>11433</v>
      </c>
      <c r="F720" s="38" t="s">
        <v>313</v>
      </c>
      <c r="G720" s="38" t="s">
        <v>11434</v>
      </c>
      <c r="H720" s="38" t="s">
        <v>11424</v>
      </c>
    </row>
    <row r="721">
      <c r="A721" s="37">
        <f>IFERROR(__xludf.DUMMYFUNCTION("""COMPUTED_VALUE"""),45915.74146608796)</f>
        <v>45915.74147</v>
      </c>
      <c r="B721" s="38" t="str">
        <f>IFERROR(__xludf.DUMMYFUNCTION("""COMPUTED_VALUE"""),"BERGITHA NIA OLIN")</f>
        <v>BERGITHA NIA OLIN</v>
      </c>
      <c r="C721" s="38" t="str">
        <f>IFERROR(__xludf.DUMMYFUNCTION("""COMPUTED_VALUE"""),"Belum disetujui")</f>
        <v>Belum disetujui</v>
      </c>
      <c r="D721" s="38"/>
      <c r="E721" s="38" t="s">
        <v>11431</v>
      </c>
      <c r="F721" s="38" t="s">
        <v>313</v>
      </c>
      <c r="G721" s="38" t="s">
        <v>11432</v>
      </c>
      <c r="H721" s="38" t="s">
        <v>11424</v>
      </c>
    </row>
    <row r="722">
      <c r="A722" s="37">
        <f>IFERROR(__xludf.DUMMYFUNCTION("""COMPUTED_VALUE"""),45915.74457123843)</f>
        <v>45915.74457</v>
      </c>
      <c r="B722" s="38" t="str">
        <f>IFERROR(__xludf.DUMMYFUNCTION("""COMPUTED_VALUE"""),"ASTUTI BELA WAWO")</f>
        <v>ASTUTI BELA WAWO</v>
      </c>
      <c r="C722" s="38" t="str">
        <f>IFERROR(__xludf.DUMMYFUNCTION("""COMPUTED_VALUE"""),"Belum disetujui")</f>
        <v>Belum disetujui</v>
      </c>
      <c r="D722" s="38"/>
      <c r="E722" s="38" t="s">
        <v>11427</v>
      </c>
      <c r="F722" s="38" t="s">
        <v>257</v>
      </c>
      <c r="G722" s="38" t="s">
        <v>11428</v>
      </c>
      <c r="H722" s="38" t="s">
        <v>11419</v>
      </c>
    </row>
    <row r="723">
      <c r="A723" s="37">
        <f>IFERROR(__xludf.DUMMYFUNCTION("""COMPUTED_VALUE"""),45915.76425302084)</f>
        <v>45915.76425</v>
      </c>
      <c r="B723" s="38" t="str">
        <f>IFERROR(__xludf.DUMMYFUNCTION("""COMPUTED_VALUE"""),"MARATHA MARLINDA FANGGIDAE")</f>
        <v>MARATHA MARLINDA FANGGIDAE</v>
      </c>
      <c r="C723" s="38" t="str">
        <f>IFERROR(__xludf.DUMMYFUNCTION("""COMPUTED_VALUE"""),"Belum disetujui")</f>
        <v>Belum disetujui</v>
      </c>
      <c r="D723" s="38"/>
      <c r="E723" s="38" t="s">
        <v>11435</v>
      </c>
      <c r="F723" s="38" t="s">
        <v>215</v>
      </c>
      <c r="G723" s="38" t="s">
        <v>11436</v>
      </c>
      <c r="H723" s="38" t="s">
        <v>11424</v>
      </c>
    </row>
    <row r="724">
      <c r="A724" s="37">
        <f>IFERROR(__xludf.DUMMYFUNCTION("""COMPUTED_VALUE"""),45915.776020625)</f>
        <v>45915.77602</v>
      </c>
      <c r="B724" s="38" t="str">
        <f>IFERROR(__xludf.DUMMYFUNCTION("""COMPUTED_VALUE"""),"NUR FATIMAH MOLBANG")</f>
        <v>NUR FATIMAH MOLBANG</v>
      </c>
      <c r="C724" s="38" t="str">
        <f>IFERROR(__xludf.DUMMYFUNCTION("""COMPUTED_VALUE"""),"Belum disetujui")</f>
        <v>Belum disetujui</v>
      </c>
      <c r="D724" s="38"/>
      <c r="E724" s="38" t="s">
        <v>11439</v>
      </c>
      <c r="F724" s="38" t="s">
        <v>313</v>
      </c>
      <c r="G724" s="38" t="s">
        <v>11440</v>
      </c>
      <c r="H724" s="38" t="s">
        <v>11424</v>
      </c>
    </row>
    <row r="725">
      <c r="A725" s="37">
        <f>IFERROR(__xludf.DUMMYFUNCTION("""COMPUTED_VALUE"""),45915.78253460648)</f>
        <v>45915.78253</v>
      </c>
      <c r="B725" s="38" t="str">
        <f>IFERROR(__xludf.DUMMYFUNCTION("""COMPUTED_VALUE"""),"MERDA PUTRI BUNGSU KENAT")</f>
        <v>MERDA PUTRI BUNGSU KENAT</v>
      </c>
      <c r="C725" s="38" t="str">
        <f>IFERROR(__xludf.DUMMYFUNCTION("""COMPUTED_VALUE"""),"Belum disetujui")</f>
        <v>Belum disetujui</v>
      </c>
      <c r="D725" s="38"/>
      <c r="E725" s="38" t="s">
        <v>11422</v>
      </c>
      <c r="F725" s="38" t="s">
        <v>215</v>
      </c>
      <c r="G725" s="38" t="s">
        <v>11423</v>
      </c>
      <c r="H725" s="38" t="s">
        <v>11424</v>
      </c>
    </row>
    <row r="726">
      <c r="A726" s="37">
        <f>IFERROR(__xludf.DUMMYFUNCTION("""COMPUTED_VALUE"""),45915.78264356482)</f>
        <v>45915.78264</v>
      </c>
      <c r="B726" s="38" t="str">
        <f>IFERROR(__xludf.DUMMYFUNCTION("""COMPUTED_VALUE"""),"TERSIANA KADJA PAU")</f>
        <v>TERSIANA KADJA PAU</v>
      </c>
      <c r="C726" s="38" t="str">
        <f>IFERROR(__xludf.DUMMYFUNCTION("""COMPUTED_VALUE"""),"Belum disetujui")</f>
        <v>Belum disetujui</v>
      </c>
      <c r="D726" s="38"/>
      <c r="E726" s="38" t="s">
        <v>11411</v>
      </c>
      <c r="F726" s="38" t="s">
        <v>220</v>
      </c>
      <c r="G726" s="38" t="s">
        <v>11412</v>
      </c>
      <c r="H726" s="38" t="s">
        <v>11399</v>
      </c>
    </row>
    <row r="727">
      <c r="A727" s="37">
        <f>IFERROR(__xludf.DUMMYFUNCTION("""COMPUTED_VALUE"""),45915.793727557866)</f>
        <v>45915.79373</v>
      </c>
      <c r="B727" s="38" t="str">
        <f>IFERROR(__xludf.DUMMYFUNCTION("""COMPUTED_VALUE"""),"AINI RAHMATINI NATALIA MOESTAKIM")</f>
        <v>AINI RAHMATINI NATALIA MOESTAKIM</v>
      </c>
      <c r="C727" s="38" t="str">
        <f>IFERROR(__xludf.DUMMYFUNCTION("""COMPUTED_VALUE"""),"Belum disetujui")</f>
        <v>Belum disetujui</v>
      </c>
      <c r="D727" s="38"/>
      <c r="E727" s="38" t="s">
        <v>11409</v>
      </c>
      <c r="F727" s="38" t="s">
        <v>204</v>
      </c>
      <c r="G727" s="38" t="s">
        <v>11410</v>
      </c>
      <c r="H727" s="38" t="s">
        <v>11399</v>
      </c>
    </row>
    <row r="728">
      <c r="A728" s="37">
        <f>IFERROR(__xludf.DUMMYFUNCTION("""COMPUTED_VALUE"""),45915.79485923611)</f>
        <v>45915.79486</v>
      </c>
      <c r="B728" s="38" t="str">
        <f>IFERROR(__xludf.DUMMYFUNCTION("""COMPUTED_VALUE"""),"AINI RAHMATINI NATALIA MOESTAKIM")</f>
        <v>AINI RAHMATINI NATALIA MOESTAKIM</v>
      </c>
      <c r="C728" s="38" t="str">
        <f>IFERROR(__xludf.DUMMYFUNCTION("""COMPUTED_VALUE"""),"Belum disetujui")</f>
        <v>Belum disetujui</v>
      </c>
      <c r="D728" s="38"/>
      <c r="E728" s="38" t="s">
        <v>11409</v>
      </c>
      <c r="F728" s="38" t="s">
        <v>204</v>
      </c>
      <c r="G728" s="38" t="s">
        <v>11410</v>
      </c>
      <c r="H728" s="38" t="s">
        <v>11399</v>
      </c>
    </row>
    <row r="729">
      <c r="A729" s="37">
        <f>IFERROR(__xludf.DUMMYFUNCTION("""COMPUTED_VALUE"""),45915.79756241898)</f>
        <v>45915.79756</v>
      </c>
      <c r="B729" s="38" t="str">
        <f>IFERROR(__xludf.DUMMYFUNCTION("""COMPUTED_VALUE"""),"CHOIRUNISA ILHAM")</f>
        <v>CHOIRUNISA ILHAM</v>
      </c>
      <c r="C729" s="38" t="str">
        <f>IFERROR(__xludf.DUMMYFUNCTION("""COMPUTED_VALUE"""),"Dapat limit tapi belum diproses")</f>
        <v>Dapat limit tapi belum diproses</v>
      </c>
      <c r="D729" s="38" t="str">
        <f>IFERROR(__xludf.DUMMYFUNCTION("""COMPUTED_VALUE"""),"V50 Lite series")</f>
        <v>V50 Lite series</v>
      </c>
      <c r="E729" s="38" t="s">
        <v>11404</v>
      </c>
      <c r="F729" s="38" t="s">
        <v>11404</v>
      </c>
      <c r="G729" s="38" t="s">
        <v>11404</v>
      </c>
      <c r="H729" s="38" t="s">
        <v>11404</v>
      </c>
    </row>
    <row r="730">
      <c r="A730" s="37">
        <f>IFERROR(__xludf.DUMMYFUNCTION("""COMPUTED_VALUE"""),45915.79780194444)</f>
        <v>45915.7978</v>
      </c>
      <c r="B730" s="38" t="str">
        <f>IFERROR(__xludf.DUMMYFUNCTION("""COMPUTED_VALUE"""),"MARNITHA JUWIKE TIMORATI RUNESI")</f>
        <v>MARNITHA JUWIKE TIMORATI RUNESI</v>
      </c>
      <c r="C730" s="38" t="str">
        <f>IFERROR(__xludf.DUMMYFUNCTION("""COMPUTED_VALUE"""),"ACC")</f>
        <v>ACC</v>
      </c>
      <c r="D730" s="38" t="str">
        <f>IFERROR(__xludf.DUMMYFUNCTION("""COMPUTED_VALUE"""),"V60 series")</f>
        <v>V60 series</v>
      </c>
      <c r="E730" s="38" t="s">
        <v>11420</v>
      </c>
      <c r="F730" s="38" t="s">
        <v>204</v>
      </c>
      <c r="G730" s="38" t="s">
        <v>11421</v>
      </c>
      <c r="H730" s="38" t="s">
        <v>11399</v>
      </c>
    </row>
    <row r="731">
      <c r="A731" s="37">
        <f>IFERROR(__xludf.DUMMYFUNCTION("""COMPUTED_VALUE"""),45915.80133997685)</f>
        <v>45915.80134</v>
      </c>
      <c r="B731" s="38" t="str">
        <f>IFERROR(__xludf.DUMMYFUNCTION("""COMPUTED_VALUE"""),"DWITNEY PRETY WANGGANDIMA")</f>
        <v>DWITNEY PRETY WANGGANDIMA</v>
      </c>
      <c r="C731" s="38" t="str">
        <f>IFERROR(__xludf.DUMMYFUNCTION("""COMPUTED_VALUE"""),"Dapat limit tapi belum diproses")</f>
        <v>Dapat limit tapi belum diproses</v>
      </c>
      <c r="D731" s="38" t="str">
        <f>IFERROR(__xludf.DUMMYFUNCTION("""COMPUTED_VALUE"""),"V60 series")</f>
        <v>V60 series</v>
      </c>
      <c r="E731" s="38" t="s">
        <v>11443</v>
      </c>
      <c r="F731" s="38" t="s">
        <v>220</v>
      </c>
      <c r="G731" s="38" t="s">
        <v>11444</v>
      </c>
      <c r="H731" s="38" t="s">
        <v>11399</v>
      </c>
    </row>
    <row r="732">
      <c r="A732" s="37">
        <f>IFERROR(__xludf.DUMMYFUNCTION("""COMPUTED_VALUE"""),45915.80183548611)</f>
        <v>45915.80184</v>
      </c>
      <c r="B732" s="38" t="str">
        <f>IFERROR(__xludf.DUMMYFUNCTION("""COMPUTED_VALUE"""),"IRENE NOVALIA KADJU")</f>
        <v>IRENE NOVALIA KADJU</v>
      </c>
      <c r="C732" s="38" t="str">
        <f>IFERROR(__xludf.DUMMYFUNCTION("""COMPUTED_VALUE"""),"ACC")</f>
        <v>ACC</v>
      </c>
      <c r="D732" s="38" t="str">
        <f>IFERROR(__xludf.DUMMYFUNCTION("""COMPUTED_VALUE"""),"Y400 series")</f>
        <v>Y400 series</v>
      </c>
      <c r="E732" s="38" t="s">
        <v>11445</v>
      </c>
      <c r="F732" s="38" t="s">
        <v>204</v>
      </c>
      <c r="G732" s="38" t="s">
        <v>11446</v>
      </c>
      <c r="H732" s="38" t="s">
        <v>11399</v>
      </c>
    </row>
    <row r="733">
      <c r="A733" s="37">
        <f>IFERROR(__xludf.DUMMYFUNCTION("""COMPUTED_VALUE"""),45915.8109399537)</f>
        <v>45915.81094</v>
      </c>
      <c r="B733" s="38" t="str">
        <f>IFERROR(__xludf.DUMMYFUNCTION("""COMPUTED_VALUE"""),"WARDIA")</f>
        <v>WARDIA</v>
      </c>
      <c r="C733" s="38" t="str">
        <f>IFERROR(__xludf.DUMMYFUNCTION("""COMPUTED_VALUE"""),"Belum disetujui")</f>
        <v>Belum disetujui</v>
      </c>
      <c r="D733" s="38"/>
      <c r="E733" s="38" t="s">
        <v>11409</v>
      </c>
      <c r="F733" s="38" t="s">
        <v>204</v>
      </c>
      <c r="G733" s="38" t="s">
        <v>11410</v>
      </c>
      <c r="H733" s="38" t="s">
        <v>11399</v>
      </c>
    </row>
    <row r="734">
      <c r="A734" s="37">
        <f>IFERROR(__xludf.DUMMYFUNCTION("""COMPUTED_VALUE"""),45915.818556817125)</f>
        <v>45915.81856</v>
      </c>
      <c r="B734" s="38" t="str">
        <f>IFERROR(__xludf.DUMMYFUNCTION("""COMPUTED_VALUE"""),"ASTUTI BELA WAWO")</f>
        <v>ASTUTI BELA WAWO</v>
      </c>
      <c r="C734" s="38" t="str">
        <f>IFERROR(__xludf.DUMMYFUNCTION("""COMPUTED_VALUE"""),"Belum disetujui")</f>
        <v>Belum disetujui</v>
      </c>
      <c r="D734" s="38"/>
      <c r="E734" s="38" t="s">
        <v>11427</v>
      </c>
      <c r="F734" s="38" t="s">
        <v>257</v>
      </c>
      <c r="G734" s="38" t="s">
        <v>11428</v>
      </c>
      <c r="H734" s="38" t="s">
        <v>11419</v>
      </c>
    </row>
    <row r="735">
      <c r="A735" s="37">
        <f>IFERROR(__xludf.DUMMYFUNCTION("""COMPUTED_VALUE"""),45915.82651994212)</f>
        <v>45915.82652</v>
      </c>
      <c r="B735" s="38" t="str">
        <f>IFERROR(__xludf.DUMMYFUNCTION("""COMPUTED_VALUE"""),"LINDA MELSIANA ELLO")</f>
        <v>LINDA MELSIANA ELLO</v>
      </c>
      <c r="C735" s="38" t="str">
        <f>IFERROR(__xludf.DUMMYFUNCTION("""COMPUTED_VALUE"""),"Belum disetujui")</f>
        <v>Belum disetujui</v>
      </c>
      <c r="D735" s="38"/>
      <c r="E735" s="38" t="s">
        <v>11435</v>
      </c>
      <c r="F735" s="38" t="s">
        <v>215</v>
      </c>
      <c r="G735" s="38" t="s">
        <v>11436</v>
      </c>
      <c r="H735" s="38" t="s">
        <v>11424</v>
      </c>
    </row>
    <row r="736">
      <c r="A736" s="37">
        <f>IFERROR(__xludf.DUMMYFUNCTION("""COMPUTED_VALUE"""),45915.836026053235)</f>
        <v>45915.83603</v>
      </c>
      <c r="B736" s="38" t="str">
        <f>IFERROR(__xludf.DUMMYFUNCTION("""COMPUTED_VALUE"""),"ANYARMITHA SOPHIA SUEK")</f>
        <v>ANYARMITHA SOPHIA SUEK</v>
      </c>
      <c r="C736" s="38" t="str">
        <f>IFERROR(__xludf.DUMMYFUNCTION("""COMPUTED_VALUE"""),"Belum disetujui")</f>
        <v>Belum disetujui</v>
      </c>
      <c r="D736" s="38"/>
      <c r="E736" s="38" t="s">
        <v>11443</v>
      </c>
      <c r="F736" s="38" t="s">
        <v>220</v>
      </c>
      <c r="G736" s="38" t="s">
        <v>11444</v>
      </c>
      <c r="H736" s="38" t="s">
        <v>11399</v>
      </c>
    </row>
    <row r="737">
      <c r="A737" s="37">
        <f>IFERROR(__xludf.DUMMYFUNCTION("""COMPUTED_VALUE"""),45915.83767747685)</f>
        <v>45915.83768</v>
      </c>
      <c r="B737" s="38" t="str">
        <f>IFERROR(__xludf.DUMMYFUNCTION("""COMPUTED_VALUE"""),"ANYARMITHA SOPHIA SUEK")</f>
        <v>ANYARMITHA SOPHIA SUEK</v>
      </c>
      <c r="C737" s="38" t="str">
        <f>IFERROR(__xludf.DUMMYFUNCTION("""COMPUTED_VALUE"""),"Belum disetujui")</f>
        <v>Belum disetujui</v>
      </c>
      <c r="D737" s="38"/>
      <c r="E737" s="38" t="s">
        <v>11443</v>
      </c>
      <c r="F737" s="38" t="s">
        <v>220</v>
      </c>
      <c r="G737" s="38" t="s">
        <v>11444</v>
      </c>
      <c r="H737" s="38" t="s">
        <v>11399</v>
      </c>
    </row>
    <row r="738">
      <c r="A738" s="37">
        <f>IFERROR(__xludf.DUMMYFUNCTION("""COMPUTED_VALUE"""),45915.839390277775)</f>
        <v>45915.83939</v>
      </c>
      <c r="B738" s="38" t="str">
        <f>IFERROR(__xludf.DUMMYFUNCTION("""COMPUTED_VALUE"""),"DWITNEY PRETY WANGGANDIMA")</f>
        <v>DWITNEY PRETY WANGGANDIMA</v>
      </c>
      <c r="C738" s="38" t="str">
        <f>IFERROR(__xludf.DUMMYFUNCTION("""COMPUTED_VALUE"""),"Belum disetujui")</f>
        <v>Belum disetujui</v>
      </c>
      <c r="D738" s="38"/>
      <c r="E738" s="38" t="s">
        <v>11443</v>
      </c>
      <c r="F738" s="38" t="s">
        <v>220</v>
      </c>
      <c r="G738" s="38" t="s">
        <v>11444</v>
      </c>
      <c r="H738" s="38" t="s">
        <v>11399</v>
      </c>
    </row>
    <row r="739">
      <c r="A739" s="37">
        <f>IFERROR(__xludf.DUMMYFUNCTION("""COMPUTED_VALUE"""),45915.85058755786)</f>
        <v>45915.85059</v>
      </c>
      <c r="B739" s="38" t="str">
        <f>IFERROR(__xludf.DUMMYFUNCTION("""COMPUTED_VALUE"""),"LINDA MELSIANA ELLO")</f>
        <v>LINDA MELSIANA ELLO</v>
      </c>
      <c r="C739" s="38" t="str">
        <f>IFERROR(__xludf.DUMMYFUNCTION("""COMPUTED_VALUE"""),"Dapat limit tapi belum diproses")</f>
        <v>Dapat limit tapi belum diproses</v>
      </c>
      <c r="D739" s="38" t="str">
        <f>IFERROR(__xludf.DUMMYFUNCTION("""COMPUTED_VALUE"""),"V60 series")</f>
        <v>V60 series</v>
      </c>
      <c r="E739" s="38" t="s">
        <v>11435</v>
      </c>
      <c r="F739" s="38" t="s">
        <v>215</v>
      </c>
      <c r="G739" s="38" t="s">
        <v>11436</v>
      </c>
      <c r="H739" s="38" t="s">
        <v>11424</v>
      </c>
    </row>
    <row r="740">
      <c r="A740" s="37">
        <f>IFERROR(__xludf.DUMMYFUNCTION("""COMPUTED_VALUE"""),45915.85335898148)</f>
        <v>45915.85336</v>
      </c>
      <c r="B740" s="38" t="str">
        <f>IFERROR(__xludf.DUMMYFUNCTION("""COMPUTED_VALUE"""),"LINDA MELSIANA ELLO")</f>
        <v>LINDA MELSIANA ELLO</v>
      </c>
      <c r="C740" s="38" t="str">
        <f>IFERROR(__xludf.DUMMYFUNCTION("""COMPUTED_VALUE"""),"Belum disetujui")</f>
        <v>Belum disetujui</v>
      </c>
      <c r="D740" s="38"/>
      <c r="E740" s="38" t="s">
        <v>11435</v>
      </c>
      <c r="F740" s="38" t="s">
        <v>215</v>
      </c>
      <c r="G740" s="38" t="s">
        <v>11436</v>
      </c>
      <c r="H740" s="38" t="s">
        <v>11424</v>
      </c>
    </row>
    <row r="741">
      <c r="A741" s="37">
        <f>IFERROR(__xludf.DUMMYFUNCTION("""COMPUTED_VALUE"""),45915.86718652778)</f>
        <v>45915.86719</v>
      </c>
      <c r="B741" s="38" t="str">
        <f>IFERROR(__xludf.DUMMYFUNCTION("""COMPUTED_VALUE"""),"AMBU BAIQ JUMENAH")</f>
        <v>AMBU BAIQ JUMENAH</v>
      </c>
      <c r="C741" s="38" t="str">
        <f>IFERROR(__xludf.DUMMYFUNCTION("""COMPUTED_VALUE"""),"Dapat limit tapi belum diproses")</f>
        <v>Dapat limit tapi belum diproses</v>
      </c>
      <c r="D741" s="38" t="str">
        <f>IFERROR(__xludf.DUMMYFUNCTION("""COMPUTED_VALUE"""),"Y400 series")</f>
        <v>Y400 series</v>
      </c>
      <c r="E741" s="38" t="s">
        <v>11458</v>
      </c>
      <c r="F741" s="38" t="s">
        <v>205</v>
      </c>
      <c r="G741" s="38" t="s">
        <v>11459</v>
      </c>
      <c r="H741" s="38" t="s">
        <v>11419</v>
      </c>
    </row>
    <row r="742">
      <c r="A742" s="37">
        <f>IFERROR(__xludf.DUMMYFUNCTION("""COMPUTED_VALUE"""),45915.920575185184)</f>
        <v>45915.92058</v>
      </c>
      <c r="B742" s="38" t="str">
        <f>IFERROR(__xludf.DUMMYFUNCTION("""COMPUTED_VALUE"""),"ANITA ANA AMAH")</f>
        <v>ANITA ANA AMAH</v>
      </c>
      <c r="C742" s="38" t="str">
        <f>IFERROR(__xludf.DUMMYFUNCTION("""COMPUTED_VALUE"""),"Belum disetujui")</f>
        <v>Belum disetujui</v>
      </c>
      <c r="D742" s="38"/>
      <c r="E742" s="38" t="s">
        <v>11425</v>
      </c>
      <c r="F742" s="38" t="s">
        <v>205</v>
      </c>
      <c r="G742" s="38" t="s">
        <v>11426</v>
      </c>
      <c r="H742" s="38" t="s">
        <v>11419</v>
      </c>
    </row>
    <row r="743">
      <c r="A743" s="37">
        <f>IFERROR(__xludf.DUMMYFUNCTION("""COMPUTED_VALUE"""),45916.38919258102)</f>
        <v>45916.38919</v>
      </c>
      <c r="B743" s="38" t="str">
        <f>IFERROR(__xludf.DUMMYFUNCTION("""COMPUTED_VALUE"""),"SULIS NURAINI INSYATUN")</f>
        <v>SULIS NURAINI INSYATUN</v>
      </c>
      <c r="C743" s="38" t="str">
        <f>IFERROR(__xludf.DUMMYFUNCTION("""COMPUTED_VALUE"""),"Belum disetujui")</f>
        <v>Belum disetujui</v>
      </c>
      <c r="D743" s="38"/>
      <c r="E743" s="38" t="s">
        <v>11429</v>
      </c>
      <c r="F743" s="38" t="s">
        <v>257</v>
      </c>
      <c r="G743" s="38" t="s">
        <v>11430</v>
      </c>
      <c r="H743" s="38" t="s">
        <v>11419</v>
      </c>
    </row>
    <row r="744">
      <c r="A744" s="37">
        <f>IFERROR(__xludf.DUMMYFUNCTION("""COMPUTED_VALUE"""),45916.48039872685)</f>
        <v>45916.4804</v>
      </c>
      <c r="B744" s="38" t="str">
        <f>IFERROR(__xludf.DUMMYFUNCTION("""COMPUTED_VALUE"""),"ANITA ANA AMAH")</f>
        <v>ANITA ANA AMAH</v>
      </c>
      <c r="C744" s="38" t="str">
        <f>IFERROR(__xludf.DUMMYFUNCTION("""COMPUTED_VALUE"""),"Belum disetujui")</f>
        <v>Belum disetujui</v>
      </c>
      <c r="D744" s="38"/>
      <c r="E744" s="38" t="s">
        <v>11425</v>
      </c>
      <c r="F744" s="38" t="s">
        <v>205</v>
      </c>
      <c r="G744" s="38" t="s">
        <v>11426</v>
      </c>
      <c r="H744" s="38" t="s">
        <v>11419</v>
      </c>
    </row>
    <row r="745">
      <c r="A745" s="37">
        <f>IFERROR(__xludf.DUMMYFUNCTION("""COMPUTED_VALUE"""),45916.504412222224)</f>
        <v>45916.50441</v>
      </c>
      <c r="B745" s="38" t="str">
        <f>IFERROR(__xludf.DUMMYFUNCTION("""COMPUTED_VALUE"""),"MARIA MELAN ANANCE BILI")</f>
        <v>MARIA MELAN ANANCE BILI</v>
      </c>
      <c r="C745" s="38" t="str">
        <f>IFERROR(__xludf.DUMMYFUNCTION("""COMPUTED_VALUE"""),"Dapat limit tapi belum diproses")</f>
        <v>Dapat limit tapi belum diproses</v>
      </c>
      <c r="D745" s="38" t="str">
        <f>IFERROR(__xludf.DUMMYFUNCTION("""COMPUTED_VALUE"""),"Y400 series")</f>
        <v>Y400 series</v>
      </c>
      <c r="E745" s="38" t="s">
        <v>11466</v>
      </c>
      <c r="F745" s="38" t="s">
        <v>257</v>
      </c>
      <c r="G745" s="38" t="s">
        <v>11467</v>
      </c>
      <c r="H745" s="38" t="s">
        <v>11419</v>
      </c>
    </row>
    <row r="746">
      <c r="A746" s="37">
        <f>IFERROR(__xludf.DUMMYFUNCTION("""COMPUTED_VALUE"""),45916.52148846065)</f>
        <v>45916.52149</v>
      </c>
      <c r="B746" s="38" t="str">
        <f>IFERROR(__xludf.DUMMYFUNCTION("""COMPUTED_VALUE"""),"MEXY ALEXANDER HETMINA")</f>
        <v>MEXY ALEXANDER HETMINA</v>
      </c>
      <c r="C746" s="38" t="str">
        <f>IFERROR(__xludf.DUMMYFUNCTION("""COMPUTED_VALUE"""),"Dapat limit tapi belum diproses")</f>
        <v>Dapat limit tapi belum diproses</v>
      </c>
      <c r="D746" s="38" t="str">
        <f>IFERROR(__xludf.DUMMYFUNCTION("""COMPUTED_VALUE"""),"Y400 series")</f>
        <v>Y400 series</v>
      </c>
      <c r="E746" s="38" t="s">
        <v>11413</v>
      </c>
      <c r="F746" s="38" t="s">
        <v>204</v>
      </c>
      <c r="G746" s="38" t="s">
        <v>11414</v>
      </c>
      <c r="H746" s="38" t="s">
        <v>11399</v>
      </c>
    </row>
    <row r="747">
      <c r="A747" s="37">
        <f>IFERROR(__xludf.DUMMYFUNCTION("""COMPUTED_VALUE"""),45916.55599289352)</f>
        <v>45916.55599</v>
      </c>
      <c r="B747" s="38" t="str">
        <f>IFERROR(__xludf.DUMMYFUNCTION("""COMPUTED_VALUE"""),"ASTUTI BELA WAWO")</f>
        <v>ASTUTI BELA WAWO</v>
      </c>
      <c r="C747" s="38" t="str">
        <f>IFERROR(__xludf.DUMMYFUNCTION("""COMPUTED_VALUE"""),"Belum disetujui")</f>
        <v>Belum disetujui</v>
      </c>
      <c r="D747" s="38"/>
      <c r="E747" s="38" t="s">
        <v>11427</v>
      </c>
      <c r="F747" s="38" t="s">
        <v>257</v>
      </c>
      <c r="G747" s="38" t="s">
        <v>11428</v>
      </c>
      <c r="H747" s="38" t="s">
        <v>11419</v>
      </c>
    </row>
    <row r="748">
      <c r="A748" s="37">
        <f>IFERROR(__xludf.DUMMYFUNCTION("""COMPUTED_VALUE"""),45916.56112495371)</f>
        <v>45916.56112</v>
      </c>
      <c r="B748" s="38" t="str">
        <f>IFERROR(__xludf.DUMMYFUNCTION("""COMPUTED_VALUE"""),"SELVINCE BAKO")</f>
        <v>SELVINCE BAKO</v>
      </c>
      <c r="C748" s="38" t="str">
        <f>IFERROR(__xludf.DUMMYFUNCTION("""COMPUTED_VALUE"""),"Belum disetujui")</f>
        <v>Belum disetujui</v>
      </c>
      <c r="D748" s="38"/>
      <c r="E748" s="38" t="s">
        <v>11413</v>
      </c>
      <c r="F748" s="38" t="s">
        <v>204</v>
      </c>
      <c r="G748" s="38" t="s">
        <v>11414</v>
      </c>
      <c r="H748" s="38" t="s">
        <v>11399</v>
      </c>
    </row>
    <row r="749">
      <c r="A749" s="37">
        <f>IFERROR(__xludf.DUMMYFUNCTION("""COMPUTED_VALUE"""),45916.57015472222)</f>
        <v>45916.57015</v>
      </c>
      <c r="B749" s="38" t="str">
        <f>IFERROR(__xludf.DUMMYFUNCTION("""COMPUTED_VALUE"""),"KESIA NATALIA I. BENU")</f>
        <v>KESIA NATALIA I. BENU</v>
      </c>
      <c r="C749" s="38" t="str">
        <f>IFERROR(__xludf.DUMMYFUNCTION("""COMPUTED_VALUE"""),"ACC")</f>
        <v>ACC</v>
      </c>
      <c r="D749" s="38" t="str">
        <f>IFERROR(__xludf.DUMMYFUNCTION("""COMPUTED_VALUE"""),"Y400 series")</f>
        <v>Y400 series</v>
      </c>
      <c r="E749" s="38" t="s">
        <v>11417</v>
      </c>
      <c r="F749" s="38" t="s">
        <v>257</v>
      </c>
      <c r="G749" s="38" t="s">
        <v>11418</v>
      </c>
      <c r="H749" s="38" t="s">
        <v>11419</v>
      </c>
    </row>
    <row r="750">
      <c r="A750" s="37">
        <f>IFERROR(__xludf.DUMMYFUNCTION("""COMPUTED_VALUE"""),45916.594173067126)</f>
        <v>45916.59417</v>
      </c>
      <c r="B750" s="38" t="str">
        <f>IFERROR(__xludf.DUMMYFUNCTION("""COMPUTED_VALUE"""),"PATRIANI MENGI ULY")</f>
        <v>PATRIANI MENGI ULY</v>
      </c>
      <c r="C750" s="38" t="str">
        <f>IFERROR(__xludf.DUMMYFUNCTION("""COMPUTED_VALUE"""),"Belum disetujui")</f>
        <v>Belum disetujui</v>
      </c>
      <c r="D750" s="38"/>
      <c r="E750" s="38" t="s">
        <v>11402</v>
      </c>
      <c r="F750" s="38" t="s">
        <v>204</v>
      </c>
      <c r="G750" s="38" t="s">
        <v>11403</v>
      </c>
      <c r="H750" s="38" t="s">
        <v>11399</v>
      </c>
    </row>
    <row r="751">
      <c r="A751" s="37">
        <f>IFERROR(__xludf.DUMMYFUNCTION("""COMPUTED_VALUE"""),45916.627847557866)</f>
        <v>45916.62785</v>
      </c>
      <c r="B751" s="38" t="str">
        <f>IFERROR(__xludf.DUMMYFUNCTION("""COMPUTED_VALUE"""),"ASRI NINGSI RAMBU ATA ENDI")</f>
        <v>ASRI NINGSI RAMBU ATA ENDI</v>
      </c>
      <c r="C751" s="38" t="str">
        <f>IFERROR(__xludf.DUMMYFUNCTION("""COMPUTED_VALUE"""),"ACC")</f>
        <v>ACC</v>
      </c>
      <c r="D751" s="38" t="str">
        <f>IFERROR(__xludf.DUMMYFUNCTION("""COMPUTED_VALUE"""),"V50 Lite series")</f>
        <v>V50 Lite series</v>
      </c>
      <c r="E751" s="38" t="s">
        <v>11441</v>
      </c>
      <c r="F751" s="38" t="s">
        <v>205</v>
      </c>
      <c r="G751" s="38" t="s">
        <v>11442</v>
      </c>
      <c r="H751" s="38" t="s">
        <v>11419</v>
      </c>
    </row>
    <row r="752">
      <c r="A752" s="37">
        <f>IFERROR(__xludf.DUMMYFUNCTION("""COMPUTED_VALUE"""),45916.66419038195)</f>
        <v>45916.66419</v>
      </c>
      <c r="B752" s="38" t="str">
        <f>IFERROR(__xludf.DUMMYFUNCTION("""COMPUTED_VALUE"""),"PRETI SISILIA SILA")</f>
        <v>PRETI SISILIA SILA</v>
      </c>
      <c r="C752" s="38" t="str">
        <f>IFERROR(__xludf.DUMMYFUNCTION("""COMPUTED_VALUE"""),"Belum disetujui")</f>
        <v>Belum disetujui</v>
      </c>
      <c r="D752" s="38"/>
      <c r="E752" s="38" t="s">
        <v>11456</v>
      </c>
      <c r="F752" s="38" t="s">
        <v>667</v>
      </c>
      <c r="G752" s="38" t="s">
        <v>11457</v>
      </c>
      <c r="H752" s="38" t="s">
        <v>11424</v>
      </c>
    </row>
    <row r="753">
      <c r="A753" s="37">
        <f>IFERROR(__xludf.DUMMYFUNCTION("""COMPUTED_VALUE"""),45916.66478299769)</f>
        <v>45916.66478</v>
      </c>
      <c r="B753" s="38" t="str">
        <f>IFERROR(__xludf.DUMMYFUNCTION("""COMPUTED_VALUE"""),"YOHANIS TIPNONI")</f>
        <v>YOHANIS TIPNONI</v>
      </c>
      <c r="C753" s="38" t="str">
        <f>IFERROR(__xludf.DUMMYFUNCTION("""COMPUTED_VALUE"""),"Belum disetujui")</f>
        <v>Belum disetujui</v>
      </c>
      <c r="D753" s="38"/>
      <c r="E753" s="38" t="s">
        <v>11405</v>
      </c>
      <c r="F753" s="38" t="s">
        <v>220</v>
      </c>
      <c r="G753" s="38" t="s">
        <v>11406</v>
      </c>
      <c r="H753" s="38" t="s">
        <v>11399</v>
      </c>
    </row>
    <row r="754">
      <c r="A754" s="37">
        <f>IFERROR(__xludf.DUMMYFUNCTION("""COMPUTED_VALUE"""),45916.68010825231)</f>
        <v>45916.68011</v>
      </c>
      <c r="B754" s="38" t="str">
        <f>IFERROR(__xludf.DUMMYFUNCTION("""COMPUTED_VALUE"""),"NOVANTRY RUTHANIA NAFFIE")</f>
        <v>NOVANTRY RUTHANIA NAFFIE</v>
      </c>
      <c r="C754" s="38" t="str">
        <f>IFERROR(__xludf.DUMMYFUNCTION("""COMPUTED_VALUE"""),"Belum disetujui")</f>
        <v>Belum disetujui</v>
      </c>
      <c r="D754" s="38"/>
      <c r="E754" s="38" t="s">
        <v>11397</v>
      </c>
      <c r="F754" s="38" t="s">
        <v>220</v>
      </c>
      <c r="G754" s="38" t="s">
        <v>11398</v>
      </c>
      <c r="H754" s="38" t="s">
        <v>11399</v>
      </c>
    </row>
    <row r="755">
      <c r="A755" s="37">
        <f>IFERROR(__xludf.DUMMYFUNCTION("""COMPUTED_VALUE"""),45916.699505034725)</f>
        <v>45916.69951</v>
      </c>
      <c r="B755" s="38" t="str">
        <f>IFERROR(__xludf.DUMMYFUNCTION("""COMPUTED_VALUE"""),"NOVANTRY RUTHANIA NAFFIE")</f>
        <v>NOVANTRY RUTHANIA NAFFIE</v>
      </c>
      <c r="C755" s="38" t="str">
        <f>IFERROR(__xludf.DUMMYFUNCTION("""COMPUTED_VALUE"""),"Belum disetujui")</f>
        <v>Belum disetujui</v>
      </c>
      <c r="D755" s="38"/>
      <c r="E755" s="38" t="s">
        <v>11397</v>
      </c>
      <c r="F755" s="38" t="s">
        <v>220</v>
      </c>
      <c r="G755" s="38" t="s">
        <v>11398</v>
      </c>
      <c r="H755" s="38" t="s">
        <v>11399</v>
      </c>
    </row>
    <row r="756">
      <c r="A756" s="37">
        <f>IFERROR(__xludf.DUMMYFUNCTION("""COMPUTED_VALUE"""),45916.73281422454)</f>
        <v>45916.73281</v>
      </c>
      <c r="B756" s="38" t="str">
        <f>IFERROR(__xludf.DUMMYFUNCTION("""COMPUTED_VALUE"""),"SULIS NURAINI INSYATUN")</f>
        <v>SULIS NURAINI INSYATUN</v>
      </c>
      <c r="C756" s="38" t="str">
        <f>IFERROR(__xludf.DUMMYFUNCTION("""COMPUTED_VALUE"""),"Dapat limit tapi belum diproses")</f>
        <v>Dapat limit tapi belum diproses</v>
      </c>
      <c r="D756" s="38" t="str">
        <f>IFERROR(__xludf.DUMMYFUNCTION("""COMPUTED_VALUE"""),"Y400 series")</f>
        <v>Y400 series</v>
      </c>
      <c r="E756" s="38" t="s">
        <v>11429</v>
      </c>
      <c r="F756" s="38" t="s">
        <v>257</v>
      </c>
      <c r="G756" s="38" t="s">
        <v>11430</v>
      </c>
      <c r="H756" s="38" t="s">
        <v>11419</v>
      </c>
    </row>
    <row r="757">
      <c r="A757" s="37">
        <f>IFERROR(__xludf.DUMMYFUNCTION("""COMPUTED_VALUE"""),45916.735529432866)</f>
        <v>45916.73553</v>
      </c>
      <c r="B757" s="38" t="str">
        <f>IFERROR(__xludf.DUMMYFUNCTION("""COMPUTED_VALUE"""),"DEMARISTI S H FENI")</f>
        <v>DEMARISTI S H FENI</v>
      </c>
      <c r="C757" s="38" t="str">
        <f>IFERROR(__xludf.DUMMYFUNCTION("""COMPUTED_VALUE"""),"Belum disetujui")</f>
        <v>Belum disetujui</v>
      </c>
      <c r="D757" s="38"/>
      <c r="E757" s="38" t="s">
        <v>11404</v>
      </c>
      <c r="F757" s="38" t="s">
        <v>11404</v>
      </c>
      <c r="G757" s="38" t="s">
        <v>11404</v>
      </c>
      <c r="H757" s="38" t="s">
        <v>11404</v>
      </c>
    </row>
    <row r="758">
      <c r="A758" s="37">
        <f>IFERROR(__xludf.DUMMYFUNCTION("""COMPUTED_VALUE"""),45916.738212048615)</f>
        <v>45916.73821</v>
      </c>
      <c r="B758" s="38" t="str">
        <f>IFERROR(__xludf.DUMMYFUNCTION("""COMPUTED_VALUE"""),"WINDRI MANOE")</f>
        <v>WINDRI MANOE</v>
      </c>
      <c r="C758" s="38" t="str">
        <f>IFERROR(__xludf.DUMMYFUNCTION("""COMPUTED_VALUE"""),"Dapat limit tapi belum diproses")</f>
        <v>Dapat limit tapi belum diproses</v>
      </c>
      <c r="D758" s="38" t="str">
        <f>IFERROR(__xludf.DUMMYFUNCTION("""COMPUTED_VALUE"""),"V60 series")</f>
        <v>V60 series</v>
      </c>
      <c r="E758" s="38" t="s">
        <v>11443</v>
      </c>
      <c r="F758" s="38" t="s">
        <v>220</v>
      </c>
      <c r="G758" s="38" t="s">
        <v>11444</v>
      </c>
      <c r="H758" s="38" t="s">
        <v>11399</v>
      </c>
    </row>
    <row r="759">
      <c r="A759" s="37">
        <f>IFERROR(__xludf.DUMMYFUNCTION("""COMPUTED_VALUE"""),45916.7394866088)</f>
        <v>45916.73949</v>
      </c>
      <c r="B759" s="38" t="str">
        <f>IFERROR(__xludf.DUMMYFUNCTION("""COMPUTED_VALUE"""),"IRENE NOVALIA KADJU")</f>
        <v>IRENE NOVALIA KADJU</v>
      </c>
      <c r="C759" s="38" t="str">
        <f>IFERROR(__xludf.DUMMYFUNCTION("""COMPUTED_VALUE"""),"Belum disetujui")</f>
        <v>Belum disetujui</v>
      </c>
      <c r="D759" s="38"/>
      <c r="E759" s="38" t="s">
        <v>11445</v>
      </c>
      <c r="F759" s="38" t="s">
        <v>204</v>
      </c>
      <c r="G759" s="38" t="s">
        <v>11446</v>
      </c>
      <c r="H759" s="38" t="s">
        <v>11399</v>
      </c>
    </row>
    <row r="760">
      <c r="A760" s="37">
        <f>IFERROR(__xludf.DUMMYFUNCTION("""COMPUTED_VALUE"""),45916.74118681713)</f>
        <v>45916.74119</v>
      </c>
      <c r="B760" s="38" t="str">
        <f>IFERROR(__xludf.DUMMYFUNCTION("""COMPUTED_VALUE"""),"IRENE NOVALIA KADJU")</f>
        <v>IRENE NOVALIA KADJU</v>
      </c>
      <c r="C760" s="38" t="str">
        <f>IFERROR(__xludf.DUMMYFUNCTION("""COMPUTED_VALUE"""),"Belum disetujui")</f>
        <v>Belum disetujui</v>
      </c>
      <c r="D760" s="38"/>
      <c r="E760" s="38" t="s">
        <v>11445</v>
      </c>
      <c r="F760" s="38" t="s">
        <v>204</v>
      </c>
      <c r="G760" s="38" t="s">
        <v>11446</v>
      </c>
      <c r="H760" s="38" t="s">
        <v>11399</v>
      </c>
    </row>
    <row r="761">
      <c r="A761" s="37">
        <f>IFERROR(__xludf.DUMMYFUNCTION("""COMPUTED_VALUE"""),45916.741775706025)</f>
        <v>45916.74178</v>
      </c>
      <c r="B761" s="38" t="str">
        <f>IFERROR(__xludf.DUMMYFUNCTION("""COMPUTED_VALUE"""),"ADRIANA")</f>
        <v>ADRIANA</v>
      </c>
      <c r="C761" s="38" t="str">
        <f>IFERROR(__xludf.DUMMYFUNCTION("""COMPUTED_VALUE"""),"Belum disetujui")</f>
        <v>Belum disetujui</v>
      </c>
      <c r="D761" s="38"/>
      <c r="E761" s="38" t="s">
        <v>11433</v>
      </c>
      <c r="F761" s="38" t="s">
        <v>313</v>
      </c>
      <c r="G761" s="38" t="s">
        <v>11434</v>
      </c>
      <c r="H761" s="38" t="s">
        <v>11424</v>
      </c>
    </row>
    <row r="762">
      <c r="A762" s="37">
        <f>IFERROR(__xludf.DUMMYFUNCTION("""COMPUTED_VALUE"""),45916.75144743055)</f>
        <v>45916.75145</v>
      </c>
      <c r="B762" s="38" t="str">
        <f>IFERROR(__xludf.DUMMYFUNCTION("""COMPUTED_VALUE"""),"YANA DANGU")</f>
        <v>YANA DANGU</v>
      </c>
      <c r="C762" s="38" t="str">
        <f>IFERROR(__xludf.DUMMYFUNCTION("""COMPUTED_VALUE"""),"Belum disetujui")</f>
        <v>Belum disetujui</v>
      </c>
      <c r="D762" s="38"/>
      <c r="E762" s="38" t="s">
        <v>11397</v>
      </c>
      <c r="F762" s="38" t="s">
        <v>220</v>
      </c>
      <c r="G762" s="38" t="s">
        <v>11398</v>
      </c>
      <c r="H762" s="38" t="s">
        <v>11399</v>
      </c>
    </row>
    <row r="763">
      <c r="A763" s="37">
        <f>IFERROR(__xludf.DUMMYFUNCTION("""COMPUTED_VALUE"""),45916.75376255787)</f>
        <v>45916.75376</v>
      </c>
      <c r="B763" s="38" t="str">
        <f>IFERROR(__xludf.DUMMYFUNCTION("""COMPUTED_VALUE"""),"ADRIANA")</f>
        <v>ADRIANA</v>
      </c>
      <c r="C763" s="38" t="str">
        <f>IFERROR(__xludf.DUMMYFUNCTION("""COMPUTED_VALUE"""),"Belum disetujui")</f>
        <v>Belum disetujui</v>
      </c>
      <c r="D763" s="38"/>
      <c r="E763" s="38" t="s">
        <v>11433</v>
      </c>
      <c r="F763" s="38" t="s">
        <v>313</v>
      </c>
      <c r="G763" s="38" t="s">
        <v>11434</v>
      </c>
      <c r="H763" s="38" t="s">
        <v>11424</v>
      </c>
    </row>
    <row r="764">
      <c r="A764" s="37">
        <f>IFERROR(__xludf.DUMMYFUNCTION("""COMPUTED_VALUE"""),45916.755916712966)</f>
        <v>45916.75592</v>
      </c>
      <c r="B764" s="38" t="str">
        <f>IFERROR(__xludf.DUMMYFUNCTION("""COMPUTED_VALUE"""),"ADRIANA")</f>
        <v>ADRIANA</v>
      </c>
      <c r="C764" s="38" t="str">
        <f>IFERROR(__xludf.DUMMYFUNCTION("""COMPUTED_VALUE"""),"Belum disetujui")</f>
        <v>Belum disetujui</v>
      </c>
      <c r="D764" s="38"/>
      <c r="E764" s="38" t="s">
        <v>11433</v>
      </c>
      <c r="F764" s="38" t="s">
        <v>313</v>
      </c>
      <c r="G764" s="38" t="s">
        <v>11434</v>
      </c>
      <c r="H764" s="38" t="s">
        <v>11424</v>
      </c>
    </row>
    <row r="765">
      <c r="A765" s="37">
        <f>IFERROR(__xludf.DUMMYFUNCTION("""COMPUTED_VALUE"""),45916.75760121528)</f>
        <v>45916.7576</v>
      </c>
      <c r="B765" s="38" t="str">
        <f>IFERROR(__xludf.DUMMYFUNCTION("""COMPUTED_VALUE"""),"ADRIANA")</f>
        <v>ADRIANA</v>
      </c>
      <c r="C765" s="38" t="str">
        <f>IFERROR(__xludf.DUMMYFUNCTION("""COMPUTED_VALUE"""),"Belum disetujui")</f>
        <v>Belum disetujui</v>
      </c>
      <c r="D765" s="38"/>
      <c r="E765" s="38" t="s">
        <v>11433</v>
      </c>
      <c r="F765" s="38" t="s">
        <v>313</v>
      </c>
      <c r="G765" s="38" t="s">
        <v>11434</v>
      </c>
      <c r="H765" s="38" t="s">
        <v>11424</v>
      </c>
    </row>
    <row r="766">
      <c r="A766" s="37">
        <f>IFERROR(__xludf.DUMMYFUNCTION("""COMPUTED_VALUE"""),45916.75940582176)</f>
        <v>45916.75941</v>
      </c>
      <c r="B766" s="38" t="str">
        <f>IFERROR(__xludf.DUMMYFUNCTION("""COMPUTED_VALUE"""),"ADRIANA")</f>
        <v>ADRIANA</v>
      </c>
      <c r="C766" s="38" t="str">
        <f>IFERROR(__xludf.DUMMYFUNCTION("""COMPUTED_VALUE"""),"Dapat limit tapi belum diproses")</f>
        <v>Dapat limit tapi belum diproses</v>
      </c>
      <c r="D766" s="38" t="str">
        <f>IFERROR(__xludf.DUMMYFUNCTION("""COMPUTED_VALUE"""),"Y400 series")</f>
        <v>Y400 series</v>
      </c>
      <c r="E766" s="38" t="s">
        <v>11433</v>
      </c>
      <c r="F766" s="38" t="s">
        <v>313</v>
      </c>
      <c r="G766" s="38" t="s">
        <v>11434</v>
      </c>
      <c r="H766" s="38" t="s">
        <v>11424</v>
      </c>
    </row>
    <row r="767">
      <c r="A767" s="37">
        <f>IFERROR(__xludf.DUMMYFUNCTION("""COMPUTED_VALUE"""),45916.76445862268)</f>
        <v>45916.76446</v>
      </c>
      <c r="B767" s="38" t="str">
        <f>IFERROR(__xludf.DUMMYFUNCTION("""COMPUTED_VALUE"""),"ASTUTI BELA WAWO")</f>
        <v>ASTUTI BELA WAWO</v>
      </c>
      <c r="C767" s="38" t="str">
        <f>IFERROR(__xludf.DUMMYFUNCTION("""COMPUTED_VALUE"""),"ACC")</f>
        <v>ACC</v>
      </c>
      <c r="D767" s="38" t="str">
        <f>IFERROR(__xludf.DUMMYFUNCTION("""COMPUTED_VALUE"""),"Y400 series")</f>
        <v>Y400 series</v>
      </c>
      <c r="E767" s="38" t="s">
        <v>11427</v>
      </c>
      <c r="F767" s="38" t="s">
        <v>257</v>
      </c>
      <c r="G767" s="38" t="s">
        <v>11428</v>
      </c>
      <c r="H767" s="38" t="s">
        <v>11419</v>
      </c>
    </row>
    <row r="768">
      <c r="A768" s="37">
        <f>IFERROR(__xludf.DUMMYFUNCTION("""COMPUTED_VALUE"""),45916.77292559028)</f>
        <v>45916.77293</v>
      </c>
      <c r="B768" s="38" t="str">
        <f>IFERROR(__xludf.DUMMYFUNCTION("""COMPUTED_VALUE"""),"MARATHA MARLINDA FANGGIDAE")</f>
        <v>MARATHA MARLINDA FANGGIDAE</v>
      </c>
      <c r="C768" s="38" t="str">
        <f>IFERROR(__xludf.DUMMYFUNCTION("""COMPUTED_VALUE"""),"Belum disetujui")</f>
        <v>Belum disetujui</v>
      </c>
      <c r="D768" s="38"/>
      <c r="E768" s="38" t="s">
        <v>11435</v>
      </c>
      <c r="F768" s="38" t="s">
        <v>215</v>
      </c>
      <c r="G768" s="38" t="s">
        <v>11436</v>
      </c>
      <c r="H768" s="38" t="s">
        <v>11424</v>
      </c>
    </row>
    <row r="769">
      <c r="A769" s="37">
        <f>IFERROR(__xludf.DUMMYFUNCTION("""COMPUTED_VALUE"""),45916.77938101852)</f>
        <v>45916.77938</v>
      </c>
      <c r="B769" s="38" t="str">
        <f>IFERROR(__xludf.DUMMYFUNCTION("""COMPUTED_VALUE"""),"YOHANIS TIPNONI")</f>
        <v>YOHANIS TIPNONI</v>
      </c>
      <c r="C769" s="38" t="str">
        <f>IFERROR(__xludf.DUMMYFUNCTION("""COMPUTED_VALUE"""),"Dapat limit tapi belum diproses")</f>
        <v>Dapat limit tapi belum diproses</v>
      </c>
      <c r="D769" s="38" t="str">
        <f>IFERROR(__xludf.DUMMYFUNCTION("""COMPUTED_VALUE"""),"Y400 series")</f>
        <v>Y400 series</v>
      </c>
      <c r="E769" s="38" t="s">
        <v>11405</v>
      </c>
      <c r="F769" s="38" t="s">
        <v>220</v>
      </c>
      <c r="G769" s="38" t="s">
        <v>11406</v>
      </c>
      <c r="H769" s="38" t="s">
        <v>11399</v>
      </c>
    </row>
    <row r="770">
      <c r="A770" s="37">
        <f>IFERROR(__xludf.DUMMYFUNCTION("""COMPUTED_VALUE"""),45916.784450219915)</f>
        <v>45916.78445</v>
      </c>
      <c r="B770" s="38" t="str">
        <f>IFERROR(__xludf.DUMMYFUNCTION("""COMPUTED_VALUE"""),"YOHANIS TIPNONI")</f>
        <v>YOHANIS TIPNONI</v>
      </c>
      <c r="C770" s="38" t="str">
        <f>IFERROR(__xludf.DUMMYFUNCTION("""COMPUTED_VALUE"""),"Belum disetujui")</f>
        <v>Belum disetujui</v>
      </c>
      <c r="D770" s="38"/>
      <c r="E770" s="38" t="s">
        <v>11405</v>
      </c>
      <c r="F770" s="38" t="s">
        <v>220</v>
      </c>
      <c r="G770" s="38" t="s">
        <v>11406</v>
      </c>
      <c r="H770" s="38" t="s">
        <v>11399</v>
      </c>
    </row>
    <row r="771">
      <c r="A771" s="37">
        <f>IFERROR(__xludf.DUMMYFUNCTION("""COMPUTED_VALUE"""),45916.79451472222)</f>
        <v>45916.79451</v>
      </c>
      <c r="B771" s="38" t="str">
        <f>IFERROR(__xludf.DUMMYFUNCTION("""COMPUTED_VALUE"""),"BERGITHA NIA OLIN")</f>
        <v>BERGITHA NIA OLIN</v>
      </c>
      <c r="C771" s="38" t="str">
        <f>IFERROR(__xludf.DUMMYFUNCTION("""COMPUTED_VALUE"""),"Dapat limit tapi belum diproses")</f>
        <v>Dapat limit tapi belum diproses</v>
      </c>
      <c r="D771" s="38" t="str">
        <f>IFERROR(__xludf.DUMMYFUNCTION("""COMPUTED_VALUE"""),"Y400 series")</f>
        <v>Y400 series</v>
      </c>
      <c r="E771" s="38" t="s">
        <v>11431</v>
      </c>
      <c r="F771" s="38" t="s">
        <v>313</v>
      </c>
      <c r="G771" s="38" t="s">
        <v>11432</v>
      </c>
      <c r="H771" s="38" t="s">
        <v>11424</v>
      </c>
    </row>
    <row r="772">
      <c r="A772" s="37">
        <f>IFERROR(__xludf.DUMMYFUNCTION("""COMPUTED_VALUE"""),45916.79612001157)</f>
        <v>45916.79612</v>
      </c>
      <c r="B772" s="38" t="str">
        <f>IFERROR(__xludf.DUMMYFUNCTION("""COMPUTED_VALUE"""),"BERGITHA NIA OLIN")</f>
        <v>BERGITHA NIA OLIN</v>
      </c>
      <c r="C772" s="38" t="str">
        <f>IFERROR(__xludf.DUMMYFUNCTION("""COMPUTED_VALUE"""),"Belum disetujui")</f>
        <v>Belum disetujui</v>
      </c>
      <c r="D772" s="38"/>
      <c r="E772" s="38" t="s">
        <v>11431</v>
      </c>
      <c r="F772" s="38" t="s">
        <v>313</v>
      </c>
      <c r="G772" s="38" t="s">
        <v>11432</v>
      </c>
      <c r="H772" s="38" t="s">
        <v>11424</v>
      </c>
    </row>
    <row r="773">
      <c r="A773" s="37">
        <f>IFERROR(__xludf.DUMMYFUNCTION("""COMPUTED_VALUE"""),45916.801492060185)</f>
        <v>45916.80149</v>
      </c>
      <c r="B773" s="38" t="str">
        <f>IFERROR(__xludf.DUMMYFUNCTION("""COMPUTED_VALUE"""),"LINDA MELSIANA ELLO")</f>
        <v>LINDA MELSIANA ELLO</v>
      </c>
      <c r="C773" s="38" t="str">
        <f>IFERROR(__xludf.DUMMYFUNCTION("""COMPUTED_VALUE"""),"Belum disetujui")</f>
        <v>Belum disetujui</v>
      </c>
      <c r="D773" s="38"/>
      <c r="E773" s="38" t="s">
        <v>11435</v>
      </c>
      <c r="F773" s="38" t="s">
        <v>215</v>
      </c>
      <c r="G773" s="38" t="s">
        <v>11436</v>
      </c>
      <c r="H773" s="38" t="s">
        <v>11424</v>
      </c>
    </row>
    <row r="774">
      <c r="A774" s="37">
        <f>IFERROR(__xludf.DUMMYFUNCTION("""COMPUTED_VALUE"""),45916.807333171295)</f>
        <v>45916.80733</v>
      </c>
      <c r="B774" s="38" t="str">
        <f>IFERROR(__xludf.DUMMYFUNCTION("""COMPUTED_VALUE"""),"CHOIRUNISA ILHAM")</f>
        <v>CHOIRUNISA ILHAM</v>
      </c>
      <c r="C774" s="38" t="str">
        <f>IFERROR(__xludf.DUMMYFUNCTION("""COMPUTED_VALUE"""),"Belum disetujui")</f>
        <v>Belum disetujui</v>
      </c>
      <c r="D774" s="38"/>
      <c r="E774" s="38" t="s">
        <v>11404</v>
      </c>
      <c r="F774" s="38" t="s">
        <v>11404</v>
      </c>
      <c r="G774" s="38" t="s">
        <v>11404</v>
      </c>
      <c r="H774" s="38" t="s">
        <v>11404</v>
      </c>
    </row>
    <row r="775">
      <c r="A775" s="37">
        <f>IFERROR(__xludf.DUMMYFUNCTION("""COMPUTED_VALUE"""),45916.80952700231)</f>
        <v>45916.80953</v>
      </c>
      <c r="B775" s="38" t="str">
        <f>IFERROR(__xludf.DUMMYFUNCTION("""COMPUTED_VALUE"""),"LINDA MELSIANA ELLO")</f>
        <v>LINDA MELSIANA ELLO</v>
      </c>
      <c r="C775" s="38" t="str">
        <f>IFERROR(__xludf.DUMMYFUNCTION("""COMPUTED_VALUE"""),"Belum disetujui")</f>
        <v>Belum disetujui</v>
      </c>
      <c r="D775" s="38"/>
      <c r="E775" s="38" t="s">
        <v>11435</v>
      </c>
      <c r="F775" s="38" t="s">
        <v>215</v>
      </c>
      <c r="G775" s="38" t="s">
        <v>11436</v>
      </c>
      <c r="H775" s="38" t="s">
        <v>11424</v>
      </c>
    </row>
    <row r="776">
      <c r="A776" s="37">
        <f>IFERROR(__xludf.DUMMYFUNCTION("""COMPUTED_VALUE"""),45916.83643976852)</f>
        <v>45916.83644</v>
      </c>
      <c r="B776" s="38" t="str">
        <f>IFERROR(__xludf.DUMMYFUNCTION("""COMPUTED_VALUE"""),"LINDA MELSIANA ELLO")</f>
        <v>LINDA MELSIANA ELLO</v>
      </c>
      <c r="C776" s="38" t="str">
        <f>IFERROR(__xludf.DUMMYFUNCTION("""COMPUTED_VALUE"""),"Belum disetujui")</f>
        <v>Belum disetujui</v>
      </c>
      <c r="D776" s="38"/>
      <c r="E776" s="38" t="s">
        <v>11435</v>
      </c>
      <c r="F776" s="38" t="s">
        <v>215</v>
      </c>
      <c r="G776" s="38" t="s">
        <v>11436</v>
      </c>
      <c r="H776" s="38" t="s">
        <v>11424</v>
      </c>
    </row>
    <row r="777">
      <c r="A777" s="37">
        <f>IFERROR(__xludf.DUMMYFUNCTION("""COMPUTED_VALUE"""),45916.83965725695)</f>
        <v>45916.83966</v>
      </c>
      <c r="B777" s="38" t="str">
        <f>IFERROR(__xludf.DUMMYFUNCTION("""COMPUTED_VALUE"""),"IRENE NOVALIA KADJU")</f>
        <v>IRENE NOVALIA KADJU</v>
      </c>
      <c r="C777" s="38" t="str">
        <f>IFERROR(__xludf.DUMMYFUNCTION("""COMPUTED_VALUE"""),"ACC")</f>
        <v>ACC</v>
      </c>
      <c r="D777" s="38" t="str">
        <f>IFERROR(__xludf.DUMMYFUNCTION("""COMPUTED_VALUE"""),"Y400 series")</f>
        <v>Y400 series</v>
      </c>
      <c r="E777" s="38" t="s">
        <v>11445</v>
      </c>
      <c r="F777" s="38" t="s">
        <v>204</v>
      </c>
      <c r="G777" s="38" t="s">
        <v>11446</v>
      </c>
      <c r="H777" s="38" t="s">
        <v>11399</v>
      </c>
    </row>
    <row r="778">
      <c r="A778" s="37">
        <f>IFERROR(__xludf.DUMMYFUNCTION("""COMPUTED_VALUE"""),45916.860168553234)</f>
        <v>45916.86017</v>
      </c>
      <c r="B778" s="38" t="str">
        <f>IFERROR(__xludf.DUMMYFUNCTION("""COMPUTED_VALUE"""),"CHOIRUNISA ILHAM")</f>
        <v>CHOIRUNISA ILHAM</v>
      </c>
      <c r="C778" s="38" t="str">
        <f>IFERROR(__xludf.DUMMYFUNCTION("""COMPUTED_VALUE"""),"Belum disetujui")</f>
        <v>Belum disetujui</v>
      </c>
      <c r="D778" s="38"/>
      <c r="E778" s="38" t="s">
        <v>11404</v>
      </c>
      <c r="F778" s="38" t="s">
        <v>11404</v>
      </c>
      <c r="G778" s="38" t="s">
        <v>11404</v>
      </c>
      <c r="H778" s="38" t="s">
        <v>11404</v>
      </c>
    </row>
    <row r="779">
      <c r="A779" s="37">
        <f>IFERROR(__xludf.DUMMYFUNCTION("""COMPUTED_VALUE"""),45916.863017303236)</f>
        <v>45916.86302</v>
      </c>
      <c r="B779" s="38" t="str">
        <f>IFERROR(__xludf.DUMMYFUNCTION("""COMPUTED_VALUE"""),"NOVANTRY RUTHANIA NAFFIE")</f>
        <v>NOVANTRY RUTHANIA NAFFIE</v>
      </c>
      <c r="C779" s="38" t="str">
        <f>IFERROR(__xludf.DUMMYFUNCTION("""COMPUTED_VALUE"""),"Belum disetujui")</f>
        <v>Belum disetujui</v>
      </c>
      <c r="D779" s="38"/>
      <c r="E779" s="38" t="s">
        <v>11397</v>
      </c>
      <c r="F779" s="38" t="s">
        <v>220</v>
      </c>
      <c r="G779" s="38" t="s">
        <v>11398</v>
      </c>
      <c r="H779" s="38" t="s">
        <v>11399</v>
      </c>
    </row>
    <row r="780">
      <c r="A780" s="37">
        <f>IFERROR(__xludf.DUMMYFUNCTION("""COMPUTED_VALUE"""),45916.86371527778)</f>
        <v>45916.86372</v>
      </c>
      <c r="B780" s="38" t="str">
        <f>IFERROR(__xludf.DUMMYFUNCTION("""COMPUTED_VALUE"""),"YOHANIS TIPNONI")</f>
        <v>YOHANIS TIPNONI</v>
      </c>
      <c r="C780" s="38" t="str">
        <f>IFERROR(__xludf.DUMMYFUNCTION("""COMPUTED_VALUE"""),"Belum disetujui")</f>
        <v>Belum disetujui</v>
      </c>
      <c r="D780" s="38"/>
      <c r="E780" s="38" t="s">
        <v>11405</v>
      </c>
      <c r="F780" s="38" t="s">
        <v>220</v>
      </c>
      <c r="G780" s="38" t="s">
        <v>11406</v>
      </c>
      <c r="H780" s="38" t="s">
        <v>11399</v>
      </c>
    </row>
    <row r="781">
      <c r="A781" s="37">
        <f>IFERROR(__xludf.DUMMYFUNCTION("""COMPUTED_VALUE"""),45916.87011298611)</f>
        <v>45916.87011</v>
      </c>
      <c r="B781" s="38" t="str">
        <f>IFERROR(__xludf.DUMMYFUNCTION("""COMPUTED_VALUE"""),"HERONIMUS NAMU WALI")</f>
        <v>HERONIMUS NAMU WALI</v>
      </c>
      <c r="C781" s="38" t="str">
        <f>IFERROR(__xludf.DUMMYFUNCTION("""COMPUTED_VALUE"""),"ACC")</f>
        <v>ACC</v>
      </c>
      <c r="D781" s="38" t="str">
        <f>IFERROR(__xludf.DUMMYFUNCTION("""COMPUTED_VALUE"""),"Y400 series")</f>
        <v>Y400 series</v>
      </c>
      <c r="E781" s="38" t="s">
        <v>11452</v>
      </c>
      <c r="F781" s="38" t="s">
        <v>205</v>
      </c>
      <c r="G781" s="38" t="s">
        <v>11453</v>
      </c>
      <c r="H781" s="38" t="s">
        <v>11419</v>
      </c>
    </row>
    <row r="782">
      <c r="A782" s="37">
        <f>IFERROR(__xludf.DUMMYFUNCTION("""COMPUTED_VALUE"""),45916.87229)</f>
        <v>45916.87229</v>
      </c>
      <c r="B782" s="38" t="str">
        <f>IFERROR(__xludf.DUMMYFUNCTION("""COMPUTED_VALUE"""),"YOHANIS TIPNONI")</f>
        <v>YOHANIS TIPNONI</v>
      </c>
      <c r="C782" s="38" t="str">
        <f>IFERROR(__xludf.DUMMYFUNCTION("""COMPUTED_VALUE"""),"Belum disetujui")</f>
        <v>Belum disetujui</v>
      </c>
      <c r="D782" s="38"/>
      <c r="E782" s="38" t="s">
        <v>11405</v>
      </c>
      <c r="F782" s="38" t="s">
        <v>220</v>
      </c>
      <c r="G782" s="38" t="s">
        <v>11406</v>
      </c>
      <c r="H782" s="38" t="s">
        <v>11399</v>
      </c>
    </row>
    <row r="783">
      <c r="A783" s="37">
        <f>IFERROR(__xludf.DUMMYFUNCTION("""COMPUTED_VALUE"""),45917.408640601854)</f>
        <v>45917.40864</v>
      </c>
      <c r="B783" s="38" t="str">
        <f>IFERROR(__xludf.DUMMYFUNCTION("""COMPUTED_VALUE"""),"MARNITHA JUWIKE TIMORATI RUNESI")</f>
        <v>MARNITHA JUWIKE TIMORATI RUNESI</v>
      </c>
      <c r="C783" s="38" t="str">
        <f>IFERROR(__xludf.DUMMYFUNCTION("""COMPUTED_VALUE"""),"Belum disetujui")</f>
        <v>Belum disetujui</v>
      </c>
      <c r="D783" s="38"/>
      <c r="E783" s="38" t="s">
        <v>11420</v>
      </c>
      <c r="F783" s="38" t="s">
        <v>204</v>
      </c>
      <c r="G783" s="38" t="s">
        <v>11421</v>
      </c>
      <c r="H783" s="38" t="s">
        <v>11399</v>
      </c>
    </row>
    <row r="784">
      <c r="A784" s="37">
        <f>IFERROR(__xludf.DUMMYFUNCTION("""COMPUTED_VALUE"""),45917.48002098379)</f>
        <v>45917.48002</v>
      </c>
      <c r="B784" s="38" t="str">
        <f>IFERROR(__xludf.DUMMYFUNCTION("""COMPUTED_VALUE"""),"LINDA MELSIANA ELLO")</f>
        <v>LINDA MELSIANA ELLO</v>
      </c>
      <c r="C784" s="38" t="str">
        <f>IFERROR(__xludf.DUMMYFUNCTION("""COMPUTED_VALUE"""),"Dapat limit tapi belum diproses")</f>
        <v>Dapat limit tapi belum diproses</v>
      </c>
      <c r="D784" s="38" t="str">
        <f>IFERROR(__xludf.DUMMYFUNCTION("""COMPUTED_VALUE"""),"V50 Lite series")</f>
        <v>V50 Lite series</v>
      </c>
      <c r="E784" s="38" t="s">
        <v>11435</v>
      </c>
      <c r="F784" s="38" t="s">
        <v>215</v>
      </c>
      <c r="G784" s="38" t="s">
        <v>11436</v>
      </c>
      <c r="H784" s="38" t="s">
        <v>11424</v>
      </c>
    </row>
    <row r="785">
      <c r="A785" s="37">
        <f>IFERROR(__xludf.DUMMYFUNCTION("""COMPUTED_VALUE"""),45917.49438188657)</f>
        <v>45917.49438</v>
      </c>
      <c r="B785" s="38" t="str">
        <f>IFERROR(__xludf.DUMMYFUNCTION("""COMPUTED_VALUE"""),"PATRIANI MENGI ULY")</f>
        <v>PATRIANI MENGI ULY</v>
      </c>
      <c r="C785" s="38" t="str">
        <f>IFERROR(__xludf.DUMMYFUNCTION("""COMPUTED_VALUE"""),"Belum disetujui")</f>
        <v>Belum disetujui</v>
      </c>
      <c r="D785" s="38"/>
      <c r="E785" s="38" t="s">
        <v>11402</v>
      </c>
      <c r="F785" s="38" t="s">
        <v>204</v>
      </c>
      <c r="G785" s="38" t="s">
        <v>11403</v>
      </c>
      <c r="H785" s="38" t="s">
        <v>11399</v>
      </c>
    </row>
    <row r="786">
      <c r="A786" s="37">
        <f>IFERROR(__xludf.DUMMYFUNCTION("""COMPUTED_VALUE"""),45917.499525127314)</f>
        <v>45917.49953</v>
      </c>
      <c r="B786" s="38" t="str">
        <f>IFERROR(__xludf.DUMMYFUNCTION("""COMPUTED_VALUE"""),"DEWI RAHMAN")</f>
        <v>DEWI RAHMAN</v>
      </c>
      <c r="C786" s="38" t="str">
        <f>IFERROR(__xludf.DUMMYFUNCTION("""COMPUTED_VALUE"""),"Belum disetujui")</f>
        <v>Belum disetujui</v>
      </c>
      <c r="D786" s="38"/>
      <c r="E786" s="38" t="s">
        <v>11449</v>
      </c>
      <c r="F786" s="38" t="s">
        <v>11450</v>
      </c>
      <c r="G786" s="38" t="s">
        <v>11451</v>
      </c>
      <c r="H786" s="38" t="s">
        <v>11424</v>
      </c>
    </row>
    <row r="787">
      <c r="A787" s="37">
        <f>IFERROR(__xludf.DUMMYFUNCTION("""COMPUTED_VALUE"""),45917.503158784726)</f>
        <v>45917.50316</v>
      </c>
      <c r="B787" s="38" t="str">
        <f>IFERROR(__xludf.DUMMYFUNCTION("""COMPUTED_VALUE"""),"YOVANDA KATRINA NAE")</f>
        <v>YOVANDA KATRINA NAE</v>
      </c>
      <c r="C787" s="38" t="str">
        <f>IFERROR(__xludf.DUMMYFUNCTION("""COMPUTED_VALUE"""),"Belum disetujui")</f>
        <v>Belum disetujui</v>
      </c>
      <c r="D787" s="38"/>
      <c r="E787" s="38" t="s">
        <v>11425</v>
      </c>
      <c r="F787" s="38" t="s">
        <v>205</v>
      </c>
      <c r="G787" s="38" t="s">
        <v>11426</v>
      </c>
      <c r="H787" s="38" t="s">
        <v>11419</v>
      </c>
    </row>
    <row r="788">
      <c r="A788" s="37">
        <f>IFERROR(__xludf.DUMMYFUNCTION("""COMPUTED_VALUE"""),45917.50816841435)</f>
        <v>45917.50817</v>
      </c>
      <c r="B788" s="38" t="str">
        <f>IFERROR(__xludf.DUMMYFUNCTION("""COMPUTED_VALUE"""),"ADRIANA")</f>
        <v>ADRIANA</v>
      </c>
      <c r="C788" s="38" t="str">
        <f>IFERROR(__xludf.DUMMYFUNCTION("""COMPUTED_VALUE"""),"Belum disetujui")</f>
        <v>Belum disetujui</v>
      </c>
      <c r="D788" s="38"/>
      <c r="E788" s="38" t="s">
        <v>11433</v>
      </c>
      <c r="F788" s="38" t="s">
        <v>313</v>
      </c>
      <c r="G788" s="38" t="s">
        <v>11434</v>
      </c>
      <c r="H788" s="38" t="s">
        <v>11424</v>
      </c>
    </row>
    <row r="789">
      <c r="A789" s="37">
        <f>IFERROR(__xludf.DUMMYFUNCTION("""COMPUTED_VALUE"""),45917.51111359954)</f>
        <v>45917.51111</v>
      </c>
      <c r="B789" s="38" t="str">
        <f>IFERROR(__xludf.DUMMYFUNCTION("""COMPUTED_VALUE"""),"ADRIANA")</f>
        <v>ADRIANA</v>
      </c>
      <c r="C789" s="38" t="str">
        <f>IFERROR(__xludf.DUMMYFUNCTION("""COMPUTED_VALUE"""),"Belum disetujui")</f>
        <v>Belum disetujui</v>
      </c>
      <c r="D789" s="38"/>
      <c r="E789" s="38" t="s">
        <v>11433</v>
      </c>
      <c r="F789" s="38" t="s">
        <v>313</v>
      </c>
      <c r="G789" s="38" t="s">
        <v>11434</v>
      </c>
      <c r="H789" s="38" t="s">
        <v>11424</v>
      </c>
    </row>
    <row r="790">
      <c r="A790" s="37">
        <f>IFERROR(__xludf.DUMMYFUNCTION("""COMPUTED_VALUE"""),45917.518704166665)</f>
        <v>45917.5187</v>
      </c>
      <c r="B790" s="38" t="str">
        <f>IFERROR(__xludf.DUMMYFUNCTION("""COMPUTED_VALUE"""),"ADRIANA")</f>
        <v>ADRIANA</v>
      </c>
      <c r="C790" s="38" t="str">
        <f>IFERROR(__xludf.DUMMYFUNCTION("""COMPUTED_VALUE"""),"Belum disetujui")</f>
        <v>Belum disetujui</v>
      </c>
      <c r="D790" s="38"/>
      <c r="E790" s="38" t="s">
        <v>11433</v>
      </c>
      <c r="F790" s="38" t="s">
        <v>313</v>
      </c>
      <c r="G790" s="38" t="s">
        <v>11434</v>
      </c>
      <c r="H790" s="38" t="s">
        <v>11424</v>
      </c>
    </row>
    <row r="791">
      <c r="A791" s="37">
        <f>IFERROR(__xludf.DUMMYFUNCTION("""COMPUTED_VALUE"""),45917.536819375)</f>
        <v>45917.53682</v>
      </c>
      <c r="B791" s="38" t="str">
        <f>IFERROR(__xludf.DUMMYFUNCTION("""COMPUTED_VALUE"""),"YOHANIS TIPNONI")</f>
        <v>YOHANIS TIPNONI</v>
      </c>
      <c r="C791" s="38" t="str">
        <f>IFERROR(__xludf.DUMMYFUNCTION("""COMPUTED_VALUE"""),"Belum disetujui")</f>
        <v>Belum disetujui</v>
      </c>
      <c r="D791" s="38"/>
      <c r="E791" s="38" t="s">
        <v>11405</v>
      </c>
      <c r="F791" s="38" t="s">
        <v>220</v>
      </c>
      <c r="G791" s="38" t="s">
        <v>11406</v>
      </c>
      <c r="H791" s="38" t="s">
        <v>11399</v>
      </c>
    </row>
    <row r="792">
      <c r="A792" s="37">
        <f>IFERROR(__xludf.DUMMYFUNCTION("""COMPUTED_VALUE"""),45917.54074167824)</f>
        <v>45917.54074</v>
      </c>
      <c r="B792" s="38" t="str">
        <f>IFERROR(__xludf.DUMMYFUNCTION("""COMPUTED_VALUE"""),"NOVANTRY RUTHANIA NAFFIE")</f>
        <v>NOVANTRY RUTHANIA NAFFIE</v>
      </c>
      <c r="C792" s="38" t="str">
        <f>IFERROR(__xludf.DUMMYFUNCTION("""COMPUTED_VALUE"""),"Belum disetujui")</f>
        <v>Belum disetujui</v>
      </c>
      <c r="D792" s="38"/>
      <c r="E792" s="38" t="s">
        <v>11397</v>
      </c>
      <c r="F792" s="38" t="s">
        <v>220</v>
      </c>
      <c r="G792" s="38" t="s">
        <v>11398</v>
      </c>
      <c r="H792" s="38" t="s">
        <v>11399</v>
      </c>
    </row>
    <row r="793">
      <c r="A793" s="37">
        <f>IFERROR(__xludf.DUMMYFUNCTION("""COMPUTED_VALUE"""),45917.54279681713)</f>
        <v>45917.5428</v>
      </c>
      <c r="B793" s="38" t="str">
        <f>IFERROR(__xludf.DUMMYFUNCTION("""COMPUTED_VALUE"""),"DEMARISTI S H FENI")</f>
        <v>DEMARISTI S H FENI</v>
      </c>
      <c r="C793" s="38" t="str">
        <f>IFERROR(__xludf.DUMMYFUNCTION("""COMPUTED_VALUE"""),"Belum disetujui")</f>
        <v>Belum disetujui</v>
      </c>
      <c r="D793" s="38"/>
      <c r="E793" s="38" t="s">
        <v>11404</v>
      </c>
      <c r="F793" s="38" t="s">
        <v>11404</v>
      </c>
      <c r="G793" s="38" t="s">
        <v>11404</v>
      </c>
      <c r="H793" s="38" t="s">
        <v>11404</v>
      </c>
    </row>
    <row r="794">
      <c r="A794" s="37">
        <f>IFERROR(__xludf.DUMMYFUNCTION("""COMPUTED_VALUE"""),45917.543771944445)</f>
        <v>45917.54377</v>
      </c>
      <c r="B794" s="38" t="str">
        <f>IFERROR(__xludf.DUMMYFUNCTION("""COMPUTED_VALUE"""),"YOHANA NOVIANA MARIANA GAA")</f>
        <v>YOHANA NOVIANA MARIANA GAA</v>
      </c>
      <c r="C794" s="38" t="str">
        <f>IFERROR(__xludf.DUMMYFUNCTION("""COMPUTED_VALUE"""),"Belum disetujui")</f>
        <v>Belum disetujui</v>
      </c>
      <c r="D794" s="38"/>
      <c r="E794" s="38" t="s">
        <v>11400</v>
      </c>
      <c r="F794" s="38" t="s">
        <v>204</v>
      </c>
      <c r="G794" s="38" t="s">
        <v>11401</v>
      </c>
      <c r="H794" s="38" t="s">
        <v>11399</v>
      </c>
    </row>
    <row r="795">
      <c r="A795" s="37">
        <f>IFERROR(__xludf.DUMMYFUNCTION("""COMPUTED_VALUE"""),45917.6276827199)</f>
        <v>45917.62768</v>
      </c>
      <c r="B795" s="38" t="str">
        <f>IFERROR(__xludf.DUMMYFUNCTION("""COMPUTED_VALUE"""),"AZ ZAHRA SITI ZAINAB")</f>
        <v>AZ ZAHRA SITI ZAINAB</v>
      </c>
      <c r="C795" s="38" t="str">
        <f>IFERROR(__xludf.DUMMYFUNCTION("""COMPUTED_VALUE"""),"ACC")</f>
        <v>ACC</v>
      </c>
      <c r="D795" s="38" t="str">
        <f>IFERROR(__xludf.DUMMYFUNCTION("""COMPUTED_VALUE"""),"Y400 series")</f>
        <v>Y400 series</v>
      </c>
      <c r="E795" s="38" t="s">
        <v>11462</v>
      </c>
      <c r="F795" s="38" t="s">
        <v>257</v>
      </c>
      <c r="G795" s="38" t="s">
        <v>11463</v>
      </c>
      <c r="H795" s="38" t="s">
        <v>11419</v>
      </c>
    </row>
    <row r="796">
      <c r="A796" s="37">
        <f>IFERROR(__xludf.DUMMYFUNCTION("""COMPUTED_VALUE"""),45917.67350950231)</f>
        <v>45917.67351</v>
      </c>
      <c r="B796" s="38" t="str">
        <f>IFERROR(__xludf.DUMMYFUNCTION("""COMPUTED_VALUE"""),"ASRI NINGSI RAMBU ATA ENDI")</f>
        <v>ASRI NINGSI RAMBU ATA ENDI</v>
      </c>
      <c r="C796" s="38" t="str">
        <f>IFERROR(__xludf.DUMMYFUNCTION("""COMPUTED_VALUE"""),"ACC")</f>
        <v>ACC</v>
      </c>
      <c r="D796" s="38" t="str">
        <f>IFERROR(__xludf.DUMMYFUNCTION("""COMPUTED_VALUE"""),"Y400 series")</f>
        <v>Y400 series</v>
      </c>
      <c r="E796" s="38" t="s">
        <v>11441</v>
      </c>
      <c r="F796" s="38" t="s">
        <v>205</v>
      </c>
      <c r="G796" s="38" t="s">
        <v>11442</v>
      </c>
      <c r="H796" s="38" t="s">
        <v>11419</v>
      </c>
    </row>
    <row r="797">
      <c r="A797" s="37">
        <f>IFERROR(__xludf.DUMMYFUNCTION("""COMPUTED_VALUE"""),45917.68768108797)</f>
        <v>45917.68768</v>
      </c>
      <c r="B797" s="38" t="str">
        <f>IFERROR(__xludf.DUMMYFUNCTION("""COMPUTED_VALUE"""),"CHOIRUNISA ILHAM")</f>
        <v>CHOIRUNISA ILHAM</v>
      </c>
      <c r="C797" s="38" t="str">
        <f>IFERROR(__xludf.DUMMYFUNCTION("""COMPUTED_VALUE"""),"Belum disetujui")</f>
        <v>Belum disetujui</v>
      </c>
      <c r="D797" s="38"/>
      <c r="E797" s="38" t="s">
        <v>11404</v>
      </c>
      <c r="F797" s="38" t="s">
        <v>11404</v>
      </c>
      <c r="G797" s="38" t="s">
        <v>11404</v>
      </c>
      <c r="H797" s="38" t="s">
        <v>11404</v>
      </c>
    </row>
    <row r="798">
      <c r="A798" s="37">
        <f>IFERROR(__xludf.DUMMYFUNCTION("""COMPUTED_VALUE"""),45917.690967152776)</f>
        <v>45917.69097</v>
      </c>
      <c r="B798" s="38" t="str">
        <f>IFERROR(__xludf.DUMMYFUNCTION("""COMPUTED_VALUE"""),"CHOIRUNISA ILHAM")</f>
        <v>CHOIRUNISA ILHAM</v>
      </c>
      <c r="C798" s="38" t="str">
        <f>IFERROR(__xludf.DUMMYFUNCTION("""COMPUTED_VALUE"""),"ACC")</f>
        <v>ACC</v>
      </c>
      <c r="D798" s="38" t="str">
        <f>IFERROR(__xludf.DUMMYFUNCTION("""COMPUTED_VALUE"""),"Y400 series")</f>
        <v>Y400 series</v>
      </c>
      <c r="E798" s="38" t="s">
        <v>11404</v>
      </c>
      <c r="F798" s="38" t="s">
        <v>11404</v>
      </c>
      <c r="G798" s="38" t="s">
        <v>11404</v>
      </c>
      <c r="H798" s="38" t="s">
        <v>11404</v>
      </c>
    </row>
    <row r="799">
      <c r="A799" s="37">
        <f>IFERROR(__xludf.DUMMYFUNCTION("""COMPUTED_VALUE"""),45917.69508090278)</f>
        <v>45917.69508</v>
      </c>
      <c r="B799" s="38" t="str">
        <f>IFERROR(__xludf.DUMMYFUNCTION("""COMPUTED_VALUE"""),"SANTI MARIA LUKMINI NAHAK")</f>
        <v>SANTI MARIA LUKMINI NAHAK</v>
      </c>
      <c r="C799" s="38" t="str">
        <f>IFERROR(__xludf.DUMMYFUNCTION("""COMPUTED_VALUE"""),"Belum disetujui")</f>
        <v>Belum disetujui</v>
      </c>
      <c r="D799" s="38"/>
      <c r="E799" s="38" t="s">
        <v>11460</v>
      </c>
      <c r="F799" s="38" t="s">
        <v>871</v>
      </c>
      <c r="G799" s="38" t="s">
        <v>11461</v>
      </c>
      <c r="H799" s="38" t="s">
        <v>11424</v>
      </c>
    </row>
    <row r="800">
      <c r="A800" s="37">
        <f>IFERROR(__xludf.DUMMYFUNCTION("""COMPUTED_VALUE"""),45917.70737293981)</f>
        <v>45917.70737</v>
      </c>
      <c r="B800" s="38" t="str">
        <f>IFERROR(__xludf.DUMMYFUNCTION("""COMPUTED_VALUE"""),"MERDA PUTRI BUNGSU KENAT")</f>
        <v>MERDA PUTRI BUNGSU KENAT</v>
      </c>
      <c r="C800" s="38" t="str">
        <f>IFERROR(__xludf.DUMMYFUNCTION("""COMPUTED_VALUE"""),"Belum disetujui")</f>
        <v>Belum disetujui</v>
      </c>
      <c r="D800" s="38"/>
      <c r="E800" s="38" t="s">
        <v>11422</v>
      </c>
      <c r="F800" s="38" t="s">
        <v>215</v>
      </c>
      <c r="G800" s="38" t="s">
        <v>11423</v>
      </c>
      <c r="H800" s="38" t="s">
        <v>11424</v>
      </c>
    </row>
    <row r="801">
      <c r="A801" s="37">
        <f>IFERROR(__xludf.DUMMYFUNCTION("""COMPUTED_VALUE"""),45917.71711543982)</f>
        <v>45917.71712</v>
      </c>
      <c r="B801" s="38" t="str">
        <f>IFERROR(__xludf.DUMMYFUNCTION("""COMPUTED_VALUE"""),"BERGITHA NIA OLIN")</f>
        <v>BERGITHA NIA OLIN</v>
      </c>
      <c r="C801" s="38" t="str">
        <f>IFERROR(__xludf.DUMMYFUNCTION("""COMPUTED_VALUE"""),"Belum disetujui")</f>
        <v>Belum disetujui</v>
      </c>
      <c r="D801" s="38"/>
      <c r="E801" s="38" t="s">
        <v>11431</v>
      </c>
      <c r="F801" s="38" t="s">
        <v>313</v>
      </c>
      <c r="G801" s="38" t="s">
        <v>11432</v>
      </c>
      <c r="H801" s="38" t="s">
        <v>11424</v>
      </c>
    </row>
    <row r="802">
      <c r="A802" s="37">
        <f>IFERROR(__xludf.DUMMYFUNCTION("""COMPUTED_VALUE"""),45917.718646064815)</f>
        <v>45917.71865</v>
      </c>
      <c r="B802" s="38" t="str">
        <f>IFERROR(__xludf.DUMMYFUNCTION("""COMPUTED_VALUE"""),"NUR FATIMAH MOLBANG")</f>
        <v>NUR FATIMAH MOLBANG</v>
      </c>
      <c r="C802" s="38" t="str">
        <f>IFERROR(__xludf.DUMMYFUNCTION("""COMPUTED_VALUE"""),"Belum disetujui")</f>
        <v>Belum disetujui</v>
      </c>
      <c r="D802" s="38"/>
      <c r="E802" s="38" t="s">
        <v>11439</v>
      </c>
      <c r="F802" s="38" t="s">
        <v>313</v>
      </c>
      <c r="G802" s="38" t="s">
        <v>11440</v>
      </c>
      <c r="H802" s="38" t="s">
        <v>11424</v>
      </c>
    </row>
    <row r="803">
      <c r="A803" s="37">
        <f>IFERROR(__xludf.DUMMYFUNCTION("""COMPUTED_VALUE"""),45917.722362141205)</f>
        <v>45917.72236</v>
      </c>
      <c r="B803" s="38" t="str">
        <f>IFERROR(__xludf.DUMMYFUNCTION("""COMPUTED_VALUE"""),"BERGITHA NIA OLIN")</f>
        <v>BERGITHA NIA OLIN</v>
      </c>
      <c r="C803" s="38" t="str">
        <f>IFERROR(__xludf.DUMMYFUNCTION("""COMPUTED_VALUE"""),"Belum disetujui")</f>
        <v>Belum disetujui</v>
      </c>
      <c r="D803" s="38"/>
      <c r="E803" s="38" t="s">
        <v>11431</v>
      </c>
      <c r="F803" s="38" t="s">
        <v>313</v>
      </c>
      <c r="G803" s="38" t="s">
        <v>11432</v>
      </c>
      <c r="H803" s="38" t="s">
        <v>11424</v>
      </c>
    </row>
    <row r="804">
      <c r="A804" s="37">
        <f>IFERROR(__xludf.DUMMYFUNCTION("""COMPUTED_VALUE"""),45917.727589907416)</f>
        <v>45917.72759</v>
      </c>
      <c r="B804" s="38" t="str">
        <f>IFERROR(__xludf.DUMMYFUNCTION("""COMPUTED_VALUE"""),"CHOIRUNISA ILHAM")</f>
        <v>CHOIRUNISA ILHAM</v>
      </c>
      <c r="C804" s="38" t="str">
        <f>IFERROR(__xludf.DUMMYFUNCTION("""COMPUTED_VALUE"""),"Belum disetujui")</f>
        <v>Belum disetujui</v>
      </c>
      <c r="D804" s="38"/>
      <c r="E804" s="38" t="s">
        <v>11404</v>
      </c>
      <c r="F804" s="38" t="s">
        <v>11404</v>
      </c>
      <c r="G804" s="38" t="s">
        <v>11404</v>
      </c>
      <c r="H804" s="38" t="s">
        <v>11404</v>
      </c>
    </row>
    <row r="805">
      <c r="A805" s="37">
        <f>IFERROR(__xludf.DUMMYFUNCTION("""COMPUTED_VALUE"""),45917.74897854167)</f>
        <v>45917.74898</v>
      </c>
      <c r="B805" s="38" t="str">
        <f>IFERROR(__xludf.DUMMYFUNCTION("""COMPUTED_VALUE"""),"MARATHA MARLINDA FANGGIDAE")</f>
        <v>MARATHA MARLINDA FANGGIDAE</v>
      </c>
      <c r="C805" s="38" t="str">
        <f>IFERROR(__xludf.DUMMYFUNCTION("""COMPUTED_VALUE"""),"Dapat limit tapi belum diproses")</f>
        <v>Dapat limit tapi belum diproses</v>
      </c>
      <c r="D805" s="38" t="str">
        <f>IFERROR(__xludf.DUMMYFUNCTION("""COMPUTED_VALUE"""),"V50 Lite series")</f>
        <v>V50 Lite series</v>
      </c>
      <c r="E805" s="38" t="s">
        <v>11435</v>
      </c>
      <c r="F805" s="38" t="s">
        <v>215</v>
      </c>
      <c r="G805" s="38" t="s">
        <v>11436</v>
      </c>
      <c r="H805" s="38" t="s">
        <v>11424</v>
      </c>
    </row>
    <row r="806">
      <c r="A806" s="37">
        <f>IFERROR(__xludf.DUMMYFUNCTION("""COMPUTED_VALUE"""),45917.74973565972)</f>
        <v>45917.74974</v>
      </c>
      <c r="B806" s="38" t="str">
        <f>IFERROR(__xludf.DUMMYFUNCTION("""COMPUTED_VALUE"""),"ANITA ANA AMAH")</f>
        <v>ANITA ANA AMAH</v>
      </c>
      <c r="C806" s="38" t="str">
        <f>IFERROR(__xludf.DUMMYFUNCTION("""COMPUTED_VALUE"""),"Belum disetujui")</f>
        <v>Belum disetujui</v>
      </c>
      <c r="D806" s="38"/>
      <c r="E806" s="38" t="s">
        <v>11425</v>
      </c>
      <c r="F806" s="38" t="s">
        <v>205</v>
      </c>
      <c r="G806" s="38" t="s">
        <v>11426</v>
      </c>
      <c r="H806" s="38" t="s">
        <v>11419</v>
      </c>
    </row>
    <row r="807">
      <c r="A807" s="37">
        <f>IFERROR(__xludf.DUMMYFUNCTION("""COMPUTED_VALUE"""),45917.76783631944)</f>
        <v>45917.76784</v>
      </c>
      <c r="B807" s="38" t="str">
        <f>IFERROR(__xludf.DUMMYFUNCTION("""COMPUTED_VALUE"""),"ALDIANA WELIA PANIE")</f>
        <v>ALDIANA WELIA PANIE</v>
      </c>
      <c r="C807" s="38" t="str">
        <f>IFERROR(__xludf.DUMMYFUNCTION("""COMPUTED_VALUE"""),"Belum disetujui")</f>
        <v>Belum disetujui</v>
      </c>
      <c r="D807" s="38"/>
      <c r="E807" s="38" t="s">
        <v>11422</v>
      </c>
      <c r="F807" s="38" t="s">
        <v>215</v>
      </c>
      <c r="G807" s="38" t="s">
        <v>11423</v>
      </c>
      <c r="H807" s="38" t="s">
        <v>11424</v>
      </c>
    </row>
    <row r="808">
      <c r="A808" s="37">
        <f>IFERROR(__xludf.DUMMYFUNCTION("""COMPUTED_VALUE"""),45917.77302901621)</f>
        <v>45917.77303</v>
      </c>
      <c r="B808" s="38" t="str">
        <f>IFERROR(__xludf.DUMMYFUNCTION("""COMPUTED_VALUE"""),"CHOIRUNISA ILHAM")</f>
        <v>CHOIRUNISA ILHAM</v>
      </c>
      <c r="C808" s="38" t="str">
        <f>IFERROR(__xludf.DUMMYFUNCTION("""COMPUTED_VALUE"""),"Dapat limit tapi belum diproses")</f>
        <v>Dapat limit tapi belum diproses</v>
      </c>
      <c r="D808" s="38" t="str">
        <f>IFERROR(__xludf.DUMMYFUNCTION("""COMPUTED_VALUE"""),"V50 Lite series")</f>
        <v>V50 Lite series</v>
      </c>
      <c r="E808" s="38" t="s">
        <v>11404</v>
      </c>
      <c r="F808" s="38" t="s">
        <v>11404</v>
      </c>
      <c r="G808" s="38" t="s">
        <v>11404</v>
      </c>
      <c r="H808" s="38" t="s">
        <v>11404</v>
      </c>
    </row>
    <row r="809">
      <c r="A809" s="37">
        <f>IFERROR(__xludf.DUMMYFUNCTION("""COMPUTED_VALUE"""),45917.78013328704)</f>
        <v>45917.78013</v>
      </c>
      <c r="B809" s="38" t="str">
        <f>IFERROR(__xludf.DUMMYFUNCTION("""COMPUTED_VALUE"""),"TERSIANA KADJA PAU")</f>
        <v>TERSIANA KADJA PAU</v>
      </c>
      <c r="C809" s="38" t="str">
        <f>IFERROR(__xludf.DUMMYFUNCTION("""COMPUTED_VALUE"""),"Belum disetujui")</f>
        <v>Belum disetujui</v>
      </c>
      <c r="D809" s="38"/>
      <c r="E809" s="38" t="s">
        <v>11411</v>
      </c>
      <c r="F809" s="38" t="s">
        <v>220</v>
      </c>
      <c r="G809" s="38" t="s">
        <v>11412</v>
      </c>
      <c r="H809" s="38" t="s">
        <v>11399</v>
      </c>
    </row>
    <row r="810">
      <c r="A810" s="37">
        <f>IFERROR(__xludf.DUMMYFUNCTION("""COMPUTED_VALUE"""),45917.78524300926)</f>
        <v>45917.78524</v>
      </c>
      <c r="B810" s="38" t="str">
        <f>IFERROR(__xludf.DUMMYFUNCTION("""COMPUTED_VALUE"""),"IRENE NOVALIA KADJU")</f>
        <v>IRENE NOVALIA KADJU</v>
      </c>
      <c r="C810" s="38" t="str">
        <f>IFERROR(__xludf.DUMMYFUNCTION("""COMPUTED_VALUE"""),"ACC")</f>
        <v>ACC</v>
      </c>
      <c r="D810" s="38" t="str">
        <f>IFERROR(__xludf.DUMMYFUNCTION("""COMPUTED_VALUE"""),"Y400 series")</f>
        <v>Y400 series</v>
      </c>
      <c r="E810" s="38" t="s">
        <v>11445</v>
      </c>
      <c r="F810" s="38" t="s">
        <v>204</v>
      </c>
      <c r="G810" s="38" t="s">
        <v>11446</v>
      </c>
      <c r="H810" s="38" t="s">
        <v>11399</v>
      </c>
    </row>
    <row r="811">
      <c r="A811" s="37">
        <f>IFERROR(__xludf.DUMMYFUNCTION("""COMPUTED_VALUE"""),45917.82424190972)</f>
        <v>45917.82424</v>
      </c>
      <c r="B811" s="38" t="str">
        <f>IFERROR(__xludf.DUMMYFUNCTION("""COMPUTED_VALUE"""),"ASRI NINGSI RAMBU ATA ENDI")</f>
        <v>ASRI NINGSI RAMBU ATA ENDI</v>
      </c>
      <c r="C811" s="38" t="str">
        <f>IFERROR(__xludf.DUMMYFUNCTION("""COMPUTED_VALUE"""),"Belum disetujui")</f>
        <v>Belum disetujui</v>
      </c>
      <c r="D811" s="38"/>
      <c r="E811" s="38" t="s">
        <v>11441</v>
      </c>
      <c r="F811" s="38" t="s">
        <v>205</v>
      </c>
      <c r="G811" s="38" t="s">
        <v>11442</v>
      </c>
      <c r="H811" s="38" t="s">
        <v>11419</v>
      </c>
    </row>
    <row r="812">
      <c r="A812" s="37">
        <f>IFERROR(__xludf.DUMMYFUNCTION("""COMPUTED_VALUE"""),45917.84819815972)</f>
        <v>45917.8482</v>
      </c>
      <c r="B812" s="38" t="str">
        <f>IFERROR(__xludf.DUMMYFUNCTION("""COMPUTED_VALUE"""),"HERONIMUS NAMU WALI")</f>
        <v>HERONIMUS NAMU WALI</v>
      </c>
      <c r="C812" s="38" t="str">
        <f>IFERROR(__xludf.DUMMYFUNCTION("""COMPUTED_VALUE"""),"Belum disetujui")</f>
        <v>Belum disetujui</v>
      </c>
      <c r="D812" s="38"/>
      <c r="E812" s="38" t="s">
        <v>11452</v>
      </c>
      <c r="F812" s="38" t="s">
        <v>205</v>
      </c>
      <c r="G812" s="38" t="s">
        <v>11453</v>
      </c>
      <c r="H812" s="38" t="s">
        <v>11419</v>
      </c>
    </row>
    <row r="813">
      <c r="A813" s="37">
        <f>IFERROR(__xludf.DUMMYFUNCTION("""COMPUTED_VALUE"""),45917.861877731484)</f>
        <v>45917.86188</v>
      </c>
      <c r="B813" s="38" t="str">
        <f>IFERROR(__xludf.DUMMYFUNCTION("""COMPUTED_VALUE"""),"YOHANIS TIPNONI")</f>
        <v>YOHANIS TIPNONI</v>
      </c>
      <c r="C813" s="38" t="str">
        <f>IFERROR(__xludf.DUMMYFUNCTION("""COMPUTED_VALUE"""),"Belum disetujui")</f>
        <v>Belum disetujui</v>
      </c>
      <c r="D813" s="38"/>
      <c r="E813" s="38" t="s">
        <v>11405</v>
      </c>
      <c r="F813" s="38" t="s">
        <v>220</v>
      </c>
      <c r="G813" s="38" t="s">
        <v>11406</v>
      </c>
      <c r="H813" s="38" t="s">
        <v>11399</v>
      </c>
    </row>
    <row r="814">
      <c r="A814" s="37">
        <f>IFERROR(__xludf.DUMMYFUNCTION("""COMPUTED_VALUE"""),45917.865074814814)</f>
        <v>45917.86507</v>
      </c>
      <c r="B814" s="38" t="str">
        <f>IFERROR(__xludf.DUMMYFUNCTION("""COMPUTED_VALUE"""),"ALDIANA WELIA PANIE")</f>
        <v>ALDIANA WELIA PANIE</v>
      </c>
      <c r="C814" s="38" t="str">
        <f>IFERROR(__xludf.DUMMYFUNCTION("""COMPUTED_VALUE"""),"Dapat limit tapi belum diproses")</f>
        <v>Dapat limit tapi belum diproses</v>
      </c>
      <c r="D814" s="38" t="str">
        <f>IFERROR(__xludf.DUMMYFUNCTION("""COMPUTED_VALUE"""),"Y400 series")</f>
        <v>Y400 series</v>
      </c>
      <c r="E814" s="38" t="s">
        <v>11422</v>
      </c>
      <c r="F814" s="38" t="s">
        <v>215</v>
      </c>
      <c r="G814" s="38" t="s">
        <v>11423</v>
      </c>
      <c r="H814" s="38" t="s">
        <v>11424</v>
      </c>
    </row>
    <row r="815">
      <c r="A815" s="37">
        <f>IFERROR(__xludf.DUMMYFUNCTION("""COMPUTED_VALUE"""),45917.86714422454)</f>
        <v>45917.86714</v>
      </c>
      <c r="B815" s="38" t="str">
        <f>IFERROR(__xludf.DUMMYFUNCTION("""COMPUTED_VALUE"""),"ESTER LUDJI")</f>
        <v>ESTER LUDJI</v>
      </c>
      <c r="C815" s="38" t="str">
        <f>IFERROR(__xludf.DUMMYFUNCTION("""COMPUTED_VALUE"""),"ACC")</f>
        <v>ACC</v>
      </c>
      <c r="D815" s="38" t="str">
        <f>IFERROR(__xludf.DUMMYFUNCTION("""COMPUTED_VALUE"""),"V50 Lite series")</f>
        <v>V50 Lite series</v>
      </c>
      <c r="E815" s="38" t="s">
        <v>11441</v>
      </c>
      <c r="F815" s="38" t="s">
        <v>205</v>
      </c>
      <c r="G815" s="38" t="s">
        <v>11442</v>
      </c>
      <c r="H815" s="38" t="s">
        <v>11419</v>
      </c>
    </row>
    <row r="816">
      <c r="A816" s="37">
        <f>IFERROR(__xludf.DUMMYFUNCTION("""COMPUTED_VALUE"""),45918.45317422453)</f>
        <v>45918.45317</v>
      </c>
      <c r="B816" s="38" t="str">
        <f>IFERROR(__xludf.DUMMYFUNCTION("""COMPUTED_VALUE"""),"MARIA MELAN ANANCE BILI")</f>
        <v>MARIA MELAN ANANCE BILI</v>
      </c>
      <c r="C816" s="38" t="str">
        <f>IFERROR(__xludf.DUMMYFUNCTION("""COMPUTED_VALUE"""),"Belum disetujui")</f>
        <v>Belum disetujui</v>
      </c>
      <c r="D816" s="38"/>
      <c r="E816" s="38" t="s">
        <v>11466</v>
      </c>
      <c r="F816" s="38" t="s">
        <v>257</v>
      </c>
      <c r="G816" s="38" t="s">
        <v>11467</v>
      </c>
      <c r="H816" s="38" t="s">
        <v>11419</v>
      </c>
    </row>
    <row r="817">
      <c r="A817" s="37">
        <f>IFERROR(__xludf.DUMMYFUNCTION("""COMPUTED_VALUE"""),45918.47552798611)</f>
        <v>45918.47553</v>
      </c>
      <c r="B817" s="38" t="str">
        <f>IFERROR(__xludf.DUMMYFUNCTION("""COMPUTED_VALUE"""),"NOVANTRY RUTHANIA NAFFIE")</f>
        <v>NOVANTRY RUTHANIA NAFFIE</v>
      </c>
      <c r="C817" s="38" t="str">
        <f>IFERROR(__xludf.DUMMYFUNCTION("""COMPUTED_VALUE"""),"Belum disetujui")</f>
        <v>Belum disetujui</v>
      </c>
      <c r="D817" s="38"/>
      <c r="E817" s="38" t="s">
        <v>11397</v>
      </c>
      <c r="F817" s="38" t="s">
        <v>220</v>
      </c>
      <c r="G817" s="38" t="s">
        <v>11398</v>
      </c>
      <c r="H817" s="38" t="s">
        <v>11399</v>
      </c>
    </row>
    <row r="818">
      <c r="A818" s="37">
        <f>IFERROR(__xludf.DUMMYFUNCTION("""COMPUTED_VALUE"""),45918.48346806713)</f>
        <v>45918.48347</v>
      </c>
      <c r="B818" s="38" t="str">
        <f>IFERROR(__xludf.DUMMYFUNCTION("""COMPUTED_VALUE"""),"AINI RAHMATINI NATALIA MOESTAKIM")</f>
        <v>AINI RAHMATINI NATALIA MOESTAKIM</v>
      </c>
      <c r="C818" s="38" t="str">
        <f>IFERROR(__xludf.DUMMYFUNCTION("""COMPUTED_VALUE"""),"Dapat limit tapi belum diproses")</f>
        <v>Dapat limit tapi belum diproses</v>
      </c>
      <c r="D818" s="38" t="str">
        <f>IFERROR(__xludf.DUMMYFUNCTION("""COMPUTED_VALUE"""),"Y400 series")</f>
        <v>Y400 series</v>
      </c>
      <c r="E818" s="38" t="s">
        <v>11409</v>
      </c>
      <c r="F818" s="38" t="s">
        <v>204</v>
      </c>
      <c r="G818" s="38" t="s">
        <v>11410</v>
      </c>
      <c r="H818" s="38" t="s">
        <v>11399</v>
      </c>
    </row>
    <row r="819">
      <c r="A819" s="37">
        <f>IFERROR(__xludf.DUMMYFUNCTION("""COMPUTED_VALUE"""),45918.50118260417)</f>
        <v>45918.50118</v>
      </c>
      <c r="B819" s="38" t="str">
        <f>IFERROR(__xludf.DUMMYFUNCTION("""COMPUTED_VALUE"""),"NOVANTRY RUTHANIA NAFFIE")</f>
        <v>NOVANTRY RUTHANIA NAFFIE</v>
      </c>
      <c r="C819" s="38" t="str">
        <f>IFERROR(__xludf.DUMMYFUNCTION("""COMPUTED_VALUE"""),"Belum disetujui")</f>
        <v>Belum disetujui</v>
      </c>
      <c r="D819" s="38"/>
      <c r="E819" s="38" t="s">
        <v>11397</v>
      </c>
      <c r="F819" s="38" t="s">
        <v>220</v>
      </c>
      <c r="G819" s="38" t="s">
        <v>11398</v>
      </c>
      <c r="H819" s="38" t="s">
        <v>11399</v>
      </c>
    </row>
    <row r="820">
      <c r="A820" s="37">
        <f>IFERROR(__xludf.DUMMYFUNCTION("""COMPUTED_VALUE"""),45918.50795391204)</f>
        <v>45918.50795</v>
      </c>
      <c r="B820" s="38" t="str">
        <f>IFERROR(__xludf.DUMMYFUNCTION("""COMPUTED_VALUE"""),"AMBU BAIQ JUMENAH")</f>
        <v>AMBU BAIQ JUMENAH</v>
      </c>
      <c r="C820" s="38" t="str">
        <f>IFERROR(__xludf.DUMMYFUNCTION("""COMPUTED_VALUE"""),"Belum disetujui")</f>
        <v>Belum disetujui</v>
      </c>
      <c r="D820" s="38"/>
      <c r="E820" s="38" t="s">
        <v>11458</v>
      </c>
      <c r="F820" s="38" t="s">
        <v>205</v>
      </c>
      <c r="G820" s="38" t="s">
        <v>11459</v>
      </c>
      <c r="H820" s="38" t="s">
        <v>11419</v>
      </c>
    </row>
    <row r="821">
      <c r="A821" s="37">
        <f>IFERROR(__xludf.DUMMYFUNCTION("""COMPUTED_VALUE"""),45918.51825582176)</f>
        <v>45918.51826</v>
      </c>
      <c r="B821" s="38" t="str">
        <f>IFERROR(__xludf.DUMMYFUNCTION("""COMPUTED_VALUE"""),"YEREMIAS MBAWA KANJAPI")</f>
        <v>YEREMIAS MBAWA KANJAPI</v>
      </c>
      <c r="C821" s="38" t="str">
        <f>IFERROR(__xludf.DUMMYFUNCTION("""COMPUTED_VALUE"""),"Dapat limit tapi belum diproses")</f>
        <v>Dapat limit tapi belum diproses</v>
      </c>
      <c r="D821" s="38" t="str">
        <f>IFERROR(__xludf.DUMMYFUNCTION("""COMPUTED_VALUE"""),"V50 Lite series")</f>
        <v>V50 Lite series</v>
      </c>
      <c r="E821" s="38" t="s">
        <v>11447</v>
      </c>
      <c r="F821" s="38" t="s">
        <v>205</v>
      </c>
      <c r="G821" s="38" t="s">
        <v>11448</v>
      </c>
      <c r="H821" s="38" t="s">
        <v>11419</v>
      </c>
    </row>
    <row r="822">
      <c r="A822" s="37">
        <f>IFERROR(__xludf.DUMMYFUNCTION("""COMPUTED_VALUE"""),45918.51956533565)</f>
        <v>45918.51957</v>
      </c>
      <c r="B822" s="38" t="str">
        <f>IFERROR(__xludf.DUMMYFUNCTION("""COMPUTED_VALUE"""),"PUSPA ANGGREINI")</f>
        <v>PUSPA ANGGREINI</v>
      </c>
      <c r="C822" s="38" t="str">
        <f>IFERROR(__xludf.DUMMYFUNCTION("""COMPUTED_VALUE"""),"Belum disetujui")</f>
        <v>Belum disetujui</v>
      </c>
      <c r="D822" s="38"/>
      <c r="E822" s="38" t="s">
        <v>11427</v>
      </c>
      <c r="F822" s="38" t="s">
        <v>257</v>
      </c>
      <c r="G822" s="38" t="s">
        <v>11428</v>
      </c>
      <c r="H822" s="38" t="s">
        <v>11419</v>
      </c>
    </row>
    <row r="823">
      <c r="A823" s="37">
        <f>IFERROR(__xludf.DUMMYFUNCTION("""COMPUTED_VALUE"""),45918.53632980324)</f>
        <v>45918.53633</v>
      </c>
      <c r="B823" s="38" t="str">
        <f>IFERROR(__xludf.DUMMYFUNCTION("""COMPUTED_VALUE"""),"MARNITHA JUWIKE TIMORATI RUNESI")</f>
        <v>MARNITHA JUWIKE TIMORATI RUNESI</v>
      </c>
      <c r="C823" s="38" t="str">
        <f>IFERROR(__xludf.DUMMYFUNCTION("""COMPUTED_VALUE"""),"Dapat limit tapi belum diproses")</f>
        <v>Dapat limit tapi belum diproses</v>
      </c>
      <c r="D823" s="38" t="str">
        <f>IFERROR(__xludf.DUMMYFUNCTION("""COMPUTED_VALUE"""),"Y400 series")</f>
        <v>Y400 series</v>
      </c>
      <c r="E823" s="38" t="s">
        <v>11420</v>
      </c>
      <c r="F823" s="38" t="s">
        <v>204</v>
      </c>
      <c r="G823" s="38" t="s">
        <v>11421</v>
      </c>
      <c r="H823" s="38" t="s">
        <v>11399</v>
      </c>
    </row>
    <row r="824">
      <c r="A824" s="37">
        <f>IFERROR(__xludf.DUMMYFUNCTION("""COMPUTED_VALUE"""),45918.53896590278)</f>
        <v>45918.53897</v>
      </c>
      <c r="B824" s="38" t="str">
        <f>IFERROR(__xludf.DUMMYFUNCTION("""COMPUTED_VALUE"""),"MERDA PUTRI BUNGSU KENAT")</f>
        <v>MERDA PUTRI BUNGSU KENAT</v>
      </c>
      <c r="C824" s="38" t="str">
        <f>IFERROR(__xludf.DUMMYFUNCTION("""COMPUTED_VALUE"""),"ACC")</f>
        <v>ACC</v>
      </c>
      <c r="D824" s="38" t="str">
        <f>IFERROR(__xludf.DUMMYFUNCTION("""COMPUTED_VALUE"""),"Y400 series")</f>
        <v>Y400 series</v>
      </c>
      <c r="E824" s="38" t="s">
        <v>11422</v>
      </c>
      <c r="F824" s="38" t="s">
        <v>215</v>
      </c>
      <c r="G824" s="38" t="s">
        <v>11423</v>
      </c>
      <c r="H824" s="38" t="s">
        <v>11424</v>
      </c>
    </row>
    <row r="825">
      <c r="A825" s="37">
        <f>IFERROR(__xludf.DUMMYFUNCTION("""COMPUTED_VALUE"""),45918.551712430555)</f>
        <v>45918.55171</v>
      </c>
      <c r="B825" s="38" t="str">
        <f>IFERROR(__xludf.DUMMYFUNCTION("""COMPUTED_VALUE"""),"BERGITHA NIA OLIN")</f>
        <v>BERGITHA NIA OLIN</v>
      </c>
      <c r="C825" s="38" t="str">
        <f>IFERROR(__xludf.DUMMYFUNCTION("""COMPUTED_VALUE"""),"Dapat limit tapi belum diproses")</f>
        <v>Dapat limit tapi belum diproses</v>
      </c>
      <c r="D825" s="38" t="str">
        <f>IFERROR(__xludf.DUMMYFUNCTION("""COMPUTED_VALUE"""),"Y400 series")</f>
        <v>Y400 series</v>
      </c>
      <c r="E825" s="38" t="s">
        <v>11431</v>
      </c>
      <c r="F825" s="38" t="s">
        <v>313</v>
      </c>
      <c r="G825" s="38" t="s">
        <v>11432</v>
      </c>
      <c r="H825" s="38" t="s">
        <v>11424</v>
      </c>
    </row>
    <row r="826">
      <c r="A826" s="37">
        <f>IFERROR(__xludf.DUMMYFUNCTION("""COMPUTED_VALUE"""),45918.57883068287)</f>
        <v>45918.57883</v>
      </c>
      <c r="B826" s="38" t="str">
        <f>IFERROR(__xludf.DUMMYFUNCTION("""COMPUTED_VALUE"""),"CHOIRUNISA ILHAM")</f>
        <v>CHOIRUNISA ILHAM</v>
      </c>
      <c r="C826" s="38" t="str">
        <f>IFERROR(__xludf.DUMMYFUNCTION("""COMPUTED_VALUE"""),"Belum disetujui")</f>
        <v>Belum disetujui</v>
      </c>
      <c r="D826" s="38"/>
      <c r="E826" s="38" t="s">
        <v>11404</v>
      </c>
      <c r="F826" s="38" t="s">
        <v>11404</v>
      </c>
      <c r="G826" s="38" t="s">
        <v>11404</v>
      </c>
      <c r="H826" s="38" t="s">
        <v>11404</v>
      </c>
    </row>
    <row r="827">
      <c r="A827" s="37">
        <f>IFERROR(__xludf.DUMMYFUNCTION("""COMPUTED_VALUE"""),45918.58219077546)</f>
        <v>45918.58219</v>
      </c>
      <c r="B827" s="38" t="str">
        <f>IFERROR(__xludf.DUMMYFUNCTION("""COMPUTED_VALUE"""),"SULIS NURAINI INSYATUN")</f>
        <v>SULIS NURAINI INSYATUN</v>
      </c>
      <c r="C827" s="38" t="str">
        <f>IFERROR(__xludf.DUMMYFUNCTION("""COMPUTED_VALUE"""),"Belum disetujui")</f>
        <v>Belum disetujui</v>
      </c>
      <c r="D827" s="38"/>
      <c r="E827" s="38" t="s">
        <v>11429</v>
      </c>
      <c r="F827" s="38" t="s">
        <v>257</v>
      </c>
      <c r="G827" s="38" t="s">
        <v>11430</v>
      </c>
      <c r="H827" s="38" t="s">
        <v>11419</v>
      </c>
    </row>
    <row r="828">
      <c r="A828" s="37">
        <f>IFERROR(__xludf.DUMMYFUNCTION("""COMPUTED_VALUE"""),45918.586044236115)</f>
        <v>45918.58604</v>
      </c>
      <c r="B828" s="38" t="str">
        <f>IFERROR(__xludf.DUMMYFUNCTION("""COMPUTED_VALUE"""),"NOVLIANA BARBALINA MISA")</f>
        <v>NOVLIANA BARBALINA MISA</v>
      </c>
      <c r="C828" s="38" t="str">
        <f>IFERROR(__xludf.DUMMYFUNCTION("""COMPUTED_VALUE"""),"Belum disetujui")</f>
        <v>Belum disetujui</v>
      </c>
      <c r="D828" s="38"/>
      <c r="E828" s="38" t="s">
        <v>11454</v>
      </c>
      <c r="F828" s="38" t="s">
        <v>205</v>
      </c>
      <c r="G828" s="38" t="s">
        <v>11455</v>
      </c>
      <c r="H828" s="38" t="s">
        <v>11419</v>
      </c>
    </row>
    <row r="829">
      <c r="A829" s="37">
        <f>IFERROR(__xludf.DUMMYFUNCTION("""COMPUTED_VALUE"""),45918.58790212963)</f>
        <v>45918.5879</v>
      </c>
      <c r="B829" s="38" t="str">
        <f>IFERROR(__xludf.DUMMYFUNCTION("""COMPUTED_VALUE"""),"BERGITHA NIA OLIN")</f>
        <v>BERGITHA NIA OLIN</v>
      </c>
      <c r="C829" s="38" t="str">
        <f>IFERROR(__xludf.DUMMYFUNCTION("""COMPUTED_VALUE"""),"Belum disetujui")</f>
        <v>Belum disetujui</v>
      </c>
      <c r="D829" s="38"/>
      <c r="E829" s="38" t="s">
        <v>11431</v>
      </c>
      <c r="F829" s="38" t="s">
        <v>313</v>
      </c>
      <c r="G829" s="38" t="s">
        <v>11432</v>
      </c>
      <c r="H829" s="38" t="s">
        <v>11424</v>
      </c>
    </row>
    <row r="830">
      <c r="A830" s="37">
        <f>IFERROR(__xludf.DUMMYFUNCTION("""COMPUTED_VALUE"""),45918.59412289352)</f>
        <v>45918.59412</v>
      </c>
      <c r="B830" s="38" t="str">
        <f>IFERROR(__xludf.DUMMYFUNCTION("""COMPUTED_VALUE"""),"NABILA RAHMAWATI")</f>
        <v>NABILA RAHMAWATI</v>
      </c>
      <c r="C830" s="38" t="str">
        <f>IFERROR(__xludf.DUMMYFUNCTION("""COMPUTED_VALUE"""),"Belum disetujui")</f>
        <v>Belum disetujui</v>
      </c>
      <c r="D830" s="38"/>
      <c r="E830" s="38" t="s">
        <v>11464</v>
      </c>
      <c r="F830" s="38" t="s">
        <v>257</v>
      </c>
      <c r="G830" s="38" t="s">
        <v>11465</v>
      </c>
      <c r="H830" s="38" t="s">
        <v>11419</v>
      </c>
    </row>
    <row r="831">
      <c r="A831" s="37">
        <f>IFERROR(__xludf.DUMMYFUNCTION("""COMPUTED_VALUE"""),45918.626643564814)</f>
        <v>45918.62664</v>
      </c>
      <c r="B831" s="38" t="str">
        <f>IFERROR(__xludf.DUMMYFUNCTION("""COMPUTED_VALUE"""),"SULIS NURAINI INSYATUN")</f>
        <v>SULIS NURAINI INSYATUN</v>
      </c>
      <c r="C831" s="38" t="str">
        <f>IFERROR(__xludf.DUMMYFUNCTION("""COMPUTED_VALUE"""),"Dapat limit tapi belum diproses")</f>
        <v>Dapat limit tapi belum diproses</v>
      </c>
      <c r="D831" s="38" t="str">
        <f>IFERROR(__xludf.DUMMYFUNCTION("""COMPUTED_VALUE"""),"Y400 series")</f>
        <v>Y400 series</v>
      </c>
      <c r="E831" s="38" t="s">
        <v>11429</v>
      </c>
      <c r="F831" s="38" t="s">
        <v>257</v>
      </c>
      <c r="G831" s="38" t="s">
        <v>11430</v>
      </c>
      <c r="H831" s="38" t="s">
        <v>11419</v>
      </c>
    </row>
    <row r="832">
      <c r="A832" s="37">
        <f>IFERROR(__xludf.DUMMYFUNCTION("""COMPUTED_VALUE"""),45918.64387070602)</f>
        <v>45918.64387</v>
      </c>
      <c r="B832" s="38" t="str">
        <f>IFERROR(__xludf.DUMMYFUNCTION("""COMPUTED_VALUE"""),"ALITA D PAU")</f>
        <v>ALITA D PAU</v>
      </c>
      <c r="C832" s="38" t="str">
        <f>IFERROR(__xludf.DUMMYFUNCTION("""COMPUTED_VALUE"""),"Belum disetujui")</f>
        <v>Belum disetujui</v>
      </c>
      <c r="D832" s="38"/>
      <c r="E832" s="38" t="s">
        <v>11447</v>
      </c>
      <c r="F832" s="38" t="s">
        <v>205</v>
      </c>
      <c r="G832" s="38" t="s">
        <v>11448</v>
      </c>
      <c r="H832" s="38" t="s">
        <v>11419</v>
      </c>
    </row>
    <row r="833">
      <c r="A833" s="37">
        <f>IFERROR(__xludf.DUMMYFUNCTION("""COMPUTED_VALUE"""),45918.66880142361)</f>
        <v>45918.6688</v>
      </c>
      <c r="B833" s="38" t="str">
        <f>IFERROR(__xludf.DUMMYFUNCTION("""COMPUTED_VALUE"""),"MARNITHA JUWIKE TIMORATI RUNESI")</f>
        <v>MARNITHA JUWIKE TIMORATI RUNESI</v>
      </c>
      <c r="C833" s="38" t="str">
        <f>IFERROR(__xludf.DUMMYFUNCTION("""COMPUTED_VALUE"""),"Belum disetujui")</f>
        <v>Belum disetujui</v>
      </c>
      <c r="D833" s="38"/>
      <c r="E833" s="38" t="s">
        <v>11420</v>
      </c>
      <c r="F833" s="38" t="s">
        <v>204</v>
      </c>
      <c r="G833" s="38" t="s">
        <v>11421</v>
      </c>
      <c r="H833" s="38" t="s">
        <v>11399</v>
      </c>
    </row>
    <row r="834">
      <c r="A834" s="37">
        <f>IFERROR(__xludf.DUMMYFUNCTION("""COMPUTED_VALUE"""),45918.72237633102)</f>
        <v>45918.72238</v>
      </c>
      <c r="B834" s="38" t="str">
        <f>IFERROR(__xludf.DUMMYFUNCTION("""COMPUTED_VALUE"""),"CHOIRUNISA ILHAM")</f>
        <v>CHOIRUNISA ILHAM</v>
      </c>
      <c r="C834" s="38" t="str">
        <f>IFERROR(__xludf.DUMMYFUNCTION("""COMPUTED_VALUE"""),"Belum disetujui")</f>
        <v>Belum disetujui</v>
      </c>
      <c r="D834" s="38"/>
      <c r="E834" s="38" t="s">
        <v>11404</v>
      </c>
      <c r="F834" s="38" t="s">
        <v>11404</v>
      </c>
      <c r="G834" s="38" t="s">
        <v>11404</v>
      </c>
      <c r="H834" s="38" t="s">
        <v>11404</v>
      </c>
    </row>
    <row r="835">
      <c r="A835" s="37">
        <f>IFERROR(__xludf.DUMMYFUNCTION("""COMPUTED_VALUE"""),45918.750617048616)</f>
        <v>45918.75062</v>
      </c>
      <c r="B835" s="38" t="str">
        <f>IFERROR(__xludf.DUMMYFUNCTION("""COMPUTED_VALUE"""),"YOHANIS TIPNONI")</f>
        <v>YOHANIS TIPNONI</v>
      </c>
      <c r="C835" s="38" t="str">
        <f>IFERROR(__xludf.DUMMYFUNCTION("""COMPUTED_VALUE"""),"Belum disetujui")</f>
        <v>Belum disetujui</v>
      </c>
      <c r="D835" s="38"/>
      <c r="E835" s="38" t="s">
        <v>11405</v>
      </c>
      <c r="F835" s="38" t="s">
        <v>220</v>
      </c>
      <c r="G835" s="38" t="s">
        <v>11406</v>
      </c>
      <c r="H835" s="38" t="s">
        <v>11399</v>
      </c>
    </row>
    <row r="836">
      <c r="A836" s="37">
        <f>IFERROR(__xludf.DUMMYFUNCTION("""COMPUTED_VALUE"""),45918.75728248843)</f>
        <v>45918.75728</v>
      </c>
      <c r="B836" s="38" t="str">
        <f>IFERROR(__xludf.DUMMYFUNCTION("""COMPUTED_VALUE"""),"ADRIANA")</f>
        <v>ADRIANA</v>
      </c>
      <c r="C836" s="38" t="str">
        <f>IFERROR(__xludf.DUMMYFUNCTION("""COMPUTED_VALUE"""),"Belum disetujui")</f>
        <v>Belum disetujui</v>
      </c>
      <c r="D836" s="38"/>
      <c r="E836" s="38" t="s">
        <v>11433</v>
      </c>
      <c r="F836" s="38" t="s">
        <v>313</v>
      </c>
      <c r="G836" s="38" t="s">
        <v>11434</v>
      </c>
      <c r="H836" s="38" t="s">
        <v>11424</v>
      </c>
    </row>
    <row r="837">
      <c r="A837" s="37">
        <f>IFERROR(__xludf.DUMMYFUNCTION("""COMPUTED_VALUE"""),45918.759616250005)</f>
        <v>45918.75962</v>
      </c>
      <c r="B837" s="38" t="str">
        <f>IFERROR(__xludf.DUMMYFUNCTION("""COMPUTED_VALUE"""),"ADRIANA")</f>
        <v>ADRIANA</v>
      </c>
      <c r="C837" s="38" t="str">
        <f>IFERROR(__xludf.DUMMYFUNCTION("""COMPUTED_VALUE"""),"Belum disetujui")</f>
        <v>Belum disetujui</v>
      </c>
      <c r="D837" s="38"/>
      <c r="E837" s="38" t="s">
        <v>11433</v>
      </c>
      <c r="F837" s="38" t="s">
        <v>313</v>
      </c>
      <c r="G837" s="38" t="s">
        <v>11434</v>
      </c>
      <c r="H837" s="38" t="s">
        <v>11424</v>
      </c>
    </row>
    <row r="838">
      <c r="A838" s="37">
        <f>IFERROR(__xludf.DUMMYFUNCTION("""COMPUTED_VALUE"""),45918.77209170139)</f>
        <v>45918.77209</v>
      </c>
      <c r="B838" s="38" t="str">
        <f>IFERROR(__xludf.DUMMYFUNCTION("""COMPUTED_VALUE"""),"ASTUTI BELA WAWO")</f>
        <v>ASTUTI BELA WAWO</v>
      </c>
      <c r="C838" s="38" t="str">
        <f>IFERROR(__xludf.DUMMYFUNCTION("""COMPUTED_VALUE"""),"ACC")</f>
        <v>ACC</v>
      </c>
      <c r="D838" s="38" t="str">
        <f>IFERROR(__xludf.DUMMYFUNCTION("""COMPUTED_VALUE"""),"V60 series")</f>
        <v>V60 series</v>
      </c>
      <c r="E838" s="38" t="s">
        <v>11427</v>
      </c>
      <c r="F838" s="38" t="s">
        <v>257</v>
      </c>
      <c r="G838" s="38" t="s">
        <v>11428</v>
      </c>
      <c r="H838" s="38" t="s">
        <v>11419</v>
      </c>
    </row>
    <row r="839">
      <c r="A839" s="37">
        <f>IFERROR(__xludf.DUMMYFUNCTION("""COMPUTED_VALUE"""),45918.78998594908)</f>
        <v>45918.78999</v>
      </c>
      <c r="B839" s="38" t="str">
        <f>IFERROR(__xludf.DUMMYFUNCTION("""COMPUTED_VALUE"""),"WARDIA")</f>
        <v>WARDIA</v>
      </c>
      <c r="C839" s="38" t="str">
        <f>IFERROR(__xludf.DUMMYFUNCTION("""COMPUTED_VALUE"""),"Belum disetujui")</f>
        <v>Belum disetujui</v>
      </c>
      <c r="D839" s="38"/>
      <c r="E839" s="38" t="s">
        <v>11409</v>
      </c>
      <c r="F839" s="38" t="s">
        <v>204</v>
      </c>
      <c r="G839" s="38" t="s">
        <v>11410</v>
      </c>
      <c r="H839" s="38" t="s">
        <v>11399</v>
      </c>
    </row>
    <row r="840">
      <c r="A840" s="37">
        <f>IFERROR(__xludf.DUMMYFUNCTION("""COMPUTED_VALUE"""),45918.79100207176)</f>
        <v>45918.791</v>
      </c>
      <c r="B840" s="38" t="str">
        <f>IFERROR(__xludf.DUMMYFUNCTION("""COMPUTED_VALUE"""),"WARDIA")</f>
        <v>WARDIA</v>
      </c>
      <c r="C840" s="38" t="str">
        <f>IFERROR(__xludf.DUMMYFUNCTION("""COMPUTED_VALUE"""),"Belum disetujui")</f>
        <v>Belum disetujui</v>
      </c>
      <c r="D840" s="38"/>
      <c r="E840" s="38" t="s">
        <v>11409</v>
      </c>
      <c r="F840" s="38" t="s">
        <v>204</v>
      </c>
      <c r="G840" s="38" t="s">
        <v>11410</v>
      </c>
      <c r="H840" s="38" t="s">
        <v>11399</v>
      </c>
    </row>
    <row r="841">
      <c r="A841" s="37">
        <f>IFERROR(__xludf.DUMMYFUNCTION("""COMPUTED_VALUE"""),45918.792345231486)</f>
        <v>45918.79235</v>
      </c>
      <c r="B841" s="38" t="str">
        <f>IFERROR(__xludf.DUMMYFUNCTION("""COMPUTED_VALUE"""),"WARDIA")</f>
        <v>WARDIA</v>
      </c>
      <c r="C841" s="38" t="str">
        <f>IFERROR(__xludf.DUMMYFUNCTION("""COMPUTED_VALUE"""),"Belum disetujui")</f>
        <v>Belum disetujui</v>
      </c>
      <c r="D841" s="38"/>
      <c r="E841" s="38" t="s">
        <v>11409</v>
      </c>
      <c r="F841" s="38" t="s">
        <v>204</v>
      </c>
      <c r="G841" s="38" t="s">
        <v>11410</v>
      </c>
      <c r="H841" s="38" t="s">
        <v>11399</v>
      </c>
    </row>
    <row r="842">
      <c r="A842" s="37">
        <f>IFERROR(__xludf.DUMMYFUNCTION("""COMPUTED_VALUE"""),45918.79675008102)</f>
        <v>45918.79675</v>
      </c>
      <c r="B842" s="38" t="str">
        <f>IFERROR(__xludf.DUMMYFUNCTION("""COMPUTED_VALUE"""),"YOHANIS TIPNONI")</f>
        <v>YOHANIS TIPNONI</v>
      </c>
      <c r="C842" s="38" t="str">
        <f>IFERROR(__xludf.DUMMYFUNCTION("""COMPUTED_VALUE"""),"Dapat limit tapi belum diproses")</f>
        <v>Dapat limit tapi belum diproses</v>
      </c>
      <c r="D842" s="38" t="str">
        <f>IFERROR(__xludf.DUMMYFUNCTION("""COMPUTED_VALUE"""),"Y400 series")</f>
        <v>Y400 series</v>
      </c>
      <c r="E842" s="38" t="s">
        <v>11405</v>
      </c>
      <c r="F842" s="38" t="s">
        <v>220</v>
      </c>
      <c r="G842" s="38" t="s">
        <v>11406</v>
      </c>
      <c r="H842" s="38" t="s">
        <v>11399</v>
      </c>
    </row>
    <row r="843">
      <c r="A843" s="37">
        <f>IFERROR(__xludf.DUMMYFUNCTION("""COMPUTED_VALUE"""),45918.81788820602)</f>
        <v>45918.81789</v>
      </c>
      <c r="B843" s="38" t="str">
        <f>IFERROR(__xludf.DUMMYFUNCTION("""COMPUTED_VALUE"""),"MARNITHA JUWIKE TIMORATI RUNESI")</f>
        <v>MARNITHA JUWIKE TIMORATI RUNESI</v>
      </c>
      <c r="C843" s="38" t="str">
        <f>IFERROR(__xludf.DUMMYFUNCTION("""COMPUTED_VALUE"""),"Belum disetujui")</f>
        <v>Belum disetujui</v>
      </c>
      <c r="D843" s="38"/>
      <c r="E843" s="38" t="s">
        <v>11420</v>
      </c>
      <c r="F843" s="38" t="s">
        <v>204</v>
      </c>
      <c r="G843" s="38" t="s">
        <v>11421</v>
      </c>
      <c r="H843" s="38" t="s">
        <v>11399</v>
      </c>
    </row>
    <row r="844">
      <c r="A844" s="37">
        <f>IFERROR(__xludf.DUMMYFUNCTION("""COMPUTED_VALUE"""),45918.82634644677)</f>
        <v>45918.82635</v>
      </c>
      <c r="B844" s="38" t="str">
        <f>IFERROR(__xludf.DUMMYFUNCTION("""COMPUTED_VALUE"""),"MARNITHA JUWIKE TIMORATI RUNESI")</f>
        <v>MARNITHA JUWIKE TIMORATI RUNESI</v>
      </c>
      <c r="C844" s="38" t="str">
        <f>IFERROR(__xludf.DUMMYFUNCTION("""COMPUTED_VALUE"""),"Belum disetujui")</f>
        <v>Belum disetujui</v>
      </c>
      <c r="D844" s="38"/>
      <c r="E844" s="38" t="s">
        <v>11420</v>
      </c>
      <c r="F844" s="38" t="s">
        <v>204</v>
      </c>
      <c r="G844" s="38" t="s">
        <v>11421</v>
      </c>
      <c r="H844" s="38" t="s">
        <v>11399</v>
      </c>
    </row>
    <row r="845">
      <c r="A845" s="37">
        <f>IFERROR(__xludf.DUMMYFUNCTION("""COMPUTED_VALUE"""),45918.82898657407)</f>
        <v>45918.82899</v>
      </c>
      <c r="B845" s="38" t="str">
        <f>IFERROR(__xludf.DUMMYFUNCTION("""COMPUTED_VALUE"""),"MERDA PUTRI BUNGSU KENAT")</f>
        <v>MERDA PUTRI BUNGSU KENAT</v>
      </c>
      <c r="C845" s="38" t="str">
        <f>IFERROR(__xludf.DUMMYFUNCTION("""COMPUTED_VALUE"""),"Dapat limit tapi belum diproses")</f>
        <v>Dapat limit tapi belum diproses</v>
      </c>
      <c r="D845" s="38" t="str">
        <f>IFERROR(__xludf.DUMMYFUNCTION("""COMPUTED_VALUE"""),"V50 Lite series")</f>
        <v>V50 Lite series</v>
      </c>
      <c r="E845" s="38" t="s">
        <v>11422</v>
      </c>
      <c r="F845" s="38" t="s">
        <v>215</v>
      </c>
      <c r="G845" s="38" t="s">
        <v>11423</v>
      </c>
      <c r="H845" s="38" t="s">
        <v>11424</v>
      </c>
    </row>
    <row r="846">
      <c r="A846" s="37">
        <f>IFERROR(__xludf.DUMMYFUNCTION("""COMPUTED_VALUE"""),45918.829363530094)</f>
        <v>45918.82936</v>
      </c>
      <c r="B846" s="38" t="str">
        <f>IFERROR(__xludf.DUMMYFUNCTION("""COMPUTED_VALUE"""),"YOHANA NOVIANA MARIANA GAA")</f>
        <v>YOHANA NOVIANA MARIANA GAA</v>
      </c>
      <c r="C846" s="38" t="str">
        <f>IFERROR(__xludf.DUMMYFUNCTION("""COMPUTED_VALUE"""),"Dapat limit tapi belum diproses")</f>
        <v>Dapat limit tapi belum diproses</v>
      </c>
      <c r="D846" s="38" t="str">
        <f>IFERROR(__xludf.DUMMYFUNCTION("""COMPUTED_VALUE"""),"Y400 series")</f>
        <v>Y400 series</v>
      </c>
      <c r="E846" s="38" t="s">
        <v>11400</v>
      </c>
      <c r="F846" s="38" t="s">
        <v>204</v>
      </c>
      <c r="G846" s="38" t="s">
        <v>11401</v>
      </c>
      <c r="H846" s="38" t="s">
        <v>11399</v>
      </c>
    </row>
    <row r="847">
      <c r="A847" s="37">
        <f>IFERROR(__xludf.DUMMYFUNCTION("""COMPUTED_VALUE"""),45918.833238900464)</f>
        <v>45918.83324</v>
      </c>
      <c r="B847" s="38" t="str">
        <f>IFERROR(__xludf.DUMMYFUNCTION("""COMPUTED_VALUE"""),"MERDA PUTRI BUNGSU KENAT")</f>
        <v>MERDA PUTRI BUNGSU KENAT</v>
      </c>
      <c r="C847" s="38" t="str">
        <f>IFERROR(__xludf.DUMMYFUNCTION("""COMPUTED_VALUE"""),"Dapat limit tapi belum diproses")</f>
        <v>Dapat limit tapi belum diproses</v>
      </c>
      <c r="D847" s="38" t="str">
        <f>IFERROR(__xludf.DUMMYFUNCTION("""COMPUTED_VALUE"""),"V50 Lite series")</f>
        <v>V50 Lite series</v>
      </c>
      <c r="E847" s="38" t="s">
        <v>11422</v>
      </c>
      <c r="F847" s="38" t="s">
        <v>215</v>
      </c>
      <c r="G847" s="38" t="s">
        <v>11423</v>
      </c>
      <c r="H847" s="38" t="s">
        <v>11424</v>
      </c>
    </row>
    <row r="848">
      <c r="A848" s="37">
        <f>IFERROR(__xludf.DUMMYFUNCTION("""COMPUTED_VALUE"""),45918.83710520833)</f>
        <v>45918.83711</v>
      </c>
      <c r="B848" s="38" t="str">
        <f>IFERROR(__xludf.DUMMYFUNCTION("""COMPUTED_VALUE"""),"WARDIA")</f>
        <v>WARDIA</v>
      </c>
      <c r="C848" s="38" t="str">
        <f>IFERROR(__xludf.DUMMYFUNCTION("""COMPUTED_VALUE"""),"Belum disetujui")</f>
        <v>Belum disetujui</v>
      </c>
      <c r="D848" s="38"/>
      <c r="E848" s="38" t="s">
        <v>11409</v>
      </c>
      <c r="F848" s="38" t="s">
        <v>204</v>
      </c>
      <c r="G848" s="38" t="s">
        <v>11410</v>
      </c>
      <c r="H848" s="38" t="s">
        <v>11399</v>
      </c>
    </row>
    <row r="849">
      <c r="A849" s="37">
        <f>IFERROR(__xludf.DUMMYFUNCTION("""COMPUTED_VALUE"""),45918.870923194445)</f>
        <v>45918.87092</v>
      </c>
      <c r="B849" s="38" t="str">
        <f>IFERROR(__xludf.DUMMYFUNCTION("""COMPUTED_VALUE"""),"AINI RAHMATINI NATALIA MOESTAKIM")</f>
        <v>AINI RAHMATINI NATALIA MOESTAKIM</v>
      </c>
      <c r="C849" s="38" t="str">
        <f>IFERROR(__xludf.DUMMYFUNCTION("""COMPUTED_VALUE"""),"Belum disetujui")</f>
        <v>Belum disetujui</v>
      </c>
      <c r="D849" s="38"/>
      <c r="E849" s="38" t="s">
        <v>11409</v>
      </c>
      <c r="F849" s="38" t="s">
        <v>204</v>
      </c>
      <c r="G849" s="38" t="s">
        <v>11410</v>
      </c>
      <c r="H849" s="38" t="s">
        <v>11399</v>
      </c>
    </row>
    <row r="850">
      <c r="A850" s="37">
        <f>IFERROR(__xludf.DUMMYFUNCTION("""COMPUTED_VALUE"""),45918.88836868056)</f>
        <v>45918.88837</v>
      </c>
      <c r="B850" s="38" t="str">
        <f>IFERROR(__xludf.DUMMYFUNCTION("""COMPUTED_VALUE"""),"YOHANA NOVIANA MARIANA GAA")</f>
        <v>YOHANA NOVIANA MARIANA GAA</v>
      </c>
      <c r="C850" s="38" t="str">
        <f>IFERROR(__xludf.DUMMYFUNCTION("""COMPUTED_VALUE"""),"Belum disetujui")</f>
        <v>Belum disetujui</v>
      </c>
      <c r="D850" s="38"/>
      <c r="E850" s="38" t="s">
        <v>11400</v>
      </c>
      <c r="F850" s="38" t="s">
        <v>204</v>
      </c>
      <c r="G850" s="38" t="s">
        <v>11401</v>
      </c>
      <c r="H850" s="38" t="s">
        <v>11399</v>
      </c>
    </row>
    <row r="851">
      <c r="A851" s="37">
        <f>IFERROR(__xludf.DUMMYFUNCTION("""COMPUTED_VALUE"""),45919.36837391204)</f>
        <v>45919.36837</v>
      </c>
      <c r="B851" s="38" t="str">
        <f>IFERROR(__xludf.DUMMYFUNCTION("""COMPUTED_VALUE"""),"ASTUTI BELA WAWO")</f>
        <v>ASTUTI BELA WAWO</v>
      </c>
      <c r="C851" s="38" t="str">
        <f>IFERROR(__xludf.DUMMYFUNCTION("""COMPUTED_VALUE"""),"Belum disetujui")</f>
        <v>Belum disetujui</v>
      </c>
      <c r="D851" s="38"/>
      <c r="E851" s="38" t="s">
        <v>11427</v>
      </c>
      <c r="F851" s="38" t="s">
        <v>257</v>
      </c>
      <c r="G851" s="38" t="s">
        <v>11428</v>
      </c>
      <c r="H851" s="38" t="s">
        <v>11419</v>
      </c>
    </row>
    <row r="852">
      <c r="A852" s="37">
        <f>IFERROR(__xludf.DUMMYFUNCTION("""COMPUTED_VALUE"""),45919.385099583335)</f>
        <v>45919.3851</v>
      </c>
      <c r="B852" s="38" t="str">
        <f>IFERROR(__xludf.DUMMYFUNCTION("""COMPUTED_VALUE"""),"KESIA NATALIA I. BENU")</f>
        <v>KESIA NATALIA I. BENU</v>
      </c>
      <c r="C852" s="38" t="str">
        <f>IFERROR(__xludf.DUMMYFUNCTION("""COMPUTED_VALUE"""),"Belum disetujui")</f>
        <v>Belum disetujui</v>
      </c>
      <c r="D852" s="38"/>
      <c r="E852" s="38" t="s">
        <v>11417</v>
      </c>
      <c r="F852" s="38" t="s">
        <v>257</v>
      </c>
      <c r="G852" s="38" t="s">
        <v>11418</v>
      </c>
      <c r="H852" s="38" t="s">
        <v>11419</v>
      </c>
    </row>
    <row r="853">
      <c r="A853" s="37">
        <f>IFERROR(__xludf.DUMMYFUNCTION("""COMPUTED_VALUE"""),45919.42219621528)</f>
        <v>45919.4222</v>
      </c>
      <c r="B853" s="38" t="str">
        <f>IFERROR(__xludf.DUMMYFUNCTION("""COMPUTED_VALUE"""),"YASINTHA MBU")</f>
        <v>YASINTHA MBU</v>
      </c>
      <c r="C853" s="38" t="str">
        <f>IFERROR(__xludf.DUMMYFUNCTION("""COMPUTED_VALUE"""),"Dapat limit tapi belum diproses")</f>
        <v>Dapat limit tapi belum diproses</v>
      </c>
      <c r="D853" s="38" t="str">
        <f>IFERROR(__xludf.DUMMYFUNCTION("""COMPUTED_VALUE"""),"Y400 series")</f>
        <v>Y400 series</v>
      </c>
      <c r="E853" s="38" t="s">
        <v>11407</v>
      </c>
      <c r="F853" s="38" t="s">
        <v>220</v>
      </c>
      <c r="G853" s="38" t="s">
        <v>11408</v>
      </c>
      <c r="H853" s="38" t="s">
        <v>11399</v>
      </c>
    </row>
    <row r="854">
      <c r="A854" s="37">
        <f>IFERROR(__xludf.DUMMYFUNCTION("""COMPUTED_VALUE"""),45919.44605726852)</f>
        <v>45919.44606</v>
      </c>
      <c r="B854" s="38" t="str">
        <f>IFERROR(__xludf.DUMMYFUNCTION("""COMPUTED_VALUE"""),"MARIA MELAN ANANCE BILI")</f>
        <v>MARIA MELAN ANANCE BILI</v>
      </c>
      <c r="C854" s="38" t="str">
        <f>IFERROR(__xludf.DUMMYFUNCTION("""COMPUTED_VALUE"""),"Belum disetujui")</f>
        <v>Belum disetujui</v>
      </c>
      <c r="D854" s="38"/>
      <c r="E854" s="38" t="s">
        <v>11466</v>
      </c>
      <c r="F854" s="38" t="s">
        <v>257</v>
      </c>
      <c r="G854" s="38" t="s">
        <v>11467</v>
      </c>
      <c r="H854" s="38" t="s">
        <v>11419</v>
      </c>
    </row>
    <row r="855">
      <c r="A855" s="37">
        <f>IFERROR(__xludf.DUMMYFUNCTION("""COMPUTED_VALUE"""),45919.446972997684)</f>
        <v>45919.44697</v>
      </c>
      <c r="B855" s="38" t="str">
        <f>IFERROR(__xludf.DUMMYFUNCTION("""COMPUTED_VALUE"""),"MERDA PUTRI BUNGSU KENAT")</f>
        <v>MERDA PUTRI BUNGSU KENAT</v>
      </c>
      <c r="C855" s="38" t="str">
        <f>IFERROR(__xludf.DUMMYFUNCTION("""COMPUTED_VALUE"""),"Dapat limit tapi belum diproses")</f>
        <v>Dapat limit tapi belum diproses</v>
      </c>
      <c r="D855" s="38" t="str">
        <f>IFERROR(__xludf.DUMMYFUNCTION("""COMPUTED_VALUE"""),"V50 Lite series")</f>
        <v>V50 Lite series</v>
      </c>
      <c r="E855" s="38" t="s">
        <v>11422</v>
      </c>
      <c r="F855" s="38" t="s">
        <v>215</v>
      </c>
      <c r="G855" s="38" t="s">
        <v>11423</v>
      </c>
      <c r="H855" s="38" t="s">
        <v>11424</v>
      </c>
    </row>
    <row r="856">
      <c r="A856" s="37">
        <f>IFERROR(__xludf.DUMMYFUNCTION("""COMPUTED_VALUE"""),45919.48846143519)</f>
        <v>45919.48846</v>
      </c>
      <c r="B856" s="38" t="str">
        <f>IFERROR(__xludf.DUMMYFUNCTION("""COMPUTED_VALUE"""),"DEMARISTI S H FENI")</f>
        <v>DEMARISTI S H FENI</v>
      </c>
      <c r="C856" s="38" t="str">
        <f>IFERROR(__xludf.DUMMYFUNCTION("""COMPUTED_VALUE"""),"Dapat limit tapi belum diproses")</f>
        <v>Dapat limit tapi belum diproses</v>
      </c>
      <c r="D856" s="38" t="str">
        <f>IFERROR(__xludf.DUMMYFUNCTION("""COMPUTED_VALUE"""),"Y400 series")</f>
        <v>Y400 series</v>
      </c>
      <c r="E856" s="38" t="s">
        <v>11404</v>
      </c>
      <c r="F856" s="38" t="s">
        <v>11404</v>
      </c>
      <c r="G856" s="38" t="s">
        <v>11404</v>
      </c>
      <c r="H856" s="38" t="s">
        <v>11404</v>
      </c>
    </row>
    <row r="857">
      <c r="A857" s="37">
        <f>IFERROR(__xludf.DUMMYFUNCTION("""COMPUTED_VALUE"""),45919.48927939815)</f>
        <v>45919.48928</v>
      </c>
      <c r="B857" s="38" t="str">
        <f>IFERROR(__xludf.DUMMYFUNCTION("""COMPUTED_VALUE"""),"MARNITHA JUWIKE TIMORATI RUNESI")</f>
        <v>MARNITHA JUWIKE TIMORATI RUNESI</v>
      </c>
      <c r="C857" s="38" t="str">
        <f>IFERROR(__xludf.DUMMYFUNCTION("""COMPUTED_VALUE"""),"ACC")</f>
        <v>ACC</v>
      </c>
      <c r="D857" s="38" t="str">
        <f>IFERROR(__xludf.DUMMYFUNCTION("""COMPUTED_VALUE"""),"Y400 series")</f>
        <v>Y400 series</v>
      </c>
      <c r="E857" s="38" t="s">
        <v>11420</v>
      </c>
      <c r="F857" s="38" t="s">
        <v>204</v>
      </c>
      <c r="G857" s="38" t="s">
        <v>11421</v>
      </c>
      <c r="H857" s="38" t="s">
        <v>11399</v>
      </c>
    </row>
    <row r="858">
      <c r="A858" s="37">
        <f>IFERROR(__xludf.DUMMYFUNCTION("""COMPUTED_VALUE"""),45919.49501702547)</f>
        <v>45919.49502</v>
      </c>
      <c r="B858" s="38" t="str">
        <f>IFERROR(__xludf.DUMMYFUNCTION("""COMPUTED_VALUE"""),"NOVLIANA BARBALINA MISA")</f>
        <v>NOVLIANA BARBALINA MISA</v>
      </c>
      <c r="C858" s="38" t="str">
        <f>IFERROR(__xludf.DUMMYFUNCTION("""COMPUTED_VALUE"""),"Belum disetujui")</f>
        <v>Belum disetujui</v>
      </c>
      <c r="D858" s="38"/>
      <c r="E858" s="38" t="s">
        <v>11454</v>
      </c>
      <c r="F858" s="38" t="s">
        <v>205</v>
      </c>
      <c r="G858" s="38" t="s">
        <v>11455</v>
      </c>
      <c r="H858" s="38" t="s">
        <v>11419</v>
      </c>
    </row>
    <row r="859">
      <c r="A859" s="37">
        <f>IFERROR(__xludf.DUMMYFUNCTION("""COMPUTED_VALUE"""),45919.49902542824)</f>
        <v>45919.49903</v>
      </c>
      <c r="B859" s="38" t="str">
        <f>IFERROR(__xludf.DUMMYFUNCTION("""COMPUTED_VALUE"""),"AZ ZAHRA SITI ZAINAB")</f>
        <v>AZ ZAHRA SITI ZAINAB</v>
      </c>
      <c r="C859" s="38" t="str">
        <f>IFERROR(__xludf.DUMMYFUNCTION("""COMPUTED_VALUE"""),"Belum disetujui")</f>
        <v>Belum disetujui</v>
      </c>
      <c r="D859" s="38"/>
      <c r="E859" s="38" t="s">
        <v>11462</v>
      </c>
      <c r="F859" s="38" t="s">
        <v>257</v>
      </c>
      <c r="G859" s="38" t="s">
        <v>11463</v>
      </c>
      <c r="H859" s="38" t="s">
        <v>11419</v>
      </c>
    </row>
    <row r="860">
      <c r="A860" s="37">
        <f>IFERROR(__xludf.DUMMYFUNCTION("""COMPUTED_VALUE"""),45919.503362766205)</f>
        <v>45919.50336</v>
      </c>
      <c r="B860" s="38" t="str">
        <f>IFERROR(__xludf.DUMMYFUNCTION("""COMPUTED_VALUE"""),"AINI RAHMATINI NATALIA MOESTAKIM")</f>
        <v>AINI RAHMATINI NATALIA MOESTAKIM</v>
      </c>
      <c r="C860" s="38" t="str">
        <f>IFERROR(__xludf.DUMMYFUNCTION("""COMPUTED_VALUE"""),"Belum disetujui")</f>
        <v>Belum disetujui</v>
      </c>
      <c r="D860" s="38"/>
      <c r="E860" s="38" t="s">
        <v>11409</v>
      </c>
      <c r="F860" s="38" t="s">
        <v>204</v>
      </c>
      <c r="G860" s="38" t="s">
        <v>11410</v>
      </c>
      <c r="H860" s="38" t="s">
        <v>11399</v>
      </c>
    </row>
    <row r="861">
      <c r="A861" s="37">
        <f>IFERROR(__xludf.DUMMYFUNCTION("""COMPUTED_VALUE"""),45919.520468495364)</f>
        <v>45919.52047</v>
      </c>
      <c r="B861" s="38" t="str">
        <f>IFERROR(__xludf.DUMMYFUNCTION("""COMPUTED_VALUE"""),"ASTUTI BELA WAWO")</f>
        <v>ASTUTI BELA WAWO</v>
      </c>
      <c r="C861" s="38" t="str">
        <f>IFERROR(__xludf.DUMMYFUNCTION("""COMPUTED_VALUE"""),"ACC")</f>
        <v>ACC</v>
      </c>
      <c r="D861" s="38" t="str">
        <f>IFERROR(__xludf.DUMMYFUNCTION("""COMPUTED_VALUE"""),"Y400 series")</f>
        <v>Y400 series</v>
      </c>
      <c r="E861" s="38" t="s">
        <v>11427</v>
      </c>
      <c r="F861" s="38" t="s">
        <v>257</v>
      </c>
      <c r="G861" s="38" t="s">
        <v>11428</v>
      </c>
      <c r="H861" s="38" t="s">
        <v>11419</v>
      </c>
    </row>
    <row r="862">
      <c r="A862" s="37">
        <f>IFERROR(__xludf.DUMMYFUNCTION("""COMPUTED_VALUE"""),45919.549856759266)</f>
        <v>45919.54986</v>
      </c>
      <c r="B862" s="38" t="str">
        <f>IFERROR(__xludf.DUMMYFUNCTION("""COMPUTED_VALUE"""),"MARIA MELAN ANANCE BILI")</f>
        <v>MARIA MELAN ANANCE BILI</v>
      </c>
      <c r="C862" s="38" t="str">
        <f>IFERROR(__xludf.DUMMYFUNCTION("""COMPUTED_VALUE"""),"Belum disetujui")</f>
        <v>Belum disetujui</v>
      </c>
      <c r="D862" s="38"/>
      <c r="E862" s="38" t="s">
        <v>11466</v>
      </c>
      <c r="F862" s="38" t="s">
        <v>257</v>
      </c>
      <c r="G862" s="38" t="s">
        <v>11467</v>
      </c>
      <c r="H862" s="38" t="s">
        <v>11419</v>
      </c>
    </row>
    <row r="863">
      <c r="A863" s="37">
        <f>IFERROR(__xludf.DUMMYFUNCTION("""COMPUTED_VALUE"""),45919.56136600694)</f>
        <v>45919.56137</v>
      </c>
      <c r="B863" s="38" t="str">
        <f>IFERROR(__xludf.DUMMYFUNCTION("""COMPUTED_VALUE"""),"MARIA MELAN ANANCE BILI")</f>
        <v>MARIA MELAN ANANCE BILI</v>
      </c>
      <c r="C863" s="38" t="str">
        <f>IFERROR(__xludf.DUMMYFUNCTION("""COMPUTED_VALUE"""),"Belum disetujui")</f>
        <v>Belum disetujui</v>
      </c>
      <c r="D863" s="38"/>
      <c r="E863" s="38" t="s">
        <v>11466</v>
      </c>
      <c r="F863" s="38" t="s">
        <v>257</v>
      </c>
      <c r="G863" s="38" t="s">
        <v>11467</v>
      </c>
      <c r="H863" s="38" t="s">
        <v>11419</v>
      </c>
    </row>
    <row r="864">
      <c r="A864" s="37">
        <f>IFERROR(__xludf.DUMMYFUNCTION("""COMPUTED_VALUE"""),45919.57282628472)</f>
        <v>45919.57283</v>
      </c>
      <c r="B864" s="38" t="str">
        <f>IFERROR(__xludf.DUMMYFUNCTION("""COMPUTED_VALUE"""),"NOVLIANA BARBALINA MISA")</f>
        <v>NOVLIANA BARBALINA MISA</v>
      </c>
      <c r="C864" s="38" t="str">
        <f>IFERROR(__xludf.DUMMYFUNCTION("""COMPUTED_VALUE"""),"Belum disetujui")</f>
        <v>Belum disetujui</v>
      </c>
      <c r="D864" s="38"/>
      <c r="E864" s="38" t="s">
        <v>11454</v>
      </c>
      <c r="F864" s="38" t="s">
        <v>205</v>
      </c>
      <c r="G864" s="38" t="s">
        <v>11455</v>
      </c>
      <c r="H864" s="38" t="s">
        <v>11419</v>
      </c>
    </row>
    <row r="865">
      <c r="A865" s="37">
        <f>IFERROR(__xludf.DUMMYFUNCTION("""COMPUTED_VALUE"""),45919.57482771991)</f>
        <v>45919.57483</v>
      </c>
      <c r="B865" s="38" t="str">
        <f>IFERROR(__xludf.DUMMYFUNCTION("""COMPUTED_VALUE"""),"NOVLIANA BARBALINA MISA")</f>
        <v>NOVLIANA BARBALINA MISA</v>
      </c>
      <c r="C865" s="38" t="str">
        <f>IFERROR(__xludf.DUMMYFUNCTION("""COMPUTED_VALUE"""),"Belum disetujui")</f>
        <v>Belum disetujui</v>
      </c>
      <c r="D865" s="38"/>
      <c r="E865" s="38" t="s">
        <v>11454</v>
      </c>
      <c r="F865" s="38" t="s">
        <v>205</v>
      </c>
      <c r="G865" s="38" t="s">
        <v>11455</v>
      </c>
      <c r="H865" s="38" t="s">
        <v>11419</v>
      </c>
    </row>
    <row r="866">
      <c r="A866" s="37">
        <f>IFERROR(__xludf.DUMMYFUNCTION("""COMPUTED_VALUE"""),45919.57890431713)</f>
        <v>45919.5789</v>
      </c>
      <c r="B866" s="38" t="str">
        <f>IFERROR(__xludf.DUMMYFUNCTION("""COMPUTED_VALUE"""),"YOHANIS TIPNONI")</f>
        <v>YOHANIS TIPNONI</v>
      </c>
      <c r="C866" s="38" t="str">
        <f>IFERROR(__xludf.DUMMYFUNCTION("""COMPUTED_VALUE"""),"Dapat limit tapi belum diproses")</f>
        <v>Dapat limit tapi belum diproses</v>
      </c>
      <c r="D866" s="38" t="str">
        <f>IFERROR(__xludf.DUMMYFUNCTION("""COMPUTED_VALUE"""),"Y400 series")</f>
        <v>Y400 series</v>
      </c>
      <c r="E866" s="38" t="s">
        <v>11405</v>
      </c>
      <c r="F866" s="38" t="s">
        <v>220</v>
      </c>
      <c r="G866" s="38" t="s">
        <v>11406</v>
      </c>
      <c r="H866" s="38" t="s">
        <v>11399</v>
      </c>
    </row>
    <row r="867">
      <c r="A867" s="37">
        <f>IFERROR(__xludf.DUMMYFUNCTION("""COMPUTED_VALUE"""),45919.58519021991)</f>
        <v>45919.58519</v>
      </c>
      <c r="B867" s="38" t="str">
        <f>IFERROR(__xludf.DUMMYFUNCTION("""COMPUTED_VALUE"""),"MARIA MELAN ANANCE BILI")</f>
        <v>MARIA MELAN ANANCE BILI</v>
      </c>
      <c r="C867" s="38" t="str">
        <f>IFERROR(__xludf.DUMMYFUNCTION("""COMPUTED_VALUE"""),"Belum disetujui")</f>
        <v>Belum disetujui</v>
      </c>
      <c r="D867" s="38"/>
      <c r="E867" s="38" t="s">
        <v>11466</v>
      </c>
      <c r="F867" s="38" t="s">
        <v>257</v>
      </c>
      <c r="G867" s="38" t="s">
        <v>11467</v>
      </c>
      <c r="H867" s="38" t="s">
        <v>11419</v>
      </c>
    </row>
    <row r="868">
      <c r="A868" s="37">
        <f>IFERROR(__xludf.DUMMYFUNCTION("""COMPUTED_VALUE"""),45919.65840825232)</f>
        <v>45919.65841</v>
      </c>
      <c r="B868" s="38" t="str">
        <f>IFERROR(__xludf.DUMMYFUNCTION("""COMPUTED_VALUE"""),"FEBRIANTHY ELISABET NA'U")</f>
        <v>FEBRIANTHY ELISABET NA'U</v>
      </c>
      <c r="C868" s="38" t="str">
        <f>IFERROR(__xludf.DUMMYFUNCTION("""COMPUTED_VALUE"""),"Belum disetujui")</f>
        <v>Belum disetujui</v>
      </c>
      <c r="D868" s="38"/>
      <c r="E868" s="38" t="s">
        <v>11415</v>
      </c>
      <c r="F868" s="38" t="s">
        <v>204</v>
      </c>
      <c r="G868" s="38" t="s">
        <v>11416</v>
      </c>
      <c r="H868" s="38" t="s">
        <v>11399</v>
      </c>
    </row>
    <row r="869">
      <c r="A869" s="37">
        <f>IFERROR(__xludf.DUMMYFUNCTION("""COMPUTED_VALUE"""),45919.68009393519)</f>
        <v>45919.68009</v>
      </c>
      <c r="B869" s="38" t="str">
        <f>IFERROR(__xludf.DUMMYFUNCTION("""COMPUTED_VALUE"""),"YOHANIS TIPNONI")</f>
        <v>YOHANIS TIPNONI</v>
      </c>
      <c r="C869" s="38" t="str">
        <f>IFERROR(__xludf.DUMMYFUNCTION("""COMPUTED_VALUE"""),"Belum disetujui")</f>
        <v>Belum disetujui</v>
      </c>
      <c r="D869" s="38"/>
      <c r="E869" s="38" t="s">
        <v>11405</v>
      </c>
      <c r="F869" s="38" t="s">
        <v>220</v>
      </c>
      <c r="G869" s="38" t="s">
        <v>11406</v>
      </c>
      <c r="H869" s="38" t="s">
        <v>11399</v>
      </c>
    </row>
    <row r="870">
      <c r="A870" s="37">
        <f>IFERROR(__xludf.DUMMYFUNCTION("""COMPUTED_VALUE"""),45919.68411234954)</f>
        <v>45919.68411</v>
      </c>
      <c r="B870" s="38" t="str">
        <f>IFERROR(__xludf.DUMMYFUNCTION("""COMPUTED_VALUE"""),"MERDA PUTRI BUNGSU KENAT")</f>
        <v>MERDA PUTRI BUNGSU KENAT</v>
      </c>
      <c r="C870" s="38" t="str">
        <f>IFERROR(__xludf.DUMMYFUNCTION("""COMPUTED_VALUE"""),"Belum disetujui")</f>
        <v>Belum disetujui</v>
      </c>
      <c r="D870" s="38"/>
      <c r="E870" s="38" t="s">
        <v>11422</v>
      </c>
      <c r="F870" s="38" t="s">
        <v>215</v>
      </c>
      <c r="G870" s="38" t="s">
        <v>11423</v>
      </c>
      <c r="H870" s="38" t="s">
        <v>11424</v>
      </c>
    </row>
    <row r="871">
      <c r="A871" s="37">
        <f>IFERROR(__xludf.DUMMYFUNCTION("""COMPUTED_VALUE"""),45919.684624050926)</f>
        <v>45919.68462</v>
      </c>
      <c r="B871" s="38" t="str">
        <f>IFERROR(__xludf.DUMMYFUNCTION("""COMPUTED_VALUE"""),"IDMAL YUSDIRAN YUSUF")</f>
        <v>IDMAL YUSDIRAN YUSUF</v>
      </c>
      <c r="C871" s="38" t="str">
        <f>IFERROR(__xludf.DUMMYFUNCTION("""COMPUTED_VALUE"""),"Belum disetujui")</f>
        <v>Belum disetujui</v>
      </c>
      <c r="D871" s="38"/>
      <c r="E871" s="38" t="s">
        <v>11417</v>
      </c>
      <c r="F871" s="38" t="s">
        <v>257</v>
      </c>
      <c r="G871" s="38" t="s">
        <v>11418</v>
      </c>
      <c r="H871" s="38" t="s">
        <v>11419</v>
      </c>
    </row>
    <row r="872">
      <c r="A872" s="37">
        <f>IFERROR(__xludf.DUMMYFUNCTION("""COMPUTED_VALUE"""),45919.68886231482)</f>
        <v>45919.68886</v>
      </c>
      <c r="B872" s="38" t="str">
        <f>IFERROR(__xludf.DUMMYFUNCTION("""COMPUTED_VALUE"""),"ADRIANA")</f>
        <v>ADRIANA</v>
      </c>
      <c r="C872" s="38" t="str">
        <f>IFERROR(__xludf.DUMMYFUNCTION("""COMPUTED_VALUE"""),"Belum disetujui")</f>
        <v>Belum disetujui</v>
      </c>
      <c r="D872" s="38"/>
      <c r="E872" s="38" t="s">
        <v>11433</v>
      </c>
      <c r="F872" s="38" t="s">
        <v>313</v>
      </c>
      <c r="G872" s="38" t="s">
        <v>11434</v>
      </c>
      <c r="H872" s="38" t="s">
        <v>11424</v>
      </c>
    </row>
    <row r="873">
      <c r="A873" s="37">
        <f>IFERROR(__xludf.DUMMYFUNCTION("""COMPUTED_VALUE"""),45919.696479861115)</f>
        <v>45919.69648</v>
      </c>
      <c r="B873" s="38" t="str">
        <f>IFERROR(__xludf.DUMMYFUNCTION("""COMPUTED_VALUE"""),"LINDA MELSIANA ELLO")</f>
        <v>LINDA MELSIANA ELLO</v>
      </c>
      <c r="C873" s="38" t="str">
        <f>IFERROR(__xludf.DUMMYFUNCTION("""COMPUTED_VALUE"""),"Belum disetujui")</f>
        <v>Belum disetujui</v>
      </c>
      <c r="D873" s="38"/>
      <c r="E873" s="38" t="s">
        <v>11435</v>
      </c>
      <c r="F873" s="38" t="s">
        <v>215</v>
      </c>
      <c r="G873" s="38" t="s">
        <v>11436</v>
      </c>
      <c r="H873" s="38" t="s">
        <v>11424</v>
      </c>
    </row>
    <row r="874">
      <c r="A874" s="37">
        <f>IFERROR(__xludf.DUMMYFUNCTION("""COMPUTED_VALUE"""),45919.7253996412)</f>
        <v>45919.7254</v>
      </c>
      <c r="B874" s="38" t="str">
        <f>IFERROR(__xludf.DUMMYFUNCTION("""COMPUTED_VALUE"""),"AINI RAHMATINI NATALIA MOESTAKIM")</f>
        <v>AINI RAHMATINI NATALIA MOESTAKIM</v>
      </c>
      <c r="C874" s="38" t="str">
        <f>IFERROR(__xludf.DUMMYFUNCTION("""COMPUTED_VALUE"""),"Belum disetujui")</f>
        <v>Belum disetujui</v>
      </c>
      <c r="D874" s="38"/>
      <c r="E874" s="38" t="s">
        <v>11409</v>
      </c>
      <c r="F874" s="38" t="s">
        <v>204</v>
      </c>
      <c r="G874" s="38" t="s">
        <v>11410</v>
      </c>
      <c r="H874" s="38" t="s">
        <v>11399</v>
      </c>
    </row>
    <row r="875">
      <c r="A875" s="37">
        <f>IFERROR(__xludf.DUMMYFUNCTION("""COMPUTED_VALUE"""),45919.73618061343)</f>
        <v>45919.73618</v>
      </c>
      <c r="B875" s="38" t="str">
        <f>IFERROR(__xludf.DUMMYFUNCTION("""COMPUTED_VALUE"""),"YOHANA NOVIANA MARIANA GAA")</f>
        <v>YOHANA NOVIANA MARIANA GAA</v>
      </c>
      <c r="C875" s="38" t="str">
        <f>IFERROR(__xludf.DUMMYFUNCTION("""COMPUTED_VALUE"""),"Belum disetujui")</f>
        <v>Belum disetujui</v>
      </c>
      <c r="D875" s="38"/>
      <c r="E875" s="38" t="s">
        <v>11400</v>
      </c>
      <c r="F875" s="38" t="s">
        <v>204</v>
      </c>
      <c r="G875" s="38" t="s">
        <v>11401</v>
      </c>
      <c r="H875" s="38" t="s">
        <v>11399</v>
      </c>
    </row>
    <row r="876">
      <c r="A876" s="37">
        <f>IFERROR(__xludf.DUMMYFUNCTION("""COMPUTED_VALUE"""),45919.75519849537)</f>
        <v>45919.7552</v>
      </c>
      <c r="B876" s="38" t="str">
        <f>IFERROR(__xludf.DUMMYFUNCTION("""COMPUTED_VALUE"""),"YOVANDA KATRINA NAE")</f>
        <v>YOVANDA KATRINA NAE</v>
      </c>
      <c r="C876" s="38" t="str">
        <f>IFERROR(__xludf.DUMMYFUNCTION("""COMPUTED_VALUE"""),"Belum disetujui")</f>
        <v>Belum disetujui</v>
      </c>
      <c r="D876" s="38"/>
      <c r="E876" s="38" t="s">
        <v>11425</v>
      </c>
      <c r="F876" s="38" t="s">
        <v>205</v>
      </c>
      <c r="G876" s="38" t="s">
        <v>11426</v>
      </c>
      <c r="H876" s="38" t="s">
        <v>11419</v>
      </c>
    </row>
    <row r="877">
      <c r="A877" s="37">
        <f>IFERROR(__xludf.DUMMYFUNCTION("""COMPUTED_VALUE"""),45919.76625709491)</f>
        <v>45919.76626</v>
      </c>
      <c r="B877" s="38" t="str">
        <f>IFERROR(__xludf.DUMMYFUNCTION("""COMPUTED_VALUE"""),"YOMELIANA MARIA MAGNO")</f>
        <v>YOMELIANA MARIA MAGNO</v>
      </c>
      <c r="C877" s="38" t="str">
        <f>IFERROR(__xludf.DUMMYFUNCTION("""COMPUTED_VALUE"""),"Belum disetujui")</f>
        <v>Belum disetujui</v>
      </c>
      <c r="D877" s="38"/>
      <c r="E877" s="38" t="s">
        <v>11460</v>
      </c>
      <c r="F877" s="38" t="s">
        <v>871</v>
      </c>
      <c r="G877" s="38" t="s">
        <v>11461</v>
      </c>
      <c r="H877" s="38" t="s">
        <v>11424</v>
      </c>
    </row>
    <row r="878">
      <c r="A878" s="37">
        <f>IFERROR(__xludf.DUMMYFUNCTION("""COMPUTED_VALUE"""),45919.774101435185)</f>
        <v>45919.7741</v>
      </c>
      <c r="B878" s="38" t="str">
        <f>IFERROR(__xludf.DUMMYFUNCTION("""COMPUTED_VALUE"""),"NUR FATIMAH MOLBANG")</f>
        <v>NUR FATIMAH MOLBANG</v>
      </c>
      <c r="C878" s="38" t="str">
        <f>IFERROR(__xludf.DUMMYFUNCTION("""COMPUTED_VALUE"""),"Belum disetujui")</f>
        <v>Belum disetujui</v>
      </c>
      <c r="D878" s="38"/>
      <c r="E878" s="38" t="s">
        <v>11439</v>
      </c>
      <c r="F878" s="38" t="s">
        <v>313</v>
      </c>
      <c r="G878" s="38" t="s">
        <v>11440</v>
      </c>
      <c r="H878" s="38" t="s">
        <v>11424</v>
      </c>
    </row>
    <row r="879">
      <c r="A879" s="37">
        <f>IFERROR(__xludf.DUMMYFUNCTION("""COMPUTED_VALUE"""),45919.79765622685)</f>
        <v>45919.79766</v>
      </c>
      <c r="B879" s="38" t="str">
        <f>IFERROR(__xludf.DUMMYFUNCTION("""COMPUTED_VALUE"""),"YOHANIS TIPNONI")</f>
        <v>YOHANIS TIPNONI</v>
      </c>
      <c r="C879" s="38" t="str">
        <f>IFERROR(__xludf.DUMMYFUNCTION("""COMPUTED_VALUE"""),"Dapat limit tapi belum diproses")</f>
        <v>Dapat limit tapi belum diproses</v>
      </c>
      <c r="D879" s="38" t="str">
        <f>IFERROR(__xludf.DUMMYFUNCTION("""COMPUTED_VALUE"""),"V50 Lite series")</f>
        <v>V50 Lite series</v>
      </c>
      <c r="E879" s="38" t="s">
        <v>11405</v>
      </c>
      <c r="F879" s="38" t="s">
        <v>220</v>
      </c>
      <c r="G879" s="38" t="s">
        <v>11406</v>
      </c>
      <c r="H879" s="38" t="s">
        <v>11399</v>
      </c>
    </row>
    <row r="880">
      <c r="A880" s="37">
        <f>IFERROR(__xludf.DUMMYFUNCTION("""COMPUTED_VALUE"""),45919.8054425463)</f>
        <v>45919.80544</v>
      </c>
      <c r="B880" s="38" t="str">
        <f>IFERROR(__xludf.DUMMYFUNCTION("""COMPUTED_VALUE"""),"WARDIA")</f>
        <v>WARDIA</v>
      </c>
      <c r="C880" s="38" t="str">
        <f>IFERROR(__xludf.DUMMYFUNCTION("""COMPUTED_VALUE"""),"Belum disetujui")</f>
        <v>Belum disetujui</v>
      </c>
      <c r="D880" s="38"/>
      <c r="E880" s="38" t="s">
        <v>11409</v>
      </c>
      <c r="F880" s="38" t="s">
        <v>204</v>
      </c>
      <c r="G880" s="38" t="s">
        <v>11410</v>
      </c>
      <c r="H880" s="38" t="s">
        <v>11399</v>
      </c>
    </row>
    <row r="881">
      <c r="A881" s="37">
        <f>IFERROR(__xludf.DUMMYFUNCTION("""COMPUTED_VALUE"""),45919.809067476854)</f>
        <v>45919.80907</v>
      </c>
      <c r="B881" s="38" t="str">
        <f>IFERROR(__xludf.DUMMYFUNCTION("""COMPUTED_VALUE"""),"PATRIANI MENGI ULY")</f>
        <v>PATRIANI MENGI ULY</v>
      </c>
      <c r="C881" s="38" t="str">
        <f>IFERROR(__xludf.DUMMYFUNCTION("""COMPUTED_VALUE"""),"Belum disetujui")</f>
        <v>Belum disetujui</v>
      </c>
      <c r="D881" s="38"/>
      <c r="E881" s="38" t="s">
        <v>11402</v>
      </c>
      <c r="F881" s="38" t="s">
        <v>204</v>
      </c>
      <c r="G881" s="38" t="s">
        <v>11403</v>
      </c>
      <c r="H881" s="38" t="s">
        <v>11399</v>
      </c>
    </row>
    <row r="882">
      <c r="A882" s="37">
        <f>IFERROR(__xludf.DUMMYFUNCTION("""COMPUTED_VALUE"""),45919.818207222226)</f>
        <v>45919.81821</v>
      </c>
      <c r="B882" s="38" t="str">
        <f>IFERROR(__xludf.DUMMYFUNCTION("""COMPUTED_VALUE"""),"ASRI NINGSI RAMBU ATA ENDI")</f>
        <v>ASRI NINGSI RAMBU ATA ENDI</v>
      </c>
      <c r="C882" s="38" t="str">
        <f>IFERROR(__xludf.DUMMYFUNCTION("""COMPUTED_VALUE"""),"Belum disetujui")</f>
        <v>Belum disetujui</v>
      </c>
      <c r="D882" s="38"/>
      <c r="E882" s="38" t="s">
        <v>11441</v>
      </c>
      <c r="F882" s="38" t="s">
        <v>205</v>
      </c>
      <c r="G882" s="38" t="s">
        <v>11442</v>
      </c>
      <c r="H882" s="38" t="s">
        <v>11419</v>
      </c>
    </row>
    <row r="883">
      <c r="A883" s="37">
        <f>IFERROR(__xludf.DUMMYFUNCTION("""COMPUTED_VALUE"""),45919.8459386574)</f>
        <v>45919.84594</v>
      </c>
      <c r="B883" s="38" t="str">
        <f>IFERROR(__xludf.DUMMYFUNCTION("""COMPUTED_VALUE"""),"IRENE NOVALIA KADJU")</f>
        <v>IRENE NOVALIA KADJU</v>
      </c>
      <c r="C883" s="38" t="str">
        <f>IFERROR(__xludf.DUMMYFUNCTION("""COMPUTED_VALUE"""),"Belum disetujui")</f>
        <v>Belum disetujui</v>
      </c>
      <c r="D883" s="38"/>
      <c r="E883" s="38" t="s">
        <v>11445</v>
      </c>
      <c r="F883" s="38" t="s">
        <v>204</v>
      </c>
      <c r="G883" s="38" t="s">
        <v>11446</v>
      </c>
      <c r="H883" s="38" t="s">
        <v>11399</v>
      </c>
    </row>
    <row r="884">
      <c r="A884" s="37">
        <f>IFERROR(__xludf.DUMMYFUNCTION("""COMPUTED_VALUE"""),45919.86632782408)</f>
        <v>45919.86633</v>
      </c>
      <c r="B884" s="38" t="str">
        <f>IFERROR(__xludf.DUMMYFUNCTION("""COMPUTED_VALUE"""),"DEMARISTI S H FENI")</f>
        <v>DEMARISTI S H FENI</v>
      </c>
      <c r="C884" s="38" t="str">
        <f>IFERROR(__xludf.DUMMYFUNCTION("""COMPUTED_VALUE"""),"Belum disetujui")</f>
        <v>Belum disetujui</v>
      </c>
      <c r="D884" s="38"/>
      <c r="E884" s="38" t="s">
        <v>11404</v>
      </c>
      <c r="F884" s="38" t="s">
        <v>11404</v>
      </c>
      <c r="G884" s="38" t="s">
        <v>11404</v>
      </c>
      <c r="H884" s="38" t="s">
        <v>11404</v>
      </c>
    </row>
    <row r="885">
      <c r="A885" s="37">
        <f>IFERROR(__xludf.DUMMYFUNCTION("""COMPUTED_VALUE"""),45920.420760636574)</f>
        <v>45920.42076</v>
      </c>
      <c r="B885" s="38" t="str">
        <f>IFERROR(__xludf.DUMMYFUNCTION("""COMPUTED_VALUE"""),"MARNITHA JUWIKE TIMORATI RUNESI")</f>
        <v>MARNITHA JUWIKE TIMORATI RUNESI</v>
      </c>
      <c r="C885" s="38" t="str">
        <f>IFERROR(__xludf.DUMMYFUNCTION("""COMPUTED_VALUE"""),"Belum disetujui")</f>
        <v>Belum disetujui</v>
      </c>
      <c r="D885" s="38"/>
      <c r="E885" s="38" t="s">
        <v>11420</v>
      </c>
      <c r="F885" s="38" t="s">
        <v>204</v>
      </c>
      <c r="G885" s="38" t="s">
        <v>11421</v>
      </c>
      <c r="H885" s="38" t="s">
        <v>11399</v>
      </c>
    </row>
    <row r="886">
      <c r="A886" s="37">
        <f>IFERROR(__xludf.DUMMYFUNCTION("""COMPUTED_VALUE"""),45920.441987465274)</f>
        <v>45920.44199</v>
      </c>
      <c r="B886" s="38" t="str">
        <f>IFERROR(__xludf.DUMMYFUNCTION("""COMPUTED_VALUE"""),"NUR FATIMAH MOLBANG")</f>
        <v>NUR FATIMAH MOLBANG</v>
      </c>
      <c r="C886" s="38" t="str">
        <f>IFERROR(__xludf.DUMMYFUNCTION("""COMPUTED_VALUE"""),"Belum disetujui")</f>
        <v>Belum disetujui</v>
      </c>
      <c r="D886" s="38"/>
      <c r="E886" s="38" t="s">
        <v>11439</v>
      </c>
      <c r="F886" s="38" t="s">
        <v>313</v>
      </c>
      <c r="G886" s="38" t="s">
        <v>11440</v>
      </c>
      <c r="H886" s="38" t="s">
        <v>11424</v>
      </c>
    </row>
    <row r="887">
      <c r="A887" s="37">
        <f>IFERROR(__xludf.DUMMYFUNCTION("""COMPUTED_VALUE"""),45920.498794444444)</f>
        <v>45920.49879</v>
      </c>
      <c r="B887" s="38" t="str">
        <f>IFERROR(__xludf.DUMMYFUNCTION("""COMPUTED_VALUE"""),"NUR FATIMAH MOLBANG")</f>
        <v>NUR FATIMAH MOLBANG</v>
      </c>
      <c r="C887" s="38" t="str">
        <f>IFERROR(__xludf.DUMMYFUNCTION("""COMPUTED_VALUE"""),"Belum disetujui")</f>
        <v>Belum disetujui</v>
      </c>
      <c r="D887" s="38"/>
      <c r="E887" s="38" t="s">
        <v>11439</v>
      </c>
      <c r="F887" s="38" t="s">
        <v>313</v>
      </c>
      <c r="G887" s="38" t="s">
        <v>11440</v>
      </c>
      <c r="H887" s="38" t="s">
        <v>11424</v>
      </c>
    </row>
    <row r="888">
      <c r="A888" s="37">
        <f>IFERROR(__xludf.DUMMYFUNCTION("""COMPUTED_VALUE"""),45920.50370693287)</f>
        <v>45920.50371</v>
      </c>
      <c r="B888" s="38" t="str">
        <f>IFERROR(__xludf.DUMMYFUNCTION("""COMPUTED_VALUE"""),"AINI RAHMATINI NATALIA MOESTAKIM")</f>
        <v>AINI RAHMATINI NATALIA MOESTAKIM</v>
      </c>
      <c r="C888" s="38" t="str">
        <f>IFERROR(__xludf.DUMMYFUNCTION("""COMPUTED_VALUE"""),"Belum disetujui")</f>
        <v>Belum disetujui</v>
      </c>
      <c r="D888" s="38"/>
      <c r="E888" s="38" t="s">
        <v>11409</v>
      </c>
      <c r="F888" s="38" t="s">
        <v>204</v>
      </c>
      <c r="G888" s="38" t="s">
        <v>11410</v>
      </c>
      <c r="H888" s="38" t="s">
        <v>11399</v>
      </c>
    </row>
    <row r="889">
      <c r="A889" s="37">
        <f>IFERROR(__xludf.DUMMYFUNCTION("""COMPUTED_VALUE"""),45920.5794443287)</f>
        <v>45920.57944</v>
      </c>
      <c r="B889" s="38" t="str">
        <f>IFERROR(__xludf.DUMMYFUNCTION("""COMPUTED_VALUE"""),"TERSIANA KADJA PAU")</f>
        <v>TERSIANA KADJA PAU</v>
      </c>
      <c r="C889" s="38" t="str">
        <f>IFERROR(__xludf.DUMMYFUNCTION("""COMPUTED_VALUE"""),"Belum disetujui")</f>
        <v>Belum disetujui</v>
      </c>
      <c r="D889" s="38"/>
      <c r="E889" s="38" t="s">
        <v>11411</v>
      </c>
      <c r="F889" s="38" t="s">
        <v>220</v>
      </c>
      <c r="G889" s="38" t="s">
        <v>11412</v>
      </c>
      <c r="H889" s="38" t="s">
        <v>11399</v>
      </c>
    </row>
    <row r="890">
      <c r="A890" s="37">
        <f>IFERROR(__xludf.DUMMYFUNCTION("""COMPUTED_VALUE"""),45920.58139395833)</f>
        <v>45920.58139</v>
      </c>
      <c r="B890" s="38" t="str">
        <f>IFERROR(__xludf.DUMMYFUNCTION("""COMPUTED_VALUE"""),"TERSIANA KADJA PAU")</f>
        <v>TERSIANA KADJA PAU</v>
      </c>
      <c r="C890" s="38" t="str">
        <f>IFERROR(__xludf.DUMMYFUNCTION("""COMPUTED_VALUE"""),"Belum disetujui")</f>
        <v>Belum disetujui</v>
      </c>
      <c r="D890" s="38"/>
      <c r="E890" s="38" t="s">
        <v>11411</v>
      </c>
      <c r="F890" s="38" t="s">
        <v>220</v>
      </c>
      <c r="G890" s="38" t="s">
        <v>11412</v>
      </c>
      <c r="H890" s="38" t="s">
        <v>11399</v>
      </c>
    </row>
    <row r="891">
      <c r="A891" s="37">
        <f>IFERROR(__xludf.DUMMYFUNCTION("""COMPUTED_VALUE"""),45920.605540717595)</f>
        <v>45920.60554</v>
      </c>
      <c r="B891" s="38" t="str">
        <f>IFERROR(__xludf.DUMMYFUNCTION("""COMPUTED_VALUE"""),"MERDA PUTRI BUNGSU KENAT")</f>
        <v>MERDA PUTRI BUNGSU KENAT</v>
      </c>
      <c r="C891" s="38" t="str">
        <f>IFERROR(__xludf.DUMMYFUNCTION("""COMPUTED_VALUE"""),"ACC")</f>
        <v>ACC</v>
      </c>
      <c r="D891" s="38" t="str">
        <f>IFERROR(__xludf.DUMMYFUNCTION("""COMPUTED_VALUE"""),"Y400 series")</f>
        <v>Y400 series</v>
      </c>
      <c r="E891" s="38" t="s">
        <v>11422</v>
      </c>
      <c r="F891" s="38" t="s">
        <v>215</v>
      </c>
      <c r="G891" s="38" t="s">
        <v>11423</v>
      </c>
      <c r="H891" s="38" t="s">
        <v>11424</v>
      </c>
    </row>
    <row r="892">
      <c r="A892" s="37">
        <f>IFERROR(__xludf.DUMMYFUNCTION("""COMPUTED_VALUE"""),45920.619511504636)</f>
        <v>45920.61951</v>
      </c>
      <c r="B892" s="38" t="str">
        <f>IFERROR(__xludf.DUMMYFUNCTION("""COMPUTED_VALUE"""),"TERSIANA KADJA PAU")</f>
        <v>TERSIANA KADJA PAU</v>
      </c>
      <c r="C892" s="38" t="str">
        <f>IFERROR(__xludf.DUMMYFUNCTION("""COMPUTED_VALUE"""),"Belum disetujui")</f>
        <v>Belum disetujui</v>
      </c>
      <c r="D892" s="38"/>
      <c r="E892" s="38" t="s">
        <v>11411</v>
      </c>
      <c r="F892" s="38" t="s">
        <v>220</v>
      </c>
      <c r="G892" s="38" t="s">
        <v>11412</v>
      </c>
      <c r="H892" s="38" t="s">
        <v>11399</v>
      </c>
    </row>
    <row r="893">
      <c r="A893" s="37">
        <f>IFERROR(__xludf.DUMMYFUNCTION("""COMPUTED_VALUE"""),45920.65652125)</f>
        <v>45920.65652</v>
      </c>
      <c r="B893" s="38" t="str">
        <f>IFERROR(__xludf.DUMMYFUNCTION("""COMPUTED_VALUE"""),"NOVANTRY RUTHANIA NAFFIE")</f>
        <v>NOVANTRY RUTHANIA NAFFIE</v>
      </c>
      <c r="C893" s="38" t="str">
        <f>IFERROR(__xludf.DUMMYFUNCTION("""COMPUTED_VALUE"""),"Belum disetujui")</f>
        <v>Belum disetujui</v>
      </c>
      <c r="D893" s="38"/>
      <c r="E893" s="38" t="s">
        <v>11397</v>
      </c>
      <c r="F893" s="38" t="s">
        <v>220</v>
      </c>
      <c r="G893" s="38" t="s">
        <v>11398</v>
      </c>
      <c r="H893" s="38" t="s">
        <v>11399</v>
      </c>
    </row>
    <row r="894">
      <c r="A894" s="37">
        <f>IFERROR(__xludf.DUMMYFUNCTION("""COMPUTED_VALUE"""),45920.667317395826)</f>
        <v>45920.66732</v>
      </c>
      <c r="B894" s="38" t="str">
        <f>IFERROR(__xludf.DUMMYFUNCTION("""COMPUTED_VALUE"""),"EMPI FRANGKI LIEM")</f>
        <v>EMPI FRANGKI LIEM</v>
      </c>
      <c r="C894" s="38" t="str">
        <f>IFERROR(__xludf.DUMMYFUNCTION("""COMPUTED_VALUE"""),"Belum disetujui")</f>
        <v>Belum disetujui</v>
      </c>
      <c r="D894" s="38"/>
      <c r="E894" s="38" t="s">
        <v>11397</v>
      </c>
      <c r="F894" s="38" t="s">
        <v>220</v>
      </c>
      <c r="G894" s="38" t="s">
        <v>11398</v>
      </c>
      <c r="H894" s="38" t="s">
        <v>11399</v>
      </c>
    </row>
    <row r="895">
      <c r="A895" s="37">
        <f>IFERROR(__xludf.DUMMYFUNCTION("""COMPUTED_VALUE"""),45920.70218881944)</f>
        <v>45920.70219</v>
      </c>
      <c r="B895" s="38" t="str">
        <f>IFERROR(__xludf.DUMMYFUNCTION("""COMPUTED_VALUE"""),"WARDIA")</f>
        <v>WARDIA</v>
      </c>
      <c r="C895" s="38" t="str">
        <f>IFERROR(__xludf.DUMMYFUNCTION("""COMPUTED_VALUE"""),"Belum disetujui")</f>
        <v>Belum disetujui</v>
      </c>
      <c r="D895" s="38"/>
      <c r="E895" s="38" t="s">
        <v>11409</v>
      </c>
      <c r="F895" s="38" t="s">
        <v>204</v>
      </c>
      <c r="G895" s="38" t="s">
        <v>11410</v>
      </c>
      <c r="H895" s="38" t="s">
        <v>11399</v>
      </c>
    </row>
    <row r="896">
      <c r="A896" s="37">
        <f>IFERROR(__xludf.DUMMYFUNCTION("""COMPUTED_VALUE"""),45920.7035471875)</f>
        <v>45920.70355</v>
      </c>
      <c r="B896" s="38" t="str">
        <f>IFERROR(__xludf.DUMMYFUNCTION("""COMPUTED_VALUE"""),"WARDIA")</f>
        <v>WARDIA</v>
      </c>
      <c r="C896" s="38" t="str">
        <f>IFERROR(__xludf.DUMMYFUNCTION("""COMPUTED_VALUE"""),"Belum disetujui")</f>
        <v>Belum disetujui</v>
      </c>
      <c r="D896" s="38"/>
      <c r="E896" s="38" t="s">
        <v>11409</v>
      </c>
      <c r="F896" s="38" t="s">
        <v>204</v>
      </c>
      <c r="G896" s="38" t="s">
        <v>11410</v>
      </c>
      <c r="H896" s="38" t="s">
        <v>11399</v>
      </c>
    </row>
    <row r="897">
      <c r="A897" s="37">
        <f>IFERROR(__xludf.DUMMYFUNCTION("""COMPUTED_VALUE"""),45920.72322248842)</f>
        <v>45920.72322</v>
      </c>
      <c r="B897" s="38" t="str">
        <f>IFERROR(__xludf.DUMMYFUNCTION("""COMPUTED_VALUE"""),"YOMELIANA MARIA MAGNO")</f>
        <v>YOMELIANA MARIA MAGNO</v>
      </c>
      <c r="C897" s="38" t="str">
        <f>IFERROR(__xludf.DUMMYFUNCTION("""COMPUTED_VALUE"""),"Belum disetujui")</f>
        <v>Belum disetujui</v>
      </c>
      <c r="D897" s="38"/>
      <c r="E897" s="38" t="s">
        <v>11460</v>
      </c>
      <c r="F897" s="38" t="s">
        <v>871</v>
      </c>
      <c r="G897" s="38" t="s">
        <v>11461</v>
      </c>
      <c r="H897" s="38" t="s">
        <v>11424</v>
      </c>
    </row>
    <row r="898">
      <c r="A898" s="37">
        <f>IFERROR(__xludf.DUMMYFUNCTION("""COMPUTED_VALUE"""),45920.76648060185)</f>
        <v>45920.76648</v>
      </c>
      <c r="B898" s="38" t="str">
        <f>IFERROR(__xludf.DUMMYFUNCTION("""COMPUTED_VALUE"""),"WARDIA")</f>
        <v>WARDIA</v>
      </c>
      <c r="C898" s="38" t="str">
        <f>IFERROR(__xludf.DUMMYFUNCTION("""COMPUTED_VALUE"""),"Belum disetujui")</f>
        <v>Belum disetujui</v>
      </c>
      <c r="D898" s="38"/>
      <c r="E898" s="38" t="s">
        <v>11409</v>
      </c>
      <c r="F898" s="38" t="s">
        <v>204</v>
      </c>
      <c r="G898" s="38" t="s">
        <v>11410</v>
      </c>
      <c r="H898" s="38" t="s">
        <v>11399</v>
      </c>
    </row>
    <row r="899">
      <c r="A899" s="37">
        <f>IFERROR(__xludf.DUMMYFUNCTION("""COMPUTED_VALUE"""),45920.790969409725)</f>
        <v>45920.79097</v>
      </c>
      <c r="B899" s="38" t="str">
        <f>IFERROR(__xludf.DUMMYFUNCTION("""COMPUTED_VALUE"""),"AZ ZAHRA SITI ZAINAB")</f>
        <v>AZ ZAHRA SITI ZAINAB</v>
      </c>
      <c r="C899" s="38" t="str">
        <f>IFERROR(__xludf.DUMMYFUNCTION("""COMPUTED_VALUE"""),"ACC")</f>
        <v>ACC</v>
      </c>
      <c r="D899" s="38" t="str">
        <f>IFERROR(__xludf.DUMMYFUNCTION("""COMPUTED_VALUE"""),"Y400 series")</f>
        <v>Y400 series</v>
      </c>
      <c r="E899" s="38" t="s">
        <v>11462</v>
      </c>
      <c r="F899" s="38" t="s">
        <v>257</v>
      </c>
      <c r="G899" s="38" t="s">
        <v>11463</v>
      </c>
      <c r="H899" s="38" t="s">
        <v>11419</v>
      </c>
    </row>
    <row r="900">
      <c r="A900" s="37">
        <f>IFERROR(__xludf.DUMMYFUNCTION("""COMPUTED_VALUE"""),45920.81334172453)</f>
        <v>45920.81334</v>
      </c>
      <c r="B900" s="38" t="str">
        <f>IFERROR(__xludf.DUMMYFUNCTION("""COMPUTED_VALUE"""),"ALDIANA WELIA PANIE")</f>
        <v>ALDIANA WELIA PANIE</v>
      </c>
      <c r="C900" s="38" t="str">
        <f>IFERROR(__xludf.DUMMYFUNCTION("""COMPUTED_VALUE"""),"Belum disetujui")</f>
        <v>Belum disetujui</v>
      </c>
      <c r="D900" s="38"/>
      <c r="E900" s="38" t="s">
        <v>11422</v>
      </c>
      <c r="F900" s="38" t="s">
        <v>215</v>
      </c>
      <c r="G900" s="38" t="s">
        <v>11423</v>
      </c>
      <c r="H900" s="38" t="s">
        <v>11424</v>
      </c>
    </row>
    <row r="901">
      <c r="A901" s="37">
        <f>IFERROR(__xludf.DUMMYFUNCTION("""COMPUTED_VALUE"""),45920.81724373843)</f>
        <v>45920.81724</v>
      </c>
      <c r="B901" s="38" t="str">
        <f>IFERROR(__xludf.DUMMYFUNCTION("""COMPUTED_VALUE"""),"YOMELIANA MARIA MAGNO")</f>
        <v>YOMELIANA MARIA MAGNO</v>
      </c>
      <c r="C901" s="38" t="str">
        <f>IFERROR(__xludf.DUMMYFUNCTION("""COMPUTED_VALUE"""),"Dapat limit tapi belum diproses")</f>
        <v>Dapat limit tapi belum diproses</v>
      </c>
      <c r="D901" s="38" t="str">
        <f>IFERROR(__xludf.DUMMYFUNCTION("""COMPUTED_VALUE"""),"Y400 series")</f>
        <v>Y400 series</v>
      </c>
      <c r="E901" s="38" t="s">
        <v>11460</v>
      </c>
      <c r="F901" s="38" t="s">
        <v>871</v>
      </c>
      <c r="G901" s="38" t="s">
        <v>11461</v>
      </c>
      <c r="H901" s="38" t="s">
        <v>11424</v>
      </c>
    </row>
    <row r="902">
      <c r="A902" s="37">
        <f>IFERROR(__xludf.DUMMYFUNCTION("""COMPUTED_VALUE"""),45920.82464994213)</f>
        <v>45920.82465</v>
      </c>
      <c r="B902" s="38" t="str">
        <f>IFERROR(__xludf.DUMMYFUNCTION("""COMPUTED_VALUE"""),"PRETI SISILIA SILA")</f>
        <v>PRETI SISILIA SILA</v>
      </c>
      <c r="C902" s="38" t="str">
        <f>IFERROR(__xludf.DUMMYFUNCTION("""COMPUTED_VALUE"""),"ACC")</f>
        <v>ACC</v>
      </c>
      <c r="D902" s="38" t="str">
        <f>IFERROR(__xludf.DUMMYFUNCTION("""COMPUTED_VALUE"""),"Y400 series")</f>
        <v>Y400 series</v>
      </c>
      <c r="E902" s="38" t="s">
        <v>11456</v>
      </c>
      <c r="F902" s="38" t="s">
        <v>667</v>
      </c>
      <c r="G902" s="38" t="s">
        <v>11457</v>
      </c>
      <c r="H902" s="38" t="s">
        <v>11424</v>
      </c>
    </row>
    <row r="903">
      <c r="A903" s="37">
        <f>IFERROR(__xludf.DUMMYFUNCTION("""COMPUTED_VALUE"""),45920.84448484954)</f>
        <v>45920.84448</v>
      </c>
      <c r="B903" s="38" t="str">
        <f>IFERROR(__xludf.DUMMYFUNCTION("""COMPUTED_VALUE"""),"MARATHA MARLINDA FANGGIDAE")</f>
        <v>MARATHA MARLINDA FANGGIDAE</v>
      </c>
      <c r="C903" s="38" t="str">
        <f>IFERROR(__xludf.DUMMYFUNCTION("""COMPUTED_VALUE"""),"Belum disetujui")</f>
        <v>Belum disetujui</v>
      </c>
      <c r="D903" s="38"/>
      <c r="E903" s="38" t="s">
        <v>11435</v>
      </c>
      <c r="F903" s="38" t="s">
        <v>215</v>
      </c>
      <c r="G903" s="38" t="s">
        <v>11436</v>
      </c>
      <c r="H903" s="38" t="s">
        <v>11424</v>
      </c>
    </row>
    <row r="904">
      <c r="A904" s="37">
        <f>IFERROR(__xludf.DUMMYFUNCTION("""COMPUTED_VALUE"""),45920.84511672454)</f>
        <v>45920.84512</v>
      </c>
      <c r="B904" s="38" t="str">
        <f>IFERROR(__xludf.DUMMYFUNCTION("""COMPUTED_VALUE"""),"PATRIANI MENGI ULY")</f>
        <v>PATRIANI MENGI ULY</v>
      </c>
      <c r="C904" s="38" t="str">
        <f>IFERROR(__xludf.DUMMYFUNCTION("""COMPUTED_VALUE"""),"Belum disetujui")</f>
        <v>Belum disetujui</v>
      </c>
      <c r="D904" s="38"/>
      <c r="E904" s="38" t="s">
        <v>11402</v>
      </c>
      <c r="F904" s="38" t="s">
        <v>204</v>
      </c>
      <c r="G904" s="38" t="s">
        <v>11403</v>
      </c>
      <c r="H904" s="38" t="s">
        <v>11399</v>
      </c>
    </row>
    <row r="905">
      <c r="A905" s="37">
        <f>IFERROR(__xludf.DUMMYFUNCTION("""COMPUTED_VALUE"""),45920.85836376157)</f>
        <v>45920.85836</v>
      </c>
      <c r="B905" s="38" t="str">
        <f>IFERROR(__xludf.DUMMYFUNCTION("""COMPUTED_VALUE"""),"ANYARMITHA SOPHIA SUEK")</f>
        <v>ANYARMITHA SOPHIA SUEK</v>
      </c>
      <c r="C905" s="38" t="str">
        <f>IFERROR(__xludf.DUMMYFUNCTION("""COMPUTED_VALUE"""),"Belum disetujui")</f>
        <v>Belum disetujui</v>
      </c>
      <c r="D905" s="38"/>
      <c r="E905" s="38" t="s">
        <v>11443</v>
      </c>
      <c r="F905" s="38" t="s">
        <v>220</v>
      </c>
      <c r="G905" s="38" t="s">
        <v>11444</v>
      </c>
      <c r="H905" s="38" t="s">
        <v>11399</v>
      </c>
    </row>
    <row r="906">
      <c r="A906" s="37">
        <f>IFERROR(__xludf.DUMMYFUNCTION("""COMPUTED_VALUE"""),45920.86117715278)</f>
        <v>45920.86118</v>
      </c>
      <c r="B906" s="38" t="str">
        <f>IFERROR(__xludf.DUMMYFUNCTION("""COMPUTED_VALUE"""),"WARDIA")</f>
        <v>WARDIA</v>
      </c>
      <c r="C906" s="38" t="str">
        <f>IFERROR(__xludf.DUMMYFUNCTION("""COMPUTED_VALUE"""),"Belum disetujui")</f>
        <v>Belum disetujui</v>
      </c>
      <c r="D906" s="38"/>
      <c r="E906" s="38" t="s">
        <v>11409</v>
      </c>
      <c r="F906" s="38" t="s">
        <v>204</v>
      </c>
      <c r="G906" s="38" t="s">
        <v>11410</v>
      </c>
      <c r="H906" s="38" t="s">
        <v>11399</v>
      </c>
    </row>
    <row r="907">
      <c r="A907" s="37">
        <f>IFERROR(__xludf.DUMMYFUNCTION("""COMPUTED_VALUE"""),45920.86181650463)</f>
        <v>45920.86182</v>
      </c>
      <c r="B907" s="38" t="str">
        <f>IFERROR(__xludf.DUMMYFUNCTION("""COMPUTED_VALUE"""),"DEMARISTI S H FENI")</f>
        <v>DEMARISTI S H FENI</v>
      </c>
      <c r="C907" s="38" t="str">
        <f>IFERROR(__xludf.DUMMYFUNCTION("""COMPUTED_VALUE"""),"Belum disetujui")</f>
        <v>Belum disetujui</v>
      </c>
      <c r="D907" s="38"/>
      <c r="E907" s="38" t="s">
        <v>11404</v>
      </c>
      <c r="F907" s="38" t="s">
        <v>11404</v>
      </c>
      <c r="G907" s="38" t="s">
        <v>11404</v>
      </c>
      <c r="H907" s="38" t="s">
        <v>11404</v>
      </c>
    </row>
    <row r="908">
      <c r="A908" s="37">
        <f>IFERROR(__xludf.DUMMYFUNCTION("""COMPUTED_VALUE"""),45921.45035071759)</f>
        <v>45921.45035</v>
      </c>
      <c r="B908" s="38" t="str">
        <f>IFERROR(__xludf.DUMMYFUNCTION("""COMPUTED_VALUE"""),"SELVINCE BAKO")</f>
        <v>SELVINCE BAKO</v>
      </c>
      <c r="C908" s="38" t="str">
        <f>IFERROR(__xludf.DUMMYFUNCTION("""COMPUTED_VALUE"""),"Belum disetujui")</f>
        <v>Belum disetujui</v>
      </c>
      <c r="D908" s="38"/>
      <c r="E908" s="38" t="s">
        <v>11413</v>
      </c>
      <c r="F908" s="38" t="s">
        <v>204</v>
      </c>
      <c r="G908" s="38" t="s">
        <v>11414</v>
      </c>
      <c r="H908" s="38" t="s">
        <v>11399</v>
      </c>
    </row>
    <row r="909">
      <c r="A909" s="37">
        <f>IFERROR(__xludf.DUMMYFUNCTION("""COMPUTED_VALUE"""),45921.55621809028)</f>
        <v>45921.55622</v>
      </c>
      <c r="B909" s="38" t="str">
        <f>IFERROR(__xludf.DUMMYFUNCTION("""COMPUTED_VALUE"""),"ASRI NINGSI RAMBU ATA ENDI")</f>
        <v>ASRI NINGSI RAMBU ATA ENDI</v>
      </c>
      <c r="C909" s="38" t="str">
        <f>IFERROR(__xludf.DUMMYFUNCTION("""COMPUTED_VALUE"""),"Belum disetujui")</f>
        <v>Belum disetujui</v>
      </c>
      <c r="D909" s="38"/>
      <c r="E909" s="38" t="s">
        <v>11441</v>
      </c>
      <c r="F909" s="38" t="s">
        <v>205</v>
      </c>
      <c r="G909" s="38" t="s">
        <v>11442</v>
      </c>
      <c r="H909" s="38" t="s">
        <v>11419</v>
      </c>
    </row>
    <row r="910">
      <c r="A910" s="37">
        <f>IFERROR(__xludf.DUMMYFUNCTION("""COMPUTED_VALUE"""),45921.5883871875)</f>
        <v>45921.58839</v>
      </c>
      <c r="B910" s="38" t="str">
        <f>IFERROR(__xludf.DUMMYFUNCTION("""COMPUTED_VALUE"""),"ASRI NINGSI RAMBU ATA ENDI")</f>
        <v>ASRI NINGSI RAMBU ATA ENDI</v>
      </c>
      <c r="C910" s="38" t="str">
        <f>IFERROR(__xludf.DUMMYFUNCTION("""COMPUTED_VALUE"""),"ACC")</f>
        <v>ACC</v>
      </c>
      <c r="D910" s="38" t="str">
        <f>IFERROR(__xludf.DUMMYFUNCTION("""COMPUTED_VALUE"""),"Y400 series")</f>
        <v>Y400 series</v>
      </c>
      <c r="E910" s="38" t="s">
        <v>11441</v>
      </c>
      <c r="F910" s="38" t="s">
        <v>205</v>
      </c>
      <c r="G910" s="38" t="s">
        <v>11442</v>
      </c>
      <c r="H910" s="38" t="s">
        <v>11419</v>
      </c>
    </row>
    <row r="911">
      <c r="A911" s="37">
        <f>IFERROR(__xludf.DUMMYFUNCTION("""COMPUTED_VALUE"""),45921.664887604165)</f>
        <v>45921.66489</v>
      </c>
      <c r="B911" s="38" t="str">
        <f>IFERROR(__xludf.DUMMYFUNCTION("""COMPUTED_VALUE"""),"ADRIANA")</f>
        <v>ADRIANA</v>
      </c>
      <c r="C911" s="38" t="str">
        <f>IFERROR(__xludf.DUMMYFUNCTION("""COMPUTED_VALUE"""),"Belum disetujui")</f>
        <v>Belum disetujui</v>
      </c>
      <c r="D911" s="38"/>
      <c r="E911" s="38" t="s">
        <v>11433</v>
      </c>
      <c r="F911" s="38" t="s">
        <v>313</v>
      </c>
      <c r="G911" s="38" t="s">
        <v>11434</v>
      </c>
      <c r="H911" s="38" t="s">
        <v>11424</v>
      </c>
    </row>
    <row r="912">
      <c r="A912" s="37">
        <f>IFERROR(__xludf.DUMMYFUNCTION("""COMPUTED_VALUE"""),45921.69277194444)</f>
        <v>45921.69277</v>
      </c>
      <c r="B912" s="38" t="str">
        <f>IFERROR(__xludf.DUMMYFUNCTION("""COMPUTED_VALUE"""),"ASRI NINGSI RAMBU ATA ENDI")</f>
        <v>ASRI NINGSI RAMBU ATA ENDI</v>
      </c>
      <c r="C912" s="38" t="str">
        <f>IFERROR(__xludf.DUMMYFUNCTION("""COMPUTED_VALUE"""),"Belum disetujui")</f>
        <v>Belum disetujui</v>
      </c>
      <c r="D912" s="38"/>
      <c r="E912" s="38" t="s">
        <v>11441</v>
      </c>
      <c r="F912" s="38" t="s">
        <v>205</v>
      </c>
      <c r="G912" s="38" t="s">
        <v>11442</v>
      </c>
      <c r="H912" s="38" t="s">
        <v>11419</v>
      </c>
    </row>
    <row r="913">
      <c r="A913" s="37">
        <f>IFERROR(__xludf.DUMMYFUNCTION("""COMPUTED_VALUE"""),45921.72800738426)</f>
        <v>45921.72801</v>
      </c>
      <c r="B913" s="38" t="str">
        <f>IFERROR(__xludf.DUMMYFUNCTION("""COMPUTED_VALUE"""),"AZ ZAHRA SITI ZAINAB")</f>
        <v>AZ ZAHRA SITI ZAINAB</v>
      </c>
      <c r="C913" s="38" t="str">
        <f>IFERROR(__xludf.DUMMYFUNCTION("""COMPUTED_VALUE"""),"Belum disetujui")</f>
        <v>Belum disetujui</v>
      </c>
      <c r="D913" s="38"/>
      <c r="E913" s="38" t="s">
        <v>11462</v>
      </c>
      <c r="F913" s="38" t="s">
        <v>257</v>
      </c>
      <c r="G913" s="38" t="s">
        <v>11463</v>
      </c>
      <c r="H913" s="38" t="s">
        <v>11419</v>
      </c>
    </row>
    <row r="914">
      <c r="A914" s="37">
        <f>IFERROR(__xludf.DUMMYFUNCTION("""COMPUTED_VALUE"""),45921.73159983796)</f>
        <v>45921.7316</v>
      </c>
      <c r="B914" s="38" t="str">
        <f>IFERROR(__xludf.DUMMYFUNCTION("""COMPUTED_VALUE"""),"SULIS NURAINI INSYATUN")</f>
        <v>SULIS NURAINI INSYATUN</v>
      </c>
      <c r="C914" s="38" t="str">
        <f>IFERROR(__xludf.DUMMYFUNCTION("""COMPUTED_VALUE"""),"Belum disetujui")</f>
        <v>Belum disetujui</v>
      </c>
      <c r="D914" s="38"/>
      <c r="E914" s="38" t="s">
        <v>11429</v>
      </c>
      <c r="F914" s="38" t="s">
        <v>257</v>
      </c>
      <c r="G914" s="38" t="s">
        <v>11430</v>
      </c>
      <c r="H914" s="38" t="s">
        <v>11419</v>
      </c>
    </row>
    <row r="915">
      <c r="A915" s="37">
        <f>IFERROR(__xludf.DUMMYFUNCTION("""COMPUTED_VALUE"""),45921.78445614583)</f>
        <v>45921.78446</v>
      </c>
      <c r="B915" s="38" t="str">
        <f>IFERROR(__xludf.DUMMYFUNCTION("""COMPUTED_VALUE"""),"WARDIA")</f>
        <v>WARDIA</v>
      </c>
      <c r="C915" s="38" t="str">
        <f>IFERROR(__xludf.DUMMYFUNCTION("""COMPUTED_VALUE"""),"Belum disetujui")</f>
        <v>Belum disetujui</v>
      </c>
      <c r="D915" s="38"/>
      <c r="E915" s="38" t="s">
        <v>11409</v>
      </c>
      <c r="F915" s="38" t="s">
        <v>204</v>
      </c>
      <c r="G915" s="38" t="s">
        <v>11410</v>
      </c>
      <c r="H915" s="38" t="s">
        <v>11399</v>
      </c>
    </row>
    <row r="916">
      <c r="A916" s="37">
        <f>IFERROR(__xludf.DUMMYFUNCTION("""COMPUTED_VALUE"""),45921.78863341435)</f>
        <v>45921.78863</v>
      </c>
      <c r="B916" s="38" t="str">
        <f>IFERROR(__xludf.DUMMYFUNCTION("""COMPUTED_VALUE"""),"MEXY ALEXANDER HETMINA")</f>
        <v>MEXY ALEXANDER HETMINA</v>
      </c>
      <c r="C916" s="38" t="str">
        <f>IFERROR(__xludf.DUMMYFUNCTION("""COMPUTED_VALUE"""),"Belum disetujui")</f>
        <v>Belum disetujui</v>
      </c>
      <c r="D916" s="38"/>
      <c r="E916" s="38" t="s">
        <v>11413</v>
      </c>
      <c r="F916" s="38" t="s">
        <v>204</v>
      </c>
      <c r="G916" s="38" t="s">
        <v>11414</v>
      </c>
      <c r="H916" s="38" t="s">
        <v>11399</v>
      </c>
    </row>
    <row r="917">
      <c r="A917" s="37">
        <f>IFERROR(__xludf.DUMMYFUNCTION("""COMPUTED_VALUE"""),45921.88309456019)</f>
        <v>45921.88309</v>
      </c>
      <c r="B917" s="38" t="str">
        <f>IFERROR(__xludf.DUMMYFUNCTION("""COMPUTED_VALUE"""),"TERSIANA KADJA PAU")</f>
        <v>TERSIANA KADJA PAU</v>
      </c>
      <c r="C917" s="38" t="str">
        <f>IFERROR(__xludf.DUMMYFUNCTION("""COMPUTED_VALUE"""),"Belum disetujui")</f>
        <v>Belum disetujui</v>
      </c>
      <c r="D917" s="38"/>
      <c r="E917" s="38" t="s">
        <v>11411</v>
      </c>
      <c r="F917" s="38" t="s">
        <v>220</v>
      </c>
      <c r="G917" s="38" t="s">
        <v>11412</v>
      </c>
      <c r="H917" s="38" t="s">
        <v>11399</v>
      </c>
    </row>
    <row r="918">
      <c r="A918" s="37">
        <f>IFERROR(__xludf.DUMMYFUNCTION("""COMPUTED_VALUE"""),45921.90648525463)</f>
        <v>45921.90649</v>
      </c>
      <c r="B918" s="38" t="str">
        <f>IFERROR(__xludf.DUMMYFUNCTION("""COMPUTED_VALUE"""),"MEXY ALEXANDER HETMINA")</f>
        <v>MEXY ALEXANDER HETMINA</v>
      </c>
      <c r="C918" s="38" t="str">
        <f>IFERROR(__xludf.DUMMYFUNCTION("""COMPUTED_VALUE"""),"Dapat limit tapi belum diproses")</f>
        <v>Dapat limit tapi belum diproses</v>
      </c>
      <c r="D918" s="38" t="str">
        <f>IFERROR(__xludf.DUMMYFUNCTION("""COMPUTED_VALUE"""),"Y400 series")</f>
        <v>Y400 series</v>
      </c>
      <c r="E918" s="38" t="s">
        <v>11413</v>
      </c>
      <c r="F918" s="38" t="s">
        <v>204</v>
      </c>
      <c r="G918" s="38" t="s">
        <v>11414</v>
      </c>
      <c r="H918" s="38" t="s">
        <v>11399</v>
      </c>
    </row>
    <row r="919">
      <c r="A919" s="37">
        <f>IFERROR(__xludf.DUMMYFUNCTION("""COMPUTED_VALUE"""),45921.92053310185)</f>
        <v>45921.92053</v>
      </c>
      <c r="B919" s="38" t="str">
        <f>IFERROR(__xludf.DUMMYFUNCTION("""COMPUTED_VALUE"""),"SELVINCE BAKO")</f>
        <v>SELVINCE BAKO</v>
      </c>
      <c r="C919" s="38" t="str">
        <f>IFERROR(__xludf.DUMMYFUNCTION("""COMPUTED_VALUE"""),"Belum disetujui")</f>
        <v>Belum disetujui</v>
      </c>
      <c r="D919" s="38"/>
      <c r="E919" s="38" t="s">
        <v>11413</v>
      </c>
      <c r="F919" s="38" t="s">
        <v>204</v>
      </c>
      <c r="G919" s="38" t="s">
        <v>11414</v>
      </c>
      <c r="H919" s="38" t="s">
        <v>11399</v>
      </c>
    </row>
    <row r="920">
      <c r="A920" s="37">
        <f>IFERROR(__xludf.DUMMYFUNCTION("""COMPUTED_VALUE"""),45921.92430314815)</f>
        <v>45921.9243</v>
      </c>
      <c r="B920" s="38" t="str">
        <f>IFERROR(__xludf.DUMMYFUNCTION("""COMPUTED_VALUE"""),"NOVANTRY RUTHANIA NAFFIE")</f>
        <v>NOVANTRY RUTHANIA NAFFIE</v>
      </c>
      <c r="C920" s="38" t="str">
        <f>IFERROR(__xludf.DUMMYFUNCTION("""COMPUTED_VALUE"""),"Belum disetujui")</f>
        <v>Belum disetujui</v>
      </c>
      <c r="D920" s="38"/>
      <c r="E920" s="38" t="s">
        <v>11397</v>
      </c>
      <c r="F920" s="38" t="s">
        <v>220</v>
      </c>
      <c r="G920" s="38" t="s">
        <v>11398</v>
      </c>
      <c r="H920" s="38" t="s">
        <v>11399</v>
      </c>
    </row>
    <row r="921">
      <c r="A921" s="37">
        <f>IFERROR(__xludf.DUMMYFUNCTION("""COMPUTED_VALUE"""),45921.93341912037)</f>
        <v>45921.93342</v>
      </c>
      <c r="B921" s="38" t="str">
        <f>IFERROR(__xludf.DUMMYFUNCTION("""COMPUTED_VALUE"""),"SKOLASTIKA B TAUNAES")</f>
        <v>SKOLASTIKA B TAUNAES</v>
      </c>
      <c r="C921" s="38" t="str">
        <f>IFERROR(__xludf.DUMMYFUNCTION("""COMPUTED_VALUE"""),"Belum disetujui")</f>
        <v>Belum disetujui</v>
      </c>
      <c r="D921" s="38"/>
      <c r="E921" s="38" t="s">
        <v>11413</v>
      </c>
      <c r="F921" s="38" t="s">
        <v>204</v>
      </c>
      <c r="G921" s="38" t="s">
        <v>11414</v>
      </c>
      <c r="H921" s="38" t="s">
        <v>11399</v>
      </c>
    </row>
    <row r="922">
      <c r="A922" s="37">
        <f>IFERROR(__xludf.DUMMYFUNCTION("""COMPUTED_VALUE"""),45921.93591222223)</f>
        <v>45921.93591</v>
      </c>
      <c r="B922" s="38" t="str">
        <f>IFERROR(__xludf.DUMMYFUNCTION("""COMPUTED_VALUE"""),"SKOLASTIKA B TAUNAES")</f>
        <v>SKOLASTIKA B TAUNAES</v>
      </c>
      <c r="C922" s="38" t="str">
        <f>IFERROR(__xludf.DUMMYFUNCTION("""COMPUTED_VALUE"""),"Belum disetujui")</f>
        <v>Belum disetujui</v>
      </c>
      <c r="D922" s="38"/>
      <c r="E922" s="38" t="s">
        <v>11413</v>
      </c>
      <c r="F922" s="38" t="s">
        <v>204</v>
      </c>
      <c r="G922" s="38" t="s">
        <v>11414</v>
      </c>
      <c r="H922" s="38" t="s">
        <v>11399</v>
      </c>
    </row>
    <row r="923">
      <c r="A923" s="37">
        <f>IFERROR(__xludf.DUMMYFUNCTION("""COMPUTED_VALUE"""),45921.978094363425)</f>
        <v>45921.97809</v>
      </c>
      <c r="B923" s="38" t="str">
        <f>IFERROR(__xludf.DUMMYFUNCTION("""COMPUTED_VALUE"""),"TERSIANA KADJA PAU")</f>
        <v>TERSIANA KADJA PAU</v>
      </c>
      <c r="C923" s="38" t="str">
        <f>IFERROR(__xludf.DUMMYFUNCTION("""COMPUTED_VALUE"""),"Belum disetujui")</f>
        <v>Belum disetujui</v>
      </c>
      <c r="D923" s="38"/>
      <c r="E923" s="38" t="s">
        <v>11411</v>
      </c>
      <c r="F923" s="38" t="s">
        <v>220</v>
      </c>
      <c r="G923" s="38" t="s">
        <v>11412</v>
      </c>
      <c r="H923" s="38" t="s">
        <v>11399</v>
      </c>
    </row>
    <row r="924">
      <c r="A924" s="37">
        <f>IFERROR(__xludf.DUMMYFUNCTION("""COMPUTED_VALUE"""),45922.429762685184)</f>
        <v>45922.42976</v>
      </c>
      <c r="B924" s="38" t="str">
        <f>IFERROR(__xludf.DUMMYFUNCTION("""COMPUTED_VALUE"""),"NOVLIANA BARBALINA MISA")</f>
        <v>NOVLIANA BARBALINA MISA</v>
      </c>
      <c r="C924" s="38" t="str">
        <f>IFERROR(__xludf.DUMMYFUNCTION("""COMPUTED_VALUE"""),"Belum disetujui")</f>
        <v>Belum disetujui</v>
      </c>
      <c r="D924" s="38"/>
      <c r="E924" s="38" t="s">
        <v>11454</v>
      </c>
      <c r="F924" s="38" t="s">
        <v>205</v>
      </c>
      <c r="G924" s="38" t="s">
        <v>11455</v>
      </c>
      <c r="H924" s="38" t="s">
        <v>11419</v>
      </c>
    </row>
    <row r="925">
      <c r="A925" s="37">
        <f>IFERROR(__xludf.DUMMYFUNCTION("""COMPUTED_VALUE"""),45922.436720682876)</f>
        <v>45922.43672</v>
      </c>
      <c r="B925" s="38" t="str">
        <f>IFERROR(__xludf.DUMMYFUNCTION("""COMPUTED_VALUE"""),"ASTUTI BELA WAWO")</f>
        <v>ASTUTI BELA WAWO</v>
      </c>
      <c r="C925" s="38" t="str">
        <f>IFERROR(__xludf.DUMMYFUNCTION("""COMPUTED_VALUE"""),"Dapat limit tapi belum diproses")</f>
        <v>Dapat limit tapi belum diproses</v>
      </c>
      <c r="D925" s="38" t="str">
        <f>IFERROR(__xludf.DUMMYFUNCTION("""COMPUTED_VALUE"""),"V50 series")</f>
        <v>V50 series</v>
      </c>
      <c r="E925" s="38" t="s">
        <v>11427</v>
      </c>
      <c r="F925" s="38" t="s">
        <v>257</v>
      </c>
      <c r="G925" s="38" t="s">
        <v>11428</v>
      </c>
      <c r="H925" s="38" t="s">
        <v>11419</v>
      </c>
    </row>
    <row r="926">
      <c r="A926" s="37">
        <f>IFERROR(__xludf.DUMMYFUNCTION("""COMPUTED_VALUE"""),45922.452886307874)</f>
        <v>45922.45289</v>
      </c>
      <c r="B926" s="38" t="str">
        <f>IFERROR(__xludf.DUMMYFUNCTION("""COMPUTED_VALUE"""),"PRETI SISILIA SILA")</f>
        <v>PRETI SISILIA SILA</v>
      </c>
      <c r="C926" s="38" t="str">
        <f>IFERROR(__xludf.DUMMYFUNCTION("""COMPUTED_VALUE"""),"Belum disetujui")</f>
        <v>Belum disetujui</v>
      </c>
      <c r="D926" s="38"/>
      <c r="E926" s="38" t="s">
        <v>11456</v>
      </c>
      <c r="F926" s="38" t="s">
        <v>667</v>
      </c>
      <c r="G926" s="38" t="s">
        <v>11457</v>
      </c>
      <c r="H926" s="38" t="s">
        <v>11424</v>
      </c>
    </row>
    <row r="927">
      <c r="A927" s="37">
        <f>IFERROR(__xludf.DUMMYFUNCTION("""COMPUTED_VALUE"""),45922.49100991898)</f>
        <v>45922.49101</v>
      </c>
      <c r="B927" s="38" t="str">
        <f>IFERROR(__xludf.DUMMYFUNCTION("""COMPUTED_VALUE"""),"AINI RAHMATINI NATALIA MOESTAKIM")</f>
        <v>AINI RAHMATINI NATALIA MOESTAKIM</v>
      </c>
      <c r="C927" s="38" t="str">
        <f>IFERROR(__xludf.DUMMYFUNCTION("""COMPUTED_VALUE"""),"Belum disetujui")</f>
        <v>Belum disetujui</v>
      </c>
      <c r="D927" s="38"/>
      <c r="E927" s="38" t="s">
        <v>11409</v>
      </c>
      <c r="F927" s="38" t="s">
        <v>204</v>
      </c>
      <c r="G927" s="38" t="s">
        <v>11410</v>
      </c>
      <c r="H927" s="38" t="s">
        <v>11399</v>
      </c>
    </row>
    <row r="928">
      <c r="A928" s="37">
        <f>IFERROR(__xludf.DUMMYFUNCTION("""COMPUTED_VALUE"""),45922.49948388889)</f>
        <v>45922.49948</v>
      </c>
      <c r="B928" s="38" t="str">
        <f>IFERROR(__xludf.DUMMYFUNCTION("""COMPUTED_VALUE"""),"MERDA PUTRI BUNGSU KENAT")</f>
        <v>MERDA PUTRI BUNGSU KENAT</v>
      </c>
      <c r="C928" s="38" t="str">
        <f>IFERROR(__xludf.DUMMYFUNCTION("""COMPUTED_VALUE"""),"Dapat limit tapi belum diproses")</f>
        <v>Dapat limit tapi belum diproses</v>
      </c>
      <c r="D928" s="38" t="str">
        <f>IFERROR(__xludf.DUMMYFUNCTION("""COMPUTED_VALUE"""),"V50 Lite series")</f>
        <v>V50 Lite series</v>
      </c>
      <c r="E928" s="38" t="s">
        <v>11422</v>
      </c>
      <c r="F928" s="38" t="s">
        <v>215</v>
      </c>
      <c r="G928" s="38" t="s">
        <v>11423</v>
      </c>
      <c r="H928" s="38" t="s">
        <v>11424</v>
      </c>
    </row>
    <row r="929">
      <c r="A929" s="37">
        <f>IFERROR(__xludf.DUMMYFUNCTION("""COMPUTED_VALUE"""),45922.51392881945)</f>
        <v>45922.51393</v>
      </c>
      <c r="B929" s="38" t="str">
        <f>IFERROR(__xludf.DUMMYFUNCTION("""COMPUTED_VALUE"""),"AZ ZAHRA SITI ZAINAB")</f>
        <v>AZ ZAHRA SITI ZAINAB</v>
      </c>
      <c r="C929" s="38" t="str">
        <f>IFERROR(__xludf.DUMMYFUNCTION("""COMPUTED_VALUE"""),"Belum disetujui")</f>
        <v>Belum disetujui</v>
      </c>
      <c r="D929" s="38"/>
      <c r="E929" s="38" t="s">
        <v>11462</v>
      </c>
      <c r="F929" s="38" t="s">
        <v>257</v>
      </c>
      <c r="G929" s="38" t="s">
        <v>11463</v>
      </c>
      <c r="H929" s="38" t="s">
        <v>11419</v>
      </c>
    </row>
    <row r="930">
      <c r="A930" s="37">
        <f>IFERROR(__xludf.DUMMYFUNCTION("""COMPUTED_VALUE"""),45922.52581172454)</f>
        <v>45922.52581</v>
      </c>
      <c r="B930" s="38" t="str">
        <f>IFERROR(__xludf.DUMMYFUNCTION("""COMPUTED_VALUE"""),"MERDA PUTRI BUNGSU KENAT")</f>
        <v>MERDA PUTRI BUNGSU KENAT</v>
      </c>
      <c r="C930" s="38" t="str">
        <f>IFERROR(__xludf.DUMMYFUNCTION("""COMPUTED_VALUE"""),"ACC")</f>
        <v>ACC</v>
      </c>
      <c r="D930" s="38" t="str">
        <f>IFERROR(__xludf.DUMMYFUNCTION("""COMPUTED_VALUE"""),"Y400 series")</f>
        <v>Y400 series</v>
      </c>
      <c r="E930" s="38" t="s">
        <v>11422</v>
      </c>
      <c r="F930" s="38" t="s">
        <v>215</v>
      </c>
      <c r="G930" s="38" t="s">
        <v>11423</v>
      </c>
      <c r="H930" s="38" t="s">
        <v>11424</v>
      </c>
    </row>
    <row r="931">
      <c r="A931" s="37">
        <f>IFERROR(__xludf.DUMMYFUNCTION("""COMPUTED_VALUE"""),45922.540160254626)</f>
        <v>45922.54016</v>
      </c>
      <c r="B931" s="38" t="str">
        <f>IFERROR(__xludf.DUMMYFUNCTION("""COMPUTED_VALUE"""),"KESIA NATALIA I. BENU")</f>
        <v>KESIA NATALIA I. BENU</v>
      </c>
      <c r="C931" s="38" t="str">
        <f>IFERROR(__xludf.DUMMYFUNCTION("""COMPUTED_VALUE"""),"Belum disetujui")</f>
        <v>Belum disetujui</v>
      </c>
      <c r="D931" s="38"/>
      <c r="E931" s="38" t="s">
        <v>11417</v>
      </c>
      <c r="F931" s="38" t="s">
        <v>257</v>
      </c>
      <c r="G931" s="38" t="s">
        <v>11418</v>
      </c>
      <c r="H931" s="38" t="s">
        <v>11419</v>
      </c>
    </row>
    <row r="932">
      <c r="A932" s="37">
        <f>IFERROR(__xludf.DUMMYFUNCTION("""COMPUTED_VALUE"""),45922.571987986106)</f>
        <v>45922.57199</v>
      </c>
      <c r="B932" s="38" t="str">
        <f>IFERROR(__xludf.DUMMYFUNCTION("""COMPUTED_VALUE"""),"NUR FATIMAH MOLBANG")</f>
        <v>NUR FATIMAH MOLBANG</v>
      </c>
      <c r="C932" s="38" t="str">
        <f>IFERROR(__xludf.DUMMYFUNCTION("""COMPUTED_VALUE"""),"Belum disetujui")</f>
        <v>Belum disetujui</v>
      </c>
      <c r="D932" s="38"/>
      <c r="E932" s="38" t="s">
        <v>11439</v>
      </c>
      <c r="F932" s="38" t="s">
        <v>313</v>
      </c>
      <c r="G932" s="38" t="s">
        <v>11440</v>
      </c>
      <c r="H932" s="38" t="s">
        <v>11424</v>
      </c>
    </row>
    <row r="933">
      <c r="A933" s="37">
        <f>IFERROR(__xludf.DUMMYFUNCTION("""COMPUTED_VALUE"""),45922.58399164352)</f>
        <v>45922.58399</v>
      </c>
      <c r="B933" s="38" t="str">
        <f>IFERROR(__xludf.DUMMYFUNCTION("""COMPUTED_VALUE"""),"PATRIANI MENGI ULY")</f>
        <v>PATRIANI MENGI ULY</v>
      </c>
      <c r="C933" s="38" t="str">
        <f>IFERROR(__xludf.DUMMYFUNCTION("""COMPUTED_VALUE"""),"Belum disetujui")</f>
        <v>Belum disetujui</v>
      </c>
      <c r="D933" s="38"/>
      <c r="E933" s="38" t="s">
        <v>11402</v>
      </c>
      <c r="F933" s="38" t="s">
        <v>204</v>
      </c>
      <c r="G933" s="38" t="s">
        <v>11403</v>
      </c>
      <c r="H933" s="38" t="s">
        <v>11399</v>
      </c>
    </row>
    <row r="934">
      <c r="A934" s="37">
        <f>IFERROR(__xludf.DUMMYFUNCTION("""COMPUTED_VALUE"""),45922.58539599537)</f>
        <v>45922.5854</v>
      </c>
      <c r="B934" s="38" t="str">
        <f>IFERROR(__xludf.DUMMYFUNCTION("""COMPUTED_VALUE"""),"ADRIANA")</f>
        <v>ADRIANA</v>
      </c>
      <c r="C934" s="38" t="str">
        <f>IFERROR(__xludf.DUMMYFUNCTION("""COMPUTED_VALUE"""),"Belum disetujui")</f>
        <v>Belum disetujui</v>
      </c>
      <c r="D934" s="38"/>
      <c r="E934" s="38" t="s">
        <v>11433</v>
      </c>
      <c r="F934" s="38" t="s">
        <v>313</v>
      </c>
      <c r="G934" s="38" t="s">
        <v>11434</v>
      </c>
      <c r="H934" s="38" t="s">
        <v>11424</v>
      </c>
    </row>
    <row r="935">
      <c r="A935" s="37">
        <f>IFERROR(__xludf.DUMMYFUNCTION("""COMPUTED_VALUE"""),45922.58741989583)</f>
        <v>45922.58742</v>
      </c>
      <c r="B935" s="38" t="str">
        <f>IFERROR(__xludf.DUMMYFUNCTION("""COMPUTED_VALUE"""),"EMPI FRANGKI LIEM")</f>
        <v>EMPI FRANGKI LIEM</v>
      </c>
      <c r="C935" s="38" t="str">
        <f>IFERROR(__xludf.DUMMYFUNCTION("""COMPUTED_VALUE"""),"Belum disetujui")</f>
        <v>Belum disetujui</v>
      </c>
      <c r="D935" s="38"/>
      <c r="E935" s="38" t="s">
        <v>11397</v>
      </c>
      <c r="F935" s="38" t="s">
        <v>220</v>
      </c>
      <c r="G935" s="38" t="s">
        <v>11398</v>
      </c>
      <c r="H935" s="38" t="s">
        <v>11399</v>
      </c>
    </row>
    <row r="936">
      <c r="A936" s="37">
        <f>IFERROR(__xludf.DUMMYFUNCTION("""COMPUTED_VALUE"""),45922.64226452546)</f>
        <v>45922.64226</v>
      </c>
      <c r="B936" s="38" t="str">
        <f>IFERROR(__xludf.DUMMYFUNCTION("""COMPUTED_VALUE"""),"NOVANTRY RUTHANIA NAFFIE")</f>
        <v>NOVANTRY RUTHANIA NAFFIE</v>
      </c>
      <c r="C936" s="38" t="str">
        <f>IFERROR(__xludf.DUMMYFUNCTION("""COMPUTED_VALUE"""),"Belum disetujui")</f>
        <v>Belum disetujui</v>
      </c>
      <c r="D936" s="38"/>
      <c r="E936" s="38" t="s">
        <v>11397</v>
      </c>
      <c r="F936" s="38" t="s">
        <v>220</v>
      </c>
      <c r="G936" s="38" t="s">
        <v>11398</v>
      </c>
      <c r="H936" s="38" t="s">
        <v>11399</v>
      </c>
    </row>
    <row r="937">
      <c r="A937" s="37">
        <f>IFERROR(__xludf.DUMMYFUNCTION("""COMPUTED_VALUE"""),45922.654184826395)</f>
        <v>45922.65418</v>
      </c>
      <c r="B937" s="38" t="str">
        <f>IFERROR(__xludf.DUMMYFUNCTION("""COMPUTED_VALUE"""),"ROS YANE KANA LUDJI")</f>
        <v>ROS YANE KANA LUDJI</v>
      </c>
      <c r="C937" s="38" t="str">
        <f>IFERROR(__xludf.DUMMYFUNCTION("""COMPUTED_VALUE"""),"Belum disetujui")</f>
        <v>Belum disetujui</v>
      </c>
      <c r="D937" s="38"/>
      <c r="E937" s="38" t="s">
        <v>11437</v>
      </c>
      <c r="F937" s="38" t="s">
        <v>204</v>
      </c>
      <c r="G937" s="38" t="s">
        <v>11438</v>
      </c>
      <c r="H937" s="38" t="s">
        <v>11399</v>
      </c>
    </row>
    <row r="938">
      <c r="A938" s="37">
        <f>IFERROR(__xludf.DUMMYFUNCTION("""COMPUTED_VALUE"""),45922.65865053241)</f>
        <v>45922.65865</v>
      </c>
      <c r="B938" s="38" t="str">
        <f>IFERROR(__xludf.DUMMYFUNCTION("""COMPUTED_VALUE"""),"TERSIANA KADJA PAU")</f>
        <v>TERSIANA KADJA PAU</v>
      </c>
      <c r="C938" s="38" t="str">
        <f>IFERROR(__xludf.DUMMYFUNCTION("""COMPUTED_VALUE"""),"Belum disetujui")</f>
        <v>Belum disetujui</v>
      </c>
      <c r="D938" s="38"/>
      <c r="E938" s="38" t="s">
        <v>11411</v>
      </c>
      <c r="F938" s="38" t="s">
        <v>220</v>
      </c>
      <c r="G938" s="38" t="s">
        <v>11412</v>
      </c>
      <c r="H938" s="38" t="s">
        <v>11399</v>
      </c>
    </row>
    <row r="939">
      <c r="A939" s="37">
        <f>IFERROR(__xludf.DUMMYFUNCTION("""COMPUTED_VALUE"""),45922.68606395834)</f>
        <v>45922.68606</v>
      </c>
      <c r="B939" s="38" t="str">
        <f>IFERROR(__xludf.DUMMYFUNCTION("""COMPUTED_VALUE"""),"IDMAL YUSDIRAN YUSUF")</f>
        <v>IDMAL YUSDIRAN YUSUF</v>
      </c>
      <c r="C939" s="38" t="str">
        <f>IFERROR(__xludf.DUMMYFUNCTION("""COMPUTED_VALUE"""),"ACC")</f>
        <v>ACC</v>
      </c>
      <c r="D939" s="38" t="str">
        <f>IFERROR(__xludf.DUMMYFUNCTION("""COMPUTED_VALUE"""),"Y400 series")</f>
        <v>Y400 series</v>
      </c>
      <c r="E939" s="38" t="s">
        <v>11417</v>
      </c>
      <c r="F939" s="38" t="s">
        <v>257</v>
      </c>
      <c r="G939" s="38" t="s">
        <v>11418</v>
      </c>
      <c r="H939" s="38" t="s">
        <v>11419</v>
      </c>
    </row>
    <row r="940">
      <c r="A940" s="37">
        <f>IFERROR(__xludf.DUMMYFUNCTION("""COMPUTED_VALUE"""),45922.70914196759)</f>
        <v>45922.70914</v>
      </c>
      <c r="B940" s="38" t="str">
        <f>IFERROR(__xludf.DUMMYFUNCTION("""COMPUTED_VALUE"""),"TERSIANA KADJA PAU")</f>
        <v>TERSIANA KADJA PAU</v>
      </c>
      <c r="C940" s="38" t="str">
        <f>IFERROR(__xludf.DUMMYFUNCTION("""COMPUTED_VALUE"""),"Dapat limit tapi belum diproses")</f>
        <v>Dapat limit tapi belum diproses</v>
      </c>
      <c r="D940" s="38" t="str">
        <f>IFERROR(__xludf.DUMMYFUNCTION("""COMPUTED_VALUE"""),"V60 series")</f>
        <v>V60 series</v>
      </c>
      <c r="E940" s="38" t="s">
        <v>11411</v>
      </c>
      <c r="F940" s="38" t="s">
        <v>220</v>
      </c>
      <c r="G940" s="38" t="s">
        <v>11412</v>
      </c>
      <c r="H940" s="38" t="s">
        <v>11399</v>
      </c>
    </row>
    <row r="941">
      <c r="A941" s="37">
        <f>IFERROR(__xludf.DUMMYFUNCTION("""COMPUTED_VALUE"""),45922.71021631944)</f>
        <v>45922.71022</v>
      </c>
      <c r="B941" s="38" t="str">
        <f>IFERROR(__xludf.DUMMYFUNCTION("""COMPUTED_VALUE"""),"NOVLIANA BARBALINA MISA")</f>
        <v>NOVLIANA BARBALINA MISA</v>
      </c>
      <c r="C941" s="38" t="str">
        <f>IFERROR(__xludf.DUMMYFUNCTION("""COMPUTED_VALUE"""),"Belum disetujui")</f>
        <v>Belum disetujui</v>
      </c>
      <c r="D941" s="38"/>
      <c r="E941" s="38" t="s">
        <v>11454</v>
      </c>
      <c r="F941" s="38" t="s">
        <v>205</v>
      </c>
      <c r="G941" s="38" t="s">
        <v>11455</v>
      </c>
      <c r="H941" s="38" t="s">
        <v>11419</v>
      </c>
    </row>
    <row r="942">
      <c r="A942" s="37">
        <f>IFERROR(__xludf.DUMMYFUNCTION("""COMPUTED_VALUE"""),45922.71505600694)</f>
        <v>45922.71506</v>
      </c>
      <c r="B942" s="38" t="str">
        <f>IFERROR(__xludf.DUMMYFUNCTION("""COMPUTED_VALUE"""),"ASRI NINGSI RAMBU ATA ENDI")</f>
        <v>ASRI NINGSI RAMBU ATA ENDI</v>
      </c>
      <c r="C942" s="38" t="str">
        <f>IFERROR(__xludf.DUMMYFUNCTION("""COMPUTED_VALUE"""),"Dapat limit tapi belum diproses")</f>
        <v>Dapat limit tapi belum diproses</v>
      </c>
      <c r="D942" s="38" t="str">
        <f>IFERROR(__xludf.DUMMYFUNCTION("""COMPUTED_VALUE"""),"Y400 series")</f>
        <v>Y400 series</v>
      </c>
      <c r="E942" s="38" t="s">
        <v>11441</v>
      </c>
      <c r="F942" s="38" t="s">
        <v>205</v>
      </c>
      <c r="G942" s="38" t="s">
        <v>11442</v>
      </c>
      <c r="H942" s="38" t="s">
        <v>11419</v>
      </c>
    </row>
    <row r="943">
      <c r="A943" s="37">
        <f>IFERROR(__xludf.DUMMYFUNCTION("""COMPUTED_VALUE"""),45922.71718559027)</f>
        <v>45922.71719</v>
      </c>
      <c r="B943" s="38" t="str">
        <f>IFERROR(__xludf.DUMMYFUNCTION("""COMPUTED_VALUE"""),"ANITA ANA AMAH")</f>
        <v>ANITA ANA AMAH</v>
      </c>
      <c r="C943" s="38" t="str">
        <f>IFERROR(__xludf.DUMMYFUNCTION("""COMPUTED_VALUE"""),"Belum disetujui")</f>
        <v>Belum disetujui</v>
      </c>
      <c r="D943" s="38"/>
      <c r="E943" s="38" t="s">
        <v>11425</v>
      </c>
      <c r="F943" s="38" t="s">
        <v>205</v>
      </c>
      <c r="G943" s="38" t="s">
        <v>11426</v>
      </c>
      <c r="H943" s="38" t="s">
        <v>11419</v>
      </c>
    </row>
    <row r="944">
      <c r="A944" s="37">
        <f>IFERROR(__xludf.DUMMYFUNCTION("""COMPUTED_VALUE"""),45922.74761049769)</f>
        <v>45922.74761</v>
      </c>
      <c r="B944" s="38" t="str">
        <f>IFERROR(__xludf.DUMMYFUNCTION("""COMPUTED_VALUE"""),"MARNITHA JUWIKE TIMORATI RUNESI")</f>
        <v>MARNITHA JUWIKE TIMORATI RUNESI</v>
      </c>
      <c r="C944" s="38" t="str">
        <f>IFERROR(__xludf.DUMMYFUNCTION("""COMPUTED_VALUE"""),"Belum disetujui")</f>
        <v>Belum disetujui</v>
      </c>
      <c r="D944" s="38"/>
      <c r="E944" s="38" t="s">
        <v>11420</v>
      </c>
      <c r="F944" s="38" t="s">
        <v>204</v>
      </c>
      <c r="G944" s="38" t="s">
        <v>11421</v>
      </c>
      <c r="H944" s="38" t="s">
        <v>11399</v>
      </c>
    </row>
    <row r="945">
      <c r="A945" s="37">
        <f>IFERROR(__xludf.DUMMYFUNCTION("""COMPUTED_VALUE"""),45922.75465931713)</f>
        <v>45922.75466</v>
      </c>
      <c r="B945" s="38" t="str">
        <f>IFERROR(__xludf.DUMMYFUNCTION("""COMPUTED_VALUE"""),"BERGITHA NIA OLIN")</f>
        <v>BERGITHA NIA OLIN</v>
      </c>
      <c r="C945" s="38" t="str">
        <f>IFERROR(__xludf.DUMMYFUNCTION("""COMPUTED_VALUE"""),"Belum disetujui")</f>
        <v>Belum disetujui</v>
      </c>
      <c r="D945" s="38"/>
      <c r="E945" s="38" t="s">
        <v>11431</v>
      </c>
      <c r="F945" s="38" t="s">
        <v>313</v>
      </c>
      <c r="G945" s="38" t="s">
        <v>11432</v>
      </c>
      <c r="H945" s="38" t="s">
        <v>11424</v>
      </c>
    </row>
    <row r="946">
      <c r="A946" s="37">
        <f>IFERROR(__xludf.DUMMYFUNCTION("""COMPUTED_VALUE"""),45922.75653835648)</f>
        <v>45922.75654</v>
      </c>
      <c r="B946" s="38" t="str">
        <f>IFERROR(__xludf.DUMMYFUNCTION("""COMPUTED_VALUE"""),"ASTUTI BELA WAWO")</f>
        <v>ASTUTI BELA WAWO</v>
      </c>
      <c r="C946" s="38" t="str">
        <f>IFERROR(__xludf.DUMMYFUNCTION("""COMPUTED_VALUE"""),"ACC")</f>
        <v>ACC</v>
      </c>
      <c r="D946" s="38" t="str">
        <f>IFERROR(__xludf.DUMMYFUNCTION("""COMPUTED_VALUE"""),"V50 Lite series")</f>
        <v>V50 Lite series</v>
      </c>
      <c r="E946" s="38" t="s">
        <v>11427</v>
      </c>
      <c r="F946" s="38" t="s">
        <v>257</v>
      </c>
      <c r="G946" s="38" t="s">
        <v>11428</v>
      </c>
      <c r="H946" s="38" t="s">
        <v>11419</v>
      </c>
    </row>
    <row r="947">
      <c r="A947" s="37">
        <f>IFERROR(__xludf.DUMMYFUNCTION("""COMPUTED_VALUE"""),45922.757899375)</f>
        <v>45922.7579</v>
      </c>
      <c r="B947" s="38" t="str">
        <f>IFERROR(__xludf.DUMMYFUNCTION("""COMPUTED_VALUE"""),"ASTUTI BELA WAWO")</f>
        <v>ASTUTI BELA WAWO</v>
      </c>
      <c r="C947" s="38" t="str">
        <f>IFERROR(__xludf.DUMMYFUNCTION("""COMPUTED_VALUE"""),"Belum disetujui")</f>
        <v>Belum disetujui</v>
      </c>
      <c r="D947" s="38"/>
      <c r="E947" s="38" t="s">
        <v>11427</v>
      </c>
      <c r="F947" s="38" t="s">
        <v>257</v>
      </c>
      <c r="G947" s="38" t="s">
        <v>11428</v>
      </c>
      <c r="H947" s="38" t="s">
        <v>11419</v>
      </c>
    </row>
    <row r="948">
      <c r="A948" s="37">
        <f>IFERROR(__xludf.DUMMYFUNCTION("""COMPUTED_VALUE"""),45922.802946435186)</f>
        <v>45922.80295</v>
      </c>
      <c r="B948" s="38" t="str">
        <f>IFERROR(__xludf.DUMMYFUNCTION("""COMPUTED_VALUE"""),"NOVANTRY RUTHANIA NAFFIE")</f>
        <v>NOVANTRY RUTHANIA NAFFIE</v>
      </c>
      <c r="C948" s="38" t="str">
        <f>IFERROR(__xludf.DUMMYFUNCTION("""COMPUTED_VALUE"""),"Belum disetujui")</f>
        <v>Belum disetujui</v>
      </c>
      <c r="D948" s="38"/>
      <c r="E948" s="38" t="s">
        <v>11397</v>
      </c>
      <c r="F948" s="38" t="s">
        <v>220</v>
      </c>
      <c r="G948" s="38" t="s">
        <v>11398</v>
      </c>
      <c r="H948" s="38" t="s">
        <v>11399</v>
      </c>
    </row>
    <row r="949">
      <c r="A949" s="37">
        <f>IFERROR(__xludf.DUMMYFUNCTION("""COMPUTED_VALUE"""),45922.81362162037)</f>
        <v>45922.81362</v>
      </c>
      <c r="B949" s="38" t="str">
        <f>IFERROR(__xludf.DUMMYFUNCTION("""COMPUTED_VALUE"""),"DEMARISTI S H FENI")</f>
        <v>DEMARISTI S H FENI</v>
      </c>
      <c r="C949" s="38" t="str">
        <f>IFERROR(__xludf.DUMMYFUNCTION("""COMPUTED_VALUE"""),"Belum disetujui")</f>
        <v>Belum disetujui</v>
      </c>
      <c r="D949" s="38"/>
      <c r="E949" s="38" t="s">
        <v>11404</v>
      </c>
      <c r="F949" s="38" t="s">
        <v>11404</v>
      </c>
      <c r="G949" s="38" t="s">
        <v>11404</v>
      </c>
      <c r="H949" s="38" t="s">
        <v>11404</v>
      </c>
    </row>
    <row r="950">
      <c r="A950" s="37">
        <f>IFERROR(__xludf.DUMMYFUNCTION("""COMPUTED_VALUE"""),45922.81648638889)</f>
        <v>45922.81649</v>
      </c>
      <c r="B950" s="38" t="str">
        <f>IFERROR(__xludf.DUMMYFUNCTION("""COMPUTED_VALUE"""),"MEXY ALEXANDER HETMINA")</f>
        <v>MEXY ALEXANDER HETMINA</v>
      </c>
      <c r="C950" s="38" t="str">
        <f>IFERROR(__xludf.DUMMYFUNCTION("""COMPUTED_VALUE"""),"Dapat limit tapi belum diproses")</f>
        <v>Dapat limit tapi belum diproses</v>
      </c>
      <c r="D950" s="38" t="str">
        <f>IFERROR(__xludf.DUMMYFUNCTION("""COMPUTED_VALUE"""),"Y400 series")</f>
        <v>Y400 series</v>
      </c>
      <c r="E950" s="38" t="s">
        <v>11413</v>
      </c>
      <c r="F950" s="38" t="s">
        <v>204</v>
      </c>
      <c r="G950" s="38" t="s">
        <v>11414</v>
      </c>
      <c r="H950" s="38" t="s">
        <v>11399</v>
      </c>
    </row>
    <row r="951">
      <c r="A951" s="37">
        <f>IFERROR(__xludf.DUMMYFUNCTION("""COMPUTED_VALUE"""),45922.844172499994)</f>
        <v>45922.84417</v>
      </c>
      <c r="B951" s="38" t="str">
        <f>IFERROR(__xludf.DUMMYFUNCTION("""COMPUTED_VALUE"""),"MEXY ALEXANDER HETMINA")</f>
        <v>MEXY ALEXANDER HETMINA</v>
      </c>
      <c r="C951" s="38" t="str">
        <f>IFERROR(__xludf.DUMMYFUNCTION("""COMPUTED_VALUE"""),"Dapat limit tapi belum diproses")</f>
        <v>Dapat limit tapi belum diproses</v>
      </c>
      <c r="D951" s="38" t="str">
        <f>IFERROR(__xludf.DUMMYFUNCTION("""COMPUTED_VALUE"""),"V50 Lite series")</f>
        <v>V50 Lite series</v>
      </c>
      <c r="E951" s="38" t="s">
        <v>11413</v>
      </c>
      <c r="F951" s="38" t="s">
        <v>204</v>
      </c>
      <c r="G951" s="38" t="s">
        <v>11414</v>
      </c>
      <c r="H951" s="38" t="s">
        <v>11399</v>
      </c>
    </row>
    <row r="952">
      <c r="A952" s="37">
        <f>IFERROR(__xludf.DUMMYFUNCTION("""COMPUTED_VALUE"""),45922.85575278936)</f>
        <v>45922.85575</v>
      </c>
      <c r="B952" s="38" t="str">
        <f>IFERROR(__xludf.DUMMYFUNCTION("""COMPUTED_VALUE"""),"ASRI NINGSI RAMBU ATA ENDI")</f>
        <v>ASRI NINGSI RAMBU ATA ENDI</v>
      </c>
      <c r="C952" s="38" t="str">
        <f>IFERROR(__xludf.DUMMYFUNCTION("""COMPUTED_VALUE"""),"Belum disetujui")</f>
        <v>Belum disetujui</v>
      </c>
      <c r="D952" s="38"/>
      <c r="E952" s="38" t="s">
        <v>11441</v>
      </c>
      <c r="F952" s="38" t="s">
        <v>205</v>
      </c>
      <c r="G952" s="38" t="s">
        <v>11442</v>
      </c>
      <c r="H952" s="38" t="s">
        <v>11419</v>
      </c>
    </row>
    <row r="953">
      <c r="A953" s="37">
        <f>IFERROR(__xludf.DUMMYFUNCTION("""COMPUTED_VALUE"""),45922.863056608796)</f>
        <v>45922.86306</v>
      </c>
      <c r="B953" s="38" t="str">
        <f>IFERROR(__xludf.DUMMYFUNCTION("""COMPUTED_VALUE"""),"YEREMIAS MBAWA KANJAPI")</f>
        <v>YEREMIAS MBAWA KANJAPI</v>
      </c>
      <c r="C953" s="38" t="str">
        <f>IFERROR(__xludf.DUMMYFUNCTION("""COMPUTED_VALUE"""),"Belum disetujui")</f>
        <v>Belum disetujui</v>
      </c>
      <c r="D953" s="38"/>
      <c r="E953" s="38" t="s">
        <v>11447</v>
      </c>
      <c r="F953" s="38" t="s">
        <v>205</v>
      </c>
      <c r="G953" s="38" t="s">
        <v>11448</v>
      </c>
      <c r="H953" s="38" t="s">
        <v>11419</v>
      </c>
    </row>
    <row r="954">
      <c r="A954" s="37">
        <f>IFERROR(__xludf.DUMMYFUNCTION("""COMPUTED_VALUE"""),45922.877283622685)</f>
        <v>45922.87728</v>
      </c>
      <c r="B954" s="38" t="str">
        <f>IFERROR(__xludf.DUMMYFUNCTION("""COMPUTED_VALUE"""),"AINI RAHMATINI NATALIA MOESTAKIM")</f>
        <v>AINI RAHMATINI NATALIA MOESTAKIM</v>
      </c>
      <c r="C954" s="38" t="str">
        <f>IFERROR(__xludf.DUMMYFUNCTION("""COMPUTED_VALUE"""),"Belum disetujui")</f>
        <v>Belum disetujui</v>
      </c>
      <c r="D954" s="38"/>
      <c r="E954" s="38" t="s">
        <v>11409</v>
      </c>
      <c r="F954" s="38" t="s">
        <v>204</v>
      </c>
      <c r="G954" s="38" t="s">
        <v>11410</v>
      </c>
      <c r="H954" s="38" t="s">
        <v>11399</v>
      </c>
    </row>
    <row r="955">
      <c r="A955" s="37">
        <f>IFERROR(__xludf.DUMMYFUNCTION("""COMPUTED_VALUE"""),45922.88258240741)</f>
        <v>45922.88258</v>
      </c>
      <c r="B955" s="38" t="str">
        <f>IFERROR(__xludf.DUMMYFUNCTION("""COMPUTED_VALUE"""),"ANITA ANA AMAH")</f>
        <v>ANITA ANA AMAH</v>
      </c>
      <c r="C955" s="38" t="str">
        <f>IFERROR(__xludf.DUMMYFUNCTION("""COMPUTED_VALUE"""),"Belum disetujui")</f>
        <v>Belum disetujui</v>
      </c>
      <c r="D955" s="38"/>
      <c r="E955" s="38" t="s">
        <v>11425</v>
      </c>
      <c r="F955" s="38" t="s">
        <v>205</v>
      </c>
      <c r="G955" s="38" t="s">
        <v>11426</v>
      </c>
      <c r="H955" s="38" t="s">
        <v>11419</v>
      </c>
    </row>
    <row r="956">
      <c r="A956" s="37">
        <f>IFERROR(__xludf.DUMMYFUNCTION("""COMPUTED_VALUE"""),45922.910715034726)</f>
        <v>45922.91072</v>
      </c>
      <c r="B956" s="38" t="str">
        <f>IFERROR(__xludf.DUMMYFUNCTION("""COMPUTED_VALUE"""),"YOHANIS TIPNONI")</f>
        <v>YOHANIS TIPNONI</v>
      </c>
      <c r="C956" s="38" t="str">
        <f>IFERROR(__xludf.DUMMYFUNCTION("""COMPUTED_VALUE"""),"Dapat limit tapi belum diproses")</f>
        <v>Dapat limit tapi belum diproses</v>
      </c>
      <c r="D956" s="38" t="str">
        <f>IFERROR(__xludf.DUMMYFUNCTION("""COMPUTED_VALUE"""),"Y400 series")</f>
        <v>Y400 series</v>
      </c>
      <c r="E956" s="38" t="s">
        <v>11405</v>
      </c>
      <c r="F956" s="38" t="s">
        <v>220</v>
      </c>
      <c r="G956" s="38" t="s">
        <v>11406</v>
      </c>
      <c r="H956" s="38" t="s">
        <v>11399</v>
      </c>
    </row>
    <row r="957">
      <c r="A957" s="37">
        <f>IFERROR(__xludf.DUMMYFUNCTION("""COMPUTED_VALUE"""),45923.37855141204)</f>
        <v>45923.37855</v>
      </c>
      <c r="B957" s="38" t="str">
        <f>IFERROR(__xludf.DUMMYFUNCTION("""COMPUTED_VALUE"""),"ANITA ANA AMAH")</f>
        <v>ANITA ANA AMAH</v>
      </c>
      <c r="C957" s="38" t="str">
        <f>IFERROR(__xludf.DUMMYFUNCTION("""COMPUTED_VALUE"""),"Belum disetujui")</f>
        <v>Belum disetujui</v>
      </c>
      <c r="D957" s="38"/>
      <c r="E957" s="38" t="s">
        <v>11425</v>
      </c>
      <c r="F957" s="38" t="s">
        <v>205</v>
      </c>
      <c r="G957" s="38" t="s">
        <v>11426</v>
      </c>
      <c r="H957" s="38" t="s">
        <v>11419</v>
      </c>
    </row>
    <row r="958">
      <c r="A958" s="37">
        <f>IFERROR(__xludf.DUMMYFUNCTION("""COMPUTED_VALUE"""),45923.409940428246)</f>
        <v>45923.40994</v>
      </c>
      <c r="B958" s="38" t="str">
        <f>IFERROR(__xludf.DUMMYFUNCTION("""COMPUTED_VALUE"""),"ASTUTI BELA WAWO")</f>
        <v>ASTUTI BELA WAWO</v>
      </c>
      <c r="C958" s="38" t="str">
        <f>IFERROR(__xludf.DUMMYFUNCTION("""COMPUTED_VALUE"""),"Dapat limit tapi belum diproses")</f>
        <v>Dapat limit tapi belum diproses</v>
      </c>
      <c r="D958" s="38" t="str">
        <f>IFERROR(__xludf.DUMMYFUNCTION("""COMPUTED_VALUE"""),"Y400 series")</f>
        <v>Y400 series</v>
      </c>
      <c r="E958" s="38" t="s">
        <v>11427</v>
      </c>
      <c r="F958" s="38" t="s">
        <v>257</v>
      </c>
      <c r="G958" s="38" t="s">
        <v>11428</v>
      </c>
      <c r="H958" s="38" t="s">
        <v>11419</v>
      </c>
    </row>
    <row r="959">
      <c r="A959" s="37">
        <f>IFERROR(__xludf.DUMMYFUNCTION("""COMPUTED_VALUE"""),45923.50280412037)</f>
        <v>45923.5028</v>
      </c>
      <c r="B959" s="38" t="str">
        <f>IFERROR(__xludf.DUMMYFUNCTION("""COMPUTED_VALUE"""),"NOVLIANA BARBALINA MISA")</f>
        <v>NOVLIANA BARBALINA MISA</v>
      </c>
      <c r="C959" s="38" t="str">
        <f>IFERROR(__xludf.DUMMYFUNCTION("""COMPUTED_VALUE"""),"Belum disetujui")</f>
        <v>Belum disetujui</v>
      </c>
      <c r="D959" s="38"/>
      <c r="E959" s="38" t="s">
        <v>11454</v>
      </c>
      <c r="F959" s="38" t="s">
        <v>205</v>
      </c>
      <c r="G959" s="38" t="s">
        <v>11455</v>
      </c>
      <c r="H959" s="38" t="s">
        <v>11419</v>
      </c>
    </row>
    <row r="960">
      <c r="A960" s="37">
        <f>IFERROR(__xludf.DUMMYFUNCTION("""COMPUTED_VALUE"""),45923.50641469908)</f>
        <v>45923.50641</v>
      </c>
      <c r="B960" s="38" t="str">
        <f>IFERROR(__xludf.DUMMYFUNCTION("""COMPUTED_VALUE"""),"AZ ZAHRA SITI ZAINAB")</f>
        <v>AZ ZAHRA SITI ZAINAB</v>
      </c>
      <c r="C960" s="38" t="str">
        <f>IFERROR(__xludf.DUMMYFUNCTION("""COMPUTED_VALUE"""),"Dapat limit tapi belum diproses")</f>
        <v>Dapat limit tapi belum diproses</v>
      </c>
      <c r="D960" s="38" t="str">
        <f>IFERROR(__xludf.DUMMYFUNCTION("""COMPUTED_VALUE"""),"Y400 series")</f>
        <v>Y400 series</v>
      </c>
      <c r="E960" s="38" t="s">
        <v>11462</v>
      </c>
      <c r="F960" s="38" t="s">
        <v>257</v>
      </c>
      <c r="G960" s="38" t="s">
        <v>11463</v>
      </c>
      <c r="H960" s="38" t="s">
        <v>11419</v>
      </c>
    </row>
    <row r="961">
      <c r="A961" s="37">
        <f>IFERROR(__xludf.DUMMYFUNCTION("""COMPUTED_VALUE"""),45923.52032480324)</f>
        <v>45923.52032</v>
      </c>
      <c r="B961" s="38" t="str">
        <f>IFERROR(__xludf.DUMMYFUNCTION("""COMPUTED_VALUE"""),"MERDA PUTRI BUNGSU KENAT")</f>
        <v>MERDA PUTRI BUNGSU KENAT</v>
      </c>
      <c r="C961" s="38" t="str">
        <f>IFERROR(__xludf.DUMMYFUNCTION("""COMPUTED_VALUE"""),"Dapat limit tapi belum diproses")</f>
        <v>Dapat limit tapi belum diproses</v>
      </c>
      <c r="D961" s="38" t="str">
        <f>IFERROR(__xludf.DUMMYFUNCTION("""COMPUTED_VALUE"""),"V50 Lite series")</f>
        <v>V50 Lite series</v>
      </c>
      <c r="E961" s="38" t="s">
        <v>11422</v>
      </c>
      <c r="F961" s="38" t="s">
        <v>215</v>
      </c>
      <c r="G961" s="38" t="s">
        <v>11423</v>
      </c>
      <c r="H961" s="38" t="s">
        <v>11424</v>
      </c>
    </row>
    <row r="962">
      <c r="A962" s="37">
        <f>IFERROR(__xludf.DUMMYFUNCTION("""COMPUTED_VALUE"""),45923.52674819445)</f>
        <v>45923.52675</v>
      </c>
      <c r="B962" s="38" t="str">
        <f>IFERROR(__xludf.DUMMYFUNCTION("""COMPUTED_VALUE"""),"FERI ELI KURNIAWAN")</f>
        <v>FERI ELI KURNIAWAN</v>
      </c>
      <c r="C962" s="38" t="str">
        <f>IFERROR(__xludf.DUMMYFUNCTION("""COMPUTED_VALUE"""),"Belum disetujui")</f>
        <v>Belum disetujui</v>
      </c>
      <c r="D962" s="38"/>
      <c r="E962" s="38" t="s">
        <v>11411</v>
      </c>
      <c r="F962" s="38" t="s">
        <v>220</v>
      </c>
      <c r="G962" s="38" t="s">
        <v>11412</v>
      </c>
      <c r="H962" s="38" t="s">
        <v>11399</v>
      </c>
    </row>
    <row r="963">
      <c r="A963" s="37">
        <f>IFERROR(__xludf.DUMMYFUNCTION("""COMPUTED_VALUE"""),45923.533145925925)</f>
        <v>45923.53315</v>
      </c>
      <c r="B963" s="38" t="str">
        <f>IFERROR(__xludf.DUMMYFUNCTION("""COMPUTED_VALUE"""),"MARIA MELAN ANANCE BILI")</f>
        <v>MARIA MELAN ANANCE BILI</v>
      </c>
      <c r="C963" s="38" t="str">
        <f>IFERROR(__xludf.DUMMYFUNCTION("""COMPUTED_VALUE"""),"ACC")</f>
        <v>ACC</v>
      </c>
      <c r="D963" s="38" t="str">
        <f>IFERROR(__xludf.DUMMYFUNCTION("""COMPUTED_VALUE"""),"V50 Lite series")</f>
        <v>V50 Lite series</v>
      </c>
      <c r="E963" s="38" t="s">
        <v>11466</v>
      </c>
      <c r="F963" s="38" t="s">
        <v>257</v>
      </c>
      <c r="G963" s="38" t="s">
        <v>11467</v>
      </c>
      <c r="H963" s="38" t="s">
        <v>11419</v>
      </c>
    </row>
    <row r="964">
      <c r="A964" s="37">
        <f>IFERROR(__xludf.DUMMYFUNCTION("""COMPUTED_VALUE"""),45923.57777988426)</f>
        <v>45923.57778</v>
      </c>
      <c r="B964" s="38" t="str">
        <f>IFERROR(__xludf.DUMMYFUNCTION("""COMPUTED_VALUE"""),"DEWI RAHMAN")</f>
        <v>DEWI RAHMAN</v>
      </c>
      <c r="C964" s="38" t="str">
        <f>IFERROR(__xludf.DUMMYFUNCTION("""COMPUTED_VALUE"""),"Dapat limit tapi belum diproses")</f>
        <v>Dapat limit tapi belum diproses</v>
      </c>
      <c r="D964" s="38" t="str">
        <f>IFERROR(__xludf.DUMMYFUNCTION("""COMPUTED_VALUE"""),"V50 Lite series")</f>
        <v>V50 Lite series</v>
      </c>
      <c r="E964" s="38" t="s">
        <v>11449</v>
      </c>
      <c r="F964" s="38" t="s">
        <v>11450</v>
      </c>
      <c r="G964" s="38" t="s">
        <v>11451</v>
      </c>
      <c r="H964" s="38" t="s">
        <v>11424</v>
      </c>
    </row>
    <row r="965">
      <c r="A965" s="37">
        <f>IFERROR(__xludf.DUMMYFUNCTION("""COMPUTED_VALUE"""),45923.61574619213)</f>
        <v>45923.61575</v>
      </c>
      <c r="B965" s="38" t="str">
        <f>IFERROR(__xludf.DUMMYFUNCTION("""COMPUTED_VALUE"""),"DEWI RAHMAN")</f>
        <v>DEWI RAHMAN</v>
      </c>
      <c r="C965" s="38" t="str">
        <f>IFERROR(__xludf.DUMMYFUNCTION("""COMPUTED_VALUE"""),"Belum disetujui")</f>
        <v>Belum disetujui</v>
      </c>
      <c r="D965" s="38"/>
      <c r="E965" s="38" t="s">
        <v>11449</v>
      </c>
      <c r="F965" s="38" t="s">
        <v>11450</v>
      </c>
      <c r="G965" s="38" t="s">
        <v>11451</v>
      </c>
      <c r="H965" s="38" t="s">
        <v>11424</v>
      </c>
    </row>
    <row r="966">
      <c r="A966" s="37">
        <f>IFERROR(__xludf.DUMMYFUNCTION("""COMPUTED_VALUE"""),45923.61712040509)</f>
        <v>45923.61712</v>
      </c>
      <c r="B966" s="38" t="str">
        <f>IFERROR(__xludf.DUMMYFUNCTION("""COMPUTED_VALUE"""),"DEWI RAHMAN")</f>
        <v>DEWI RAHMAN</v>
      </c>
      <c r="C966" s="38" t="str">
        <f>IFERROR(__xludf.DUMMYFUNCTION("""COMPUTED_VALUE"""),"Belum disetujui")</f>
        <v>Belum disetujui</v>
      </c>
      <c r="D966" s="38"/>
      <c r="E966" s="38" t="s">
        <v>11449</v>
      </c>
      <c r="F966" s="38" t="s">
        <v>11450</v>
      </c>
      <c r="G966" s="38" t="s">
        <v>11451</v>
      </c>
      <c r="H966" s="38" t="s">
        <v>11424</v>
      </c>
    </row>
    <row r="967">
      <c r="A967" s="37">
        <f>IFERROR(__xludf.DUMMYFUNCTION("""COMPUTED_VALUE"""),45923.62617101852)</f>
        <v>45923.62617</v>
      </c>
      <c r="B967" s="38" t="str">
        <f>IFERROR(__xludf.DUMMYFUNCTION("""COMPUTED_VALUE"""),"MERDA PUTRI BUNGSU KENAT")</f>
        <v>MERDA PUTRI BUNGSU KENAT</v>
      </c>
      <c r="C967" s="38" t="str">
        <f>IFERROR(__xludf.DUMMYFUNCTION("""COMPUTED_VALUE"""),"Dapat limit tapi belum diproses")</f>
        <v>Dapat limit tapi belum diproses</v>
      </c>
      <c r="D967" s="38" t="str">
        <f>IFERROR(__xludf.DUMMYFUNCTION("""COMPUTED_VALUE"""),"V60 series")</f>
        <v>V60 series</v>
      </c>
      <c r="E967" s="38" t="s">
        <v>11422</v>
      </c>
      <c r="F967" s="38" t="s">
        <v>215</v>
      </c>
      <c r="G967" s="38" t="s">
        <v>11423</v>
      </c>
      <c r="H967" s="38" t="s">
        <v>11424</v>
      </c>
    </row>
    <row r="968">
      <c r="A968" s="37">
        <f>IFERROR(__xludf.DUMMYFUNCTION("""COMPUTED_VALUE"""),45923.63446364583)</f>
        <v>45923.63446</v>
      </c>
      <c r="B968" s="38" t="str">
        <f>IFERROR(__xludf.DUMMYFUNCTION("""COMPUTED_VALUE"""),"ASTUTI BELA WAWO")</f>
        <v>ASTUTI BELA WAWO</v>
      </c>
      <c r="C968" s="38" t="str">
        <f>IFERROR(__xludf.DUMMYFUNCTION("""COMPUTED_VALUE"""),"Belum disetujui")</f>
        <v>Belum disetujui</v>
      </c>
      <c r="D968" s="38"/>
      <c r="E968" s="38" t="s">
        <v>11427</v>
      </c>
      <c r="F968" s="38" t="s">
        <v>257</v>
      </c>
      <c r="G968" s="38" t="s">
        <v>11428</v>
      </c>
      <c r="H968" s="38" t="s">
        <v>11419</v>
      </c>
    </row>
    <row r="969">
      <c r="A969" s="37">
        <f>IFERROR(__xludf.DUMMYFUNCTION("""COMPUTED_VALUE"""),45923.63793101852)</f>
        <v>45923.63793</v>
      </c>
      <c r="B969" s="38" t="str">
        <f>IFERROR(__xludf.DUMMYFUNCTION("""COMPUTED_VALUE"""),"NOVLIANA BARBALINA MISA")</f>
        <v>NOVLIANA BARBALINA MISA</v>
      </c>
      <c r="C969" s="38" t="str">
        <f>IFERROR(__xludf.DUMMYFUNCTION("""COMPUTED_VALUE"""),"Belum disetujui")</f>
        <v>Belum disetujui</v>
      </c>
      <c r="D969" s="38"/>
      <c r="E969" s="38" t="s">
        <v>11454</v>
      </c>
      <c r="F969" s="38" t="s">
        <v>205</v>
      </c>
      <c r="G969" s="38" t="s">
        <v>11455</v>
      </c>
      <c r="H969" s="38" t="s">
        <v>11419</v>
      </c>
    </row>
    <row r="970">
      <c r="A970" s="37">
        <f>IFERROR(__xludf.DUMMYFUNCTION("""COMPUTED_VALUE"""),45923.640604560176)</f>
        <v>45923.6406</v>
      </c>
      <c r="B970" s="38" t="str">
        <f>IFERROR(__xludf.DUMMYFUNCTION("""COMPUTED_VALUE"""),"KESIA NATALIA I. BENU")</f>
        <v>KESIA NATALIA I. BENU</v>
      </c>
      <c r="C970" s="38" t="str">
        <f>IFERROR(__xludf.DUMMYFUNCTION("""COMPUTED_VALUE"""),"Belum disetujui")</f>
        <v>Belum disetujui</v>
      </c>
      <c r="D970" s="38"/>
      <c r="E970" s="38" t="s">
        <v>11417</v>
      </c>
      <c r="F970" s="38" t="s">
        <v>257</v>
      </c>
      <c r="G970" s="38" t="s">
        <v>11418</v>
      </c>
      <c r="H970" s="38" t="s">
        <v>11419</v>
      </c>
    </row>
    <row r="971">
      <c r="A971" s="37">
        <f>IFERROR(__xludf.DUMMYFUNCTION("""COMPUTED_VALUE"""),45923.642215266205)</f>
        <v>45923.64222</v>
      </c>
      <c r="B971" s="38" t="str">
        <f>IFERROR(__xludf.DUMMYFUNCTION("""COMPUTED_VALUE"""),"NOVANTRY RUTHANIA NAFFIE")</f>
        <v>NOVANTRY RUTHANIA NAFFIE</v>
      </c>
      <c r="C971" s="38" t="str">
        <f>IFERROR(__xludf.DUMMYFUNCTION("""COMPUTED_VALUE"""),"Belum disetujui")</f>
        <v>Belum disetujui</v>
      </c>
      <c r="D971" s="38"/>
      <c r="E971" s="38" t="s">
        <v>11397</v>
      </c>
      <c r="F971" s="38" t="s">
        <v>220</v>
      </c>
      <c r="G971" s="38" t="s">
        <v>11398</v>
      </c>
      <c r="H971" s="38" t="s">
        <v>11399</v>
      </c>
    </row>
    <row r="972">
      <c r="A972" s="37">
        <f>IFERROR(__xludf.DUMMYFUNCTION("""COMPUTED_VALUE"""),45923.651276296296)</f>
        <v>45923.65128</v>
      </c>
      <c r="B972" s="38" t="str">
        <f>IFERROR(__xludf.DUMMYFUNCTION("""COMPUTED_VALUE"""),"FERI ELI KURNIAWAN")</f>
        <v>FERI ELI KURNIAWAN</v>
      </c>
      <c r="C972" s="38" t="str">
        <f>IFERROR(__xludf.DUMMYFUNCTION("""COMPUTED_VALUE"""),"Belum disetujui")</f>
        <v>Belum disetujui</v>
      </c>
      <c r="D972" s="38"/>
      <c r="E972" s="38" t="s">
        <v>11411</v>
      </c>
      <c r="F972" s="38" t="s">
        <v>220</v>
      </c>
      <c r="G972" s="38" t="s">
        <v>11412</v>
      </c>
      <c r="H972" s="38" t="s">
        <v>11399</v>
      </c>
    </row>
    <row r="973">
      <c r="A973" s="37">
        <f>IFERROR(__xludf.DUMMYFUNCTION("""COMPUTED_VALUE"""),45923.69927064815)</f>
        <v>45923.69927</v>
      </c>
      <c r="B973" s="38" t="str">
        <f>IFERROR(__xludf.DUMMYFUNCTION("""COMPUTED_VALUE"""),"ESTER LUDJI")</f>
        <v>ESTER LUDJI</v>
      </c>
      <c r="C973" s="38" t="str">
        <f>IFERROR(__xludf.DUMMYFUNCTION("""COMPUTED_VALUE"""),"Belum disetujui")</f>
        <v>Belum disetujui</v>
      </c>
      <c r="D973" s="38"/>
      <c r="E973" s="38" t="s">
        <v>11441</v>
      </c>
      <c r="F973" s="38" t="s">
        <v>205</v>
      </c>
      <c r="G973" s="38" t="s">
        <v>11442</v>
      </c>
      <c r="H973" s="38" t="s">
        <v>11419</v>
      </c>
    </row>
    <row r="974">
      <c r="A974" s="37">
        <f>IFERROR(__xludf.DUMMYFUNCTION("""COMPUTED_VALUE"""),45923.721326412044)</f>
        <v>45923.72133</v>
      </c>
      <c r="B974" s="38" t="str">
        <f>IFERROR(__xludf.DUMMYFUNCTION("""COMPUTED_VALUE"""),"ADRIANA")</f>
        <v>ADRIANA</v>
      </c>
      <c r="C974" s="38" t="str">
        <f>IFERROR(__xludf.DUMMYFUNCTION("""COMPUTED_VALUE"""),"Belum disetujui")</f>
        <v>Belum disetujui</v>
      </c>
      <c r="D974" s="38"/>
      <c r="E974" s="38" t="s">
        <v>11433</v>
      </c>
      <c r="F974" s="38" t="s">
        <v>313</v>
      </c>
      <c r="G974" s="38" t="s">
        <v>11434</v>
      </c>
      <c r="H974" s="38" t="s">
        <v>11424</v>
      </c>
    </row>
    <row r="975">
      <c r="A975" s="37">
        <f>IFERROR(__xludf.DUMMYFUNCTION("""COMPUTED_VALUE"""),45923.76423127315)</f>
        <v>45923.76423</v>
      </c>
      <c r="B975" s="38" t="str">
        <f>IFERROR(__xludf.DUMMYFUNCTION("""COMPUTED_VALUE"""),"YASINTHA MBU")</f>
        <v>YASINTHA MBU</v>
      </c>
      <c r="C975" s="38" t="str">
        <f>IFERROR(__xludf.DUMMYFUNCTION("""COMPUTED_VALUE"""),"Dapat limit tapi belum diproses")</f>
        <v>Dapat limit tapi belum diproses</v>
      </c>
      <c r="D975" s="38" t="str">
        <f>IFERROR(__xludf.DUMMYFUNCTION("""COMPUTED_VALUE"""),"Y400 series")</f>
        <v>Y400 series</v>
      </c>
      <c r="E975" s="38" t="s">
        <v>11407</v>
      </c>
      <c r="F975" s="38" t="s">
        <v>220</v>
      </c>
      <c r="G975" s="38" t="s">
        <v>11408</v>
      </c>
      <c r="H975" s="38" t="s">
        <v>11399</v>
      </c>
    </row>
    <row r="976">
      <c r="A976" s="37">
        <f>IFERROR(__xludf.DUMMYFUNCTION("""COMPUTED_VALUE"""),45923.780444421296)</f>
        <v>45923.78044</v>
      </c>
      <c r="B976" s="38" t="str">
        <f>IFERROR(__xludf.DUMMYFUNCTION("""COMPUTED_VALUE"""),"YOMELIANA MARIA MAGNO")</f>
        <v>YOMELIANA MARIA MAGNO</v>
      </c>
      <c r="C976" s="38" t="str">
        <f>IFERROR(__xludf.DUMMYFUNCTION("""COMPUTED_VALUE"""),"Dapat limit tapi belum diproses")</f>
        <v>Dapat limit tapi belum diproses</v>
      </c>
      <c r="D976" s="38" t="str">
        <f>IFERROR(__xludf.DUMMYFUNCTION("""COMPUTED_VALUE"""),"Y400 series")</f>
        <v>Y400 series</v>
      </c>
      <c r="E976" s="38" t="s">
        <v>11460</v>
      </c>
      <c r="F976" s="38" t="s">
        <v>871</v>
      </c>
      <c r="G976" s="38" t="s">
        <v>11461</v>
      </c>
      <c r="H976" s="38" t="s">
        <v>11424</v>
      </c>
    </row>
    <row r="977">
      <c r="A977" s="37">
        <f>IFERROR(__xludf.DUMMYFUNCTION("""COMPUTED_VALUE"""),45923.80839586806)</f>
        <v>45923.8084</v>
      </c>
      <c r="B977" s="38" t="str">
        <f>IFERROR(__xludf.DUMMYFUNCTION("""COMPUTED_VALUE"""),"LINDA MELSIANA ELLO")</f>
        <v>LINDA MELSIANA ELLO</v>
      </c>
      <c r="C977" s="38" t="str">
        <f>IFERROR(__xludf.DUMMYFUNCTION("""COMPUTED_VALUE"""),"Belum disetujui")</f>
        <v>Belum disetujui</v>
      </c>
      <c r="D977" s="38"/>
      <c r="E977" s="38" t="s">
        <v>11435</v>
      </c>
      <c r="F977" s="38" t="s">
        <v>215</v>
      </c>
      <c r="G977" s="38" t="s">
        <v>11436</v>
      </c>
      <c r="H977" s="38" t="s">
        <v>11424</v>
      </c>
    </row>
    <row r="978">
      <c r="A978" s="37">
        <f>IFERROR(__xludf.DUMMYFUNCTION("""COMPUTED_VALUE"""),45923.81127387732)</f>
        <v>45923.81127</v>
      </c>
      <c r="B978" s="38" t="str">
        <f>IFERROR(__xludf.DUMMYFUNCTION("""COMPUTED_VALUE"""),"LINDA MELSIANA ELLO")</f>
        <v>LINDA MELSIANA ELLO</v>
      </c>
      <c r="C978" s="38" t="str">
        <f>IFERROR(__xludf.DUMMYFUNCTION("""COMPUTED_VALUE"""),"Belum disetujui")</f>
        <v>Belum disetujui</v>
      </c>
      <c r="D978" s="38"/>
      <c r="E978" s="38" t="s">
        <v>11435</v>
      </c>
      <c r="F978" s="38" t="s">
        <v>215</v>
      </c>
      <c r="G978" s="38" t="s">
        <v>11436</v>
      </c>
      <c r="H978" s="38" t="s">
        <v>11424</v>
      </c>
    </row>
    <row r="979">
      <c r="A979" s="37">
        <f>IFERROR(__xludf.DUMMYFUNCTION("""COMPUTED_VALUE"""),45923.81373831018)</f>
        <v>45923.81374</v>
      </c>
      <c r="B979" s="38" t="str">
        <f>IFERROR(__xludf.DUMMYFUNCTION("""COMPUTED_VALUE"""),"LINDA MELSIANA ELLO")</f>
        <v>LINDA MELSIANA ELLO</v>
      </c>
      <c r="C979" s="38" t="str">
        <f>IFERROR(__xludf.DUMMYFUNCTION("""COMPUTED_VALUE"""),"Dapat limit tapi belum diproses")</f>
        <v>Dapat limit tapi belum diproses</v>
      </c>
      <c r="D979" s="38" t="str">
        <f>IFERROR(__xludf.DUMMYFUNCTION("""COMPUTED_VALUE"""),"Y400 series")</f>
        <v>Y400 series</v>
      </c>
      <c r="E979" s="38" t="s">
        <v>11435</v>
      </c>
      <c r="F979" s="38" t="s">
        <v>215</v>
      </c>
      <c r="G979" s="38" t="s">
        <v>11436</v>
      </c>
      <c r="H979" s="38" t="s">
        <v>11424</v>
      </c>
    </row>
    <row r="980">
      <c r="A980" s="37">
        <f>IFERROR(__xludf.DUMMYFUNCTION("""COMPUTED_VALUE"""),45923.820330578696)</f>
        <v>45923.82033</v>
      </c>
      <c r="B980" s="38" t="str">
        <f>IFERROR(__xludf.DUMMYFUNCTION("""COMPUTED_VALUE"""),"ASTUTI BELA WAWO")</f>
        <v>ASTUTI BELA WAWO</v>
      </c>
      <c r="C980" s="38" t="str">
        <f>IFERROR(__xludf.DUMMYFUNCTION("""COMPUTED_VALUE"""),"ACC")</f>
        <v>ACC</v>
      </c>
      <c r="D980" s="38" t="str">
        <f>IFERROR(__xludf.DUMMYFUNCTION("""COMPUTED_VALUE"""),"Y400 series")</f>
        <v>Y400 series</v>
      </c>
      <c r="E980" s="38" t="s">
        <v>11427</v>
      </c>
      <c r="F980" s="38" t="s">
        <v>257</v>
      </c>
      <c r="G980" s="38" t="s">
        <v>11428</v>
      </c>
      <c r="H980" s="38" t="s">
        <v>11419</v>
      </c>
    </row>
    <row r="981">
      <c r="A981" s="37">
        <f>IFERROR(__xludf.DUMMYFUNCTION("""COMPUTED_VALUE"""),45923.822332835654)</f>
        <v>45923.82233</v>
      </c>
      <c r="B981" s="38" t="str">
        <f>IFERROR(__xludf.DUMMYFUNCTION("""COMPUTED_VALUE"""),"ASTUTI BELA WAWO")</f>
        <v>ASTUTI BELA WAWO</v>
      </c>
      <c r="C981" s="38" t="str">
        <f>IFERROR(__xludf.DUMMYFUNCTION("""COMPUTED_VALUE"""),"Dapat limit tapi belum diproses")</f>
        <v>Dapat limit tapi belum diproses</v>
      </c>
      <c r="D981" s="38" t="str">
        <f>IFERROR(__xludf.DUMMYFUNCTION("""COMPUTED_VALUE"""),"Y400 series")</f>
        <v>Y400 series</v>
      </c>
      <c r="E981" s="38" t="s">
        <v>11427</v>
      </c>
      <c r="F981" s="38" t="s">
        <v>257</v>
      </c>
      <c r="G981" s="38" t="s">
        <v>11428</v>
      </c>
      <c r="H981" s="38" t="s">
        <v>11419</v>
      </c>
    </row>
    <row r="982">
      <c r="A982" s="37">
        <f>IFERROR(__xludf.DUMMYFUNCTION("""COMPUTED_VALUE"""),45923.82488649306)</f>
        <v>45923.82489</v>
      </c>
      <c r="B982" s="38" t="str">
        <f>IFERROR(__xludf.DUMMYFUNCTION("""COMPUTED_VALUE"""),"YASINTHA MBU")</f>
        <v>YASINTHA MBU</v>
      </c>
      <c r="C982" s="38" t="str">
        <f>IFERROR(__xludf.DUMMYFUNCTION("""COMPUTED_VALUE"""),"Belum disetujui")</f>
        <v>Belum disetujui</v>
      </c>
      <c r="D982" s="38"/>
      <c r="E982" s="38" t="s">
        <v>11407</v>
      </c>
      <c r="F982" s="38" t="s">
        <v>220</v>
      </c>
      <c r="G982" s="38" t="s">
        <v>11408</v>
      </c>
      <c r="H982" s="38" t="s">
        <v>11399</v>
      </c>
    </row>
    <row r="983">
      <c r="A983" s="37">
        <f>IFERROR(__xludf.DUMMYFUNCTION("""COMPUTED_VALUE"""),45923.83641105324)</f>
        <v>45923.83641</v>
      </c>
      <c r="B983" s="38" t="str">
        <f>IFERROR(__xludf.DUMMYFUNCTION("""COMPUTED_VALUE"""),"YASINTHA MBU")</f>
        <v>YASINTHA MBU</v>
      </c>
      <c r="C983" s="38" t="str">
        <f>IFERROR(__xludf.DUMMYFUNCTION("""COMPUTED_VALUE"""),"Belum disetujui")</f>
        <v>Belum disetujui</v>
      </c>
      <c r="D983" s="38"/>
      <c r="E983" s="38" t="s">
        <v>11407</v>
      </c>
      <c r="F983" s="38" t="s">
        <v>220</v>
      </c>
      <c r="G983" s="38" t="s">
        <v>11408</v>
      </c>
      <c r="H983" s="38" t="s">
        <v>11399</v>
      </c>
    </row>
    <row r="984">
      <c r="A984" s="37">
        <f>IFERROR(__xludf.DUMMYFUNCTION("""COMPUTED_VALUE"""),45923.84078903935)</f>
        <v>45923.84079</v>
      </c>
      <c r="B984" s="38" t="str">
        <f>IFERROR(__xludf.DUMMYFUNCTION("""COMPUTED_VALUE"""),"YOHANIS TIPNONI")</f>
        <v>YOHANIS TIPNONI</v>
      </c>
      <c r="C984" s="38" t="str">
        <f>IFERROR(__xludf.DUMMYFUNCTION("""COMPUTED_VALUE"""),"Belum disetujui")</f>
        <v>Belum disetujui</v>
      </c>
      <c r="D984" s="38"/>
      <c r="E984" s="38" t="s">
        <v>11405</v>
      </c>
      <c r="F984" s="38" t="s">
        <v>220</v>
      </c>
      <c r="G984" s="38" t="s">
        <v>11406</v>
      </c>
      <c r="H984" s="38" t="s">
        <v>11399</v>
      </c>
    </row>
    <row r="985">
      <c r="A985" s="37">
        <f>IFERROR(__xludf.DUMMYFUNCTION("""COMPUTED_VALUE"""),45923.878602013894)</f>
        <v>45923.8786</v>
      </c>
      <c r="B985" s="38" t="str">
        <f>IFERROR(__xludf.DUMMYFUNCTION("""COMPUTED_VALUE"""),"ANITA ANA AMAH")</f>
        <v>ANITA ANA AMAH</v>
      </c>
      <c r="C985" s="38" t="str">
        <f>IFERROR(__xludf.DUMMYFUNCTION("""COMPUTED_VALUE"""),"Belum disetujui")</f>
        <v>Belum disetujui</v>
      </c>
      <c r="D985" s="38"/>
      <c r="E985" s="38" t="s">
        <v>11425</v>
      </c>
      <c r="F985" s="38" t="s">
        <v>205</v>
      </c>
      <c r="G985" s="38" t="s">
        <v>11426</v>
      </c>
      <c r="H985" s="38" t="s">
        <v>11419</v>
      </c>
    </row>
    <row r="986">
      <c r="A986" s="37">
        <f>IFERROR(__xludf.DUMMYFUNCTION("""COMPUTED_VALUE"""),45923.91523138889)</f>
        <v>45923.91523</v>
      </c>
      <c r="B986" s="38" t="str">
        <f>IFERROR(__xludf.DUMMYFUNCTION("""COMPUTED_VALUE"""),"ALITA D PAU")</f>
        <v>ALITA D PAU</v>
      </c>
      <c r="C986" s="38" t="str">
        <f>IFERROR(__xludf.DUMMYFUNCTION("""COMPUTED_VALUE"""),"Belum disetujui")</f>
        <v>Belum disetujui</v>
      </c>
      <c r="D986" s="38"/>
      <c r="E986" s="38" t="s">
        <v>11447</v>
      </c>
      <c r="F986" s="38" t="s">
        <v>205</v>
      </c>
      <c r="G986" s="38" t="s">
        <v>11448</v>
      </c>
      <c r="H986" s="38" t="s">
        <v>11419</v>
      </c>
    </row>
    <row r="987">
      <c r="A987" s="37">
        <f>IFERROR(__xludf.DUMMYFUNCTION("""COMPUTED_VALUE"""),45924.441710335646)</f>
        <v>45924.44171</v>
      </c>
      <c r="B987" s="38" t="str">
        <f>IFERROR(__xludf.DUMMYFUNCTION("""COMPUTED_VALUE"""),"IRENE NOVALIA KADJU")</f>
        <v>IRENE NOVALIA KADJU</v>
      </c>
      <c r="C987" s="38" t="str">
        <f>IFERROR(__xludf.DUMMYFUNCTION("""COMPUTED_VALUE"""),"Belum disetujui")</f>
        <v>Belum disetujui</v>
      </c>
      <c r="D987" s="38"/>
      <c r="E987" s="38" t="s">
        <v>11445</v>
      </c>
      <c r="F987" s="38" t="s">
        <v>204</v>
      </c>
      <c r="G987" s="38" t="s">
        <v>11446</v>
      </c>
      <c r="H987" s="38" t="s">
        <v>11399</v>
      </c>
    </row>
    <row r="988">
      <c r="A988" s="37">
        <f>IFERROR(__xludf.DUMMYFUNCTION("""COMPUTED_VALUE"""),45924.44931104166)</f>
        <v>45924.44931</v>
      </c>
      <c r="B988" s="38" t="str">
        <f>IFERROR(__xludf.DUMMYFUNCTION("""COMPUTED_VALUE"""),"TERSIANA KADJA PAU")</f>
        <v>TERSIANA KADJA PAU</v>
      </c>
      <c r="C988" s="38" t="str">
        <f>IFERROR(__xludf.DUMMYFUNCTION("""COMPUTED_VALUE"""),"Belum disetujui")</f>
        <v>Belum disetujui</v>
      </c>
      <c r="D988" s="38"/>
      <c r="E988" s="38" t="s">
        <v>11411</v>
      </c>
      <c r="F988" s="38" t="s">
        <v>220</v>
      </c>
      <c r="G988" s="38" t="s">
        <v>11412</v>
      </c>
      <c r="H988" s="38" t="s">
        <v>11399</v>
      </c>
    </row>
    <row r="989">
      <c r="A989" s="37">
        <f>IFERROR(__xludf.DUMMYFUNCTION("""COMPUTED_VALUE"""),45924.45169019676)</f>
        <v>45924.45169</v>
      </c>
      <c r="B989" s="38" t="str">
        <f>IFERROR(__xludf.DUMMYFUNCTION("""COMPUTED_VALUE"""),"ESTER LUDJI")</f>
        <v>ESTER LUDJI</v>
      </c>
      <c r="C989" s="38" t="str">
        <f>IFERROR(__xludf.DUMMYFUNCTION("""COMPUTED_VALUE"""),"Belum disetujui")</f>
        <v>Belum disetujui</v>
      </c>
      <c r="D989" s="38"/>
      <c r="E989" s="38" t="s">
        <v>11441</v>
      </c>
      <c r="F989" s="38" t="s">
        <v>205</v>
      </c>
      <c r="G989" s="38" t="s">
        <v>11442</v>
      </c>
      <c r="H989" s="38" t="s">
        <v>11419</v>
      </c>
    </row>
    <row r="990">
      <c r="A990" s="37">
        <f>IFERROR(__xludf.DUMMYFUNCTION("""COMPUTED_VALUE"""),45924.46617009259)</f>
        <v>45924.46617</v>
      </c>
      <c r="B990" s="38" t="str">
        <f>IFERROR(__xludf.DUMMYFUNCTION("""COMPUTED_VALUE"""),"SANTI MARIA LUKMINI NAHAK")</f>
        <v>SANTI MARIA LUKMINI NAHAK</v>
      </c>
      <c r="C990" s="38" t="str">
        <f>IFERROR(__xludf.DUMMYFUNCTION("""COMPUTED_VALUE"""),"Dapat limit tapi belum diproses")</f>
        <v>Dapat limit tapi belum diproses</v>
      </c>
      <c r="D990" s="38" t="str">
        <f>IFERROR(__xludf.DUMMYFUNCTION("""COMPUTED_VALUE"""),"Y400 series")</f>
        <v>Y400 series</v>
      </c>
      <c r="E990" s="38" t="s">
        <v>11460</v>
      </c>
      <c r="F990" s="38" t="s">
        <v>871</v>
      </c>
      <c r="G990" s="38" t="s">
        <v>11461</v>
      </c>
      <c r="H990" s="38" t="s">
        <v>11424</v>
      </c>
    </row>
    <row r="991">
      <c r="A991" s="37">
        <f>IFERROR(__xludf.DUMMYFUNCTION("""COMPUTED_VALUE"""),45924.469165891205)</f>
        <v>45924.46917</v>
      </c>
      <c r="B991" s="38" t="str">
        <f>IFERROR(__xludf.DUMMYFUNCTION("""COMPUTED_VALUE"""),"AINI RAHMATINI NATALIA MOESTAKIM")</f>
        <v>AINI RAHMATINI NATALIA MOESTAKIM</v>
      </c>
      <c r="C991" s="38" t="str">
        <f>IFERROR(__xludf.DUMMYFUNCTION("""COMPUTED_VALUE"""),"Belum disetujui")</f>
        <v>Belum disetujui</v>
      </c>
      <c r="D991" s="38"/>
      <c r="E991" s="38" t="s">
        <v>11409</v>
      </c>
      <c r="F991" s="38" t="s">
        <v>204</v>
      </c>
      <c r="G991" s="38" t="s">
        <v>11410</v>
      </c>
      <c r="H991" s="38" t="s">
        <v>11399</v>
      </c>
    </row>
    <row r="992">
      <c r="A992" s="37">
        <f>IFERROR(__xludf.DUMMYFUNCTION("""COMPUTED_VALUE"""),45924.48365317129)</f>
        <v>45924.48365</v>
      </c>
      <c r="B992" s="38" t="str">
        <f>IFERROR(__xludf.DUMMYFUNCTION("""COMPUTED_VALUE"""),"LASTRIANA PALUS")</f>
        <v>LASTRIANA PALUS</v>
      </c>
      <c r="C992" s="38" t="str">
        <f>IFERROR(__xludf.DUMMYFUNCTION("""COMPUTED_VALUE"""),"Dapat limit tapi belum diproses")</f>
        <v>Dapat limit tapi belum diproses</v>
      </c>
      <c r="D992" s="38" t="str">
        <f>IFERROR(__xludf.DUMMYFUNCTION("""COMPUTED_VALUE"""),"Y400 series")</f>
        <v>Y400 series</v>
      </c>
      <c r="E992" s="38" t="s">
        <v>11468</v>
      </c>
      <c r="F992" s="38" t="s">
        <v>257</v>
      </c>
      <c r="G992" s="38" t="s">
        <v>11469</v>
      </c>
      <c r="H992" s="38" t="s">
        <v>11419</v>
      </c>
    </row>
    <row r="993">
      <c r="A993" s="37">
        <f>IFERROR(__xludf.DUMMYFUNCTION("""COMPUTED_VALUE"""),45924.52707150463)</f>
        <v>45924.52707</v>
      </c>
      <c r="B993" s="38" t="str">
        <f>IFERROR(__xludf.DUMMYFUNCTION("""COMPUTED_VALUE"""),"YASINTHA MBU")</f>
        <v>YASINTHA MBU</v>
      </c>
      <c r="C993" s="38" t="str">
        <f>IFERROR(__xludf.DUMMYFUNCTION("""COMPUTED_VALUE"""),"Dapat limit tapi belum diproses")</f>
        <v>Dapat limit tapi belum diproses</v>
      </c>
      <c r="D993" s="38" t="str">
        <f>IFERROR(__xludf.DUMMYFUNCTION("""COMPUTED_VALUE"""),"Y400 series")</f>
        <v>Y400 series</v>
      </c>
      <c r="E993" s="38" t="s">
        <v>11407</v>
      </c>
      <c r="F993" s="38" t="s">
        <v>220</v>
      </c>
      <c r="G993" s="38" t="s">
        <v>11408</v>
      </c>
      <c r="H993" s="38" t="s">
        <v>11399</v>
      </c>
    </row>
    <row r="994">
      <c r="A994" s="37">
        <f>IFERROR(__xludf.DUMMYFUNCTION("""COMPUTED_VALUE"""),45924.527827384256)</f>
        <v>45924.52783</v>
      </c>
      <c r="B994" s="38" t="str">
        <f>IFERROR(__xludf.DUMMYFUNCTION("""COMPUTED_VALUE"""),"SULIS NURAINI INSYATUN")</f>
        <v>SULIS NURAINI INSYATUN</v>
      </c>
      <c r="C994" s="38" t="str">
        <f>IFERROR(__xludf.DUMMYFUNCTION("""COMPUTED_VALUE"""),"Dapat limit tapi belum diproses")</f>
        <v>Dapat limit tapi belum diproses</v>
      </c>
      <c r="D994" s="38" t="str">
        <f>IFERROR(__xludf.DUMMYFUNCTION("""COMPUTED_VALUE"""),"V60 Lite series")</f>
        <v>V60 Lite series</v>
      </c>
      <c r="E994" s="38" t="s">
        <v>11429</v>
      </c>
      <c r="F994" s="38" t="s">
        <v>257</v>
      </c>
      <c r="G994" s="38" t="s">
        <v>11430</v>
      </c>
      <c r="H994" s="38" t="s">
        <v>11419</v>
      </c>
    </row>
    <row r="995">
      <c r="A995" s="37">
        <f>IFERROR(__xludf.DUMMYFUNCTION("""COMPUTED_VALUE"""),45924.52963125)</f>
        <v>45924.52963</v>
      </c>
      <c r="B995" s="38" t="str">
        <f>IFERROR(__xludf.DUMMYFUNCTION("""COMPUTED_VALUE"""),"ASTUTI BELA WAWO")</f>
        <v>ASTUTI BELA WAWO</v>
      </c>
      <c r="C995" s="38" t="str">
        <f>IFERROR(__xludf.DUMMYFUNCTION("""COMPUTED_VALUE"""),"Belum disetujui")</f>
        <v>Belum disetujui</v>
      </c>
      <c r="D995" s="38"/>
      <c r="E995" s="38" t="s">
        <v>11427</v>
      </c>
      <c r="F995" s="38" t="s">
        <v>257</v>
      </c>
      <c r="G995" s="38" t="s">
        <v>11428</v>
      </c>
      <c r="H995" s="38" t="s">
        <v>11419</v>
      </c>
    </row>
    <row r="996">
      <c r="A996" s="37">
        <f>IFERROR(__xludf.DUMMYFUNCTION("""COMPUTED_VALUE"""),45924.611631053245)</f>
        <v>45924.61163</v>
      </c>
      <c r="B996" s="38" t="str">
        <f>IFERROR(__xludf.DUMMYFUNCTION("""COMPUTED_VALUE"""),"LASTRIANA PALUS")</f>
        <v>LASTRIANA PALUS</v>
      </c>
      <c r="C996" s="38" t="str">
        <f>IFERROR(__xludf.DUMMYFUNCTION("""COMPUTED_VALUE"""),"Belum disetujui")</f>
        <v>Belum disetujui</v>
      </c>
      <c r="D996" s="38"/>
      <c r="E996" s="38" t="s">
        <v>11468</v>
      </c>
      <c r="F996" s="38" t="s">
        <v>257</v>
      </c>
      <c r="G996" s="38" t="s">
        <v>11469</v>
      </c>
      <c r="H996" s="38" t="s">
        <v>11419</v>
      </c>
    </row>
    <row r="997">
      <c r="A997" s="37">
        <f>IFERROR(__xludf.DUMMYFUNCTION("""COMPUTED_VALUE"""),45924.62659913194)</f>
        <v>45924.6266</v>
      </c>
      <c r="B997" s="38" t="str">
        <f>IFERROR(__xludf.DUMMYFUNCTION("""COMPUTED_VALUE"""),"ASTUTI BELA WAWO")</f>
        <v>ASTUTI BELA WAWO</v>
      </c>
      <c r="C997" s="38" t="str">
        <f>IFERROR(__xludf.DUMMYFUNCTION("""COMPUTED_VALUE"""),"Belum disetujui")</f>
        <v>Belum disetujui</v>
      </c>
      <c r="D997" s="38"/>
      <c r="E997" s="38" t="s">
        <v>11427</v>
      </c>
      <c r="F997" s="38" t="s">
        <v>257</v>
      </c>
      <c r="G997" s="38" t="s">
        <v>11428</v>
      </c>
      <c r="H997" s="38" t="s">
        <v>11419</v>
      </c>
    </row>
    <row r="998">
      <c r="A998" s="37">
        <f>IFERROR(__xludf.DUMMYFUNCTION("""COMPUTED_VALUE"""),45924.62892905092)</f>
        <v>45924.62893</v>
      </c>
      <c r="B998" s="38" t="str">
        <f>IFERROR(__xludf.DUMMYFUNCTION("""COMPUTED_VALUE"""),"ASTUTI BELA WAWO")</f>
        <v>ASTUTI BELA WAWO</v>
      </c>
      <c r="C998" s="38" t="str">
        <f>IFERROR(__xludf.DUMMYFUNCTION("""COMPUTED_VALUE"""),"Belum disetujui")</f>
        <v>Belum disetujui</v>
      </c>
      <c r="D998" s="38"/>
      <c r="E998" s="38" t="s">
        <v>11427</v>
      </c>
      <c r="F998" s="38" t="s">
        <v>257</v>
      </c>
      <c r="G998" s="38" t="s">
        <v>11428</v>
      </c>
      <c r="H998" s="38" t="s">
        <v>11419</v>
      </c>
    </row>
    <row r="999">
      <c r="A999" s="37">
        <f>IFERROR(__xludf.DUMMYFUNCTION("""COMPUTED_VALUE"""),45924.66475707176)</f>
        <v>45924.66476</v>
      </c>
      <c r="B999" s="38" t="str">
        <f>IFERROR(__xludf.DUMMYFUNCTION("""COMPUTED_VALUE"""),"NOVLIANA BARBALINA MISA")</f>
        <v>NOVLIANA BARBALINA MISA</v>
      </c>
      <c r="C999" s="38" t="str">
        <f>IFERROR(__xludf.DUMMYFUNCTION("""COMPUTED_VALUE"""),"Belum disetujui")</f>
        <v>Belum disetujui</v>
      </c>
      <c r="D999" s="38"/>
      <c r="E999" s="38" t="s">
        <v>11454</v>
      </c>
      <c r="F999" s="38" t="s">
        <v>205</v>
      </c>
      <c r="G999" s="38" t="s">
        <v>11455</v>
      </c>
      <c r="H999" s="38" t="s">
        <v>11419</v>
      </c>
    </row>
    <row r="1000">
      <c r="A1000" s="37">
        <f>IFERROR(__xludf.DUMMYFUNCTION("""COMPUTED_VALUE"""),45924.69542099538)</f>
        <v>45924.69542</v>
      </c>
      <c r="B1000" s="38" t="str">
        <f>IFERROR(__xludf.DUMMYFUNCTION("""COMPUTED_VALUE"""),"HERONIMUS NAMU WALI")</f>
        <v>HERONIMUS NAMU WALI</v>
      </c>
      <c r="C1000" s="38" t="str">
        <f>IFERROR(__xludf.DUMMYFUNCTION("""COMPUTED_VALUE"""),"ACC")</f>
        <v>ACC</v>
      </c>
      <c r="D1000" s="38" t="str">
        <f>IFERROR(__xludf.DUMMYFUNCTION("""COMPUTED_VALUE"""),"Y400 series")</f>
        <v>Y400 series</v>
      </c>
      <c r="E1000" s="38" t="s">
        <v>11452</v>
      </c>
      <c r="F1000" s="38" t="s">
        <v>205</v>
      </c>
      <c r="G1000" s="38" t="s">
        <v>11453</v>
      </c>
      <c r="H1000" s="38" t="s">
        <v>11419</v>
      </c>
    </row>
    <row r="1001">
      <c r="A1001" s="37">
        <f>IFERROR(__xludf.DUMMYFUNCTION("""COMPUTED_VALUE"""),45924.69663925926)</f>
        <v>45924.69664</v>
      </c>
      <c r="B1001" s="38" t="str">
        <f>IFERROR(__xludf.DUMMYFUNCTION("""COMPUTED_VALUE"""),"YOMELIANA MARIA MAGNO")</f>
        <v>YOMELIANA MARIA MAGNO</v>
      </c>
      <c r="C1001" s="38" t="str">
        <f>IFERROR(__xludf.DUMMYFUNCTION("""COMPUTED_VALUE"""),"Belum disetujui")</f>
        <v>Belum disetujui</v>
      </c>
      <c r="D1001" s="38"/>
      <c r="E1001" s="38" t="s">
        <v>11460</v>
      </c>
      <c r="F1001" s="38" t="s">
        <v>871</v>
      </c>
      <c r="G1001" s="38" t="s">
        <v>11461</v>
      </c>
      <c r="H1001" s="38" t="s">
        <v>11424</v>
      </c>
    </row>
    <row r="1002">
      <c r="A1002" s="37">
        <f>IFERROR(__xludf.DUMMYFUNCTION("""COMPUTED_VALUE"""),45924.76323391204)</f>
        <v>45924.76323</v>
      </c>
      <c r="B1002" s="38" t="str">
        <f>IFERROR(__xludf.DUMMYFUNCTION("""COMPUTED_VALUE"""),"CHOIRUNISA ILHAM")</f>
        <v>CHOIRUNISA ILHAM</v>
      </c>
      <c r="C1002" s="38" t="str">
        <f>IFERROR(__xludf.DUMMYFUNCTION("""COMPUTED_VALUE"""),"Belum disetujui")</f>
        <v>Belum disetujui</v>
      </c>
      <c r="D1002" s="38"/>
      <c r="E1002" s="38" t="s">
        <v>11404</v>
      </c>
      <c r="F1002" s="38" t="s">
        <v>11404</v>
      </c>
      <c r="G1002" s="38" t="s">
        <v>11404</v>
      </c>
      <c r="H1002" s="38" t="s">
        <v>11404</v>
      </c>
    </row>
    <row r="1003">
      <c r="A1003" s="37">
        <f>IFERROR(__xludf.DUMMYFUNCTION("""COMPUTED_VALUE"""),45924.79845778936)</f>
        <v>45924.79846</v>
      </c>
      <c r="B1003" s="38" t="str">
        <f>IFERROR(__xludf.DUMMYFUNCTION("""COMPUTED_VALUE"""),"ASTUTI BELA WAWO")</f>
        <v>ASTUTI BELA WAWO</v>
      </c>
      <c r="C1003" s="38" t="str">
        <f>IFERROR(__xludf.DUMMYFUNCTION("""COMPUTED_VALUE"""),"Belum disetujui")</f>
        <v>Belum disetujui</v>
      </c>
      <c r="D1003" s="38"/>
      <c r="E1003" s="38" t="s">
        <v>11427</v>
      </c>
      <c r="F1003" s="38" t="s">
        <v>257</v>
      </c>
      <c r="G1003" s="38" t="s">
        <v>11428</v>
      </c>
      <c r="H1003" s="38" t="s">
        <v>11419</v>
      </c>
    </row>
    <row r="1004">
      <c r="A1004" s="37">
        <f>IFERROR(__xludf.DUMMYFUNCTION("""COMPUTED_VALUE"""),45924.82987126157)</f>
        <v>45924.82987</v>
      </c>
      <c r="B1004" s="38" t="str">
        <f>IFERROR(__xludf.DUMMYFUNCTION("""COMPUTED_VALUE"""),"HERONIMUS NAMU WALI")</f>
        <v>HERONIMUS NAMU WALI</v>
      </c>
      <c r="C1004" s="38" t="str">
        <f>IFERROR(__xludf.DUMMYFUNCTION("""COMPUTED_VALUE"""),"ACC")</f>
        <v>ACC</v>
      </c>
      <c r="D1004" s="38" t="str">
        <f>IFERROR(__xludf.DUMMYFUNCTION("""COMPUTED_VALUE"""),"Y400 series")</f>
        <v>Y400 series</v>
      </c>
      <c r="E1004" s="38" t="s">
        <v>11452</v>
      </c>
      <c r="F1004" s="38" t="s">
        <v>205</v>
      </c>
      <c r="G1004" s="38" t="s">
        <v>11453</v>
      </c>
      <c r="H1004" s="38" t="s">
        <v>11419</v>
      </c>
    </row>
    <row r="1005">
      <c r="A1005" s="37">
        <f>IFERROR(__xludf.DUMMYFUNCTION("""COMPUTED_VALUE"""),45924.835734594904)</f>
        <v>45924.83573</v>
      </c>
      <c r="B1005" s="38" t="str">
        <f>IFERROR(__xludf.DUMMYFUNCTION("""COMPUTED_VALUE"""),"HERONIMUS NAMU WALI")</f>
        <v>HERONIMUS NAMU WALI</v>
      </c>
      <c r="C1005" s="38" t="str">
        <f>IFERROR(__xludf.DUMMYFUNCTION("""COMPUTED_VALUE"""),"ACC")</f>
        <v>ACC</v>
      </c>
      <c r="D1005" s="38" t="str">
        <f>IFERROR(__xludf.DUMMYFUNCTION("""COMPUTED_VALUE"""),"Y400 series")</f>
        <v>Y400 series</v>
      </c>
      <c r="E1005" s="38" t="s">
        <v>11452</v>
      </c>
      <c r="F1005" s="38" t="s">
        <v>205</v>
      </c>
      <c r="G1005" s="38" t="s">
        <v>11453</v>
      </c>
      <c r="H1005" s="38" t="s">
        <v>11419</v>
      </c>
    </row>
    <row r="1006">
      <c r="A1006" s="37">
        <f>IFERROR(__xludf.DUMMYFUNCTION("""COMPUTED_VALUE"""),45924.8391075)</f>
        <v>45924.83911</v>
      </c>
      <c r="B1006" s="38" t="str">
        <f>IFERROR(__xludf.DUMMYFUNCTION("""COMPUTED_VALUE"""),"NOVANTRY RUTHANIA NAFFIE")</f>
        <v>NOVANTRY RUTHANIA NAFFIE</v>
      </c>
      <c r="C1006" s="38" t="str">
        <f>IFERROR(__xludf.DUMMYFUNCTION("""COMPUTED_VALUE"""),"Belum disetujui")</f>
        <v>Belum disetujui</v>
      </c>
      <c r="D1006" s="38"/>
      <c r="E1006" s="38" t="s">
        <v>11397</v>
      </c>
      <c r="F1006" s="38" t="s">
        <v>220</v>
      </c>
      <c r="G1006" s="38" t="s">
        <v>11398</v>
      </c>
      <c r="H1006" s="38" t="s">
        <v>11399</v>
      </c>
    </row>
    <row r="1007">
      <c r="A1007" s="37">
        <f>IFERROR(__xludf.DUMMYFUNCTION("""COMPUTED_VALUE"""),45924.86000533565)</f>
        <v>45924.86001</v>
      </c>
      <c r="B1007" s="38" t="str">
        <f>IFERROR(__xludf.DUMMYFUNCTION("""COMPUTED_VALUE"""),"PATRIANI MENGI ULY")</f>
        <v>PATRIANI MENGI ULY</v>
      </c>
      <c r="C1007" s="38" t="str">
        <f>IFERROR(__xludf.DUMMYFUNCTION("""COMPUTED_VALUE"""),"Belum disetujui")</f>
        <v>Belum disetujui</v>
      </c>
      <c r="D1007" s="38"/>
      <c r="E1007" s="38" t="s">
        <v>11402</v>
      </c>
      <c r="F1007" s="38" t="s">
        <v>204</v>
      </c>
      <c r="G1007" s="38" t="s">
        <v>11403</v>
      </c>
      <c r="H1007" s="38" t="s">
        <v>11399</v>
      </c>
    </row>
    <row r="1008">
      <c r="A1008" s="37">
        <f>IFERROR(__xludf.DUMMYFUNCTION("""COMPUTED_VALUE"""),45924.86808541667)</f>
        <v>45924.86809</v>
      </c>
      <c r="B1008" s="38" t="str">
        <f>IFERROR(__xludf.DUMMYFUNCTION("""COMPUTED_VALUE"""),"YOHANIS TIPNONI")</f>
        <v>YOHANIS TIPNONI</v>
      </c>
      <c r="C1008" s="38" t="str">
        <f>IFERROR(__xludf.DUMMYFUNCTION("""COMPUTED_VALUE"""),"Belum disetujui")</f>
        <v>Belum disetujui</v>
      </c>
      <c r="D1008" s="38"/>
      <c r="E1008" s="38" t="s">
        <v>11405</v>
      </c>
      <c r="F1008" s="38" t="s">
        <v>220</v>
      </c>
      <c r="G1008" s="38" t="s">
        <v>11406</v>
      </c>
      <c r="H1008" s="38" t="s">
        <v>11399</v>
      </c>
    </row>
    <row r="1009">
      <c r="A1009" s="37">
        <f>IFERROR(__xludf.DUMMYFUNCTION("""COMPUTED_VALUE"""),45924.87031709491)</f>
        <v>45924.87032</v>
      </c>
      <c r="B1009" s="38" t="str">
        <f>IFERROR(__xludf.DUMMYFUNCTION("""COMPUTED_VALUE"""),"YOHANIS TIPNONI")</f>
        <v>YOHANIS TIPNONI</v>
      </c>
      <c r="C1009" s="38" t="str">
        <f>IFERROR(__xludf.DUMMYFUNCTION("""COMPUTED_VALUE"""),"Belum disetujui")</f>
        <v>Belum disetujui</v>
      </c>
      <c r="D1009" s="38"/>
      <c r="E1009" s="38" t="s">
        <v>11405</v>
      </c>
      <c r="F1009" s="38" t="s">
        <v>220</v>
      </c>
      <c r="G1009" s="38" t="s">
        <v>11406</v>
      </c>
      <c r="H1009" s="38" t="s">
        <v>11399</v>
      </c>
    </row>
    <row r="1010">
      <c r="A1010" s="37">
        <f>IFERROR(__xludf.DUMMYFUNCTION("""COMPUTED_VALUE"""),45924.8717466088)</f>
        <v>45924.87175</v>
      </c>
      <c r="B1010" s="38" t="str">
        <f>IFERROR(__xludf.DUMMYFUNCTION("""COMPUTED_VALUE"""),"PATRIANI MENGI ULY")</f>
        <v>PATRIANI MENGI ULY</v>
      </c>
      <c r="C1010" s="38" t="str">
        <f>IFERROR(__xludf.DUMMYFUNCTION("""COMPUTED_VALUE"""),"Dapat limit tapi belum diproses")</f>
        <v>Dapat limit tapi belum diproses</v>
      </c>
      <c r="D1010" s="38" t="str">
        <f>IFERROR(__xludf.DUMMYFUNCTION("""COMPUTED_VALUE"""),"Y29 series")</f>
        <v>Y29 series</v>
      </c>
      <c r="E1010" s="38" t="s">
        <v>11402</v>
      </c>
      <c r="F1010" s="38" t="s">
        <v>204</v>
      </c>
      <c r="G1010" s="38" t="s">
        <v>11403</v>
      </c>
      <c r="H1010" s="38" t="s">
        <v>11399</v>
      </c>
    </row>
    <row r="1011">
      <c r="A1011" s="37">
        <f>IFERROR(__xludf.DUMMYFUNCTION("""COMPUTED_VALUE"""),45924.89301020834)</f>
        <v>45924.89301</v>
      </c>
      <c r="B1011" s="38" t="str">
        <f>IFERROR(__xludf.DUMMYFUNCTION("""COMPUTED_VALUE"""),"YOHANIS TIPNONI")</f>
        <v>YOHANIS TIPNONI</v>
      </c>
      <c r="C1011" s="38" t="str">
        <f>IFERROR(__xludf.DUMMYFUNCTION("""COMPUTED_VALUE"""),"Belum disetujui")</f>
        <v>Belum disetujui</v>
      </c>
      <c r="D1011" s="38"/>
      <c r="E1011" s="38" t="s">
        <v>11405</v>
      </c>
      <c r="F1011" s="38" t="s">
        <v>220</v>
      </c>
      <c r="G1011" s="38" t="s">
        <v>11406</v>
      </c>
      <c r="H1011" s="38" t="s">
        <v>11399</v>
      </c>
    </row>
    <row r="1012">
      <c r="A1012" s="37">
        <f>IFERROR(__xludf.DUMMYFUNCTION("""COMPUTED_VALUE"""),45924.91972069444)</f>
        <v>45924.91972</v>
      </c>
      <c r="B1012" s="38" t="str">
        <f>IFERROR(__xludf.DUMMYFUNCTION("""COMPUTED_VALUE"""),"YOHANA NOVIANA MARIANA GAA")</f>
        <v>YOHANA NOVIANA MARIANA GAA</v>
      </c>
      <c r="C1012" s="38" t="str">
        <f>IFERROR(__xludf.DUMMYFUNCTION("""COMPUTED_VALUE"""),"Belum disetujui")</f>
        <v>Belum disetujui</v>
      </c>
      <c r="D1012" s="38"/>
      <c r="E1012" s="38" t="s">
        <v>11400</v>
      </c>
      <c r="F1012" s="38" t="s">
        <v>204</v>
      </c>
      <c r="G1012" s="38" t="s">
        <v>11401</v>
      </c>
      <c r="H1012" s="38" t="s">
        <v>11399</v>
      </c>
    </row>
    <row r="1013">
      <c r="A1013" s="37">
        <f>IFERROR(__xludf.DUMMYFUNCTION("""COMPUTED_VALUE"""),45925.42505403935)</f>
        <v>45925.42505</v>
      </c>
      <c r="B1013" s="38" t="str">
        <f>IFERROR(__xludf.DUMMYFUNCTION("""COMPUTED_VALUE"""),"NUR FATIMAH MOLBANG")</f>
        <v>NUR FATIMAH MOLBANG</v>
      </c>
      <c r="C1013" s="38" t="str">
        <f>IFERROR(__xludf.DUMMYFUNCTION("""COMPUTED_VALUE"""),"Belum disetujui")</f>
        <v>Belum disetujui</v>
      </c>
      <c r="D1013" s="38"/>
      <c r="E1013" s="38" t="s">
        <v>11439</v>
      </c>
      <c r="F1013" s="38" t="s">
        <v>313</v>
      </c>
      <c r="G1013" s="38" t="s">
        <v>11440</v>
      </c>
      <c r="H1013" s="38" t="s">
        <v>11424</v>
      </c>
    </row>
    <row r="1014">
      <c r="A1014" s="37">
        <f>IFERROR(__xludf.DUMMYFUNCTION("""COMPUTED_VALUE"""),45925.447293668985)</f>
        <v>45925.44729</v>
      </c>
      <c r="B1014" s="38" t="str">
        <f>IFERROR(__xludf.DUMMYFUNCTION("""COMPUTED_VALUE"""),"AINI RAHMATINI NATALIA MOESTAKIM")</f>
        <v>AINI RAHMATINI NATALIA MOESTAKIM</v>
      </c>
      <c r="C1014" s="38" t="str">
        <f>IFERROR(__xludf.DUMMYFUNCTION("""COMPUTED_VALUE"""),"Belum disetujui")</f>
        <v>Belum disetujui</v>
      </c>
      <c r="D1014" s="38"/>
      <c r="E1014" s="38" t="s">
        <v>11409</v>
      </c>
      <c r="F1014" s="38" t="s">
        <v>204</v>
      </c>
      <c r="G1014" s="38" t="s">
        <v>11410</v>
      </c>
      <c r="H1014" s="38" t="s">
        <v>11399</v>
      </c>
    </row>
    <row r="1015">
      <c r="A1015" s="37">
        <f>IFERROR(__xludf.DUMMYFUNCTION("""COMPUTED_VALUE"""),45925.48133765047)</f>
        <v>45925.48134</v>
      </c>
      <c r="B1015" s="38" t="str">
        <f>IFERROR(__xludf.DUMMYFUNCTION("""COMPUTED_VALUE"""),"MARNITHA JUWIKE TIMORATI RUNESI")</f>
        <v>MARNITHA JUWIKE TIMORATI RUNESI</v>
      </c>
      <c r="C1015" s="38" t="str">
        <f>IFERROR(__xludf.DUMMYFUNCTION("""COMPUTED_VALUE"""),"Dapat limit tapi belum diproses")</f>
        <v>Dapat limit tapi belum diproses</v>
      </c>
      <c r="D1015" s="38" t="str">
        <f>IFERROR(__xludf.DUMMYFUNCTION("""COMPUTED_VALUE"""),"Y400 series")</f>
        <v>Y400 series</v>
      </c>
      <c r="E1015" s="38" t="s">
        <v>11420</v>
      </c>
      <c r="F1015" s="38" t="s">
        <v>204</v>
      </c>
      <c r="G1015" s="38" t="s">
        <v>11421</v>
      </c>
      <c r="H1015" s="38" t="s">
        <v>11399</v>
      </c>
    </row>
    <row r="1016">
      <c r="A1016" s="37">
        <f>IFERROR(__xludf.DUMMYFUNCTION("""COMPUTED_VALUE"""),45925.51385081019)</f>
        <v>45925.51385</v>
      </c>
      <c r="B1016" s="38" t="str">
        <f>IFERROR(__xludf.DUMMYFUNCTION("""COMPUTED_VALUE"""),"ASRI NINGSI RAMBU ATA ENDI")</f>
        <v>ASRI NINGSI RAMBU ATA ENDI</v>
      </c>
      <c r="C1016" s="38" t="str">
        <f>IFERROR(__xludf.DUMMYFUNCTION("""COMPUTED_VALUE"""),"Belum disetujui")</f>
        <v>Belum disetujui</v>
      </c>
      <c r="D1016" s="38"/>
      <c r="E1016" s="38" t="s">
        <v>11441</v>
      </c>
      <c r="F1016" s="38" t="s">
        <v>205</v>
      </c>
      <c r="G1016" s="38" t="s">
        <v>11442</v>
      </c>
      <c r="H1016" s="38" t="s">
        <v>11419</v>
      </c>
    </row>
    <row r="1017">
      <c r="A1017" s="37">
        <f>IFERROR(__xludf.DUMMYFUNCTION("""COMPUTED_VALUE"""),45925.57869332176)</f>
        <v>45925.57869</v>
      </c>
      <c r="B1017" s="38" t="str">
        <f>IFERROR(__xludf.DUMMYFUNCTION("""COMPUTED_VALUE"""),"IRENE NOVALIA KADJU")</f>
        <v>IRENE NOVALIA KADJU</v>
      </c>
      <c r="C1017" s="38" t="str">
        <f>IFERROR(__xludf.DUMMYFUNCTION("""COMPUTED_VALUE"""),"Belum disetujui")</f>
        <v>Belum disetujui</v>
      </c>
      <c r="D1017" s="38"/>
      <c r="E1017" s="38" t="s">
        <v>11445</v>
      </c>
      <c r="F1017" s="38" t="s">
        <v>204</v>
      </c>
      <c r="G1017" s="38" t="s">
        <v>11446</v>
      </c>
      <c r="H1017" s="38" t="s">
        <v>11399</v>
      </c>
    </row>
    <row r="1018">
      <c r="A1018" s="37">
        <f>IFERROR(__xludf.DUMMYFUNCTION("""COMPUTED_VALUE"""),45925.63775375)</f>
        <v>45925.63775</v>
      </c>
      <c r="B1018" s="38" t="str">
        <f>IFERROR(__xludf.DUMMYFUNCTION("""COMPUTED_VALUE"""),"MERDA PUTRI BUNGSU KENAT")</f>
        <v>MERDA PUTRI BUNGSU KENAT</v>
      </c>
      <c r="C1018" s="38" t="str">
        <f>IFERROR(__xludf.DUMMYFUNCTION("""COMPUTED_VALUE"""),"Belum disetujui")</f>
        <v>Belum disetujui</v>
      </c>
      <c r="D1018" s="38"/>
      <c r="E1018" s="38" t="s">
        <v>11422</v>
      </c>
      <c r="F1018" s="38" t="s">
        <v>215</v>
      </c>
      <c r="G1018" s="38" t="s">
        <v>11423</v>
      </c>
      <c r="H1018" s="38" t="s">
        <v>11424</v>
      </c>
    </row>
    <row r="1019">
      <c r="A1019" s="37">
        <f>IFERROR(__xludf.DUMMYFUNCTION("""COMPUTED_VALUE"""),45925.64225888888)</f>
        <v>45925.64226</v>
      </c>
      <c r="B1019" s="38" t="str">
        <f>IFERROR(__xludf.DUMMYFUNCTION("""COMPUTED_VALUE"""),"ASTUTI BELA WAWO")</f>
        <v>ASTUTI BELA WAWO</v>
      </c>
      <c r="C1019" s="38" t="str">
        <f>IFERROR(__xludf.DUMMYFUNCTION("""COMPUTED_VALUE"""),"Belum disetujui")</f>
        <v>Belum disetujui</v>
      </c>
      <c r="D1019" s="38"/>
      <c r="E1019" s="38" t="s">
        <v>11427</v>
      </c>
      <c r="F1019" s="38" t="s">
        <v>257</v>
      </c>
      <c r="G1019" s="38" t="s">
        <v>11428</v>
      </c>
      <c r="H1019" s="38" t="s">
        <v>11419</v>
      </c>
    </row>
    <row r="1020">
      <c r="A1020" s="37">
        <f>IFERROR(__xludf.DUMMYFUNCTION("""COMPUTED_VALUE"""),45925.66192042824)</f>
        <v>45925.66192</v>
      </c>
      <c r="B1020" s="38" t="str">
        <f>IFERROR(__xludf.DUMMYFUNCTION("""COMPUTED_VALUE"""),"DEWI RAHMAN")</f>
        <v>DEWI RAHMAN</v>
      </c>
      <c r="C1020" s="38" t="str">
        <f>IFERROR(__xludf.DUMMYFUNCTION("""COMPUTED_VALUE"""),"ACC")</f>
        <v>ACC</v>
      </c>
      <c r="D1020" s="38" t="str">
        <f>IFERROR(__xludf.DUMMYFUNCTION("""COMPUTED_VALUE"""),"V50 Lite series")</f>
        <v>V50 Lite series</v>
      </c>
      <c r="E1020" s="38" t="s">
        <v>11449</v>
      </c>
      <c r="F1020" s="38" t="s">
        <v>11450</v>
      </c>
      <c r="G1020" s="38" t="s">
        <v>11451</v>
      </c>
      <c r="H1020" s="38" t="s">
        <v>11424</v>
      </c>
    </row>
    <row r="1021">
      <c r="A1021" s="37">
        <f>IFERROR(__xludf.DUMMYFUNCTION("""COMPUTED_VALUE"""),45925.693296770834)</f>
        <v>45925.6933</v>
      </c>
      <c r="B1021" s="38" t="str">
        <f>IFERROR(__xludf.DUMMYFUNCTION("""COMPUTED_VALUE"""),"HERONIMUS NAMU WALI")</f>
        <v>HERONIMUS NAMU WALI</v>
      </c>
      <c r="C1021" s="38" t="str">
        <f>IFERROR(__xludf.DUMMYFUNCTION("""COMPUTED_VALUE"""),"ACC")</f>
        <v>ACC</v>
      </c>
      <c r="D1021" s="38" t="str">
        <f>IFERROR(__xludf.DUMMYFUNCTION("""COMPUTED_VALUE"""),"Y400 series")</f>
        <v>Y400 series</v>
      </c>
      <c r="E1021" s="38" t="s">
        <v>11452</v>
      </c>
      <c r="F1021" s="38" t="s">
        <v>205</v>
      </c>
      <c r="G1021" s="38" t="s">
        <v>11453</v>
      </c>
      <c r="H1021" s="38" t="s">
        <v>11419</v>
      </c>
    </row>
    <row r="1022">
      <c r="A1022" s="37">
        <f>IFERROR(__xludf.DUMMYFUNCTION("""COMPUTED_VALUE"""),45925.71185225695)</f>
        <v>45925.71185</v>
      </c>
      <c r="B1022" s="38" t="str">
        <f>IFERROR(__xludf.DUMMYFUNCTION("""COMPUTED_VALUE"""),"AINI RAHMATINI NATALIA MOESTAKIM")</f>
        <v>AINI RAHMATINI NATALIA MOESTAKIM</v>
      </c>
      <c r="C1022" s="38" t="str">
        <f>IFERROR(__xludf.DUMMYFUNCTION("""COMPUTED_VALUE"""),"Belum disetujui")</f>
        <v>Belum disetujui</v>
      </c>
      <c r="D1022" s="38"/>
      <c r="E1022" s="38" t="s">
        <v>11409</v>
      </c>
      <c r="F1022" s="38" t="s">
        <v>204</v>
      </c>
      <c r="G1022" s="38" t="s">
        <v>11410</v>
      </c>
      <c r="H1022" s="38" t="s">
        <v>11399</v>
      </c>
    </row>
    <row r="1023">
      <c r="A1023" s="37">
        <f>IFERROR(__xludf.DUMMYFUNCTION("""COMPUTED_VALUE"""),45925.76973800926)</f>
        <v>45925.76974</v>
      </c>
      <c r="B1023" s="38" t="str">
        <f>IFERROR(__xludf.DUMMYFUNCTION("""COMPUTED_VALUE"""),"WARDIA")</f>
        <v>WARDIA</v>
      </c>
      <c r="C1023" s="38" t="str">
        <f>IFERROR(__xludf.DUMMYFUNCTION("""COMPUTED_VALUE"""),"Belum disetujui")</f>
        <v>Belum disetujui</v>
      </c>
      <c r="D1023" s="38"/>
      <c r="E1023" s="38" t="s">
        <v>11409</v>
      </c>
      <c r="F1023" s="38" t="s">
        <v>204</v>
      </c>
      <c r="G1023" s="38" t="s">
        <v>11410</v>
      </c>
      <c r="H1023" s="38" t="s">
        <v>11399</v>
      </c>
    </row>
    <row r="1024">
      <c r="A1024" s="37">
        <f>IFERROR(__xludf.DUMMYFUNCTION("""COMPUTED_VALUE"""),45925.770920462965)</f>
        <v>45925.77092</v>
      </c>
      <c r="B1024" s="38" t="str">
        <f>IFERROR(__xludf.DUMMYFUNCTION("""COMPUTED_VALUE"""),"WARDIA")</f>
        <v>WARDIA</v>
      </c>
      <c r="C1024" s="38" t="str">
        <f>IFERROR(__xludf.DUMMYFUNCTION("""COMPUTED_VALUE"""),"Belum disetujui")</f>
        <v>Belum disetujui</v>
      </c>
      <c r="D1024" s="38"/>
      <c r="E1024" s="38" t="s">
        <v>11409</v>
      </c>
      <c r="F1024" s="38" t="s">
        <v>204</v>
      </c>
      <c r="G1024" s="38" t="s">
        <v>11410</v>
      </c>
      <c r="H1024" s="38" t="s">
        <v>11399</v>
      </c>
    </row>
    <row r="1025">
      <c r="A1025" s="37">
        <f>IFERROR(__xludf.DUMMYFUNCTION("""COMPUTED_VALUE"""),45925.80675703704)</f>
        <v>45925.80676</v>
      </c>
      <c r="B1025" s="38" t="str">
        <f>IFERROR(__xludf.DUMMYFUNCTION("""COMPUTED_VALUE"""),"WARDIA")</f>
        <v>WARDIA</v>
      </c>
      <c r="C1025" s="38" t="str">
        <f>IFERROR(__xludf.DUMMYFUNCTION("""COMPUTED_VALUE"""),"Belum disetujui")</f>
        <v>Belum disetujui</v>
      </c>
      <c r="D1025" s="38"/>
      <c r="E1025" s="38" t="s">
        <v>11409</v>
      </c>
      <c r="F1025" s="38" t="s">
        <v>204</v>
      </c>
      <c r="G1025" s="38" t="s">
        <v>11410</v>
      </c>
      <c r="H1025" s="38" t="s">
        <v>11399</v>
      </c>
    </row>
    <row r="1026">
      <c r="A1026" s="37">
        <f>IFERROR(__xludf.DUMMYFUNCTION("""COMPUTED_VALUE"""),45925.807632187505)</f>
        <v>45925.80763</v>
      </c>
      <c r="B1026" s="38" t="str">
        <f>IFERROR(__xludf.DUMMYFUNCTION("""COMPUTED_VALUE"""),"WARDIA")</f>
        <v>WARDIA</v>
      </c>
      <c r="C1026" s="38" t="str">
        <f>IFERROR(__xludf.DUMMYFUNCTION("""COMPUTED_VALUE"""),"Belum disetujui")</f>
        <v>Belum disetujui</v>
      </c>
      <c r="D1026" s="38"/>
      <c r="E1026" s="38" t="s">
        <v>11409</v>
      </c>
      <c r="F1026" s="38" t="s">
        <v>204</v>
      </c>
      <c r="G1026" s="38" t="s">
        <v>11410</v>
      </c>
      <c r="H1026" s="38" t="s">
        <v>11399</v>
      </c>
    </row>
    <row r="1027">
      <c r="A1027" s="37">
        <f>IFERROR(__xludf.DUMMYFUNCTION("""COMPUTED_VALUE"""),45925.81917231482)</f>
        <v>45925.81917</v>
      </c>
      <c r="B1027" s="38" t="str">
        <f>IFERROR(__xludf.DUMMYFUNCTION("""COMPUTED_VALUE"""),"SULIS NURAINI INSYATUN")</f>
        <v>SULIS NURAINI INSYATUN</v>
      </c>
      <c r="C1027" s="38" t="str">
        <f>IFERROR(__xludf.DUMMYFUNCTION("""COMPUTED_VALUE"""),"Dapat limit tapi belum diproses")</f>
        <v>Dapat limit tapi belum diproses</v>
      </c>
      <c r="D1027" s="38" t="str">
        <f>IFERROR(__xludf.DUMMYFUNCTION("""COMPUTED_VALUE"""),"Y400 series")</f>
        <v>Y400 series</v>
      </c>
      <c r="E1027" s="38" t="s">
        <v>11429</v>
      </c>
      <c r="F1027" s="38" t="s">
        <v>257</v>
      </c>
      <c r="G1027" s="38" t="s">
        <v>11430</v>
      </c>
      <c r="H1027" s="38" t="s">
        <v>11419</v>
      </c>
    </row>
    <row r="1028">
      <c r="A1028" s="37">
        <f>IFERROR(__xludf.DUMMYFUNCTION("""COMPUTED_VALUE"""),45925.81950693287)</f>
        <v>45925.81951</v>
      </c>
      <c r="B1028" s="38" t="str">
        <f>IFERROR(__xludf.DUMMYFUNCTION("""COMPUTED_VALUE"""),"ASRI NINGSI RAMBU ATA ENDI")</f>
        <v>ASRI NINGSI RAMBU ATA ENDI</v>
      </c>
      <c r="C1028" s="38" t="str">
        <f>IFERROR(__xludf.DUMMYFUNCTION("""COMPUTED_VALUE"""),"ACC")</f>
        <v>ACC</v>
      </c>
      <c r="D1028" s="38" t="str">
        <f>IFERROR(__xludf.DUMMYFUNCTION("""COMPUTED_VALUE"""),"V50 Lite series")</f>
        <v>V50 Lite series</v>
      </c>
      <c r="E1028" s="38" t="s">
        <v>11441</v>
      </c>
      <c r="F1028" s="38" t="s">
        <v>205</v>
      </c>
      <c r="G1028" s="38" t="s">
        <v>11442</v>
      </c>
      <c r="H1028" s="38" t="s">
        <v>11419</v>
      </c>
    </row>
    <row r="1029">
      <c r="A1029" s="37">
        <f>IFERROR(__xludf.DUMMYFUNCTION("""COMPUTED_VALUE"""),45925.8230852662)</f>
        <v>45925.82309</v>
      </c>
      <c r="B1029" s="38" t="str">
        <f>IFERROR(__xludf.DUMMYFUNCTION("""COMPUTED_VALUE"""),"ESTER LUDJI")</f>
        <v>ESTER LUDJI</v>
      </c>
      <c r="C1029" s="38" t="str">
        <f>IFERROR(__xludf.DUMMYFUNCTION("""COMPUTED_VALUE"""),"Belum disetujui")</f>
        <v>Belum disetujui</v>
      </c>
      <c r="D1029" s="38"/>
      <c r="E1029" s="38" t="s">
        <v>11441</v>
      </c>
      <c r="F1029" s="38" t="s">
        <v>205</v>
      </c>
      <c r="G1029" s="38" t="s">
        <v>11442</v>
      </c>
      <c r="H1029" s="38" t="s">
        <v>11419</v>
      </c>
    </row>
    <row r="1030">
      <c r="A1030" s="37">
        <f>IFERROR(__xludf.DUMMYFUNCTION("""COMPUTED_VALUE"""),45925.91977519676)</f>
        <v>45925.91978</v>
      </c>
      <c r="B1030" s="38" t="str">
        <f>IFERROR(__xludf.DUMMYFUNCTION("""COMPUTED_VALUE"""),"YOHANIS TIPNONI")</f>
        <v>YOHANIS TIPNONI</v>
      </c>
      <c r="C1030" s="38" t="str">
        <f>IFERROR(__xludf.DUMMYFUNCTION("""COMPUTED_VALUE"""),"Belum disetujui")</f>
        <v>Belum disetujui</v>
      </c>
      <c r="D1030" s="38"/>
      <c r="E1030" s="38" t="s">
        <v>11405</v>
      </c>
      <c r="F1030" s="38" t="s">
        <v>220</v>
      </c>
      <c r="G1030" s="38" t="s">
        <v>11406</v>
      </c>
      <c r="H1030" s="38" t="s">
        <v>11399</v>
      </c>
    </row>
    <row r="1031">
      <c r="A1031" s="37">
        <f>IFERROR(__xludf.DUMMYFUNCTION("""COMPUTED_VALUE"""),45925.92199824074)</f>
        <v>45925.922</v>
      </c>
      <c r="B1031" s="38" t="str">
        <f>IFERROR(__xludf.DUMMYFUNCTION("""COMPUTED_VALUE"""),"DEMARISTI S H FENI")</f>
        <v>DEMARISTI S H FENI</v>
      </c>
      <c r="C1031" s="38" t="str">
        <f>IFERROR(__xludf.DUMMYFUNCTION("""COMPUTED_VALUE"""),"Belum disetujui")</f>
        <v>Belum disetujui</v>
      </c>
      <c r="D1031" s="38"/>
      <c r="E1031" s="38" t="s">
        <v>11404</v>
      </c>
      <c r="F1031" s="38" t="s">
        <v>11404</v>
      </c>
      <c r="G1031" s="38" t="s">
        <v>11404</v>
      </c>
      <c r="H1031" s="38" t="s">
        <v>11404</v>
      </c>
    </row>
    <row r="1032">
      <c r="A1032" s="37">
        <f>IFERROR(__xludf.DUMMYFUNCTION("""COMPUTED_VALUE"""),45926.503932291664)</f>
        <v>45926.50393</v>
      </c>
      <c r="B1032" s="38" t="str">
        <f>IFERROR(__xludf.DUMMYFUNCTION("""COMPUTED_VALUE"""),"ANITA ANA AMAH")</f>
        <v>ANITA ANA AMAH</v>
      </c>
      <c r="C1032" s="38" t="str">
        <f>IFERROR(__xludf.DUMMYFUNCTION("""COMPUTED_VALUE"""),"Belum disetujui")</f>
        <v>Belum disetujui</v>
      </c>
      <c r="D1032" s="38"/>
      <c r="E1032" s="38" t="s">
        <v>11425</v>
      </c>
      <c r="F1032" s="38" t="s">
        <v>205</v>
      </c>
      <c r="G1032" s="38" t="s">
        <v>11426</v>
      </c>
      <c r="H1032" s="38" t="s">
        <v>11419</v>
      </c>
    </row>
    <row r="1033">
      <c r="A1033" s="37">
        <f>IFERROR(__xludf.DUMMYFUNCTION("""COMPUTED_VALUE"""),45926.52438420139)</f>
        <v>45926.52438</v>
      </c>
      <c r="B1033" s="38" t="str">
        <f>IFERROR(__xludf.DUMMYFUNCTION("""COMPUTED_VALUE"""),"PRETI SISILIA SILA")</f>
        <v>PRETI SISILIA SILA</v>
      </c>
      <c r="C1033" s="38" t="str">
        <f>IFERROR(__xludf.DUMMYFUNCTION("""COMPUTED_VALUE"""),"ACC")</f>
        <v>ACC</v>
      </c>
      <c r="D1033" s="38" t="str">
        <f>IFERROR(__xludf.DUMMYFUNCTION("""COMPUTED_VALUE"""),"Y400 series")</f>
        <v>Y400 series</v>
      </c>
      <c r="E1033" s="38" t="s">
        <v>11456</v>
      </c>
      <c r="F1033" s="38" t="s">
        <v>667</v>
      </c>
      <c r="G1033" s="38" t="s">
        <v>11457</v>
      </c>
      <c r="H1033" s="38" t="s">
        <v>11424</v>
      </c>
    </row>
    <row r="1034">
      <c r="A1034" s="37">
        <f>IFERROR(__xludf.DUMMYFUNCTION("""COMPUTED_VALUE"""),45926.54918203704)</f>
        <v>45926.54918</v>
      </c>
      <c r="B1034" s="38" t="str">
        <f>IFERROR(__xludf.DUMMYFUNCTION("""COMPUTED_VALUE"""),"PATRIANI MENGI ULY")</f>
        <v>PATRIANI MENGI ULY</v>
      </c>
      <c r="C1034" s="38" t="str">
        <f>IFERROR(__xludf.DUMMYFUNCTION("""COMPUTED_VALUE"""),"Dapat limit tapi belum diproses")</f>
        <v>Dapat limit tapi belum diproses</v>
      </c>
      <c r="D1034" s="38" t="str">
        <f>IFERROR(__xludf.DUMMYFUNCTION("""COMPUTED_VALUE"""),"Y400 series")</f>
        <v>Y400 series</v>
      </c>
      <c r="E1034" s="38" t="s">
        <v>11402</v>
      </c>
      <c r="F1034" s="38" t="s">
        <v>204</v>
      </c>
      <c r="G1034" s="38" t="s">
        <v>11403</v>
      </c>
      <c r="H1034" s="38" t="s">
        <v>11399</v>
      </c>
    </row>
    <row r="1035">
      <c r="A1035" s="37">
        <f>IFERROR(__xludf.DUMMYFUNCTION("""COMPUTED_VALUE"""),45926.55299010417)</f>
        <v>45926.55299</v>
      </c>
      <c r="B1035" s="38" t="str">
        <f>IFERROR(__xludf.DUMMYFUNCTION("""COMPUTED_VALUE"""),"ASTUTI BELA WAWO")</f>
        <v>ASTUTI BELA WAWO</v>
      </c>
      <c r="C1035" s="38" t="str">
        <f>IFERROR(__xludf.DUMMYFUNCTION("""COMPUTED_VALUE"""),"Belum disetujui")</f>
        <v>Belum disetujui</v>
      </c>
      <c r="D1035" s="38"/>
      <c r="E1035" s="38" t="s">
        <v>11427</v>
      </c>
      <c r="F1035" s="38" t="s">
        <v>257</v>
      </c>
      <c r="G1035" s="38" t="s">
        <v>11428</v>
      </c>
      <c r="H1035" s="38" t="s">
        <v>11419</v>
      </c>
    </row>
    <row r="1036">
      <c r="A1036" s="37">
        <f>IFERROR(__xludf.DUMMYFUNCTION("""COMPUTED_VALUE"""),45926.553119502314)</f>
        <v>45926.55312</v>
      </c>
      <c r="B1036" s="38" t="str">
        <f>IFERROR(__xludf.DUMMYFUNCTION("""COMPUTED_VALUE"""),"WARDIA")</f>
        <v>WARDIA</v>
      </c>
      <c r="C1036" s="38" t="str">
        <f>IFERROR(__xludf.DUMMYFUNCTION("""COMPUTED_VALUE"""),"Dapat limit tapi belum diproses")</f>
        <v>Dapat limit tapi belum diproses</v>
      </c>
      <c r="D1036" s="38" t="str">
        <f>IFERROR(__xludf.DUMMYFUNCTION("""COMPUTED_VALUE"""),"Y400 series")</f>
        <v>Y400 series</v>
      </c>
      <c r="E1036" s="38" t="s">
        <v>11409</v>
      </c>
      <c r="F1036" s="38" t="s">
        <v>204</v>
      </c>
      <c r="G1036" s="38" t="s">
        <v>11410</v>
      </c>
      <c r="H1036" s="38" t="s">
        <v>11399</v>
      </c>
    </row>
    <row r="1037">
      <c r="A1037" s="37">
        <f>IFERROR(__xludf.DUMMYFUNCTION("""COMPUTED_VALUE"""),45926.55343612269)</f>
        <v>45926.55344</v>
      </c>
      <c r="B1037" s="38" t="str">
        <f>IFERROR(__xludf.DUMMYFUNCTION("""COMPUTED_VALUE"""),"NOVANTRY RUTHANIA NAFFIE")</f>
        <v>NOVANTRY RUTHANIA NAFFIE</v>
      </c>
      <c r="C1037" s="38" t="str">
        <f>IFERROR(__xludf.DUMMYFUNCTION("""COMPUTED_VALUE"""),"Belum disetujui")</f>
        <v>Belum disetujui</v>
      </c>
      <c r="D1037" s="38"/>
      <c r="E1037" s="38" t="s">
        <v>11397</v>
      </c>
      <c r="F1037" s="38" t="s">
        <v>220</v>
      </c>
      <c r="G1037" s="38" t="s">
        <v>11398</v>
      </c>
      <c r="H1037" s="38" t="s">
        <v>11399</v>
      </c>
    </row>
    <row r="1038">
      <c r="A1038" s="37">
        <f>IFERROR(__xludf.DUMMYFUNCTION("""COMPUTED_VALUE"""),45926.554749965275)</f>
        <v>45926.55475</v>
      </c>
      <c r="B1038" s="38" t="str">
        <f>IFERROR(__xludf.DUMMYFUNCTION("""COMPUTED_VALUE"""),"CHOIRUNISA ILHAM")</f>
        <v>CHOIRUNISA ILHAM</v>
      </c>
      <c r="C1038" s="38" t="str">
        <f>IFERROR(__xludf.DUMMYFUNCTION("""COMPUTED_VALUE"""),"Dapat limit tapi belum diproses")</f>
        <v>Dapat limit tapi belum diproses</v>
      </c>
      <c r="D1038" s="38" t="str">
        <f>IFERROR(__xludf.DUMMYFUNCTION("""COMPUTED_VALUE"""),"Y29 series")</f>
        <v>Y29 series</v>
      </c>
      <c r="E1038" s="38" t="s">
        <v>11404</v>
      </c>
      <c r="F1038" s="38" t="s">
        <v>11404</v>
      </c>
      <c r="G1038" s="38" t="s">
        <v>11404</v>
      </c>
      <c r="H1038" s="38" t="s">
        <v>11404</v>
      </c>
    </row>
    <row r="1039">
      <c r="A1039" s="37">
        <f>IFERROR(__xludf.DUMMYFUNCTION("""COMPUTED_VALUE"""),45926.57527420139)</f>
        <v>45926.57527</v>
      </c>
      <c r="B1039" s="38" t="str">
        <f>IFERROR(__xludf.DUMMYFUNCTION("""COMPUTED_VALUE"""),"SULIS NURAINI INSYATUN")</f>
        <v>SULIS NURAINI INSYATUN</v>
      </c>
      <c r="C1039" s="38" t="str">
        <f>IFERROR(__xludf.DUMMYFUNCTION("""COMPUTED_VALUE"""),"Dapat limit tapi belum diproses")</f>
        <v>Dapat limit tapi belum diproses</v>
      </c>
      <c r="D1039" s="38" t="str">
        <f>IFERROR(__xludf.DUMMYFUNCTION("""COMPUTED_VALUE"""),"Y400 series")</f>
        <v>Y400 series</v>
      </c>
      <c r="E1039" s="38" t="s">
        <v>11429</v>
      </c>
      <c r="F1039" s="38" t="s">
        <v>257</v>
      </c>
      <c r="G1039" s="38" t="s">
        <v>11430</v>
      </c>
      <c r="H1039" s="38" t="s">
        <v>11419</v>
      </c>
    </row>
    <row r="1040">
      <c r="A1040" s="37">
        <f>IFERROR(__xludf.DUMMYFUNCTION("""COMPUTED_VALUE"""),45926.59392211806)</f>
        <v>45926.59392</v>
      </c>
      <c r="B1040" s="38" t="str">
        <f>IFERROR(__xludf.DUMMYFUNCTION("""COMPUTED_VALUE"""),"NUR FATIMAH MOLBANG")</f>
        <v>NUR FATIMAH MOLBANG</v>
      </c>
      <c r="C1040" s="38" t="str">
        <f>IFERROR(__xludf.DUMMYFUNCTION("""COMPUTED_VALUE"""),"ACC")</f>
        <v>ACC</v>
      </c>
      <c r="D1040" s="38" t="str">
        <f>IFERROR(__xludf.DUMMYFUNCTION("""COMPUTED_VALUE"""),"Y400 series")</f>
        <v>Y400 series</v>
      </c>
      <c r="E1040" s="38" t="s">
        <v>11439</v>
      </c>
      <c r="F1040" s="38" t="s">
        <v>313</v>
      </c>
      <c r="G1040" s="38" t="s">
        <v>11440</v>
      </c>
      <c r="H1040" s="38" t="s">
        <v>11424</v>
      </c>
    </row>
    <row r="1041">
      <c r="A1041" s="37">
        <f>IFERROR(__xludf.DUMMYFUNCTION("""COMPUTED_VALUE"""),45926.62194210648)</f>
        <v>45926.62194</v>
      </c>
      <c r="B1041" s="38" t="str">
        <f>IFERROR(__xludf.DUMMYFUNCTION("""COMPUTED_VALUE"""),"AINI RAHMATINI NATALIA MOESTAKIM")</f>
        <v>AINI RAHMATINI NATALIA MOESTAKIM</v>
      </c>
      <c r="C1041" s="38" t="str">
        <f>IFERROR(__xludf.DUMMYFUNCTION("""COMPUTED_VALUE"""),"Dapat limit tapi belum diproses")</f>
        <v>Dapat limit tapi belum diproses</v>
      </c>
      <c r="D1041" s="38" t="str">
        <f>IFERROR(__xludf.DUMMYFUNCTION("""COMPUTED_VALUE"""),"Y400 series")</f>
        <v>Y400 series</v>
      </c>
      <c r="E1041" s="38" t="s">
        <v>11409</v>
      </c>
      <c r="F1041" s="38" t="s">
        <v>204</v>
      </c>
      <c r="G1041" s="38" t="s">
        <v>11410</v>
      </c>
      <c r="H1041" s="38" t="s">
        <v>11399</v>
      </c>
    </row>
    <row r="1042">
      <c r="A1042" s="37">
        <f>IFERROR(__xludf.DUMMYFUNCTION("""COMPUTED_VALUE"""),45926.64519780093)</f>
        <v>45926.6452</v>
      </c>
      <c r="B1042" s="38" t="str">
        <f>IFERROR(__xludf.DUMMYFUNCTION("""COMPUTED_VALUE"""),"SANTI MARIA LUKMINI NAHAK")</f>
        <v>SANTI MARIA LUKMINI NAHAK</v>
      </c>
      <c r="C1042" s="38" t="str">
        <f>IFERROR(__xludf.DUMMYFUNCTION("""COMPUTED_VALUE"""),"Belum disetujui")</f>
        <v>Belum disetujui</v>
      </c>
      <c r="D1042" s="38"/>
      <c r="E1042" s="38" t="s">
        <v>11460</v>
      </c>
      <c r="F1042" s="38" t="s">
        <v>871</v>
      </c>
      <c r="G1042" s="38" t="s">
        <v>11461</v>
      </c>
      <c r="H1042" s="38" t="s">
        <v>11424</v>
      </c>
    </row>
    <row r="1043">
      <c r="A1043" s="37">
        <f>IFERROR(__xludf.DUMMYFUNCTION("""COMPUTED_VALUE"""),45926.70877895833)</f>
        <v>45926.70878</v>
      </c>
      <c r="B1043" s="38" t="str">
        <f>IFERROR(__xludf.DUMMYFUNCTION("""COMPUTED_VALUE"""),"NOVANTRY RUTHANIA NAFFIE")</f>
        <v>NOVANTRY RUTHANIA NAFFIE</v>
      </c>
      <c r="C1043" s="38" t="str">
        <f>IFERROR(__xludf.DUMMYFUNCTION("""COMPUTED_VALUE"""),"Belum disetujui")</f>
        <v>Belum disetujui</v>
      </c>
      <c r="D1043" s="38"/>
      <c r="E1043" s="38" t="s">
        <v>11397</v>
      </c>
      <c r="F1043" s="38" t="s">
        <v>220</v>
      </c>
      <c r="G1043" s="38" t="s">
        <v>11398</v>
      </c>
      <c r="H1043" s="38" t="s">
        <v>11399</v>
      </c>
    </row>
    <row r="1044">
      <c r="A1044" s="37">
        <f>IFERROR(__xludf.DUMMYFUNCTION("""COMPUTED_VALUE"""),45926.739776331015)</f>
        <v>45926.73978</v>
      </c>
      <c r="B1044" s="38" t="str">
        <f>IFERROR(__xludf.DUMMYFUNCTION("""COMPUTED_VALUE"""),"ADRIANA")</f>
        <v>ADRIANA</v>
      </c>
      <c r="C1044" s="38" t="str">
        <f>IFERROR(__xludf.DUMMYFUNCTION("""COMPUTED_VALUE"""),"Belum disetujui")</f>
        <v>Belum disetujui</v>
      </c>
      <c r="D1044" s="38"/>
      <c r="E1044" s="38" t="s">
        <v>11433</v>
      </c>
      <c r="F1044" s="38" t="s">
        <v>313</v>
      </c>
      <c r="G1044" s="38" t="s">
        <v>11434</v>
      </c>
      <c r="H1044" s="38" t="s">
        <v>11424</v>
      </c>
    </row>
    <row r="1045">
      <c r="A1045" s="37">
        <f>IFERROR(__xludf.DUMMYFUNCTION("""COMPUTED_VALUE"""),45926.742748703706)</f>
        <v>45926.74275</v>
      </c>
      <c r="B1045" s="38" t="str">
        <f>IFERROR(__xludf.DUMMYFUNCTION("""COMPUTED_VALUE"""),"LINDA MELSIANA ELLO")</f>
        <v>LINDA MELSIANA ELLO</v>
      </c>
      <c r="C1045" s="38" t="str">
        <f>IFERROR(__xludf.DUMMYFUNCTION("""COMPUTED_VALUE"""),"Dapat limit tapi belum diproses")</f>
        <v>Dapat limit tapi belum diproses</v>
      </c>
      <c r="D1045" s="38" t="str">
        <f>IFERROR(__xludf.DUMMYFUNCTION("""COMPUTED_VALUE"""),"Y400 series")</f>
        <v>Y400 series</v>
      </c>
      <c r="E1045" s="38" t="s">
        <v>11435</v>
      </c>
      <c r="F1045" s="38" t="s">
        <v>215</v>
      </c>
      <c r="G1045" s="38" t="s">
        <v>11436</v>
      </c>
      <c r="H1045" s="38" t="s">
        <v>11424</v>
      </c>
    </row>
    <row r="1046">
      <c r="A1046" s="37">
        <f>IFERROR(__xludf.DUMMYFUNCTION("""COMPUTED_VALUE"""),45926.74590107639)</f>
        <v>45926.7459</v>
      </c>
      <c r="B1046" s="38" t="str">
        <f>IFERROR(__xludf.DUMMYFUNCTION("""COMPUTED_VALUE"""),"ADRIANA")</f>
        <v>ADRIANA</v>
      </c>
      <c r="C1046" s="38" t="str">
        <f>IFERROR(__xludf.DUMMYFUNCTION("""COMPUTED_VALUE"""),"Belum disetujui")</f>
        <v>Belum disetujui</v>
      </c>
      <c r="D1046" s="38"/>
      <c r="E1046" s="38" t="s">
        <v>11433</v>
      </c>
      <c r="F1046" s="38" t="s">
        <v>313</v>
      </c>
      <c r="G1046" s="38" t="s">
        <v>11434</v>
      </c>
      <c r="H1046" s="38" t="s">
        <v>11424</v>
      </c>
    </row>
    <row r="1047">
      <c r="A1047" s="37">
        <f>IFERROR(__xludf.DUMMYFUNCTION("""COMPUTED_VALUE"""),45926.75040222223)</f>
        <v>45926.7504</v>
      </c>
      <c r="B1047" s="38" t="str">
        <f>IFERROR(__xludf.DUMMYFUNCTION("""COMPUTED_VALUE"""),"IRENE NOVALIA KADJU")</f>
        <v>IRENE NOVALIA KADJU</v>
      </c>
      <c r="C1047" s="38" t="str">
        <f>IFERROR(__xludf.DUMMYFUNCTION("""COMPUTED_VALUE"""),"Belum disetujui")</f>
        <v>Belum disetujui</v>
      </c>
      <c r="D1047" s="38"/>
      <c r="E1047" s="38" t="s">
        <v>11445</v>
      </c>
      <c r="F1047" s="38" t="s">
        <v>204</v>
      </c>
      <c r="G1047" s="38" t="s">
        <v>11446</v>
      </c>
      <c r="H1047" s="38" t="s">
        <v>11399</v>
      </c>
    </row>
    <row r="1048">
      <c r="A1048" s="37">
        <f>IFERROR(__xludf.DUMMYFUNCTION("""COMPUTED_VALUE"""),45926.76083247686)</f>
        <v>45926.76083</v>
      </c>
      <c r="B1048" s="38" t="str">
        <f>IFERROR(__xludf.DUMMYFUNCTION("""COMPUTED_VALUE"""),"LINDA MELSIANA ELLO")</f>
        <v>LINDA MELSIANA ELLO</v>
      </c>
      <c r="C1048" s="38" t="str">
        <f>IFERROR(__xludf.DUMMYFUNCTION("""COMPUTED_VALUE"""),"ACC")</f>
        <v>ACC</v>
      </c>
      <c r="D1048" s="38" t="str">
        <f>IFERROR(__xludf.DUMMYFUNCTION("""COMPUTED_VALUE"""),"Y400 series")</f>
        <v>Y400 series</v>
      </c>
      <c r="E1048" s="38" t="s">
        <v>11435</v>
      </c>
      <c r="F1048" s="38" t="s">
        <v>215</v>
      </c>
      <c r="G1048" s="38" t="s">
        <v>11436</v>
      </c>
      <c r="H1048" s="38" t="s">
        <v>11424</v>
      </c>
    </row>
    <row r="1049">
      <c r="A1049" s="37">
        <f>IFERROR(__xludf.DUMMYFUNCTION("""COMPUTED_VALUE"""),45926.790312094905)</f>
        <v>45926.79031</v>
      </c>
      <c r="B1049" s="38" t="str">
        <f>IFERROR(__xludf.DUMMYFUNCTION("""COMPUTED_VALUE"""),"NUR FATIMAH MOLBANG")</f>
        <v>NUR FATIMAH MOLBANG</v>
      </c>
      <c r="C1049" s="38" t="str">
        <f>IFERROR(__xludf.DUMMYFUNCTION("""COMPUTED_VALUE"""),"Belum disetujui")</f>
        <v>Belum disetujui</v>
      </c>
      <c r="D1049" s="38"/>
      <c r="E1049" s="38" t="s">
        <v>11439</v>
      </c>
      <c r="F1049" s="38" t="s">
        <v>313</v>
      </c>
      <c r="G1049" s="38" t="s">
        <v>11440</v>
      </c>
      <c r="H1049" s="38" t="s">
        <v>11424</v>
      </c>
    </row>
    <row r="1050">
      <c r="A1050" s="37">
        <f>IFERROR(__xludf.DUMMYFUNCTION("""COMPUTED_VALUE"""),45926.81201076389)</f>
        <v>45926.81201</v>
      </c>
      <c r="B1050" s="38" t="str">
        <f>IFERROR(__xludf.DUMMYFUNCTION("""COMPUTED_VALUE"""),"PRETI SISILIA SILA")</f>
        <v>PRETI SISILIA SILA</v>
      </c>
      <c r="C1050" s="38" t="str">
        <f>IFERROR(__xludf.DUMMYFUNCTION("""COMPUTED_VALUE"""),"Belum disetujui")</f>
        <v>Belum disetujui</v>
      </c>
      <c r="D1050" s="38"/>
      <c r="E1050" s="38" t="s">
        <v>11456</v>
      </c>
      <c r="F1050" s="38" t="s">
        <v>667</v>
      </c>
      <c r="G1050" s="38" t="s">
        <v>11457</v>
      </c>
      <c r="H1050" s="38" t="s">
        <v>11424</v>
      </c>
    </row>
    <row r="1051">
      <c r="A1051" s="37">
        <f>IFERROR(__xludf.DUMMYFUNCTION("""COMPUTED_VALUE"""),45926.84879869213)</f>
        <v>45926.8488</v>
      </c>
      <c r="B1051" s="38" t="str">
        <f>IFERROR(__xludf.DUMMYFUNCTION("""COMPUTED_VALUE"""),"LINDA MELSIANA ELLO")</f>
        <v>LINDA MELSIANA ELLO</v>
      </c>
      <c r="C1051" s="38" t="str">
        <f>IFERROR(__xludf.DUMMYFUNCTION("""COMPUTED_VALUE"""),"Belum disetujui")</f>
        <v>Belum disetujui</v>
      </c>
      <c r="D1051" s="38"/>
      <c r="E1051" s="38" t="s">
        <v>11435</v>
      </c>
      <c r="F1051" s="38" t="s">
        <v>215</v>
      </c>
      <c r="G1051" s="38" t="s">
        <v>11436</v>
      </c>
      <c r="H1051" s="38" t="s">
        <v>11424</v>
      </c>
    </row>
    <row r="1052">
      <c r="A1052" s="37">
        <f>IFERROR(__xludf.DUMMYFUNCTION("""COMPUTED_VALUE"""),45926.878587604166)</f>
        <v>45926.87859</v>
      </c>
      <c r="B1052" s="38" t="str">
        <f>IFERROR(__xludf.DUMMYFUNCTION("""COMPUTED_VALUE"""),"WARDIA")</f>
        <v>WARDIA</v>
      </c>
      <c r="C1052" s="38" t="str">
        <f>IFERROR(__xludf.DUMMYFUNCTION("""COMPUTED_VALUE"""),"Belum disetujui")</f>
        <v>Belum disetujui</v>
      </c>
      <c r="D1052" s="38"/>
      <c r="E1052" s="38" t="s">
        <v>11409</v>
      </c>
      <c r="F1052" s="38" t="s">
        <v>204</v>
      </c>
      <c r="G1052" s="38" t="s">
        <v>11410</v>
      </c>
      <c r="H1052" s="38" t="s">
        <v>11399</v>
      </c>
    </row>
    <row r="1053">
      <c r="A1053" s="37">
        <f>IFERROR(__xludf.DUMMYFUNCTION("""COMPUTED_VALUE"""),45926.8790097338)</f>
        <v>45926.87901</v>
      </c>
      <c r="B1053" s="38" t="str">
        <f>IFERROR(__xludf.DUMMYFUNCTION("""COMPUTED_VALUE"""),"YOHANIS TIPNONI")</f>
        <v>YOHANIS TIPNONI</v>
      </c>
      <c r="C1053" s="38" t="str">
        <f>IFERROR(__xludf.DUMMYFUNCTION("""COMPUTED_VALUE"""),"Belum disetujui")</f>
        <v>Belum disetujui</v>
      </c>
      <c r="D1053" s="38"/>
      <c r="E1053" s="38" t="s">
        <v>11405</v>
      </c>
      <c r="F1053" s="38" t="s">
        <v>220</v>
      </c>
      <c r="G1053" s="38" t="s">
        <v>11406</v>
      </c>
      <c r="H1053" s="38" t="s">
        <v>11399</v>
      </c>
    </row>
    <row r="1054">
      <c r="A1054" s="37">
        <f>IFERROR(__xludf.DUMMYFUNCTION("""COMPUTED_VALUE"""),45926.92449547454)</f>
        <v>45926.9245</v>
      </c>
      <c r="B1054" s="38" t="str">
        <f>IFERROR(__xludf.DUMMYFUNCTION("""COMPUTED_VALUE"""),"LINDA MELSIANA ELLO")</f>
        <v>LINDA MELSIANA ELLO</v>
      </c>
      <c r="C1054" s="38" t="str">
        <f>IFERROR(__xludf.DUMMYFUNCTION("""COMPUTED_VALUE"""),"ACC")</f>
        <v>ACC</v>
      </c>
      <c r="D1054" s="38" t="str">
        <f>IFERROR(__xludf.DUMMYFUNCTION("""COMPUTED_VALUE"""),"V60 series")</f>
        <v>V60 series</v>
      </c>
      <c r="E1054" s="38" t="s">
        <v>11435</v>
      </c>
      <c r="F1054" s="38" t="s">
        <v>215</v>
      </c>
      <c r="G1054" s="38" t="s">
        <v>11436</v>
      </c>
      <c r="H1054" s="38" t="s">
        <v>11424</v>
      </c>
    </row>
    <row r="1055">
      <c r="A1055" s="37">
        <f>IFERROR(__xludf.DUMMYFUNCTION("""COMPUTED_VALUE"""),45927.386481828704)</f>
        <v>45927.38648</v>
      </c>
      <c r="B1055" s="38" t="str">
        <f>IFERROR(__xludf.DUMMYFUNCTION("""COMPUTED_VALUE"""),"NOVLIANA BARBALINA MISA")</f>
        <v>NOVLIANA BARBALINA MISA</v>
      </c>
      <c r="C1055" s="38" t="str">
        <f>IFERROR(__xludf.DUMMYFUNCTION("""COMPUTED_VALUE"""),"Belum disetujui")</f>
        <v>Belum disetujui</v>
      </c>
      <c r="D1055" s="38"/>
      <c r="E1055" s="38" t="s">
        <v>11454</v>
      </c>
      <c r="F1055" s="38" t="s">
        <v>205</v>
      </c>
      <c r="G1055" s="38" t="s">
        <v>11455</v>
      </c>
      <c r="H1055" s="38" t="s">
        <v>11419</v>
      </c>
    </row>
    <row r="1056">
      <c r="A1056" s="37">
        <f>IFERROR(__xludf.DUMMYFUNCTION("""COMPUTED_VALUE"""),45927.44556023148)</f>
        <v>45927.44556</v>
      </c>
      <c r="B1056" s="38" t="str">
        <f>IFERROR(__xludf.DUMMYFUNCTION("""COMPUTED_VALUE"""),"WARDIA")</f>
        <v>WARDIA</v>
      </c>
      <c r="C1056" s="38" t="str">
        <f>IFERROR(__xludf.DUMMYFUNCTION("""COMPUTED_VALUE"""),"Belum disetujui")</f>
        <v>Belum disetujui</v>
      </c>
      <c r="D1056" s="38"/>
      <c r="E1056" s="38" t="s">
        <v>11409</v>
      </c>
      <c r="F1056" s="38" t="s">
        <v>204</v>
      </c>
      <c r="G1056" s="38" t="s">
        <v>11410</v>
      </c>
      <c r="H1056" s="38" t="s">
        <v>11399</v>
      </c>
    </row>
    <row r="1057">
      <c r="A1057" s="37">
        <f>IFERROR(__xludf.DUMMYFUNCTION("""COMPUTED_VALUE"""),45927.45622936342)</f>
        <v>45927.45623</v>
      </c>
      <c r="B1057" s="38" t="str">
        <f>IFERROR(__xludf.DUMMYFUNCTION("""COMPUTED_VALUE"""),"AZ ZAHRA SITI ZAINAB")</f>
        <v>AZ ZAHRA SITI ZAINAB</v>
      </c>
      <c r="C1057" s="38" t="str">
        <f>IFERROR(__xludf.DUMMYFUNCTION("""COMPUTED_VALUE"""),"Belum disetujui")</f>
        <v>Belum disetujui</v>
      </c>
      <c r="D1057" s="38"/>
      <c r="E1057" s="38" t="s">
        <v>11462</v>
      </c>
      <c r="F1057" s="38" t="s">
        <v>257</v>
      </c>
      <c r="G1057" s="38" t="s">
        <v>11463</v>
      </c>
      <c r="H1057" s="38" t="s">
        <v>11419</v>
      </c>
    </row>
    <row r="1058">
      <c r="A1058" s="37">
        <f>IFERROR(__xludf.DUMMYFUNCTION("""COMPUTED_VALUE"""),45927.45968413195)</f>
        <v>45927.45968</v>
      </c>
      <c r="B1058" s="38" t="str">
        <f>IFERROR(__xludf.DUMMYFUNCTION("""COMPUTED_VALUE"""),"NOVANTRY RUTHANIA NAFFIE")</f>
        <v>NOVANTRY RUTHANIA NAFFIE</v>
      </c>
      <c r="C1058" s="38" t="str">
        <f>IFERROR(__xludf.DUMMYFUNCTION("""COMPUTED_VALUE"""),"Belum disetujui")</f>
        <v>Belum disetujui</v>
      </c>
      <c r="D1058" s="38"/>
      <c r="E1058" s="38" t="s">
        <v>11397</v>
      </c>
      <c r="F1058" s="38" t="s">
        <v>220</v>
      </c>
      <c r="G1058" s="38" t="s">
        <v>11398</v>
      </c>
      <c r="H1058" s="38" t="s">
        <v>11399</v>
      </c>
    </row>
    <row r="1059">
      <c r="A1059" s="37">
        <f>IFERROR(__xludf.DUMMYFUNCTION("""COMPUTED_VALUE"""),45927.469343923614)</f>
        <v>45927.46934</v>
      </c>
      <c r="B1059" s="38" t="str">
        <f>IFERROR(__xludf.DUMMYFUNCTION("""COMPUTED_VALUE"""),"DEMARISTI S H FENI")</f>
        <v>DEMARISTI S H FENI</v>
      </c>
      <c r="C1059" s="38" t="str">
        <f>IFERROR(__xludf.DUMMYFUNCTION("""COMPUTED_VALUE"""),"Belum disetujui")</f>
        <v>Belum disetujui</v>
      </c>
      <c r="D1059" s="38"/>
      <c r="E1059" s="38" t="s">
        <v>11404</v>
      </c>
      <c r="F1059" s="38" t="s">
        <v>11404</v>
      </c>
      <c r="G1059" s="38" t="s">
        <v>11404</v>
      </c>
      <c r="H1059" s="38" t="s">
        <v>11404</v>
      </c>
    </row>
    <row r="1060">
      <c r="A1060" s="37">
        <f>IFERROR(__xludf.DUMMYFUNCTION("""COMPUTED_VALUE"""),45927.50654760417)</f>
        <v>45927.50655</v>
      </c>
      <c r="B1060" s="38" t="str">
        <f>IFERROR(__xludf.DUMMYFUNCTION("""COMPUTED_VALUE"""),"NOVLIANA BARBALINA MISA")</f>
        <v>NOVLIANA BARBALINA MISA</v>
      </c>
      <c r="C1060" s="38" t="str">
        <f>IFERROR(__xludf.DUMMYFUNCTION("""COMPUTED_VALUE"""),"Belum disetujui")</f>
        <v>Belum disetujui</v>
      </c>
      <c r="D1060" s="38"/>
      <c r="E1060" s="38" t="s">
        <v>11454</v>
      </c>
      <c r="F1060" s="38" t="s">
        <v>205</v>
      </c>
      <c r="G1060" s="38" t="s">
        <v>11455</v>
      </c>
      <c r="H1060" s="38" t="s">
        <v>11419</v>
      </c>
    </row>
    <row r="1061">
      <c r="A1061" s="37">
        <f>IFERROR(__xludf.DUMMYFUNCTION("""COMPUTED_VALUE"""),45927.53060200231)</f>
        <v>45927.5306</v>
      </c>
      <c r="B1061" s="38" t="str">
        <f>IFERROR(__xludf.DUMMYFUNCTION("""COMPUTED_VALUE"""),"PRETI SISILIA SILA")</f>
        <v>PRETI SISILIA SILA</v>
      </c>
      <c r="C1061" s="38" t="str">
        <f>IFERROR(__xludf.DUMMYFUNCTION("""COMPUTED_VALUE"""),"Dapat limit tapi belum diproses")</f>
        <v>Dapat limit tapi belum diproses</v>
      </c>
      <c r="D1061" s="38" t="str">
        <f>IFERROR(__xludf.DUMMYFUNCTION("""COMPUTED_VALUE"""),"Y400 series")</f>
        <v>Y400 series</v>
      </c>
      <c r="E1061" s="38" t="s">
        <v>11456</v>
      </c>
      <c r="F1061" s="38" t="s">
        <v>667</v>
      </c>
      <c r="G1061" s="38" t="s">
        <v>11457</v>
      </c>
      <c r="H1061" s="38" t="s">
        <v>11424</v>
      </c>
    </row>
    <row r="1062">
      <c r="A1062" s="37">
        <f>IFERROR(__xludf.DUMMYFUNCTION("""COMPUTED_VALUE"""),45927.531611990744)</f>
        <v>45927.53161</v>
      </c>
      <c r="B1062" s="38" t="str">
        <f>IFERROR(__xludf.DUMMYFUNCTION("""COMPUTED_VALUE"""),"MARIA MELAN ANANCE BILI")</f>
        <v>MARIA MELAN ANANCE BILI</v>
      </c>
      <c r="C1062" s="38" t="str">
        <f>IFERROR(__xludf.DUMMYFUNCTION("""COMPUTED_VALUE"""),"Belum disetujui")</f>
        <v>Belum disetujui</v>
      </c>
      <c r="D1062" s="38"/>
      <c r="E1062" s="38" t="s">
        <v>11466</v>
      </c>
      <c r="F1062" s="38" t="s">
        <v>257</v>
      </c>
      <c r="G1062" s="38" t="s">
        <v>11467</v>
      </c>
      <c r="H1062" s="38" t="s">
        <v>11419</v>
      </c>
    </row>
    <row r="1063">
      <c r="A1063" s="37">
        <f>IFERROR(__xludf.DUMMYFUNCTION("""COMPUTED_VALUE"""),45927.53764141203)</f>
        <v>45927.53764</v>
      </c>
      <c r="B1063" s="38" t="str">
        <f>IFERROR(__xludf.DUMMYFUNCTION("""COMPUTED_VALUE"""),"YOMELIANA MARIA MAGNO")</f>
        <v>YOMELIANA MARIA MAGNO</v>
      </c>
      <c r="C1063" s="38" t="str">
        <f>IFERROR(__xludf.DUMMYFUNCTION("""COMPUTED_VALUE"""),"Belum disetujui")</f>
        <v>Belum disetujui</v>
      </c>
      <c r="D1063" s="38"/>
      <c r="E1063" s="38" t="s">
        <v>11460</v>
      </c>
      <c r="F1063" s="38" t="s">
        <v>871</v>
      </c>
      <c r="G1063" s="38" t="s">
        <v>11461</v>
      </c>
      <c r="H1063" s="38" t="s">
        <v>11424</v>
      </c>
    </row>
    <row r="1064">
      <c r="A1064" s="37">
        <f>IFERROR(__xludf.DUMMYFUNCTION("""COMPUTED_VALUE"""),45927.541293229166)</f>
        <v>45927.54129</v>
      </c>
      <c r="B1064" s="38" t="str">
        <f>IFERROR(__xludf.DUMMYFUNCTION("""COMPUTED_VALUE"""),"ADRIANA")</f>
        <v>ADRIANA</v>
      </c>
      <c r="C1064" s="38" t="str">
        <f>IFERROR(__xludf.DUMMYFUNCTION("""COMPUTED_VALUE"""),"Belum disetujui")</f>
        <v>Belum disetujui</v>
      </c>
      <c r="D1064" s="38"/>
      <c r="E1064" s="38" t="s">
        <v>11433</v>
      </c>
      <c r="F1064" s="38" t="s">
        <v>313</v>
      </c>
      <c r="G1064" s="38" t="s">
        <v>11434</v>
      </c>
      <c r="H1064" s="38" t="s">
        <v>11424</v>
      </c>
    </row>
    <row r="1065">
      <c r="A1065" s="37">
        <f>IFERROR(__xludf.DUMMYFUNCTION("""COMPUTED_VALUE"""),45927.570373634255)</f>
        <v>45927.57037</v>
      </c>
      <c r="B1065" s="38" t="str">
        <f>IFERROR(__xludf.DUMMYFUNCTION("""COMPUTED_VALUE"""),"MARIA MELAN ANANCE BILI")</f>
        <v>MARIA MELAN ANANCE BILI</v>
      </c>
      <c r="C1065" s="38" t="str">
        <f>IFERROR(__xludf.DUMMYFUNCTION("""COMPUTED_VALUE"""),"ACC")</f>
        <v>ACC</v>
      </c>
      <c r="D1065" s="38" t="str">
        <f>IFERROR(__xludf.DUMMYFUNCTION("""COMPUTED_VALUE"""),"Y400 series")</f>
        <v>Y400 series</v>
      </c>
      <c r="E1065" s="38" t="s">
        <v>11466</v>
      </c>
      <c r="F1065" s="38" t="s">
        <v>257</v>
      </c>
      <c r="G1065" s="38" t="s">
        <v>11467</v>
      </c>
      <c r="H1065" s="38" t="s">
        <v>11419</v>
      </c>
    </row>
    <row r="1066">
      <c r="A1066" s="37">
        <f>IFERROR(__xludf.DUMMYFUNCTION("""COMPUTED_VALUE"""),45927.57590453704)</f>
        <v>45927.5759</v>
      </c>
      <c r="B1066" s="38" t="str">
        <f>IFERROR(__xludf.DUMMYFUNCTION("""COMPUTED_VALUE"""),"MARIA MELAN ANANCE BILI")</f>
        <v>MARIA MELAN ANANCE BILI</v>
      </c>
      <c r="C1066" s="38" t="str">
        <f>IFERROR(__xludf.DUMMYFUNCTION("""COMPUTED_VALUE"""),"Belum disetujui")</f>
        <v>Belum disetujui</v>
      </c>
      <c r="D1066" s="38"/>
      <c r="E1066" s="38" t="s">
        <v>11466</v>
      </c>
      <c r="F1066" s="38" t="s">
        <v>257</v>
      </c>
      <c r="G1066" s="38" t="s">
        <v>11467</v>
      </c>
      <c r="H1066" s="38" t="s">
        <v>11419</v>
      </c>
    </row>
    <row r="1067">
      <c r="A1067" s="37">
        <f>IFERROR(__xludf.DUMMYFUNCTION("""COMPUTED_VALUE"""),45927.582639085645)</f>
        <v>45927.58264</v>
      </c>
      <c r="B1067" s="38" t="str">
        <f>IFERROR(__xludf.DUMMYFUNCTION("""COMPUTED_VALUE"""),"LASTRIANA PALUS")</f>
        <v>LASTRIANA PALUS</v>
      </c>
      <c r="C1067" s="38" t="str">
        <f>IFERROR(__xludf.DUMMYFUNCTION("""COMPUTED_VALUE"""),"Belum disetujui")</f>
        <v>Belum disetujui</v>
      </c>
      <c r="D1067" s="38"/>
      <c r="E1067" s="38" t="s">
        <v>11468</v>
      </c>
      <c r="F1067" s="38" t="s">
        <v>257</v>
      </c>
      <c r="G1067" s="38" t="s">
        <v>11469</v>
      </c>
      <c r="H1067" s="38" t="s">
        <v>11419</v>
      </c>
    </row>
    <row r="1068">
      <c r="A1068" s="37">
        <f>IFERROR(__xludf.DUMMYFUNCTION("""COMPUTED_VALUE"""),45927.58345828704)</f>
        <v>45927.58346</v>
      </c>
      <c r="B1068" s="38" t="str">
        <f>IFERROR(__xludf.DUMMYFUNCTION("""COMPUTED_VALUE"""),"AZ ZAHRA SITI ZAINAB")</f>
        <v>AZ ZAHRA SITI ZAINAB</v>
      </c>
      <c r="C1068" s="38" t="str">
        <f>IFERROR(__xludf.DUMMYFUNCTION("""COMPUTED_VALUE"""),"ACC")</f>
        <v>ACC</v>
      </c>
      <c r="D1068" s="38" t="str">
        <f>IFERROR(__xludf.DUMMYFUNCTION("""COMPUTED_VALUE"""),"V50 Lite series")</f>
        <v>V50 Lite series</v>
      </c>
      <c r="E1068" s="38" t="s">
        <v>11462</v>
      </c>
      <c r="F1068" s="38" t="s">
        <v>257</v>
      </c>
      <c r="G1068" s="38" t="s">
        <v>11463</v>
      </c>
      <c r="H1068" s="38" t="s">
        <v>11419</v>
      </c>
    </row>
    <row r="1069">
      <c r="A1069" s="37">
        <f>IFERROR(__xludf.DUMMYFUNCTION("""COMPUTED_VALUE"""),45927.60240487268)</f>
        <v>45927.6024</v>
      </c>
      <c r="B1069" s="38" t="str">
        <f>IFERROR(__xludf.DUMMYFUNCTION("""COMPUTED_VALUE"""),"AINI RAHMATINI NATALIA MOESTAKIM")</f>
        <v>AINI RAHMATINI NATALIA MOESTAKIM</v>
      </c>
      <c r="C1069" s="38" t="str">
        <f>IFERROR(__xludf.DUMMYFUNCTION("""COMPUTED_VALUE"""),"Belum disetujui")</f>
        <v>Belum disetujui</v>
      </c>
      <c r="D1069" s="38"/>
      <c r="E1069" s="38" t="s">
        <v>11409</v>
      </c>
      <c r="F1069" s="38" t="s">
        <v>204</v>
      </c>
      <c r="G1069" s="38" t="s">
        <v>11410</v>
      </c>
      <c r="H1069" s="38" t="s">
        <v>11399</v>
      </c>
    </row>
    <row r="1070">
      <c r="A1070" s="37">
        <f>IFERROR(__xludf.DUMMYFUNCTION("""COMPUTED_VALUE"""),45927.70481336806)</f>
        <v>45927.70481</v>
      </c>
      <c r="B1070" s="38" t="str">
        <f>IFERROR(__xludf.DUMMYFUNCTION("""COMPUTED_VALUE"""),"NOVLIANA BARBALINA MISA")</f>
        <v>NOVLIANA BARBALINA MISA</v>
      </c>
      <c r="C1070" s="38" t="str">
        <f>IFERROR(__xludf.DUMMYFUNCTION("""COMPUTED_VALUE"""),"Dapat limit tapi belum diproses")</f>
        <v>Dapat limit tapi belum diproses</v>
      </c>
      <c r="D1070" s="38" t="str">
        <f>IFERROR(__xludf.DUMMYFUNCTION("""COMPUTED_VALUE"""),"Y400 series")</f>
        <v>Y400 series</v>
      </c>
      <c r="E1070" s="38" t="s">
        <v>11454</v>
      </c>
      <c r="F1070" s="38" t="s">
        <v>205</v>
      </c>
      <c r="G1070" s="38" t="s">
        <v>11455</v>
      </c>
      <c r="H1070" s="38" t="s">
        <v>11419</v>
      </c>
    </row>
    <row r="1071">
      <c r="A1071" s="37">
        <f>IFERROR(__xludf.DUMMYFUNCTION("""COMPUTED_VALUE"""),45927.740100763884)</f>
        <v>45927.7401</v>
      </c>
      <c r="B1071" s="38" t="str">
        <f>IFERROR(__xludf.DUMMYFUNCTION("""COMPUTED_VALUE"""),"DEWI RAHMAN")</f>
        <v>DEWI RAHMAN</v>
      </c>
      <c r="C1071" s="38" t="str">
        <f>IFERROR(__xludf.DUMMYFUNCTION("""COMPUTED_VALUE"""),"Belum disetujui")</f>
        <v>Belum disetujui</v>
      </c>
      <c r="D1071" s="38"/>
      <c r="E1071" s="38" t="s">
        <v>11449</v>
      </c>
      <c r="F1071" s="38" t="s">
        <v>11450</v>
      </c>
      <c r="G1071" s="38" t="s">
        <v>11451</v>
      </c>
      <c r="H1071" s="38" t="s">
        <v>11424</v>
      </c>
    </row>
    <row r="1072">
      <c r="A1072" s="37">
        <f>IFERROR(__xludf.DUMMYFUNCTION("""COMPUTED_VALUE"""),45927.7408144676)</f>
        <v>45927.74081</v>
      </c>
      <c r="B1072" s="38" t="str">
        <f>IFERROR(__xludf.DUMMYFUNCTION("""COMPUTED_VALUE"""),"ASTUTI BELA WAWO")</f>
        <v>ASTUTI BELA WAWO</v>
      </c>
      <c r="C1072" s="38" t="str">
        <f>IFERROR(__xludf.DUMMYFUNCTION("""COMPUTED_VALUE"""),"ACC")</f>
        <v>ACC</v>
      </c>
      <c r="D1072" s="38" t="str">
        <f>IFERROR(__xludf.DUMMYFUNCTION("""COMPUTED_VALUE"""),"Y400 series")</f>
        <v>Y400 series</v>
      </c>
      <c r="E1072" s="38" t="s">
        <v>11427</v>
      </c>
      <c r="F1072" s="38" t="s">
        <v>257</v>
      </c>
      <c r="G1072" s="38" t="s">
        <v>11428</v>
      </c>
      <c r="H1072" s="38" t="s">
        <v>11419</v>
      </c>
    </row>
    <row r="1073">
      <c r="A1073" s="37">
        <f>IFERROR(__xludf.DUMMYFUNCTION("""COMPUTED_VALUE"""),45927.75016931713)</f>
        <v>45927.75017</v>
      </c>
      <c r="B1073" s="38" t="str">
        <f>IFERROR(__xludf.DUMMYFUNCTION("""COMPUTED_VALUE"""),"MEXY ALEXANDER HETMINA")</f>
        <v>MEXY ALEXANDER HETMINA</v>
      </c>
      <c r="C1073" s="38" t="str">
        <f>IFERROR(__xludf.DUMMYFUNCTION("""COMPUTED_VALUE"""),"Belum disetujui")</f>
        <v>Belum disetujui</v>
      </c>
      <c r="D1073" s="38"/>
      <c r="E1073" s="38" t="s">
        <v>11413</v>
      </c>
      <c r="F1073" s="38" t="s">
        <v>204</v>
      </c>
      <c r="G1073" s="38" t="s">
        <v>11414</v>
      </c>
      <c r="H1073" s="38" t="s">
        <v>11399</v>
      </c>
    </row>
    <row r="1074">
      <c r="A1074" s="37">
        <f>IFERROR(__xludf.DUMMYFUNCTION("""COMPUTED_VALUE"""),45927.751029942134)</f>
        <v>45927.75103</v>
      </c>
      <c r="B1074" s="38" t="str">
        <f>IFERROR(__xludf.DUMMYFUNCTION("""COMPUTED_VALUE"""),"ALITA D PAU")</f>
        <v>ALITA D PAU</v>
      </c>
      <c r="C1074" s="38" t="str">
        <f>IFERROR(__xludf.DUMMYFUNCTION("""COMPUTED_VALUE"""),"Belum disetujui")</f>
        <v>Belum disetujui</v>
      </c>
      <c r="D1074" s="38"/>
      <c r="E1074" s="38" t="s">
        <v>11447</v>
      </c>
      <c r="F1074" s="38" t="s">
        <v>205</v>
      </c>
      <c r="G1074" s="38" t="s">
        <v>11448</v>
      </c>
      <c r="H1074" s="38" t="s">
        <v>11419</v>
      </c>
    </row>
    <row r="1075">
      <c r="A1075" s="37">
        <f>IFERROR(__xludf.DUMMYFUNCTION("""COMPUTED_VALUE"""),45927.810223333334)</f>
        <v>45927.81022</v>
      </c>
      <c r="B1075" s="38" t="str">
        <f>IFERROR(__xludf.DUMMYFUNCTION("""COMPUTED_VALUE"""),"PATRIANI MENGI ULY")</f>
        <v>PATRIANI MENGI ULY</v>
      </c>
      <c r="C1075" s="38" t="str">
        <f>IFERROR(__xludf.DUMMYFUNCTION("""COMPUTED_VALUE"""),"Belum disetujui")</f>
        <v>Belum disetujui</v>
      </c>
      <c r="D1075" s="38"/>
      <c r="E1075" s="38" t="s">
        <v>11402</v>
      </c>
      <c r="F1075" s="38" t="s">
        <v>204</v>
      </c>
      <c r="G1075" s="38" t="s">
        <v>11403</v>
      </c>
      <c r="H1075" s="38" t="s">
        <v>11399</v>
      </c>
    </row>
    <row r="1076">
      <c r="A1076" s="37">
        <f>IFERROR(__xludf.DUMMYFUNCTION("""COMPUTED_VALUE"""),45927.88571246528)</f>
        <v>45927.88571</v>
      </c>
      <c r="B1076" s="38" t="str">
        <f>IFERROR(__xludf.DUMMYFUNCTION("""COMPUTED_VALUE"""),"WARDIA")</f>
        <v>WARDIA</v>
      </c>
      <c r="C1076" s="38" t="str">
        <f>IFERROR(__xludf.DUMMYFUNCTION("""COMPUTED_VALUE"""),"Dapat limit tapi belum diproses")</f>
        <v>Dapat limit tapi belum diproses</v>
      </c>
      <c r="D1076" s="38" t="str">
        <f>IFERROR(__xludf.DUMMYFUNCTION("""COMPUTED_VALUE"""),"Y400 series")</f>
        <v>Y400 series</v>
      </c>
      <c r="E1076" s="38" t="s">
        <v>11409</v>
      </c>
      <c r="F1076" s="38" t="s">
        <v>204</v>
      </c>
      <c r="G1076" s="38" t="s">
        <v>11410</v>
      </c>
      <c r="H1076" s="38" t="s">
        <v>11399</v>
      </c>
    </row>
    <row r="1077">
      <c r="A1077" s="37">
        <f>IFERROR(__xludf.DUMMYFUNCTION("""COMPUTED_VALUE"""),45927.886492314814)</f>
        <v>45927.88649</v>
      </c>
      <c r="B1077" s="38" t="str">
        <f>IFERROR(__xludf.DUMMYFUNCTION("""COMPUTED_VALUE"""),"AINI RAHMATINI NATALIA MOESTAKIM")</f>
        <v>AINI RAHMATINI NATALIA MOESTAKIM</v>
      </c>
      <c r="C1077" s="38" t="str">
        <f>IFERROR(__xludf.DUMMYFUNCTION("""COMPUTED_VALUE"""),"Belum disetujui")</f>
        <v>Belum disetujui</v>
      </c>
      <c r="D1077" s="38"/>
      <c r="E1077" s="38" t="s">
        <v>11409</v>
      </c>
      <c r="F1077" s="38" t="s">
        <v>204</v>
      </c>
      <c r="G1077" s="38" t="s">
        <v>11410</v>
      </c>
      <c r="H1077" s="38" t="s">
        <v>11399</v>
      </c>
    </row>
    <row r="1078">
      <c r="A1078" s="37">
        <f>IFERROR(__xludf.DUMMYFUNCTION("""COMPUTED_VALUE"""),45927.92476787037)</f>
        <v>45927.92477</v>
      </c>
      <c r="B1078" s="38" t="str">
        <f>IFERROR(__xludf.DUMMYFUNCTION("""COMPUTED_VALUE"""),"HERONIMUS NAMU WALI")</f>
        <v>HERONIMUS NAMU WALI</v>
      </c>
      <c r="C1078" s="38" t="str">
        <f>IFERROR(__xludf.DUMMYFUNCTION("""COMPUTED_VALUE"""),"ACC")</f>
        <v>ACC</v>
      </c>
      <c r="D1078" s="38" t="str">
        <f>IFERROR(__xludf.DUMMYFUNCTION("""COMPUTED_VALUE"""),"Y400 series")</f>
        <v>Y400 series</v>
      </c>
      <c r="E1078" s="38" t="s">
        <v>11452</v>
      </c>
      <c r="F1078" s="38" t="s">
        <v>205</v>
      </c>
      <c r="G1078" s="38" t="s">
        <v>11453</v>
      </c>
      <c r="H1078" s="38" t="s">
        <v>11419</v>
      </c>
    </row>
    <row r="1079">
      <c r="A1079" s="37">
        <f>IFERROR(__xludf.DUMMYFUNCTION("""COMPUTED_VALUE"""),45928.57801466435)</f>
        <v>45928.57801</v>
      </c>
      <c r="B1079" s="38" t="str">
        <f>IFERROR(__xludf.DUMMYFUNCTION("""COMPUTED_VALUE"""),"YOMELIANA MARIA MAGNO")</f>
        <v>YOMELIANA MARIA MAGNO</v>
      </c>
      <c r="C1079" s="38" t="str">
        <f>IFERROR(__xludf.DUMMYFUNCTION("""COMPUTED_VALUE"""),"Dapat limit tapi belum diproses")</f>
        <v>Dapat limit tapi belum diproses</v>
      </c>
      <c r="D1079" s="38" t="str">
        <f>IFERROR(__xludf.DUMMYFUNCTION("""COMPUTED_VALUE"""),"Y29 series")</f>
        <v>Y29 series</v>
      </c>
      <c r="E1079" s="38" t="s">
        <v>11460</v>
      </c>
      <c r="F1079" s="38" t="s">
        <v>871</v>
      </c>
      <c r="G1079" s="38" t="s">
        <v>11461</v>
      </c>
      <c r="H1079" s="38" t="s">
        <v>11424</v>
      </c>
    </row>
    <row r="1080">
      <c r="A1080" s="37">
        <f>IFERROR(__xludf.DUMMYFUNCTION("""COMPUTED_VALUE"""),45928.703516076384)</f>
        <v>45928.70352</v>
      </c>
      <c r="B1080" s="38" t="str">
        <f>IFERROR(__xludf.DUMMYFUNCTION("""COMPUTED_VALUE"""),"MERDA PUTRI BUNGSU KENAT")</f>
        <v>MERDA PUTRI BUNGSU KENAT</v>
      </c>
      <c r="C1080" s="38" t="str">
        <f>IFERROR(__xludf.DUMMYFUNCTION("""COMPUTED_VALUE"""),"ACC")</f>
        <v>ACC</v>
      </c>
      <c r="D1080" s="38" t="str">
        <f>IFERROR(__xludf.DUMMYFUNCTION("""COMPUTED_VALUE"""),"Y400 series")</f>
        <v>Y400 series</v>
      </c>
      <c r="E1080" s="38" t="s">
        <v>11422</v>
      </c>
      <c r="F1080" s="38" t="s">
        <v>215</v>
      </c>
      <c r="G1080" s="38" t="s">
        <v>11423</v>
      </c>
      <c r="H1080" s="38" t="s">
        <v>11424</v>
      </c>
    </row>
    <row r="1081">
      <c r="A1081" s="37">
        <f>IFERROR(__xludf.DUMMYFUNCTION("""COMPUTED_VALUE"""),45928.75353920139)</f>
        <v>45928.75354</v>
      </c>
      <c r="B1081" s="38" t="str">
        <f>IFERROR(__xludf.DUMMYFUNCTION("""COMPUTED_VALUE"""),"SULIS NURAINI INSYATUN")</f>
        <v>SULIS NURAINI INSYATUN</v>
      </c>
      <c r="C1081" s="38" t="str">
        <f>IFERROR(__xludf.DUMMYFUNCTION("""COMPUTED_VALUE"""),"Belum disetujui")</f>
        <v>Belum disetujui</v>
      </c>
      <c r="D1081" s="38"/>
      <c r="E1081" s="38" t="s">
        <v>11429</v>
      </c>
      <c r="F1081" s="38" t="s">
        <v>257</v>
      </c>
      <c r="G1081" s="38" t="s">
        <v>11430</v>
      </c>
      <c r="H1081" s="38" t="s">
        <v>11419</v>
      </c>
    </row>
    <row r="1082">
      <c r="A1082" s="37">
        <f>IFERROR(__xludf.DUMMYFUNCTION("""COMPUTED_VALUE"""),45928.80628711805)</f>
        <v>45928.80629</v>
      </c>
      <c r="B1082" s="38" t="str">
        <f>IFERROR(__xludf.DUMMYFUNCTION("""COMPUTED_VALUE"""),"SULIS NURAINI INSYATUN")</f>
        <v>SULIS NURAINI INSYATUN</v>
      </c>
      <c r="C1082" s="38" t="str">
        <f>IFERROR(__xludf.DUMMYFUNCTION("""COMPUTED_VALUE"""),"Belum disetujui")</f>
        <v>Belum disetujui</v>
      </c>
      <c r="D1082" s="38"/>
      <c r="E1082" s="38" t="s">
        <v>11429</v>
      </c>
      <c r="F1082" s="38" t="s">
        <v>257</v>
      </c>
      <c r="G1082" s="38" t="s">
        <v>11430</v>
      </c>
      <c r="H1082" s="38" t="s">
        <v>11419</v>
      </c>
    </row>
    <row r="1083">
      <c r="A1083" s="37">
        <f>IFERROR(__xludf.DUMMYFUNCTION("""COMPUTED_VALUE"""),45928.82146908565)</f>
        <v>45928.82147</v>
      </c>
      <c r="B1083" s="38" t="str">
        <f>IFERROR(__xludf.DUMMYFUNCTION("""COMPUTED_VALUE"""),"WARDIA")</f>
        <v>WARDIA</v>
      </c>
      <c r="C1083" s="38" t="str">
        <f>IFERROR(__xludf.DUMMYFUNCTION("""COMPUTED_VALUE"""),"Dapat limit tapi belum diproses")</f>
        <v>Dapat limit tapi belum diproses</v>
      </c>
      <c r="D1083" s="38" t="str">
        <f>IFERROR(__xludf.DUMMYFUNCTION("""COMPUTED_VALUE"""),"Y400 series")</f>
        <v>Y400 series</v>
      </c>
      <c r="E1083" s="38" t="s">
        <v>11409</v>
      </c>
      <c r="F1083" s="38" t="s">
        <v>204</v>
      </c>
      <c r="G1083" s="38" t="s">
        <v>11410</v>
      </c>
      <c r="H1083" s="38" t="s">
        <v>11399</v>
      </c>
    </row>
    <row r="1084">
      <c r="A1084" s="37">
        <f>IFERROR(__xludf.DUMMYFUNCTION("""COMPUTED_VALUE"""),45928.94043474537)</f>
        <v>45928.94043</v>
      </c>
      <c r="B1084" s="38" t="str">
        <f>IFERROR(__xludf.DUMMYFUNCTION("""COMPUTED_VALUE"""),"WARDIA")</f>
        <v>WARDIA</v>
      </c>
      <c r="C1084" s="38" t="str">
        <f>IFERROR(__xludf.DUMMYFUNCTION("""COMPUTED_VALUE"""),"Belum disetujui")</f>
        <v>Belum disetujui</v>
      </c>
      <c r="D1084" s="38"/>
      <c r="E1084" s="38" t="s">
        <v>11409</v>
      </c>
      <c r="F1084" s="38" t="s">
        <v>204</v>
      </c>
      <c r="G1084" s="38" t="s">
        <v>11410</v>
      </c>
      <c r="H1084" s="38" t="s">
        <v>11399</v>
      </c>
    </row>
    <row r="1085">
      <c r="A1085" s="37">
        <f>IFERROR(__xludf.DUMMYFUNCTION("""COMPUTED_VALUE"""),45929.396114270836)</f>
        <v>45929.39611</v>
      </c>
      <c r="B1085" s="38" t="str">
        <f>IFERROR(__xludf.DUMMYFUNCTION("""COMPUTED_VALUE"""),"SULIS NURAINI INSYATUN")</f>
        <v>SULIS NURAINI INSYATUN</v>
      </c>
      <c r="C1085" s="38" t="str">
        <f>IFERROR(__xludf.DUMMYFUNCTION("""COMPUTED_VALUE"""),"Dapat limit tapi belum diproses")</f>
        <v>Dapat limit tapi belum diproses</v>
      </c>
      <c r="D1085" s="38" t="str">
        <f>IFERROR(__xludf.DUMMYFUNCTION("""COMPUTED_VALUE"""),"Y400 series")</f>
        <v>Y400 series</v>
      </c>
      <c r="E1085" s="38" t="s">
        <v>11429</v>
      </c>
      <c r="F1085" s="38" t="s">
        <v>257</v>
      </c>
      <c r="G1085" s="38" t="s">
        <v>11430</v>
      </c>
      <c r="H1085" s="38" t="s">
        <v>11419</v>
      </c>
    </row>
    <row r="1086">
      <c r="A1086" s="37">
        <f>IFERROR(__xludf.DUMMYFUNCTION("""COMPUTED_VALUE"""),45929.43936833333)</f>
        <v>45929.43937</v>
      </c>
      <c r="B1086" s="38" t="str">
        <f>IFERROR(__xludf.DUMMYFUNCTION("""COMPUTED_VALUE"""),"MARIA MELAN ANANCE BILI")</f>
        <v>MARIA MELAN ANANCE BILI</v>
      </c>
      <c r="C1086" s="38" t="str">
        <f>IFERROR(__xludf.DUMMYFUNCTION("""COMPUTED_VALUE"""),"Belum disetujui")</f>
        <v>Belum disetujui</v>
      </c>
      <c r="D1086" s="38"/>
      <c r="E1086" s="38" t="s">
        <v>11466</v>
      </c>
      <c r="F1086" s="38" t="s">
        <v>257</v>
      </c>
      <c r="G1086" s="38" t="s">
        <v>11467</v>
      </c>
      <c r="H1086" s="38" t="s">
        <v>11419</v>
      </c>
    </row>
    <row r="1087">
      <c r="A1087" s="37">
        <f>IFERROR(__xludf.DUMMYFUNCTION("""COMPUTED_VALUE"""),45929.4511031713)</f>
        <v>45929.4511</v>
      </c>
      <c r="B1087" s="38" t="str">
        <f>IFERROR(__xludf.DUMMYFUNCTION("""COMPUTED_VALUE"""),"LASTRIANA PALUS")</f>
        <v>LASTRIANA PALUS</v>
      </c>
      <c r="C1087" s="38" t="str">
        <f>IFERROR(__xludf.DUMMYFUNCTION("""COMPUTED_VALUE"""),"Belum disetujui")</f>
        <v>Belum disetujui</v>
      </c>
      <c r="D1087" s="38"/>
      <c r="E1087" s="38" t="s">
        <v>11468</v>
      </c>
      <c r="F1087" s="38" t="s">
        <v>257</v>
      </c>
      <c r="G1087" s="38" t="s">
        <v>11469</v>
      </c>
      <c r="H1087" s="38" t="s">
        <v>11419</v>
      </c>
    </row>
    <row r="1088">
      <c r="A1088" s="37">
        <f>IFERROR(__xludf.DUMMYFUNCTION("""COMPUTED_VALUE"""),45929.45286118056)</f>
        <v>45929.45286</v>
      </c>
      <c r="B1088" s="38" t="str">
        <f>IFERROR(__xludf.DUMMYFUNCTION("""COMPUTED_VALUE"""),"LASTRIANA PALUS")</f>
        <v>LASTRIANA PALUS</v>
      </c>
      <c r="C1088" s="38" t="str">
        <f>IFERROR(__xludf.DUMMYFUNCTION("""COMPUTED_VALUE"""),"Belum disetujui")</f>
        <v>Belum disetujui</v>
      </c>
      <c r="D1088" s="38"/>
      <c r="E1088" s="38" t="s">
        <v>11468</v>
      </c>
      <c r="F1088" s="38" t="s">
        <v>257</v>
      </c>
      <c r="G1088" s="38" t="s">
        <v>11469</v>
      </c>
      <c r="H1088" s="38" t="s">
        <v>11419</v>
      </c>
    </row>
    <row r="1089">
      <c r="A1089" s="37">
        <f>IFERROR(__xludf.DUMMYFUNCTION("""COMPUTED_VALUE"""),45929.488059375)</f>
        <v>45929.48806</v>
      </c>
      <c r="B1089" s="38" t="str">
        <f>IFERROR(__xludf.DUMMYFUNCTION("""COMPUTED_VALUE"""),"MARNITHA JUWIKE TIMORATI RUNESI")</f>
        <v>MARNITHA JUWIKE TIMORATI RUNESI</v>
      </c>
      <c r="C1089" s="38" t="str">
        <f>IFERROR(__xludf.DUMMYFUNCTION("""COMPUTED_VALUE"""),"Belum disetujui")</f>
        <v>Belum disetujui</v>
      </c>
      <c r="D1089" s="38"/>
      <c r="E1089" s="38" t="s">
        <v>11420</v>
      </c>
      <c r="F1089" s="38" t="s">
        <v>204</v>
      </c>
      <c r="G1089" s="38" t="s">
        <v>11421</v>
      </c>
      <c r="H1089" s="38" t="s">
        <v>11399</v>
      </c>
    </row>
    <row r="1090">
      <c r="A1090" s="37">
        <f>IFERROR(__xludf.DUMMYFUNCTION("""COMPUTED_VALUE"""),45929.48894158565)</f>
        <v>45929.48894</v>
      </c>
      <c r="B1090" s="38" t="str">
        <f>IFERROR(__xludf.DUMMYFUNCTION("""COMPUTED_VALUE"""),"MARNITHA JUWIKE TIMORATI RUNESI")</f>
        <v>MARNITHA JUWIKE TIMORATI RUNESI</v>
      </c>
      <c r="C1090" s="38" t="str">
        <f>IFERROR(__xludf.DUMMYFUNCTION("""COMPUTED_VALUE"""),"Belum disetujui")</f>
        <v>Belum disetujui</v>
      </c>
      <c r="D1090" s="38"/>
      <c r="E1090" s="38" t="s">
        <v>11420</v>
      </c>
      <c r="F1090" s="38" t="s">
        <v>204</v>
      </c>
      <c r="G1090" s="38" t="s">
        <v>11421</v>
      </c>
      <c r="H1090" s="38" t="s">
        <v>11399</v>
      </c>
    </row>
    <row r="1091">
      <c r="A1091" s="37">
        <f>IFERROR(__xludf.DUMMYFUNCTION("""COMPUTED_VALUE"""),45929.4900718287)</f>
        <v>45929.49007</v>
      </c>
      <c r="B1091" s="38" t="str">
        <f>IFERROR(__xludf.DUMMYFUNCTION("""COMPUTED_VALUE"""),"MARNITHA JUWIKE TIMORATI RUNESI")</f>
        <v>MARNITHA JUWIKE TIMORATI RUNESI</v>
      </c>
      <c r="C1091" s="38" t="str">
        <f>IFERROR(__xludf.DUMMYFUNCTION("""COMPUTED_VALUE"""),"Belum disetujui")</f>
        <v>Belum disetujui</v>
      </c>
      <c r="D1091" s="38"/>
      <c r="E1091" s="38" t="s">
        <v>11420</v>
      </c>
      <c r="F1091" s="38" t="s">
        <v>204</v>
      </c>
      <c r="G1091" s="38" t="s">
        <v>11421</v>
      </c>
      <c r="H1091" s="38" t="s">
        <v>11399</v>
      </c>
    </row>
    <row r="1092">
      <c r="A1092" s="37">
        <f>IFERROR(__xludf.DUMMYFUNCTION("""COMPUTED_VALUE"""),45929.64508988426)</f>
        <v>45929.64509</v>
      </c>
      <c r="B1092" s="38" t="str">
        <f>IFERROR(__xludf.DUMMYFUNCTION("""COMPUTED_VALUE"""),"WARDIA")</f>
        <v>WARDIA</v>
      </c>
      <c r="C1092" s="38" t="str">
        <f>IFERROR(__xludf.DUMMYFUNCTION("""COMPUTED_VALUE"""),"Dapat limit tapi belum diproses")</f>
        <v>Dapat limit tapi belum diproses</v>
      </c>
      <c r="D1092" s="38" t="str">
        <f>IFERROR(__xludf.DUMMYFUNCTION("""COMPUTED_VALUE"""),"Y400 series")</f>
        <v>Y400 series</v>
      </c>
      <c r="E1092" s="38" t="s">
        <v>11409</v>
      </c>
      <c r="F1092" s="38" t="s">
        <v>204</v>
      </c>
      <c r="G1092" s="38" t="s">
        <v>11410</v>
      </c>
      <c r="H1092" s="38" t="s">
        <v>11399</v>
      </c>
    </row>
    <row r="1093">
      <c r="A1093" s="37">
        <f>IFERROR(__xludf.DUMMYFUNCTION("""COMPUTED_VALUE"""),45929.68349657407)</f>
        <v>45929.6835</v>
      </c>
      <c r="B1093" s="38" t="str">
        <f>IFERROR(__xludf.DUMMYFUNCTION("""COMPUTED_VALUE"""),"KESIA NATALIA I. BENU")</f>
        <v>KESIA NATALIA I. BENU</v>
      </c>
      <c r="C1093" s="38" t="str">
        <f>IFERROR(__xludf.DUMMYFUNCTION("""COMPUTED_VALUE"""),"Belum disetujui")</f>
        <v>Belum disetujui</v>
      </c>
      <c r="D1093" s="38"/>
      <c r="E1093" s="38" t="s">
        <v>11417</v>
      </c>
      <c r="F1093" s="38" t="s">
        <v>257</v>
      </c>
      <c r="G1093" s="38" t="s">
        <v>11418</v>
      </c>
      <c r="H1093" s="38" t="s">
        <v>11419</v>
      </c>
    </row>
    <row r="1094">
      <c r="A1094" s="37">
        <f>IFERROR(__xludf.DUMMYFUNCTION("""COMPUTED_VALUE"""),45929.70792019676)</f>
        <v>45929.70792</v>
      </c>
      <c r="B1094" s="38" t="str">
        <f>IFERROR(__xludf.DUMMYFUNCTION("""COMPUTED_VALUE"""),"YOHANA NOVIANA MARIANA GAA")</f>
        <v>YOHANA NOVIANA MARIANA GAA</v>
      </c>
      <c r="C1094" s="38" t="str">
        <f>IFERROR(__xludf.DUMMYFUNCTION("""COMPUTED_VALUE"""),"Belum disetujui")</f>
        <v>Belum disetujui</v>
      </c>
      <c r="D1094" s="38"/>
      <c r="E1094" s="38" t="s">
        <v>11400</v>
      </c>
      <c r="F1094" s="38" t="s">
        <v>204</v>
      </c>
      <c r="G1094" s="38" t="s">
        <v>11401</v>
      </c>
      <c r="H1094" s="38" t="s">
        <v>11399</v>
      </c>
    </row>
    <row r="1095">
      <c r="A1095" s="37">
        <f>IFERROR(__xludf.DUMMYFUNCTION("""COMPUTED_VALUE"""),45929.72982049768)</f>
        <v>45929.72982</v>
      </c>
      <c r="B1095" s="38" t="str">
        <f>IFERROR(__xludf.DUMMYFUNCTION("""COMPUTED_VALUE"""),"LINDA MELSIANA ELLO")</f>
        <v>LINDA MELSIANA ELLO</v>
      </c>
      <c r="C1095" s="38" t="str">
        <f>IFERROR(__xludf.DUMMYFUNCTION("""COMPUTED_VALUE"""),"Belum disetujui")</f>
        <v>Belum disetujui</v>
      </c>
      <c r="D1095" s="38"/>
      <c r="E1095" s="38" t="s">
        <v>11435</v>
      </c>
      <c r="F1095" s="38" t="s">
        <v>215</v>
      </c>
      <c r="G1095" s="38" t="s">
        <v>11436</v>
      </c>
      <c r="H1095" s="38" t="s">
        <v>11424</v>
      </c>
    </row>
    <row r="1096">
      <c r="A1096" s="37">
        <f>IFERROR(__xludf.DUMMYFUNCTION("""COMPUTED_VALUE"""),45929.73196313657)</f>
        <v>45929.73196</v>
      </c>
      <c r="B1096" s="38" t="str">
        <f>IFERROR(__xludf.DUMMYFUNCTION("""COMPUTED_VALUE"""),"LINDA MELSIANA ELLO")</f>
        <v>LINDA MELSIANA ELLO</v>
      </c>
      <c r="C1096" s="38" t="str">
        <f>IFERROR(__xludf.DUMMYFUNCTION("""COMPUTED_VALUE"""),"Belum disetujui")</f>
        <v>Belum disetujui</v>
      </c>
      <c r="D1096" s="38"/>
      <c r="E1096" s="38" t="s">
        <v>11435</v>
      </c>
      <c r="F1096" s="38" t="s">
        <v>215</v>
      </c>
      <c r="G1096" s="38" t="s">
        <v>11436</v>
      </c>
      <c r="H1096" s="38" t="s">
        <v>11424</v>
      </c>
    </row>
    <row r="1097">
      <c r="A1097" s="37">
        <f>IFERROR(__xludf.DUMMYFUNCTION("""COMPUTED_VALUE"""),45929.733569282405)</f>
        <v>45929.73357</v>
      </c>
      <c r="B1097" s="38" t="str">
        <f>IFERROR(__xludf.DUMMYFUNCTION("""COMPUTED_VALUE"""),"MARIA MELAN ANANCE BILI")</f>
        <v>MARIA MELAN ANANCE BILI</v>
      </c>
      <c r="C1097" s="38" t="str">
        <f>IFERROR(__xludf.DUMMYFUNCTION("""COMPUTED_VALUE"""),"Dapat limit tapi belum diproses")</f>
        <v>Dapat limit tapi belum diproses</v>
      </c>
      <c r="D1097" s="38" t="str">
        <f>IFERROR(__xludf.DUMMYFUNCTION("""COMPUTED_VALUE"""),"Y400 series")</f>
        <v>Y400 series</v>
      </c>
      <c r="E1097" s="38" t="s">
        <v>11466</v>
      </c>
      <c r="F1097" s="38" t="s">
        <v>257</v>
      </c>
      <c r="G1097" s="38" t="s">
        <v>11467</v>
      </c>
      <c r="H1097" s="38" t="s">
        <v>11419</v>
      </c>
    </row>
    <row r="1098">
      <c r="A1098" s="37">
        <f>IFERROR(__xludf.DUMMYFUNCTION("""COMPUTED_VALUE"""),45929.76084528935)</f>
        <v>45929.76085</v>
      </c>
      <c r="B1098" s="38" t="str">
        <f>IFERROR(__xludf.DUMMYFUNCTION("""COMPUTED_VALUE"""),"ASTUTI BELA WAWO")</f>
        <v>ASTUTI BELA WAWO</v>
      </c>
      <c r="C1098" s="38" t="str">
        <f>IFERROR(__xludf.DUMMYFUNCTION("""COMPUTED_VALUE"""),"Belum disetujui")</f>
        <v>Belum disetujui</v>
      </c>
      <c r="D1098" s="38"/>
      <c r="E1098" s="38" t="s">
        <v>11427</v>
      </c>
      <c r="F1098" s="38" t="s">
        <v>257</v>
      </c>
      <c r="G1098" s="38" t="s">
        <v>11428</v>
      </c>
      <c r="H1098" s="38" t="s">
        <v>11419</v>
      </c>
    </row>
    <row r="1099">
      <c r="A1099" s="37">
        <f>IFERROR(__xludf.DUMMYFUNCTION("""COMPUTED_VALUE"""),45929.76681439815)</f>
        <v>45929.76681</v>
      </c>
      <c r="B1099" s="38" t="str">
        <f>IFERROR(__xludf.DUMMYFUNCTION("""COMPUTED_VALUE"""),"YOHANIS TIPNONI")</f>
        <v>YOHANIS TIPNONI</v>
      </c>
      <c r="C1099" s="38" t="str">
        <f>IFERROR(__xludf.DUMMYFUNCTION("""COMPUTED_VALUE"""),"Belum disetujui")</f>
        <v>Belum disetujui</v>
      </c>
      <c r="D1099" s="38"/>
      <c r="E1099" s="38" t="s">
        <v>11405</v>
      </c>
      <c r="F1099" s="38" t="s">
        <v>220</v>
      </c>
      <c r="G1099" s="38" t="s">
        <v>11406</v>
      </c>
      <c r="H1099" s="38" t="s">
        <v>11399</v>
      </c>
    </row>
    <row r="1100">
      <c r="A1100" s="37">
        <f>IFERROR(__xludf.DUMMYFUNCTION("""COMPUTED_VALUE"""),45929.77344215278)</f>
        <v>45929.77344</v>
      </c>
      <c r="B1100" s="38" t="str">
        <f>IFERROR(__xludf.DUMMYFUNCTION("""COMPUTED_VALUE"""),"NOVLIANA BARBALINA MISA")</f>
        <v>NOVLIANA BARBALINA MISA</v>
      </c>
      <c r="C1100" s="38" t="str">
        <f>IFERROR(__xludf.DUMMYFUNCTION("""COMPUTED_VALUE"""),"Belum disetujui")</f>
        <v>Belum disetujui</v>
      </c>
      <c r="D1100" s="38"/>
      <c r="E1100" s="38" t="s">
        <v>11454</v>
      </c>
      <c r="F1100" s="38" t="s">
        <v>205</v>
      </c>
      <c r="G1100" s="38" t="s">
        <v>11455</v>
      </c>
      <c r="H1100" s="38" t="s">
        <v>11419</v>
      </c>
    </row>
    <row r="1101">
      <c r="A1101" s="37">
        <f>IFERROR(__xludf.DUMMYFUNCTION("""COMPUTED_VALUE"""),45929.80491115741)</f>
        <v>45929.80491</v>
      </c>
      <c r="B1101" s="38" t="str">
        <f>IFERROR(__xludf.DUMMYFUNCTION("""COMPUTED_VALUE"""),"WARDIA")</f>
        <v>WARDIA</v>
      </c>
      <c r="C1101" s="38" t="str">
        <f>IFERROR(__xludf.DUMMYFUNCTION("""COMPUTED_VALUE"""),"Belum disetujui")</f>
        <v>Belum disetujui</v>
      </c>
      <c r="D1101" s="38"/>
      <c r="E1101" s="38" t="s">
        <v>11409</v>
      </c>
      <c r="F1101" s="38" t="s">
        <v>204</v>
      </c>
      <c r="G1101" s="38" t="s">
        <v>11410</v>
      </c>
      <c r="H1101" s="38" t="s">
        <v>11399</v>
      </c>
    </row>
    <row r="1102">
      <c r="A1102" s="37">
        <f>IFERROR(__xludf.DUMMYFUNCTION("""COMPUTED_VALUE"""),45929.81477665509)</f>
        <v>45929.81478</v>
      </c>
      <c r="B1102" s="38" t="str">
        <f>IFERROR(__xludf.DUMMYFUNCTION("""COMPUTED_VALUE"""),"MARNITHA JUWIKE TIMORATI RUNESI")</f>
        <v>MARNITHA JUWIKE TIMORATI RUNESI</v>
      </c>
      <c r="C1102" s="38" t="str">
        <f>IFERROR(__xludf.DUMMYFUNCTION("""COMPUTED_VALUE"""),"Belum disetujui")</f>
        <v>Belum disetujui</v>
      </c>
      <c r="D1102" s="38"/>
      <c r="E1102" s="38" t="s">
        <v>11420</v>
      </c>
      <c r="F1102" s="38" t="s">
        <v>204</v>
      </c>
      <c r="G1102" s="38" t="s">
        <v>11421</v>
      </c>
      <c r="H1102" s="38" t="s">
        <v>11399</v>
      </c>
    </row>
    <row r="1103">
      <c r="A1103" s="37">
        <f>IFERROR(__xludf.DUMMYFUNCTION("""COMPUTED_VALUE"""),45929.83137373842)</f>
        <v>45929.83137</v>
      </c>
      <c r="B1103" s="38" t="str">
        <f>IFERROR(__xludf.DUMMYFUNCTION("""COMPUTED_VALUE"""),"ASRI NINGSI RAMBU ATA ENDI")</f>
        <v>ASRI NINGSI RAMBU ATA ENDI</v>
      </c>
      <c r="C1103" s="38" t="str">
        <f>IFERROR(__xludf.DUMMYFUNCTION("""COMPUTED_VALUE"""),"Belum disetujui")</f>
        <v>Belum disetujui</v>
      </c>
      <c r="D1103" s="38"/>
      <c r="E1103" s="38" t="s">
        <v>11441</v>
      </c>
      <c r="F1103" s="38" t="s">
        <v>205</v>
      </c>
      <c r="G1103" s="38" t="s">
        <v>11442</v>
      </c>
      <c r="H1103" s="38" t="s">
        <v>11419</v>
      </c>
    </row>
    <row r="1104">
      <c r="A1104" s="37">
        <f>IFERROR(__xludf.DUMMYFUNCTION("""COMPUTED_VALUE"""),45930.45844930556)</f>
        <v>45930.45845</v>
      </c>
      <c r="B1104" s="38" t="str">
        <f>IFERROR(__xludf.DUMMYFUNCTION("""COMPUTED_VALUE"""),"ASTUTI BELA WAWO")</f>
        <v>ASTUTI BELA WAWO</v>
      </c>
      <c r="C1104" s="38" t="str">
        <f>IFERROR(__xludf.DUMMYFUNCTION("""COMPUTED_VALUE"""),"Belum disetujui")</f>
        <v>Belum disetujui</v>
      </c>
      <c r="D1104" s="38"/>
      <c r="E1104" s="38" t="s">
        <v>11427</v>
      </c>
      <c r="F1104" s="38" t="s">
        <v>257</v>
      </c>
      <c r="G1104" s="38" t="s">
        <v>11428</v>
      </c>
      <c r="H1104" s="38" t="s">
        <v>11419</v>
      </c>
    </row>
    <row r="1105">
      <c r="A1105" s="37">
        <f>IFERROR(__xludf.DUMMYFUNCTION("""COMPUTED_VALUE"""),45930.47192466435)</f>
        <v>45930.47192</v>
      </c>
      <c r="B1105" s="38" t="str">
        <f>IFERROR(__xludf.DUMMYFUNCTION("""COMPUTED_VALUE"""),"YASINTHA MBU")</f>
        <v>YASINTHA MBU</v>
      </c>
      <c r="C1105" s="38" t="str">
        <f>IFERROR(__xludf.DUMMYFUNCTION("""COMPUTED_VALUE"""),"Belum disetujui")</f>
        <v>Belum disetujui</v>
      </c>
      <c r="D1105" s="38"/>
      <c r="E1105" s="38" t="s">
        <v>11407</v>
      </c>
      <c r="F1105" s="38" t="s">
        <v>220</v>
      </c>
      <c r="G1105" s="38" t="s">
        <v>11408</v>
      </c>
      <c r="H1105" s="38" t="s">
        <v>11399</v>
      </c>
    </row>
    <row r="1106">
      <c r="A1106" s="37">
        <f>IFERROR(__xludf.DUMMYFUNCTION("""COMPUTED_VALUE"""),45930.473431053244)</f>
        <v>45930.47343</v>
      </c>
      <c r="B1106" s="38" t="str">
        <f>IFERROR(__xludf.DUMMYFUNCTION("""COMPUTED_VALUE"""),"FERI ELI KURNIAWAN")</f>
        <v>FERI ELI KURNIAWAN</v>
      </c>
      <c r="C1106" s="38" t="str">
        <f>IFERROR(__xludf.DUMMYFUNCTION("""COMPUTED_VALUE"""),"Dapat limit tapi belum diproses")</f>
        <v>Dapat limit tapi belum diproses</v>
      </c>
      <c r="D1106" s="38" t="str">
        <f>IFERROR(__xludf.DUMMYFUNCTION("""COMPUTED_VALUE"""),"V60 series")</f>
        <v>V60 series</v>
      </c>
      <c r="E1106" s="38" t="s">
        <v>11411</v>
      </c>
      <c r="F1106" s="38" t="s">
        <v>220</v>
      </c>
      <c r="G1106" s="38" t="s">
        <v>11412</v>
      </c>
      <c r="H1106" s="38" t="s">
        <v>11399</v>
      </c>
    </row>
    <row r="1107">
      <c r="A1107" s="37">
        <f>IFERROR(__xludf.DUMMYFUNCTION("""COMPUTED_VALUE"""),45930.595571168975)</f>
        <v>45930.59557</v>
      </c>
      <c r="B1107" s="38" t="str">
        <f>IFERROR(__xludf.DUMMYFUNCTION("""COMPUTED_VALUE"""),"LINDA MELSIANA ELLO")</f>
        <v>LINDA MELSIANA ELLO</v>
      </c>
      <c r="C1107" s="38" t="str">
        <f>IFERROR(__xludf.DUMMYFUNCTION("""COMPUTED_VALUE"""),"Belum disetujui")</f>
        <v>Belum disetujui</v>
      </c>
      <c r="D1107" s="38"/>
      <c r="E1107" s="38" t="s">
        <v>11435</v>
      </c>
      <c r="F1107" s="38" t="s">
        <v>215</v>
      </c>
      <c r="G1107" s="38" t="s">
        <v>11436</v>
      </c>
      <c r="H1107" s="38" t="s">
        <v>11424</v>
      </c>
    </row>
    <row r="1108">
      <c r="A1108" s="37">
        <f>IFERROR(__xludf.DUMMYFUNCTION("""COMPUTED_VALUE"""),45930.680763020835)</f>
        <v>45930.68076</v>
      </c>
      <c r="B1108" s="38" t="str">
        <f>IFERROR(__xludf.DUMMYFUNCTION("""COMPUTED_VALUE"""),"ASRI NINGSI RAMBU ATA ENDI")</f>
        <v>ASRI NINGSI RAMBU ATA ENDI</v>
      </c>
      <c r="C1108" s="38" t="str">
        <f>IFERROR(__xludf.DUMMYFUNCTION("""COMPUTED_VALUE"""),"Dapat limit tapi belum diproses")</f>
        <v>Dapat limit tapi belum diproses</v>
      </c>
      <c r="D1108" s="38" t="str">
        <f>IFERROR(__xludf.DUMMYFUNCTION("""COMPUTED_VALUE"""),"Y400 series")</f>
        <v>Y400 series</v>
      </c>
      <c r="E1108" s="38" t="s">
        <v>11441</v>
      </c>
      <c r="F1108" s="38" t="s">
        <v>205</v>
      </c>
      <c r="G1108" s="38" t="s">
        <v>11442</v>
      </c>
      <c r="H1108" s="38" t="s">
        <v>11419</v>
      </c>
    </row>
    <row r="1109">
      <c r="A1109" s="37">
        <f>IFERROR(__xludf.DUMMYFUNCTION("""COMPUTED_VALUE"""),45930.80352098379)</f>
        <v>45930.80352</v>
      </c>
      <c r="B1109" s="38" t="str">
        <f>IFERROR(__xludf.DUMMYFUNCTION("""COMPUTED_VALUE"""),"YOVANDA KATRINA NAE")</f>
        <v>YOVANDA KATRINA NAE</v>
      </c>
      <c r="C1109" s="38" t="str">
        <f>IFERROR(__xludf.DUMMYFUNCTION("""COMPUTED_VALUE"""),"Belum disetujui")</f>
        <v>Belum disetujui</v>
      </c>
      <c r="D1109" s="38"/>
      <c r="E1109" s="38" t="s">
        <v>11425</v>
      </c>
      <c r="F1109" s="38" t="s">
        <v>205</v>
      </c>
      <c r="G1109" s="38" t="s">
        <v>11426</v>
      </c>
      <c r="H1109" s="38" t="s">
        <v>11419</v>
      </c>
    </row>
    <row r="1110">
      <c r="A1110" s="37">
        <f>IFERROR(__xludf.DUMMYFUNCTION("""COMPUTED_VALUE"""),45930.804969756944)</f>
        <v>45930.80497</v>
      </c>
      <c r="B1110" s="38" t="str">
        <f>IFERROR(__xludf.DUMMYFUNCTION("""COMPUTED_VALUE"""),"MARNITHA JUWIKE TIMORATI RUNESI")</f>
        <v>MARNITHA JUWIKE TIMORATI RUNESI</v>
      </c>
      <c r="C1110" s="38" t="str">
        <f>IFERROR(__xludf.DUMMYFUNCTION("""COMPUTED_VALUE"""),"ACC")</f>
        <v>ACC</v>
      </c>
      <c r="D1110" s="38" t="str">
        <f>IFERROR(__xludf.DUMMYFUNCTION("""COMPUTED_VALUE"""),"Y400 series")</f>
        <v>Y400 series</v>
      </c>
      <c r="E1110" s="38" t="s">
        <v>11420</v>
      </c>
      <c r="F1110" s="38" t="s">
        <v>204</v>
      </c>
      <c r="G1110" s="38" t="s">
        <v>11421</v>
      </c>
      <c r="H1110" s="38" t="s">
        <v>11399</v>
      </c>
    </row>
    <row r="1111">
      <c r="A1111" s="37">
        <f>IFERROR(__xludf.DUMMYFUNCTION("""COMPUTED_VALUE"""),45930.946854918984)</f>
        <v>45930.94685</v>
      </c>
      <c r="B1111" s="38" t="str">
        <f>IFERROR(__xludf.DUMMYFUNCTION("""COMPUTED_VALUE"""),"LINDA MELSIANA ELLO")</f>
        <v>LINDA MELSIANA ELLO</v>
      </c>
      <c r="C1111" s="38" t="str">
        <f>IFERROR(__xludf.DUMMYFUNCTION("""COMPUTED_VALUE"""),"ACC")</f>
        <v>ACC</v>
      </c>
      <c r="D1111" s="38" t="str">
        <f>IFERROR(__xludf.DUMMYFUNCTION("""COMPUTED_VALUE"""),"Y400 series")</f>
        <v>Y400 series</v>
      </c>
      <c r="E1111" s="38" t="s">
        <v>11435</v>
      </c>
      <c r="F1111" s="38" t="s">
        <v>215</v>
      </c>
      <c r="G1111" s="38" t="s">
        <v>11436</v>
      </c>
      <c r="H1111" s="38" t="s">
        <v>11424</v>
      </c>
    </row>
    <row r="1112">
      <c r="A1112" s="37">
        <f>IFERROR(__xludf.DUMMYFUNCTION("""COMPUTED_VALUE"""),45931.423312638886)</f>
        <v>45931.42331</v>
      </c>
      <c r="B1112" s="38" t="str">
        <f>IFERROR(__xludf.DUMMYFUNCTION("""COMPUTED_VALUE"""),"NOVLIANA BARBALINA MISA")</f>
        <v>NOVLIANA BARBALINA MISA</v>
      </c>
      <c r="C1112" s="38" t="str">
        <f>IFERROR(__xludf.DUMMYFUNCTION("""COMPUTED_VALUE"""),"Dapat limit tapi belum diproses")</f>
        <v>Dapat limit tapi belum diproses</v>
      </c>
      <c r="D1112" s="38" t="str">
        <f>IFERROR(__xludf.DUMMYFUNCTION("""COMPUTED_VALUE"""),"Y400 series")</f>
        <v>Y400 series</v>
      </c>
      <c r="E1112" s="38" t="s">
        <v>11454</v>
      </c>
      <c r="F1112" s="38" t="s">
        <v>205</v>
      </c>
      <c r="G1112" s="38" t="s">
        <v>11455</v>
      </c>
      <c r="H1112" s="38" t="s">
        <v>11419</v>
      </c>
    </row>
    <row r="1113">
      <c r="A1113" s="37">
        <f>IFERROR(__xludf.DUMMYFUNCTION("""COMPUTED_VALUE"""),45931.461050868056)</f>
        <v>45931.46105</v>
      </c>
      <c r="B1113" s="38" t="str">
        <f>IFERROR(__xludf.DUMMYFUNCTION("""COMPUTED_VALUE"""),"LASTRIANA PALUS")</f>
        <v>LASTRIANA PALUS</v>
      </c>
      <c r="C1113" s="38" t="str">
        <f>IFERROR(__xludf.DUMMYFUNCTION("""COMPUTED_VALUE"""),"Belum disetujui")</f>
        <v>Belum disetujui</v>
      </c>
      <c r="D1113" s="38"/>
      <c r="E1113" s="38" t="s">
        <v>11468</v>
      </c>
      <c r="F1113" s="38" t="s">
        <v>257</v>
      </c>
      <c r="G1113" s="38" t="s">
        <v>11469</v>
      </c>
      <c r="H1113" s="38" t="s">
        <v>11419</v>
      </c>
    </row>
    <row r="1114">
      <c r="A1114" s="37">
        <f>IFERROR(__xludf.DUMMYFUNCTION("""COMPUTED_VALUE"""),45931.565283668984)</f>
        <v>45931.56528</v>
      </c>
      <c r="B1114" s="38" t="str">
        <f>IFERROR(__xludf.DUMMYFUNCTION("""COMPUTED_VALUE"""),"PATRIANI MENGI ULY")</f>
        <v>PATRIANI MENGI ULY</v>
      </c>
      <c r="C1114" s="38" t="str">
        <f>IFERROR(__xludf.DUMMYFUNCTION("""COMPUTED_VALUE"""),"ACC")</f>
        <v>ACC</v>
      </c>
      <c r="D1114" s="38" t="str">
        <f>IFERROR(__xludf.DUMMYFUNCTION("""COMPUTED_VALUE"""),"V50 Lite series")</f>
        <v>V50 Lite series</v>
      </c>
      <c r="E1114" s="38" t="s">
        <v>11402</v>
      </c>
      <c r="F1114" s="38" t="s">
        <v>204</v>
      </c>
      <c r="G1114" s="38" t="s">
        <v>11403</v>
      </c>
      <c r="H1114" s="38" t="s">
        <v>11399</v>
      </c>
    </row>
    <row r="1115">
      <c r="A1115" s="37">
        <f>IFERROR(__xludf.DUMMYFUNCTION("""COMPUTED_VALUE"""),45931.57170092592)</f>
        <v>45931.5717</v>
      </c>
      <c r="B1115" s="38" t="str">
        <f>IFERROR(__xludf.DUMMYFUNCTION("""COMPUTED_VALUE"""),"AZ ZAHRA SITI ZAINAB")</f>
        <v>AZ ZAHRA SITI ZAINAB</v>
      </c>
      <c r="C1115" s="38" t="str">
        <f>IFERROR(__xludf.DUMMYFUNCTION("""COMPUTED_VALUE"""),"ACC")</f>
        <v>ACC</v>
      </c>
      <c r="D1115" s="38" t="str">
        <f>IFERROR(__xludf.DUMMYFUNCTION("""COMPUTED_VALUE"""),"V50 Lite series")</f>
        <v>V50 Lite series</v>
      </c>
      <c r="E1115" s="38" t="s">
        <v>11462</v>
      </c>
      <c r="F1115" s="38" t="s">
        <v>257</v>
      </c>
      <c r="G1115" s="38" t="s">
        <v>11463</v>
      </c>
      <c r="H1115" s="38" t="s">
        <v>11419</v>
      </c>
    </row>
    <row r="1116">
      <c r="A1116" s="37">
        <f>IFERROR(__xludf.DUMMYFUNCTION("""COMPUTED_VALUE"""),45931.574689652785)</f>
        <v>45931.57469</v>
      </c>
      <c r="B1116" s="38" t="str">
        <f>IFERROR(__xludf.DUMMYFUNCTION("""COMPUTED_VALUE"""),"NOVLIANA BARBALINA MISA")</f>
        <v>NOVLIANA BARBALINA MISA</v>
      </c>
      <c r="C1116" s="38" t="str">
        <f>IFERROR(__xludf.DUMMYFUNCTION("""COMPUTED_VALUE"""),"ACC")</f>
        <v>ACC</v>
      </c>
      <c r="D1116" s="38" t="str">
        <f>IFERROR(__xludf.DUMMYFUNCTION("""COMPUTED_VALUE"""),"Y400 series")</f>
        <v>Y400 series</v>
      </c>
      <c r="E1116" s="38" t="s">
        <v>11454</v>
      </c>
      <c r="F1116" s="38" t="s">
        <v>205</v>
      </c>
      <c r="G1116" s="38" t="s">
        <v>11455</v>
      </c>
      <c r="H1116" s="38" t="s">
        <v>11419</v>
      </c>
    </row>
    <row r="1117">
      <c r="A1117" s="37">
        <f>IFERROR(__xludf.DUMMYFUNCTION("""COMPUTED_VALUE"""),45931.584534699075)</f>
        <v>45931.58453</v>
      </c>
      <c r="B1117" s="38" t="str">
        <f>IFERROR(__xludf.DUMMYFUNCTION("""COMPUTED_VALUE"""),"ASRI NINGSI RAMBU ATA ENDI")</f>
        <v>ASRI NINGSI RAMBU ATA ENDI</v>
      </c>
      <c r="C1117" s="38" t="str">
        <f>IFERROR(__xludf.DUMMYFUNCTION("""COMPUTED_VALUE"""),"ACC")</f>
        <v>ACC</v>
      </c>
      <c r="D1117" s="38" t="str">
        <f>IFERROR(__xludf.DUMMYFUNCTION("""COMPUTED_VALUE"""),"Y400 series")</f>
        <v>Y400 series</v>
      </c>
      <c r="E1117" s="38" t="s">
        <v>11441</v>
      </c>
      <c r="F1117" s="38" t="s">
        <v>205</v>
      </c>
      <c r="G1117" s="38" t="s">
        <v>11442</v>
      </c>
      <c r="H1117" s="38" t="s">
        <v>11419</v>
      </c>
    </row>
    <row r="1118">
      <c r="A1118" s="37">
        <f>IFERROR(__xludf.DUMMYFUNCTION("""COMPUTED_VALUE"""),45931.58987372686)</f>
        <v>45931.58987</v>
      </c>
      <c r="B1118" s="38" t="str">
        <f>IFERROR(__xludf.DUMMYFUNCTION("""COMPUTED_VALUE"""),"LINDA MELSIANA ELLO")</f>
        <v>LINDA MELSIANA ELLO</v>
      </c>
      <c r="C1118" s="38" t="str">
        <f>IFERROR(__xludf.DUMMYFUNCTION("""COMPUTED_VALUE"""),"Belum disetujui")</f>
        <v>Belum disetujui</v>
      </c>
      <c r="D1118" s="38"/>
      <c r="E1118" s="38" t="s">
        <v>11435</v>
      </c>
      <c r="F1118" s="38" t="s">
        <v>215</v>
      </c>
      <c r="G1118" s="38" t="s">
        <v>11436</v>
      </c>
      <c r="H1118" s="38" t="s">
        <v>11424</v>
      </c>
    </row>
    <row r="1119">
      <c r="A1119" s="37">
        <f>IFERROR(__xludf.DUMMYFUNCTION("""COMPUTED_VALUE"""),45931.60100412037)</f>
        <v>45931.601</v>
      </c>
      <c r="B1119" s="38" t="str">
        <f>IFERROR(__xludf.DUMMYFUNCTION("""COMPUTED_VALUE"""),"MERDA PUTRI BUNGSU KENAT")</f>
        <v>MERDA PUTRI BUNGSU KENAT</v>
      </c>
      <c r="C1119" s="38" t="str">
        <f>IFERROR(__xludf.DUMMYFUNCTION("""COMPUTED_VALUE"""),"ACC")</f>
        <v>ACC</v>
      </c>
      <c r="D1119" s="38" t="str">
        <f>IFERROR(__xludf.DUMMYFUNCTION("""COMPUTED_VALUE"""),"Y400 series")</f>
        <v>Y400 series</v>
      </c>
      <c r="E1119" s="38" t="s">
        <v>11422</v>
      </c>
      <c r="F1119" s="38" t="s">
        <v>215</v>
      </c>
      <c r="G1119" s="38" t="s">
        <v>11423</v>
      </c>
      <c r="H1119" s="38" t="s">
        <v>11424</v>
      </c>
    </row>
    <row r="1120">
      <c r="A1120" s="37">
        <f>IFERROR(__xludf.DUMMYFUNCTION("""COMPUTED_VALUE"""),45931.61705390046)</f>
        <v>45931.61705</v>
      </c>
      <c r="B1120" s="38" t="str">
        <f>IFERROR(__xludf.DUMMYFUNCTION("""COMPUTED_VALUE"""),"ASTUTI BELA WAWO")</f>
        <v>ASTUTI BELA WAWO</v>
      </c>
      <c r="C1120" s="38" t="str">
        <f>IFERROR(__xludf.DUMMYFUNCTION("""COMPUTED_VALUE"""),"Belum disetujui")</f>
        <v>Belum disetujui</v>
      </c>
      <c r="D1120" s="38"/>
      <c r="E1120" s="38" t="s">
        <v>11427</v>
      </c>
      <c r="F1120" s="38" t="s">
        <v>257</v>
      </c>
      <c r="G1120" s="38" t="s">
        <v>11428</v>
      </c>
      <c r="H1120" s="38" t="s">
        <v>11419</v>
      </c>
    </row>
    <row r="1121">
      <c r="A1121" s="37">
        <f>IFERROR(__xludf.DUMMYFUNCTION("""COMPUTED_VALUE"""),45931.61855959491)</f>
        <v>45931.61856</v>
      </c>
      <c r="B1121" s="38" t="str">
        <f>IFERROR(__xludf.DUMMYFUNCTION("""COMPUTED_VALUE"""),"ASTUTI BELA WAWO")</f>
        <v>ASTUTI BELA WAWO</v>
      </c>
      <c r="C1121" s="38" t="str">
        <f>IFERROR(__xludf.DUMMYFUNCTION("""COMPUTED_VALUE"""),"Belum disetujui")</f>
        <v>Belum disetujui</v>
      </c>
      <c r="D1121" s="38"/>
      <c r="E1121" s="38" t="s">
        <v>11427</v>
      </c>
      <c r="F1121" s="38" t="s">
        <v>257</v>
      </c>
      <c r="G1121" s="38" t="s">
        <v>11428</v>
      </c>
      <c r="H1121" s="38" t="s">
        <v>11419</v>
      </c>
    </row>
    <row r="1122">
      <c r="A1122" s="37">
        <f>IFERROR(__xludf.DUMMYFUNCTION("""COMPUTED_VALUE"""),45931.74011369213)</f>
        <v>45931.74011</v>
      </c>
      <c r="B1122" s="38" t="str">
        <f>IFERROR(__xludf.DUMMYFUNCTION("""COMPUTED_VALUE"""),"ADRIANA")</f>
        <v>ADRIANA</v>
      </c>
      <c r="C1122" s="38" t="str">
        <f>IFERROR(__xludf.DUMMYFUNCTION("""COMPUTED_VALUE"""),"Belum disetujui")</f>
        <v>Belum disetujui</v>
      </c>
      <c r="D1122" s="38"/>
      <c r="E1122" s="38" t="s">
        <v>11433</v>
      </c>
      <c r="F1122" s="38" t="s">
        <v>313</v>
      </c>
      <c r="G1122" s="38" t="s">
        <v>11434</v>
      </c>
      <c r="H1122" s="38" t="s">
        <v>11424</v>
      </c>
    </row>
    <row r="1123">
      <c r="A1123" s="37">
        <f>IFERROR(__xludf.DUMMYFUNCTION("""COMPUTED_VALUE"""),45931.74808597223)</f>
        <v>45931.74809</v>
      </c>
      <c r="B1123" s="38" t="str">
        <f>IFERROR(__xludf.DUMMYFUNCTION("""COMPUTED_VALUE"""),"ADRIANA")</f>
        <v>ADRIANA</v>
      </c>
      <c r="C1123" s="38" t="str">
        <f>IFERROR(__xludf.DUMMYFUNCTION("""COMPUTED_VALUE"""),"Dapat limit tapi belum diproses")</f>
        <v>Dapat limit tapi belum diproses</v>
      </c>
      <c r="D1123" s="38" t="str">
        <f>IFERROR(__xludf.DUMMYFUNCTION("""COMPUTED_VALUE"""),"Y400 series")</f>
        <v>Y400 series</v>
      </c>
      <c r="E1123" s="38" t="s">
        <v>11433</v>
      </c>
      <c r="F1123" s="38" t="s">
        <v>313</v>
      </c>
      <c r="G1123" s="38" t="s">
        <v>11434</v>
      </c>
      <c r="H1123" s="38" t="s">
        <v>11424</v>
      </c>
    </row>
    <row r="1124">
      <c r="A1124" s="37">
        <f>IFERROR(__xludf.DUMMYFUNCTION("""COMPUTED_VALUE"""),45931.75360184028)</f>
        <v>45931.7536</v>
      </c>
      <c r="B1124" s="38" t="str">
        <f>IFERROR(__xludf.DUMMYFUNCTION("""COMPUTED_VALUE"""),"NUR FATIMAH MOLBANG")</f>
        <v>NUR FATIMAH MOLBANG</v>
      </c>
      <c r="C1124" s="38" t="str">
        <f>IFERROR(__xludf.DUMMYFUNCTION("""COMPUTED_VALUE"""),"Belum disetujui")</f>
        <v>Belum disetujui</v>
      </c>
      <c r="D1124" s="38"/>
      <c r="E1124" s="38" t="s">
        <v>11439</v>
      </c>
      <c r="F1124" s="38" t="s">
        <v>313</v>
      </c>
      <c r="G1124" s="38" t="s">
        <v>11440</v>
      </c>
      <c r="H1124" s="38" t="s">
        <v>11424</v>
      </c>
    </row>
    <row r="1125">
      <c r="A1125" s="37">
        <f>IFERROR(__xludf.DUMMYFUNCTION("""COMPUTED_VALUE"""),45931.75910728009)</f>
        <v>45931.75911</v>
      </c>
      <c r="B1125" s="38" t="str">
        <f>IFERROR(__xludf.DUMMYFUNCTION("""COMPUTED_VALUE"""),"YOVANDA KATRINA NAE")</f>
        <v>YOVANDA KATRINA NAE</v>
      </c>
      <c r="C1125" s="38" t="str">
        <f>IFERROR(__xludf.DUMMYFUNCTION("""COMPUTED_VALUE"""),"Belum disetujui")</f>
        <v>Belum disetujui</v>
      </c>
      <c r="D1125" s="38"/>
      <c r="E1125" s="38" t="s">
        <v>11425</v>
      </c>
      <c r="F1125" s="38" t="s">
        <v>205</v>
      </c>
      <c r="G1125" s="38" t="s">
        <v>11426</v>
      </c>
      <c r="H1125" s="38" t="s">
        <v>11419</v>
      </c>
    </row>
    <row r="1126">
      <c r="A1126" s="37">
        <f>IFERROR(__xludf.DUMMYFUNCTION("""COMPUTED_VALUE"""),45931.80870396991)</f>
        <v>45931.8087</v>
      </c>
      <c r="B1126" s="38" t="str">
        <f>IFERROR(__xludf.DUMMYFUNCTION("""COMPUTED_VALUE"""),"DEWI RAHMAN")</f>
        <v>DEWI RAHMAN</v>
      </c>
      <c r="C1126" s="38" t="str">
        <f>IFERROR(__xludf.DUMMYFUNCTION("""COMPUTED_VALUE"""),"Dapat limit tapi belum diproses")</f>
        <v>Dapat limit tapi belum diproses</v>
      </c>
      <c r="D1126" s="38" t="str">
        <f>IFERROR(__xludf.DUMMYFUNCTION("""COMPUTED_VALUE"""),"Y400 series")</f>
        <v>Y400 series</v>
      </c>
      <c r="E1126" s="38" t="s">
        <v>11449</v>
      </c>
      <c r="F1126" s="38" t="s">
        <v>11450</v>
      </c>
      <c r="G1126" s="38" t="s">
        <v>11451</v>
      </c>
      <c r="H1126" s="38" t="s">
        <v>11424</v>
      </c>
    </row>
    <row r="1127">
      <c r="A1127" s="37">
        <f>IFERROR(__xludf.DUMMYFUNCTION("""COMPUTED_VALUE"""),45931.81816793981)</f>
        <v>45931.81817</v>
      </c>
      <c r="B1127" s="38" t="str">
        <f>IFERROR(__xludf.DUMMYFUNCTION("""COMPUTED_VALUE"""),"AZ ZAHRA SITI ZAINAB")</f>
        <v>AZ ZAHRA SITI ZAINAB</v>
      </c>
      <c r="C1127" s="38" t="str">
        <f>IFERROR(__xludf.DUMMYFUNCTION("""COMPUTED_VALUE"""),"Belum disetujui")</f>
        <v>Belum disetujui</v>
      </c>
      <c r="D1127" s="38"/>
      <c r="E1127" s="38" t="s">
        <v>11462</v>
      </c>
      <c r="F1127" s="38" t="s">
        <v>257</v>
      </c>
      <c r="G1127" s="38" t="s">
        <v>11463</v>
      </c>
      <c r="H1127" s="38" t="s">
        <v>11419</v>
      </c>
    </row>
    <row r="1128">
      <c r="A1128" s="37">
        <f>IFERROR(__xludf.DUMMYFUNCTION("""COMPUTED_VALUE"""),45931.82717805555)</f>
        <v>45931.82718</v>
      </c>
      <c r="B1128" s="38" t="str">
        <f>IFERROR(__xludf.DUMMYFUNCTION("""COMPUTED_VALUE"""),"ADRIANA")</f>
        <v>ADRIANA</v>
      </c>
      <c r="C1128" s="38" t="str">
        <f>IFERROR(__xludf.DUMMYFUNCTION("""COMPUTED_VALUE"""),"Belum disetujui")</f>
        <v>Belum disetujui</v>
      </c>
      <c r="D1128" s="38"/>
      <c r="E1128" s="38" t="s">
        <v>11433</v>
      </c>
      <c r="F1128" s="38" t="s">
        <v>313</v>
      </c>
      <c r="G1128" s="38" t="s">
        <v>11434</v>
      </c>
      <c r="H1128" s="38" t="s">
        <v>11424</v>
      </c>
    </row>
    <row r="1129">
      <c r="A1129" s="37">
        <f>IFERROR(__xludf.DUMMYFUNCTION("""COMPUTED_VALUE"""),45931.843632592594)</f>
        <v>45931.84363</v>
      </c>
      <c r="B1129" s="38" t="str">
        <f>IFERROR(__xludf.DUMMYFUNCTION("""COMPUTED_VALUE"""),"HERONIMUS NAMU WALI")</f>
        <v>HERONIMUS NAMU WALI</v>
      </c>
      <c r="C1129" s="38" t="str">
        <f>IFERROR(__xludf.DUMMYFUNCTION("""COMPUTED_VALUE"""),"ACC")</f>
        <v>ACC</v>
      </c>
      <c r="D1129" s="38" t="str">
        <f>IFERROR(__xludf.DUMMYFUNCTION("""COMPUTED_VALUE"""),"Y400 series")</f>
        <v>Y400 series</v>
      </c>
      <c r="E1129" s="38" t="s">
        <v>11452</v>
      </c>
      <c r="F1129" s="38" t="s">
        <v>205</v>
      </c>
      <c r="G1129" s="38" t="s">
        <v>11453</v>
      </c>
      <c r="H1129" s="38" t="s">
        <v>11419</v>
      </c>
    </row>
    <row r="1130">
      <c r="A1130" s="37">
        <f>IFERROR(__xludf.DUMMYFUNCTION("""COMPUTED_VALUE"""),45931.8462212963)</f>
        <v>45931.84622</v>
      </c>
      <c r="B1130" s="38" t="str">
        <f>IFERROR(__xludf.DUMMYFUNCTION("""COMPUTED_VALUE"""),"ASRI NINGSI RAMBU ATA ENDI")</f>
        <v>ASRI NINGSI RAMBU ATA ENDI</v>
      </c>
      <c r="C1130" s="38" t="str">
        <f>IFERROR(__xludf.DUMMYFUNCTION("""COMPUTED_VALUE"""),"Belum disetujui")</f>
        <v>Belum disetujui</v>
      </c>
      <c r="D1130" s="38"/>
      <c r="E1130" s="38" t="s">
        <v>11441</v>
      </c>
      <c r="F1130" s="38" t="s">
        <v>205</v>
      </c>
      <c r="G1130" s="38" t="s">
        <v>11442</v>
      </c>
      <c r="H1130" s="38" t="s">
        <v>11419</v>
      </c>
    </row>
    <row r="1131">
      <c r="A1131" s="37">
        <f>IFERROR(__xludf.DUMMYFUNCTION("""COMPUTED_VALUE"""),45931.84689732639)</f>
        <v>45931.8469</v>
      </c>
      <c r="B1131" s="38" t="str">
        <f>IFERROR(__xludf.DUMMYFUNCTION("""COMPUTED_VALUE"""),"MARNITHA JUWIKE TIMORATI RUNESI")</f>
        <v>MARNITHA JUWIKE TIMORATI RUNESI</v>
      </c>
      <c r="C1131" s="38" t="str">
        <f>IFERROR(__xludf.DUMMYFUNCTION("""COMPUTED_VALUE"""),"Belum disetujui")</f>
        <v>Belum disetujui</v>
      </c>
      <c r="D1131" s="38"/>
      <c r="E1131" s="38" t="s">
        <v>11420</v>
      </c>
      <c r="F1131" s="38" t="s">
        <v>204</v>
      </c>
      <c r="G1131" s="38" t="s">
        <v>11421</v>
      </c>
      <c r="H1131" s="38" t="s">
        <v>11399</v>
      </c>
    </row>
    <row r="1132">
      <c r="A1132" s="37">
        <f>IFERROR(__xludf.DUMMYFUNCTION("""COMPUTED_VALUE"""),45931.84690142361)</f>
        <v>45931.8469</v>
      </c>
      <c r="B1132" s="38" t="str">
        <f>IFERROR(__xludf.DUMMYFUNCTION("""COMPUTED_VALUE"""),"WARDIA")</f>
        <v>WARDIA</v>
      </c>
      <c r="C1132" s="38" t="str">
        <f>IFERROR(__xludf.DUMMYFUNCTION("""COMPUTED_VALUE"""),"Belum disetujui")</f>
        <v>Belum disetujui</v>
      </c>
      <c r="D1132" s="38"/>
      <c r="E1132" s="38" t="s">
        <v>11409</v>
      </c>
      <c r="F1132" s="38" t="s">
        <v>204</v>
      </c>
      <c r="G1132" s="38" t="s">
        <v>11410</v>
      </c>
      <c r="H1132" s="38" t="s">
        <v>11399</v>
      </c>
    </row>
    <row r="1133">
      <c r="A1133" s="37">
        <f>IFERROR(__xludf.DUMMYFUNCTION("""COMPUTED_VALUE"""),45931.84842478009)</f>
        <v>45931.84842</v>
      </c>
      <c r="B1133" s="38" t="str">
        <f>IFERROR(__xludf.DUMMYFUNCTION("""COMPUTED_VALUE"""),"WARDIA")</f>
        <v>WARDIA</v>
      </c>
      <c r="C1133" s="38" t="str">
        <f>IFERROR(__xludf.DUMMYFUNCTION("""COMPUTED_VALUE"""),"Belum disetujui")</f>
        <v>Belum disetujui</v>
      </c>
      <c r="D1133" s="38"/>
      <c r="E1133" s="38" t="s">
        <v>11409</v>
      </c>
      <c r="F1133" s="38" t="s">
        <v>204</v>
      </c>
      <c r="G1133" s="38" t="s">
        <v>11410</v>
      </c>
      <c r="H1133" s="38" t="s">
        <v>11399</v>
      </c>
    </row>
    <row r="1134">
      <c r="A1134" s="37">
        <f>IFERROR(__xludf.DUMMYFUNCTION("""COMPUTED_VALUE"""),45931.84954105324)</f>
        <v>45931.84954</v>
      </c>
      <c r="B1134" s="38" t="str">
        <f>IFERROR(__xludf.DUMMYFUNCTION("""COMPUTED_VALUE"""),"MEXY ALEXANDER HETMINA")</f>
        <v>MEXY ALEXANDER HETMINA</v>
      </c>
      <c r="C1134" s="38" t="str">
        <f>IFERROR(__xludf.DUMMYFUNCTION("""COMPUTED_VALUE"""),"Belum disetujui")</f>
        <v>Belum disetujui</v>
      </c>
      <c r="D1134" s="38"/>
      <c r="E1134" s="38" t="s">
        <v>11413</v>
      </c>
      <c r="F1134" s="38" t="s">
        <v>204</v>
      </c>
      <c r="G1134" s="38" t="s">
        <v>11414</v>
      </c>
      <c r="H1134" s="38" t="s">
        <v>11399</v>
      </c>
    </row>
    <row r="1135">
      <c r="A1135" s="37">
        <f>IFERROR(__xludf.DUMMYFUNCTION("""COMPUTED_VALUE"""),45931.85028416666)</f>
        <v>45931.85028</v>
      </c>
      <c r="B1135" s="38" t="str">
        <f>IFERROR(__xludf.DUMMYFUNCTION("""COMPUTED_VALUE"""),"WARDIA")</f>
        <v>WARDIA</v>
      </c>
      <c r="C1135" s="38" t="str">
        <f>IFERROR(__xludf.DUMMYFUNCTION("""COMPUTED_VALUE"""),"Belum disetujui")</f>
        <v>Belum disetujui</v>
      </c>
      <c r="D1135" s="38"/>
      <c r="E1135" s="38" t="s">
        <v>11409</v>
      </c>
      <c r="F1135" s="38" t="s">
        <v>204</v>
      </c>
      <c r="G1135" s="38" t="s">
        <v>11410</v>
      </c>
      <c r="H1135" s="38" t="s">
        <v>11399</v>
      </c>
    </row>
    <row r="1136">
      <c r="A1136" s="37">
        <f>IFERROR(__xludf.DUMMYFUNCTION("""COMPUTED_VALUE"""),45931.8516183449)</f>
        <v>45931.85162</v>
      </c>
      <c r="B1136" s="38" t="str">
        <f>IFERROR(__xludf.DUMMYFUNCTION("""COMPUTED_VALUE"""),"WARDIA")</f>
        <v>WARDIA</v>
      </c>
      <c r="C1136" s="38" t="str">
        <f>IFERROR(__xludf.DUMMYFUNCTION("""COMPUTED_VALUE"""),"Dapat limit tapi belum diproses")</f>
        <v>Dapat limit tapi belum diproses</v>
      </c>
      <c r="D1136" s="38" t="str">
        <f>IFERROR(__xludf.DUMMYFUNCTION("""COMPUTED_VALUE"""),"V50 Lite series")</f>
        <v>V50 Lite series</v>
      </c>
      <c r="E1136" s="38" t="s">
        <v>11409</v>
      </c>
      <c r="F1136" s="38" t="s">
        <v>204</v>
      </c>
      <c r="G1136" s="38" t="s">
        <v>11410</v>
      </c>
      <c r="H1136" s="38" t="s">
        <v>11399</v>
      </c>
    </row>
    <row r="1137">
      <c r="A1137" s="37">
        <f>IFERROR(__xludf.DUMMYFUNCTION("""COMPUTED_VALUE"""),45931.85447924768)</f>
        <v>45931.85448</v>
      </c>
      <c r="B1137" s="38" t="str">
        <f>IFERROR(__xludf.DUMMYFUNCTION("""COMPUTED_VALUE"""),"EMPI FRANGKI LIEM")</f>
        <v>EMPI FRANGKI LIEM</v>
      </c>
      <c r="C1137" s="38" t="str">
        <f>IFERROR(__xludf.DUMMYFUNCTION("""COMPUTED_VALUE"""),"Belum disetujui")</f>
        <v>Belum disetujui</v>
      </c>
      <c r="D1137" s="38"/>
      <c r="E1137" s="38" t="s">
        <v>11397</v>
      </c>
      <c r="F1137" s="38" t="s">
        <v>220</v>
      </c>
      <c r="G1137" s="38" t="s">
        <v>11398</v>
      </c>
      <c r="H1137" s="38" t="s">
        <v>11399</v>
      </c>
    </row>
    <row r="1138">
      <c r="A1138" s="37">
        <f>IFERROR(__xludf.DUMMYFUNCTION("""COMPUTED_VALUE"""),45931.85611023148)</f>
        <v>45931.85611</v>
      </c>
      <c r="B1138" s="38" t="str">
        <f>IFERROR(__xludf.DUMMYFUNCTION("""COMPUTED_VALUE"""),"EMPI FRANGKI LIEM")</f>
        <v>EMPI FRANGKI LIEM</v>
      </c>
      <c r="C1138" s="38" t="str">
        <f>IFERROR(__xludf.DUMMYFUNCTION("""COMPUTED_VALUE"""),"Belum disetujui")</f>
        <v>Belum disetujui</v>
      </c>
      <c r="D1138" s="38"/>
      <c r="E1138" s="38" t="s">
        <v>11397</v>
      </c>
      <c r="F1138" s="38" t="s">
        <v>220</v>
      </c>
      <c r="G1138" s="38" t="s">
        <v>11398</v>
      </c>
      <c r="H1138" s="38" t="s">
        <v>11399</v>
      </c>
    </row>
    <row r="1139">
      <c r="A1139" s="37">
        <f>IFERROR(__xludf.DUMMYFUNCTION("""COMPUTED_VALUE"""),45932.40971151621)</f>
        <v>45932.40971</v>
      </c>
      <c r="B1139" s="38" t="str">
        <f>IFERROR(__xludf.DUMMYFUNCTION("""COMPUTED_VALUE"""),"ASTUTI BELA WAWO")</f>
        <v>ASTUTI BELA WAWO</v>
      </c>
      <c r="C1139" s="38" t="str">
        <f>IFERROR(__xludf.DUMMYFUNCTION("""COMPUTED_VALUE"""),"Belum disetujui")</f>
        <v>Belum disetujui</v>
      </c>
      <c r="D1139" s="38"/>
      <c r="E1139" s="38" t="s">
        <v>11427</v>
      </c>
      <c r="F1139" s="38" t="s">
        <v>257</v>
      </c>
      <c r="G1139" s="38" t="s">
        <v>11428</v>
      </c>
      <c r="H1139" s="38" t="s">
        <v>11419</v>
      </c>
    </row>
    <row r="1140">
      <c r="A1140" s="37">
        <f>IFERROR(__xludf.DUMMYFUNCTION("""COMPUTED_VALUE"""),45932.48997847222)</f>
        <v>45932.48998</v>
      </c>
      <c r="B1140" s="38" t="str">
        <f>IFERROR(__xludf.DUMMYFUNCTION("""COMPUTED_VALUE"""),"ESTER LUDJI")</f>
        <v>ESTER LUDJI</v>
      </c>
      <c r="C1140" s="38" t="str">
        <f>IFERROR(__xludf.DUMMYFUNCTION("""COMPUTED_VALUE"""),"Belum disetujui")</f>
        <v>Belum disetujui</v>
      </c>
      <c r="D1140" s="38"/>
      <c r="E1140" s="38" t="s">
        <v>11441</v>
      </c>
      <c r="F1140" s="38" t="s">
        <v>205</v>
      </c>
      <c r="G1140" s="38" t="s">
        <v>11442</v>
      </c>
      <c r="H1140" s="38" t="s">
        <v>11419</v>
      </c>
    </row>
    <row r="1141">
      <c r="A1141" s="37">
        <f>IFERROR(__xludf.DUMMYFUNCTION("""COMPUTED_VALUE"""),45932.49736233796)</f>
        <v>45932.49736</v>
      </c>
      <c r="B1141" s="38" t="str">
        <f>IFERROR(__xludf.DUMMYFUNCTION("""COMPUTED_VALUE"""),"MERDA PUTRI BUNGSU KENAT")</f>
        <v>MERDA PUTRI BUNGSU KENAT</v>
      </c>
      <c r="C1141" s="38" t="str">
        <f>IFERROR(__xludf.DUMMYFUNCTION("""COMPUTED_VALUE"""),"Dapat limit tapi belum diproses")</f>
        <v>Dapat limit tapi belum diproses</v>
      </c>
      <c r="D1141" s="38" t="str">
        <f>IFERROR(__xludf.DUMMYFUNCTION("""COMPUTED_VALUE"""),"Y400 series")</f>
        <v>Y400 series</v>
      </c>
      <c r="E1141" s="38" t="s">
        <v>11422</v>
      </c>
      <c r="F1141" s="38" t="s">
        <v>215</v>
      </c>
      <c r="G1141" s="38" t="s">
        <v>11423</v>
      </c>
      <c r="H1141" s="38" t="s">
        <v>11424</v>
      </c>
    </row>
    <row r="1142">
      <c r="A1142" s="37">
        <f>IFERROR(__xludf.DUMMYFUNCTION("""COMPUTED_VALUE"""),45932.509938993055)</f>
        <v>45932.50994</v>
      </c>
      <c r="B1142" s="38" t="str">
        <f>IFERROR(__xludf.DUMMYFUNCTION("""COMPUTED_VALUE"""),"IRENE NOVALIA KADJU")</f>
        <v>IRENE NOVALIA KADJU</v>
      </c>
      <c r="C1142" s="38" t="str">
        <f>IFERROR(__xludf.DUMMYFUNCTION("""COMPUTED_VALUE"""),"Belum disetujui")</f>
        <v>Belum disetujui</v>
      </c>
      <c r="D1142" s="38"/>
      <c r="E1142" s="38" t="s">
        <v>11445</v>
      </c>
      <c r="F1142" s="38" t="s">
        <v>204</v>
      </c>
      <c r="G1142" s="38" t="s">
        <v>11446</v>
      </c>
      <c r="H1142" s="38" t="s">
        <v>11399</v>
      </c>
    </row>
    <row r="1143">
      <c r="A1143" s="37">
        <f>IFERROR(__xludf.DUMMYFUNCTION("""COMPUTED_VALUE"""),45932.525307303236)</f>
        <v>45932.52531</v>
      </c>
      <c r="B1143" s="38" t="str">
        <f>IFERROR(__xludf.DUMMYFUNCTION("""COMPUTED_VALUE"""),"NOVLIANA BARBALINA MISA")</f>
        <v>NOVLIANA BARBALINA MISA</v>
      </c>
      <c r="C1143" s="38" t="str">
        <f>IFERROR(__xludf.DUMMYFUNCTION("""COMPUTED_VALUE"""),"ACC")</f>
        <v>ACC</v>
      </c>
      <c r="D1143" s="38" t="str">
        <f>IFERROR(__xludf.DUMMYFUNCTION("""COMPUTED_VALUE"""),"Y400 series")</f>
        <v>Y400 series</v>
      </c>
      <c r="E1143" s="38" t="s">
        <v>11454</v>
      </c>
      <c r="F1143" s="38" t="s">
        <v>205</v>
      </c>
      <c r="G1143" s="38" t="s">
        <v>11455</v>
      </c>
      <c r="H1143" s="38" t="s">
        <v>11419</v>
      </c>
    </row>
    <row r="1144">
      <c r="A1144" s="37">
        <f>IFERROR(__xludf.DUMMYFUNCTION("""COMPUTED_VALUE"""),45932.54140844908)</f>
        <v>45932.54141</v>
      </c>
      <c r="B1144" s="38" t="str">
        <f>IFERROR(__xludf.DUMMYFUNCTION("""COMPUTED_VALUE"""),"BERGITHA NIA OLIN")</f>
        <v>BERGITHA NIA OLIN</v>
      </c>
      <c r="C1144" s="38" t="str">
        <f>IFERROR(__xludf.DUMMYFUNCTION("""COMPUTED_VALUE"""),"Dapat limit tapi belum diproses")</f>
        <v>Dapat limit tapi belum diproses</v>
      </c>
      <c r="D1144" s="38" t="str">
        <f>IFERROR(__xludf.DUMMYFUNCTION("""COMPUTED_VALUE"""),"Y400 series")</f>
        <v>Y400 series</v>
      </c>
      <c r="E1144" s="38" t="s">
        <v>11431</v>
      </c>
      <c r="F1144" s="38" t="s">
        <v>313</v>
      </c>
      <c r="G1144" s="38" t="s">
        <v>11432</v>
      </c>
      <c r="H1144" s="38" t="s">
        <v>11424</v>
      </c>
    </row>
    <row r="1145">
      <c r="A1145" s="37">
        <f>IFERROR(__xludf.DUMMYFUNCTION("""COMPUTED_VALUE"""),45932.54449825231)</f>
        <v>45932.5445</v>
      </c>
      <c r="B1145" s="38" t="str">
        <f>IFERROR(__xludf.DUMMYFUNCTION("""COMPUTED_VALUE"""),"WARDIA")</f>
        <v>WARDIA</v>
      </c>
      <c r="C1145" s="38" t="str">
        <f>IFERROR(__xludf.DUMMYFUNCTION("""COMPUTED_VALUE"""),"Dapat limit tapi belum diproses")</f>
        <v>Dapat limit tapi belum diproses</v>
      </c>
      <c r="D1145" s="38" t="str">
        <f>IFERROR(__xludf.DUMMYFUNCTION("""COMPUTED_VALUE"""),"Y400 series")</f>
        <v>Y400 series</v>
      </c>
      <c r="E1145" s="38" t="s">
        <v>11409</v>
      </c>
      <c r="F1145" s="38" t="s">
        <v>204</v>
      </c>
      <c r="G1145" s="38" t="s">
        <v>11410</v>
      </c>
      <c r="H1145" s="38" t="s">
        <v>11399</v>
      </c>
    </row>
    <row r="1146">
      <c r="A1146" s="37">
        <f>IFERROR(__xludf.DUMMYFUNCTION("""COMPUTED_VALUE"""),45932.587382557875)</f>
        <v>45932.58738</v>
      </c>
      <c r="B1146" s="38" t="str">
        <f>IFERROR(__xludf.DUMMYFUNCTION("""COMPUTED_VALUE"""),"ASRI NINGSI RAMBU ATA ENDI")</f>
        <v>ASRI NINGSI RAMBU ATA ENDI</v>
      </c>
      <c r="C1146" s="38" t="str">
        <f>IFERROR(__xludf.DUMMYFUNCTION("""COMPUTED_VALUE"""),"Belum disetujui")</f>
        <v>Belum disetujui</v>
      </c>
      <c r="D1146" s="38"/>
      <c r="E1146" s="38" t="s">
        <v>11441</v>
      </c>
      <c r="F1146" s="38" t="s">
        <v>205</v>
      </c>
      <c r="G1146" s="38" t="s">
        <v>11442</v>
      </c>
      <c r="H1146" s="38" t="s">
        <v>11419</v>
      </c>
    </row>
    <row r="1147">
      <c r="A1147" s="37">
        <f>IFERROR(__xludf.DUMMYFUNCTION("""COMPUTED_VALUE"""),45932.60677038194)</f>
        <v>45932.60677</v>
      </c>
      <c r="B1147" s="38" t="str">
        <f>IFERROR(__xludf.DUMMYFUNCTION("""COMPUTED_VALUE"""),"SANTI MARIA LUKMINI NAHAK")</f>
        <v>SANTI MARIA LUKMINI NAHAK</v>
      </c>
      <c r="C1147" s="38" t="str">
        <f>IFERROR(__xludf.DUMMYFUNCTION("""COMPUTED_VALUE"""),"ACC")</f>
        <v>ACC</v>
      </c>
      <c r="D1147" s="38" t="str">
        <f>IFERROR(__xludf.DUMMYFUNCTION("""COMPUTED_VALUE"""),"Y400 series")</f>
        <v>Y400 series</v>
      </c>
      <c r="E1147" s="38" t="s">
        <v>11460</v>
      </c>
      <c r="F1147" s="38" t="s">
        <v>871</v>
      </c>
      <c r="G1147" s="38" t="s">
        <v>11461</v>
      </c>
      <c r="H1147" s="38" t="s">
        <v>11424</v>
      </c>
    </row>
    <row r="1148">
      <c r="A1148" s="37">
        <f>IFERROR(__xludf.DUMMYFUNCTION("""COMPUTED_VALUE"""),45932.65600449074)</f>
        <v>45932.656</v>
      </c>
      <c r="B1148" s="38" t="str">
        <f>IFERROR(__xludf.DUMMYFUNCTION("""COMPUTED_VALUE"""),"HERONIMUS NAMU WALI")</f>
        <v>HERONIMUS NAMU WALI</v>
      </c>
      <c r="C1148" s="38" t="str">
        <f>IFERROR(__xludf.DUMMYFUNCTION("""COMPUTED_VALUE"""),"Belum disetujui")</f>
        <v>Belum disetujui</v>
      </c>
      <c r="D1148" s="38"/>
      <c r="E1148" s="38" t="s">
        <v>11452</v>
      </c>
      <c r="F1148" s="38" t="s">
        <v>205</v>
      </c>
      <c r="G1148" s="38" t="s">
        <v>11453</v>
      </c>
      <c r="H1148" s="38" t="s">
        <v>11419</v>
      </c>
    </row>
    <row r="1149">
      <c r="A1149" s="37">
        <f>IFERROR(__xludf.DUMMYFUNCTION("""COMPUTED_VALUE"""),45932.71215894676)</f>
        <v>45932.71216</v>
      </c>
      <c r="B1149" s="38" t="str">
        <f>IFERROR(__xludf.DUMMYFUNCTION("""COMPUTED_VALUE"""),"NOVANTRY RUTHANIA NAFFIE")</f>
        <v>NOVANTRY RUTHANIA NAFFIE</v>
      </c>
      <c r="C1149" s="38" t="str">
        <f>IFERROR(__xludf.DUMMYFUNCTION("""COMPUTED_VALUE"""),"Belum disetujui")</f>
        <v>Belum disetujui</v>
      </c>
      <c r="D1149" s="38"/>
      <c r="E1149" s="38" t="s">
        <v>11397</v>
      </c>
      <c r="F1149" s="38" t="s">
        <v>220</v>
      </c>
      <c r="G1149" s="38" t="s">
        <v>11398</v>
      </c>
      <c r="H1149" s="38" t="s">
        <v>11399</v>
      </c>
    </row>
    <row r="1150">
      <c r="A1150" s="37">
        <f>IFERROR(__xludf.DUMMYFUNCTION("""COMPUTED_VALUE"""),45932.725200231485)</f>
        <v>45932.7252</v>
      </c>
      <c r="B1150" s="38" t="str">
        <f>IFERROR(__xludf.DUMMYFUNCTION("""COMPUTED_VALUE"""),"MARIA MELAN ANANCE BILI")</f>
        <v>MARIA MELAN ANANCE BILI</v>
      </c>
      <c r="C1150" s="38" t="str">
        <f>IFERROR(__xludf.DUMMYFUNCTION("""COMPUTED_VALUE"""),"Belum disetujui")</f>
        <v>Belum disetujui</v>
      </c>
      <c r="D1150" s="38"/>
      <c r="E1150" s="38" t="s">
        <v>11466</v>
      </c>
      <c r="F1150" s="38" t="s">
        <v>257</v>
      </c>
      <c r="G1150" s="38" t="s">
        <v>11467</v>
      </c>
      <c r="H1150" s="38" t="s">
        <v>11419</v>
      </c>
    </row>
    <row r="1151">
      <c r="A1151" s="37">
        <f>IFERROR(__xludf.DUMMYFUNCTION("""COMPUTED_VALUE"""),45932.7436150463)</f>
        <v>45932.74362</v>
      </c>
      <c r="B1151" s="38" t="str">
        <f>IFERROR(__xludf.DUMMYFUNCTION("""COMPUTED_VALUE"""),"TERSIANA KADJA PAU")</f>
        <v>TERSIANA KADJA PAU</v>
      </c>
      <c r="C1151" s="38" t="str">
        <f>IFERROR(__xludf.DUMMYFUNCTION("""COMPUTED_VALUE"""),"Belum disetujui")</f>
        <v>Belum disetujui</v>
      </c>
      <c r="D1151" s="38"/>
      <c r="E1151" s="38" t="s">
        <v>11411</v>
      </c>
      <c r="F1151" s="38" t="s">
        <v>220</v>
      </c>
      <c r="G1151" s="38" t="s">
        <v>11412</v>
      </c>
      <c r="H1151" s="38" t="s">
        <v>11399</v>
      </c>
    </row>
    <row r="1152">
      <c r="A1152" s="37">
        <f>IFERROR(__xludf.DUMMYFUNCTION("""COMPUTED_VALUE"""),45932.7509147338)</f>
        <v>45932.75091</v>
      </c>
      <c r="B1152" s="38" t="str">
        <f>IFERROR(__xludf.DUMMYFUNCTION("""COMPUTED_VALUE"""),"ALDIANA WELIA PANIE")</f>
        <v>ALDIANA WELIA PANIE</v>
      </c>
      <c r="C1152" s="38" t="str">
        <f>IFERROR(__xludf.DUMMYFUNCTION("""COMPUTED_VALUE"""),"Dapat limit tapi belum diproses")</f>
        <v>Dapat limit tapi belum diproses</v>
      </c>
      <c r="D1152" s="38" t="str">
        <f>IFERROR(__xludf.DUMMYFUNCTION("""COMPUTED_VALUE"""),"Y400 series")</f>
        <v>Y400 series</v>
      </c>
      <c r="E1152" s="38" t="s">
        <v>11422</v>
      </c>
      <c r="F1152" s="38" t="s">
        <v>215</v>
      </c>
      <c r="G1152" s="38" t="s">
        <v>11423</v>
      </c>
      <c r="H1152" s="38" t="s">
        <v>11424</v>
      </c>
    </row>
    <row r="1153">
      <c r="A1153" s="37">
        <f>IFERROR(__xludf.DUMMYFUNCTION("""COMPUTED_VALUE"""),45932.75101134259)</f>
        <v>45932.75101</v>
      </c>
      <c r="B1153" s="38" t="str">
        <f>IFERROR(__xludf.DUMMYFUNCTION("""COMPUTED_VALUE"""),"MARNITHA JUWIKE TIMORATI RUNESI")</f>
        <v>MARNITHA JUWIKE TIMORATI RUNESI</v>
      </c>
      <c r="C1153" s="38" t="str">
        <f>IFERROR(__xludf.DUMMYFUNCTION("""COMPUTED_VALUE"""),"Belum disetujui")</f>
        <v>Belum disetujui</v>
      </c>
      <c r="D1153" s="38"/>
      <c r="E1153" s="38" t="s">
        <v>11420</v>
      </c>
      <c r="F1153" s="38" t="s">
        <v>204</v>
      </c>
      <c r="G1153" s="38" t="s">
        <v>11421</v>
      </c>
      <c r="H1153" s="38" t="s">
        <v>11399</v>
      </c>
    </row>
    <row r="1154">
      <c r="A1154" s="37">
        <f>IFERROR(__xludf.DUMMYFUNCTION("""COMPUTED_VALUE"""),45932.7578645949)</f>
        <v>45932.75786</v>
      </c>
      <c r="B1154" s="38" t="str">
        <f>IFERROR(__xludf.DUMMYFUNCTION("""COMPUTED_VALUE"""),"MARNITHA JUWIKE TIMORATI RUNESI")</f>
        <v>MARNITHA JUWIKE TIMORATI RUNESI</v>
      </c>
      <c r="C1154" s="38" t="str">
        <f>IFERROR(__xludf.DUMMYFUNCTION("""COMPUTED_VALUE"""),"Belum disetujui")</f>
        <v>Belum disetujui</v>
      </c>
      <c r="D1154" s="38"/>
      <c r="E1154" s="38" t="s">
        <v>11420</v>
      </c>
      <c r="F1154" s="38" t="s">
        <v>204</v>
      </c>
      <c r="G1154" s="38" t="s">
        <v>11421</v>
      </c>
      <c r="H1154" s="38" t="s">
        <v>11399</v>
      </c>
    </row>
    <row r="1155">
      <c r="A1155" s="39">
        <f>IFERROR(__xludf.DUMMYFUNCTION("""COMPUTED_VALUE"""),45932.79693672454)</f>
        <v>45932.79694</v>
      </c>
      <c r="B1155" s="40" t="str">
        <f>IFERROR(__xludf.DUMMYFUNCTION("""COMPUTED_VALUE"""),"SULIS NURAINI INSYATUN")</f>
        <v>SULIS NURAINI INSYATUN</v>
      </c>
      <c r="C1155" s="40" t="str">
        <f>IFERROR(__xludf.DUMMYFUNCTION("""COMPUTED_VALUE"""),"Belum disetujui")</f>
        <v>Belum disetujui</v>
      </c>
      <c r="D1155" s="40"/>
      <c r="E1155" s="40" t="s">
        <v>11429</v>
      </c>
      <c r="F1155" s="40" t="s">
        <v>257</v>
      </c>
      <c r="G1155" s="40" t="s">
        <v>11430</v>
      </c>
      <c r="H1155" s="40" t="s">
        <v>11419</v>
      </c>
    </row>
    <row r="1156">
      <c r="A1156" s="39">
        <f>IFERROR(__xludf.DUMMYFUNCTION("""COMPUTED_VALUE"""),45932.7970144213)</f>
        <v>45932.79701</v>
      </c>
      <c r="B1156" s="40" t="str">
        <f>IFERROR(__xludf.DUMMYFUNCTION("""COMPUTED_VALUE"""),"PRETI SISILIA SILA")</f>
        <v>PRETI SISILIA SILA</v>
      </c>
      <c r="C1156" s="40" t="str">
        <f>IFERROR(__xludf.DUMMYFUNCTION("""COMPUTED_VALUE"""),"Belum disetujui")</f>
        <v>Belum disetujui</v>
      </c>
      <c r="D1156" s="40"/>
      <c r="E1156" s="40" t="s">
        <v>11456</v>
      </c>
      <c r="F1156" s="40" t="s">
        <v>667</v>
      </c>
      <c r="G1156" s="40" t="s">
        <v>11457</v>
      </c>
      <c r="H1156" s="40" t="s">
        <v>11424</v>
      </c>
    </row>
    <row r="1157">
      <c r="A1157" s="39">
        <f>IFERROR(__xludf.DUMMYFUNCTION("""COMPUTED_VALUE"""),45932.80990627314)</f>
        <v>45932.80991</v>
      </c>
      <c r="B1157" s="40" t="str">
        <f>IFERROR(__xludf.DUMMYFUNCTION("""COMPUTED_VALUE"""),"ASRI NINGSI RAMBU ATA ENDI")</f>
        <v>ASRI NINGSI RAMBU ATA ENDI</v>
      </c>
      <c r="C1157" s="40" t="str">
        <f>IFERROR(__xludf.DUMMYFUNCTION("""COMPUTED_VALUE"""),"Belum disetujui")</f>
        <v>Belum disetujui</v>
      </c>
      <c r="D1157" s="40"/>
      <c r="E1157" s="40" t="s">
        <v>11441</v>
      </c>
      <c r="F1157" s="40" t="s">
        <v>205</v>
      </c>
      <c r="G1157" s="40" t="s">
        <v>11442</v>
      </c>
      <c r="H1157" s="40" t="s">
        <v>11419</v>
      </c>
    </row>
    <row r="1158">
      <c r="A1158" s="39">
        <f>IFERROR(__xludf.DUMMYFUNCTION("""COMPUTED_VALUE"""),45932.814906064814)</f>
        <v>45932.81491</v>
      </c>
      <c r="B1158" s="40" t="str">
        <f>IFERROR(__xludf.DUMMYFUNCTION("""COMPUTED_VALUE"""),"KESIA NATALIA I. BENU")</f>
        <v>KESIA NATALIA I. BENU</v>
      </c>
      <c r="C1158" s="40" t="str">
        <f>IFERROR(__xludf.DUMMYFUNCTION("""COMPUTED_VALUE"""),"ACC")</f>
        <v>ACC</v>
      </c>
      <c r="D1158" s="40" t="str">
        <f>IFERROR(__xludf.DUMMYFUNCTION("""COMPUTED_VALUE"""),"Y400 series")</f>
        <v>Y400 series</v>
      </c>
      <c r="E1158" s="40" t="s">
        <v>11417</v>
      </c>
      <c r="F1158" s="40" t="s">
        <v>257</v>
      </c>
      <c r="G1158" s="40" t="s">
        <v>11418</v>
      </c>
      <c r="H1158" s="40" t="s">
        <v>11419</v>
      </c>
    </row>
    <row r="1159">
      <c r="A1159" s="39">
        <f>IFERROR(__xludf.DUMMYFUNCTION("""COMPUTED_VALUE"""),45932.81657065972)</f>
        <v>45932.81657</v>
      </c>
      <c r="B1159" s="40" t="str">
        <f>IFERROR(__xludf.DUMMYFUNCTION("""COMPUTED_VALUE"""),"NOVLIANA BARBALINA MISA")</f>
        <v>NOVLIANA BARBALINA MISA</v>
      </c>
      <c r="C1159" s="40" t="str">
        <f>IFERROR(__xludf.DUMMYFUNCTION("""COMPUTED_VALUE"""),"Belum disetujui")</f>
        <v>Belum disetujui</v>
      </c>
      <c r="D1159" s="40"/>
      <c r="E1159" s="40" t="s">
        <v>11454</v>
      </c>
      <c r="F1159" s="40" t="s">
        <v>205</v>
      </c>
      <c r="G1159" s="40" t="s">
        <v>11455</v>
      </c>
      <c r="H1159" s="40" t="s">
        <v>11419</v>
      </c>
    </row>
    <row r="1160">
      <c r="A1160" s="39">
        <f>IFERROR(__xludf.DUMMYFUNCTION("""COMPUTED_VALUE"""),45932.818729363426)</f>
        <v>45932.81873</v>
      </c>
      <c r="B1160" s="40" t="str">
        <f>IFERROR(__xludf.DUMMYFUNCTION("""COMPUTED_VALUE"""),"AMBU BAIQ JUMENAH")</f>
        <v>AMBU BAIQ JUMENAH</v>
      </c>
      <c r="C1160" s="40" t="str">
        <f>IFERROR(__xludf.DUMMYFUNCTION("""COMPUTED_VALUE"""),"Belum disetujui")</f>
        <v>Belum disetujui</v>
      </c>
      <c r="D1160" s="40"/>
      <c r="E1160" s="40" t="s">
        <v>11458</v>
      </c>
      <c r="F1160" s="40" t="s">
        <v>205</v>
      </c>
      <c r="G1160" s="40" t="s">
        <v>11459</v>
      </c>
      <c r="H1160" s="40" t="s">
        <v>11419</v>
      </c>
    </row>
    <row r="1161">
      <c r="A1161" s="39">
        <f>IFERROR(__xludf.DUMMYFUNCTION("""COMPUTED_VALUE"""),45933.55052488426)</f>
        <v>45933.55052</v>
      </c>
      <c r="B1161" s="40" t="str">
        <f>IFERROR(__xludf.DUMMYFUNCTION("""COMPUTED_VALUE"""),"ESTER LUDJI")</f>
        <v>ESTER LUDJI</v>
      </c>
      <c r="C1161" s="40" t="str">
        <f>IFERROR(__xludf.DUMMYFUNCTION("""COMPUTED_VALUE"""),"Belum disetujui")</f>
        <v>Belum disetujui</v>
      </c>
      <c r="D1161" s="40"/>
      <c r="E1161" s="40" t="s">
        <v>11441</v>
      </c>
      <c r="F1161" s="40" t="s">
        <v>205</v>
      </c>
      <c r="G1161" s="40" t="s">
        <v>11442</v>
      </c>
      <c r="H1161" s="40" t="s">
        <v>11419</v>
      </c>
    </row>
    <row r="1162">
      <c r="A1162" s="39">
        <f>IFERROR(__xludf.DUMMYFUNCTION("""COMPUTED_VALUE"""),45933.55447564815)</f>
        <v>45933.55448</v>
      </c>
      <c r="B1162" s="40" t="str">
        <f>IFERROR(__xludf.DUMMYFUNCTION("""COMPUTED_VALUE"""),"NUR FATIMAH MOLBANG")</f>
        <v>NUR FATIMAH MOLBANG</v>
      </c>
      <c r="C1162" s="40" t="str">
        <f>IFERROR(__xludf.DUMMYFUNCTION("""COMPUTED_VALUE"""),"Belum disetujui")</f>
        <v>Belum disetujui</v>
      </c>
      <c r="D1162" s="40"/>
      <c r="E1162" s="40" t="s">
        <v>11439</v>
      </c>
      <c r="F1162" s="40" t="s">
        <v>313</v>
      </c>
      <c r="G1162" s="40" t="s">
        <v>11440</v>
      </c>
      <c r="H1162" s="40" t="s">
        <v>11424</v>
      </c>
    </row>
    <row r="1163">
      <c r="A1163" s="39">
        <f>IFERROR(__xludf.DUMMYFUNCTION("""COMPUTED_VALUE"""),45933.581537280086)</f>
        <v>45933.58154</v>
      </c>
      <c r="B1163" s="40" t="str">
        <f>IFERROR(__xludf.DUMMYFUNCTION("""COMPUTED_VALUE"""),"KESIA NATALIA I. BENU")</f>
        <v>KESIA NATALIA I. BENU</v>
      </c>
      <c r="C1163" s="40" t="str">
        <f>IFERROR(__xludf.DUMMYFUNCTION("""COMPUTED_VALUE"""),"Belum disetujui")</f>
        <v>Belum disetujui</v>
      </c>
      <c r="D1163" s="40"/>
      <c r="E1163" s="40" t="s">
        <v>11417</v>
      </c>
      <c r="F1163" s="40" t="s">
        <v>257</v>
      </c>
      <c r="G1163" s="40" t="s">
        <v>11418</v>
      </c>
      <c r="H1163" s="40" t="s">
        <v>11419</v>
      </c>
    </row>
    <row r="1164">
      <c r="A1164" s="39">
        <f>IFERROR(__xludf.DUMMYFUNCTION("""COMPUTED_VALUE"""),45933.58771490741)</f>
        <v>45933.58771</v>
      </c>
      <c r="B1164" s="40" t="str">
        <f>IFERROR(__xludf.DUMMYFUNCTION("""COMPUTED_VALUE"""),"MERDA PUTRI BUNGSU KENAT")</f>
        <v>MERDA PUTRI BUNGSU KENAT</v>
      </c>
      <c r="C1164" s="40" t="str">
        <f>IFERROR(__xludf.DUMMYFUNCTION("""COMPUTED_VALUE"""),"Belum disetujui")</f>
        <v>Belum disetujui</v>
      </c>
      <c r="D1164" s="40"/>
      <c r="E1164" s="40" t="s">
        <v>11422</v>
      </c>
      <c r="F1164" s="40" t="s">
        <v>215</v>
      </c>
      <c r="G1164" s="40" t="s">
        <v>11423</v>
      </c>
      <c r="H1164" s="40" t="s">
        <v>11424</v>
      </c>
    </row>
    <row r="1165">
      <c r="A1165" s="39">
        <f>IFERROR(__xludf.DUMMYFUNCTION("""COMPUTED_VALUE"""),45933.60487484954)</f>
        <v>45933.60487</v>
      </c>
      <c r="B1165" s="40" t="str">
        <f>IFERROR(__xludf.DUMMYFUNCTION("""COMPUTED_VALUE"""),"WARDIA")</f>
        <v>WARDIA</v>
      </c>
      <c r="C1165" s="40" t="str">
        <f>IFERROR(__xludf.DUMMYFUNCTION("""COMPUTED_VALUE"""),"Dapat limit tapi belum diproses")</f>
        <v>Dapat limit tapi belum diproses</v>
      </c>
      <c r="D1165" s="40" t="str">
        <f>IFERROR(__xludf.DUMMYFUNCTION("""COMPUTED_VALUE"""),"Y400 series")</f>
        <v>Y400 series</v>
      </c>
      <c r="E1165" s="40" t="s">
        <v>11409</v>
      </c>
      <c r="F1165" s="40" t="s">
        <v>204</v>
      </c>
      <c r="G1165" s="40" t="s">
        <v>11410</v>
      </c>
      <c r="H1165" s="40" t="s">
        <v>11399</v>
      </c>
    </row>
    <row r="1166">
      <c r="A1166" s="39">
        <f>IFERROR(__xludf.DUMMYFUNCTION("""COMPUTED_VALUE"""),45933.62011635417)</f>
        <v>45933.62012</v>
      </c>
      <c r="B1166" s="40" t="str">
        <f>IFERROR(__xludf.DUMMYFUNCTION("""COMPUTED_VALUE"""),"AZ ZAHRA SITI ZAINAB")</f>
        <v>AZ ZAHRA SITI ZAINAB</v>
      </c>
      <c r="C1166" s="40" t="str">
        <f>IFERROR(__xludf.DUMMYFUNCTION("""COMPUTED_VALUE"""),"Belum disetujui")</f>
        <v>Belum disetujui</v>
      </c>
      <c r="D1166" s="40"/>
      <c r="E1166" s="40" t="s">
        <v>11462</v>
      </c>
      <c r="F1166" s="40" t="s">
        <v>257</v>
      </c>
      <c r="G1166" s="40" t="s">
        <v>11463</v>
      </c>
      <c r="H1166" s="40" t="s">
        <v>11419</v>
      </c>
    </row>
    <row r="1167">
      <c r="A1167" s="39">
        <f>IFERROR(__xludf.DUMMYFUNCTION("""COMPUTED_VALUE"""),45933.62879335649)</f>
        <v>45933.62879</v>
      </c>
      <c r="B1167" s="40" t="str">
        <f>IFERROR(__xludf.DUMMYFUNCTION("""COMPUTED_VALUE"""),"MARATHA MARLINDA FANGGIDAE")</f>
        <v>MARATHA MARLINDA FANGGIDAE</v>
      </c>
      <c r="C1167" s="40" t="str">
        <f>IFERROR(__xludf.DUMMYFUNCTION("""COMPUTED_VALUE"""),"ACC")</f>
        <v>ACC</v>
      </c>
      <c r="D1167" s="40" t="str">
        <f>IFERROR(__xludf.DUMMYFUNCTION("""COMPUTED_VALUE"""),"Y400 series")</f>
        <v>Y400 series</v>
      </c>
      <c r="E1167" s="40" t="s">
        <v>11435</v>
      </c>
      <c r="F1167" s="40" t="s">
        <v>215</v>
      </c>
      <c r="G1167" s="40" t="s">
        <v>11436</v>
      </c>
      <c r="H1167" s="40" t="s">
        <v>11424</v>
      </c>
    </row>
    <row r="1168">
      <c r="A1168" s="39">
        <f>IFERROR(__xludf.DUMMYFUNCTION("""COMPUTED_VALUE"""),45933.638153495376)</f>
        <v>45933.63815</v>
      </c>
      <c r="B1168" s="40" t="str">
        <f>IFERROR(__xludf.DUMMYFUNCTION("""COMPUTED_VALUE"""),"LASTRIANA PALUS")</f>
        <v>LASTRIANA PALUS</v>
      </c>
      <c r="C1168" s="40" t="str">
        <f>IFERROR(__xludf.DUMMYFUNCTION("""COMPUTED_VALUE"""),"Belum disetujui")</f>
        <v>Belum disetujui</v>
      </c>
      <c r="D1168" s="40"/>
      <c r="E1168" s="40" t="s">
        <v>11468</v>
      </c>
      <c r="F1168" s="40" t="s">
        <v>257</v>
      </c>
      <c r="G1168" s="40" t="s">
        <v>11469</v>
      </c>
      <c r="H1168" s="40" t="s">
        <v>11419</v>
      </c>
    </row>
    <row r="1169">
      <c r="A1169" s="39">
        <f>IFERROR(__xludf.DUMMYFUNCTION("""COMPUTED_VALUE"""),45933.640389699074)</f>
        <v>45933.64039</v>
      </c>
      <c r="B1169" s="40" t="str">
        <f>IFERROR(__xludf.DUMMYFUNCTION("""COMPUTED_VALUE"""),"LASTRIANA PALUS")</f>
        <v>LASTRIANA PALUS</v>
      </c>
      <c r="C1169" s="40" t="str">
        <f>IFERROR(__xludf.DUMMYFUNCTION("""COMPUTED_VALUE"""),"Belum disetujui")</f>
        <v>Belum disetujui</v>
      </c>
      <c r="D1169" s="40"/>
      <c r="E1169" s="40" t="s">
        <v>11468</v>
      </c>
      <c r="F1169" s="40" t="s">
        <v>257</v>
      </c>
      <c r="G1169" s="40" t="s">
        <v>11469</v>
      </c>
      <c r="H1169" s="40" t="s">
        <v>11419</v>
      </c>
    </row>
    <row r="1170">
      <c r="A1170" s="39">
        <f>IFERROR(__xludf.DUMMYFUNCTION("""COMPUTED_VALUE"""),45933.67166074074)</f>
        <v>45933.67166</v>
      </c>
      <c r="B1170" s="40" t="str">
        <f>IFERROR(__xludf.DUMMYFUNCTION("""COMPUTED_VALUE"""),"IDMAL YUSDIRAN YUSUF")</f>
        <v>IDMAL YUSDIRAN YUSUF</v>
      </c>
      <c r="C1170" s="40" t="str">
        <f>IFERROR(__xludf.DUMMYFUNCTION("""COMPUTED_VALUE"""),"Dapat limit tapi belum diproses")</f>
        <v>Dapat limit tapi belum diproses</v>
      </c>
      <c r="D1170" s="40" t="str">
        <f>IFERROR(__xludf.DUMMYFUNCTION("""COMPUTED_VALUE"""),"Y400 series")</f>
        <v>Y400 series</v>
      </c>
      <c r="E1170" s="40" t="s">
        <v>11417</v>
      </c>
      <c r="F1170" s="40" t="s">
        <v>257</v>
      </c>
      <c r="G1170" s="40" t="s">
        <v>11418</v>
      </c>
      <c r="H1170" s="40" t="s">
        <v>11419</v>
      </c>
    </row>
    <row r="1171">
      <c r="A1171" s="39">
        <f>IFERROR(__xludf.DUMMYFUNCTION("""COMPUTED_VALUE"""),45933.673369895834)</f>
        <v>45933.67337</v>
      </c>
      <c r="B1171" s="40" t="str">
        <f>IFERROR(__xludf.DUMMYFUNCTION("""COMPUTED_VALUE"""),"WARDIA")</f>
        <v>WARDIA</v>
      </c>
      <c r="C1171" s="40" t="str">
        <f>IFERROR(__xludf.DUMMYFUNCTION("""COMPUTED_VALUE"""),"Belum disetujui")</f>
        <v>Belum disetujui</v>
      </c>
      <c r="D1171" s="40"/>
      <c r="E1171" s="40" t="s">
        <v>11409</v>
      </c>
      <c r="F1171" s="40" t="s">
        <v>204</v>
      </c>
      <c r="G1171" s="40" t="s">
        <v>11410</v>
      </c>
      <c r="H1171" s="40" t="s">
        <v>11399</v>
      </c>
    </row>
    <row r="1172">
      <c r="A1172" s="39">
        <f>IFERROR(__xludf.DUMMYFUNCTION("""COMPUTED_VALUE"""),45933.67844644676)</f>
        <v>45933.67845</v>
      </c>
      <c r="B1172" s="40" t="str">
        <f>IFERROR(__xludf.DUMMYFUNCTION("""COMPUTED_VALUE"""),"NOVANTRY RUTHANIA NAFFIE")</f>
        <v>NOVANTRY RUTHANIA NAFFIE</v>
      </c>
      <c r="C1172" s="40" t="str">
        <f>IFERROR(__xludf.DUMMYFUNCTION("""COMPUTED_VALUE"""),"Belum disetujui")</f>
        <v>Belum disetujui</v>
      </c>
      <c r="D1172" s="40"/>
      <c r="E1172" s="40" t="s">
        <v>11397</v>
      </c>
      <c r="F1172" s="40" t="s">
        <v>220</v>
      </c>
      <c r="G1172" s="40" t="s">
        <v>11398</v>
      </c>
      <c r="H1172" s="40" t="s">
        <v>11399</v>
      </c>
    </row>
    <row r="1173">
      <c r="A1173" s="39">
        <f>IFERROR(__xludf.DUMMYFUNCTION("""COMPUTED_VALUE"""),45933.70598540509)</f>
        <v>45933.70599</v>
      </c>
      <c r="B1173" s="40" t="str">
        <f>IFERROR(__xludf.DUMMYFUNCTION("""COMPUTED_VALUE"""),"PRETI SISILIA SILA")</f>
        <v>PRETI SISILIA SILA</v>
      </c>
      <c r="C1173" s="40" t="str">
        <f>IFERROR(__xludf.DUMMYFUNCTION("""COMPUTED_VALUE"""),"Belum disetujui")</f>
        <v>Belum disetujui</v>
      </c>
      <c r="D1173" s="40"/>
      <c r="E1173" s="40" t="s">
        <v>11456</v>
      </c>
      <c r="F1173" s="40" t="s">
        <v>667</v>
      </c>
      <c r="G1173" s="40" t="s">
        <v>11457</v>
      </c>
      <c r="H1173" s="40" t="s">
        <v>11424</v>
      </c>
    </row>
    <row r="1174">
      <c r="A1174" s="39">
        <f>IFERROR(__xludf.DUMMYFUNCTION("""COMPUTED_VALUE"""),45933.72276401621)</f>
        <v>45933.72276</v>
      </c>
      <c r="B1174" s="40" t="str">
        <f>IFERROR(__xludf.DUMMYFUNCTION("""COMPUTED_VALUE"""),"NUR FATIMAH MOLBANG")</f>
        <v>NUR FATIMAH MOLBANG</v>
      </c>
      <c r="C1174" s="40" t="str">
        <f>IFERROR(__xludf.DUMMYFUNCTION("""COMPUTED_VALUE"""),"Belum disetujui")</f>
        <v>Belum disetujui</v>
      </c>
      <c r="D1174" s="40"/>
      <c r="E1174" s="40" t="s">
        <v>11439</v>
      </c>
      <c r="F1174" s="40" t="s">
        <v>313</v>
      </c>
      <c r="G1174" s="40" t="s">
        <v>11440</v>
      </c>
      <c r="H1174" s="40" t="s">
        <v>11424</v>
      </c>
    </row>
    <row r="1175">
      <c r="A1175" s="39">
        <f>IFERROR(__xludf.DUMMYFUNCTION("""COMPUTED_VALUE"""),45933.73836060185)</f>
        <v>45933.73836</v>
      </c>
      <c r="B1175" s="40" t="str">
        <f>IFERROR(__xludf.DUMMYFUNCTION("""COMPUTED_VALUE"""),"NUR FATIMAH MOLBANG")</f>
        <v>NUR FATIMAH MOLBANG</v>
      </c>
      <c r="C1175" s="40" t="str">
        <f>IFERROR(__xludf.DUMMYFUNCTION("""COMPUTED_VALUE"""),"Belum disetujui")</f>
        <v>Belum disetujui</v>
      </c>
      <c r="D1175" s="40"/>
      <c r="E1175" s="40" t="s">
        <v>11439</v>
      </c>
      <c r="F1175" s="40" t="s">
        <v>313</v>
      </c>
      <c r="G1175" s="40" t="s">
        <v>11440</v>
      </c>
      <c r="H1175" s="40" t="s">
        <v>11424</v>
      </c>
    </row>
    <row r="1176">
      <c r="A1176" s="39">
        <f>IFERROR(__xludf.DUMMYFUNCTION("""COMPUTED_VALUE"""),45933.759370960644)</f>
        <v>45933.75937</v>
      </c>
      <c r="B1176" s="40" t="str">
        <f>IFERROR(__xludf.DUMMYFUNCTION("""COMPUTED_VALUE"""),"WARDIA")</f>
        <v>WARDIA</v>
      </c>
      <c r="C1176" s="40" t="str">
        <f>IFERROR(__xludf.DUMMYFUNCTION("""COMPUTED_VALUE"""),"Belum disetujui")</f>
        <v>Belum disetujui</v>
      </c>
      <c r="D1176" s="40"/>
      <c r="E1176" s="40" t="s">
        <v>11409</v>
      </c>
      <c r="F1176" s="40" t="s">
        <v>204</v>
      </c>
      <c r="G1176" s="40" t="s">
        <v>11410</v>
      </c>
      <c r="H1176" s="40" t="s">
        <v>11399</v>
      </c>
    </row>
    <row r="1177">
      <c r="A1177" s="39">
        <f>IFERROR(__xludf.DUMMYFUNCTION("""COMPUTED_VALUE"""),45933.76695449074)</f>
        <v>45933.76695</v>
      </c>
      <c r="B1177" s="40" t="str">
        <f>IFERROR(__xludf.DUMMYFUNCTION("""COMPUTED_VALUE"""),"EMPI FRANGKI LIEM")</f>
        <v>EMPI FRANGKI LIEM</v>
      </c>
      <c r="C1177" s="40" t="str">
        <f>IFERROR(__xludf.DUMMYFUNCTION("""COMPUTED_VALUE"""),"ACC")</f>
        <v>ACC</v>
      </c>
      <c r="D1177" s="40" t="str">
        <f>IFERROR(__xludf.DUMMYFUNCTION("""COMPUTED_VALUE"""),"Y400 series")</f>
        <v>Y400 series</v>
      </c>
      <c r="E1177" s="40" t="s">
        <v>11397</v>
      </c>
      <c r="F1177" s="40" t="s">
        <v>220</v>
      </c>
      <c r="G1177" s="40" t="s">
        <v>11398</v>
      </c>
      <c r="H1177" s="40" t="s">
        <v>11399</v>
      </c>
    </row>
    <row r="1178">
      <c r="A1178" s="39">
        <f>IFERROR(__xludf.DUMMYFUNCTION("""COMPUTED_VALUE"""),45933.79412792824)</f>
        <v>45933.79413</v>
      </c>
      <c r="B1178" s="40" t="str">
        <f>IFERROR(__xludf.DUMMYFUNCTION("""COMPUTED_VALUE"""),"MARNITHA JUWIKE TIMORATI RUNESI")</f>
        <v>MARNITHA JUWIKE TIMORATI RUNESI</v>
      </c>
      <c r="C1178" s="40" t="str">
        <f>IFERROR(__xludf.DUMMYFUNCTION("""COMPUTED_VALUE"""),"Belum disetujui")</f>
        <v>Belum disetujui</v>
      </c>
      <c r="D1178" s="40"/>
      <c r="E1178" s="40" t="s">
        <v>11420</v>
      </c>
      <c r="F1178" s="40" t="s">
        <v>204</v>
      </c>
      <c r="G1178" s="40" t="s">
        <v>11421</v>
      </c>
      <c r="H1178" s="40" t="s">
        <v>11399</v>
      </c>
    </row>
    <row r="1179">
      <c r="A1179" s="39">
        <f>IFERROR(__xludf.DUMMYFUNCTION("""COMPUTED_VALUE"""),45933.79724849537)</f>
        <v>45933.79725</v>
      </c>
      <c r="B1179" s="40" t="str">
        <f>IFERROR(__xludf.DUMMYFUNCTION("""COMPUTED_VALUE"""),"YASINTHA MBU")</f>
        <v>YASINTHA MBU</v>
      </c>
      <c r="C1179" s="40" t="str">
        <f>IFERROR(__xludf.DUMMYFUNCTION("""COMPUTED_VALUE"""),"Belum disetujui")</f>
        <v>Belum disetujui</v>
      </c>
      <c r="D1179" s="40"/>
      <c r="E1179" s="40" t="s">
        <v>11407</v>
      </c>
      <c r="F1179" s="40" t="s">
        <v>220</v>
      </c>
      <c r="G1179" s="40" t="s">
        <v>11408</v>
      </c>
      <c r="H1179" s="40" t="s">
        <v>11399</v>
      </c>
    </row>
    <row r="1180">
      <c r="A1180" s="39">
        <f>IFERROR(__xludf.DUMMYFUNCTION("""COMPUTED_VALUE"""),45933.82424657408)</f>
        <v>45933.82425</v>
      </c>
      <c r="B1180" s="40" t="str">
        <f>IFERROR(__xludf.DUMMYFUNCTION("""COMPUTED_VALUE"""),"YOHANIS TIPNONI")</f>
        <v>YOHANIS TIPNONI</v>
      </c>
      <c r="C1180" s="40" t="str">
        <f>IFERROR(__xludf.DUMMYFUNCTION("""COMPUTED_VALUE"""),"Belum disetujui")</f>
        <v>Belum disetujui</v>
      </c>
      <c r="D1180" s="40"/>
      <c r="E1180" s="40" t="s">
        <v>11405</v>
      </c>
      <c r="F1180" s="40" t="s">
        <v>220</v>
      </c>
      <c r="G1180" s="40" t="s">
        <v>11406</v>
      </c>
      <c r="H1180" s="40" t="s">
        <v>11399</v>
      </c>
    </row>
    <row r="1181">
      <c r="A1181" s="39">
        <f>IFERROR(__xludf.DUMMYFUNCTION("""COMPUTED_VALUE"""),45933.83320542824)</f>
        <v>45933.83321</v>
      </c>
      <c r="B1181" s="40" t="str">
        <f>IFERROR(__xludf.DUMMYFUNCTION("""COMPUTED_VALUE"""),"NOVLIANA BARBALINA MISA")</f>
        <v>NOVLIANA BARBALINA MISA</v>
      </c>
      <c r="C1181" s="40" t="str">
        <f>IFERROR(__xludf.DUMMYFUNCTION("""COMPUTED_VALUE"""),"ACC")</f>
        <v>ACC</v>
      </c>
      <c r="D1181" s="40" t="str">
        <f>IFERROR(__xludf.DUMMYFUNCTION("""COMPUTED_VALUE"""),"Y400 series")</f>
        <v>Y400 series</v>
      </c>
      <c r="E1181" s="40" t="s">
        <v>11454</v>
      </c>
      <c r="F1181" s="40" t="s">
        <v>205</v>
      </c>
      <c r="G1181" s="40" t="s">
        <v>11455</v>
      </c>
      <c r="H1181" s="40" t="s">
        <v>11419</v>
      </c>
    </row>
    <row r="1182">
      <c r="A1182" s="39">
        <f>IFERROR(__xludf.DUMMYFUNCTION("""COMPUTED_VALUE"""),45933.850569270835)</f>
        <v>45933.85057</v>
      </c>
      <c r="B1182" s="40" t="str">
        <f>IFERROR(__xludf.DUMMYFUNCTION("""COMPUTED_VALUE"""),"YOHANIS TIPNONI")</f>
        <v>YOHANIS TIPNONI</v>
      </c>
      <c r="C1182" s="40" t="str">
        <f>IFERROR(__xludf.DUMMYFUNCTION("""COMPUTED_VALUE"""),"Dapat limit tapi belum diproses")</f>
        <v>Dapat limit tapi belum diproses</v>
      </c>
      <c r="D1182" s="40" t="str">
        <f>IFERROR(__xludf.DUMMYFUNCTION("""COMPUTED_VALUE"""),"Y400 series")</f>
        <v>Y400 series</v>
      </c>
      <c r="E1182" s="40" t="s">
        <v>11405</v>
      </c>
      <c r="F1182" s="40" t="s">
        <v>220</v>
      </c>
      <c r="G1182" s="40" t="s">
        <v>11406</v>
      </c>
      <c r="H1182" s="40" t="s">
        <v>11399</v>
      </c>
    </row>
    <row r="1183">
      <c r="A1183" s="39">
        <f>IFERROR(__xludf.DUMMYFUNCTION("""COMPUTED_VALUE"""),45933.85383097222)</f>
        <v>45933.85383</v>
      </c>
      <c r="B1183" s="40" t="str">
        <f>IFERROR(__xludf.DUMMYFUNCTION("""COMPUTED_VALUE"""),"NOVANTRY RUTHANIA NAFFIE")</f>
        <v>NOVANTRY RUTHANIA NAFFIE</v>
      </c>
      <c r="C1183" s="40" t="str">
        <f>IFERROR(__xludf.DUMMYFUNCTION("""COMPUTED_VALUE"""),"Belum disetujui")</f>
        <v>Belum disetujui</v>
      </c>
      <c r="D1183" s="40"/>
      <c r="E1183" s="40" t="s">
        <v>11397</v>
      </c>
      <c r="F1183" s="40" t="s">
        <v>220</v>
      </c>
      <c r="G1183" s="40" t="s">
        <v>11398</v>
      </c>
      <c r="H1183" s="40" t="s">
        <v>11399</v>
      </c>
    </row>
    <row r="1184">
      <c r="A1184" s="39">
        <f>IFERROR(__xludf.DUMMYFUNCTION("""COMPUTED_VALUE"""),45933.86393658565)</f>
        <v>45933.86394</v>
      </c>
      <c r="B1184" s="40" t="str">
        <f>IFERROR(__xludf.DUMMYFUNCTION("""COMPUTED_VALUE"""),"ANITA ANA AMAH")</f>
        <v>ANITA ANA AMAH</v>
      </c>
      <c r="C1184" s="40" t="str">
        <f>IFERROR(__xludf.DUMMYFUNCTION("""COMPUTED_VALUE"""),"Belum disetujui")</f>
        <v>Belum disetujui</v>
      </c>
      <c r="D1184" s="40"/>
      <c r="E1184" s="40" t="s">
        <v>11425</v>
      </c>
      <c r="F1184" s="40" t="s">
        <v>205</v>
      </c>
      <c r="G1184" s="40" t="s">
        <v>11426</v>
      </c>
      <c r="H1184" s="40" t="s">
        <v>11419</v>
      </c>
    </row>
    <row r="1185">
      <c r="A1185" s="39">
        <f>IFERROR(__xludf.DUMMYFUNCTION("""COMPUTED_VALUE"""),45934.40781056713)</f>
        <v>45934.40781</v>
      </c>
      <c r="B1185" s="40" t="str">
        <f>IFERROR(__xludf.DUMMYFUNCTION("""COMPUTED_VALUE"""),"LASTRIANA PALUS")</f>
        <v>LASTRIANA PALUS</v>
      </c>
      <c r="C1185" s="40" t="str">
        <f>IFERROR(__xludf.DUMMYFUNCTION("""COMPUTED_VALUE"""),"Belum disetujui")</f>
        <v>Belum disetujui</v>
      </c>
      <c r="D1185" s="40"/>
      <c r="E1185" s="40" t="s">
        <v>11468</v>
      </c>
      <c r="F1185" s="40" t="s">
        <v>257</v>
      </c>
      <c r="G1185" s="40" t="s">
        <v>11469</v>
      </c>
      <c r="H1185" s="40" t="s">
        <v>11419</v>
      </c>
    </row>
    <row r="1186">
      <c r="A1186" s="39">
        <f>IFERROR(__xludf.DUMMYFUNCTION("""COMPUTED_VALUE"""),45934.41029356481)</f>
        <v>45934.41029</v>
      </c>
      <c r="B1186" s="40" t="str">
        <f>IFERROR(__xludf.DUMMYFUNCTION("""COMPUTED_VALUE"""),"LASTRIANA PALUS")</f>
        <v>LASTRIANA PALUS</v>
      </c>
      <c r="C1186" s="40" t="str">
        <f>IFERROR(__xludf.DUMMYFUNCTION("""COMPUTED_VALUE"""),"Belum disetujui")</f>
        <v>Belum disetujui</v>
      </c>
      <c r="D1186" s="40"/>
      <c r="E1186" s="40" t="s">
        <v>11468</v>
      </c>
      <c r="F1186" s="40" t="s">
        <v>257</v>
      </c>
      <c r="G1186" s="40" t="s">
        <v>11469</v>
      </c>
      <c r="H1186" s="40" t="s">
        <v>11419</v>
      </c>
    </row>
    <row r="1187">
      <c r="A1187" s="39">
        <f>IFERROR(__xludf.DUMMYFUNCTION("""COMPUTED_VALUE"""),45934.433102581024)</f>
        <v>45934.4331</v>
      </c>
      <c r="B1187" s="40" t="str">
        <f>IFERROR(__xludf.DUMMYFUNCTION("""COMPUTED_VALUE"""),"AZ ZAHRA SITI ZAINAB")</f>
        <v>AZ ZAHRA SITI ZAINAB</v>
      </c>
      <c r="C1187" s="40" t="str">
        <f>IFERROR(__xludf.DUMMYFUNCTION("""COMPUTED_VALUE"""),"Belum disetujui")</f>
        <v>Belum disetujui</v>
      </c>
      <c r="D1187" s="40"/>
      <c r="E1187" s="40" t="s">
        <v>11462</v>
      </c>
      <c r="F1187" s="40" t="s">
        <v>257</v>
      </c>
      <c r="G1187" s="40" t="s">
        <v>11463</v>
      </c>
      <c r="H1187" s="40" t="s">
        <v>11419</v>
      </c>
    </row>
    <row r="1188">
      <c r="A1188" s="39">
        <f>IFERROR(__xludf.DUMMYFUNCTION("""COMPUTED_VALUE"""),45934.45340792824)</f>
        <v>45934.45341</v>
      </c>
      <c r="B1188" s="40" t="str">
        <f>IFERROR(__xludf.DUMMYFUNCTION("""COMPUTED_VALUE"""),"MERDA PUTRI BUNGSU KENAT")</f>
        <v>MERDA PUTRI BUNGSU KENAT</v>
      </c>
      <c r="C1188" s="40" t="str">
        <f>IFERROR(__xludf.DUMMYFUNCTION("""COMPUTED_VALUE"""),"Dapat limit tapi belum diproses")</f>
        <v>Dapat limit tapi belum diproses</v>
      </c>
      <c r="D1188" s="40" t="str">
        <f>IFERROR(__xludf.DUMMYFUNCTION("""COMPUTED_VALUE"""),"Y400 series")</f>
        <v>Y400 series</v>
      </c>
      <c r="E1188" s="40" t="s">
        <v>11422</v>
      </c>
      <c r="F1188" s="40" t="s">
        <v>215</v>
      </c>
      <c r="G1188" s="40" t="s">
        <v>11423</v>
      </c>
      <c r="H1188" s="40" t="s">
        <v>11424</v>
      </c>
    </row>
    <row r="1189">
      <c r="A1189" s="39">
        <f>IFERROR(__xludf.DUMMYFUNCTION("""COMPUTED_VALUE"""),45934.46439511574)</f>
        <v>45934.4644</v>
      </c>
      <c r="B1189" s="40" t="str">
        <f>IFERROR(__xludf.DUMMYFUNCTION("""COMPUTED_VALUE"""),"YOVANDA KATRINA NAE")</f>
        <v>YOVANDA KATRINA NAE</v>
      </c>
      <c r="C1189" s="40" t="str">
        <f>IFERROR(__xludf.DUMMYFUNCTION("""COMPUTED_VALUE"""),"Belum disetujui")</f>
        <v>Belum disetujui</v>
      </c>
      <c r="D1189" s="40"/>
      <c r="E1189" s="40" t="s">
        <v>11425</v>
      </c>
      <c r="F1189" s="40" t="s">
        <v>205</v>
      </c>
      <c r="G1189" s="40" t="s">
        <v>11426</v>
      </c>
      <c r="H1189" s="40" t="s">
        <v>11419</v>
      </c>
    </row>
    <row r="1190">
      <c r="A1190" s="39">
        <f>IFERROR(__xludf.DUMMYFUNCTION("""COMPUTED_VALUE"""),45934.47927028935)</f>
        <v>45934.47927</v>
      </c>
      <c r="B1190" s="40" t="str">
        <f>IFERROR(__xludf.DUMMYFUNCTION("""COMPUTED_VALUE"""),"AINI RAHMATINI NATALIA MOESTAKIM")</f>
        <v>AINI RAHMATINI NATALIA MOESTAKIM</v>
      </c>
      <c r="C1190" s="40" t="str">
        <f>IFERROR(__xludf.DUMMYFUNCTION("""COMPUTED_VALUE"""),"Belum disetujui")</f>
        <v>Belum disetujui</v>
      </c>
      <c r="D1190" s="40"/>
      <c r="E1190" s="40" t="s">
        <v>11409</v>
      </c>
      <c r="F1190" s="40" t="s">
        <v>204</v>
      </c>
      <c r="G1190" s="40" t="s">
        <v>11410</v>
      </c>
      <c r="H1190" s="40" t="s">
        <v>11399</v>
      </c>
    </row>
    <row r="1191">
      <c r="A1191" s="39">
        <f>IFERROR(__xludf.DUMMYFUNCTION("""COMPUTED_VALUE"""),45934.49495407407)</f>
        <v>45934.49495</v>
      </c>
      <c r="B1191" s="40" t="str">
        <f>IFERROR(__xludf.DUMMYFUNCTION("""COMPUTED_VALUE"""),"MARNITHA JUWIKE TIMORATI RUNESI")</f>
        <v>MARNITHA JUWIKE TIMORATI RUNESI</v>
      </c>
      <c r="C1191" s="40" t="str">
        <f>IFERROR(__xludf.DUMMYFUNCTION("""COMPUTED_VALUE"""),"Dapat limit tapi belum diproses")</f>
        <v>Dapat limit tapi belum diproses</v>
      </c>
      <c r="D1191" s="40" t="str">
        <f>IFERROR(__xludf.DUMMYFUNCTION("""COMPUTED_VALUE"""),"Y400 series")</f>
        <v>Y400 series</v>
      </c>
      <c r="E1191" s="40" t="s">
        <v>11420</v>
      </c>
      <c r="F1191" s="40" t="s">
        <v>204</v>
      </c>
      <c r="G1191" s="40" t="s">
        <v>11421</v>
      </c>
      <c r="H1191" s="40" t="s">
        <v>11399</v>
      </c>
    </row>
    <row r="1192">
      <c r="A1192" s="39">
        <f>IFERROR(__xludf.DUMMYFUNCTION("""COMPUTED_VALUE"""),45934.496708101855)</f>
        <v>45934.49671</v>
      </c>
      <c r="B1192" s="40" t="str">
        <f>IFERROR(__xludf.DUMMYFUNCTION("""COMPUTED_VALUE"""),"DEMARISTI S H FENI")</f>
        <v>DEMARISTI S H FENI</v>
      </c>
      <c r="C1192" s="40" t="str">
        <f>IFERROR(__xludf.DUMMYFUNCTION("""COMPUTED_VALUE"""),"Belum disetujui")</f>
        <v>Belum disetujui</v>
      </c>
      <c r="D1192" s="40"/>
      <c r="E1192" s="40" t="s">
        <v>11404</v>
      </c>
      <c r="F1192" s="40" t="s">
        <v>11404</v>
      </c>
      <c r="G1192" s="40" t="s">
        <v>11404</v>
      </c>
      <c r="H1192" s="40" t="s">
        <v>11404</v>
      </c>
    </row>
    <row r="1193">
      <c r="A1193" s="39">
        <f>IFERROR(__xludf.DUMMYFUNCTION("""COMPUTED_VALUE"""),45934.50701853009)</f>
        <v>45934.50702</v>
      </c>
      <c r="B1193" s="40" t="str">
        <f>IFERROR(__xludf.DUMMYFUNCTION("""COMPUTED_VALUE"""),"EMPI FRANGKI LIEM")</f>
        <v>EMPI FRANGKI LIEM</v>
      </c>
      <c r="C1193" s="40" t="str">
        <f>IFERROR(__xludf.DUMMYFUNCTION("""COMPUTED_VALUE"""),"Dapat limit tapi belum diproses")</f>
        <v>Dapat limit tapi belum diproses</v>
      </c>
      <c r="D1193" s="40" t="str">
        <f>IFERROR(__xludf.DUMMYFUNCTION("""COMPUTED_VALUE"""),"Y400 series")</f>
        <v>Y400 series</v>
      </c>
      <c r="E1193" s="40" t="s">
        <v>11397</v>
      </c>
      <c r="F1193" s="40" t="s">
        <v>220</v>
      </c>
      <c r="G1193" s="40" t="s">
        <v>11398</v>
      </c>
      <c r="H1193" s="40" t="s">
        <v>11399</v>
      </c>
    </row>
    <row r="1194">
      <c r="A1194" s="39">
        <f>IFERROR(__xludf.DUMMYFUNCTION("""COMPUTED_VALUE"""),45934.52782177084)</f>
        <v>45934.52782</v>
      </c>
      <c r="B1194" s="40" t="str">
        <f>IFERROR(__xludf.DUMMYFUNCTION("""COMPUTED_VALUE"""),"ANITA ANA AMAH")</f>
        <v>ANITA ANA AMAH</v>
      </c>
      <c r="C1194" s="40" t="str">
        <f>IFERROR(__xludf.DUMMYFUNCTION("""COMPUTED_VALUE"""),"Belum disetujui")</f>
        <v>Belum disetujui</v>
      </c>
      <c r="D1194" s="40"/>
      <c r="E1194" s="40" t="s">
        <v>11425</v>
      </c>
      <c r="F1194" s="40" t="s">
        <v>205</v>
      </c>
      <c r="G1194" s="40" t="s">
        <v>11426</v>
      </c>
      <c r="H1194" s="40" t="s">
        <v>11419</v>
      </c>
    </row>
    <row r="1195">
      <c r="A1195" s="39">
        <f>IFERROR(__xludf.DUMMYFUNCTION("""COMPUTED_VALUE"""),45934.53904359953)</f>
        <v>45934.53904</v>
      </c>
      <c r="B1195" s="40" t="str">
        <f>IFERROR(__xludf.DUMMYFUNCTION("""COMPUTED_VALUE"""),"TERSIANA KADJA PAU")</f>
        <v>TERSIANA KADJA PAU</v>
      </c>
      <c r="C1195" s="40" t="str">
        <f>IFERROR(__xludf.DUMMYFUNCTION("""COMPUTED_VALUE"""),"Belum disetujui")</f>
        <v>Belum disetujui</v>
      </c>
      <c r="D1195" s="40"/>
      <c r="E1195" s="40" t="s">
        <v>11411</v>
      </c>
      <c r="F1195" s="40" t="s">
        <v>220</v>
      </c>
      <c r="G1195" s="40" t="s">
        <v>11412</v>
      </c>
      <c r="H1195" s="40" t="s">
        <v>11399</v>
      </c>
    </row>
    <row r="1196">
      <c r="A1196" s="39">
        <f>IFERROR(__xludf.DUMMYFUNCTION("""COMPUTED_VALUE"""),45934.54130856482)</f>
        <v>45934.54131</v>
      </c>
      <c r="B1196" s="40" t="str">
        <f>IFERROR(__xludf.DUMMYFUNCTION("""COMPUTED_VALUE"""),"ANITA ANA AMAH")</f>
        <v>ANITA ANA AMAH</v>
      </c>
      <c r="C1196" s="40" t="str">
        <f>IFERROR(__xludf.DUMMYFUNCTION("""COMPUTED_VALUE"""),"ACC")</f>
        <v>ACC</v>
      </c>
      <c r="D1196" s="40" t="str">
        <f>IFERROR(__xludf.DUMMYFUNCTION("""COMPUTED_VALUE"""),"Y400 series")</f>
        <v>Y400 series</v>
      </c>
      <c r="E1196" s="40" t="s">
        <v>11425</v>
      </c>
      <c r="F1196" s="40" t="s">
        <v>205</v>
      </c>
      <c r="G1196" s="40" t="s">
        <v>11426</v>
      </c>
      <c r="H1196" s="40" t="s">
        <v>11419</v>
      </c>
    </row>
    <row r="1197">
      <c r="A1197" s="39">
        <f>IFERROR(__xludf.DUMMYFUNCTION("""COMPUTED_VALUE"""),45934.558652141204)</f>
        <v>45934.55865</v>
      </c>
      <c r="B1197" s="40" t="str">
        <f>IFERROR(__xludf.DUMMYFUNCTION("""COMPUTED_VALUE"""),"MARIA MELAN ANANCE BILI")</f>
        <v>MARIA MELAN ANANCE BILI</v>
      </c>
      <c r="C1197" s="40" t="str">
        <f>IFERROR(__xludf.DUMMYFUNCTION("""COMPUTED_VALUE"""),"ACC")</f>
        <v>ACC</v>
      </c>
      <c r="D1197" s="40" t="str">
        <f>IFERROR(__xludf.DUMMYFUNCTION("""COMPUTED_VALUE"""),"V60 series")</f>
        <v>V60 series</v>
      </c>
      <c r="E1197" s="40" t="s">
        <v>11466</v>
      </c>
      <c r="F1197" s="40" t="s">
        <v>257</v>
      </c>
      <c r="G1197" s="40" t="s">
        <v>11467</v>
      </c>
      <c r="H1197" s="40" t="s">
        <v>11419</v>
      </c>
    </row>
    <row r="1198">
      <c r="A1198" s="39">
        <f>IFERROR(__xludf.DUMMYFUNCTION("""COMPUTED_VALUE"""),45934.58663729167)</f>
        <v>45934.58664</v>
      </c>
      <c r="B1198" s="40" t="str">
        <f>IFERROR(__xludf.DUMMYFUNCTION("""COMPUTED_VALUE"""),"ASRI NINGSI RAMBU ATA ENDI")</f>
        <v>ASRI NINGSI RAMBU ATA ENDI</v>
      </c>
      <c r="C1198" s="40" t="str">
        <f>IFERROR(__xludf.DUMMYFUNCTION("""COMPUTED_VALUE"""),"Dapat limit tapi belum diproses")</f>
        <v>Dapat limit tapi belum diproses</v>
      </c>
      <c r="D1198" s="40" t="str">
        <f>IFERROR(__xludf.DUMMYFUNCTION("""COMPUTED_VALUE"""),"Y400 series")</f>
        <v>Y400 series</v>
      </c>
      <c r="E1198" s="40" t="s">
        <v>11441</v>
      </c>
      <c r="F1198" s="40" t="s">
        <v>205</v>
      </c>
      <c r="G1198" s="40" t="s">
        <v>11442</v>
      </c>
      <c r="H1198" s="40" t="s">
        <v>11419</v>
      </c>
    </row>
    <row r="1199">
      <c r="A1199" s="39">
        <f>IFERROR(__xludf.DUMMYFUNCTION("""COMPUTED_VALUE"""),45934.59326583333)</f>
        <v>45934.59327</v>
      </c>
      <c r="B1199" s="40" t="str">
        <f>IFERROR(__xludf.DUMMYFUNCTION("""COMPUTED_VALUE"""),"WARDIA")</f>
        <v>WARDIA</v>
      </c>
      <c r="C1199" s="40" t="str">
        <f>IFERROR(__xludf.DUMMYFUNCTION("""COMPUTED_VALUE"""),"Belum disetujui")</f>
        <v>Belum disetujui</v>
      </c>
      <c r="D1199" s="40"/>
      <c r="E1199" s="40" t="s">
        <v>11409</v>
      </c>
      <c r="F1199" s="40" t="s">
        <v>204</v>
      </c>
      <c r="G1199" s="40" t="s">
        <v>11410</v>
      </c>
      <c r="H1199" s="40" t="s">
        <v>11399</v>
      </c>
    </row>
    <row r="1200">
      <c r="A1200" s="39">
        <f>IFERROR(__xludf.DUMMYFUNCTION("""COMPUTED_VALUE"""),45934.59476170138)</f>
        <v>45934.59476</v>
      </c>
      <c r="B1200" s="40" t="str">
        <f>IFERROR(__xludf.DUMMYFUNCTION("""COMPUTED_VALUE"""),"IRENE NOVALIA KADJU")</f>
        <v>IRENE NOVALIA KADJU</v>
      </c>
      <c r="C1200" s="40" t="str">
        <f>IFERROR(__xludf.DUMMYFUNCTION("""COMPUTED_VALUE"""),"ACC")</f>
        <v>ACC</v>
      </c>
      <c r="D1200" s="40" t="str">
        <f>IFERROR(__xludf.DUMMYFUNCTION("""COMPUTED_VALUE"""),"Y400 series")</f>
        <v>Y400 series</v>
      </c>
      <c r="E1200" s="40" t="s">
        <v>11445</v>
      </c>
      <c r="F1200" s="40" t="s">
        <v>204</v>
      </c>
      <c r="G1200" s="40" t="s">
        <v>11446</v>
      </c>
      <c r="H1200" s="40" t="s">
        <v>11399</v>
      </c>
    </row>
    <row r="1201">
      <c r="A1201" s="39">
        <f>IFERROR(__xludf.DUMMYFUNCTION("""COMPUTED_VALUE"""),45934.60130444445)</f>
        <v>45934.6013</v>
      </c>
      <c r="B1201" s="40" t="str">
        <f>IFERROR(__xludf.DUMMYFUNCTION("""COMPUTED_VALUE"""),"ESTER LUDJI")</f>
        <v>ESTER LUDJI</v>
      </c>
      <c r="C1201" s="40" t="str">
        <f>IFERROR(__xludf.DUMMYFUNCTION("""COMPUTED_VALUE"""),"Belum disetujui")</f>
        <v>Belum disetujui</v>
      </c>
      <c r="D1201" s="40"/>
      <c r="E1201" s="40" t="s">
        <v>11441</v>
      </c>
      <c r="F1201" s="40" t="s">
        <v>205</v>
      </c>
      <c r="G1201" s="40" t="s">
        <v>11442</v>
      </c>
      <c r="H1201" s="40" t="s">
        <v>11419</v>
      </c>
    </row>
    <row r="1202">
      <c r="A1202" s="39">
        <f>IFERROR(__xludf.DUMMYFUNCTION("""COMPUTED_VALUE"""),45934.643090439815)</f>
        <v>45934.64309</v>
      </c>
      <c r="B1202" s="40" t="str">
        <f>IFERROR(__xludf.DUMMYFUNCTION("""COMPUTED_VALUE"""),"ALDIANA WELIA PANIE")</f>
        <v>ALDIANA WELIA PANIE</v>
      </c>
      <c r="C1202" s="40" t="str">
        <f>IFERROR(__xludf.DUMMYFUNCTION("""COMPUTED_VALUE"""),"ACC")</f>
        <v>ACC</v>
      </c>
      <c r="D1202" s="40" t="str">
        <f>IFERROR(__xludf.DUMMYFUNCTION("""COMPUTED_VALUE"""),"Y400 series")</f>
        <v>Y400 series</v>
      </c>
      <c r="E1202" s="40" t="s">
        <v>11422</v>
      </c>
      <c r="F1202" s="40" t="s">
        <v>215</v>
      </c>
      <c r="G1202" s="40" t="s">
        <v>11423</v>
      </c>
      <c r="H1202" s="40" t="s">
        <v>11424</v>
      </c>
    </row>
    <row r="1203">
      <c r="A1203" s="39">
        <f>IFERROR(__xludf.DUMMYFUNCTION("""COMPUTED_VALUE"""),45934.67014326389)</f>
        <v>45934.67014</v>
      </c>
      <c r="B1203" s="40" t="str">
        <f>IFERROR(__xludf.DUMMYFUNCTION("""COMPUTED_VALUE"""),"ALDIANA WELIA PANIE")</f>
        <v>ALDIANA WELIA PANIE</v>
      </c>
      <c r="C1203" s="40" t="str">
        <f>IFERROR(__xludf.DUMMYFUNCTION("""COMPUTED_VALUE"""),"Belum disetujui")</f>
        <v>Belum disetujui</v>
      </c>
      <c r="D1203" s="40"/>
      <c r="E1203" s="40" t="s">
        <v>11422</v>
      </c>
      <c r="F1203" s="40" t="s">
        <v>215</v>
      </c>
      <c r="G1203" s="40" t="s">
        <v>11423</v>
      </c>
      <c r="H1203" s="40" t="s">
        <v>11424</v>
      </c>
    </row>
    <row r="1204">
      <c r="A1204" s="39">
        <f>IFERROR(__xludf.DUMMYFUNCTION("""COMPUTED_VALUE"""),45934.688822199074)</f>
        <v>45934.68882</v>
      </c>
      <c r="B1204" s="40" t="str">
        <f>IFERROR(__xludf.DUMMYFUNCTION("""COMPUTED_VALUE"""),"ANITA ANA AMAH")</f>
        <v>ANITA ANA AMAH</v>
      </c>
      <c r="C1204" s="40" t="str">
        <f>IFERROR(__xludf.DUMMYFUNCTION("""COMPUTED_VALUE"""),"Belum disetujui")</f>
        <v>Belum disetujui</v>
      </c>
      <c r="D1204" s="40"/>
      <c r="E1204" s="40" t="s">
        <v>11425</v>
      </c>
      <c r="F1204" s="40" t="s">
        <v>205</v>
      </c>
      <c r="G1204" s="40" t="s">
        <v>11426</v>
      </c>
      <c r="H1204" s="40" t="s">
        <v>11419</v>
      </c>
    </row>
    <row r="1205">
      <c r="A1205" s="39">
        <f>IFERROR(__xludf.DUMMYFUNCTION("""COMPUTED_VALUE"""),45934.710363831015)</f>
        <v>45934.71036</v>
      </c>
      <c r="B1205" s="40" t="str">
        <f>IFERROR(__xludf.DUMMYFUNCTION("""COMPUTED_VALUE"""),"MEXY ALEXANDER HETMINA")</f>
        <v>MEXY ALEXANDER HETMINA</v>
      </c>
      <c r="C1205" s="40" t="str">
        <f>IFERROR(__xludf.DUMMYFUNCTION("""COMPUTED_VALUE"""),"Belum disetujui")</f>
        <v>Belum disetujui</v>
      </c>
      <c r="D1205" s="40"/>
      <c r="E1205" s="40" t="s">
        <v>11413</v>
      </c>
      <c r="F1205" s="40" t="s">
        <v>204</v>
      </c>
      <c r="G1205" s="40" t="s">
        <v>11414</v>
      </c>
      <c r="H1205" s="40" t="s">
        <v>11399</v>
      </c>
    </row>
    <row r="1206">
      <c r="A1206" s="39">
        <f>IFERROR(__xludf.DUMMYFUNCTION("""COMPUTED_VALUE"""),45934.76162835648)</f>
        <v>45934.76163</v>
      </c>
      <c r="B1206" s="40" t="str">
        <f>IFERROR(__xludf.DUMMYFUNCTION("""COMPUTED_VALUE"""),"ASTUTI BELA WAWO")</f>
        <v>ASTUTI BELA WAWO</v>
      </c>
      <c r="C1206" s="40" t="str">
        <f>IFERROR(__xludf.DUMMYFUNCTION("""COMPUTED_VALUE"""),"ACC")</f>
        <v>ACC</v>
      </c>
      <c r="D1206" s="40" t="str">
        <f>IFERROR(__xludf.DUMMYFUNCTION("""COMPUTED_VALUE"""),"Y400 series")</f>
        <v>Y400 series</v>
      </c>
      <c r="E1206" s="40" t="s">
        <v>11427</v>
      </c>
      <c r="F1206" s="40" t="s">
        <v>257</v>
      </c>
      <c r="G1206" s="40" t="s">
        <v>11428</v>
      </c>
      <c r="H1206" s="40" t="s">
        <v>11419</v>
      </c>
    </row>
    <row r="1207">
      <c r="A1207" s="39">
        <f>IFERROR(__xludf.DUMMYFUNCTION("""COMPUTED_VALUE"""),45934.76330712963)</f>
        <v>45934.76331</v>
      </c>
      <c r="B1207" s="40" t="str">
        <f>IFERROR(__xludf.DUMMYFUNCTION("""COMPUTED_VALUE"""),"ASTUTI BELA WAWO")</f>
        <v>ASTUTI BELA WAWO</v>
      </c>
      <c r="C1207" s="40" t="str">
        <f>IFERROR(__xludf.DUMMYFUNCTION("""COMPUTED_VALUE"""),"Dapat limit tapi belum diproses")</f>
        <v>Dapat limit tapi belum diproses</v>
      </c>
      <c r="D1207" s="40" t="str">
        <f>IFERROR(__xludf.DUMMYFUNCTION("""COMPUTED_VALUE"""),"V60 Lite series")</f>
        <v>V60 Lite series</v>
      </c>
      <c r="E1207" s="40" t="s">
        <v>11427</v>
      </c>
      <c r="F1207" s="40" t="s">
        <v>257</v>
      </c>
      <c r="G1207" s="40" t="s">
        <v>11428</v>
      </c>
      <c r="H1207" s="40" t="s">
        <v>11419</v>
      </c>
    </row>
    <row r="1208">
      <c r="A1208" s="39">
        <f>IFERROR(__xludf.DUMMYFUNCTION("""COMPUTED_VALUE"""),45934.772889548614)</f>
        <v>45934.77289</v>
      </c>
      <c r="B1208" s="40" t="str">
        <f>IFERROR(__xludf.DUMMYFUNCTION("""COMPUTED_VALUE"""),"LASTRIANA PALUS")</f>
        <v>LASTRIANA PALUS</v>
      </c>
      <c r="C1208" s="40" t="str">
        <f>IFERROR(__xludf.DUMMYFUNCTION("""COMPUTED_VALUE"""),"Belum disetujui")</f>
        <v>Belum disetujui</v>
      </c>
      <c r="D1208" s="40"/>
      <c r="E1208" s="40" t="s">
        <v>11468</v>
      </c>
      <c r="F1208" s="40" t="s">
        <v>257</v>
      </c>
      <c r="G1208" s="40" t="s">
        <v>11469</v>
      </c>
      <c r="H1208" s="40" t="s">
        <v>11419</v>
      </c>
    </row>
    <row r="1209">
      <c r="A1209" s="39">
        <f>IFERROR(__xludf.DUMMYFUNCTION("""COMPUTED_VALUE"""),45934.80864047453)</f>
        <v>45934.80864</v>
      </c>
      <c r="B1209" s="40" t="str">
        <f>IFERROR(__xludf.DUMMYFUNCTION("""COMPUTED_VALUE"""),"EMPI FRANGKI LIEM")</f>
        <v>EMPI FRANGKI LIEM</v>
      </c>
      <c r="C1209" s="40" t="str">
        <f>IFERROR(__xludf.DUMMYFUNCTION("""COMPUTED_VALUE"""),"Belum disetujui")</f>
        <v>Belum disetujui</v>
      </c>
      <c r="D1209" s="40"/>
      <c r="E1209" s="40" t="s">
        <v>11397</v>
      </c>
      <c r="F1209" s="40" t="s">
        <v>220</v>
      </c>
      <c r="G1209" s="40" t="s">
        <v>11398</v>
      </c>
      <c r="H1209" s="40" t="s">
        <v>11399</v>
      </c>
    </row>
    <row r="1210">
      <c r="A1210" s="39">
        <f>IFERROR(__xludf.DUMMYFUNCTION("""COMPUTED_VALUE"""),45934.831548287046)</f>
        <v>45934.83155</v>
      </c>
      <c r="B1210" s="40" t="str">
        <f>IFERROR(__xludf.DUMMYFUNCTION("""COMPUTED_VALUE"""),"WARDIA")</f>
        <v>WARDIA</v>
      </c>
      <c r="C1210" s="40" t="str">
        <f>IFERROR(__xludf.DUMMYFUNCTION("""COMPUTED_VALUE"""),"Belum disetujui")</f>
        <v>Belum disetujui</v>
      </c>
      <c r="D1210" s="40"/>
      <c r="E1210" s="40" t="s">
        <v>11409</v>
      </c>
      <c r="F1210" s="40" t="s">
        <v>204</v>
      </c>
      <c r="G1210" s="40" t="s">
        <v>11410</v>
      </c>
      <c r="H1210" s="40" t="s">
        <v>11399</v>
      </c>
    </row>
    <row r="1211">
      <c r="A1211" s="39">
        <f>IFERROR(__xludf.DUMMYFUNCTION("""COMPUTED_VALUE"""),45934.861205567126)</f>
        <v>45934.86121</v>
      </c>
      <c r="B1211" s="40" t="str">
        <f>IFERROR(__xludf.DUMMYFUNCTION("""COMPUTED_VALUE"""),"TERSIANA KADJA PAU")</f>
        <v>TERSIANA KADJA PAU</v>
      </c>
      <c r="C1211" s="40" t="str">
        <f>IFERROR(__xludf.DUMMYFUNCTION("""COMPUTED_VALUE"""),"Belum disetujui")</f>
        <v>Belum disetujui</v>
      </c>
      <c r="D1211" s="40"/>
      <c r="E1211" s="40" t="s">
        <v>11411</v>
      </c>
      <c r="F1211" s="40" t="s">
        <v>220</v>
      </c>
      <c r="G1211" s="40" t="s">
        <v>11412</v>
      </c>
      <c r="H1211" s="40" t="s">
        <v>11399</v>
      </c>
    </row>
    <row r="1212">
      <c r="A1212" s="39">
        <f>IFERROR(__xludf.DUMMYFUNCTION("""COMPUTED_VALUE"""),45935.78086039351)</f>
        <v>45935.78086</v>
      </c>
      <c r="B1212" s="40" t="str">
        <f>IFERROR(__xludf.DUMMYFUNCTION("""COMPUTED_VALUE"""),"AZ ZAHRA SITI ZAINAB")</f>
        <v>AZ ZAHRA SITI ZAINAB</v>
      </c>
      <c r="C1212" s="40" t="str">
        <f>IFERROR(__xludf.DUMMYFUNCTION("""COMPUTED_VALUE"""),"ACC")</f>
        <v>ACC</v>
      </c>
      <c r="D1212" s="40" t="str">
        <f>IFERROR(__xludf.DUMMYFUNCTION("""COMPUTED_VALUE"""),"Y400 series")</f>
        <v>Y400 series</v>
      </c>
      <c r="E1212" s="40" t="s">
        <v>11462</v>
      </c>
      <c r="F1212" s="40" t="s">
        <v>257</v>
      </c>
      <c r="G1212" s="40" t="s">
        <v>11463</v>
      </c>
      <c r="H1212" s="40" t="s">
        <v>11419</v>
      </c>
    </row>
    <row r="1213">
      <c r="A1213" s="39">
        <f>IFERROR(__xludf.DUMMYFUNCTION("""COMPUTED_VALUE"""),45935.80991527778)</f>
        <v>45935.80992</v>
      </c>
      <c r="B1213" s="40" t="str">
        <f>IFERROR(__xludf.DUMMYFUNCTION("""COMPUTED_VALUE"""),"TERSIANA KADJA PAU")</f>
        <v>TERSIANA KADJA PAU</v>
      </c>
      <c r="C1213" s="40" t="str">
        <f>IFERROR(__xludf.DUMMYFUNCTION("""COMPUTED_VALUE"""),"Belum disetujui")</f>
        <v>Belum disetujui</v>
      </c>
      <c r="D1213" s="40"/>
      <c r="E1213" s="40" t="s">
        <v>11411</v>
      </c>
      <c r="F1213" s="40" t="s">
        <v>220</v>
      </c>
      <c r="G1213" s="40" t="s">
        <v>11412</v>
      </c>
      <c r="H1213" s="40" t="s">
        <v>11399</v>
      </c>
    </row>
    <row r="1214">
      <c r="A1214" s="39">
        <f>IFERROR(__xludf.DUMMYFUNCTION("""COMPUTED_VALUE"""),45936.409136215276)</f>
        <v>45936.40914</v>
      </c>
      <c r="B1214" s="40" t="str">
        <f>IFERROR(__xludf.DUMMYFUNCTION("""COMPUTED_VALUE"""),"ASTUTI BELA WAWO")</f>
        <v>ASTUTI BELA WAWO</v>
      </c>
      <c r="C1214" s="40" t="str">
        <f>IFERROR(__xludf.DUMMYFUNCTION("""COMPUTED_VALUE"""),"Belum disetujui")</f>
        <v>Belum disetujui</v>
      </c>
      <c r="D1214" s="40"/>
      <c r="E1214" s="40" t="s">
        <v>11427</v>
      </c>
      <c r="F1214" s="40" t="s">
        <v>257</v>
      </c>
      <c r="G1214" s="40" t="s">
        <v>11428</v>
      </c>
      <c r="H1214" s="40" t="s">
        <v>11419</v>
      </c>
    </row>
    <row r="1215">
      <c r="A1215" s="39">
        <f>IFERROR(__xludf.DUMMYFUNCTION("""COMPUTED_VALUE"""),45936.42712387731)</f>
        <v>45936.42712</v>
      </c>
      <c r="B1215" s="40" t="str">
        <f>IFERROR(__xludf.DUMMYFUNCTION("""COMPUTED_VALUE"""),"ALDIANA WELIA PANIE")</f>
        <v>ALDIANA WELIA PANIE</v>
      </c>
      <c r="C1215" s="40" t="str">
        <f>IFERROR(__xludf.DUMMYFUNCTION("""COMPUTED_VALUE"""),"ACC")</f>
        <v>ACC</v>
      </c>
      <c r="D1215" s="40" t="str">
        <f>IFERROR(__xludf.DUMMYFUNCTION("""COMPUTED_VALUE"""),"Y400 series")</f>
        <v>Y400 series</v>
      </c>
      <c r="E1215" s="40" t="s">
        <v>11422</v>
      </c>
      <c r="F1215" s="40" t="s">
        <v>215</v>
      </c>
      <c r="G1215" s="40" t="s">
        <v>11423</v>
      </c>
      <c r="H1215" s="40" t="s">
        <v>11424</v>
      </c>
    </row>
    <row r="1216">
      <c r="A1216" s="39">
        <f>IFERROR(__xludf.DUMMYFUNCTION("""COMPUTED_VALUE"""),45936.453418240744)</f>
        <v>45936.45342</v>
      </c>
      <c r="B1216" s="40" t="str">
        <f>IFERROR(__xludf.DUMMYFUNCTION("""COMPUTED_VALUE"""),"SANTI MARIA LUKMINI NAHAK")</f>
        <v>SANTI MARIA LUKMINI NAHAK</v>
      </c>
      <c r="C1216" s="40" t="str">
        <f>IFERROR(__xludf.DUMMYFUNCTION("""COMPUTED_VALUE"""),"Dapat limit tapi belum diproses")</f>
        <v>Dapat limit tapi belum diproses</v>
      </c>
      <c r="D1216" s="40" t="str">
        <f>IFERROR(__xludf.DUMMYFUNCTION("""COMPUTED_VALUE"""),"Y400 series")</f>
        <v>Y400 series</v>
      </c>
      <c r="E1216" s="40" t="s">
        <v>11460</v>
      </c>
      <c r="F1216" s="40" t="s">
        <v>871</v>
      </c>
      <c r="G1216" s="40" t="s">
        <v>11461</v>
      </c>
      <c r="H1216" s="40" t="s">
        <v>11424</v>
      </c>
    </row>
    <row r="1217">
      <c r="A1217" s="39">
        <f>IFERROR(__xludf.DUMMYFUNCTION("""COMPUTED_VALUE"""),45936.46313254629)</f>
        <v>45936.46313</v>
      </c>
      <c r="B1217" s="40" t="str">
        <f>IFERROR(__xludf.DUMMYFUNCTION("""COMPUTED_VALUE"""),"FERI ELI KURNIAWAN")</f>
        <v>FERI ELI KURNIAWAN</v>
      </c>
      <c r="C1217" s="40" t="str">
        <f>IFERROR(__xludf.DUMMYFUNCTION("""COMPUTED_VALUE"""),"Belum disetujui")</f>
        <v>Belum disetujui</v>
      </c>
      <c r="D1217" s="40"/>
      <c r="E1217" s="40" t="s">
        <v>11411</v>
      </c>
      <c r="F1217" s="40" t="s">
        <v>220</v>
      </c>
      <c r="G1217" s="40" t="s">
        <v>11412</v>
      </c>
      <c r="H1217" s="40" t="s">
        <v>11399</v>
      </c>
    </row>
    <row r="1218">
      <c r="A1218" s="39">
        <f>IFERROR(__xludf.DUMMYFUNCTION("""COMPUTED_VALUE"""),45936.500873564815)</f>
        <v>45936.50087</v>
      </c>
      <c r="B1218" s="40" t="str">
        <f>IFERROR(__xludf.DUMMYFUNCTION("""COMPUTED_VALUE"""),"YOVANDA KATRINA NAE")</f>
        <v>YOVANDA KATRINA NAE</v>
      </c>
      <c r="C1218" s="40" t="str">
        <f>IFERROR(__xludf.DUMMYFUNCTION("""COMPUTED_VALUE"""),"Belum disetujui")</f>
        <v>Belum disetujui</v>
      </c>
      <c r="D1218" s="40"/>
      <c r="E1218" s="40" t="s">
        <v>11425</v>
      </c>
      <c r="F1218" s="40" t="s">
        <v>205</v>
      </c>
      <c r="G1218" s="40" t="s">
        <v>11426</v>
      </c>
      <c r="H1218" s="40" t="s">
        <v>11419</v>
      </c>
    </row>
    <row r="1219">
      <c r="A1219" s="39">
        <f>IFERROR(__xludf.DUMMYFUNCTION("""COMPUTED_VALUE"""),45936.50440799768)</f>
        <v>45936.50441</v>
      </c>
      <c r="B1219" s="40" t="str">
        <f>IFERROR(__xludf.DUMMYFUNCTION("""COMPUTED_VALUE"""),"YASINTHA MBU")</f>
        <v>YASINTHA MBU</v>
      </c>
      <c r="C1219" s="40" t="str">
        <f>IFERROR(__xludf.DUMMYFUNCTION("""COMPUTED_VALUE"""),"Dapat limit tapi belum diproses")</f>
        <v>Dapat limit tapi belum diproses</v>
      </c>
      <c r="D1219" s="40" t="str">
        <f>IFERROR(__xludf.DUMMYFUNCTION("""COMPUTED_VALUE"""),"Y400 series")</f>
        <v>Y400 series</v>
      </c>
      <c r="E1219" s="40" t="s">
        <v>11407</v>
      </c>
      <c r="F1219" s="40" t="s">
        <v>220</v>
      </c>
      <c r="G1219" s="40" t="s">
        <v>11408</v>
      </c>
      <c r="H1219" s="40" t="s">
        <v>11399</v>
      </c>
    </row>
    <row r="1220">
      <c r="A1220" s="39">
        <f>IFERROR(__xludf.DUMMYFUNCTION("""COMPUTED_VALUE"""),45936.504623402776)</f>
        <v>45936.50462</v>
      </c>
      <c r="B1220" s="40" t="str">
        <f>IFERROR(__xludf.DUMMYFUNCTION("""COMPUTED_VALUE"""),"PATRIANI MENGI ULY")</f>
        <v>PATRIANI MENGI ULY</v>
      </c>
      <c r="C1220" s="40" t="str">
        <f>IFERROR(__xludf.DUMMYFUNCTION("""COMPUTED_VALUE"""),"Belum disetujui")</f>
        <v>Belum disetujui</v>
      </c>
      <c r="D1220" s="40"/>
      <c r="E1220" s="40" t="s">
        <v>11402</v>
      </c>
      <c r="F1220" s="40" t="s">
        <v>204</v>
      </c>
      <c r="G1220" s="40" t="s">
        <v>11403</v>
      </c>
      <c r="H1220" s="40" t="s">
        <v>11399</v>
      </c>
    </row>
    <row r="1221">
      <c r="A1221" s="39">
        <f>IFERROR(__xludf.DUMMYFUNCTION("""COMPUTED_VALUE"""),45936.51316847222)</f>
        <v>45936.51317</v>
      </c>
      <c r="B1221" s="40" t="str">
        <f>IFERROR(__xludf.DUMMYFUNCTION("""COMPUTED_VALUE"""),"AZ ZAHRA SITI ZAINAB")</f>
        <v>AZ ZAHRA SITI ZAINAB</v>
      </c>
      <c r="C1221" s="40" t="str">
        <f>IFERROR(__xludf.DUMMYFUNCTION("""COMPUTED_VALUE"""),"Belum disetujui")</f>
        <v>Belum disetujui</v>
      </c>
      <c r="D1221" s="40"/>
      <c r="E1221" s="40" t="s">
        <v>11462</v>
      </c>
      <c r="F1221" s="40" t="s">
        <v>257</v>
      </c>
      <c r="G1221" s="40" t="s">
        <v>11463</v>
      </c>
      <c r="H1221" s="40" t="s">
        <v>11419</v>
      </c>
    </row>
    <row r="1222">
      <c r="A1222" s="39">
        <f>IFERROR(__xludf.DUMMYFUNCTION("""COMPUTED_VALUE"""),45936.54861140046)</f>
        <v>45936.54861</v>
      </c>
      <c r="B1222" s="40" t="str">
        <f>IFERROR(__xludf.DUMMYFUNCTION("""COMPUTED_VALUE"""),"SANTI MARIA LUKMINI NAHAK")</f>
        <v>SANTI MARIA LUKMINI NAHAK</v>
      </c>
      <c r="C1222" s="40" t="str">
        <f>IFERROR(__xludf.DUMMYFUNCTION("""COMPUTED_VALUE"""),"Belum disetujui")</f>
        <v>Belum disetujui</v>
      </c>
      <c r="D1222" s="40"/>
      <c r="E1222" s="40" t="s">
        <v>11460</v>
      </c>
      <c r="F1222" s="40" t="s">
        <v>871</v>
      </c>
      <c r="G1222" s="40" t="s">
        <v>11461</v>
      </c>
      <c r="H1222" s="40" t="s">
        <v>11424</v>
      </c>
    </row>
    <row r="1223">
      <c r="A1223" s="39">
        <f>IFERROR(__xludf.DUMMYFUNCTION("""COMPUTED_VALUE"""),45936.550184085645)</f>
        <v>45936.55018</v>
      </c>
      <c r="B1223" s="40" t="str">
        <f>IFERROR(__xludf.DUMMYFUNCTION("""COMPUTED_VALUE"""),"SANTI MARIA LUKMINI NAHAK")</f>
        <v>SANTI MARIA LUKMINI NAHAK</v>
      </c>
      <c r="C1223" s="40" t="str">
        <f>IFERROR(__xludf.DUMMYFUNCTION("""COMPUTED_VALUE"""),"Belum disetujui")</f>
        <v>Belum disetujui</v>
      </c>
      <c r="D1223" s="40"/>
      <c r="E1223" s="40" t="s">
        <v>11460</v>
      </c>
      <c r="F1223" s="40" t="s">
        <v>871</v>
      </c>
      <c r="G1223" s="40" t="s">
        <v>11461</v>
      </c>
      <c r="H1223" s="40" t="s">
        <v>11424</v>
      </c>
    </row>
    <row r="1224">
      <c r="A1224" s="39">
        <f>IFERROR(__xludf.DUMMYFUNCTION("""COMPUTED_VALUE"""),45936.5529828588)</f>
        <v>45936.55298</v>
      </c>
      <c r="B1224" s="40" t="str">
        <f>IFERROR(__xludf.DUMMYFUNCTION("""COMPUTED_VALUE"""),"WARDIA")</f>
        <v>WARDIA</v>
      </c>
      <c r="C1224" s="40" t="str">
        <f>IFERROR(__xludf.DUMMYFUNCTION("""COMPUTED_VALUE"""),"Belum disetujui")</f>
        <v>Belum disetujui</v>
      </c>
      <c r="D1224" s="40"/>
      <c r="E1224" s="40" t="s">
        <v>11409</v>
      </c>
      <c r="F1224" s="40" t="s">
        <v>204</v>
      </c>
      <c r="G1224" s="40" t="s">
        <v>11410</v>
      </c>
      <c r="H1224" s="40" t="s">
        <v>11399</v>
      </c>
    </row>
    <row r="1225">
      <c r="A1225" s="39">
        <f>IFERROR(__xludf.DUMMYFUNCTION("""COMPUTED_VALUE"""),45936.57395090278)</f>
        <v>45936.57395</v>
      </c>
      <c r="B1225" s="40" t="str">
        <f>IFERROR(__xludf.DUMMYFUNCTION("""COMPUTED_VALUE"""),"YASINTHA MBU")</f>
        <v>YASINTHA MBU</v>
      </c>
      <c r="C1225" s="40" t="str">
        <f>IFERROR(__xludf.DUMMYFUNCTION("""COMPUTED_VALUE"""),"Dapat limit tapi belum diproses")</f>
        <v>Dapat limit tapi belum diproses</v>
      </c>
      <c r="D1225" s="40" t="str">
        <f>IFERROR(__xludf.DUMMYFUNCTION("""COMPUTED_VALUE"""),"V60 Lite series")</f>
        <v>V60 Lite series</v>
      </c>
      <c r="E1225" s="40" t="s">
        <v>11407</v>
      </c>
      <c r="F1225" s="40" t="s">
        <v>220</v>
      </c>
      <c r="G1225" s="40" t="s">
        <v>11408</v>
      </c>
      <c r="H1225" s="40" t="s">
        <v>11399</v>
      </c>
    </row>
    <row r="1226">
      <c r="A1226" s="39">
        <f>IFERROR(__xludf.DUMMYFUNCTION("""COMPUTED_VALUE"""),45936.58503667824)</f>
        <v>45936.58504</v>
      </c>
      <c r="B1226" s="40" t="str">
        <f>IFERROR(__xludf.DUMMYFUNCTION("""COMPUTED_VALUE"""),"SANTI MARIA LUKMINI NAHAK")</f>
        <v>SANTI MARIA LUKMINI NAHAK</v>
      </c>
      <c r="C1226" s="40" t="str">
        <f>IFERROR(__xludf.DUMMYFUNCTION("""COMPUTED_VALUE"""),"Belum disetujui")</f>
        <v>Belum disetujui</v>
      </c>
      <c r="D1226" s="40"/>
      <c r="E1226" s="40" t="s">
        <v>11460</v>
      </c>
      <c r="F1226" s="40" t="s">
        <v>871</v>
      </c>
      <c r="G1226" s="40" t="s">
        <v>11461</v>
      </c>
      <c r="H1226" s="40" t="s">
        <v>11424</v>
      </c>
    </row>
    <row r="1227">
      <c r="A1227" s="39">
        <f>IFERROR(__xludf.DUMMYFUNCTION("""COMPUTED_VALUE"""),45936.65099572917)</f>
        <v>45936.651</v>
      </c>
      <c r="B1227" s="40" t="str">
        <f>IFERROR(__xludf.DUMMYFUNCTION("""COMPUTED_VALUE"""),"LASTRIANA PALUS")</f>
        <v>LASTRIANA PALUS</v>
      </c>
      <c r="C1227" s="40" t="str">
        <f>IFERROR(__xludf.DUMMYFUNCTION("""COMPUTED_VALUE"""),"Belum disetujui")</f>
        <v>Belum disetujui</v>
      </c>
      <c r="D1227" s="40"/>
      <c r="E1227" s="40" t="s">
        <v>11468</v>
      </c>
      <c r="F1227" s="40" t="s">
        <v>257</v>
      </c>
      <c r="G1227" s="40" t="s">
        <v>11469</v>
      </c>
      <c r="H1227" s="40" t="s">
        <v>11419</v>
      </c>
    </row>
    <row r="1228">
      <c r="A1228" s="39">
        <f>IFERROR(__xludf.DUMMYFUNCTION("""COMPUTED_VALUE"""),45936.667008449076)</f>
        <v>45936.66701</v>
      </c>
      <c r="B1228" s="40" t="str">
        <f>IFERROR(__xludf.DUMMYFUNCTION("""COMPUTED_VALUE"""),"SANTI MARIA LUKMINI NAHAK")</f>
        <v>SANTI MARIA LUKMINI NAHAK</v>
      </c>
      <c r="C1228" s="40" t="str">
        <f>IFERROR(__xludf.DUMMYFUNCTION("""COMPUTED_VALUE"""),"Belum disetujui")</f>
        <v>Belum disetujui</v>
      </c>
      <c r="D1228" s="40"/>
      <c r="E1228" s="40" t="s">
        <v>11460</v>
      </c>
      <c r="F1228" s="40" t="s">
        <v>871</v>
      </c>
      <c r="G1228" s="40" t="s">
        <v>11461</v>
      </c>
      <c r="H1228" s="40" t="s">
        <v>11424</v>
      </c>
    </row>
    <row r="1229">
      <c r="A1229" s="39">
        <f>IFERROR(__xludf.DUMMYFUNCTION("""COMPUTED_VALUE"""),45936.66867096065)</f>
        <v>45936.66867</v>
      </c>
      <c r="B1229" s="40" t="str">
        <f>IFERROR(__xludf.DUMMYFUNCTION("""COMPUTED_VALUE"""),"SANTI MARIA LUKMINI NAHAK")</f>
        <v>SANTI MARIA LUKMINI NAHAK</v>
      </c>
      <c r="C1229" s="40" t="str">
        <f>IFERROR(__xludf.DUMMYFUNCTION("""COMPUTED_VALUE"""),"Dapat limit tapi belum diproses")</f>
        <v>Dapat limit tapi belum diproses</v>
      </c>
      <c r="D1229" s="40" t="str">
        <f>IFERROR(__xludf.DUMMYFUNCTION("""COMPUTED_VALUE"""),"Y400 series")</f>
        <v>Y400 series</v>
      </c>
      <c r="E1229" s="40" t="s">
        <v>11460</v>
      </c>
      <c r="F1229" s="40" t="s">
        <v>871</v>
      </c>
      <c r="G1229" s="40" t="s">
        <v>11461</v>
      </c>
      <c r="H1229" s="40" t="s">
        <v>11424</v>
      </c>
    </row>
    <row r="1230">
      <c r="A1230" s="39">
        <f>IFERROR(__xludf.DUMMYFUNCTION("""COMPUTED_VALUE"""),45936.72945905093)</f>
        <v>45936.72946</v>
      </c>
      <c r="B1230" s="40" t="str">
        <f>IFERROR(__xludf.DUMMYFUNCTION("""COMPUTED_VALUE"""),"AINI RAHMATINI NATALIA MOESTAKIM")</f>
        <v>AINI RAHMATINI NATALIA MOESTAKIM</v>
      </c>
      <c r="C1230" s="40" t="str">
        <f>IFERROR(__xludf.DUMMYFUNCTION("""COMPUTED_VALUE"""),"Belum disetujui")</f>
        <v>Belum disetujui</v>
      </c>
      <c r="D1230" s="40"/>
      <c r="E1230" s="40" t="s">
        <v>11409</v>
      </c>
      <c r="F1230" s="40" t="s">
        <v>204</v>
      </c>
      <c r="G1230" s="40" t="s">
        <v>11410</v>
      </c>
      <c r="H1230" s="40" t="s">
        <v>11399</v>
      </c>
    </row>
    <row r="1231">
      <c r="A1231" s="39">
        <f>IFERROR(__xludf.DUMMYFUNCTION("""COMPUTED_VALUE"""),45936.75991484954)</f>
        <v>45936.75991</v>
      </c>
      <c r="B1231" s="40" t="str">
        <f>IFERROR(__xludf.DUMMYFUNCTION("""COMPUTED_VALUE"""),"SULIS NURAINI INSYATUN")</f>
        <v>SULIS NURAINI INSYATUN</v>
      </c>
      <c r="C1231" s="40" t="str">
        <f>IFERROR(__xludf.DUMMYFUNCTION("""COMPUTED_VALUE"""),"Dapat limit tapi belum diproses")</f>
        <v>Dapat limit tapi belum diproses</v>
      </c>
      <c r="D1231" s="40" t="str">
        <f>IFERROR(__xludf.DUMMYFUNCTION("""COMPUTED_VALUE"""),"Y400 series")</f>
        <v>Y400 series</v>
      </c>
      <c r="E1231" s="40" t="s">
        <v>11429</v>
      </c>
      <c r="F1231" s="40" t="s">
        <v>257</v>
      </c>
      <c r="G1231" s="40" t="s">
        <v>11430</v>
      </c>
      <c r="H1231" s="40" t="s">
        <v>11419</v>
      </c>
    </row>
    <row r="1232">
      <c r="A1232" s="39">
        <f>IFERROR(__xludf.DUMMYFUNCTION("""COMPUTED_VALUE"""),45936.77328109954)</f>
        <v>45936.77328</v>
      </c>
      <c r="B1232" s="40" t="str">
        <f>IFERROR(__xludf.DUMMYFUNCTION("""COMPUTED_VALUE"""),"MERDA PUTRI BUNGSU KENAT")</f>
        <v>MERDA PUTRI BUNGSU KENAT</v>
      </c>
      <c r="C1232" s="40" t="str">
        <f>IFERROR(__xludf.DUMMYFUNCTION("""COMPUTED_VALUE"""),"Dapat limit tapi belum diproses")</f>
        <v>Dapat limit tapi belum diproses</v>
      </c>
      <c r="D1232" s="40" t="str">
        <f>IFERROR(__xludf.DUMMYFUNCTION("""COMPUTED_VALUE"""),"Y400 series")</f>
        <v>Y400 series</v>
      </c>
      <c r="E1232" s="40" t="s">
        <v>11422</v>
      </c>
      <c r="F1232" s="40" t="s">
        <v>215</v>
      </c>
      <c r="G1232" s="40" t="s">
        <v>11423</v>
      </c>
      <c r="H1232" s="40" t="s">
        <v>11424</v>
      </c>
    </row>
    <row r="1233">
      <c r="A1233" s="39">
        <f>IFERROR(__xludf.DUMMYFUNCTION("""COMPUTED_VALUE"""),45936.79894083334)</f>
        <v>45936.79894</v>
      </c>
      <c r="B1233" s="40" t="str">
        <f>IFERROR(__xludf.DUMMYFUNCTION("""COMPUTED_VALUE"""),"ADRIANA")</f>
        <v>ADRIANA</v>
      </c>
      <c r="C1233" s="40" t="str">
        <f>IFERROR(__xludf.DUMMYFUNCTION("""COMPUTED_VALUE"""),"ACC")</f>
        <v>ACC</v>
      </c>
      <c r="D1233" s="40" t="str">
        <f>IFERROR(__xludf.DUMMYFUNCTION("""COMPUTED_VALUE"""),"Y400 series")</f>
        <v>Y400 series</v>
      </c>
      <c r="E1233" s="40" t="s">
        <v>11433</v>
      </c>
      <c r="F1233" s="40" t="s">
        <v>313</v>
      </c>
      <c r="G1233" s="40" t="s">
        <v>11434</v>
      </c>
      <c r="H1233" s="40" t="s">
        <v>11424</v>
      </c>
    </row>
    <row r="1234">
      <c r="A1234" s="39">
        <f>IFERROR(__xludf.DUMMYFUNCTION("""COMPUTED_VALUE"""),45936.80145922453)</f>
        <v>45936.80146</v>
      </c>
      <c r="B1234" s="40" t="str">
        <f>IFERROR(__xludf.DUMMYFUNCTION("""COMPUTED_VALUE"""),"ADRIANA")</f>
        <v>ADRIANA</v>
      </c>
      <c r="C1234" s="40" t="str">
        <f>IFERROR(__xludf.DUMMYFUNCTION("""COMPUTED_VALUE"""),"Belum disetujui")</f>
        <v>Belum disetujui</v>
      </c>
      <c r="D1234" s="40"/>
      <c r="E1234" s="40" t="s">
        <v>11433</v>
      </c>
      <c r="F1234" s="40" t="s">
        <v>313</v>
      </c>
      <c r="G1234" s="40" t="s">
        <v>11434</v>
      </c>
      <c r="H1234" s="40" t="s">
        <v>11424</v>
      </c>
    </row>
    <row r="1235">
      <c r="A1235" s="39">
        <f>IFERROR(__xludf.DUMMYFUNCTION("""COMPUTED_VALUE"""),45936.81779585648)</f>
        <v>45936.8178</v>
      </c>
      <c r="B1235" s="40" t="str">
        <f>IFERROR(__xludf.DUMMYFUNCTION("""COMPUTED_VALUE"""),"ALITA D PAU")</f>
        <v>ALITA D PAU</v>
      </c>
      <c r="C1235" s="40" t="str">
        <f>IFERROR(__xludf.DUMMYFUNCTION("""COMPUTED_VALUE"""),"Belum disetujui")</f>
        <v>Belum disetujui</v>
      </c>
      <c r="D1235" s="40"/>
      <c r="E1235" s="40" t="s">
        <v>11447</v>
      </c>
      <c r="F1235" s="40" t="s">
        <v>205</v>
      </c>
      <c r="G1235" s="40" t="s">
        <v>11448</v>
      </c>
      <c r="H1235" s="40" t="s">
        <v>11419</v>
      </c>
    </row>
    <row r="1236">
      <c r="A1236" s="39">
        <f>IFERROR(__xludf.DUMMYFUNCTION("""COMPUTED_VALUE"""),45936.836925208336)</f>
        <v>45936.83693</v>
      </c>
      <c r="B1236" s="40" t="str">
        <f>IFERROR(__xludf.DUMMYFUNCTION("""COMPUTED_VALUE"""),"YOVANDA KATRINA NAE")</f>
        <v>YOVANDA KATRINA NAE</v>
      </c>
      <c r="C1236" s="40" t="str">
        <f>IFERROR(__xludf.DUMMYFUNCTION("""COMPUTED_VALUE"""),"Belum disetujui")</f>
        <v>Belum disetujui</v>
      </c>
      <c r="D1236" s="40"/>
      <c r="E1236" s="40" t="s">
        <v>11425</v>
      </c>
      <c r="F1236" s="40" t="s">
        <v>205</v>
      </c>
      <c r="G1236" s="40" t="s">
        <v>11426</v>
      </c>
      <c r="H1236" s="40" t="s">
        <v>11419</v>
      </c>
    </row>
    <row r="1237">
      <c r="A1237" s="39">
        <f>IFERROR(__xludf.DUMMYFUNCTION("""COMPUTED_VALUE"""),45936.83936601852)</f>
        <v>45936.83937</v>
      </c>
      <c r="B1237" s="40" t="str">
        <f>IFERROR(__xludf.DUMMYFUNCTION("""COMPUTED_VALUE"""),"MARIA ISABELA NONIS")</f>
        <v>MARIA ISABELA NONIS</v>
      </c>
      <c r="C1237" s="40" t="str">
        <f>IFERROR(__xludf.DUMMYFUNCTION("""COMPUTED_VALUE"""),"Belum disetujui")</f>
        <v>Belum disetujui</v>
      </c>
      <c r="D1237" s="40"/>
      <c r="E1237" s="40" t="s">
        <v>11470</v>
      </c>
      <c r="F1237" s="40" t="s">
        <v>313</v>
      </c>
      <c r="G1237" s="40" t="s">
        <v>11471</v>
      </c>
      <c r="H1237" s="40" t="s">
        <v>11424</v>
      </c>
    </row>
    <row r="1238">
      <c r="A1238" s="39">
        <f>IFERROR(__xludf.DUMMYFUNCTION("""COMPUTED_VALUE"""),45936.901845567125)</f>
        <v>45936.90185</v>
      </c>
      <c r="B1238" s="40" t="str">
        <f>IFERROR(__xludf.DUMMYFUNCTION("""COMPUTED_VALUE"""),"AINI RAHMATINI NATALIA MOESTAKIM")</f>
        <v>AINI RAHMATINI NATALIA MOESTAKIM</v>
      </c>
      <c r="C1238" s="40" t="str">
        <f>IFERROR(__xludf.DUMMYFUNCTION("""COMPUTED_VALUE"""),"ACC")</f>
        <v>ACC</v>
      </c>
      <c r="D1238" s="40" t="str">
        <f>IFERROR(__xludf.DUMMYFUNCTION("""COMPUTED_VALUE"""),"Y400 series")</f>
        <v>Y400 series</v>
      </c>
      <c r="E1238" s="40" t="s">
        <v>11409</v>
      </c>
      <c r="F1238" s="40" t="s">
        <v>204</v>
      </c>
      <c r="G1238" s="40" t="s">
        <v>11410</v>
      </c>
      <c r="H1238" s="40" t="s">
        <v>11399</v>
      </c>
    </row>
    <row r="1239">
      <c r="A1239" s="39">
        <f>IFERROR(__xludf.DUMMYFUNCTION("""COMPUTED_VALUE"""),45937.47115733796)</f>
        <v>45937.47116</v>
      </c>
      <c r="B1239" s="40" t="str">
        <f>IFERROR(__xludf.DUMMYFUNCTION("""COMPUTED_VALUE"""),"ALDIANA WELIA PANIE")</f>
        <v>ALDIANA WELIA PANIE</v>
      </c>
      <c r="C1239" s="40" t="str">
        <f>IFERROR(__xludf.DUMMYFUNCTION("""COMPUTED_VALUE"""),"ACC")</f>
        <v>ACC</v>
      </c>
      <c r="D1239" s="40" t="str">
        <f>IFERROR(__xludf.DUMMYFUNCTION("""COMPUTED_VALUE"""),"Y400 series")</f>
        <v>Y400 series</v>
      </c>
      <c r="E1239" s="40" t="s">
        <v>11422</v>
      </c>
      <c r="F1239" s="40" t="s">
        <v>215</v>
      </c>
      <c r="G1239" s="40" t="s">
        <v>11423</v>
      </c>
      <c r="H1239" s="40" t="s">
        <v>11424</v>
      </c>
    </row>
    <row r="1240">
      <c r="A1240" s="39">
        <f>IFERROR(__xludf.DUMMYFUNCTION("""COMPUTED_VALUE"""),45937.48169140046)</f>
        <v>45937.48169</v>
      </c>
      <c r="B1240" s="40" t="str">
        <f>IFERROR(__xludf.DUMMYFUNCTION("""COMPUTED_VALUE"""),"KESIA NATALIA I. BENU")</f>
        <v>KESIA NATALIA I. BENU</v>
      </c>
      <c r="C1240" s="40" t="str">
        <f>IFERROR(__xludf.DUMMYFUNCTION("""COMPUTED_VALUE"""),"Belum disetujui")</f>
        <v>Belum disetujui</v>
      </c>
      <c r="D1240" s="40"/>
      <c r="E1240" s="40" t="s">
        <v>11417</v>
      </c>
      <c r="F1240" s="40" t="s">
        <v>257</v>
      </c>
      <c r="G1240" s="40" t="s">
        <v>11418</v>
      </c>
      <c r="H1240" s="40" t="s">
        <v>11419</v>
      </c>
    </row>
    <row r="1241">
      <c r="A1241" s="39">
        <f>IFERROR(__xludf.DUMMYFUNCTION("""COMPUTED_VALUE"""),45937.49253311342)</f>
        <v>45937.49253</v>
      </c>
      <c r="B1241" s="40" t="str">
        <f>IFERROR(__xludf.DUMMYFUNCTION("""COMPUTED_VALUE"""),"MARNITHA JUWIKE TIMORATI RUNESI")</f>
        <v>MARNITHA JUWIKE TIMORATI RUNESI</v>
      </c>
      <c r="C1241" s="40" t="str">
        <f>IFERROR(__xludf.DUMMYFUNCTION("""COMPUTED_VALUE"""),"Belum disetujui")</f>
        <v>Belum disetujui</v>
      </c>
      <c r="D1241" s="40"/>
      <c r="E1241" s="40" t="s">
        <v>11420</v>
      </c>
      <c r="F1241" s="40" t="s">
        <v>204</v>
      </c>
      <c r="G1241" s="40" t="s">
        <v>11421</v>
      </c>
      <c r="H1241" s="40" t="s">
        <v>11399</v>
      </c>
    </row>
    <row r="1242">
      <c r="A1242" s="39">
        <f>IFERROR(__xludf.DUMMYFUNCTION("""COMPUTED_VALUE"""),45937.50652905092)</f>
        <v>45937.50653</v>
      </c>
      <c r="B1242" s="40" t="str">
        <f>IFERROR(__xludf.DUMMYFUNCTION("""COMPUTED_VALUE"""),"NUR FATIMAH MOLBANG")</f>
        <v>NUR FATIMAH MOLBANG</v>
      </c>
      <c r="C1242" s="40" t="str">
        <f>IFERROR(__xludf.DUMMYFUNCTION("""COMPUTED_VALUE"""),"Belum disetujui")</f>
        <v>Belum disetujui</v>
      </c>
      <c r="D1242" s="40"/>
      <c r="E1242" s="40" t="s">
        <v>11439</v>
      </c>
      <c r="F1242" s="40" t="s">
        <v>313</v>
      </c>
      <c r="G1242" s="40" t="s">
        <v>11440</v>
      </c>
      <c r="H1242" s="40" t="s">
        <v>11424</v>
      </c>
    </row>
    <row r="1243">
      <c r="A1243" s="39">
        <f>IFERROR(__xludf.DUMMYFUNCTION("""COMPUTED_VALUE"""),45937.523651215284)</f>
        <v>45937.52365</v>
      </c>
      <c r="B1243" s="40" t="str">
        <f>IFERROR(__xludf.DUMMYFUNCTION("""COMPUTED_VALUE"""),"MARNITHA JUWIKE TIMORATI RUNESI")</f>
        <v>MARNITHA JUWIKE TIMORATI RUNESI</v>
      </c>
      <c r="C1243" s="40" t="str">
        <f>IFERROR(__xludf.DUMMYFUNCTION("""COMPUTED_VALUE"""),"Belum disetujui")</f>
        <v>Belum disetujui</v>
      </c>
      <c r="D1243" s="40"/>
      <c r="E1243" s="40" t="s">
        <v>11420</v>
      </c>
      <c r="F1243" s="40" t="s">
        <v>204</v>
      </c>
      <c r="G1243" s="40" t="s">
        <v>11421</v>
      </c>
      <c r="H1243" s="40" t="s">
        <v>11399</v>
      </c>
    </row>
    <row r="1244">
      <c r="A1244" s="39">
        <f>IFERROR(__xludf.DUMMYFUNCTION("""COMPUTED_VALUE"""),45937.52482071759)</f>
        <v>45937.52482</v>
      </c>
      <c r="B1244" s="40" t="str">
        <f>IFERROR(__xludf.DUMMYFUNCTION("""COMPUTED_VALUE"""),"MARNITHA JUWIKE TIMORATI RUNESI")</f>
        <v>MARNITHA JUWIKE TIMORATI RUNESI</v>
      </c>
      <c r="C1244" s="40" t="str">
        <f>IFERROR(__xludf.DUMMYFUNCTION("""COMPUTED_VALUE"""),"Belum disetujui")</f>
        <v>Belum disetujui</v>
      </c>
      <c r="D1244" s="40"/>
      <c r="E1244" s="40" t="s">
        <v>11420</v>
      </c>
      <c r="F1244" s="40" t="s">
        <v>204</v>
      </c>
      <c r="G1244" s="40" t="s">
        <v>11421</v>
      </c>
      <c r="H1244" s="40" t="s">
        <v>11399</v>
      </c>
    </row>
    <row r="1245">
      <c r="A1245" s="39">
        <f>IFERROR(__xludf.DUMMYFUNCTION("""COMPUTED_VALUE"""),45937.595577754626)</f>
        <v>45937.59558</v>
      </c>
      <c r="B1245" s="40" t="str">
        <f>IFERROR(__xludf.DUMMYFUNCTION("""COMPUTED_VALUE"""),"YUNITA TAMELAB")</f>
        <v>YUNITA TAMELAB</v>
      </c>
      <c r="C1245" s="40" t="str">
        <f>IFERROR(__xludf.DUMMYFUNCTION("""COMPUTED_VALUE"""),"ACC")</f>
        <v>ACC</v>
      </c>
      <c r="D1245" s="40" t="str">
        <f>IFERROR(__xludf.DUMMYFUNCTION("""COMPUTED_VALUE"""),"Y400 series")</f>
        <v>Y400 series</v>
      </c>
      <c r="E1245" s="40" t="s">
        <v>11472</v>
      </c>
      <c r="F1245" s="40" t="s">
        <v>667</v>
      </c>
      <c r="G1245" s="40" t="s">
        <v>11473</v>
      </c>
      <c r="H1245" s="40" t="s">
        <v>11424</v>
      </c>
    </row>
    <row r="1246">
      <c r="A1246" s="39">
        <f>IFERROR(__xludf.DUMMYFUNCTION("""COMPUTED_VALUE"""),45937.682170925924)</f>
        <v>45937.68217</v>
      </c>
      <c r="B1246" s="40" t="str">
        <f>IFERROR(__xludf.DUMMYFUNCTION("""COMPUTED_VALUE"""),"NOVLIANA BARBALINA MISA")</f>
        <v>NOVLIANA BARBALINA MISA</v>
      </c>
      <c r="C1246" s="40" t="str">
        <f>IFERROR(__xludf.DUMMYFUNCTION("""COMPUTED_VALUE"""),"Belum disetujui")</f>
        <v>Belum disetujui</v>
      </c>
      <c r="D1246" s="40"/>
      <c r="E1246" s="40" t="s">
        <v>11454</v>
      </c>
      <c r="F1246" s="40" t="s">
        <v>205</v>
      </c>
      <c r="G1246" s="40" t="s">
        <v>11455</v>
      </c>
      <c r="H1246" s="40" t="s">
        <v>11419</v>
      </c>
    </row>
    <row r="1247">
      <c r="A1247" s="39">
        <f>IFERROR(__xludf.DUMMYFUNCTION("""COMPUTED_VALUE"""),45937.68528586806)</f>
        <v>45937.68529</v>
      </c>
      <c r="B1247" s="40" t="str">
        <f>IFERROR(__xludf.DUMMYFUNCTION("""COMPUTED_VALUE"""),"AZ ZAHRA SITI ZAINAB")</f>
        <v>AZ ZAHRA SITI ZAINAB</v>
      </c>
      <c r="C1247" s="40" t="str">
        <f>IFERROR(__xludf.DUMMYFUNCTION("""COMPUTED_VALUE"""),"Belum disetujui")</f>
        <v>Belum disetujui</v>
      </c>
      <c r="D1247" s="40"/>
      <c r="E1247" s="40" t="s">
        <v>11462</v>
      </c>
      <c r="F1247" s="40" t="s">
        <v>257</v>
      </c>
      <c r="G1247" s="40" t="s">
        <v>11463</v>
      </c>
      <c r="H1247" s="40" t="s">
        <v>11419</v>
      </c>
    </row>
    <row r="1248">
      <c r="A1248" s="39">
        <f>IFERROR(__xludf.DUMMYFUNCTION("""COMPUTED_VALUE"""),45937.7167423611)</f>
        <v>45937.71674</v>
      </c>
      <c r="B1248" s="40" t="str">
        <f>IFERROR(__xludf.DUMMYFUNCTION("""COMPUTED_VALUE"""),"LASTRIANA PALUS")</f>
        <v>LASTRIANA PALUS</v>
      </c>
      <c r="C1248" s="40" t="str">
        <f>IFERROR(__xludf.DUMMYFUNCTION("""COMPUTED_VALUE"""),"Belum disetujui")</f>
        <v>Belum disetujui</v>
      </c>
      <c r="D1248" s="40"/>
      <c r="E1248" s="40" t="s">
        <v>11468</v>
      </c>
      <c r="F1248" s="40" t="s">
        <v>257</v>
      </c>
      <c r="G1248" s="40" t="s">
        <v>11469</v>
      </c>
      <c r="H1248" s="40" t="s">
        <v>11419</v>
      </c>
    </row>
    <row r="1249">
      <c r="A1249" s="39">
        <f>IFERROR(__xludf.DUMMYFUNCTION("""COMPUTED_VALUE"""),45937.71800209491)</f>
        <v>45937.718</v>
      </c>
      <c r="B1249" s="40" t="str">
        <f>IFERROR(__xludf.DUMMYFUNCTION("""COMPUTED_VALUE"""),"HERONIMUS NAMU WALI")</f>
        <v>HERONIMUS NAMU WALI</v>
      </c>
      <c r="C1249" s="40" t="str">
        <f>IFERROR(__xludf.DUMMYFUNCTION("""COMPUTED_VALUE"""),"Belum disetujui")</f>
        <v>Belum disetujui</v>
      </c>
      <c r="D1249" s="40"/>
      <c r="E1249" s="40" t="s">
        <v>11452</v>
      </c>
      <c r="F1249" s="40" t="s">
        <v>205</v>
      </c>
      <c r="G1249" s="40" t="s">
        <v>11453</v>
      </c>
      <c r="H1249" s="40" t="s">
        <v>11419</v>
      </c>
    </row>
    <row r="1250">
      <c r="A1250" s="39">
        <f>IFERROR(__xludf.DUMMYFUNCTION("""COMPUTED_VALUE"""),45937.750073298615)</f>
        <v>45937.75007</v>
      </c>
      <c r="B1250" s="40" t="str">
        <f>IFERROR(__xludf.DUMMYFUNCTION("""COMPUTED_VALUE"""),"ASTUTI BELA WAWO")</f>
        <v>ASTUTI BELA WAWO</v>
      </c>
      <c r="C1250" s="40" t="str">
        <f>IFERROR(__xludf.DUMMYFUNCTION("""COMPUTED_VALUE"""),"Belum disetujui")</f>
        <v>Belum disetujui</v>
      </c>
      <c r="D1250" s="40"/>
      <c r="E1250" s="40" t="s">
        <v>11427</v>
      </c>
      <c r="F1250" s="40" t="s">
        <v>257</v>
      </c>
      <c r="G1250" s="40" t="s">
        <v>11428</v>
      </c>
      <c r="H1250" s="40" t="s">
        <v>11419</v>
      </c>
    </row>
    <row r="1251">
      <c r="A1251" s="39">
        <f>IFERROR(__xludf.DUMMYFUNCTION("""COMPUTED_VALUE"""),45937.75786943287)</f>
        <v>45937.75787</v>
      </c>
      <c r="B1251" s="40" t="str">
        <f>IFERROR(__xludf.DUMMYFUNCTION("""COMPUTED_VALUE"""),"MARNITHA JUWIKE TIMORATI RUNESI")</f>
        <v>MARNITHA JUWIKE TIMORATI RUNESI</v>
      </c>
      <c r="C1251" s="40" t="str">
        <f>IFERROR(__xludf.DUMMYFUNCTION("""COMPUTED_VALUE"""),"Belum disetujui")</f>
        <v>Belum disetujui</v>
      </c>
      <c r="D1251" s="40"/>
      <c r="E1251" s="40" t="s">
        <v>11420</v>
      </c>
      <c r="F1251" s="40" t="s">
        <v>204</v>
      </c>
      <c r="G1251" s="40" t="s">
        <v>11421</v>
      </c>
      <c r="H1251" s="40" t="s">
        <v>11399</v>
      </c>
    </row>
    <row r="1252">
      <c r="A1252" s="39">
        <f>IFERROR(__xludf.DUMMYFUNCTION("""COMPUTED_VALUE"""),45937.763880729166)</f>
        <v>45937.76388</v>
      </c>
      <c r="B1252" s="40" t="str">
        <f>IFERROR(__xludf.DUMMYFUNCTION("""COMPUTED_VALUE"""),"FERI ELI KURNIAWAN")</f>
        <v>FERI ELI KURNIAWAN</v>
      </c>
      <c r="C1252" s="40" t="str">
        <f>IFERROR(__xludf.DUMMYFUNCTION("""COMPUTED_VALUE"""),"Belum disetujui")</f>
        <v>Belum disetujui</v>
      </c>
      <c r="D1252" s="40"/>
      <c r="E1252" s="40" t="s">
        <v>11411</v>
      </c>
      <c r="F1252" s="40" t="s">
        <v>220</v>
      </c>
      <c r="G1252" s="40" t="s">
        <v>11412</v>
      </c>
      <c r="H1252" s="40" t="s">
        <v>11399</v>
      </c>
    </row>
    <row r="1253">
      <c r="A1253" s="39">
        <f>IFERROR(__xludf.DUMMYFUNCTION("""COMPUTED_VALUE"""),45937.77830866898)</f>
        <v>45937.77831</v>
      </c>
      <c r="B1253" s="40" t="str">
        <f>IFERROR(__xludf.DUMMYFUNCTION("""COMPUTED_VALUE"""),"YOVANDA KATRINA NAE")</f>
        <v>YOVANDA KATRINA NAE</v>
      </c>
      <c r="C1253" s="40" t="str">
        <f>IFERROR(__xludf.DUMMYFUNCTION("""COMPUTED_VALUE"""),"Belum disetujui")</f>
        <v>Belum disetujui</v>
      </c>
      <c r="D1253" s="40"/>
      <c r="E1253" s="40" t="s">
        <v>11425</v>
      </c>
      <c r="F1253" s="40" t="s">
        <v>205</v>
      </c>
      <c r="G1253" s="40" t="s">
        <v>11426</v>
      </c>
      <c r="H1253" s="40" t="s">
        <v>11419</v>
      </c>
    </row>
    <row r="1254">
      <c r="A1254" s="39">
        <f>IFERROR(__xludf.DUMMYFUNCTION("""COMPUTED_VALUE"""),45937.779525034726)</f>
        <v>45937.77953</v>
      </c>
      <c r="B1254" s="40" t="str">
        <f>IFERROR(__xludf.DUMMYFUNCTION("""COMPUTED_VALUE"""),"YASINTHA MBU")</f>
        <v>YASINTHA MBU</v>
      </c>
      <c r="C1254" s="40" t="str">
        <f>IFERROR(__xludf.DUMMYFUNCTION("""COMPUTED_VALUE"""),"Belum disetujui")</f>
        <v>Belum disetujui</v>
      </c>
      <c r="D1254" s="40"/>
      <c r="E1254" s="40" t="s">
        <v>11407</v>
      </c>
      <c r="F1254" s="40" t="s">
        <v>220</v>
      </c>
      <c r="G1254" s="40" t="s">
        <v>11408</v>
      </c>
      <c r="H1254" s="40" t="s">
        <v>11399</v>
      </c>
    </row>
    <row r="1255">
      <c r="A1255" s="39">
        <f>IFERROR(__xludf.DUMMYFUNCTION("""COMPUTED_VALUE"""),45937.80829791667)</f>
        <v>45937.8083</v>
      </c>
      <c r="B1255" s="40" t="str">
        <f>IFERROR(__xludf.DUMMYFUNCTION("""COMPUTED_VALUE"""),"BERGITHA NIA OLIN")</f>
        <v>BERGITHA NIA OLIN</v>
      </c>
      <c r="C1255" s="40" t="str">
        <f>IFERROR(__xludf.DUMMYFUNCTION("""COMPUTED_VALUE"""),"ACC")</f>
        <v>ACC</v>
      </c>
      <c r="D1255" s="40" t="str">
        <f>IFERROR(__xludf.DUMMYFUNCTION("""COMPUTED_VALUE"""),"Y400 series")</f>
        <v>Y400 series</v>
      </c>
      <c r="E1255" s="40" t="s">
        <v>11431</v>
      </c>
      <c r="F1255" s="40" t="s">
        <v>313</v>
      </c>
      <c r="G1255" s="40" t="s">
        <v>11432</v>
      </c>
      <c r="H1255" s="40" t="s">
        <v>11424</v>
      </c>
    </row>
    <row r="1256">
      <c r="A1256" s="39">
        <f>IFERROR(__xludf.DUMMYFUNCTION("""COMPUTED_VALUE"""),45937.82278283565)</f>
        <v>45937.82278</v>
      </c>
      <c r="B1256" s="40" t="str">
        <f>IFERROR(__xludf.DUMMYFUNCTION("""COMPUTED_VALUE"""),"ASTUTI BELA WAWO")</f>
        <v>ASTUTI BELA WAWO</v>
      </c>
      <c r="C1256" s="40" t="str">
        <f>IFERROR(__xludf.DUMMYFUNCTION("""COMPUTED_VALUE"""),"ACC")</f>
        <v>ACC</v>
      </c>
      <c r="D1256" s="40" t="str">
        <f>IFERROR(__xludf.DUMMYFUNCTION("""COMPUTED_VALUE"""),"Y400 series")</f>
        <v>Y400 series</v>
      </c>
      <c r="E1256" s="40" t="s">
        <v>11427</v>
      </c>
      <c r="F1256" s="40" t="s">
        <v>257</v>
      </c>
      <c r="G1256" s="40" t="s">
        <v>11428</v>
      </c>
      <c r="H1256" s="40" t="s">
        <v>11419</v>
      </c>
    </row>
    <row r="1257">
      <c r="A1257" s="39">
        <f>IFERROR(__xludf.DUMMYFUNCTION("""COMPUTED_VALUE"""),45937.85807480324)</f>
        <v>45937.85807</v>
      </c>
      <c r="B1257" s="40" t="str">
        <f>IFERROR(__xludf.DUMMYFUNCTION("""COMPUTED_VALUE"""),"WARDIA")</f>
        <v>WARDIA</v>
      </c>
      <c r="C1257" s="40" t="str">
        <f>IFERROR(__xludf.DUMMYFUNCTION("""COMPUTED_VALUE"""),"Belum disetujui")</f>
        <v>Belum disetujui</v>
      </c>
      <c r="D1257" s="40"/>
      <c r="E1257" s="40" t="s">
        <v>11409</v>
      </c>
      <c r="F1257" s="40" t="s">
        <v>204</v>
      </c>
      <c r="G1257" s="40" t="s">
        <v>11410</v>
      </c>
      <c r="H1257" s="40" t="s">
        <v>11399</v>
      </c>
    </row>
    <row r="1258">
      <c r="A1258" s="39">
        <f>IFERROR(__xludf.DUMMYFUNCTION("""COMPUTED_VALUE"""),45937.9174715162)</f>
        <v>45937.91747</v>
      </c>
      <c r="B1258" s="40" t="str">
        <f>IFERROR(__xludf.DUMMYFUNCTION("""COMPUTED_VALUE"""),"EMPI FRANGKI LIEM")</f>
        <v>EMPI FRANGKI LIEM</v>
      </c>
      <c r="C1258" s="40" t="str">
        <f>IFERROR(__xludf.DUMMYFUNCTION("""COMPUTED_VALUE"""),"Belum disetujui")</f>
        <v>Belum disetujui</v>
      </c>
      <c r="D1258" s="40"/>
      <c r="E1258" s="40" t="s">
        <v>11397</v>
      </c>
      <c r="F1258" s="40" t="s">
        <v>220</v>
      </c>
      <c r="G1258" s="40" t="s">
        <v>11398</v>
      </c>
      <c r="H1258" s="40" t="s">
        <v>11399</v>
      </c>
    </row>
    <row r="1259">
      <c r="A1259" s="39">
        <f>IFERROR(__xludf.DUMMYFUNCTION("""COMPUTED_VALUE"""),45937.91979966435)</f>
        <v>45937.9198</v>
      </c>
      <c r="B1259" s="40" t="str">
        <f>IFERROR(__xludf.DUMMYFUNCTION("""COMPUTED_VALUE"""),"EMPI FRANGKI LIEM")</f>
        <v>EMPI FRANGKI LIEM</v>
      </c>
      <c r="C1259" s="40" t="str">
        <f>IFERROR(__xludf.DUMMYFUNCTION("""COMPUTED_VALUE"""),"Dapat limit tapi belum diproses")</f>
        <v>Dapat limit tapi belum diproses</v>
      </c>
      <c r="D1259" s="40" t="str">
        <f>IFERROR(__xludf.DUMMYFUNCTION("""COMPUTED_VALUE"""),"Y400 series")</f>
        <v>Y400 series</v>
      </c>
      <c r="E1259" s="40" t="s">
        <v>11397</v>
      </c>
      <c r="F1259" s="40" t="s">
        <v>220</v>
      </c>
      <c r="G1259" s="40" t="s">
        <v>11398</v>
      </c>
      <c r="H1259" s="40" t="s">
        <v>11399</v>
      </c>
    </row>
    <row r="1260">
      <c r="A1260" s="39">
        <f>IFERROR(__xludf.DUMMYFUNCTION("""COMPUTED_VALUE"""),45937.9272035301)</f>
        <v>45937.9272</v>
      </c>
      <c r="B1260" s="40" t="str">
        <f>IFERROR(__xludf.DUMMYFUNCTION("""COMPUTED_VALUE"""),"NOVANTRY RUTHANIA NAFFIE")</f>
        <v>NOVANTRY RUTHANIA NAFFIE</v>
      </c>
      <c r="C1260" s="40" t="str">
        <f>IFERROR(__xludf.DUMMYFUNCTION("""COMPUTED_VALUE"""),"Belum disetujui")</f>
        <v>Belum disetujui</v>
      </c>
      <c r="D1260" s="40"/>
      <c r="E1260" s="40" t="s">
        <v>11397</v>
      </c>
      <c r="F1260" s="40" t="s">
        <v>220</v>
      </c>
      <c r="G1260" s="40" t="s">
        <v>11398</v>
      </c>
      <c r="H1260" s="40" t="s">
        <v>11399</v>
      </c>
    </row>
    <row r="1261">
      <c r="A1261" s="39">
        <f>IFERROR(__xludf.DUMMYFUNCTION("""COMPUTED_VALUE"""),45937.929563576385)</f>
        <v>45937.92956</v>
      </c>
      <c r="B1261" s="40" t="str">
        <f>IFERROR(__xludf.DUMMYFUNCTION("""COMPUTED_VALUE"""),"NOVANTRY RUTHANIA NAFFIE")</f>
        <v>NOVANTRY RUTHANIA NAFFIE</v>
      </c>
      <c r="C1261" s="40" t="str">
        <f>IFERROR(__xludf.DUMMYFUNCTION("""COMPUTED_VALUE"""),"Belum disetujui")</f>
        <v>Belum disetujui</v>
      </c>
      <c r="D1261" s="40"/>
      <c r="E1261" s="40" t="s">
        <v>11397</v>
      </c>
      <c r="F1261" s="40" t="s">
        <v>220</v>
      </c>
      <c r="G1261" s="40" t="s">
        <v>11398</v>
      </c>
      <c r="H1261" s="40" t="s">
        <v>11399</v>
      </c>
    </row>
    <row r="1262">
      <c r="A1262" s="39">
        <f>IFERROR(__xludf.DUMMYFUNCTION("""COMPUTED_VALUE"""),45938.43625773148)</f>
        <v>45938.43626</v>
      </c>
      <c r="B1262" s="40" t="str">
        <f>IFERROR(__xludf.DUMMYFUNCTION("""COMPUTED_VALUE"""),"MARNITHA JUWIKE TIMORATI RUNESI")</f>
        <v>MARNITHA JUWIKE TIMORATI RUNESI</v>
      </c>
      <c r="C1262" s="40" t="str">
        <f>IFERROR(__xludf.DUMMYFUNCTION("""COMPUTED_VALUE"""),"Belum disetujui")</f>
        <v>Belum disetujui</v>
      </c>
      <c r="D1262" s="40"/>
      <c r="E1262" s="40" t="s">
        <v>11420</v>
      </c>
      <c r="F1262" s="40" t="s">
        <v>204</v>
      </c>
      <c r="G1262" s="40" t="s">
        <v>11421</v>
      </c>
      <c r="H1262" s="40" t="s">
        <v>11399</v>
      </c>
    </row>
    <row r="1263">
      <c r="A1263" s="39">
        <f>IFERROR(__xludf.DUMMYFUNCTION("""COMPUTED_VALUE"""),45938.43888706018)</f>
        <v>45938.43889</v>
      </c>
      <c r="B1263" s="40" t="str">
        <f>IFERROR(__xludf.DUMMYFUNCTION("""COMPUTED_VALUE"""),"MERDA PUTRI BUNGSU KENAT")</f>
        <v>MERDA PUTRI BUNGSU KENAT</v>
      </c>
      <c r="C1263" s="40" t="str">
        <f>IFERROR(__xludf.DUMMYFUNCTION("""COMPUTED_VALUE"""),"Belum disetujui")</f>
        <v>Belum disetujui</v>
      </c>
      <c r="D1263" s="40"/>
      <c r="E1263" s="40" t="s">
        <v>11422</v>
      </c>
      <c r="F1263" s="40" t="s">
        <v>215</v>
      </c>
      <c r="G1263" s="40" t="s">
        <v>11423</v>
      </c>
      <c r="H1263" s="40" t="s">
        <v>11424</v>
      </c>
    </row>
    <row r="1264">
      <c r="A1264" s="39">
        <f>IFERROR(__xludf.DUMMYFUNCTION("""COMPUTED_VALUE"""),45938.44363142361)</f>
        <v>45938.44363</v>
      </c>
      <c r="B1264" s="40" t="str">
        <f>IFERROR(__xludf.DUMMYFUNCTION("""COMPUTED_VALUE"""),"MARIA MELAN ANANCE BILI")</f>
        <v>MARIA MELAN ANANCE BILI</v>
      </c>
      <c r="C1264" s="40" t="str">
        <f>IFERROR(__xludf.DUMMYFUNCTION("""COMPUTED_VALUE"""),"Dapat limit tapi belum diproses")</f>
        <v>Dapat limit tapi belum diproses</v>
      </c>
      <c r="D1264" s="40" t="str">
        <f>IFERROR(__xludf.DUMMYFUNCTION("""COMPUTED_VALUE"""),"Y400 series")</f>
        <v>Y400 series</v>
      </c>
      <c r="E1264" s="40" t="s">
        <v>11466</v>
      </c>
      <c r="F1264" s="40" t="s">
        <v>257</v>
      </c>
      <c r="G1264" s="40" t="s">
        <v>11467</v>
      </c>
      <c r="H1264" s="40" t="s">
        <v>11419</v>
      </c>
    </row>
    <row r="1265">
      <c r="A1265" s="39">
        <f>IFERROR(__xludf.DUMMYFUNCTION("""COMPUTED_VALUE"""),45938.44464939815)</f>
        <v>45938.44465</v>
      </c>
      <c r="B1265" s="40" t="str">
        <f>IFERROR(__xludf.DUMMYFUNCTION("""COMPUTED_VALUE"""),"YOMELIANA MARIA MAGNO")</f>
        <v>YOMELIANA MARIA MAGNO</v>
      </c>
      <c r="C1265" s="40" t="str">
        <f>IFERROR(__xludf.DUMMYFUNCTION("""COMPUTED_VALUE"""),"Dapat limit tapi belum diproses")</f>
        <v>Dapat limit tapi belum diproses</v>
      </c>
      <c r="D1265" s="40" t="str">
        <f>IFERROR(__xludf.DUMMYFUNCTION("""COMPUTED_VALUE"""),"Y29 series")</f>
        <v>Y29 series</v>
      </c>
      <c r="E1265" s="40" t="s">
        <v>11460</v>
      </c>
      <c r="F1265" s="40" t="s">
        <v>871</v>
      </c>
      <c r="G1265" s="40" t="s">
        <v>11461</v>
      </c>
      <c r="H1265" s="40" t="s">
        <v>11424</v>
      </c>
    </row>
    <row r="1266">
      <c r="A1266" s="39">
        <f>IFERROR(__xludf.DUMMYFUNCTION("""COMPUTED_VALUE"""),45938.44586912037)</f>
        <v>45938.44587</v>
      </c>
      <c r="B1266" s="40" t="str">
        <f>IFERROR(__xludf.DUMMYFUNCTION("""COMPUTED_VALUE"""),"YOVANDA KATRINA NAE")</f>
        <v>YOVANDA KATRINA NAE</v>
      </c>
      <c r="C1266" s="40" t="str">
        <f>IFERROR(__xludf.DUMMYFUNCTION("""COMPUTED_VALUE"""),"Belum disetujui")</f>
        <v>Belum disetujui</v>
      </c>
      <c r="D1266" s="40"/>
      <c r="E1266" s="40" t="s">
        <v>11425</v>
      </c>
      <c r="F1266" s="40" t="s">
        <v>205</v>
      </c>
      <c r="G1266" s="40" t="s">
        <v>11426</v>
      </c>
      <c r="H1266" s="40" t="s">
        <v>11419</v>
      </c>
    </row>
    <row r="1267">
      <c r="A1267" s="39">
        <f>IFERROR(__xludf.DUMMYFUNCTION("""COMPUTED_VALUE"""),45938.44753194445)</f>
        <v>45938.44753</v>
      </c>
      <c r="B1267" s="40" t="str">
        <f>IFERROR(__xludf.DUMMYFUNCTION("""COMPUTED_VALUE"""),"AZ ZAHRA SITI ZAINAB")</f>
        <v>AZ ZAHRA SITI ZAINAB</v>
      </c>
      <c r="C1267" s="40" t="str">
        <f>IFERROR(__xludf.DUMMYFUNCTION("""COMPUTED_VALUE"""),"Belum disetujui")</f>
        <v>Belum disetujui</v>
      </c>
      <c r="D1267" s="40"/>
      <c r="E1267" s="40" t="s">
        <v>11462</v>
      </c>
      <c r="F1267" s="40" t="s">
        <v>257</v>
      </c>
      <c r="G1267" s="40" t="s">
        <v>11463</v>
      </c>
      <c r="H1267" s="40" t="s">
        <v>11419</v>
      </c>
    </row>
    <row r="1268">
      <c r="A1268" s="39">
        <f>IFERROR(__xludf.DUMMYFUNCTION("""COMPUTED_VALUE"""),45938.45649798611)</f>
        <v>45938.4565</v>
      </c>
      <c r="B1268" s="40" t="str">
        <f>IFERROR(__xludf.DUMMYFUNCTION("""COMPUTED_VALUE"""),"IRENE NOVALIA KADJU")</f>
        <v>IRENE NOVALIA KADJU</v>
      </c>
      <c r="C1268" s="40" t="str">
        <f>IFERROR(__xludf.DUMMYFUNCTION("""COMPUTED_VALUE"""),"Belum disetujui")</f>
        <v>Belum disetujui</v>
      </c>
      <c r="D1268" s="40"/>
      <c r="E1268" s="40" t="s">
        <v>11445</v>
      </c>
      <c r="F1268" s="40" t="s">
        <v>204</v>
      </c>
      <c r="G1268" s="40" t="s">
        <v>11446</v>
      </c>
      <c r="H1268" s="40" t="s">
        <v>11399</v>
      </c>
    </row>
    <row r="1269">
      <c r="A1269" s="39">
        <f>IFERROR(__xludf.DUMMYFUNCTION("""COMPUTED_VALUE"""),45938.50388604166)</f>
        <v>45938.50389</v>
      </c>
      <c r="B1269" s="40" t="str">
        <f>IFERROR(__xludf.DUMMYFUNCTION("""COMPUTED_VALUE"""),"PRETI SISILIA SILA")</f>
        <v>PRETI SISILIA SILA</v>
      </c>
      <c r="C1269" s="40" t="str">
        <f>IFERROR(__xludf.DUMMYFUNCTION("""COMPUTED_VALUE"""),"Belum disetujui")</f>
        <v>Belum disetujui</v>
      </c>
      <c r="D1269" s="40"/>
      <c r="E1269" s="40" t="s">
        <v>11456</v>
      </c>
      <c r="F1269" s="40" t="s">
        <v>667</v>
      </c>
      <c r="G1269" s="40" t="s">
        <v>11457</v>
      </c>
      <c r="H1269" s="40" t="s">
        <v>11424</v>
      </c>
    </row>
    <row r="1270">
      <c r="A1270" s="39">
        <f>IFERROR(__xludf.DUMMYFUNCTION("""COMPUTED_VALUE"""),45938.516927916666)</f>
        <v>45938.51693</v>
      </c>
      <c r="B1270" s="40" t="str">
        <f>IFERROR(__xludf.DUMMYFUNCTION("""COMPUTED_VALUE"""),"MARATHA MARLINDA FANGGIDAE")</f>
        <v>MARATHA MARLINDA FANGGIDAE</v>
      </c>
      <c r="C1270" s="40" t="str">
        <f>IFERROR(__xludf.DUMMYFUNCTION("""COMPUTED_VALUE"""),"Belum disetujui")</f>
        <v>Belum disetujui</v>
      </c>
      <c r="D1270" s="40"/>
      <c r="E1270" s="40" t="s">
        <v>11435</v>
      </c>
      <c r="F1270" s="40" t="s">
        <v>215</v>
      </c>
      <c r="G1270" s="40" t="s">
        <v>11436</v>
      </c>
      <c r="H1270" s="40" t="s">
        <v>11424</v>
      </c>
    </row>
    <row r="1271">
      <c r="A1271" s="39">
        <f>IFERROR(__xludf.DUMMYFUNCTION("""COMPUTED_VALUE"""),45938.517101481484)</f>
        <v>45938.5171</v>
      </c>
      <c r="B1271" s="40" t="str">
        <f>IFERROR(__xludf.DUMMYFUNCTION("""COMPUTED_VALUE"""),"MARIA MELAN ANANCE BILI")</f>
        <v>MARIA MELAN ANANCE BILI</v>
      </c>
      <c r="C1271" s="40" t="str">
        <f>IFERROR(__xludf.DUMMYFUNCTION("""COMPUTED_VALUE"""),"Dapat limit tapi belum diproses")</f>
        <v>Dapat limit tapi belum diproses</v>
      </c>
      <c r="D1271" s="40" t="str">
        <f>IFERROR(__xludf.DUMMYFUNCTION("""COMPUTED_VALUE"""),"V60 series")</f>
        <v>V60 series</v>
      </c>
      <c r="E1271" s="40" t="s">
        <v>11466</v>
      </c>
      <c r="F1271" s="40" t="s">
        <v>257</v>
      </c>
      <c r="G1271" s="40" t="s">
        <v>11467</v>
      </c>
      <c r="H1271" s="40" t="s">
        <v>11419</v>
      </c>
    </row>
    <row r="1272">
      <c r="A1272" s="39">
        <f>IFERROR(__xludf.DUMMYFUNCTION("""COMPUTED_VALUE"""),45938.517466087964)</f>
        <v>45938.51747</v>
      </c>
      <c r="B1272" s="40" t="str">
        <f>IFERROR(__xludf.DUMMYFUNCTION("""COMPUTED_VALUE"""),"MERDA PUTRI BUNGSU KENAT")</f>
        <v>MERDA PUTRI BUNGSU KENAT</v>
      </c>
      <c r="C1272" s="40" t="str">
        <f>IFERROR(__xludf.DUMMYFUNCTION("""COMPUTED_VALUE"""),"Belum disetujui")</f>
        <v>Belum disetujui</v>
      </c>
      <c r="D1272" s="40"/>
      <c r="E1272" s="40" t="s">
        <v>11422</v>
      </c>
      <c r="F1272" s="40" t="s">
        <v>215</v>
      </c>
      <c r="G1272" s="40" t="s">
        <v>11423</v>
      </c>
      <c r="H1272" s="40" t="s">
        <v>11424</v>
      </c>
    </row>
    <row r="1273">
      <c r="A1273" s="39">
        <f>IFERROR(__xludf.DUMMYFUNCTION("""COMPUTED_VALUE"""),45938.51777472222)</f>
        <v>45938.51777</v>
      </c>
      <c r="B1273" s="40" t="str">
        <f>IFERROR(__xludf.DUMMYFUNCTION("""COMPUTED_VALUE"""),"MARNITHA JUWIKE TIMORATI RUNESI")</f>
        <v>MARNITHA JUWIKE TIMORATI RUNESI</v>
      </c>
      <c r="C1273" s="40" t="str">
        <f>IFERROR(__xludf.DUMMYFUNCTION("""COMPUTED_VALUE"""),"Belum disetujui")</f>
        <v>Belum disetujui</v>
      </c>
      <c r="D1273" s="40"/>
      <c r="E1273" s="40" t="s">
        <v>11420</v>
      </c>
      <c r="F1273" s="40" t="s">
        <v>204</v>
      </c>
      <c r="G1273" s="40" t="s">
        <v>11421</v>
      </c>
      <c r="H1273" s="40" t="s">
        <v>11399</v>
      </c>
    </row>
    <row r="1274">
      <c r="A1274" s="39">
        <f>IFERROR(__xludf.DUMMYFUNCTION("""COMPUTED_VALUE"""),45938.529511875)</f>
        <v>45938.52951</v>
      </c>
      <c r="B1274" s="40" t="str">
        <f>IFERROR(__xludf.DUMMYFUNCTION("""COMPUTED_VALUE"""),"CHOIRUNISA ILHAM")</f>
        <v>CHOIRUNISA ILHAM</v>
      </c>
      <c r="C1274" s="40" t="str">
        <f>IFERROR(__xludf.DUMMYFUNCTION("""COMPUTED_VALUE"""),"Belum disetujui")</f>
        <v>Belum disetujui</v>
      </c>
      <c r="D1274" s="40"/>
      <c r="E1274" s="40" t="s">
        <v>11404</v>
      </c>
      <c r="F1274" s="40" t="s">
        <v>11404</v>
      </c>
      <c r="G1274" s="40" t="s">
        <v>11404</v>
      </c>
      <c r="H1274" s="40" t="s">
        <v>11404</v>
      </c>
    </row>
    <row r="1275">
      <c r="A1275" s="39">
        <f>IFERROR(__xludf.DUMMYFUNCTION("""COMPUTED_VALUE"""),45938.541302453705)</f>
        <v>45938.5413</v>
      </c>
      <c r="B1275" s="40" t="str">
        <f>IFERROR(__xludf.DUMMYFUNCTION("""COMPUTED_VALUE"""),"CHOIRUNISA ILHAM")</f>
        <v>CHOIRUNISA ILHAM</v>
      </c>
      <c r="C1275" s="40" t="str">
        <f>IFERROR(__xludf.DUMMYFUNCTION("""COMPUTED_VALUE"""),"Belum disetujui")</f>
        <v>Belum disetujui</v>
      </c>
      <c r="D1275" s="40"/>
      <c r="E1275" s="40" t="s">
        <v>11404</v>
      </c>
      <c r="F1275" s="40" t="s">
        <v>11404</v>
      </c>
      <c r="G1275" s="40" t="s">
        <v>11404</v>
      </c>
      <c r="H1275" s="40" t="s">
        <v>11404</v>
      </c>
    </row>
    <row r="1276">
      <c r="A1276" s="39">
        <f>IFERROR(__xludf.DUMMYFUNCTION("""COMPUTED_VALUE"""),45938.55623289352)</f>
        <v>45938.55623</v>
      </c>
      <c r="B1276" s="40" t="str">
        <f>IFERROR(__xludf.DUMMYFUNCTION("""COMPUTED_VALUE"""),"NUR FATIMAH MOLBANG")</f>
        <v>NUR FATIMAH MOLBANG</v>
      </c>
      <c r="C1276" s="40" t="str">
        <f>IFERROR(__xludf.DUMMYFUNCTION("""COMPUTED_VALUE"""),"Belum disetujui")</f>
        <v>Belum disetujui</v>
      </c>
      <c r="D1276" s="40"/>
      <c r="E1276" s="40" t="s">
        <v>11439</v>
      </c>
      <c r="F1276" s="40" t="s">
        <v>313</v>
      </c>
      <c r="G1276" s="40" t="s">
        <v>11440</v>
      </c>
      <c r="H1276" s="40" t="s">
        <v>11424</v>
      </c>
    </row>
    <row r="1277">
      <c r="A1277" s="39">
        <f>IFERROR(__xludf.DUMMYFUNCTION("""COMPUTED_VALUE"""),45938.557695150455)</f>
        <v>45938.5577</v>
      </c>
      <c r="B1277" s="40" t="str">
        <f>IFERROR(__xludf.DUMMYFUNCTION("""COMPUTED_VALUE"""),"NUR FATIMAH MOLBANG")</f>
        <v>NUR FATIMAH MOLBANG</v>
      </c>
      <c r="C1277" s="40" t="str">
        <f>IFERROR(__xludf.DUMMYFUNCTION("""COMPUTED_VALUE"""),"Belum disetujui")</f>
        <v>Belum disetujui</v>
      </c>
      <c r="D1277" s="40"/>
      <c r="E1277" s="40" t="s">
        <v>11439</v>
      </c>
      <c r="F1277" s="40" t="s">
        <v>313</v>
      </c>
      <c r="G1277" s="40" t="s">
        <v>11440</v>
      </c>
      <c r="H1277" s="40" t="s">
        <v>11424</v>
      </c>
    </row>
    <row r="1278">
      <c r="A1278" s="39">
        <f>IFERROR(__xludf.DUMMYFUNCTION("""COMPUTED_VALUE"""),45938.58145821759)</f>
        <v>45938.58146</v>
      </c>
      <c r="B1278" s="40" t="str">
        <f>IFERROR(__xludf.DUMMYFUNCTION("""COMPUTED_VALUE"""),"NUR FATIMAH MOLBANG")</f>
        <v>NUR FATIMAH MOLBANG</v>
      </c>
      <c r="C1278" s="40" t="str">
        <f>IFERROR(__xludf.DUMMYFUNCTION("""COMPUTED_VALUE"""),"Belum disetujui")</f>
        <v>Belum disetujui</v>
      </c>
      <c r="D1278" s="40"/>
      <c r="E1278" s="40" t="s">
        <v>11439</v>
      </c>
      <c r="F1278" s="40" t="s">
        <v>313</v>
      </c>
      <c r="G1278" s="40" t="s">
        <v>11440</v>
      </c>
      <c r="H1278" s="40" t="s">
        <v>11424</v>
      </c>
    </row>
    <row r="1279">
      <c r="A1279" s="39">
        <f>IFERROR(__xludf.DUMMYFUNCTION("""COMPUTED_VALUE"""),45938.60156752315)</f>
        <v>45938.60157</v>
      </c>
      <c r="B1279" s="40" t="str">
        <f>IFERROR(__xludf.DUMMYFUNCTION("""COMPUTED_VALUE"""),"BERGITHA NIA OLIN")</f>
        <v>BERGITHA NIA OLIN</v>
      </c>
      <c r="C1279" s="40" t="str">
        <f>IFERROR(__xludf.DUMMYFUNCTION("""COMPUTED_VALUE"""),"Belum disetujui")</f>
        <v>Belum disetujui</v>
      </c>
      <c r="D1279" s="40"/>
      <c r="E1279" s="40" t="s">
        <v>11431</v>
      </c>
      <c r="F1279" s="40" t="s">
        <v>313</v>
      </c>
      <c r="G1279" s="40" t="s">
        <v>11432</v>
      </c>
      <c r="H1279" s="40" t="s">
        <v>11424</v>
      </c>
    </row>
    <row r="1280">
      <c r="A1280" s="39">
        <f>IFERROR(__xludf.DUMMYFUNCTION("""COMPUTED_VALUE"""),45938.61323243055)</f>
        <v>45938.61323</v>
      </c>
      <c r="B1280" s="40" t="str">
        <f>IFERROR(__xludf.DUMMYFUNCTION("""COMPUTED_VALUE"""),"SANTI MARIA LUKMINI NAHAK")</f>
        <v>SANTI MARIA LUKMINI NAHAK</v>
      </c>
      <c r="C1280" s="40" t="str">
        <f>IFERROR(__xludf.DUMMYFUNCTION("""COMPUTED_VALUE"""),"Belum disetujui")</f>
        <v>Belum disetujui</v>
      </c>
      <c r="D1280" s="40"/>
      <c r="E1280" s="40" t="s">
        <v>11460</v>
      </c>
      <c r="F1280" s="40" t="s">
        <v>871</v>
      </c>
      <c r="G1280" s="40" t="s">
        <v>11461</v>
      </c>
      <c r="H1280" s="40" t="s">
        <v>11424</v>
      </c>
    </row>
    <row r="1281">
      <c r="A1281" s="39">
        <f>IFERROR(__xludf.DUMMYFUNCTION("""COMPUTED_VALUE"""),45938.614787384264)</f>
        <v>45938.61479</v>
      </c>
      <c r="B1281" s="40" t="str">
        <f>IFERROR(__xludf.DUMMYFUNCTION("""COMPUTED_VALUE"""),"SANTI MARIA LUKMINI NAHAK")</f>
        <v>SANTI MARIA LUKMINI NAHAK</v>
      </c>
      <c r="C1281" s="40" t="str">
        <f>IFERROR(__xludf.DUMMYFUNCTION("""COMPUTED_VALUE"""),"Dapat limit tapi belum diproses")</f>
        <v>Dapat limit tapi belum diproses</v>
      </c>
      <c r="D1281" s="40" t="str">
        <f>IFERROR(__xludf.DUMMYFUNCTION("""COMPUTED_VALUE"""),"Y400 series")</f>
        <v>Y400 series</v>
      </c>
      <c r="E1281" s="40" t="s">
        <v>11460</v>
      </c>
      <c r="F1281" s="40" t="s">
        <v>871</v>
      </c>
      <c r="G1281" s="40" t="s">
        <v>11461</v>
      </c>
      <c r="H1281" s="40" t="s">
        <v>11424</v>
      </c>
    </row>
    <row r="1282">
      <c r="A1282" s="39">
        <f>IFERROR(__xludf.DUMMYFUNCTION("""COMPUTED_VALUE"""),45938.62937008102)</f>
        <v>45938.62937</v>
      </c>
      <c r="B1282" s="40" t="str">
        <f>IFERROR(__xludf.DUMMYFUNCTION("""COMPUTED_VALUE"""),"ADRIANA")</f>
        <v>ADRIANA</v>
      </c>
      <c r="C1282" s="40" t="str">
        <f>IFERROR(__xludf.DUMMYFUNCTION("""COMPUTED_VALUE"""),"Belum disetujui")</f>
        <v>Belum disetujui</v>
      </c>
      <c r="D1282" s="40"/>
      <c r="E1282" s="40" t="s">
        <v>11433</v>
      </c>
      <c r="F1282" s="40" t="s">
        <v>313</v>
      </c>
      <c r="G1282" s="40" t="s">
        <v>11434</v>
      </c>
      <c r="H1282" s="40" t="s">
        <v>11424</v>
      </c>
    </row>
    <row r="1283">
      <c r="A1283" s="39">
        <f>IFERROR(__xludf.DUMMYFUNCTION("""COMPUTED_VALUE"""),45938.6764578125)</f>
        <v>45938.67646</v>
      </c>
      <c r="B1283" s="40" t="str">
        <f>IFERROR(__xludf.DUMMYFUNCTION("""COMPUTED_VALUE"""),"SANTI MARIA LUKMINI NAHAK")</f>
        <v>SANTI MARIA LUKMINI NAHAK</v>
      </c>
      <c r="C1283" s="40" t="str">
        <f>IFERROR(__xludf.DUMMYFUNCTION("""COMPUTED_VALUE"""),"Belum disetujui")</f>
        <v>Belum disetujui</v>
      </c>
      <c r="D1283" s="40"/>
      <c r="E1283" s="40" t="s">
        <v>11460</v>
      </c>
      <c r="F1283" s="40" t="s">
        <v>871</v>
      </c>
      <c r="G1283" s="40" t="s">
        <v>11461</v>
      </c>
      <c r="H1283" s="40" t="s">
        <v>11424</v>
      </c>
    </row>
    <row r="1284">
      <c r="A1284" s="39">
        <f>IFERROR(__xludf.DUMMYFUNCTION("""COMPUTED_VALUE"""),45938.69747737269)</f>
        <v>45938.69748</v>
      </c>
      <c r="B1284" s="40" t="str">
        <f>IFERROR(__xludf.DUMMYFUNCTION("""COMPUTED_VALUE"""),"HERONIMUS NAMU WALI")</f>
        <v>HERONIMUS NAMU WALI</v>
      </c>
      <c r="C1284" s="40" t="str">
        <f>IFERROR(__xludf.DUMMYFUNCTION("""COMPUTED_VALUE"""),"ACC")</f>
        <v>ACC</v>
      </c>
      <c r="D1284" s="40" t="str">
        <f>IFERROR(__xludf.DUMMYFUNCTION("""COMPUTED_VALUE"""),"Y400 series")</f>
        <v>Y400 series</v>
      </c>
      <c r="E1284" s="40" t="s">
        <v>11452</v>
      </c>
      <c r="F1284" s="40" t="s">
        <v>205</v>
      </c>
      <c r="G1284" s="40" t="s">
        <v>11453</v>
      </c>
      <c r="H1284" s="40" t="s">
        <v>11419</v>
      </c>
    </row>
    <row r="1285">
      <c r="A1285" s="39">
        <f>IFERROR(__xludf.DUMMYFUNCTION("""COMPUTED_VALUE"""),45938.723351203706)</f>
        <v>45938.72335</v>
      </c>
      <c r="B1285" s="40" t="str">
        <f>IFERROR(__xludf.DUMMYFUNCTION("""COMPUTED_VALUE"""),"MARATHA MARLINDA FANGGIDAE")</f>
        <v>MARATHA MARLINDA FANGGIDAE</v>
      </c>
      <c r="C1285" s="40" t="str">
        <f>IFERROR(__xludf.DUMMYFUNCTION("""COMPUTED_VALUE"""),"Belum disetujui")</f>
        <v>Belum disetujui</v>
      </c>
      <c r="D1285" s="40"/>
      <c r="E1285" s="40" t="s">
        <v>11435</v>
      </c>
      <c r="F1285" s="40" t="s">
        <v>215</v>
      </c>
      <c r="G1285" s="40" t="s">
        <v>11436</v>
      </c>
      <c r="H1285" s="40" t="s">
        <v>11424</v>
      </c>
    </row>
    <row r="1286">
      <c r="A1286" s="39">
        <f>IFERROR(__xludf.DUMMYFUNCTION("""COMPUTED_VALUE"""),45938.72999846065)</f>
        <v>45938.73</v>
      </c>
      <c r="B1286" s="40" t="str">
        <f>IFERROR(__xludf.DUMMYFUNCTION("""COMPUTED_VALUE"""),"MARIA ISABELA NONIS")</f>
        <v>MARIA ISABELA NONIS</v>
      </c>
      <c r="C1286" s="40" t="str">
        <f>IFERROR(__xludf.DUMMYFUNCTION("""COMPUTED_VALUE"""),"Belum disetujui")</f>
        <v>Belum disetujui</v>
      </c>
      <c r="D1286" s="40"/>
      <c r="E1286" s="40" t="s">
        <v>11470</v>
      </c>
      <c r="F1286" s="40" t="s">
        <v>313</v>
      </c>
      <c r="G1286" s="40" t="s">
        <v>11471</v>
      </c>
      <c r="H1286" s="40" t="s">
        <v>11424</v>
      </c>
    </row>
    <row r="1287">
      <c r="A1287" s="39">
        <f>IFERROR(__xludf.DUMMYFUNCTION("""COMPUTED_VALUE"""),45938.738976921304)</f>
        <v>45938.73898</v>
      </c>
      <c r="B1287" s="40" t="str">
        <f>IFERROR(__xludf.DUMMYFUNCTION("""COMPUTED_VALUE"""),"MARIA MELAN ANANCE BILI")</f>
        <v>MARIA MELAN ANANCE BILI</v>
      </c>
      <c r="C1287" s="40" t="str">
        <f>IFERROR(__xludf.DUMMYFUNCTION("""COMPUTED_VALUE"""),"Dapat limit tapi belum diproses")</f>
        <v>Dapat limit tapi belum diproses</v>
      </c>
      <c r="D1287" s="40" t="str">
        <f>IFERROR(__xludf.DUMMYFUNCTION("""COMPUTED_VALUE"""),"Y400 series")</f>
        <v>Y400 series</v>
      </c>
      <c r="E1287" s="40" t="s">
        <v>11466</v>
      </c>
      <c r="F1287" s="40" t="s">
        <v>257</v>
      </c>
      <c r="G1287" s="40" t="s">
        <v>11467</v>
      </c>
      <c r="H1287" s="40" t="s">
        <v>11419</v>
      </c>
    </row>
    <row r="1288">
      <c r="A1288" s="39">
        <f>IFERROR(__xludf.DUMMYFUNCTION("""COMPUTED_VALUE"""),45938.7611365625)</f>
        <v>45938.76114</v>
      </c>
      <c r="B1288" s="40" t="str">
        <f>IFERROR(__xludf.DUMMYFUNCTION("""COMPUTED_VALUE"""),"YUNITA TAMELAB")</f>
        <v>YUNITA TAMELAB</v>
      </c>
      <c r="C1288" s="40" t="str">
        <f>IFERROR(__xludf.DUMMYFUNCTION("""COMPUTED_VALUE"""),"ACC")</f>
        <v>ACC</v>
      </c>
      <c r="D1288" s="40" t="str">
        <f>IFERROR(__xludf.DUMMYFUNCTION("""COMPUTED_VALUE"""),"V60 series")</f>
        <v>V60 series</v>
      </c>
      <c r="E1288" s="40" t="s">
        <v>11472</v>
      </c>
      <c r="F1288" s="40" t="s">
        <v>667</v>
      </c>
      <c r="G1288" s="40" t="s">
        <v>11473</v>
      </c>
      <c r="H1288" s="40" t="s">
        <v>11424</v>
      </c>
    </row>
    <row r="1289">
      <c r="A1289" s="39">
        <f>IFERROR(__xludf.DUMMYFUNCTION("""COMPUTED_VALUE"""),45938.76527644676)</f>
        <v>45938.76528</v>
      </c>
      <c r="B1289" s="40" t="str">
        <f>IFERROR(__xludf.DUMMYFUNCTION("""COMPUTED_VALUE"""),"ESTER LUDJI")</f>
        <v>ESTER LUDJI</v>
      </c>
      <c r="C1289" s="40" t="str">
        <f>IFERROR(__xludf.DUMMYFUNCTION("""COMPUTED_VALUE"""),"ACC")</f>
        <v>ACC</v>
      </c>
      <c r="D1289" s="40" t="str">
        <f>IFERROR(__xludf.DUMMYFUNCTION("""COMPUTED_VALUE"""),"Y400 series")</f>
        <v>Y400 series</v>
      </c>
      <c r="E1289" s="40" t="s">
        <v>11441</v>
      </c>
      <c r="F1289" s="40" t="s">
        <v>205</v>
      </c>
      <c r="G1289" s="40" t="s">
        <v>11442</v>
      </c>
      <c r="H1289" s="40" t="s">
        <v>11419</v>
      </c>
    </row>
    <row r="1290">
      <c r="A1290" s="39">
        <f>IFERROR(__xludf.DUMMYFUNCTION("""COMPUTED_VALUE"""),45938.767794432875)</f>
        <v>45938.76779</v>
      </c>
      <c r="B1290" s="40" t="str">
        <f>IFERROR(__xludf.DUMMYFUNCTION("""COMPUTED_VALUE"""),"MARIA MELAN ANANCE BILI")</f>
        <v>MARIA MELAN ANANCE BILI</v>
      </c>
      <c r="C1290" s="40" t="str">
        <f>IFERROR(__xludf.DUMMYFUNCTION("""COMPUTED_VALUE"""),"Belum disetujui")</f>
        <v>Belum disetujui</v>
      </c>
      <c r="D1290" s="40"/>
      <c r="E1290" s="40" t="s">
        <v>11466</v>
      </c>
      <c r="F1290" s="40" t="s">
        <v>257</v>
      </c>
      <c r="G1290" s="40" t="s">
        <v>11467</v>
      </c>
      <c r="H1290" s="40" t="s">
        <v>11419</v>
      </c>
    </row>
    <row r="1291">
      <c r="A1291" s="39">
        <f>IFERROR(__xludf.DUMMYFUNCTION("""COMPUTED_VALUE"""),45938.768279525466)</f>
        <v>45938.76828</v>
      </c>
      <c r="B1291" s="40" t="str">
        <f>IFERROR(__xludf.DUMMYFUNCTION("""COMPUTED_VALUE"""),"ALDIANA WELIA PANIE")</f>
        <v>ALDIANA WELIA PANIE</v>
      </c>
      <c r="C1291" s="40" t="str">
        <f>IFERROR(__xludf.DUMMYFUNCTION("""COMPUTED_VALUE"""),"Belum disetujui")</f>
        <v>Belum disetujui</v>
      </c>
      <c r="D1291" s="40"/>
      <c r="E1291" s="40" t="s">
        <v>11422</v>
      </c>
      <c r="F1291" s="40" t="s">
        <v>215</v>
      </c>
      <c r="G1291" s="40" t="s">
        <v>11423</v>
      </c>
      <c r="H1291" s="40" t="s">
        <v>11424</v>
      </c>
    </row>
    <row r="1292">
      <c r="A1292" s="39">
        <f>IFERROR(__xludf.DUMMYFUNCTION("""COMPUTED_VALUE"""),45938.827572222224)</f>
        <v>45938.82757</v>
      </c>
      <c r="B1292" s="40" t="str">
        <f>IFERROR(__xludf.DUMMYFUNCTION("""COMPUTED_VALUE"""),"MARIA MELAN ANANCE BILI")</f>
        <v>MARIA MELAN ANANCE BILI</v>
      </c>
      <c r="C1292" s="40" t="str">
        <f>IFERROR(__xludf.DUMMYFUNCTION("""COMPUTED_VALUE"""),"ACC")</f>
        <v>ACC</v>
      </c>
      <c r="D1292" s="40" t="str">
        <f>IFERROR(__xludf.DUMMYFUNCTION("""COMPUTED_VALUE"""),"Y400 series")</f>
        <v>Y400 series</v>
      </c>
      <c r="E1292" s="40" t="s">
        <v>11466</v>
      </c>
      <c r="F1292" s="40" t="s">
        <v>257</v>
      </c>
      <c r="G1292" s="40" t="s">
        <v>11467</v>
      </c>
      <c r="H1292" s="40" t="s">
        <v>11419</v>
      </c>
    </row>
    <row r="1293">
      <c r="A1293" s="39">
        <f>IFERROR(__xludf.DUMMYFUNCTION("""COMPUTED_VALUE"""),45939.407481620365)</f>
        <v>45939.40748</v>
      </c>
      <c r="B1293" s="40" t="str">
        <f>IFERROR(__xludf.DUMMYFUNCTION("""COMPUTED_VALUE"""),"KESIA NATALIA I. BENU")</f>
        <v>KESIA NATALIA I. BENU</v>
      </c>
      <c r="C1293" s="40" t="str">
        <f>IFERROR(__xludf.DUMMYFUNCTION("""COMPUTED_VALUE"""),"Belum disetujui")</f>
        <v>Belum disetujui</v>
      </c>
      <c r="D1293" s="40"/>
      <c r="E1293" s="40" t="s">
        <v>11417</v>
      </c>
      <c r="F1293" s="40" t="s">
        <v>257</v>
      </c>
      <c r="G1293" s="40" t="s">
        <v>11418</v>
      </c>
      <c r="H1293" s="40" t="s">
        <v>11419</v>
      </c>
    </row>
    <row r="1294">
      <c r="A1294" s="39">
        <f>IFERROR(__xludf.DUMMYFUNCTION("""COMPUTED_VALUE"""),45939.40983915509)</f>
        <v>45939.40984</v>
      </c>
      <c r="B1294" s="40" t="str">
        <f>IFERROR(__xludf.DUMMYFUNCTION("""COMPUTED_VALUE"""),"KESIA NATALIA I. BENU")</f>
        <v>KESIA NATALIA I. BENU</v>
      </c>
      <c r="C1294" s="40" t="str">
        <f>IFERROR(__xludf.DUMMYFUNCTION("""COMPUTED_VALUE"""),"Dapat limit tapi belum diproses")</f>
        <v>Dapat limit tapi belum diproses</v>
      </c>
      <c r="D1294" s="40" t="str">
        <f>IFERROR(__xludf.DUMMYFUNCTION("""COMPUTED_VALUE"""),"Y400 series")</f>
        <v>Y400 series</v>
      </c>
      <c r="E1294" s="40" t="s">
        <v>11417</v>
      </c>
      <c r="F1294" s="40" t="s">
        <v>257</v>
      </c>
      <c r="G1294" s="40" t="s">
        <v>11418</v>
      </c>
      <c r="H1294" s="40" t="s">
        <v>11419</v>
      </c>
    </row>
    <row r="1295">
      <c r="A1295" s="39">
        <f>IFERROR(__xludf.DUMMYFUNCTION("""COMPUTED_VALUE"""),45939.460401701384)</f>
        <v>45939.4604</v>
      </c>
      <c r="B1295" s="40" t="str">
        <f>IFERROR(__xludf.DUMMYFUNCTION("""COMPUTED_VALUE"""),"IDMAL YUSDIRAN YUSUF")</f>
        <v>IDMAL YUSDIRAN YUSUF</v>
      </c>
      <c r="C1295" s="40" t="str">
        <f>IFERROR(__xludf.DUMMYFUNCTION("""COMPUTED_VALUE"""),"Belum disetujui")</f>
        <v>Belum disetujui</v>
      </c>
      <c r="D1295" s="40"/>
      <c r="E1295" s="40" t="s">
        <v>11417</v>
      </c>
      <c r="F1295" s="40" t="s">
        <v>257</v>
      </c>
      <c r="G1295" s="40" t="s">
        <v>11418</v>
      </c>
      <c r="H1295" s="40" t="s">
        <v>11419</v>
      </c>
    </row>
    <row r="1296">
      <c r="A1296" s="39">
        <f>IFERROR(__xludf.DUMMYFUNCTION("""COMPUTED_VALUE"""),45939.47870151621)</f>
        <v>45939.4787</v>
      </c>
      <c r="B1296" s="40" t="str">
        <f>IFERROR(__xludf.DUMMYFUNCTION("""COMPUTED_VALUE"""),"AZ ZAHRA SITI ZAINAB")</f>
        <v>AZ ZAHRA SITI ZAINAB</v>
      </c>
      <c r="C1296" s="40" t="str">
        <f>IFERROR(__xludf.DUMMYFUNCTION("""COMPUTED_VALUE"""),"Dapat limit tapi belum diproses")</f>
        <v>Dapat limit tapi belum diproses</v>
      </c>
      <c r="D1296" s="40" t="str">
        <f>IFERROR(__xludf.DUMMYFUNCTION("""COMPUTED_VALUE"""),"Y400 series")</f>
        <v>Y400 series</v>
      </c>
      <c r="E1296" s="40" t="s">
        <v>11462</v>
      </c>
      <c r="F1296" s="40" t="s">
        <v>257</v>
      </c>
      <c r="G1296" s="40" t="s">
        <v>11463</v>
      </c>
      <c r="H1296" s="40" t="s">
        <v>11419</v>
      </c>
    </row>
    <row r="1297">
      <c r="A1297" s="39">
        <f>IFERROR(__xludf.DUMMYFUNCTION("""COMPUTED_VALUE"""),45939.481592812495)</f>
        <v>45939.48159</v>
      </c>
      <c r="B1297" s="40" t="str">
        <f>IFERROR(__xludf.DUMMYFUNCTION("""COMPUTED_VALUE"""),"HERONIMUS NAMU WALI")</f>
        <v>HERONIMUS NAMU WALI</v>
      </c>
      <c r="C1297" s="40" t="str">
        <f>IFERROR(__xludf.DUMMYFUNCTION("""COMPUTED_VALUE"""),"Belum disetujui")</f>
        <v>Belum disetujui</v>
      </c>
      <c r="D1297" s="40"/>
      <c r="E1297" s="40" t="s">
        <v>11452</v>
      </c>
      <c r="F1297" s="40" t="s">
        <v>205</v>
      </c>
      <c r="G1297" s="40" t="s">
        <v>11453</v>
      </c>
      <c r="H1297" s="40" t="s">
        <v>11419</v>
      </c>
    </row>
    <row r="1298">
      <c r="A1298" s="39">
        <f>IFERROR(__xludf.DUMMYFUNCTION("""COMPUTED_VALUE"""),45939.48560806712)</f>
        <v>45939.48561</v>
      </c>
      <c r="B1298" s="40" t="str">
        <f>IFERROR(__xludf.DUMMYFUNCTION("""COMPUTED_VALUE"""),"HERONIMUS NAMU WALI")</f>
        <v>HERONIMUS NAMU WALI</v>
      </c>
      <c r="C1298" s="40" t="str">
        <f>IFERROR(__xludf.DUMMYFUNCTION("""COMPUTED_VALUE"""),"Belum disetujui")</f>
        <v>Belum disetujui</v>
      </c>
      <c r="D1298" s="40"/>
      <c r="E1298" s="40" t="s">
        <v>11452</v>
      </c>
      <c r="F1298" s="40" t="s">
        <v>205</v>
      </c>
      <c r="G1298" s="40" t="s">
        <v>11453</v>
      </c>
      <c r="H1298" s="40" t="s">
        <v>11419</v>
      </c>
    </row>
    <row r="1299">
      <c r="A1299" s="39">
        <f>IFERROR(__xludf.DUMMYFUNCTION("""COMPUTED_VALUE"""),45939.48689421296)</f>
        <v>45939.48689</v>
      </c>
      <c r="B1299" s="40" t="str">
        <f>IFERROR(__xludf.DUMMYFUNCTION("""COMPUTED_VALUE"""),"IRENE NOVALIA KADJU")</f>
        <v>IRENE NOVALIA KADJU</v>
      </c>
      <c r="C1299" s="40" t="str">
        <f>IFERROR(__xludf.DUMMYFUNCTION("""COMPUTED_VALUE"""),"ACC")</f>
        <v>ACC</v>
      </c>
      <c r="D1299" s="40" t="str">
        <f>IFERROR(__xludf.DUMMYFUNCTION("""COMPUTED_VALUE"""),"Y400 series")</f>
        <v>Y400 series</v>
      </c>
      <c r="E1299" s="40" t="s">
        <v>11445</v>
      </c>
      <c r="F1299" s="40" t="s">
        <v>204</v>
      </c>
      <c r="G1299" s="40" t="s">
        <v>11446</v>
      </c>
      <c r="H1299" s="40" t="s">
        <v>11399</v>
      </c>
    </row>
    <row r="1300">
      <c r="A1300" s="39">
        <f>IFERROR(__xludf.DUMMYFUNCTION("""COMPUTED_VALUE"""),45939.55906859954)</f>
        <v>45939.55907</v>
      </c>
      <c r="B1300" s="40" t="str">
        <f>IFERROR(__xludf.DUMMYFUNCTION("""COMPUTED_VALUE"""),"MARIA ISABELA NONIS")</f>
        <v>MARIA ISABELA NONIS</v>
      </c>
      <c r="C1300" s="40" t="str">
        <f>IFERROR(__xludf.DUMMYFUNCTION("""COMPUTED_VALUE"""),"ACC")</f>
        <v>ACC</v>
      </c>
      <c r="D1300" s="40" t="str">
        <f>IFERROR(__xludf.DUMMYFUNCTION("""COMPUTED_VALUE"""),"Y400 series")</f>
        <v>Y400 series</v>
      </c>
      <c r="E1300" s="40" t="s">
        <v>11470</v>
      </c>
      <c r="F1300" s="40" t="s">
        <v>313</v>
      </c>
      <c r="G1300" s="40" t="s">
        <v>11471</v>
      </c>
      <c r="H1300" s="40" t="s">
        <v>11424</v>
      </c>
    </row>
    <row r="1301">
      <c r="A1301" s="39">
        <f>IFERROR(__xludf.DUMMYFUNCTION("""COMPUTED_VALUE"""),45939.56747111111)</f>
        <v>45939.56747</v>
      </c>
      <c r="B1301" s="40" t="str">
        <f>IFERROR(__xludf.DUMMYFUNCTION("""COMPUTED_VALUE"""),"BERGITHA NIA OLIN")</f>
        <v>BERGITHA NIA OLIN</v>
      </c>
      <c r="C1301" s="40" t="str">
        <f>IFERROR(__xludf.DUMMYFUNCTION("""COMPUTED_VALUE"""),"Belum disetujui")</f>
        <v>Belum disetujui</v>
      </c>
      <c r="D1301" s="40"/>
      <c r="E1301" s="40" t="s">
        <v>11431</v>
      </c>
      <c r="F1301" s="40" t="s">
        <v>313</v>
      </c>
      <c r="G1301" s="40" t="s">
        <v>11432</v>
      </c>
      <c r="H1301" s="40" t="s">
        <v>11424</v>
      </c>
    </row>
    <row r="1302">
      <c r="A1302" s="39">
        <f>IFERROR(__xludf.DUMMYFUNCTION("""COMPUTED_VALUE"""),45939.57662305555)</f>
        <v>45939.57662</v>
      </c>
      <c r="B1302" s="40" t="str">
        <f>IFERROR(__xludf.DUMMYFUNCTION("""COMPUTED_VALUE"""),"SANTI MARIA LUKMINI NAHAK")</f>
        <v>SANTI MARIA LUKMINI NAHAK</v>
      </c>
      <c r="C1302" s="40" t="str">
        <f>IFERROR(__xludf.DUMMYFUNCTION("""COMPUTED_VALUE"""),"Dapat limit tapi belum diproses")</f>
        <v>Dapat limit tapi belum diproses</v>
      </c>
      <c r="D1302" s="40" t="str">
        <f>IFERROR(__xludf.DUMMYFUNCTION("""COMPUTED_VALUE"""),"Y400 series")</f>
        <v>Y400 series</v>
      </c>
      <c r="E1302" s="40" t="s">
        <v>11460</v>
      </c>
      <c r="F1302" s="40" t="s">
        <v>871</v>
      </c>
      <c r="G1302" s="40" t="s">
        <v>11461</v>
      </c>
      <c r="H1302" s="40" t="s">
        <v>11424</v>
      </c>
    </row>
    <row r="1303">
      <c r="A1303" s="39">
        <f>IFERROR(__xludf.DUMMYFUNCTION("""COMPUTED_VALUE"""),45939.63628927083)</f>
        <v>45939.63629</v>
      </c>
      <c r="B1303" s="40" t="str">
        <f>IFERROR(__xludf.DUMMYFUNCTION("""COMPUTED_VALUE"""),"ADRIANA")</f>
        <v>ADRIANA</v>
      </c>
      <c r="C1303" s="40" t="str">
        <f>IFERROR(__xludf.DUMMYFUNCTION("""COMPUTED_VALUE"""),"Belum disetujui")</f>
        <v>Belum disetujui</v>
      </c>
      <c r="D1303" s="40"/>
      <c r="E1303" s="40" t="s">
        <v>11433</v>
      </c>
      <c r="F1303" s="40" t="s">
        <v>313</v>
      </c>
      <c r="G1303" s="40" t="s">
        <v>11434</v>
      </c>
      <c r="H1303" s="40" t="s">
        <v>11424</v>
      </c>
    </row>
    <row r="1304">
      <c r="A1304" s="39">
        <f>IFERROR(__xludf.DUMMYFUNCTION("""COMPUTED_VALUE"""),45939.66581423611)</f>
        <v>45939.66581</v>
      </c>
      <c r="B1304" s="40" t="str">
        <f>IFERROR(__xludf.DUMMYFUNCTION("""COMPUTED_VALUE"""),"SANTI MARIA LUKMINI NAHAK")</f>
        <v>SANTI MARIA LUKMINI NAHAK</v>
      </c>
      <c r="C1304" s="40" t="str">
        <f>IFERROR(__xludf.DUMMYFUNCTION("""COMPUTED_VALUE"""),"Belum disetujui")</f>
        <v>Belum disetujui</v>
      </c>
      <c r="D1304" s="40"/>
      <c r="E1304" s="40" t="s">
        <v>11460</v>
      </c>
      <c r="F1304" s="40" t="s">
        <v>871</v>
      </c>
      <c r="G1304" s="40" t="s">
        <v>11461</v>
      </c>
      <c r="H1304" s="40" t="s">
        <v>11424</v>
      </c>
    </row>
    <row r="1305">
      <c r="A1305" s="39">
        <f>IFERROR(__xludf.DUMMYFUNCTION("""COMPUTED_VALUE"""),45939.68577671296)</f>
        <v>45939.68578</v>
      </c>
      <c r="B1305" s="40" t="str">
        <f>IFERROR(__xludf.DUMMYFUNCTION("""COMPUTED_VALUE"""),"NOVLIANA BARBALINA MISA")</f>
        <v>NOVLIANA BARBALINA MISA</v>
      </c>
      <c r="C1305" s="40" t="str">
        <f>IFERROR(__xludf.DUMMYFUNCTION("""COMPUTED_VALUE"""),"Belum disetujui")</f>
        <v>Belum disetujui</v>
      </c>
      <c r="D1305" s="40"/>
      <c r="E1305" s="40" t="s">
        <v>11454</v>
      </c>
      <c r="F1305" s="40" t="s">
        <v>205</v>
      </c>
      <c r="G1305" s="40" t="s">
        <v>11455</v>
      </c>
      <c r="H1305" s="40" t="s">
        <v>11419</v>
      </c>
    </row>
    <row r="1306">
      <c r="A1306" s="39">
        <f>IFERROR(__xludf.DUMMYFUNCTION("""COMPUTED_VALUE"""),45939.71204770834)</f>
        <v>45939.71205</v>
      </c>
      <c r="B1306" s="40" t="str">
        <f>IFERROR(__xludf.DUMMYFUNCTION("""COMPUTED_VALUE"""),"SANTI MARIA LUKMINI NAHAK")</f>
        <v>SANTI MARIA LUKMINI NAHAK</v>
      </c>
      <c r="C1306" s="40" t="str">
        <f>IFERROR(__xludf.DUMMYFUNCTION("""COMPUTED_VALUE"""),"Belum disetujui")</f>
        <v>Belum disetujui</v>
      </c>
      <c r="D1306" s="40"/>
      <c r="E1306" s="40" t="s">
        <v>11460</v>
      </c>
      <c r="F1306" s="40" t="s">
        <v>871</v>
      </c>
      <c r="G1306" s="40" t="s">
        <v>11461</v>
      </c>
      <c r="H1306" s="40" t="s">
        <v>11424</v>
      </c>
    </row>
    <row r="1307">
      <c r="A1307" s="39">
        <f>IFERROR(__xludf.DUMMYFUNCTION("""COMPUTED_VALUE"""),45939.73526592593)</f>
        <v>45939.73527</v>
      </c>
      <c r="B1307" s="40" t="str">
        <f>IFERROR(__xludf.DUMMYFUNCTION("""COMPUTED_VALUE"""),"MARNITHA JUWIKE TIMORATI RUNESI")</f>
        <v>MARNITHA JUWIKE TIMORATI RUNESI</v>
      </c>
      <c r="C1307" s="40" t="str">
        <f>IFERROR(__xludf.DUMMYFUNCTION("""COMPUTED_VALUE"""),"Dapat limit tapi belum diproses")</f>
        <v>Dapat limit tapi belum diproses</v>
      </c>
      <c r="D1307" s="40" t="str">
        <f>IFERROR(__xludf.DUMMYFUNCTION("""COMPUTED_VALUE"""),"Y400 series")</f>
        <v>Y400 series</v>
      </c>
      <c r="E1307" s="40" t="s">
        <v>11420</v>
      </c>
      <c r="F1307" s="40" t="s">
        <v>204</v>
      </c>
      <c r="G1307" s="40" t="s">
        <v>11421</v>
      </c>
      <c r="H1307" s="40" t="s">
        <v>11399</v>
      </c>
    </row>
    <row r="1308">
      <c r="A1308" s="39">
        <f>IFERROR(__xludf.DUMMYFUNCTION("""COMPUTED_VALUE"""),45939.76909650463)</f>
        <v>45939.7691</v>
      </c>
      <c r="B1308" s="40" t="str">
        <f>IFERROR(__xludf.DUMMYFUNCTION("""COMPUTED_VALUE"""),"HERONIMUS NAMU WALI")</f>
        <v>HERONIMUS NAMU WALI</v>
      </c>
      <c r="C1308" s="40" t="str">
        <f>IFERROR(__xludf.DUMMYFUNCTION("""COMPUTED_VALUE"""),"ACC")</f>
        <v>ACC</v>
      </c>
      <c r="D1308" s="40" t="str">
        <f>IFERROR(__xludf.DUMMYFUNCTION("""COMPUTED_VALUE"""),"Y400 series")</f>
        <v>Y400 series</v>
      </c>
      <c r="E1308" s="40" t="s">
        <v>11452</v>
      </c>
      <c r="F1308" s="40" t="s">
        <v>205</v>
      </c>
      <c r="G1308" s="40" t="s">
        <v>11453</v>
      </c>
      <c r="H1308" s="40" t="s">
        <v>11419</v>
      </c>
    </row>
    <row r="1309">
      <c r="A1309" s="39">
        <f>IFERROR(__xludf.DUMMYFUNCTION("""COMPUTED_VALUE"""),45939.78786895833)</f>
        <v>45939.78787</v>
      </c>
      <c r="B1309" s="40" t="str">
        <f>IFERROR(__xludf.DUMMYFUNCTION("""COMPUTED_VALUE"""),"SULIS NURAINI INSYATUN")</f>
        <v>SULIS NURAINI INSYATUN</v>
      </c>
      <c r="C1309" s="40" t="str">
        <f>IFERROR(__xludf.DUMMYFUNCTION("""COMPUTED_VALUE"""),"ACC")</f>
        <v>ACC</v>
      </c>
      <c r="D1309" s="40" t="str">
        <f>IFERROR(__xludf.DUMMYFUNCTION("""COMPUTED_VALUE"""),"V60 Lite series")</f>
        <v>V60 Lite series</v>
      </c>
      <c r="E1309" s="40" t="s">
        <v>11429</v>
      </c>
      <c r="F1309" s="40" t="s">
        <v>257</v>
      </c>
      <c r="G1309" s="40" t="s">
        <v>11430</v>
      </c>
      <c r="H1309" s="40" t="s">
        <v>11419</v>
      </c>
    </row>
    <row r="1310">
      <c r="A1310" s="39">
        <f>IFERROR(__xludf.DUMMYFUNCTION("""COMPUTED_VALUE"""),45939.80282967593)</f>
        <v>45939.80283</v>
      </c>
      <c r="B1310" s="40" t="str">
        <f>IFERROR(__xludf.DUMMYFUNCTION("""COMPUTED_VALUE"""),"PUSPA ANGGREINI")</f>
        <v>PUSPA ANGGREINI</v>
      </c>
      <c r="C1310" s="40" t="str">
        <f>IFERROR(__xludf.DUMMYFUNCTION("""COMPUTED_VALUE"""),"Dapat limit tapi belum diproses")</f>
        <v>Dapat limit tapi belum diproses</v>
      </c>
      <c r="D1310" s="40" t="str">
        <f>IFERROR(__xludf.DUMMYFUNCTION("""COMPUTED_VALUE"""),"V60 series")</f>
        <v>V60 series</v>
      </c>
      <c r="E1310" s="40" t="s">
        <v>11427</v>
      </c>
      <c r="F1310" s="40" t="s">
        <v>257</v>
      </c>
      <c r="G1310" s="40" t="s">
        <v>11428</v>
      </c>
      <c r="H1310" s="40" t="s">
        <v>11419</v>
      </c>
    </row>
    <row r="1311">
      <c r="A1311" s="39">
        <f>IFERROR(__xludf.DUMMYFUNCTION("""COMPUTED_VALUE"""),45939.851202847225)</f>
        <v>45939.8512</v>
      </c>
      <c r="B1311" s="40" t="str">
        <f>IFERROR(__xludf.DUMMYFUNCTION("""COMPUTED_VALUE"""),"AMBU BAIQ JUMENAH")</f>
        <v>AMBU BAIQ JUMENAH</v>
      </c>
      <c r="C1311" s="40" t="str">
        <f>IFERROR(__xludf.DUMMYFUNCTION("""COMPUTED_VALUE"""),"Dapat limit tapi belum diproses")</f>
        <v>Dapat limit tapi belum diproses</v>
      </c>
      <c r="D1311" s="40" t="str">
        <f>IFERROR(__xludf.DUMMYFUNCTION("""COMPUTED_VALUE"""),"Y400 series")</f>
        <v>Y400 series</v>
      </c>
      <c r="E1311" s="40" t="s">
        <v>11458</v>
      </c>
      <c r="F1311" s="40" t="s">
        <v>205</v>
      </c>
      <c r="G1311" s="40" t="s">
        <v>11459</v>
      </c>
      <c r="H1311" s="40" t="s">
        <v>11419</v>
      </c>
    </row>
    <row r="1312">
      <c r="A1312" s="39">
        <f>IFERROR(__xludf.DUMMYFUNCTION("""COMPUTED_VALUE"""),45939.943064004634)</f>
        <v>45939.94306</v>
      </c>
      <c r="B1312" s="40" t="str">
        <f>IFERROR(__xludf.DUMMYFUNCTION("""COMPUTED_VALUE"""),"WARDIA")</f>
        <v>WARDIA</v>
      </c>
      <c r="C1312" s="40" t="str">
        <f>IFERROR(__xludf.DUMMYFUNCTION("""COMPUTED_VALUE"""),"Belum disetujui")</f>
        <v>Belum disetujui</v>
      </c>
      <c r="D1312" s="40"/>
      <c r="E1312" s="40" t="s">
        <v>11409</v>
      </c>
      <c r="F1312" s="40" t="s">
        <v>204</v>
      </c>
      <c r="G1312" s="40" t="s">
        <v>11410</v>
      </c>
      <c r="H1312" s="40" t="s">
        <v>11399</v>
      </c>
    </row>
    <row r="1313">
      <c r="A1313" s="39">
        <f>IFERROR(__xludf.DUMMYFUNCTION("""COMPUTED_VALUE"""),45940.42941819444)</f>
        <v>45940.42942</v>
      </c>
      <c r="B1313" s="40" t="str">
        <f>IFERROR(__xludf.DUMMYFUNCTION("""COMPUTED_VALUE"""),"CHOIRUNISA ILHAM")</f>
        <v>CHOIRUNISA ILHAM</v>
      </c>
      <c r="C1313" s="40" t="str">
        <f>IFERROR(__xludf.DUMMYFUNCTION("""COMPUTED_VALUE"""),"Belum disetujui")</f>
        <v>Belum disetujui</v>
      </c>
      <c r="D1313" s="40"/>
      <c r="E1313" s="40" t="s">
        <v>11404</v>
      </c>
      <c r="F1313" s="40" t="s">
        <v>11404</v>
      </c>
      <c r="G1313" s="40" t="s">
        <v>11404</v>
      </c>
      <c r="H1313" s="40" t="s">
        <v>11404</v>
      </c>
    </row>
    <row r="1314">
      <c r="A1314" s="39">
        <f>IFERROR(__xludf.DUMMYFUNCTION("""COMPUTED_VALUE"""),45940.47163266203)</f>
        <v>45940.47163</v>
      </c>
      <c r="B1314" s="40" t="str">
        <f>IFERROR(__xludf.DUMMYFUNCTION("""COMPUTED_VALUE"""),"SANTI MARIA LUKMINI NAHAK")</f>
        <v>SANTI MARIA LUKMINI NAHAK</v>
      </c>
      <c r="C1314" s="40" t="str">
        <f>IFERROR(__xludf.DUMMYFUNCTION("""COMPUTED_VALUE"""),"Belum disetujui")</f>
        <v>Belum disetujui</v>
      </c>
      <c r="D1314" s="40"/>
      <c r="E1314" s="40" t="s">
        <v>11460</v>
      </c>
      <c r="F1314" s="40" t="s">
        <v>871</v>
      </c>
      <c r="G1314" s="40" t="s">
        <v>11461</v>
      </c>
      <c r="H1314" s="40" t="s">
        <v>11424</v>
      </c>
    </row>
    <row r="1315">
      <c r="A1315" s="39">
        <f>IFERROR(__xludf.DUMMYFUNCTION("""COMPUTED_VALUE"""),45940.475912268514)</f>
        <v>45940.47591</v>
      </c>
      <c r="B1315" s="40" t="str">
        <f>IFERROR(__xludf.DUMMYFUNCTION("""COMPUTED_VALUE"""),"SANTI MARIA LUKMINI NAHAK")</f>
        <v>SANTI MARIA LUKMINI NAHAK</v>
      </c>
      <c r="C1315" s="40" t="str">
        <f>IFERROR(__xludf.DUMMYFUNCTION("""COMPUTED_VALUE"""),"Belum disetujui")</f>
        <v>Belum disetujui</v>
      </c>
      <c r="D1315" s="40"/>
      <c r="E1315" s="40" t="s">
        <v>11460</v>
      </c>
      <c r="F1315" s="40" t="s">
        <v>871</v>
      </c>
      <c r="G1315" s="40" t="s">
        <v>11461</v>
      </c>
      <c r="H1315" s="40" t="s">
        <v>11424</v>
      </c>
    </row>
    <row r="1316">
      <c r="A1316" s="39">
        <f>IFERROR(__xludf.DUMMYFUNCTION("""COMPUTED_VALUE"""),45940.49895479167)</f>
        <v>45940.49895</v>
      </c>
      <c r="B1316" s="40" t="str">
        <f>IFERROR(__xludf.DUMMYFUNCTION("""COMPUTED_VALUE"""),"YOVANDA KATRINA NAE")</f>
        <v>YOVANDA KATRINA NAE</v>
      </c>
      <c r="C1316" s="40" t="str">
        <f>IFERROR(__xludf.DUMMYFUNCTION("""COMPUTED_VALUE"""),"Belum disetujui")</f>
        <v>Belum disetujui</v>
      </c>
      <c r="D1316" s="40"/>
      <c r="E1316" s="40" t="s">
        <v>11425</v>
      </c>
      <c r="F1316" s="40" t="s">
        <v>205</v>
      </c>
      <c r="G1316" s="40" t="s">
        <v>11426</v>
      </c>
      <c r="H1316" s="40" t="s">
        <v>11419</v>
      </c>
    </row>
    <row r="1317">
      <c r="A1317" s="39">
        <f>IFERROR(__xludf.DUMMYFUNCTION("""COMPUTED_VALUE"""),45940.50074581018)</f>
        <v>45940.50075</v>
      </c>
      <c r="B1317" s="40" t="str">
        <f>IFERROR(__xludf.DUMMYFUNCTION("""COMPUTED_VALUE"""),"SANTI MARIA LUKMINI NAHAK")</f>
        <v>SANTI MARIA LUKMINI NAHAK</v>
      </c>
      <c r="C1317" s="40" t="str">
        <f>IFERROR(__xludf.DUMMYFUNCTION("""COMPUTED_VALUE"""),"Belum disetujui")</f>
        <v>Belum disetujui</v>
      </c>
      <c r="D1317" s="40"/>
      <c r="E1317" s="40" t="s">
        <v>11460</v>
      </c>
      <c r="F1317" s="40" t="s">
        <v>871</v>
      </c>
      <c r="G1317" s="40" t="s">
        <v>11461</v>
      </c>
      <c r="H1317" s="40" t="s">
        <v>11424</v>
      </c>
    </row>
    <row r="1318">
      <c r="A1318" s="39">
        <f>IFERROR(__xludf.DUMMYFUNCTION("""COMPUTED_VALUE"""),45940.51737927084)</f>
        <v>45940.51738</v>
      </c>
      <c r="B1318" s="40" t="str">
        <f>IFERROR(__xludf.DUMMYFUNCTION("""COMPUTED_VALUE"""),"ADRIANA")</f>
        <v>ADRIANA</v>
      </c>
      <c r="C1318" s="40" t="str">
        <f>IFERROR(__xludf.DUMMYFUNCTION("""COMPUTED_VALUE"""),"ACC")</f>
        <v>ACC</v>
      </c>
      <c r="D1318" s="40" t="str">
        <f>IFERROR(__xludf.DUMMYFUNCTION("""COMPUTED_VALUE"""),"Y400 series")</f>
        <v>Y400 series</v>
      </c>
      <c r="E1318" s="40" t="s">
        <v>11433</v>
      </c>
      <c r="F1318" s="40" t="s">
        <v>313</v>
      </c>
      <c r="G1318" s="40" t="s">
        <v>11434</v>
      </c>
      <c r="H1318" s="40" t="s">
        <v>11424</v>
      </c>
    </row>
    <row r="1319">
      <c r="A1319" s="39">
        <f>IFERROR(__xludf.DUMMYFUNCTION("""COMPUTED_VALUE"""),45940.54395490741)</f>
        <v>45940.54395</v>
      </c>
      <c r="B1319" s="40" t="str">
        <f>IFERROR(__xludf.DUMMYFUNCTION("""COMPUTED_VALUE"""),"HERONIMUS NAMU WALI")</f>
        <v>HERONIMUS NAMU WALI</v>
      </c>
      <c r="C1319" s="40" t="str">
        <f>IFERROR(__xludf.DUMMYFUNCTION("""COMPUTED_VALUE"""),"ACC")</f>
        <v>ACC</v>
      </c>
      <c r="D1319" s="40" t="str">
        <f>IFERROR(__xludf.DUMMYFUNCTION("""COMPUTED_VALUE"""),"Y400 series")</f>
        <v>Y400 series</v>
      </c>
      <c r="E1319" s="40" t="s">
        <v>11452</v>
      </c>
      <c r="F1319" s="40" t="s">
        <v>205</v>
      </c>
      <c r="G1319" s="40" t="s">
        <v>11453</v>
      </c>
      <c r="H1319" s="40" t="s">
        <v>11419</v>
      </c>
    </row>
    <row r="1320">
      <c r="A1320" s="39">
        <f>IFERROR(__xludf.DUMMYFUNCTION("""COMPUTED_VALUE"""),45940.55354586805)</f>
        <v>45940.55355</v>
      </c>
      <c r="B1320" s="40" t="str">
        <f>IFERROR(__xludf.DUMMYFUNCTION("""COMPUTED_VALUE"""),"ASTUTI BELA WAWO")</f>
        <v>ASTUTI BELA WAWO</v>
      </c>
      <c r="C1320" s="40" t="str">
        <f>IFERROR(__xludf.DUMMYFUNCTION("""COMPUTED_VALUE"""),"Belum disetujui")</f>
        <v>Belum disetujui</v>
      </c>
      <c r="D1320" s="40"/>
      <c r="E1320" s="40" t="s">
        <v>11427</v>
      </c>
      <c r="F1320" s="40" t="s">
        <v>257</v>
      </c>
      <c r="G1320" s="40" t="s">
        <v>11428</v>
      </c>
      <c r="H1320" s="40" t="s">
        <v>11419</v>
      </c>
    </row>
    <row r="1321">
      <c r="A1321" s="39">
        <f>IFERROR(__xludf.DUMMYFUNCTION("""COMPUTED_VALUE"""),45940.57071824074)</f>
        <v>45940.57072</v>
      </c>
      <c r="B1321" s="40" t="str">
        <f>IFERROR(__xludf.DUMMYFUNCTION("""COMPUTED_VALUE"""),"KESIA NATALIA I. BENU")</f>
        <v>KESIA NATALIA I. BENU</v>
      </c>
      <c r="C1321" s="40" t="str">
        <f>IFERROR(__xludf.DUMMYFUNCTION("""COMPUTED_VALUE"""),"Dapat limit tapi belum diproses")</f>
        <v>Dapat limit tapi belum diproses</v>
      </c>
      <c r="D1321" s="40" t="str">
        <f>IFERROR(__xludf.DUMMYFUNCTION("""COMPUTED_VALUE"""),"Y400 series")</f>
        <v>Y400 series</v>
      </c>
      <c r="E1321" s="40" t="s">
        <v>11417</v>
      </c>
      <c r="F1321" s="40" t="s">
        <v>257</v>
      </c>
      <c r="G1321" s="40" t="s">
        <v>11418</v>
      </c>
      <c r="H1321" s="40" t="s">
        <v>11419</v>
      </c>
    </row>
    <row r="1322">
      <c r="A1322" s="39">
        <f>IFERROR(__xludf.DUMMYFUNCTION("""COMPUTED_VALUE"""),45940.57689516204)</f>
        <v>45940.5769</v>
      </c>
      <c r="B1322" s="40" t="str">
        <f>IFERROR(__xludf.DUMMYFUNCTION("""COMPUTED_VALUE"""),"FERI ELI KURNIAWAN")</f>
        <v>FERI ELI KURNIAWAN</v>
      </c>
      <c r="C1322" s="40" t="str">
        <f>IFERROR(__xludf.DUMMYFUNCTION("""COMPUTED_VALUE"""),"Dapat limit tapi belum diproses")</f>
        <v>Dapat limit tapi belum diproses</v>
      </c>
      <c r="D1322" s="40" t="str">
        <f>IFERROR(__xludf.DUMMYFUNCTION("""COMPUTED_VALUE"""),"Y400 series")</f>
        <v>Y400 series</v>
      </c>
      <c r="E1322" s="40" t="s">
        <v>11411</v>
      </c>
      <c r="F1322" s="40" t="s">
        <v>220</v>
      </c>
      <c r="G1322" s="40" t="s">
        <v>11412</v>
      </c>
      <c r="H1322" s="40" t="s">
        <v>11399</v>
      </c>
    </row>
    <row r="1323">
      <c r="A1323" s="39">
        <f>IFERROR(__xludf.DUMMYFUNCTION("""COMPUTED_VALUE"""),45940.583486793985)</f>
        <v>45940.58349</v>
      </c>
      <c r="B1323" s="40" t="str">
        <f>IFERROR(__xludf.DUMMYFUNCTION("""COMPUTED_VALUE"""),"BERGITHA NIA OLIN")</f>
        <v>BERGITHA NIA OLIN</v>
      </c>
      <c r="C1323" s="40" t="str">
        <f>IFERROR(__xludf.DUMMYFUNCTION("""COMPUTED_VALUE"""),"Dapat limit tapi belum diproses")</f>
        <v>Dapat limit tapi belum diproses</v>
      </c>
      <c r="D1323" s="40" t="str">
        <f>IFERROR(__xludf.DUMMYFUNCTION("""COMPUTED_VALUE"""),"Y400 series")</f>
        <v>Y400 series</v>
      </c>
      <c r="E1323" s="40" t="s">
        <v>11431</v>
      </c>
      <c r="F1323" s="40" t="s">
        <v>313</v>
      </c>
      <c r="G1323" s="40" t="s">
        <v>11432</v>
      </c>
      <c r="H1323" s="40" t="s">
        <v>11424</v>
      </c>
    </row>
    <row r="1324">
      <c r="A1324" s="39">
        <f>IFERROR(__xludf.DUMMYFUNCTION("""COMPUTED_VALUE"""),45940.584700625004)</f>
        <v>45940.5847</v>
      </c>
      <c r="B1324" s="40" t="str">
        <f>IFERROR(__xludf.DUMMYFUNCTION("""COMPUTED_VALUE"""),"SANTI MARIA LUKMINI NAHAK")</f>
        <v>SANTI MARIA LUKMINI NAHAK</v>
      </c>
      <c r="C1324" s="40" t="str">
        <f>IFERROR(__xludf.DUMMYFUNCTION("""COMPUTED_VALUE"""),"Belum disetujui")</f>
        <v>Belum disetujui</v>
      </c>
      <c r="D1324" s="40"/>
      <c r="E1324" s="40" t="s">
        <v>11460</v>
      </c>
      <c r="F1324" s="40" t="s">
        <v>871</v>
      </c>
      <c r="G1324" s="40" t="s">
        <v>11461</v>
      </c>
      <c r="H1324" s="40" t="s">
        <v>11424</v>
      </c>
    </row>
    <row r="1325">
      <c r="A1325" s="39">
        <f>IFERROR(__xludf.DUMMYFUNCTION("""COMPUTED_VALUE"""),45940.65684056713)</f>
        <v>45940.65684</v>
      </c>
      <c r="B1325" s="40" t="str">
        <f>IFERROR(__xludf.DUMMYFUNCTION("""COMPUTED_VALUE"""),"ASTUTI BELA WAWO")</f>
        <v>ASTUTI BELA WAWO</v>
      </c>
      <c r="C1325" s="40" t="str">
        <f>IFERROR(__xludf.DUMMYFUNCTION("""COMPUTED_VALUE"""),"Belum disetujui")</f>
        <v>Belum disetujui</v>
      </c>
      <c r="D1325" s="40"/>
      <c r="E1325" s="40" t="s">
        <v>11427</v>
      </c>
      <c r="F1325" s="40" t="s">
        <v>257</v>
      </c>
      <c r="G1325" s="40" t="s">
        <v>11428</v>
      </c>
      <c r="H1325" s="40" t="s">
        <v>11419</v>
      </c>
    </row>
    <row r="1326">
      <c r="A1326" s="39">
        <f>IFERROR(__xludf.DUMMYFUNCTION("""COMPUTED_VALUE"""),45940.67224230325)</f>
        <v>45940.67224</v>
      </c>
      <c r="B1326" s="40" t="str">
        <f>IFERROR(__xludf.DUMMYFUNCTION("""COMPUTED_VALUE"""),"NUR FATIMAH MOLBANG")</f>
        <v>NUR FATIMAH MOLBANG</v>
      </c>
      <c r="C1326" s="40" t="str">
        <f>IFERROR(__xludf.DUMMYFUNCTION("""COMPUTED_VALUE"""),"Belum disetujui")</f>
        <v>Belum disetujui</v>
      </c>
      <c r="D1326" s="40"/>
      <c r="E1326" s="40" t="s">
        <v>11439</v>
      </c>
      <c r="F1326" s="40" t="s">
        <v>313</v>
      </c>
      <c r="G1326" s="40" t="s">
        <v>11440</v>
      </c>
      <c r="H1326" s="40" t="s">
        <v>11424</v>
      </c>
    </row>
    <row r="1327">
      <c r="A1327" s="39">
        <f>IFERROR(__xludf.DUMMYFUNCTION("""COMPUTED_VALUE"""),45940.72835359953)</f>
        <v>45940.72835</v>
      </c>
      <c r="B1327" s="40" t="str">
        <f>IFERROR(__xludf.DUMMYFUNCTION("""COMPUTED_VALUE"""),"PATRIANI MENGI ULY")</f>
        <v>PATRIANI MENGI ULY</v>
      </c>
      <c r="C1327" s="40" t="str">
        <f>IFERROR(__xludf.DUMMYFUNCTION("""COMPUTED_VALUE"""),"Belum disetujui")</f>
        <v>Belum disetujui</v>
      </c>
      <c r="D1327" s="40"/>
      <c r="E1327" s="40" t="s">
        <v>11402</v>
      </c>
      <c r="F1327" s="40" t="s">
        <v>204</v>
      </c>
      <c r="G1327" s="40" t="s">
        <v>11403</v>
      </c>
      <c r="H1327" s="40" t="s">
        <v>11399</v>
      </c>
    </row>
    <row r="1328">
      <c r="A1328" s="39">
        <f>IFERROR(__xludf.DUMMYFUNCTION("""COMPUTED_VALUE"""),45940.73195962962)</f>
        <v>45940.73196</v>
      </c>
      <c r="B1328" s="40" t="str">
        <f>IFERROR(__xludf.DUMMYFUNCTION("""COMPUTED_VALUE"""),"AZ ZAHRA SITI ZAINAB")</f>
        <v>AZ ZAHRA SITI ZAINAB</v>
      </c>
      <c r="C1328" s="40" t="str">
        <f>IFERROR(__xludf.DUMMYFUNCTION("""COMPUTED_VALUE"""),"Dapat limit tapi belum diproses")</f>
        <v>Dapat limit tapi belum diproses</v>
      </c>
      <c r="D1328" s="40" t="str">
        <f>IFERROR(__xludf.DUMMYFUNCTION("""COMPUTED_VALUE"""),"Y400 series")</f>
        <v>Y400 series</v>
      </c>
      <c r="E1328" s="40" t="s">
        <v>11462</v>
      </c>
      <c r="F1328" s="40" t="s">
        <v>257</v>
      </c>
      <c r="G1328" s="40" t="s">
        <v>11463</v>
      </c>
      <c r="H1328" s="40" t="s">
        <v>11419</v>
      </c>
    </row>
    <row r="1329">
      <c r="A1329" s="39">
        <f>IFERROR(__xludf.DUMMYFUNCTION("""COMPUTED_VALUE"""),45940.76890861111)</f>
        <v>45940.76891</v>
      </c>
      <c r="B1329" s="40" t="str">
        <f>IFERROR(__xludf.DUMMYFUNCTION("""COMPUTED_VALUE"""),"HERONIMUS NAMU WALI")</f>
        <v>HERONIMUS NAMU WALI</v>
      </c>
      <c r="C1329" s="40" t="str">
        <f>IFERROR(__xludf.DUMMYFUNCTION("""COMPUTED_VALUE"""),"ACC")</f>
        <v>ACC</v>
      </c>
      <c r="D1329" s="40" t="str">
        <f>IFERROR(__xludf.DUMMYFUNCTION("""COMPUTED_VALUE"""),"Y400 series")</f>
        <v>Y400 series</v>
      </c>
      <c r="E1329" s="40" t="s">
        <v>11452</v>
      </c>
      <c r="F1329" s="40" t="s">
        <v>205</v>
      </c>
      <c r="G1329" s="40" t="s">
        <v>11453</v>
      </c>
      <c r="H1329" s="40" t="s">
        <v>11419</v>
      </c>
    </row>
    <row r="1330">
      <c r="A1330" s="39">
        <f>IFERROR(__xludf.DUMMYFUNCTION("""COMPUTED_VALUE"""),45940.77626796297)</f>
        <v>45940.77627</v>
      </c>
      <c r="B1330" s="40" t="str">
        <f>IFERROR(__xludf.DUMMYFUNCTION("""COMPUTED_VALUE"""),"LASTRIANA PALUS")</f>
        <v>LASTRIANA PALUS</v>
      </c>
      <c r="C1330" s="40" t="str">
        <f>IFERROR(__xludf.DUMMYFUNCTION("""COMPUTED_VALUE"""),"Dapat limit tapi belum diproses")</f>
        <v>Dapat limit tapi belum diproses</v>
      </c>
      <c r="D1330" s="40" t="str">
        <f>IFERROR(__xludf.DUMMYFUNCTION("""COMPUTED_VALUE"""),"Y400 series")</f>
        <v>Y400 series</v>
      </c>
      <c r="E1330" s="40" t="s">
        <v>11468</v>
      </c>
      <c r="F1330" s="40" t="s">
        <v>257</v>
      </c>
      <c r="G1330" s="40" t="s">
        <v>11469</v>
      </c>
      <c r="H1330" s="40" t="s">
        <v>11419</v>
      </c>
    </row>
    <row r="1331">
      <c r="A1331" s="39">
        <f>IFERROR(__xludf.DUMMYFUNCTION("""COMPUTED_VALUE"""),45940.782309282404)</f>
        <v>45940.78231</v>
      </c>
      <c r="B1331" s="40" t="str">
        <f>IFERROR(__xludf.DUMMYFUNCTION("""COMPUTED_VALUE"""),"ASRI NINGSI RAMBU ATA ENDI")</f>
        <v>ASRI NINGSI RAMBU ATA ENDI</v>
      </c>
      <c r="C1331" s="40" t="str">
        <f>IFERROR(__xludf.DUMMYFUNCTION("""COMPUTED_VALUE"""),"Belum disetujui")</f>
        <v>Belum disetujui</v>
      </c>
      <c r="D1331" s="40"/>
      <c r="E1331" s="40" t="s">
        <v>11441</v>
      </c>
      <c r="F1331" s="40" t="s">
        <v>205</v>
      </c>
      <c r="G1331" s="40" t="s">
        <v>11442</v>
      </c>
      <c r="H1331" s="40" t="s">
        <v>11419</v>
      </c>
    </row>
    <row r="1332">
      <c r="A1332" s="39">
        <f>IFERROR(__xludf.DUMMYFUNCTION("""COMPUTED_VALUE"""),45940.784256678235)</f>
        <v>45940.78426</v>
      </c>
      <c r="B1332" s="40" t="str">
        <f>IFERROR(__xludf.DUMMYFUNCTION("""COMPUTED_VALUE"""),"ASRI NINGSI RAMBU ATA ENDI")</f>
        <v>ASRI NINGSI RAMBU ATA ENDI</v>
      </c>
      <c r="C1332" s="40" t="str">
        <f>IFERROR(__xludf.DUMMYFUNCTION("""COMPUTED_VALUE"""),"Belum disetujui")</f>
        <v>Belum disetujui</v>
      </c>
      <c r="D1332" s="40"/>
      <c r="E1332" s="40" t="s">
        <v>11441</v>
      </c>
      <c r="F1332" s="40" t="s">
        <v>205</v>
      </c>
      <c r="G1332" s="40" t="s">
        <v>11442</v>
      </c>
      <c r="H1332" s="40" t="s">
        <v>11419</v>
      </c>
    </row>
    <row r="1333">
      <c r="A1333" s="39">
        <f>IFERROR(__xludf.DUMMYFUNCTION("""COMPUTED_VALUE"""),45940.809336342594)</f>
        <v>45940.80934</v>
      </c>
      <c r="B1333" s="40" t="str">
        <f>IFERROR(__xludf.DUMMYFUNCTION("""COMPUTED_VALUE"""),"MARIA MELAN ANANCE BILI")</f>
        <v>MARIA MELAN ANANCE BILI</v>
      </c>
      <c r="C1333" s="40" t="str">
        <f>IFERROR(__xludf.DUMMYFUNCTION("""COMPUTED_VALUE"""),"Belum disetujui")</f>
        <v>Belum disetujui</v>
      </c>
      <c r="D1333" s="40"/>
      <c r="E1333" s="40" t="s">
        <v>11466</v>
      </c>
      <c r="F1333" s="40" t="s">
        <v>257</v>
      </c>
      <c r="G1333" s="40" t="s">
        <v>11467</v>
      </c>
      <c r="H1333" s="40" t="s">
        <v>11419</v>
      </c>
    </row>
    <row r="1334">
      <c r="A1334" s="39">
        <f>IFERROR(__xludf.DUMMYFUNCTION("""COMPUTED_VALUE"""),45940.82352440972)</f>
        <v>45940.82352</v>
      </c>
      <c r="B1334" s="40" t="str">
        <f>IFERROR(__xludf.DUMMYFUNCTION("""COMPUTED_VALUE"""),"MARATHA MARLINDA FANGGIDAE")</f>
        <v>MARATHA MARLINDA FANGGIDAE</v>
      </c>
      <c r="C1334" s="40" t="str">
        <f>IFERROR(__xludf.DUMMYFUNCTION("""COMPUTED_VALUE"""),"Belum disetujui")</f>
        <v>Belum disetujui</v>
      </c>
      <c r="D1334" s="40"/>
      <c r="E1334" s="40" t="s">
        <v>11435</v>
      </c>
      <c r="F1334" s="40" t="s">
        <v>215</v>
      </c>
      <c r="G1334" s="40" t="s">
        <v>11436</v>
      </c>
      <c r="H1334" s="40" t="s">
        <v>11424</v>
      </c>
    </row>
    <row r="1335">
      <c r="A1335" s="39">
        <f>IFERROR(__xludf.DUMMYFUNCTION("""COMPUTED_VALUE"""),45940.926098206015)</f>
        <v>45940.9261</v>
      </c>
      <c r="B1335" s="40" t="str">
        <f>IFERROR(__xludf.DUMMYFUNCTION("""COMPUTED_VALUE"""),"MARATHA MARLINDA FANGGIDAE")</f>
        <v>MARATHA MARLINDA FANGGIDAE</v>
      </c>
      <c r="C1335" s="40" t="str">
        <f>IFERROR(__xludf.DUMMYFUNCTION("""COMPUTED_VALUE"""),"Belum disetujui")</f>
        <v>Belum disetujui</v>
      </c>
      <c r="D1335" s="40"/>
      <c r="E1335" s="40" t="s">
        <v>11435</v>
      </c>
      <c r="F1335" s="40" t="s">
        <v>215</v>
      </c>
      <c r="G1335" s="40" t="s">
        <v>11436</v>
      </c>
      <c r="H1335" s="40" t="s">
        <v>11424</v>
      </c>
    </row>
    <row r="1336">
      <c r="A1336" s="39">
        <f>IFERROR(__xludf.DUMMYFUNCTION("""COMPUTED_VALUE"""),45941.395732997684)</f>
        <v>45941.39573</v>
      </c>
      <c r="B1336" s="40" t="str">
        <f>IFERROR(__xludf.DUMMYFUNCTION("""COMPUTED_VALUE"""),"ANITA ANA AMAH")</f>
        <v>ANITA ANA AMAH</v>
      </c>
      <c r="C1336" s="40" t="str">
        <f>IFERROR(__xludf.DUMMYFUNCTION("""COMPUTED_VALUE"""),"Belum disetujui")</f>
        <v>Belum disetujui</v>
      </c>
      <c r="D1336" s="40"/>
      <c r="E1336" s="40" t="s">
        <v>11425</v>
      </c>
      <c r="F1336" s="40" t="s">
        <v>205</v>
      </c>
      <c r="G1336" s="40" t="s">
        <v>11426</v>
      </c>
      <c r="H1336" s="40" t="s">
        <v>11419</v>
      </c>
    </row>
    <row r="1337">
      <c r="A1337" s="39">
        <f>IFERROR(__xludf.DUMMYFUNCTION("""COMPUTED_VALUE"""),45941.40321277778)</f>
        <v>45941.40321</v>
      </c>
      <c r="B1337" s="40" t="str">
        <f>IFERROR(__xludf.DUMMYFUNCTION("""COMPUTED_VALUE"""),"YUNITA TAMELAB")</f>
        <v>YUNITA TAMELAB</v>
      </c>
      <c r="C1337" s="40" t="str">
        <f>IFERROR(__xludf.DUMMYFUNCTION("""COMPUTED_VALUE"""),"Belum disetujui")</f>
        <v>Belum disetujui</v>
      </c>
      <c r="D1337" s="40"/>
      <c r="E1337" s="40" t="s">
        <v>11472</v>
      </c>
      <c r="F1337" s="40" t="s">
        <v>667</v>
      </c>
      <c r="G1337" s="40" t="s">
        <v>11473</v>
      </c>
      <c r="H1337" s="40" t="s">
        <v>11424</v>
      </c>
    </row>
    <row r="1338">
      <c r="A1338" s="39">
        <f>IFERROR(__xludf.DUMMYFUNCTION("""COMPUTED_VALUE"""),45941.40558346065)</f>
        <v>45941.40558</v>
      </c>
      <c r="B1338" s="40" t="str">
        <f>IFERROR(__xludf.DUMMYFUNCTION("""COMPUTED_VALUE"""),"YUNITA TAMELAB")</f>
        <v>YUNITA TAMELAB</v>
      </c>
      <c r="C1338" s="40" t="str">
        <f>IFERROR(__xludf.DUMMYFUNCTION("""COMPUTED_VALUE"""),"Dapat limit tapi belum diproses")</f>
        <v>Dapat limit tapi belum diproses</v>
      </c>
      <c r="D1338" s="40" t="str">
        <f>IFERROR(__xludf.DUMMYFUNCTION("""COMPUTED_VALUE"""),"Y400 series")</f>
        <v>Y400 series</v>
      </c>
      <c r="E1338" s="40" t="s">
        <v>11472</v>
      </c>
      <c r="F1338" s="40" t="s">
        <v>667</v>
      </c>
      <c r="G1338" s="40" t="s">
        <v>11473</v>
      </c>
      <c r="H1338" s="40" t="s">
        <v>11424</v>
      </c>
    </row>
    <row r="1339">
      <c r="A1339" s="39">
        <f>IFERROR(__xludf.DUMMYFUNCTION("""COMPUTED_VALUE"""),45941.40756327546)</f>
        <v>45941.40756</v>
      </c>
      <c r="B1339" s="40" t="str">
        <f>IFERROR(__xludf.DUMMYFUNCTION("""COMPUTED_VALUE"""),"YUNITA TAMELAB")</f>
        <v>YUNITA TAMELAB</v>
      </c>
      <c r="C1339" s="40" t="str">
        <f>IFERROR(__xludf.DUMMYFUNCTION("""COMPUTED_VALUE"""),"Belum disetujui")</f>
        <v>Belum disetujui</v>
      </c>
      <c r="D1339" s="40"/>
      <c r="E1339" s="40" t="s">
        <v>11472</v>
      </c>
      <c r="F1339" s="40" t="s">
        <v>667</v>
      </c>
      <c r="G1339" s="40" t="s">
        <v>11473</v>
      </c>
      <c r="H1339" s="40" t="s">
        <v>11424</v>
      </c>
    </row>
    <row r="1340">
      <c r="A1340" s="39">
        <f>IFERROR(__xludf.DUMMYFUNCTION("""COMPUTED_VALUE"""),45941.40950565972)</f>
        <v>45941.40951</v>
      </c>
      <c r="B1340" s="40" t="str">
        <f>IFERROR(__xludf.DUMMYFUNCTION("""COMPUTED_VALUE"""),"YUNITA TAMELAB")</f>
        <v>YUNITA TAMELAB</v>
      </c>
      <c r="C1340" s="40" t="str">
        <f>IFERROR(__xludf.DUMMYFUNCTION("""COMPUTED_VALUE"""),"Dapat limit tapi belum diproses")</f>
        <v>Dapat limit tapi belum diproses</v>
      </c>
      <c r="D1340" s="40" t="str">
        <f>IFERROR(__xludf.DUMMYFUNCTION("""COMPUTED_VALUE"""),"V60 series")</f>
        <v>V60 series</v>
      </c>
      <c r="E1340" s="40" t="s">
        <v>11472</v>
      </c>
      <c r="F1340" s="40" t="s">
        <v>667</v>
      </c>
      <c r="G1340" s="40" t="s">
        <v>11473</v>
      </c>
      <c r="H1340" s="40" t="s">
        <v>11424</v>
      </c>
    </row>
    <row r="1341">
      <c r="A1341" s="39">
        <f>IFERROR(__xludf.DUMMYFUNCTION("""COMPUTED_VALUE"""),45941.41041712963)</f>
        <v>45941.41042</v>
      </c>
      <c r="B1341" s="40" t="str">
        <f>IFERROR(__xludf.DUMMYFUNCTION("""COMPUTED_VALUE"""),"AZ ZAHRA SITI ZAINAB")</f>
        <v>AZ ZAHRA SITI ZAINAB</v>
      </c>
      <c r="C1341" s="40" t="str">
        <f>IFERROR(__xludf.DUMMYFUNCTION("""COMPUTED_VALUE"""),"Belum disetujui")</f>
        <v>Belum disetujui</v>
      </c>
      <c r="D1341" s="40"/>
      <c r="E1341" s="40" t="s">
        <v>11462</v>
      </c>
      <c r="F1341" s="40" t="s">
        <v>257</v>
      </c>
      <c r="G1341" s="40" t="s">
        <v>11463</v>
      </c>
      <c r="H1341" s="40" t="s">
        <v>11419</v>
      </c>
    </row>
    <row r="1342">
      <c r="A1342" s="39">
        <f>IFERROR(__xludf.DUMMYFUNCTION("""COMPUTED_VALUE"""),45941.41146399305)</f>
        <v>45941.41146</v>
      </c>
      <c r="B1342" s="40" t="str">
        <f>IFERROR(__xludf.DUMMYFUNCTION("""COMPUTED_VALUE"""),"YUNITA TAMELAB")</f>
        <v>YUNITA TAMELAB</v>
      </c>
      <c r="C1342" s="40" t="str">
        <f>IFERROR(__xludf.DUMMYFUNCTION("""COMPUTED_VALUE"""),"ACC")</f>
        <v>ACC</v>
      </c>
      <c r="D1342" s="40" t="str">
        <f>IFERROR(__xludf.DUMMYFUNCTION("""COMPUTED_VALUE"""),"V60 series")</f>
        <v>V60 series</v>
      </c>
      <c r="E1342" s="40" t="s">
        <v>11472</v>
      </c>
      <c r="F1342" s="40" t="s">
        <v>667</v>
      </c>
      <c r="G1342" s="40" t="s">
        <v>11473</v>
      </c>
      <c r="H1342" s="40" t="s">
        <v>11424</v>
      </c>
    </row>
    <row r="1343">
      <c r="A1343" s="39">
        <f>IFERROR(__xludf.DUMMYFUNCTION("""COMPUTED_VALUE"""),45941.423882847215)</f>
        <v>45941.42388</v>
      </c>
      <c r="B1343" s="40" t="str">
        <f>IFERROR(__xludf.DUMMYFUNCTION("""COMPUTED_VALUE"""),"YUNITA TAMELAB")</f>
        <v>YUNITA TAMELAB</v>
      </c>
      <c r="C1343" s="40" t="str">
        <f>IFERROR(__xludf.DUMMYFUNCTION("""COMPUTED_VALUE"""),"ACC")</f>
        <v>ACC</v>
      </c>
      <c r="D1343" s="40" t="str">
        <f>IFERROR(__xludf.DUMMYFUNCTION("""COMPUTED_VALUE"""),"Y400 series")</f>
        <v>Y400 series</v>
      </c>
      <c r="E1343" s="40" t="s">
        <v>11472</v>
      </c>
      <c r="F1343" s="40" t="s">
        <v>667</v>
      </c>
      <c r="G1343" s="40" t="s">
        <v>11473</v>
      </c>
      <c r="H1343" s="40" t="s">
        <v>11424</v>
      </c>
    </row>
    <row r="1344">
      <c r="A1344" s="39">
        <f>IFERROR(__xludf.DUMMYFUNCTION("""COMPUTED_VALUE"""),45941.43814741898)</f>
        <v>45941.43815</v>
      </c>
      <c r="B1344" s="40" t="str">
        <f>IFERROR(__xludf.DUMMYFUNCTION("""COMPUTED_VALUE"""),"MARIA MELAN ANANCE BILI")</f>
        <v>MARIA MELAN ANANCE BILI</v>
      </c>
      <c r="C1344" s="40" t="str">
        <f>IFERROR(__xludf.DUMMYFUNCTION("""COMPUTED_VALUE"""),"Dapat limit tapi belum diproses")</f>
        <v>Dapat limit tapi belum diproses</v>
      </c>
      <c r="D1344" s="40" t="str">
        <f>IFERROR(__xludf.DUMMYFUNCTION("""COMPUTED_VALUE"""),"Y400 series")</f>
        <v>Y400 series</v>
      </c>
      <c r="E1344" s="40" t="s">
        <v>11466</v>
      </c>
      <c r="F1344" s="40" t="s">
        <v>257</v>
      </c>
      <c r="G1344" s="40" t="s">
        <v>11467</v>
      </c>
      <c r="H1344" s="40" t="s">
        <v>11419</v>
      </c>
    </row>
    <row r="1345">
      <c r="A1345" s="39">
        <f>IFERROR(__xludf.DUMMYFUNCTION("""COMPUTED_VALUE"""),45941.45352828704)</f>
        <v>45941.45353</v>
      </c>
      <c r="B1345" s="40" t="str">
        <f>IFERROR(__xludf.DUMMYFUNCTION("""COMPUTED_VALUE"""),"BERGITHA NIA OLIN")</f>
        <v>BERGITHA NIA OLIN</v>
      </c>
      <c r="C1345" s="40" t="str">
        <f>IFERROR(__xludf.DUMMYFUNCTION("""COMPUTED_VALUE"""),"ACC")</f>
        <v>ACC</v>
      </c>
      <c r="D1345" s="40" t="str">
        <f>IFERROR(__xludf.DUMMYFUNCTION("""COMPUTED_VALUE"""),"Y400 series")</f>
        <v>Y400 series</v>
      </c>
      <c r="E1345" s="40" t="s">
        <v>11431</v>
      </c>
      <c r="F1345" s="40" t="s">
        <v>313</v>
      </c>
      <c r="G1345" s="40" t="s">
        <v>11432</v>
      </c>
      <c r="H1345" s="40" t="s">
        <v>11424</v>
      </c>
    </row>
    <row r="1346">
      <c r="A1346" s="39">
        <f>IFERROR(__xludf.DUMMYFUNCTION("""COMPUTED_VALUE"""),45941.52137938657)</f>
        <v>45941.52138</v>
      </c>
      <c r="B1346" s="40" t="str">
        <f>IFERROR(__xludf.DUMMYFUNCTION("""COMPUTED_VALUE"""),"ESTER LUDJI")</f>
        <v>ESTER LUDJI</v>
      </c>
      <c r="C1346" s="40" t="str">
        <f>IFERROR(__xludf.DUMMYFUNCTION("""COMPUTED_VALUE"""),"ACC")</f>
        <v>ACC</v>
      </c>
      <c r="D1346" s="40" t="str">
        <f>IFERROR(__xludf.DUMMYFUNCTION("""COMPUTED_VALUE"""),"V60 Lite series")</f>
        <v>V60 Lite series</v>
      </c>
      <c r="E1346" s="40" t="s">
        <v>11441</v>
      </c>
      <c r="F1346" s="40" t="s">
        <v>205</v>
      </c>
      <c r="G1346" s="40" t="s">
        <v>11442</v>
      </c>
      <c r="H1346" s="40" t="s">
        <v>11419</v>
      </c>
    </row>
    <row r="1347">
      <c r="A1347" s="39">
        <f>IFERROR(__xludf.DUMMYFUNCTION("""COMPUTED_VALUE"""),45941.528210972225)</f>
        <v>45941.52821</v>
      </c>
      <c r="B1347" s="40" t="str">
        <f>IFERROR(__xludf.DUMMYFUNCTION("""COMPUTED_VALUE"""),"HERONIMUS NAMU WALI")</f>
        <v>HERONIMUS NAMU WALI</v>
      </c>
      <c r="C1347" s="40" t="str">
        <f>IFERROR(__xludf.DUMMYFUNCTION("""COMPUTED_VALUE"""),"ACC")</f>
        <v>ACC</v>
      </c>
      <c r="D1347" s="40" t="str">
        <f>IFERROR(__xludf.DUMMYFUNCTION("""COMPUTED_VALUE"""),"V50 Lite series")</f>
        <v>V50 Lite series</v>
      </c>
      <c r="E1347" s="40" t="s">
        <v>11452</v>
      </c>
      <c r="F1347" s="40" t="s">
        <v>205</v>
      </c>
      <c r="G1347" s="40" t="s">
        <v>11453</v>
      </c>
      <c r="H1347" s="40" t="s">
        <v>11419</v>
      </c>
    </row>
    <row r="1348">
      <c r="A1348" s="39">
        <f>IFERROR(__xludf.DUMMYFUNCTION("""COMPUTED_VALUE"""),45941.53932942129)</f>
        <v>45941.53933</v>
      </c>
      <c r="B1348" s="40" t="str">
        <f>IFERROR(__xludf.DUMMYFUNCTION("""COMPUTED_VALUE"""),"AZ ZAHRA SITI ZAINAB")</f>
        <v>AZ ZAHRA SITI ZAINAB</v>
      </c>
      <c r="C1348" s="40" t="str">
        <f>IFERROR(__xludf.DUMMYFUNCTION("""COMPUTED_VALUE"""),"Belum disetujui")</f>
        <v>Belum disetujui</v>
      </c>
      <c r="D1348" s="40"/>
      <c r="E1348" s="40" t="s">
        <v>11462</v>
      </c>
      <c r="F1348" s="40" t="s">
        <v>257</v>
      </c>
      <c r="G1348" s="40" t="s">
        <v>11463</v>
      </c>
      <c r="H1348" s="40" t="s">
        <v>11419</v>
      </c>
    </row>
    <row r="1349">
      <c r="A1349" s="39">
        <f>IFERROR(__xludf.DUMMYFUNCTION("""COMPUTED_VALUE"""),45941.55754607639)</f>
        <v>45941.55755</v>
      </c>
      <c r="B1349" s="40" t="str">
        <f>IFERROR(__xludf.DUMMYFUNCTION("""COMPUTED_VALUE"""),"KESIA NATALIA I. BENU")</f>
        <v>KESIA NATALIA I. BENU</v>
      </c>
      <c r="C1349" s="40" t="str">
        <f>IFERROR(__xludf.DUMMYFUNCTION("""COMPUTED_VALUE"""),"ACC")</f>
        <v>ACC</v>
      </c>
      <c r="D1349" s="40" t="str">
        <f>IFERROR(__xludf.DUMMYFUNCTION("""COMPUTED_VALUE"""),"V50 Lite series")</f>
        <v>V50 Lite series</v>
      </c>
      <c r="E1349" s="40" t="s">
        <v>11417</v>
      </c>
      <c r="F1349" s="40" t="s">
        <v>257</v>
      </c>
      <c r="G1349" s="40" t="s">
        <v>11418</v>
      </c>
      <c r="H1349" s="40" t="s">
        <v>11419</v>
      </c>
    </row>
    <row r="1350">
      <c r="A1350" s="39">
        <f>IFERROR(__xludf.DUMMYFUNCTION("""COMPUTED_VALUE"""),45941.55927086805)</f>
        <v>45941.55927</v>
      </c>
      <c r="B1350" s="40" t="str">
        <f>IFERROR(__xludf.DUMMYFUNCTION("""COMPUTED_VALUE"""),"KESIA NATALIA I. BENU")</f>
        <v>KESIA NATALIA I. BENU</v>
      </c>
      <c r="C1350" s="40" t="str">
        <f>IFERROR(__xludf.DUMMYFUNCTION("""COMPUTED_VALUE"""),"Belum disetujui")</f>
        <v>Belum disetujui</v>
      </c>
      <c r="D1350" s="40"/>
      <c r="E1350" s="40" t="s">
        <v>11417</v>
      </c>
      <c r="F1350" s="40" t="s">
        <v>257</v>
      </c>
      <c r="G1350" s="40" t="s">
        <v>11418</v>
      </c>
      <c r="H1350" s="40" t="s">
        <v>11419</v>
      </c>
    </row>
    <row r="1351">
      <c r="A1351" s="39">
        <f>IFERROR(__xludf.DUMMYFUNCTION("""COMPUTED_VALUE"""),45941.60621377315)</f>
        <v>45941.60621</v>
      </c>
      <c r="B1351" s="40" t="str">
        <f>IFERROR(__xludf.DUMMYFUNCTION("""COMPUTED_VALUE"""),"ASRI NINGSI RAMBU ATA ENDI")</f>
        <v>ASRI NINGSI RAMBU ATA ENDI</v>
      </c>
      <c r="C1351" s="40" t="str">
        <f>IFERROR(__xludf.DUMMYFUNCTION("""COMPUTED_VALUE"""),"Belum disetujui")</f>
        <v>Belum disetujui</v>
      </c>
      <c r="D1351" s="40"/>
      <c r="E1351" s="40" t="s">
        <v>11441</v>
      </c>
      <c r="F1351" s="40" t="s">
        <v>205</v>
      </c>
      <c r="G1351" s="40" t="s">
        <v>11442</v>
      </c>
      <c r="H1351" s="40" t="s">
        <v>11419</v>
      </c>
    </row>
    <row r="1352">
      <c r="A1352" s="39">
        <f>IFERROR(__xludf.DUMMYFUNCTION("""COMPUTED_VALUE"""),45941.62613333333)</f>
        <v>45941.62613</v>
      </c>
      <c r="B1352" s="40" t="str">
        <f>IFERROR(__xludf.DUMMYFUNCTION("""COMPUTED_VALUE"""),"SANTI MARIA LUKMINI NAHAK")</f>
        <v>SANTI MARIA LUKMINI NAHAK</v>
      </c>
      <c r="C1352" s="40" t="str">
        <f>IFERROR(__xludf.DUMMYFUNCTION("""COMPUTED_VALUE"""),"Belum disetujui")</f>
        <v>Belum disetujui</v>
      </c>
      <c r="D1352" s="40"/>
      <c r="E1352" s="40" t="s">
        <v>11460</v>
      </c>
      <c r="F1352" s="40" t="s">
        <v>871</v>
      </c>
      <c r="G1352" s="40" t="s">
        <v>11461</v>
      </c>
      <c r="H1352" s="40" t="s">
        <v>11424</v>
      </c>
    </row>
    <row r="1353">
      <c r="A1353" s="39">
        <f>IFERROR(__xludf.DUMMYFUNCTION("""COMPUTED_VALUE"""),45941.64242241898)</f>
        <v>45941.64242</v>
      </c>
      <c r="B1353" s="40" t="str">
        <f>IFERROR(__xludf.DUMMYFUNCTION("""COMPUTED_VALUE"""),"AZ ZAHRA SITI ZAINAB")</f>
        <v>AZ ZAHRA SITI ZAINAB</v>
      </c>
      <c r="C1353" s="40" t="str">
        <f>IFERROR(__xludf.DUMMYFUNCTION("""COMPUTED_VALUE"""),"Belum disetujui")</f>
        <v>Belum disetujui</v>
      </c>
      <c r="D1353" s="40"/>
      <c r="E1353" s="40" t="s">
        <v>11462</v>
      </c>
      <c r="F1353" s="40" t="s">
        <v>257</v>
      </c>
      <c r="G1353" s="40" t="s">
        <v>11463</v>
      </c>
      <c r="H1353" s="40" t="s">
        <v>11419</v>
      </c>
    </row>
    <row r="1354">
      <c r="A1354" s="39">
        <f>IFERROR(__xludf.DUMMYFUNCTION("""COMPUTED_VALUE"""),45941.659475891196)</f>
        <v>45941.65948</v>
      </c>
      <c r="B1354" s="40" t="str">
        <f>IFERROR(__xludf.DUMMYFUNCTION("""COMPUTED_VALUE"""),"PRETI SISILIA SILA")</f>
        <v>PRETI SISILIA SILA</v>
      </c>
      <c r="C1354" s="40" t="str">
        <f>IFERROR(__xludf.DUMMYFUNCTION("""COMPUTED_VALUE"""),"Belum disetujui")</f>
        <v>Belum disetujui</v>
      </c>
      <c r="D1354" s="40"/>
      <c r="E1354" s="40" t="s">
        <v>11456</v>
      </c>
      <c r="F1354" s="40" t="s">
        <v>667</v>
      </c>
      <c r="G1354" s="40" t="s">
        <v>11457</v>
      </c>
      <c r="H1354" s="40" t="s">
        <v>11424</v>
      </c>
    </row>
    <row r="1355">
      <c r="A1355" s="39">
        <f>IFERROR(__xludf.DUMMYFUNCTION("""COMPUTED_VALUE"""),45941.6725874537)</f>
        <v>45941.67259</v>
      </c>
      <c r="B1355" s="40" t="str">
        <f>IFERROR(__xludf.DUMMYFUNCTION("""COMPUTED_VALUE"""),"SANTI MARIA LUKMINI NAHAK")</f>
        <v>SANTI MARIA LUKMINI NAHAK</v>
      </c>
      <c r="C1355" s="40" t="str">
        <f>IFERROR(__xludf.DUMMYFUNCTION("""COMPUTED_VALUE"""),"Dapat limit tapi belum diproses")</f>
        <v>Dapat limit tapi belum diproses</v>
      </c>
      <c r="D1355" s="40" t="str">
        <f>IFERROR(__xludf.DUMMYFUNCTION("""COMPUTED_VALUE"""),"Y400 series")</f>
        <v>Y400 series</v>
      </c>
      <c r="E1355" s="40" t="s">
        <v>11460</v>
      </c>
      <c r="F1355" s="40" t="s">
        <v>871</v>
      </c>
      <c r="G1355" s="40" t="s">
        <v>11461</v>
      </c>
      <c r="H1355" s="40" t="s">
        <v>11424</v>
      </c>
    </row>
    <row r="1356">
      <c r="A1356" s="39">
        <f>IFERROR(__xludf.DUMMYFUNCTION("""COMPUTED_VALUE"""),45941.69085684028)</f>
        <v>45941.69086</v>
      </c>
      <c r="B1356" s="40" t="str">
        <f>IFERROR(__xludf.DUMMYFUNCTION("""COMPUTED_VALUE"""),"ARMINDA TEKU MANEK")</f>
        <v>ARMINDA TEKU MANEK</v>
      </c>
      <c r="C1356" s="40" t="str">
        <f>IFERROR(__xludf.DUMMYFUNCTION("""COMPUTED_VALUE"""),"Belum disetujui")</f>
        <v>Belum disetujui</v>
      </c>
      <c r="D1356" s="40"/>
      <c r="E1356" s="40" t="s">
        <v>11474</v>
      </c>
      <c r="F1356" s="40" t="s">
        <v>313</v>
      </c>
      <c r="G1356" s="40" t="s">
        <v>11475</v>
      </c>
      <c r="H1356" s="40" t="s">
        <v>11424</v>
      </c>
    </row>
    <row r="1357">
      <c r="A1357" s="39">
        <f>IFERROR(__xludf.DUMMYFUNCTION("""COMPUTED_VALUE"""),45941.69767994213)</f>
        <v>45941.69768</v>
      </c>
      <c r="B1357" s="40" t="str">
        <f>IFERROR(__xludf.DUMMYFUNCTION("""COMPUTED_VALUE"""),"ADRIANA")</f>
        <v>ADRIANA</v>
      </c>
      <c r="C1357" s="40" t="str">
        <f>IFERROR(__xludf.DUMMYFUNCTION("""COMPUTED_VALUE"""),"Belum disetujui")</f>
        <v>Belum disetujui</v>
      </c>
      <c r="D1357" s="40"/>
      <c r="E1357" s="40" t="s">
        <v>11433</v>
      </c>
      <c r="F1357" s="40" t="s">
        <v>313</v>
      </c>
      <c r="G1357" s="40" t="s">
        <v>11434</v>
      </c>
      <c r="H1357" s="40" t="s">
        <v>11424</v>
      </c>
    </row>
    <row r="1358">
      <c r="A1358" s="39">
        <f>IFERROR(__xludf.DUMMYFUNCTION("""COMPUTED_VALUE"""),45941.70525490741)</f>
        <v>45941.70525</v>
      </c>
      <c r="B1358" s="40" t="str">
        <f>IFERROR(__xludf.DUMMYFUNCTION("""COMPUTED_VALUE"""),"SULIS NURAINI INSYATUN")</f>
        <v>SULIS NURAINI INSYATUN</v>
      </c>
      <c r="C1358" s="40" t="str">
        <f>IFERROR(__xludf.DUMMYFUNCTION("""COMPUTED_VALUE"""),"ACC")</f>
        <v>ACC</v>
      </c>
      <c r="D1358" s="40" t="str">
        <f>IFERROR(__xludf.DUMMYFUNCTION("""COMPUTED_VALUE"""),"Y400 series")</f>
        <v>Y400 series</v>
      </c>
      <c r="E1358" s="40" t="s">
        <v>11429</v>
      </c>
      <c r="F1358" s="40" t="s">
        <v>257</v>
      </c>
      <c r="G1358" s="40" t="s">
        <v>11430</v>
      </c>
      <c r="H1358" s="40" t="s">
        <v>11419</v>
      </c>
    </row>
    <row r="1359">
      <c r="A1359" s="39">
        <f>IFERROR(__xludf.DUMMYFUNCTION("""COMPUTED_VALUE"""),45941.71130575232)</f>
        <v>45941.71131</v>
      </c>
      <c r="B1359" s="40" t="str">
        <f>IFERROR(__xludf.DUMMYFUNCTION("""COMPUTED_VALUE"""),"ALITA D PAU")</f>
        <v>ALITA D PAU</v>
      </c>
      <c r="C1359" s="40" t="str">
        <f>IFERROR(__xludf.DUMMYFUNCTION("""COMPUTED_VALUE"""),"Belum disetujui")</f>
        <v>Belum disetujui</v>
      </c>
      <c r="D1359" s="40"/>
      <c r="E1359" s="40" t="s">
        <v>11447</v>
      </c>
      <c r="F1359" s="40" t="s">
        <v>205</v>
      </c>
      <c r="G1359" s="40" t="s">
        <v>11448</v>
      </c>
      <c r="H1359" s="40" t="s">
        <v>11419</v>
      </c>
    </row>
    <row r="1360">
      <c r="A1360" s="39">
        <f>IFERROR(__xludf.DUMMYFUNCTION("""COMPUTED_VALUE"""),45941.73249940972)</f>
        <v>45941.7325</v>
      </c>
      <c r="B1360" s="40" t="str">
        <f>IFERROR(__xludf.DUMMYFUNCTION("""COMPUTED_VALUE"""),"MARNITHA JUWIKE TIMORATI RUNESI")</f>
        <v>MARNITHA JUWIKE TIMORATI RUNESI</v>
      </c>
      <c r="C1360" s="40" t="str">
        <f>IFERROR(__xludf.DUMMYFUNCTION("""COMPUTED_VALUE"""),"Belum disetujui")</f>
        <v>Belum disetujui</v>
      </c>
      <c r="D1360" s="40"/>
      <c r="E1360" s="40" t="s">
        <v>11420</v>
      </c>
      <c r="F1360" s="40" t="s">
        <v>204</v>
      </c>
      <c r="G1360" s="40" t="s">
        <v>11421</v>
      </c>
      <c r="H1360" s="40" t="s">
        <v>11399</v>
      </c>
    </row>
    <row r="1361">
      <c r="A1361" s="39">
        <f>IFERROR(__xludf.DUMMYFUNCTION("""COMPUTED_VALUE"""),45941.73392126158)</f>
        <v>45941.73392</v>
      </c>
      <c r="B1361" s="40" t="str">
        <f>IFERROR(__xludf.DUMMYFUNCTION("""COMPUTED_VALUE"""),"MARNITHA JUWIKE TIMORATI RUNESI")</f>
        <v>MARNITHA JUWIKE TIMORATI RUNESI</v>
      </c>
      <c r="C1361" s="40" t="str">
        <f>IFERROR(__xludf.DUMMYFUNCTION("""COMPUTED_VALUE"""),"ACC")</f>
        <v>ACC</v>
      </c>
      <c r="D1361" s="40" t="str">
        <f>IFERROR(__xludf.DUMMYFUNCTION("""COMPUTED_VALUE"""),"Y400 series")</f>
        <v>Y400 series</v>
      </c>
      <c r="E1361" s="40" t="s">
        <v>11420</v>
      </c>
      <c r="F1361" s="40" t="s">
        <v>204</v>
      </c>
      <c r="G1361" s="40" t="s">
        <v>11421</v>
      </c>
      <c r="H1361" s="40" t="s">
        <v>11399</v>
      </c>
    </row>
    <row r="1362">
      <c r="A1362" s="39">
        <f>IFERROR(__xludf.DUMMYFUNCTION("""COMPUTED_VALUE"""),45941.76745175925)</f>
        <v>45941.76745</v>
      </c>
      <c r="B1362" s="40" t="str">
        <f>IFERROR(__xludf.DUMMYFUNCTION("""COMPUTED_VALUE"""),"MARATHA MARLINDA FANGGIDAE")</f>
        <v>MARATHA MARLINDA FANGGIDAE</v>
      </c>
      <c r="C1362" s="40" t="str">
        <f>IFERROR(__xludf.DUMMYFUNCTION("""COMPUTED_VALUE"""),"Belum disetujui")</f>
        <v>Belum disetujui</v>
      </c>
      <c r="D1362" s="40"/>
      <c r="E1362" s="40" t="s">
        <v>11435</v>
      </c>
      <c r="F1362" s="40" t="s">
        <v>215</v>
      </c>
      <c r="G1362" s="40" t="s">
        <v>11436</v>
      </c>
      <c r="H1362" s="40" t="s">
        <v>11424</v>
      </c>
    </row>
    <row r="1363">
      <c r="A1363" s="39">
        <f>IFERROR(__xludf.DUMMYFUNCTION("""COMPUTED_VALUE"""),45941.767647210654)</f>
        <v>45941.76765</v>
      </c>
      <c r="B1363" s="40" t="str">
        <f>IFERROR(__xludf.DUMMYFUNCTION("""COMPUTED_VALUE"""),"PRETI SISILIA SILA")</f>
        <v>PRETI SISILIA SILA</v>
      </c>
      <c r="C1363" s="40" t="str">
        <f>IFERROR(__xludf.DUMMYFUNCTION("""COMPUTED_VALUE"""),"Belum disetujui")</f>
        <v>Belum disetujui</v>
      </c>
      <c r="D1363" s="40"/>
      <c r="E1363" s="40" t="s">
        <v>11456</v>
      </c>
      <c r="F1363" s="40" t="s">
        <v>667</v>
      </c>
      <c r="G1363" s="40" t="s">
        <v>11457</v>
      </c>
      <c r="H1363" s="40" t="s">
        <v>11424</v>
      </c>
    </row>
    <row r="1364">
      <c r="A1364" s="39">
        <f>IFERROR(__xludf.DUMMYFUNCTION("""COMPUTED_VALUE"""),45941.8025678125)</f>
        <v>45941.80257</v>
      </c>
      <c r="B1364" s="40" t="str">
        <f>IFERROR(__xludf.DUMMYFUNCTION("""COMPUTED_VALUE"""),"MERDA PUTRI BUNGSU KENAT")</f>
        <v>MERDA PUTRI BUNGSU KENAT</v>
      </c>
      <c r="C1364" s="40" t="str">
        <f>IFERROR(__xludf.DUMMYFUNCTION("""COMPUTED_VALUE"""),"Belum disetujui")</f>
        <v>Belum disetujui</v>
      </c>
      <c r="D1364" s="40"/>
      <c r="E1364" s="40" t="s">
        <v>11422</v>
      </c>
      <c r="F1364" s="40" t="s">
        <v>215</v>
      </c>
      <c r="G1364" s="40" t="s">
        <v>11423</v>
      </c>
      <c r="H1364" s="40" t="s">
        <v>11424</v>
      </c>
    </row>
    <row r="1365">
      <c r="A1365" s="39">
        <f>IFERROR(__xludf.DUMMYFUNCTION("""COMPUTED_VALUE"""),45941.83797256945)</f>
        <v>45941.83797</v>
      </c>
      <c r="B1365" s="40" t="str">
        <f>IFERROR(__xludf.DUMMYFUNCTION("""COMPUTED_VALUE"""),"HERONIMUS NAMU WALI")</f>
        <v>HERONIMUS NAMU WALI</v>
      </c>
      <c r="C1365" s="40" t="str">
        <f>IFERROR(__xludf.DUMMYFUNCTION("""COMPUTED_VALUE"""),"ACC")</f>
        <v>ACC</v>
      </c>
      <c r="D1365" s="40" t="str">
        <f>IFERROR(__xludf.DUMMYFUNCTION("""COMPUTED_VALUE"""),"Y400 series")</f>
        <v>Y400 series</v>
      </c>
      <c r="E1365" s="40" t="s">
        <v>11452</v>
      </c>
      <c r="F1365" s="40" t="s">
        <v>205</v>
      </c>
      <c r="G1365" s="40" t="s">
        <v>11453</v>
      </c>
      <c r="H1365" s="40" t="s">
        <v>11419</v>
      </c>
    </row>
    <row r="1366">
      <c r="A1366" s="39">
        <f>IFERROR(__xludf.DUMMYFUNCTION("""COMPUTED_VALUE"""),45941.84528821759)</f>
        <v>45941.84529</v>
      </c>
      <c r="B1366" s="40" t="str">
        <f>IFERROR(__xludf.DUMMYFUNCTION("""COMPUTED_VALUE"""),"ASRI NINGSI RAMBU ATA ENDI")</f>
        <v>ASRI NINGSI RAMBU ATA ENDI</v>
      </c>
      <c r="C1366" s="40" t="str">
        <f>IFERROR(__xludf.DUMMYFUNCTION("""COMPUTED_VALUE"""),"ACC")</f>
        <v>ACC</v>
      </c>
      <c r="D1366" s="40" t="str">
        <f>IFERROR(__xludf.DUMMYFUNCTION("""COMPUTED_VALUE"""),"Y400 series")</f>
        <v>Y400 series</v>
      </c>
      <c r="E1366" s="40" t="s">
        <v>11441</v>
      </c>
      <c r="F1366" s="40" t="s">
        <v>205</v>
      </c>
      <c r="G1366" s="40" t="s">
        <v>11442</v>
      </c>
      <c r="H1366" s="40" t="s">
        <v>11419</v>
      </c>
    </row>
    <row r="1367">
      <c r="A1367" s="39">
        <f>IFERROR(__xludf.DUMMYFUNCTION("""COMPUTED_VALUE"""),45941.857246099535)</f>
        <v>45941.85725</v>
      </c>
      <c r="B1367" s="40" t="str">
        <f>IFERROR(__xludf.DUMMYFUNCTION("""COMPUTED_VALUE"""),"MARNITHA JUWIKE TIMORATI RUNESI")</f>
        <v>MARNITHA JUWIKE TIMORATI RUNESI</v>
      </c>
      <c r="C1367" s="40" t="str">
        <f>IFERROR(__xludf.DUMMYFUNCTION("""COMPUTED_VALUE"""),"ACC")</f>
        <v>ACC</v>
      </c>
      <c r="D1367" s="40" t="str">
        <f>IFERROR(__xludf.DUMMYFUNCTION("""COMPUTED_VALUE"""),"V60 Lite series")</f>
        <v>V60 Lite series</v>
      </c>
      <c r="E1367" s="40" t="s">
        <v>11420</v>
      </c>
      <c r="F1367" s="40" t="s">
        <v>204</v>
      </c>
      <c r="G1367" s="40" t="s">
        <v>11421</v>
      </c>
      <c r="H1367" s="40" t="s">
        <v>11399</v>
      </c>
    </row>
    <row r="1368">
      <c r="A1368" s="39">
        <f>IFERROR(__xludf.DUMMYFUNCTION("""COMPUTED_VALUE"""),45941.85768983796)</f>
        <v>45941.85769</v>
      </c>
      <c r="B1368" s="40" t="str">
        <f>IFERROR(__xludf.DUMMYFUNCTION("""COMPUTED_VALUE"""),"EMPI FRANGKI LIEM")</f>
        <v>EMPI FRANGKI LIEM</v>
      </c>
      <c r="C1368" s="40" t="str">
        <f>IFERROR(__xludf.DUMMYFUNCTION("""COMPUTED_VALUE"""),"Belum disetujui")</f>
        <v>Belum disetujui</v>
      </c>
      <c r="D1368" s="40"/>
      <c r="E1368" s="40" t="s">
        <v>11397</v>
      </c>
      <c r="F1368" s="40" t="s">
        <v>220</v>
      </c>
      <c r="G1368" s="40" t="s">
        <v>11398</v>
      </c>
      <c r="H1368" s="40" t="s">
        <v>11399</v>
      </c>
    </row>
    <row r="1369">
      <c r="A1369" s="39">
        <f>IFERROR(__xludf.DUMMYFUNCTION("""COMPUTED_VALUE"""),45941.89190342592)</f>
        <v>45941.8919</v>
      </c>
      <c r="B1369" s="40" t="str">
        <f>IFERROR(__xludf.DUMMYFUNCTION("""COMPUTED_VALUE"""),"IRENE NOVALIA KADJU")</f>
        <v>IRENE NOVALIA KADJU</v>
      </c>
      <c r="C1369" s="40" t="str">
        <f>IFERROR(__xludf.DUMMYFUNCTION("""COMPUTED_VALUE"""),"ACC")</f>
        <v>ACC</v>
      </c>
      <c r="D1369" s="40" t="str">
        <f>IFERROR(__xludf.DUMMYFUNCTION("""COMPUTED_VALUE"""),"Y400 series")</f>
        <v>Y400 series</v>
      </c>
      <c r="E1369" s="40" t="s">
        <v>11445</v>
      </c>
      <c r="F1369" s="40" t="s">
        <v>204</v>
      </c>
      <c r="G1369" s="40" t="s">
        <v>11446</v>
      </c>
      <c r="H1369" s="40" t="s">
        <v>11399</v>
      </c>
    </row>
    <row r="1370">
      <c r="A1370" s="39">
        <f>IFERROR(__xludf.DUMMYFUNCTION("""COMPUTED_VALUE"""),45941.8968714236)</f>
        <v>45941.89687</v>
      </c>
      <c r="B1370" s="40" t="str">
        <f>IFERROR(__xludf.DUMMYFUNCTION("""COMPUTED_VALUE"""),"AINI RAHMATINI NATALIA MOESTAKIM")</f>
        <v>AINI RAHMATINI NATALIA MOESTAKIM</v>
      </c>
      <c r="C1370" s="40" t="str">
        <f>IFERROR(__xludf.DUMMYFUNCTION("""COMPUTED_VALUE"""),"Belum disetujui")</f>
        <v>Belum disetujui</v>
      </c>
      <c r="D1370" s="40"/>
      <c r="E1370" s="40" t="s">
        <v>11409</v>
      </c>
      <c r="F1370" s="40" t="s">
        <v>204</v>
      </c>
      <c r="G1370" s="40" t="s">
        <v>11410</v>
      </c>
      <c r="H1370" s="40" t="s">
        <v>11399</v>
      </c>
    </row>
    <row r="1371">
      <c r="A1371" s="39">
        <f>IFERROR(__xludf.DUMMYFUNCTION("""COMPUTED_VALUE"""),45941.89993518518)</f>
        <v>45941.89994</v>
      </c>
      <c r="B1371" s="40" t="str">
        <f>IFERROR(__xludf.DUMMYFUNCTION("""COMPUTED_VALUE"""),"ASRI NINGSI RAMBU ATA ENDI")</f>
        <v>ASRI NINGSI RAMBU ATA ENDI</v>
      </c>
      <c r="C1371" s="40" t="str">
        <f>IFERROR(__xludf.DUMMYFUNCTION("""COMPUTED_VALUE"""),"Dapat limit tapi belum diproses")</f>
        <v>Dapat limit tapi belum diproses</v>
      </c>
      <c r="D1371" s="40" t="str">
        <f>IFERROR(__xludf.DUMMYFUNCTION("""COMPUTED_VALUE"""),"Y400 series")</f>
        <v>Y400 series</v>
      </c>
      <c r="E1371" s="40" t="s">
        <v>11441</v>
      </c>
      <c r="F1371" s="40" t="s">
        <v>205</v>
      </c>
      <c r="G1371" s="40" t="s">
        <v>11442</v>
      </c>
      <c r="H1371" s="40" t="s">
        <v>11419</v>
      </c>
    </row>
    <row r="1372">
      <c r="A1372" s="39">
        <f>IFERROR(__xludf.DUMMYFUNCTION("""COMPUTED_VALUE"""),45942.48253722222)</f>
        <v>45942.48254</v>
      </c>
      <c r="B1372" s="40" t="str">
        <f>IFERROR(__xludf.DUMMYFUNCTION("""COMPUTED_VALUE"""),"AZ ZAHRA SITI ZAINAB")</f>
        <v>AZ ZAHRA SITI ZAINAB</v>
      </c>
      <c r="C1372" s="40" t="str">
        <f>IFERROR(__xludf.DUMMYFUNCTION("""COMPUTED_VALUE"""),"ACC")</f>
        <v>ACC</v>
      </c>
      <c r="D1372" s="40" t="str">
        <f>IFERROR(__xludf.DUMMYFUNCTION("""COMPUTED_VALUE"""),"V60 series")</f>
        <v>V60 series</v>
      </c>
      <c r="E1372" s="40" t="s">
        <v>11462</v>
      </c>
      <c r="F1372" s="40" t="s">
        <v>257</v>
      </c>
      <c r="G1372" s="40" t="s">
        <v>11463</v>
      </c>
      <c r="H1372" s="40" t="s">
        <v>11419</v>
      </c>
    </row>
    <row r="1373">
      <c r="A1373" s="39">
        <f>IFERROR(__xludf.DUMMYFUNCTION("""COMPUTED_VALUE"""),45942.51250424768)</f>
        <v>45942.5125</v>
      </c>
      <c r="B1373" s="40" t="str">
        <f>IFERROR(__xludf.DUMMYFUNCTION("""COMPUTED_VALUE"""),"LASTRIANA PALUS")</f>
        <v>LASTRIANA PALUS</v>
      </c>
      <c r="C1373" s="40" t="str">
        <f>IFERROR(__xludf.DUMMYFUNCTION("""COMPUTED_VALUE"""),"Belum disetujui")</f>
        <v>Belum disetujui</v>
      </c>
      <c r="D1373" s="40"/>
      <c r="E1373" s="40" t="s">
        <v>11468</v>
      </c>
      <c r="F1373" s="40" t="s">
        <v>257</v>
      </c>
      <c r="G1373" s="40" t="s">
        <v>11469</v>
      </c>
      <c r="H1373" s="40" t="s">
        <v>11419</v>
      </c>
    </row>
    <row r="1374">
      <c r="A1374" s="39">
        <f>IFERROR(__xludf.DUMMYFUNCTION("""COMPUTED_VALUE"""),45942.5229124537)</f>
        <v>45942.52291</v>
      </c>
      <c r="B1374" s="40" t="str">
        <f>IFERROR(__xludf.DUMMYFUNCTION("""COMPUTED_VALUE"""),"NUR FATIMAH MOLBANG")</f>
        <v>NUR FATIMAH MOLBANG</v>
      </c>
      <c r="C1374" s="40" t="str">
        <f>IFERROR(__xludf.DUMMYFUNCTION("""COMPUTED_VALUE"""),"Dapat limit tapi belum diproses")</f>
        <v>Dapat limit tapi belum diproses</v>
      </c>
      <c r="D1374" s="40" t="str">
        <f>IFERROR(__xludf.DUMMYFUNCTION("""COMPUTED_VALUE"""),"Y400 series")</f>
        <v>Y400 series</v>
      </c>
      <c r="E1374" s="40" t="s">
        <v>11439</v>
      </c>
      <c r="F1374" s="40" t="s">
        <v>313</v>
      </c>
      <c r="G1374" s="40" t="s">
        <v>11440</v>
      </c>
      <c r="H1374" s="40" t="s">
        <v>11424</v>
      </c>
    </row>
    <row r="1375">
      <c r="A1375" s="39">
        <f>IFERROR(__xludf.DUMMYFUNCTION("""COMPUTED_VALUE"""),45942.52469503472)</f>
        <v>45942.5247</v>
      </c>
      <c r="B1375" s="40" t="str">
        <f>IFERROR(__xludf.DUMMYFUNCTION("""COMPUTED_VALUE"""),"NUR FATIMAH MOLBANG")</f>
        <v>NUR FATIMAH MOLBANG</v>
      </c>
      <c r="C1375" s="40" t="str">
        <f>IFERROR(__xludf.DUMMYFUNCTION("""COMPUTED_VALUE"""),"Belum disetujui")</f>
        <v>Belum disetujui</v>
      </c>
      <c r="D1375" s="40"/>
      <c r="E1375" s="40" t="s">
        <v>11439</v>
      </c>
      <c r="F1375" s="40" t="s">
        <v>313</v>
      </c>
      <c r="G1375" s="40" t="s">
        <v>11440</v>
      </c>
      <c r="H1375" s="40" t="s">
        <v>11424</v>
      </c>
    </row>
    <row r="1376">
      <c r="A1376" s="39">
        <f>IFERROR(__xludf.DUMMYFUNCTION("""COMPUTED_VALUE"""),45942.58608158565)</f>
        <v>45942.58608</v>
      </c>
      <c r="B1376" s="40" t="str">
        <f>IFERROR(__xludf.DUMMYFUNCTION("""COMPUTED_VALUE"""),"NUR FATIMAH MOLBANG")</f>
        <v>NUR FATIMAH MOLBANG</v>
      </c>
      <c r="C1376" s="40" t="str">
        <f>IFERROR(__xludf.DUMMYFUNCTION("""COMPUTED_VALUE"""),"Belum disetujui")</f>
        <v>Belum disetujui</v>
      </c>
      <c r="D1376" s="40"/>
      <c r="E1376" s="40" t="s">
        <v>11439</v>
      </c>
      <c r="F1376" s="40" t="s">
        <v>313</v>
      </c>
      <c r="G1376" s="40" t="s">
        <v>11440</v>
      </c>
      <c r="H1376" s="40" t="s">
        <v>11424</v>
      </c>
    </row>
    <row r="1377">
      <c r="A1377" s="39">
        <f>IFERROR(__xludf.DUMMYFUNCTION("""COMPUTED_VALUE"""),45942.80294537037)</f>
        <v>45942.80295</v>
      </c>
      <c r="B1377" s="40" t="str">
        <f>IFERROR(__xludf.DUMMYFUNCTION("""COMPUTED_VALUE"""),"AINI RAHMATINI NATALIA MOESTAKIM")</f>
        <v>AINI RAHMATINI NATALIA MOESTAKIM</v>
      </c>
      <c r="C1377" s="40" t="str">
        <f>IFERROR(__xludf.DUMMYFUNCTION("""COMPUTED_VALUE"""),"Dapat limit tapi belum diproses")</f>
        <v>Dapat limit tapi belum diproses</v>
      </c>
      <c r="D1377" s="40" t="str">
        <f>IFERROR(__xludf.DUMMYFUNCTION("""COMPUTED_VALUE"""),"Y400 series")</f>
        <v>Y400 series</v>
      </c>
      <c r="E1377" s="40" t="s">
        <v>11409</v>
      </c>
      <c r="F1377" s="40" t="s">
        <v>204</v>
      </c>
      <c r="G1377" s="40" t="s">
        <v>11410</v>
      </c>
      <c r="H1377" s="40" t="s">
        <v>11399</v>
      </c>
    </row>
    <row r="1378">
      <c r="A1378" s="39">
        <f>IFERROR(__xludf.DUMMYFUNCTION("""COMPUTED_VALUE"""),45942.804815752315)</f>
        <v>45942.80482</v>
      </c>
      <c r="B1378" s="40" t="str">
        <f>IFERROR(__xludf.DUMMYFUNCTION("""COMPUTED_VALUE"""),"AINI RAHMATINI NATALIA MOESTAKIM")</f>
        <v>AINI RAHMATINI NATALIA MOESTAKIM</v>
      </c>
      <c r="C1378" s="40" t="str">
        <f>IFERROR(__xludf.DUMMYFUNCTION("""COMPUTED_VALUE"""),"Belum disetujui")</f>
        <v>Belum disetujui</v>
      </c>
      <c r="D1378" s="40"/>
      <c r="E1378" s="40" t="s">
        <v>11409</v>
      </c>
      <c r="F1378" s="40" t="s">
        <v>204</v>
      </c>
      <c r="G1378" s="40" t="s">
        <v>11410</v>
      </c>
      <c r="H1378" s="40" t="s">
        <v>11399</v>
      </c>
    </row>
    <row r="1379">
      <c r="A1379" s="39">
        <f>IFERROR(__xludf.DUMMYFUNCTION("""COMPUTED_VALUE"""),45942.80656712963)</f>
        <v>45942.80657</v>
      </c>
      <c r="B1379" s="40" t="str">
        <f>IFERROR(__xludf.DUMMYFUNCTION("""COMPUTED_VALUE"""),"YASINTHA MBU")</f>
        <v>YASINTHA MBU</v>
      </c>
      <c r="C1379" s="40" t="str">
        <f>IFERROR(__xludf.DUMMYFUNCTION("""COMPUTED_VALUE"""),"Belum disetujui")</f>
        <v>Belum disetujui</v>
      </c>
      <c r="D1379" s="40"/>
      <c r="E1379" s="40" t="s">
        <v>11407</v>
      </c>
      <c r="F1379" s="40" t="s">
        <v>220</v>
      </c>
      <c r="G1379" s="40" t="s">
        <v>11408</v>
      </c>
      <c r="H1379" s="40" t="s">
        <v>11399</v>
      </c>
    </row>
    <row r="1380">
      <c r="A1380" s="39">
        <f>IFERROR(__xludf.DUMMYFUNCTION("""COMPUTED_VALUE"""),45943.44179134259)</f>
        <v>45943.44179</v>
      </c>
      <c r="B1380" s="40" t="str">
        <f>IFERROR(__xludf.DUMMYFUNCTION("""COMPUTED_VALUE"""),"MARIA MELAN ANANCE BILI")</f>
        <v>MARIA MELAN ANANCE BILI</v>
      </c>
      <c r="C1380" s="40" t="str">
        <f>IFERROR(__xludf.DUMMYFUNCTION("""COMPUTED_VALUE"""),"Belum disetujui")</f>
        <v>Belum disetujui</v>
      </c>
      <c r="D1380" s="40"/>
      <c r="E1380" s="40" t="s">
        <v>11466</v>
      </c>
      <c r="F1380" s="40" t="s">
        <v>257</v>
      </c>
      <c r="G1380" s="40" t="s">
        <v>11467</v>
      </c>
      <c r="H1380" s="40" t="s">
        <v>11419</v>
      </c>
    </row>
    <row r="1381">
      <c r="A1381" s="39">
        <f>IFERROR(__xludf.DUMMYFUNCTION("""COMPUTED_VALUE"""),45943.44336635417)</f>
        <v>45943.44337</v>
      </c>
      <c r="B1381" s="40" t="str">
        <f>IFERROR(__xludf.DUMMYFUNCTION("""COMPUTED_VALUE"""),"MARIA MELAN ANANCE BILI")</f>
        <v>MARIA MELAN ANANCE BILI</v>
      </c>
      <c r="C1381" s="40" t="str">
        <f>IFERROR(__xludf.DUMMYFUNCTION("""COMPUTED_VALUE"""),"Belum disetujui")</f>
        <v>Belum disetujui</v>
      </c>
      <c r="D1381" s="40"/>
      <c r="E1381" s="40" t="s">
        <v>11466</v>
      </c>
      <c r="F1381" s="40" t="s">
        <v>257</v>
      </c>
      <c r="G1381" s="40" t="s">
        <v>11467</v>
      </c>
      <c r="H1381" s="40" t="s">
        <v>11419</v>
      </c>
    </row>
    <row r="1382">
      <c r="A1382" s="39">
        <f>IFERROR(__xludf.DUMMYFUNCTION("""COMPUTED_VALUE"""),45943.44674820602)</f>
        <v>45943.44675</v>
      </c>
      <c r="B1382" s="40" t="str">
        <f>IFERROR(__xludf.DUMMYFUNCTION("""COMPUTED_VALUE"""),"NUR FATIMAH MOLBANG")</f>
        <v>NUR FATIMAH MOLBANG</v>
      </c>
      <c r="C1382" s="40" t="str">
        <f>IFERROR(__xludf.DUMMYFUNCTION("""COMPUTED_VALUE"""),"Dapat limit tapi belum diproses")</f>
        <v>Dapat limit tapi belum diproses</v>
      </c>
      <c r="D1382" s="40" t="str">
        <f>IFERROR(__xludf.DUMMYFUNCTION("""COMPUTED_VALUE"""),"Y400 series")</f>
        <v>Y400 series</v>
      </c>
      <c r="E1382" s="40" t="s">
        <v>11439</v>
      </c>
      <c r="F1382" s="40" t="s">
        <v>313</v>
      </c>
      <c r="G1382" s="40" t="s">
        <v>11440</v>
      </c>
      <c r="H1382" s="40" t="s">
        <v>11424</v>
      </c>
    </row>
    <row r="1383">
      <c r="A1383" s="39">
        <f>IFERROR(__xludf.DUMMYFUNCTION("""COMPUTED_VALUE"""),45943.452161898145)</f>
        <v>45943.45216</v>
      </c>
      <c r="B1383" s="40" t="str">
        <f>IFERROR(__xludf.DUMMYFUNCTION("""COMPUTED_VALUE"""),"ASTUTI BELA WAWO")</f>
        <v>ASTUTI BELA WAWO</v>
      </c>
      <c r="C1383" s="40" t="str">
        <f>IFERROR(__xludf.DUMMYFUNCTION("""COMPUTED_VALUE"""),"Belum disetujui")</f>
        <v>Belum disetujui</v>
      </c>
      <c r="D1383" s="40"/>
      <c r="E1383" s="40" t="s">
        <v>11427</v>
      </c>
      <c r="F1383" s="40" t="s">
        <v>257</v>
      </c>
      <c r="G1383" s="40" t="s">
        <v>11428</v>
      </c>
      <c r="H1383" s="40" t="s">
        <v>11419</v>
      </c>
    </row>
    <row r="1384">
      <c r="A1384" s="39">
        <f>IFERROR(__xludf.DUMMYFUNCTION("""COMPUTED_VALUE"""),45943.46635836805)</f>
        <v>45943.46636</v>
      </c>
      <c r="B1384" s="40" t="str">
        <f>IFERROR(__xludf.DUMMYFUNCTION("""COMPUTED_VALUE"""),"AINI RAHMATINI NATALIA MOESTAKIM")</f>
        <v>AINI RAHMATINI NATALIA MOESTAKIM</v>
      </c>
      <c r="C1384" s="40" t="str">
        <f>IFERROR(__xludf.DUMMYFUNCTION("""COMPUTED_VALUE"""),"Belum disetujui")</f>
        <v>Belum disetujui</v>
      </c>
      <c r="D1384" s="40"/>
      <c r="E1384" s="40" t="s">
        <v>11409</v>
      </c>
      <c r="F1384" s="40" t="s">
        <v>204</v>
      </c>
      <c r="G1384" s="40" t="s">
        <v>11410</v>
      </c>
      <c r="H1384" s="40" t="s">
        <v>11399</v>
      </c>
    </row>
    <row r="1385">
      <c r="A1385" s="39">
        <f>IFERROR(__xludf.DUMMYFUNCTION("""COMPUTED_VALUE"""),45943.47245908565)</f>
        <v>45943.47246</v>
      </c>
      <c r="B1385" s="40" t="str">
        <f>IFERROR(__xludf.DUMMYFUNCTION("""COMPUTED_VALUE"""),"YUNITA TAMELAB")</f>
        <v>YUNITA TAMELAB</v>
      </c>
      <c r="C1385" s="40" t="str">
        <f>IFERROR(__xludf.DUMMYFUNCTION("""COMPUTED_VALUE"""),"Belum disetujui")</f>
        <v>Belum disetujui</v>
      </c>
      <c r="D1385" s="40"/>
      <c r="E1385" s="40" t="s">
        <v>11472</v>
      </c>
      <c r="F1385" s="40" t="s">
        <v>667</v>
      </c>
      <c r="G1385" s="40" t="s">
        <v>11473</v>
      </c>
      <c r="H1385" s="40" t="s">
        <v>11424</v>
      </c>
    </row>
    <row r="1386">
      <c r="A1386" s="39">
        <f>IFERROR(__xludf.DUMMYFUNCTION("""COMPUTED_VALUE"""),45943.47472579861)</f>
        <v>45943.47473</v>
      </c>
      <c r="B1386" s="40" t="str">
        <f>IFERROR(__xludf.DUMMYFUNCTION("""COMPUTED_VALUE"""),"MARNITHA JUWIKE TIMORATI RUNESI")</f>
        <v>MARNITHA JUWIKE TIMORATI RUNESI</v>
      </c>
      <c r="C1386" s="40" t="str">
        <f>IFERROR(__xludf.DUMMYFUNCTION("""COMPUTED_VALUE"""),"Dapat limit tapi belum diproses")</f>
        <v>Dapat limit tapi belum diproses</v>
      </c>
      <c r="D1386" s="40" t="str">
        <f>IFERROR(__xludf.DUMMYFUNCTION("""COMPUTED_VALUE"""),"Y400 series")</f>
        <v>Y400 series</v>
      </c>
      <c r="E1386" s="40" t="s">
        <v>11420</v>
      </c>
      <c r="F1386" s="40" t="s">
        <v>204</v>
      </c>
      <c r="G1386" s="40" t="s">
        <v>11421</v>
      </c>
      <c r="H1386" s="40" t="s">
        <v>11399</v>
      </c>
    </row>
    <row r="1387">
      <c r="A1387" s="39">
        <f>IFERROR(__xludf.DUMMYFUNCTION("""COMPUTED_VALUE"""),45943.49119729167)</f>
        <v>45943.4912</v>
      </c>
      <c r="B1387" s="40" t="str">
        <f>IFERROR(__xludf.DUMMYFUNCTION("""COMPUTED_VALUE"""),"DEWI RAHMAN")</f>
        <v>DEWI RAHMAN</v>
      </c>
      <c r="C1387" s="40" t="str">
        <f>IFERROR(__xludf.DUMMYFUNCTION("""COMPUTED_VALUE"""),"Belum disetujui")</f>
        <v>Belum disetujui</v>
      </c>
      <c r="D1387" s="40"/>
      <c r="E1387" s="40" t="s">
        <v>11449</v>
      </c>
      <c r="F1387" s="40" t="s">
        <v>11450</v>
      </c>
      <c r="G1387" s="40" t="s">
        <v>11451</v>
      </c>
      <c r="H1387" s="40" t="s">
        <v>11424</v>
      </c>
    </row>
    <row r="1388">
      <c r="A1388" s="39">
        <f>IFERROR(__xludf.DUMMYFUNCTION("""COMPUTED_VALUE"""),45943.491986863424)</f>
        <v>45943.49199</v>
      </c>
      <c r="B1388" s="40" t="str">
        <f>IFERROR(__xludf.DUMMYFUNCTION("""COMPUTED_VALUE"""),"BERGITHA NIA OLIN")</f>
        <v>BERGITHA NIA OLIN</v>
      </c>
      <c r="C1388" s="40" t="str">
        <f>IFERROR(__xludf.DUMMYFUNCTION("""COMPUTED_VALUE"""),"Belum disetujui")</f>
        <v>Belum disetujui</v>
      </c>
      <c r="D1388" s="40"/>
      <c r="E1388" s="40" t="s">
        <v>11431</v>
      </c>
      <c r="F1388" s="40" t="s">
        <v>313</v>
      </c>
      <c r="G1388" s="40" t="s">
        <v>11432</v>
      </c>
      <c r="H1388" s="40" t="s">
        <v>11424</v>
      </c>
    </row>
    <row r="1389">
      <c r="A1389" s="39">
        <f>IFERROR(__xludf.DUMMYFUNCTION("""COMPUTED_VALUE"""),45943.50392846065)</f>
        <v>45943.50393</v>
      </c>
      <c r="B1389" s="40" t="str">
        <f>IFERROR(__xludf.DUMMYFUNCTION("""COMPUTED_VALUE"""),"YUNITA TAMELAB")</f>
        <v>YUNITA TAMELAB</v>
      </c>
      <c r="C1389" s="40" t="str">
        <f>IFERROR(__xludf.DUMMYFUNCTION("""COMPUTED_VALUE"""),"Belum disetujui")</f>
        <v>Belum disetujui</v>
      </c>
      <c r="D1389" s="40"/>
      <c r="E1389" s="40" t="s">
        <v>11472</v>
      </c>
      <c r="F1389" s="40" t="s">
        <v>667</v>
      </c>
      <c r="G1389" s="40" t="s">
        <v>11473</v>
      </c>
      <c r="H1389" s="40" t="s">
        <v>11424</v>
      </c>
    </row>
    <row r="1390">
      <c r="A1390" s="39">
        <f>IFERROR(__xludf.DUMMYFUNCTION("""COMPUTED_VALUE"""),45943.50689141204)</f>
        <v>45943.50689</v>
      </c>
      <c r="B1390" s="40" t="str">
        <f>IFERROR(__xludf.DUMMYFUNCTION("""COMPUTED_VALUE"""),"FERI ELI KURNIAWAN")</f>
        <v>FERI ELI KURNIAWAN</v>
      </c>
      <c r="C1390" s="40" t="str">
        <f>IFERROR(__xludf.DUMMYFUNCTION("""COMPUTED_VALUE"""),"Belum disetujui")</f>
        <v>Belum disetujui</v>
      </c>
      <c r="D1390" s="40"/>
      <c r="E1390" s="40" t="s">
        <v>11411</v>
      </c>
      <c r="F1390" s="40" t="s">
        <v>220</v>
      </c>
      <c r="G1390" s="40" t="s">
        <v>11412</v>
      </c>
      <c r="H1390" s="40" t="s">
        <v>11399</v>
      </c>
    </row>
    <row r="1391">
      <c r="A1391" s="39">
        <f>IFERROR(__xludf.DUMMYFUNCTION("""COMPUTED_VALUE"""),45943.50830311342)</f>
        <v>45943.5083</v>
      </c>
      <c r="B1391" s="40" t="str">
        <f>IFERROR(__xludf.DUMMYFUNCTION("""COMPUTED_VALUE"""),"FERI ELI KURNIAWAN")</f>
        <v>FERI ELI KURNIAWAN</v>
      </c>
      <c r="C1391" s="40" t="str">
        <f>IFERROR(__xludf.DUMMYFUNCTION("""COMPUTED_VALUE"""),"Belum disetujui")</f>
        <v>Belum disetujui</v>
      </c>
      <c r="D1391" s="40"/>
      <c r="E1391" s="40" t="s">
        <v>11411</v>
      </c>
      <c r="F1391" s="40" t="s">
        <v>220</v>
      </c>
      <c r="G1391" s="40" t="s">
        <v>11412</v>
      </c>
      <c r="H1391" s="40" t="s">
        <v>11399</v>
      </c>
    </row>
    <row r="1392">
      <c r="A1392" s="39">
        <f>IFERROR(__xludf.DUMMYFUNCTION("""COMPUTED_VALUE"""),45943.50957149306)</f>
        <v>45943.50957</v>
      </c>
      <c r="B1392" s="40" t="str">
        <f>IFERROR(__xludf.DUMMYFUNCTION("""COMPUTED_VALUE"""),"FERI ELI KURNIAWAN")</f>
        <v>FERI ELI KURNIAWAN</v>
      </c>
      <c r="C1392" s="40" t="str">
        <f>IFERROR(__xludf.DUMMYFUNCTION("""COMPUTED_VALUE"""),"Belum disetujui")</f>
        <v>Belum disetujui</v>
      </c>
      <c r="D1392" s="40"/>
      <c r="E1392" s="40" t="s">
        <v>11411</v>
      </c>
      <c r="F1392" s="40" t="s">
        <v>220</v>
      </c>
      <c r="G1392" s="40" t="s">
        <v>11412</v>
      </c>
      <c r="H1392" s="40" t="s">
        <v>11399</v>
      </c>
    </row>
    <row r="1393">
      <c r="A1393" s="39">
        <f>IFERROR(__xludf.DUMMYFUNCTION("""COMPUTED_VALUE"""),45943.510591886574)</f>
        <v>45943.51059</v>
      </c>
      <c r="B1393" s="40" t="str">
        <f>IFERROR(__xludf.DUMMYFUNCTION("""COMPUTED_VALUE"""),"FERI ELI KURNIAWAN")</f>
        <v>FERI ELI KURNIAWAN</v>
      </c>
      <c r="C1393" s="40" t="str">
        <f>IFERROR(__xludf.DUMMYFUNCTION("""COMPUTED_VALUE"""),"Belum disetujui")</f>
        <v>Belum disetujui</v>
      </c>
      <c r="D1393" s="40"/>
      <c r="E1393" s="40" t="s">
        <v>11411</v>
      </c>
      <c r="F1393" s="40" t="s">
        <v>220</v>
      </c>
      <c r="G1393" s="40" t="s">
        <v>11412</v>
      </c>
      <c r="H1393" s="40" t="s">
        <v>11399</v>
      </c>
    </row>
    <row r="1394">
      <c r="A1394" s="39">
        <f>IFERROR(__xludf.DUMMYFUNCTION("""COMPUTED_VALUE"""),45943.51097505788)</f>
        <v>45943.51098</v>
      </c>
      <c r="B1394" s="40" t="str">
        <f>IFERROR(__xludf.DUMMYFUNCTION("""COMPUTED_VALUE"""),"MERDA PUTRI BUNGSU KENAT")</f>
        <v>MERDA PUTRI BUNGSU KENAT</v>
      </c>
      <c r="C1394" s="40" t="str">
        <f>IFERROR(__xludf.DUMMYFUNCTION("""COMPUTED_VALUE"""),"ACC")</f>
        <v>ACC</v>
      </c>
      <c r="D1394" s="40" t="str">
        <f>IFERROR(__xludf.DUMMYFUNCTION("""COMPUTED_VALUE"""),"V50 Lite series")</f>
        <v>V50 Lite series</v>
      </c>
      <c r="E1394" s="40" t="s">
        <v>11422</v>
      </c>
      <c r="F1394" s="40" t="s">
        <v>215</v>
      </c>
      <c r="G1394" s="40" t="s">
        <v>11423</v>
      </c>
      <c r="H1394" s="40" t="s">
        <v>11424</v>
      </c>
    </row>
    <row r="1395">
      <c r="A1395" s="39">
        <f>IFERROR(__xludf.DUMMYFUNCTION("""COMPUTED_VALUE"""),45943.51226708333)</f>
        <v>45943.51227</v>
      </c>
      <c r="B1395" s="40" t="str">
        <f>IFERROR(__xludf.DUMMYFUNCTION("""COMPUTED_VALUE"""),"KESIA NATALIA I. BENU")</f>
        <v>KESIA NATALIA I. BENU</v>
      </c>
      <c r="C1395" s="40" t="str">
        <f>IFERROR(__xludf.DUMMYFUNCTION("""COMPUTED_VALUE"""),"Belum disetujui")</f>
        <v>Belum disetujui</v>
      </c>
      <c r="D1395" s="40"/>
      <c r="E1395" s="40" t="s">
        <v>11417</v>
      </c>
      <c r="F1395" s="40" t="s">
        <v>257</v>
      </c>
      <c r="G1395" s="40" t="s">
        <v>11418</v>
      </c>
      <c r="H1395" s="40" t="s">
        <v>11419</v>
      </c>
    </row>
    <row r="1396">
      <c r="A1396" s="39">
        <f>IFERROR(__xludf.DUMMYFUNCTION("""COMPUTED_VALUE"""),45943.51285129629)</f>
        <v>45943.51285</v>
      </c>
      <c r="B1396" s="40" t="str">
        <f>IFERROR(__xludf.DUMMYFUNCTION("""COMPUTED_VALUE"""),"FERI ELI KURNIAWAN")</f>
        <v>FERI ELI KURNIAWAN</v>
      </c>
      <c r="C1396" s="40" t="str">
        <f>IFERROR(__xludf.DUMMYFUNCTION("""COMPUTED_VALUE"""),"ACC")</f>
        <v>ACC</v>
      </c>
      <c r="D1396" s="40" t="str">
        <f>IFERROR(__xludf.DUMMYFUNCTION("""COMPUTED_VALUE"""),"Y400 series")</f>
        <v>Y400 series</v>
      </c>
      <c r="E1396" s="40" t="s">
        <v>11411</v>
      </c>
      <c r="F1396" s="40" t="s">
        <v>220</v>
      </c>
      <c r="G1396" s="40" t="s">
        <v>11412</v>
      </c>
      <c r="H1396" s="40" t="s">
        <v>11399</v>
      </c>
    </row>
    <row r="1397">
      <c r="A1397" s="39">
        <f>IFERROR(__xludf.DUMMYFUNCTION("""COMPUTED_VALUE"""),45943.514440370374)</f>
        <v>45943.51444</v>
      </c>
      <c r="B1397" s="40" t="str">
        <f>IFERROR(__xludf.DUMMYFUNCTION("""COMPUTED_VALUE"""),"FERI ELI KURNIAWAN")</f>
        <v>FERI ELI KURNIAWAN</v>
      </c>
      <c r="C1397" s="40" t="str">
        <f>IFERROR(__xludf.DUMMYFUNCTION("""COMPUTED_VALUE"""),"Dapat limit tapi belum diproses")</f>
        <v>Dapat limit tapi belum diproses</v>
      </c>
      <c r="D1397" s="40" t="str">
        <f>IFERROR(__xludf.DUMMYFUNCTION("""COMPUTED_VALUE"""),"Y400 series")</f>
        <v>Y400 series</v>
      </c>
      <c r="E1397" s="40" t="s">
        <v>11411</v>
      </c>
      <c r="F1397" s="40" t="s">
        <v>220</v>
      </c>
      <c r="G1397" s="40" t="s">
        <v>11412</v>
      </c>
      <c r="H1397" s="40" t="s">
        <v>11399</v>
      </c>
    </row>
    <row r="1398">
      <c r="A1398" s="39">
        <f>IFERROR(__xludf.DUMMYFUNCTION("""COMPUTED_VALUE"""),45943.51613025463)</f>
        <v>45943.51613</v>
      </c>
      <c r="B1398" s="40" t="str">
        <f>IFERROR(__xludf.DUMMYFUNCTION("""COMPUTED_VALUE"""),"FERI ELI KURNIAWAN")</f>
        <v>FERI ELI KURNIAWAN</v>
      </c>
      <c r="C1398" s="40" t="str">
        <f>IFERROR(__xludf.DUMMYFUNCTION("""COMPUTED_VALUE"""),"Belum disetujui")</f>
        <v>Belum disetujui</v>
      </c>
      <c r="D1398" s="40"/>
      <c r="E1398" s="40" t="s">
        <v>11411</v>
      </c>
      <c r="F1398" s="40" t="s">
        <v>220</v>
      </c>
      <c r="G1398" s="40" t="s">
        <v>11412</v>
      </c>
      <c r="H1398" s="40" t="s">
        <v>11399</v>
      </c>
    </row>
    <row r="1399">
      <c r="A1399" s="39">
        <f>IFERROR(__xludf.DUMMYFUNCTION("""COMPUTED_VALUE"""),45943.51878701389)</f>
        <v>45943.51879</v>
      </c>
      <c r="B1399" s="40" t="str">
        <f>IFERROR(__xludf.DUMMYFUNCTION("""COMPUTED_VALUE"""),"FERI ELI KURNIAWAN")</f>
        <v>FERI ELI KURNIAWAN</v>
      </c>
      <c r="C1399" s="40" t="str">
        <f>IFERROR(__xludf.DUMMYFUNCTION("""COMPUTED_VALUE"""),"Belum disetujui")</f>
        <v>Belum disetujui</v>
      </c>
      <c r="D1399" s="40"/>
      <c r="E1399" s="40" t="s">
        <v>11411</v>
      </c>
      <c r="F1399" s="40" t="s">
        <v>220</v>
      </c>
      <c r="G1399" s="40" t="s">
        <v>11412</v>
      </c>
      <c r="H1399" s="40" t="s">
        <v>11399</v>
      </c>
    </row>
    <row r="1400">
      <c r="A1400" s="39">
        <f>IFERROR(__xludf.DUMMYFUNCTION("""COMPUTED_VALUE"""),45943.524105034725)</f>
        <v>45943.52411</v>
      </c>
      <c r="B1400" s="40" t="str">
        <f>IFERROR(__xludf.DUMMYFUNCTION("""COMPUTED_VALUE"""),"SANTI MARIA LUKMINI NAHAK")</f>
        <v>SANTI MARIA LUKMINI NAHAK</v>
      </c>
      <c r="C1400" s="40" t="str">
        <f>IFERROR(__xludf.DUMMYFUNCTION("""COMPUTED_VALUE"""),"Belum disetujui")</f>
        <v>Belum disetujui</v>
      </c>
      <c r="D1400" s="40"/>
      <c r="E1400" s="40" t="s">
        <v>11460</v>
      </c>
      <c r="F1400" s="40" t="s">
        <v>871</v>
      </c>
      <c r="G1400" s="40" t="s">
        <v>11461</v>
      </c>
      <c r="H1400" s="40" t="s">
        <v>11424</v>
      </c>
    </row>
    <row r="1401">
      <c r="A1401" s="39">
        <f>IFERROR(__xludf.DUMMYFUNCTION("""COMPUTED_VALUE"""),45943.525456388896)</f>
        <v>45943.52546</v>
      </c>
      <c r="B1401" s="40" t="str">
        <f>IFERROR(__xludf.DUMMYFUNCTION("""COMPUTED_VALUE"""),"ADRIANA")</f>
        <v>ADRIANA</v>
      </c>
      <c r="C1401" s="40" t="str">
        <f>IFERROR(__xludf.DUMMYFUNCTION("""COMPUTED_VALUE"""),"Dapat limit tapi belum diproses")</f>
        <v>Dapat limit tapi belum diproses</v>
      </c>
      <c r="D1401" s="40" t="str">
        <f>IFERROR(__xludf.DUMMYFUNCTION("""COMPUTED_VALUE"""),"Y400 series")</f>
        <v>Y400 series</v>
      </c>
      <c r="E1401" s="40" t="s">
        <v>11433</v>
      </c>
      <c r="F1401" s="40" t="s">
        <v>313</v>
      </c>
      <c r="G1401" s="40" t="s">
        <v>11434</v>
      </c>
      <c r="H1401" s="40" t="s">
        <v>11424</v>
      </c>
    </row>
    <row r="1402">
      <c r="A1402" s="39">
        <f>IFERROR(__xludf.DUMMYFUNCTION("""COMPUTED_VALUE"""),45943.52712328704)</f>
        <v>45943.52712</v>
      </c>
      <c r="B1402" s="40" t="str">
        <f>IFERROR(__xludf.DUMMYFUNCTION("""COMPUTED_VALUE"""),"AMBU BAIQ JUMENAH")</f>
        <v>AMBU BAIQ JUMENAH</v>
      </c>
      <c r="C1402" s="40" t="str">
        <f>IFERROR(__xludf.DUMMYFUNCTION("""COMPUTED_VALUE"""),"Belum disetujui")</f>
        <v>Belum disetujui</v>
      </c>
      <c r="D1402" s="40"/>
      <c r="E1402" s="40" t="s">
        <v>11458</v>
      </c>
      <c r="F1402" s="40" t="s">
        <v>205</v>
      </c>
      <c r="G1402" s="40" t="s">
        <v>11459</v>
      </c>
      <c r="H1402" s="40" t="s">
        <v>11419</v>
      </c>
    </row>
    <row r="1403">
      <c r="A1403" s="39">
        <f>IFERROR(__xludf.DUMMYFUNCTION("""COMPUTED_VALUE"""),45943.54740966435)</f>
        <v>45943.54741</v>
      </c>
      <c r="B1403" s="40" t="str">
        <f>IFERROR(__xludf.DUMMYFUNCTION("""COMPUTED_VALUE"""),"MERDA PUTRI BUNGSU KENAT")</f>
        <v>MERDA PUTRI BUNGSU KENAT</v>
      </c>
      <c r="C1403" s="40" t="str">
        <f>IFERROR(__xludf.DUMMYFUNCTION("""COMPUTED_VALUE"""),"Belum disetujui")</f>
        <v>Belum disetujui</v>
      </c>
      <c r="D1403" s="40"/>
      <c r="E1403" s="40" t="s">
        <v>11422</v>
      </c>
      <c r="F1403" s="40" t="s">
        <v>215</v>
      </c>
      <c r="G1403" s="40" t="s">
        <v>11423</v>
      </c>
      <c r="H1403" s="40" t="s">
        <v>11424</v>
      </c>
    </row>
    <row r="1404">
      <c r="A1404" s="39">
        <f>IFERROR(__xludf.DUMMYFUNCTION("""COMPUTED_VALUE"""),45943.547824953705)</f>
        <v>45943.54782</v>
      </c>
      <c r="B1404" s="40" t="str">
        <f>IFERROR(__xludf.DUMMYFUNCTION("""COMPUTED_VALUE"""),"CHOIRUNISA ILHAM")</f>
        <v>CHOIRUNISA ILHAM</v>
      </c>
      <c r="C1404" s="40" t="str">
        <f>IFERROR(__xludf.DUMMYFUNCTION("""COMPUTED_VALUE"""),"Belum disetujui")</f>
        <v>Belum disetujui</v>
      </c>
      <c r="D1404" s="40"/>
      <c r="E1404" s="40" t="s">
        <v>11404</v>
      </c>
      <c r="F1404" s="40" t="s">
        <v>11404</v>
      </c>
      <c r="G1404" s="40" t="s">
        <v>11404</v>
      </c>
      <c r="H1404" s="40" t="s">
        <v>11404</v>
      </c>
    </row>
    <row r="1405">
      <c r="A1405" s="39">
        <f>IFERROR(__xludf.DUMMYFUNCTION("""COMPUTED_VALUE"""),45943.54982138889)</f>
        <v>45943.54982</v>
      </c>
      <c r="B1405" s="40" t="str">
        <f>IFERROR(__xludf.DUMMYFUNCTION("""COMPUTED_VALUE"""),"ROS YANE KANA LUDJI")</f>
        <v>ROS YANE KANA LUDJI</v>
      </c>
      <c r="C1405" s="40" t="str">
        <f>IFERROR(__xludf.DUMMYFUNCTION("""COMPUTED_VALUE"""),"Belum disetujui")</f>
        <v>Belum disetujui</v>
      </c>
      <c r="D1405" s="40"/>
      <c r="E1405" s="40" t="s">
        <v>11437</v>
      </c>
      <c r="F1405" s="40" t="s">
        <v>204</v>
      </c>
      <c r="G1405" s="40" t="s">
        <v>11438</v>
      </c>
      <c r="H1405" s="40" t="s">
        <v>11399</v>
      </c>
    </row>
    <row r="1406">
      <c r="A1406" s="39">
        <f>IFERROR(__xludf.DUMMYFUNCTION("""COMPUTED_VALUE"""),45943.5579590625)</f>
        <v>45943.55796</v>
      </c>
      <c r="B1406" s="40" t="str">
        <f>IFERROR(__xludf.DUMMYFUNCTION("""COMPUTED_VALUE"""),"SKOLASTIKA B TAUNAES")</f>
        <v>SKOLASTIKA B TAUNAES</v>
      </c>
      <c r="C1406" s="40" t="str">
        <f>IFERROR(__xludf.DUMMYFUNCTION("""COMPUTED_VALUE"""),"ACC")</f>
        <v>ACC</v>
      </c>
      <c r="D1406" s="40" t="str">
        <f>IFERROR(__xludf.DUMMYFUNCTION("""COMPUTED_VALUE"""),"Y400 series")</f>
        <v>Y400 series</v>
      </c>
      <c r="E1406" s="40" t="s">
        <v>11413</v>
      </c>
      <c r="F1406" s="40" t="s">
        <v>204</v>
      </c>
      <c r="G1406" s="40" t="s">
        <v>11414</v>
      </c>
      <c r="H1406" s="40" t="s">
        <v>11399</v>
      </c>
    </row>
    <row r="1407">
      <c r="A1407" s="39">
        <f>IFERROR(__xludf.DUMMYFUNCTION("""COMPUTED_VALUE"""),45943.56729508102)</f>
        <v>45943.5673</v>
      </c>
      <c r="B1407" s="40" t="str">
        <f>IFERROR(__xludf.DUMMYFUNCTION("""COMPUTED_VALUE"""),"PRETI SISILIA SILA")</f>
        <v>PRETI SISILIA SILA</v>
      </c>
      <c r="C1407" s="40" t="str">
        <f>IFERROR(__xludf.DUMMYFUNCTION("""COMPUTED_VALUE"""),"Belum disetujui")</f>
        <v>Belum disetujui</v>
      </c>
      <c r="D1407" s="40"/>
      <c r="E1407" s="40" t="s">
        <v>11456</v>
      </c>
      <c r="F1407" s="40" t="s">
        <v>667</v>
      </c>
      <c r="G1407" s="40" t="s">
        <v>11457</v>
      </c>
      <c r="H1407" s="40" t="s">
        <v>11424</v>
      </c>
    </row>
    <row r="1408">
      <c r="A1408" s="39">
        <f>IFERROR(__xludf.DUMMYFUNCTION("""COMPUTED_VALUE"""),45943.618575277775)</f>
        <v>45943.61858</v>
      </c>
      <c r="B1408" s="40" t="str">
        <f>IFERROR(__xludf.DUMMYFUNCTION("""COMPUTED_VALUE"""),"ESTER LUDJI")</f>
        <v>ESTER LUDJI</v>
      </c>
      <c r="C1408" s="40" t="str">
        <f>IFERROR(__xludf.DUMMYFUNCTION("""COMPUTED_VALUE"""),"ACC")</f>
        <v>ACC</v>
      </c>
      <c r="D1408" s="40" t="str">
        <f>IFERROR(__xludf.DUMMYFUNCTION("""COMPUTED_VALUE"""),"Y400 series")</f>
        <v>Y400 series</v>
      </c>
      <c r="E1408" s="40" t="s">
        <v>11441</v>
      </c>
      <c r="F1408" s="40" t="s">
        <v>205</v>
      </c>
      <c r="G1408" s="40" t="s">
        <v>11442</v>
      </c>
      <c r="H1408" s="40" t="s">
        <v>11419</v>
      </c>
    </row>
    <row r="1409">
      <c r="A1409" s="39">
        <f>IFERROR(__xludf.DUMMYFUNCTION("""COMPUTED_VALUE"""),45943.658786921296)</f>
        <v>45943.65879</v>
      </c>
      <c r="B1409" s="40" t="str">
        <f>IFERROR(__xludf.DUMMYFUNCTION("""COMPUTED_VALUE"""),"ADRIANA")</f>
        <v>ADRIANA</v>
      </c>
      <c r="C1409" s="40" t="str">
        <f>IFERROR(__xludf.DUMMYFUNCTION("""COMPUTED_VALUE"""),"Dapat limit tapi belum diproses")</f>
        <v>Dapat limit tapi belum diproses</v>
      </c>
      <c r="D1409" s="40" t="str">
        <f>IFERROR(__xludf.DUMMYFUNCTION("""COMPUTED_VALUE"""),"Y400 series")</f>
        <v>Y400 series</v>
      </c>
      <c r="E1409" s="40" t="s">
        <v>11433</v>
      </c>
      <c r="F1409" s="40" t="s">
        <v>313</v>
      </c>
      <c r="G1409" s="40" t="s">
        <v>11434</v>
      </c>
      <c r="H1409" s="40" t="s">
        <v>11424</v>
      </c>
    </row>
    <row r="1410">
      <c r="A1410" s="39">
        <f>IFERROR(__xludf.DUMMYFUNCTION("""COMPUTED_VALUE"""),45943.660503576386)</f>
        <v>45943.6605</v>
      </c>
      <c r="B1410" s="40" t="str">
        <f>IFERROR(__xludf.DUMMYFUNCTION("""COMPUTED_VALUE"""),"ADRIANA")</f>
        <v>ADRIANA</v>
      </c>
      <c r="C1410" s="40" t="str">
        <f>IFERROR(__xludf.DUMMYFUNCTION("""COMPUTED_VALUE"""),"Belum disetujui")</f>
        <v>Belum disetujui</v>
      </c>
      <c r="D1410" s="40"/>
      <c r="E1410" s="40" t="s">
        <v>11433</v>
      </c>
      <c r="F1410" s="40" t="s">
        <v>313</v>
      </c>
      <c r="G1410" s="40" t="s">
        <v>11434</v>
      </c>
      <c r="H1410" s="40" t="s">
        <v>11424</v>
      </c>
    </row>
    <row r="1411">
      <c r="A1411" s="39">
        <f>IFERROR(__xludf.DUMMYFUNCTION("""COMPUTED_VALUE"""),45943.693899120364)</f>
        <v>45943.6939</v>
      </c>
      <c r="B1411" s="40" t="str">
        <f>IFERROR(__xludf.DUMMYFUNCTION("""COMPUTED_VALUE"""),"ESTER LUDJI")</f>
        <v>ESTER LUDJI</v>
      </c>
      <c r="C1411" s="40" t="str">
        <f>IFERROR(__xludf.DUMMYFUNCTION("""COMPUTED_VALUE"""),"Belum disetujui")</f>
        <v>Belum disetujui</v>
      </c>
      <c r="D1411" s="40"/>
      <c r="E1411" s="40" t="s">
        <v>11441</v>
      </c>
      <c r="F1411" s="40" t="s">
        <v>205</v>
      </c>
      <c r="G1411" s="40" t="s">
        <v>11442</v>
      </c>
      <c r="H1411" s="40" t="s">
        <v>11419</v>
      </c>
    </row>
    <row r="1412">
      <c r="A1412" s="39">
        <f>IFERROR(__xludf.DUMMYFUNCTION("""COMPUTED_VALUE"""),45943.696864942125)</f>
        <v>45943.69686</v>
      </c>
      <c r="B1412" s="40" t="str">
        <f>IFERROR(__xludf.DUMMYFUNCTION("""COMPUTED_VALUE"""),"ESTER LUDJI")</f>
        <v>ESTER LUDJI</v>
      </c>
      <c r="C1412" s="40" t="str">
        <f>IFERROR(__xludf.DUMMYFUNCTION("""COMPUTED_VALUE"""),"Belum disetujui")</f>
        <v>Belum disetujui</v>
      </c>
      <c r="D1412" s="40"/>
      <c r="E1412" s="40" t="s">
        <v>11441</v>
      </c>
      <c r="F1412" s="40" t="s">
        <v>205</v>
      </c>
      <c r="G1412" s="40" t="s">
        <v>11442</v>
      </c>
      <c r="H1412" s="40" t="s">
        <v>11419</v>
      </c>
    </row>
    <row r="1413">
      <c r="A1413" s="39">
        <f>IFERROR(__xludf.DUMMYFUNCTION("""COMPUTED_VALUE"""),45943.727073622686)</f>
        <v>45943.72707</v>
      </c>
      <c r="B1413" s="40" t="str">
        <f>IFERROR(__xludf.DUMMYFUNCTION("""COMPUTED_VALUE"""),"FEBRIANTHY ELISABET NA'U")</f>
        <v>FEBRIANTHY ELISABET NA'U</v>
      </c>
      <c r="C1413" s="40" t="str">
        <f>IFERROR(__xludf.DUMMYFUNCTION("""COMPUTED_VALUE"""),"Belum disetujui")</f>
        <v>Belum disetujui</v>
      </c>
      <c r="D1413" s="40"/>
      <c r="E1413" s="40" t="s">
        <v>11415</v>
      </c>
      <c r="F1413" s="40" t="s">
        <v>204</v>
      </c>
      <c r="G1413" s="40" t="s">
        <v>11416</v>
      </c>
      <c r="H1413" s="40" t="s">
        <v>11399</v>
      </c>
    </row>
    <row r="1414">
      <c r="A1414" s="39">
        <f>IFERROR(__xludf.DUMMYFUNCTION("""COMPUTED_VALUE"""),45943.73709674769)</f>
        <v>45943.7371</v>
      </c>
      <c r="B1414" s="40" t="str">
        <f>IFERROR(__xludf.DUMMYFUNCTION("""COMPUTED_VALUE"""),"YOVANDA KATRINA NAE")</f>
        <v>YOVANDA KATRINA NAE</v>
      </c>
      <c r="C1414" s="40" t="str">
        <f>IFERROR(__xludf.DUMMYFUNCTION("""COMPUTED_VALUE"""),"Belum disetujui")</f>
        <v>Belum disetujui</v>
      </c>
      <c r="D1414" s="40"/>
      <c r="E1414" s="40" t="s">
        <v>11425</v>
      </c>
      <c r="F1414" s="40" t="s">
        <v>205</v>
      </c>
      <c r="G1414" s="40" t="s">
        <v>11426</v>
      </c>
      <c r="H1414" s="40" t="s">
        <v>11419</v>
      </c>
    </row>
    <row r="1415">
      <c r="A1415" s="39">
        <f>IFERROR(__xludf.DUMMYFUNCTION("""COMPUTED_VALUE"""),45943.75729799769)</f>
        <v>45943.7573</v>
      </c>
      <c r="B1415" s="40" t="str">
        <f>IFERROR(__xludf.DUMMYFUNCTION("""COMPUTED_VALUE"""),"BERGITHA NIA OLIN")</f>
        <v>BERGITHA NIA OLIN</v>
      </c>
      <c r="C1415" s="40" t="str">
        <f>IFERROR(__xludf.DUMMYFUNCTION("""COMPUTED_VALUE"""),"Belum disetujui")</f>
        <v>Belum disetujui</v>
      </c>
      <c r="D1415" s="40"/>
      <c r="E1415" s="40" t="s">
        <v>11431</v>
      </c>
      <c r="F1415" s="40" t="s">
        <v>313</v>
      </c>
      <c r="G1415" s="40" t="s">
        <v>11432</v>
      </c>
      <c r="H1415" s="40" t="s">
        <v>11424</v>
      </c>
    </row>
    <row r="1416">
      <c r="A1416" s="39">
        <f>IFERROR(__xludf.DUMMYFUNCTION("""COMPUTED_VALUE"""),45943.75856751158)</f>
        <v>45943.75857</v>
      </c>
      <c r="B1416" s="40" t="str">
        <f>IFERROR(__xludf.DUMMYFUNCTION("""COMPUTED_VALUE"""),"BERGITHA NIA OLIN")</f>
        <v>BERGITHA NIA OLIN</v>
      </c>
      <c r="C1416" s="40" t="str">
        <f>IFERROR(__xludf.DUMMYFUNCTION("""COMPUTED_VALUE"""),"Belum disetujui")</f>
        <v>Belum disetujui</v>
      </c>
      <c r="D1416" s="40"/>
      <c r="E1416" s="40" t="s">
        <v>11431</v>
      </c>
      <c r="F1416" s="40" t="s">
        <v>313</v>
      </c>
      <c r="G1416" s="40" t="s">
        <v>11432</v>
      </c>
      <c r="H1416" s="40" t="s">
        <v>11424</v>
      </c>
    </row>
    <row r="1417">
      <c r="A1417" s="39">
        <f>IFERROR(__xludf.DUMMYFUNCTION("""COMPUTED_VALUE"""),45943.77332644676)</f>
        <v>45943.77333</v>
      </c>
      <c r="B1417" s="40" t="str">
        <f>IFERROR(__xludf.DUMMYFUNCTION("""COMPUTED_VALUE"""),"SELVINCE BAKO")</f>
        <v>SELVINCE BAKO</v>
      </c>
      <c r="C1417" s="40" t="str">
        <f>IFERROR(__xludf.DUMMYFUNCTION("""COMPUTED_VALUE"""),"Belum disetujui")</f>
        <v>Belum disetujui</v>
      </c>
      <c r="D1417" s="40"/>
      <c r="E1417" s="40" t="s">
        <v>11413</v>
      </c>
      <c r="F1417" s="40" t="s">
        <v>204</v>
      </c>
      <c r="G1417" s="40" t="s">
        <v>11414</v>
      </c>
      <c r="H1417" s="40" t="s">
        <v>11399</v>
      </c>
    </row>
    <row r="1418">
      <c r="A1418" s="39">
        <f>IFERROR(__xludf.DUMMYFUNCTION("""COMPUTED_VALUE"""),45943.77398435186)</f>
        <v>45943.77398</v>
      </c>
      <c r="B1418" s="40" t="str">
        <f>IFERROR(__xludf.DUMMYFUNCTION("""COMPUTED_VALUE"""),"ALDIANA WELIA PANIE")</f>
        <v>ALDIANA WELIA PANIE</v>
      </c>
      <c r="C1418" s="40" t="str">
        <f>IFERROR(__xludf.DUMMYFUNCTION("""COMPUTED_VALUE"""),"Belum disetujui")</f>
        <v>Belum disetujui</v>
      </c>
      <c r="D1418" s="40"/>
      <c r="E1418" s="40" t="s">
        <v>11422</v>
      </c>
      <c r="F1418" s="40" t="s">
        <v>215</v>
      </c>
      <c r="G1418" s="40" t="s">
        <v>11423</v>
      </c>
      <c r="H1418" s="40" t="s">
        <v>11424</v>
      </c>
    </row>
    <row r="1419">
      <c r="A1419" s="39">
        <f>IFERROR(__xludf.DUMMYFUNCTION("""COMPUTED_VALUE"""),45943.77708436343)</f>
        <v>45943.77708</v>
      </c>
      <c r="B1419" s="40" t="str">
        <f>IFERROR(__xludf.DUMMYFUNCTION("""COMPUTED_VALUE"""),"MARIA MELAN ANANCE BILI")</f>
        <v>MARIA MELAN ANANCE BILI</v>
      </c>
      <c r="C1419" s="40" t="str">
        <f>IFERROR(__xludf.DUMMYFUNCTION("""COMPUTED_VALUE"""),"Belum disetujui")</f>
        <v>Belum disetujui</v>
      </c>
      <c r="D1419" s="40"/>
      <c r="E1419" s="40" t="s">
        <v>11466</v>
      </c>
      <c r="F1419" s="40" t="s">
        <v>257</v>
      </c>
      <c r="G1419" s="40" t="s">
        <v>11467</v>
      </c>
      <c r="H1419" s="40" t="s">
        <v>11419</v>
      </c>
    </row>
    <row r="1420">
      <c r="A1420" s="39">
        <f>IFERROR(__xludf.DUMMYFUNCTION("""COMPUTED_VALUE"""),45943.77838030092)</f>
        <v>45943.77838</v>
      </c>
      <c r="B1420" s="40" t="str">
        <f>IFERROR(__xludf.DUMMYFUNCTION("""COMPUTED_VALUE"""),"AINI RAHMATINI NATALIA MOESTAKIM")</f>
        <v>AINI RAHMATINI NATALIA MOESTAKIM</v>
      </c>
      <c r="C1420" s="40" t="str">
        <f>IFERROR(__xludf.DUMMYFUNCTION("""COMPUTED_VALUE"""),"Belum disetujui")</f>
        <v>Belum disetujui</v>
      </c>
      <c r="D1420" s="40"/>
      <c r="E1420" s="40" t="s">
        <v>11409</v>
      </c>
      <c r="F1420" s="40" t="s">
        <v>204</v>
      </c>
      <c r="G1420" s="40" t="s">
        <v>11410</v>
      </c>
      <c r="H1420" s="40" t="s">
        <v>11399</v>
      </c>
    </row>
    <row r="1421">
      <c r="A1421" s="39">
        <f>IFERROR(__xludf.DUMMYFUNCTION("""COMPUTED_VALUE"""),45943.79293251158)</f>
        <v>45943.79293</v>
      </c>
      <c r="B1421" s="40" t="str">
        <f>IFERROR(__xludf.DUMMYFUNCTION("""COMPUTED_VALUE"""),"YOVANDA KATRINA NAE")</f>
        <v>YOVANDA KATRINA NAE</v>
      </c>
      <c r="C1421" s="40" t="str">
        <f>IFERROR(__xludf.DUMMYFUNCTION("""COMPUTED_VALUE"""),"Belum disetujui")</f>
        <v>Belum disetujui</v>
      </c>
      <c r="D1421" s="40"/>
      <c r="E1421" s="40" t="s">
        <v>11425</v>
      </c>
      <c r="F1421" s="40" t="s">
        <v>205</v>
      </c>
      <c r="G1421" s="40" t="s">
        <v>11426</v>
      </c>
      <c r="H1421" s="40" t="s">
        <v>11419</v>
      </c>
    </row>
    <row r="1422">
      <c r="A1422" s="39">
        <f>IFERROR(__xludf.DUMMYFUNCTION("""COMPUTED_VALUE"""),45943.81300396991)</f>
        <v>45943.813</v>
      </c>
      <c r="B1422" s="40" t="str">
        <f>IFERROR(__xludf.DUMMYFUNCTION("""COMPUTED_VALUE"""),"SKOLASTIKA B TAUNAES")</f>
        <v>SKOLASTIKA B TAUNAES</v>
      </c>
      <c r="C1422" s="40" t="str">
        <f>IFERROR(__xludf.DUMMYFUNCTION("""COMPUTED_VALUE"""),"Dapat limit tapi belum diproses")</f>
        <v>Dapat limit tapi belum diproses</v>
      </c>
      <c r="D1422" s="40" t="str">
        <f>IFERROR(__xludf.DUMMYFUNCTION("""COMPUTED_VALUE"""),"V60 series")</f>
        <v>V60 series</v>
      </c>
      <c r="E1422" s="40" t="s">
        <v>11413</v>
      </c>
      <c r="F1422" s="40" t="s">
        <v>204</v>
      </c>
      <c r="G1422" s="40" t="s">
        <v>11414</v>
      </c>
      <c r="H1422" s="40" t="s">
        <v>11399</v>
      </c>
    </row>
    <row r="1423">
      <c r="A1423" s="39">
        <f>IFERROR(__xludf.DUMMYFUNCTION("""COMPUTED_VALUE"""),45943.82759650463)</f>
        <v>45943.8276</v>
      </c>
      <c r="B1423" s="40" t="str">
        <f>IFERROR(__xludf.DUMMYFUNCTION("""COMPUTED_VALUE"""),"MARATHA MARLINDA FANGGIDAE")</f>
        <v>MARATHA MARLINDA FANGGIDAE</v>
      </c>
      <c r="C1423" s="40" t="str">
        <f>IFERROR(__xludf.DUMMYFUNCTION("""COMPUTED_VALUE"""),"Belum disetujui")</f>
        <v>Belum disetujui</v>
      </c>
      <c r="D1423" s="40"/>
      <c r="E1423" s="40" t="s">
        <v>11435</v>
      </c>
      <c r="F1423" s="40" t="s">
        <v>215</v>
      </c>
      <c r="G1423" s="40" t="s">
        <v>11436</v>
      </c>
      <c r="H1423" s="40" t="s">
        <v>11424</v>
      </c>
    </row>
    <row r="1424">
      <c r="A1424" s="39">
        <f>IFERROR(__xludf.DUMMYFUNCTION("""COMPUTED_VALUE"""),45943.82916582176)</f>
        <v>45943.82917</v>
      </c>
      <c r="B1424" s="40" t="str">
        <f>IFERROR(__xludf.DUMMYFUNCTION("""COMPUTED_VALUE"""),"MARATHA MARLINDA FANGGIDAE")</f>
        <v>MARATHA MARLINDA FANGGIDAE</v>
      </c>
      <c r="C1424" s="40" t="str">
        <f>IFERROR(__xludf.DUMMYFUNCTION("""COMPUTED_VALUE"""),"Belum disetujui")</f>
        <v>Belum disetujui</v>
      </c>
      <c r="D1424" s="40"/>
      <c r="E1424" s="40" t="s">
        <v>11435</v>
      </c>
      <c r="F1424" s="40" t="s">
        <v>215</v>
      </c>
      <c r="G1424" s="40" t="s">
        <v>11436</v>
      </c>
      <c r="H1424" s="40" t="s">
        <v>11424</v>
      </c>
    </row>
    <row r="1425">
      <c r="A1425" s="39">
        <f>IFERROR(__xludf.DUMMYFUNCTION("""COMPUTED_VALUE"""),45943.85720888889)</f>
        <v>45943.85721</v>
      </c>
      <c r="B1425" s="40" t="str">
        <f>IFERROR(__xludf.DUMMYFUNCTION("""COMPUTED_VALUE"""),"EMPI FRANGKI LIEM")</f>
        <v>EMPI FRANGKI LIEM</v>
      </c>
      <c r="C1425" s="40" t="str">
        <f>IFERROR(__xludf.DUMMYFUNCTION("""COMPUTED_VALUE"""),"Belum disetujui")</f>
        <v>Belum disetujui</v>
      </c>
      <c r="D1425" s="40"/>
      <c r="E1425" s="40" t="s">
        <v>11397</v>
      </c>
      <c r="F1425" s="40" t="s">
        <v>220</v>
      </c>
      <c r="G1425" s="40" t="s">
        <v>11398</v>
      </c>
      <c r="H1425" s="40" t="s">
        <v>11399</v>
      </c>
    </row>
    <row r="1426">
      <c r="A1426" s="39">
        <f>IFERROR(__xludf.DUMMYFUNCTION("""COMPUTED_VALUE"""),45943.85931994213)</f>
        <v>45943.85932</v>
      </c>
      <c r="B1426" s="40" t="str">
        <f>IFERROR(__xludf.DUMMYFUNCTION("""COMPUTED_VALUE"""),"EMPI FRANGKI LIEM")</f>
        <v>EMPI FRANGKI LIEM</v>
      </c>
      <c r="C1426" s="40" t="str">
        <f>IFERROR(__xludf.DUMMYFUNCTION("""COMPUTED_VALUE"""),"Dapat limit tapi belum diproses")</f>
        <v>Dapat limit tapi belum diproses</v>
      </c>
      <c r="D1426" s="40" t="str">
        <f>IFERROR(__xludf.DUMMYFUNCTION("""COMPUTED_VALUE"""),"Y400 series")</f>
        <v>Y400 series</v>
      </c>
      <c r="E1426" s="40" t="s">
        <v>11397</v>
      </c>
      <c r="F1426" s="40" t="s">
        <v>220</v>
      </c>
      <c r="G1426" s="40" t="s">
        <v>11398</v>
      </c>
      <c r="H1426" s="40" t="s">
        <v>11399</v>
      </c>
    </row>
    <row r="1427">
      <c r="A1427" s="39">
        <f>IFERROR(__xludf.DUMMYFUNCTION("""COMPUTED_VALUE"""),45943.88246835648)</f>
        <v>45943.88247</v>
      </c>
      <c r="B1427" s="40" t="str">
        <f>IFERROR(__xludf.DUMMYFUNCTION("""COMPUTED_VALUE"""),"WARDIA")</f>
        <v>WARDIA</v>
      </c>
      <c r="C1427" s="40" t="str">
        <f>IFERROR(__xludf.DUMMYFUNCTION("""COMPUTED_VALUE"""),"Dapat limit tapi belum diproses")</f>
        <v>Dapat limit tapi belum diproses</v>
      </c>
      <c r="D1427" s="40" t="str">
        <f>IFERROR(__xludf.DUMMYFUNCTION("""COMPUTED_VALUE"""),"Y400 series")</f>
        <v>Y400 series</v>
      </c>
      <c r="E1427" s="40" t="s">
        <v>11409</v>
      </c>
      <c r="F1427" s="40" t="s">
        <v>204</v>
      </c>
      <c r="G1427" s="40" t="s">
        <v>11410</v>
      </c>
      <c r="H1427" s="40" t="s">
        <v>11399</v>
      </c>
    </row>
    <row r="1428">
      <c r="A1428" s="39">
        <f>IFERROR(__xludf.DUMMYFUNCTION("""COMPUTED_VALUE"""),45944.38480622685)</f>
        <v>45944.38481</v>
      </c>
      <c r="B1428" s="40" t="str">
        <f>IFERROR(__xludf.DUMMYFUNCTION("""COMPUTED_VALUE"""),"MERDA PUTRI BUNGSU KENAT")</f>
        <v>MERDA PUTRI BUNGSU KENAT</v>
      </c>
      <c r="C1428" s="40" t="str">
        <f>IFERROR(__xludf.DUMMYFUNCTION("""COMPUTED_VALUE"""),"ACC")</f>
        <v>ACC</v>
      </c>
      <c r="D1428" s="40" t="str">
        <f>IFERROR(__xludf.DUMMYFUNCTION("""COMPUTED_VALUE"""),"Y400 series")</f>
        <v>Y400 series</v>
      </c>
      <c r="E1428" s="40" t="s">
        <v>11422</v>
      </c>
      <c r="F1428" s="40" t="s">
        <v>215</v>
      </c>
      <c r="G1428" s="40" t="s">
        <v>11423</v>
      </c>
      <c r="H1428" s="40" t="s">
        <v>11424</v>
      </c>
    </row>
    <row r="1429">
      <c r="A1429" s="39">
        <f>IFERROR(__xludf.DUMMYFUNCTION("""COMPUTED_VALUE"""),45944.39921130787)</f>
        <v>45944.39921</v>
      </c>
      <c r="B1429" s="40" t="str">
        <f>IFERROR(__xludf.DUMMYFUNCTION("""COMPUTED_VALUE"""),"ARMINDA TEKU MANEK")</f>
        <v>ARMINDA TEKU MANEK</v>
      </c>
      <c r="C1429" s="40" t="str">
        <f>IFERROR(__xludf.DUMMYFUNCTION("""COMPUTED_VALUE"""),"Belum disetujui")</f>
        <v>Belum disetujui</v>
      </c>
      <c r="D1429" s="40"/>
      <c r="E1429" s="40" t="s">
        <v>11474</v>
      </c>
      <c r="F1429" s="40" t="s">
        <v>313</v>
      </c>
      <c r="G1429" s="40" t="s">
        <v>11475</v>
      </c>
      <c r="H1429" s="40" t="s">
        <v>11424</v>
      </c>
    </row>
    <row r="1430">
      <c r="A1430" s="39">
        <f>IFERROR(__xludf.DUMMYFUNCTION("""COMPUTED_VALUE"""),45944.40787959491)</f>
        <v>45944.40788</v>
      </c>
      <c r="B1430" s="40" t="str">
        <f>IFERROR(__xludf.DUMMYFUNCTION("""COMPUTED_VALUE"""),"PRETI SISILIA SILA")</f>
        <v>PRETI SISILIA SILA</v>
      </c>
      <c r="C1430" s="40" t="str">
        <f>IFERROR(__xludf.DUMMYFUNCTION("""COMPUTED_VALUE"""),"Belum disetujui")</f>
        <v>Belum disetujui</v>
      </c>
      <c r="D1430" s="40"/>
      <c r="E1430" s="40" t="s">
        <v>11456</v>
      </c>
      <c r="F1430" s="40" t="s">
        <v>667</v>
      </c>
      <c r="G1430" s="40" t="s">
        <v>11457</v>
      </c>
      <c r="H1430" s="40" t="s">
        <v>11424</v>
      </c>
    </row>
    <row r="1431">
      <c r="A1431" s="39">
        <f>IFERROR(__xludf.DUMMYFUNCTION("""COMPUTED_VALUE"""),45944.42711204861)</f>
        <v>45944.42711</v>
      </c>
      <c r="B1431" s="40" t="str">
        <f>IFERROR(__xludf.DUMMYFUNCTION("""COMPUTED_VALUE"""),"ASTUTI BELA WAWO")</f>
        <v>ASTUTI BELA WAWO</v>
      </c>
      <c r="C1431" s="40" t="str">
        <f>IFERROR(__xludf.DUMMYFUNCTION("""COMPUTED_VALUE"""),"Belum disetujui")</f>
        <v>Belum disetujui</v>
      </c>
      <c r="D1431" s="40"/>
      <c r="E1431" s="40" t="s">
        <v>11427</v>
      </c>
      <c r="F1431" s="40" t="s">
        <v>257</v>
      </c>
      <c r="G1431" s="40" t="s">
        <v>11428</v>
      </c>
      <c r="H1431" s="40" t="s">
        <v>11419</v>
      </c>
    </row>
    <row r="1432">
      <c r="A1432" s="39">
        <f>IFERROR(__xludf.DUMMYFUNCTION("""COMPUTED_VALUE"""),45944.45813503473)</f>
        <v>45944.45814</v>
      </c>
      <c r="B1432" s="40" t="str">
        <f>IFERROR(__xludf.DUMMYFUNCTION("""COMPUTED_VALUE"""),"NOVLIANA BARBALINA MISA")</f>
        <v>NOVLIANA BARBALINA MISA</v>
      </c>
      <c r="C1432" s="40" t="str">
        <f>IFERROR(__xludf.DUMMYFUNCTION("""COMPUTED_VALUE"""),"Belum disetujui")</f>
        <v>Belum disetujui</v>
      </c>
      <c r="D1432" s="40"/>
      <c r="E1432" s="40" t="s">
        <v>11454</v>
      </c>
      <c r="F1432" s="40" t="s">
        <v>205</v>
      </c>
      <c r="G1432" s="40" t="s">
        <v>11455</v>
      </c>
      <c r="H1432" s="40" t="s">
        <v>11419</v>
      </c>
    </row>
    <row r="1433">
      <c r="A1433" s="39">
        <f>IFERROR(__xludf.DUMMYFUNCTION("""COMPUTED_VALUE"""),45944.46171384259)</f>
        <v>45944.46171</v>
      </c>
      <c r="B1433" s="40" t="str">
        <f>IFERROR(__xludf.DUMMYFUNCTION("""COMPUTED_VALUE"""),"AZ ZAHRA SITI ZAINAB")</f>
        <v>AZ ZAHRA SITI ZAINAB</v>
      </c>
      <c r="C1433" s="40" t="str">
        <f>IFERROR(__xludf.DUMMYFUNCTION("""COMPUTED_VALUE"""),"Belum disetujui")</f>
        <v>Belum disetujui</v>
      </c>
      <c r="D1433" s="40"/>
      <c r="E1433" s="40" t="s">
        <v>11462</v>
      </c>
      <c r="F1433" s="40" t="s">
        <v>257</v>
      </c>
      <c r="G1433" s="40" t="s">
        <v>11463</v>
      </c>
      <c r="H1433" s="40" t="s">
        <v>11419</v>
      </c>
    </row>
    <row r="1434">
      <c r="A1434" s="39">
        <f>IFERROR(__xludf.DUMMYFUNCTION("""COMPUTED_VALUE"""),45944.46366526621)</f>
        <v>45944.46367</v>
      </c>
      <c r="B1434" s="40" t="str">
        <f>IFERROR(__xludf.DUMMYFUNCTION("""COMPUTED_VALUE"""),"ARMINDA TEKU MANEK")</f>
        <v>ARMINDA TEKU MANEK</v>
      </c>
      <c r="C1434" s="40" t="str">
        <f>IFERROR(__xludf.DUMMYFUNCTION("""COMPUTED_VALUE"""),"Dapat limit tapi belum diproses")</f>
        <v>Dapat limit tapi belum diproses</v>
      </c>
      <c r="D1434" s="40" t="str">
        <f>IFERROR(__xludf.DUMMYFUNCTION("""COMPUTED_VALUE"""),"Y400 series")</f>
        <v>Y400 series</v>
      </c>
      <c r="E1434" s="40" t="s">
        <v>11474</v>
      </c>
      <c r="F1434" s="40" t="s">
        <v>313</v>
      </c>
      <c r="G1434" s="40" t="s">
        <v>11475</v>
      </c>
      <c r="H1434" s="40" t="s">
        <v>11424</v>
      </c>
    </row>
    <row r="1435">
      <c r="A1435" s="39">
        <f>IFERROR(__xludf.DUMMYFUNCTION("""COMPUTED_VALUE"""),45944.47147420139)</f>
        <v>45944.47147</v>
      </c>
      <c r="B1435" s="40" t="str">
        <f>IFERROR(__xludf.DUMMYFUNCTION("""COMPUTED_VALUE"""),"BERGITHA NIA OLIN")</f>
        <v>BERGITHA NIA OLIN</v>
      </c>
      <c r="C1435" s="40" t="str">
        <f>IFERROR(__xludf.DUMMYFUNCTION("""COMPUTED_VALUE"""),"Belum disetujui")</f>
        <v>Belum disetujui</v>
      </c>
      <c r="D1435" s="40"/>
      <c r="E1435" s="40" t="s">
        <v>11431</v>
      </c>
      <c r="F1435" s="40" t="s">
        <v>313</v>
      </c>
      <c r="G1435" s="40" t="s">
        <v>11432</v>
      </c>
      <c r="H1435" s="40" t="s">
        <v>11424</v>
      </c>
    </row>
    <row r="1436">
      <c r="A1436" s="39">
        <f>IFERROR(__xludf.DUMMYFUNCTION("""COMPUTED_VALUE"""),45944.47542178241)</f>
        <v>45944.47542</v>
      </c>
      <c r="B1436" s="40" t="str">
        <f>IFERROR(__xludf.DUMMYFUNCTION("""COMPUTED_VALUE"""),"KESIA NATALIA I. BENU")</f>
        <v>KESIA NATALIA I. BENU</v>
      </c>
      <c r="C1436" s="40" t="str">
        <f>IFERROR(__xludf.DUMMYFUNCTION("""COMPUTED_VALUE"""),"Belum disetujui")</f>
        <v>Belum disetujui</v>
      </c>
      <c r="D1436" s="40"/>
      <c r="E1436" s="40" t="s">
        <v>11417</v>
      </c>
      <c r="F1436" s="40" t="s">
        <v>257</v>
      </c>
      <c r="G1436" s="40" t="s">
        <v>11418</v>
      </c>
      <c r="H1436" s="40" t="s">
        <v>11419</v>
      </c>
    </row>
    <row r="1437">
      <c r="A1437" s="39">
        <f>IFERROR(__xludf.DUMMYFUNCTION("""COMPUTED_VALUE"""),45944.48515340278)</f>
        <v>45944.48515</v>
      </c>
      <c r="B1437" s="40" t="str">
        <f>IFERROR(__xludf.DUMMYFUNCTION("""COMPUTED_VALUE"""),"PATRIANI MENGI ULY")</f>
        <v>PATRIANI MENGI ULY</v>
      </c>
      <c r="C1437" s="40" t="str">
        <f>IFERROR(__xludf.DUMMYFUNCTION("""COMPUTED_VALUE"""),"Belum disetujui")</f>
        <v>Belum disetujui</v>
      </c>
      <c r="D1437" s="40"/>
      <c r="E1437" s="40" t="s">
        <v>11402</v>
      </c>
      <c r="F1437" s="40" t="s">
        <v>204</v>
      </c>
      <c r="G1437" s="40" t="s">
        <v>11403</v>
      </c>
      <c r="H1437" s="40" t="s">
        <v>11399</v>
      </c>
    </row>
    <row r="1438">
      <c r="A1438" s="39">
        <f>IFERROR(__xludf.DUMMYFUNCTION("""COMPUTED_VALUE"""),45944.50717611112)</f>
        <v>45944.50718</v>
      </c>
      <c r="B1438" s="40" t="str">
        <f>IFERROR(__xludf.DUMMYFUNCTION("""COMPUTED_VALUE"""),"ARMINDA TEKU MANEK")</f>
        <v>ARMINDA TEKU MANEK</v>
      </c>
      <c r="C1438" s="40" t="str">
        <f>IFERROR(__xludf.DUMMYFUNCTION("""COMPUTED_VALUE"""),"Belum disetujui")</f>
        <v>Belum disetujui</v>
      </c>
      <c r="D1438" s="40"/>
      <c r="E1438" s="40" t="s">
        <v>11474</v>
      </c>
      <c r="F1438" s="40" t="s">
        <v>313</v>
      </c>
      <c r="G1438" s="40" t="s">
        <v>11475</v>
      </c>
      <c r="H1438" s="40" t="s">
        <v>11424</v>
      </c>
    </row>
    <row r="1439">
      <c r="A1439" s="39">
        <f>IFERROR(__xludf.DUMMYFUNCTION("""COMPUTED_VALUE"""),45944.52112896991)</f>
        <v>45944.52113</v>
      </c>
      <c r="B1439" s="40" t="str">
        <f>IFERROR(__xludf.DUMMYFUNCTION("""COMPUTED_VALUE"""),"NUR FATIMAH MOLBANG")</f>
        <v>NUR FATIMAH MOLBANG</v>
      </c>
      <c r="C1439" s="40" t="str">
        <f>IFERROR(__xludf.DUMMYFUNCTION("""COMPUTED_VALUE"""),"Belum disetujui")</f>
        <v>Belum disetujui</v>
      </c>
      <c r="D1439" s="40"/>
      <c r="E1439" s="40" t="s">
        <v>11439</v>
      </c>
      <c r="F1439" s="40" t="s">
        <v>313</v>
      </c>
      <c r="G1439" s="40" t="s">
        <v>11440</v>
      </c>
      <c r="H1439" s="40" t="s">
        <v>11424</v>
      </c>
    </row>
    <row r="1440">
      <c r="A1440" s="39">
        <f>IFERROR(__xludf.DUMMYFUNCTION("""COMPUTED_VALUE"""),45944.54736954861)</f>
        <v>45944.54737</v>
      </c>
      <c r="B1440" s="40" t="str">
        <f>IFERROR(__xludf.DUMMYFUNCTION("""COMPUTED_VALUE"""),"ALDIANA WELIA PANIE")</f>
        <v>ALDIANA WELIA PANIE</v>
      </c>
      <c r="C1440" s="40" t="str">
        <f>IFERROR(__xludf.DUMMYFUNCTION("""COMPUTED_VALUE"""),"ACC")</f>
        <v>ACC</v>
      </c>
      <c r="D1440" s="40" t="str">
        <f>IFERROR(__xludf.DUMMYFUNCTION("""COMPUTED_VALUE"""),"Y400 series")</f>
        <v>Y400 series</v>
      </c>
      <c r="E1440" s="40" t="s">
        <v>11422</v>
      </c>
      <c r="F1440" s="40" t="s">
        <v>215</v>
      </c>
      <c r="G1440" s="40" t="s">
        <v>11423</v>
      </c>
      <c r="H1440" s="40" t="s">
        <v>11424</v>
      </c>
    </row>
    <row r="1441">
      <c r="A1441" s="39">
        <f>IFERROR(__xludf.DUMMYFUNCTION("""COMPUTED_VALUE"""),45944.55388688658)</f>
        <v>45944.55389</v>
      </c>
      <c r="B1441" s="40" t="str">
        <f>IFERROR(__xludf.DUMMYFUNCTION("""COMPUTED_VALUE"""),"FERI ELI KURNIAWAN")</f>
        <v>FERI ELI KURNIAWAN</v>
      </c>
      <c r="C1441" s="40" t="str">
        <f>IFERROR(__xludf.DUMMYFUNCTION("""COMPUTED_VALUE"""),"Belum disetujui")</f>
        <v>Belum disetujui</v>
      </c>
      <c r="D1441" s="40"/>
      <c r="E1441" s="40" t="s">
        <v>11411</v>
      </c>
      <c r="F1441" s="40" t="s">
        <v>220</v>
      </c>
      <c r="G1441" s="40" t="s">
        <v>11412</v>
      </c>
      <c r="H1441" s="40" t="s">
        <v>11399</v>
      </c>
    </row>
    <row r="1442">
      <c r="A1442" s="39">
        <f>IFERROR(__xludf.DUMMYFUNCTION("""COMPUTED_VALUE"""),45944.55430893519)</f>
        <v>45944.55431</v>
      </c>
      <c r="B1442" s="40" t="str">
        <f>IFERROR(__xludf.DUMMYFUNCTION("""COMPUTED_VALUE"""),"YUNITA TAMELAB")</f>
        <v>YUNITA TAMELAB</v>
      </c>
      <c r="C1442" s="40" t="str">
        <f>IFERROR(__xludf.DUMMYFUNCTION("""COMPUTED_VALUE"""),"Belum disetujui")</f>
        <v>Belum disetujui</v>
      </c>
      <c r="D1442" s="40"/>
      <c r="E1442" s="40" t="s">
        <v>11472</v>
      </c>
      <c r="F1442" s="40" t="s">
        <v>667</v>
      </c>
      <c r="G1442" s="40" t="s">
        <v>11473</v>
      </c>
      <c r="H1442" s="40" t="s">
        <v>11424</v>
      </c>
    </row>
    <row r="1443">
      <c r="A1443" s="39">
        <f>IFERROR(__xludf.DUMMYFUNCTION("""COMPUTED_VALUE"""),45944.56097532407)</f>
        <v>45944.56098</v>
      </c>
      <c r="B1443" s="40" t="str">
        <f>IFERROR(__xludf.DUMMYFUNCTION("""COMPUTED_VALUE"""),"ASRI NINGSI RAMBU ATA ENDI")</f>
        <v>ASRI NINGSI RAMBU ATA ENDI</v>
      </c>
      <c r="C1443" s="40" t="str">
        <f>IFERROR(__xludf.DUMMYFUNCTION("""COMPUTED_VALUE"""),"Dapat limit tapi belum diproses")</f>
        <v>Dapat limit tapi belum diproses</v>
      </c>
      <c r="D1443" s="40" t="str">
        <f>IFERROR(__xludf.DUMMYFUNCTION("""COMPUTED_VALUE"""),"Y400 series")</f>
        <v>Y400 series</v>
      </c>
      <c r="E1443" s="40" t="s">
        <v>11441</v>
      </c>
      <c r="F1443" s="40" t="s">
        <v>205</v>
      </c>
      <c r="G1443" s="40" t="s">
        <v>11442</v>
      </c>
      <c r="H1443" s="40" t="s">
        <v>11419</v>
      </c>
    </row>
    <row r="1444">
      <c r="A1444" s="39">
        <f>IFERROR(__xludf.DUMMYFUNCTION("""COMPUTED_VALUE"""),45944.56262844907)</f>
        <v>45944.56263</v>
      </c>
      <c r="B1444" s="40" t="str">
        <f>IFERROR(__xludf.DUMMYFUNCTION("""COMPUTED_VALUE"""),"FEBRIANTHY ELISABET NA'U")</f>
        <v>FEBRIANTHY ELISABET NA'U</v>
      </c>
      <c r="C1444" s="40" t="str">
        <f>IFERROR(__xludf.DUMMYFUNCTION("""COMPUTED_VALUE"""),"Belum disetujui")</f>
        <v>Belum disetujui</v>
      </c>
      <c r="D1444" s="40"/>
      <c r="E1444" s="40" t="s">
        <v>11415</v>
      </c>
      <c r="F1444" s="40" t="s">
        <v>204</v>
      </c>
      <c r="G1444" s="40" t="s">
        <v>11416</v>
      </c>
      <c r="H1444" s="40" t="s">
        <v>11399</v>
      </c>
    </row>
    <row r="1445">
      <c r="A1445" s="39">
        <f>IFERROR(__xludf.DUMMYFUNCTION("""COMPUTED_VALUE"""),45944.56328700231)</f>
        <v>45944.56329</v>
      </c>
      <c r="B1445" s="40" t="str">
        <f>IFERROR(__xludf.DUMMYFUNCTION("""COMPUTED_VALUE"""),"AZ ZAHRA SITI ZAINAB")</f>
        <v>AZ ZAHRA SITI ZAINAB</v>
      </c>
      <c r="C1445" s="40" t="str">
        <f>IFERROR(__xludf.DUMMYFUNCTION("""COMPUTED_VALUE"""),"Belum disetujui")</f>
        <v>Belum disetujui</v>
      </c>
      <c r="D1445" s="40"/>
      <c r="E1445" s="40" t="s">
        <v>11462</v>
      </c>
      <c r="F1445" s="40" t="s">
        <v>257</v>
      </c>
      <c r="G1445" s="40" t="s">
        <v>11463</v>
      </c>
      <c r="H1445" s="40" t="s">
        <v>11419</v>
      </c>
    </row>
    <row r="1446">
      <c r="A1446" s="39">
        <f>IFERROR(__xludf.DUMMYFUNCTION("""COMPUTED_VALUE"""),45944.56381997686)</f>
        <v>45944.56382</v>
      </c>
      <c r="B1446" s="40" t="str">
        <f>IFERROR(__xludf.DUMMYFUNCTION("""COMPUTED_VALUE"""),"FEBRIANTHY ELISABET NA'U")</f>
        <v>FEBRIANTHY ELISABET NA'U</v>
      </c>
      <c r="C1446" s="40" t="str">
        <f>IFERROR(__xludf.DUMMYFUNCTION("""COMPUTED_VALUE"""),"Belum disetujui")</f>
        <v>Belum disetujui</v>
      </c>
      <c r="D1446" s="40"/>
      <c r="E1446" s="40" t="s">
        <v>11415</v>
      </c>
      <c r="F1446" s="40" t="s">
        <v>204</v>
      </c>
      <c r="G1446" s="40" t="s">
        <v>11416</v>
      </c>
      <c r="H1446" s="40" t="s">
        <v>11399</v>
      </c>
    </row>
    <row r="1447">
      <c r="A1447" s="39">
        <f>IFERROR(__xludf.DUMMYFUNCTION("""COMPUTED_VALUE"""),45944.58652805555)</f>
        <v>45944.58653</v>
      </c>
      <c r="B1447" s="40" t="str">
        <f>IFERROR(__xludf.DUMMYFUNCTION("""COMPUTED_VALUE"""),"DWITNEY PRETY WANGGANDIMA")</f>
        <v>DWITNEY PRETY WANGGANDIMA</v>
      </c>
      <c r="C1447" s="40" t="str">
        <f>IFERROR(__xludf.DUMMYFUNCTION("""COMPUTED_VALUE"""),"Belum disetujui")</f>
        <v>Belum disetujui</v>
      </c>
      <c r="D1447" s="40"/>
      <c r="E1447" s="40" t="s">
        <v>11443</v>
      </c>
      <c r="F1447" s="40" t="s">
        <v>220</v>
      </c>
      <c r="G1447" s="40" t="s">
        <v>11444</v>
      </c>
      <c r="H1447" s="40" t="s">
        <v>11399</v>
      </c>
    </row>
    <row r="1448">
      <c r="A1448" s="39">
        <f>IFERROR(__xludf.DUMMYFUNCTION("""COMPUTED_VALUE"""),45944.58875387731)</f>
        <v>45944.58875</v>
      </c>
      <c r="B1448" s="40" t="str">
        <f>IFERROR(__xludf.DUMMYFUNCTION("""COMPUTED_VALUE"""),"FEBRIANTHY ELISABET NA'U")</f>
        <v>FEBRIANTHY ELISABET NA'U</v>
      </c>
      <c r="C1448" s="40" t="str">
        <f>IFERROR(__xludf.DUMMYFUNCTION("""COMPUTED_VALUE"""),"Belum disetujui")</f>
        <v>Belum disetujui</v>
      </c>
      <c r="D1448" s="40"/>
      <c r="E1448" s="40" t="s">
        <v>11415</v>
      </c>
      <c r="F1448" s="40" t="s">
        <v>204</v>
      </c>
      <c r="G1448" s="40" t="s">
        <v>11416</v>
      </c>
      <c r="H1448" s="40" t="s">
        <v>11399</v>
      </c>
    </row>
    <row r="1449">
      <c r="A1449" s="39">
        <f>IFERROR(__xludf.DUMMYFUNCTION("""COMPUTED_VALUE"""),45944.59622607639)</f>
        <v>45944.59623</v>
      </c>
      <c r="B1449" s="40" t="str">
        <f>IFERROR(__xludf.DUMMYFUNCTION("""COMPUTED_VALUE"""),"IRENE NOVALIA KADJU")</f>
        <v>IRENE NOVALIA KADJU</v>
      </c>
      <c r="C1449" s="40" t="str">
        <f>IFERROR(__xludf.DUMMYFUNCTION("""COMPUTED_VALUE"""),"Belum disetujui")</f>
        <v>Belum disetujui</v>
      </c>
      <c r="D1449" s="40"/>
      <c r="E1449" s="40" t="s">
        <v>11445</v>
      </c>
      <c r="F1449" s="40" t="s">
        <v>204</v>
      </c>
      <c r="G1449" s="40" t="s">
        <v>11446</v>
      </c>
      <c r="H1449" s="40" t="s">
        <v>11399</v>
      </c>
    </row>
    <row r="1450">
      <c r="A1450" s="39">
        <f>IFERROR(__xludf.DUMMYFUNCTION("""COMPUTED_VALUE"""),45944.60507653935)</f>
        <v>45944.60508</v>
      </c>
      <c r="B1450" s="40" t="str">
        <f>IFERROR(__xludf.DUMMYFUNCTION("""COMPUTED_VALUE"""),"WARDIA")</f>
        <v>WARDIA</v>
      </c>
      <c r="C1450" s="40" t="str">
        <f>IFERROR(__xludf.DUMMYFUNCTION("""COMPUTED_VALUE"""),"Belum disetujui")</f>
        <v>Belum disetujui</v>
      </c>
      <c r="D1450" s="40"/>
      <c r="E1450" s="40" t="s">
        <v>11409</v>
      </c>
      <c r="F1450" s="40" t="s">
        <v>204</v>
      </c>
      <c r="G1450" s="40" t="s">
        <v>11410</v>
      </c>
      <c r="H1450" s="40" t="s">
        <v>11399</v>
      </c>
    </row>
    <row r="1451">
      <c r="A1451" s="39">
        <f>IFERROR(__xludf.DUMMYFUNCTION("""COMPUTED_VALUE"""),45944.62356515046)</f>
        <v>45944.62357</v>
      </c>
      <c r="B1451" s="40" t="str">
        <f>IFERROR(__xludf.DUMMYFUNCTION("""COMPUTED_VALUE"""),"ESTER LUDJI")</f>
        <v>ESTER LUDJI</v>
      </c>
      <c r="C1451" s="40" t="str">
        <f>IFERROR(__xludf.DUMMYFUNCTION("""COMPUTED_VALUE"""),"ACC")</f>
        <v>ACC</v>
      </c>
      <c r="D1451" s="40" t="str">
        <f>IFERROR(__xludf.DUMMYFUNCTION("""COMPUTED_VALUE"""),"Y400 series")</f>
        <v>Y400 series</v>
      </c>
      <c r="E1451" s="40" t="s">
        <v>11441</v>
      </c>
      <c r="F1451" s="40" t="s">
        <v>205</v>
      </c>
      <c r="G1451" s="40" t="s">
        <v>11442</v>
      </c>
      <c r="H1451" s="40" t="s">
        <v>11419</v>
      </c>
    </row>
    <row r="1452">
      <c r="A1452" s="39">
        <f>IFERROR(__xludf.DUMMYFUNCTION("""COMPUTED_VALUE"""),45944.63286708333)</f>
        <v>45944.63287</v>
      </c>
      <c r="B1452" s="40" t="str">
        <f>IFERROR(__xludf.DUMMYFUNCTION("""COMPUTED_VALUE"""),"ESTER LUDJI")</f>
        <v>ESTER LUDJI</v>
      </c>
      <c r="C1452" s="40" t="str">
        <f>IFERROR(__xludf.DUMMYFUNCTION("""COMPUTED_VALUE"""),"ACC")</f>
        <v>ACC</v>
      </c>
      <c r="D1452" s="40" t="str">
        <f>IFERROR(__xludf.DUMMYFUNCTION("""COMPUTED_VALUE"""),"V60 Lite series")</f>
        <v>V60 Lite series</v>
      </c>
      <c r="E1452" s="40" t="s">
        <v>11441</v>
      </c>
      <c r="F1452" s="40" t="s">
        <v>205</v>
      </c>
      <c r="G1452" s="40" t="s">
        <v>11442</v>
      </c>
      <c r="H1452" s="40" t="s">
        <v>11419</v>
      </c>
    </row>
    <row r="1453">
      <c r="A1453" s="39">
        <f>IFERROR(__xludf.DUMMYFUNCTION("""COMPUTED_VALUE"""),45944.636634120376)</f>
        <v>45944.63663</v>
      </c>
      <c r="B1453" s="40" t="str">
        <f>IFERROR(__xludf.DUMMYFUNCTION("""COMPUTED_VALUE"""),"LASTRIANA PALUS")</f>
        <v>LASTRIANA PALUS</v>
      </c>
      <c r="C1453" s="40" t="str">
        <f>IFERROR(__xludf.DUMMYFUNCTION("""COMPUTED_VALUE"""),"Belum disetujui")</f>
        <v>Belum disetujui</v>
      </c>
      <c r="D1453" s="40"/>
      <c r="E1453" s="40" t="s">
        <v>11468</v>
      </c>
      <c r="F1453" s="40" t="s">
        <v>257</v>
      </c>
      <c r="G1453" s="40" t="s">
        <v>11469</v>
      </c>
      <c r="H1453" s="40" t="s">
        <v>11419</v>
      </c>
    </row>
    <row r="1454">
      <c r="A1454" s="39">
        <f>IFERROR(__xludf.DUMMYFUNCTION("""COMPUTED_VALUE"""),45944.63692092592)</f>
        <v>45944.63692</v>
      </c>
      <c r="B1454" s="40" t="str">
        <f>IFERROR(__xludf.DUMMYFUNCTION("""COMPUTED_VALUE"""),"MARNITHA JUWIKE TIMORATI RUNESI")</f>
        <v>MARNITHA JUWIKE TIMORATI RUNESI</v>
      </c>
      <c r="C1454" s="40" t="str">
        <f>IFERROR(__xludf.DUMMYFUNCTION("""COMPUTED_VALUE"""),"ACC")</f>
        <v>ACC</v>
      </c>
      <c r="D1454" s="40" t="str">
        <f>IFERROR(__xludf.DUMMYFUNCTION("""COMPUTED_VALUE"""),"V60 Lite series")</f>
        <v>V60 Lite series</v>
      </c>
      <c r="E1454" s="40" t="s">
        <v>11420</v>
      </c>
      <c r="F1454" s="40" t="s">
        <v>204</v>
      </c>
      <c r="G1454" s="40" t="s">
        <v>11421</v>
      </c>
      <c r="H1454" s="40" t="s">
        <v>11399</v>
      </c>
    </row>
    <row r="1455">
      <c r="A1455" s="39">
        <f>IFERROR(__xludf.DUMMYFUNCTION("""COMPUTED_VALUE"""),45944.63954581018)</f>
        <v>45944.63955</v>
      </c>
      <c r="B1455" s="40" t="str">
        <f>IFERROR(__xludf.DUMMYFUNCTION("""COMPUTED_VALUE"""),"SANTI MARIA LUKMINI NAHAK")</f>
        <v>SANTI MARIA LUKMINI NAHAK</v>
      </c>
      <c r="C1455" s="40" t="str">
        <f>IFERROR(__xludf.DUMMYFUNCTION("""COMPUTED_VALUE"""),"Belum disetujui")</f>
        <v>Belum disetujui</v>
      </c>
      <c r="D1455" s="40"/>
      <c r="E1455" s="40" t="s">
        <v>11460</v>
      </c>
      <c r="F1455" s="40" t="s">
        <v>871</v>
      </c>
      <c r="G1455" s="40" t="s">
        <v>11461</v>
      </c>
      <c r="H1455" s="40" t="s">
        <v>11424</v>
      </c>
    </row>
    <row r="1456">
      <c r="A1456" s="39">
        <f>IFERROR(__xludf.DUMMYFUNCTION("""COMPUTED_VALUE"""),45944.65692252314)</f>
        <v>45944.65692</v>
      </c>
      <c r="B1456" s="40" t="str">
        <f>IFERROR(__xludf.DUMMYFUNCTION("""COMPUTED_VALUE"""),"SANTI MARIA LUKMINI NAHAK")</f>
        <v>SANTI MARIA LUKMINI NAHAK</v>
      </c>
      <c r="C1456" s="40" t="str">
        <f>IFERROR(__xludf.DUMMYFUNCTION("""COMPUTED_VALUE"""),"Dapat limit tapi belum diproses")</f>
        <v>Dapat limit tapi belum diproses</v>
      </c>
      <c r="D1456" s="40" t="str">
        <f>IFERROR(__xludf.DUMMYFUNCTION("""COMPUTED_VALUE"""),"Y400 series")</f>
        <v>Y400 series</v>
      </c>
      <c r="E1456" s="40" t="s">
        <v>11460</v>
      </c>
      <c r="F1456" s="40" t="s">
        <v>871</v>
      </c>
      <c r="G1456" s="40" t="s">
        <v>11461</v>
      </c>
      <c r="H1456" s="40" t="s">
        <v>11424</v>
      </c>
    </row>
    <row r="1457">
      <c r="A1457" s="39">
        <f>IFERROR(__xludf.DUMMYFUNCTION("""COMPUTED_VALUE"""),45944.66361239584)</f>
        <v>45944.66361</v>
      </c>
      <c r="B1457" s="40" t="str">
        <f>IFERROR(__xludf.DUMMYFUNCTION("""COMPUTED_VALUE"""),"NOVLIANA BARBALINA MISA")</f>
        <v>NOVLIANA BARBALINA MISA</v>
      </c>
      <c r="C1457" s="40" t="str">
        <f>IFERROR(__xludf.DUMMYFUNCTION("""COMPUTED_VALUE"""),"ACC")</f>
        <v>ACC</v>
      </c>
      <c r="D1457" s="40" t="str">
        <f>IFERROR(__xludf.DUMMYFUNCTION("""COMPUTED_VALUE"""),"V60 Lite series")</f>
        <v>V60 Lite series</v>
      </c>
      <c r="E1457" s="40" t="s">
        <v>11454</v>
      </c>
      <c r="F1457" s="40" t="s">
        <v>205</v>
      </c>
      <c r="G1457" s="40" t="s">
        <v>11455</v>
      </c>
      <c r="H1457" s="40" t="s">
        <v>11419</v>
      </c>
    </row>
    <row r="1458">
      <c r="A1458" s="39">
        <f>IFERROR(__xludf.DUMMYFUNCTION("""COMPUTED_VALUE"""),45944.6944644676)</f>
        <v>45944.69446</v>
      </c>
      <c r="B1458" s="40" t="str">
        <f>IFERROR(__xludf.DUMMYFUNCTION("""COMPUTED_VALUE"""),"PRETI SISILIA SILA")</f>
        <v>PRETI SISILIA SILA</v>
      </c>
      <c r="C1458" s="40" t="str">
        <f>IFERROR(__xludf.DUMMYFUNCTION("""COMPUTED_VALUE"""),"Belum disetujui")</f>
        <v>Belum disetujui</v>
      </c>
      <c r="D1458" s="40"/>
      <c r="E1458" s="40" t="s">
        <v>11456</v>
      </c>
      <c r="F1458" s="40" t="s">
        <v>667</v>
      </c>
      <c r="G1458" s="40" t="s">
        <v>11457</v>
      </c>
      <c r="H1458" s="40" t="s">
        <v>11424</v>
      </c>
    </row>
    <row r="1459">
      <c r="A1459" s="39">
        <f>IFERROR(__xludf.DUMMYFUNCTION("""COMPUTED_VALUE"""),45944.72038565972)</f>
        <v>45944.72039</v>
      </c>
      <c r="B1459" s="40" t="str">
        <f>IFERROR(__xludf.DUMMYFUNCTION("""COMPUTED_VALUE"""),"PRETI SISILIA SILA")</f>
        <v>PRETI SISILIA SILA</v>
      </c>
      <c r="C1459" s="40" t="str">
        <f>IFERROR(__xludf.DUMMYFUNCTION("""COMPUTED_VALUE"""),"Belum disetujui")</f>
        <v>Belum disetujui</v>
      </c>
      <c r="D1459" s="40"/>
      <c r="E1459" s="40" t="s">
        <v>11456</v>
      </c>
      <c r="F1459" s="40" t="s">
        <v>667</v>
      </c>
      <c r="G1459" s="40" t="s">
        <v>11457</v>
      </c>
      <c r="H1459" s="40" t="s">
        <v>11424</v>
      </c>
    </row>
    <row r="1460">
      <c r="A1460" s="39">
        <f>IFERROR(__xludf.DUMMYFUNCTION("""COMPUTED_VALUE"""),45944.72722997685)</f>
        <v>45944.72723</v>
      </c>
      <c r="B1460" s="40" t="str">
        <f>IFERROR(__xludf.DUMMYFUNCTION("""COMPUTED_VALUE"""),"BERGITHA NIA OLIN")</f>
        <v>BERGITHA NIA OLIN</v>
      </c>
      <c r="C1460" s="40" t="str">
        <f>IFERROR(__xludf.DUMMYFUNCTION("""COMPUTED_VALUE"""),"Belum disetujui")</f>
        <v>Belum disetujui</v>
      </c>
      <c r="D1460" s="40"/>
      <c r="E1460" s="40" t="s">
        <v>11431</v>
      </c>
      <c r="F1460" s="40" t="s">
        <v>313</v>
      </c>
      <c r="G1460" s="40" t="s">
        <v>11432</v>
      </c>
      <c r="H1460" s="40" t="s">
        <v>11424</v>
      </c>
    </row>
    <row r="1461">
      <c r="A1461" s="39">
        <f>IFERROR(__xludf.DUMMYFUNCTION("""COMPUTED_VALUE"""),45944.728696226855)</f>
        <v>45944.7287</v>
      </c>
      <c r="B1461" s="40" t="str">
        <f>IFERROR(__xludf.DUMMYFUNCTION("""COMPUTED_VALUE"""),"BERGITHA NIA OLIN")</f>
        <v>BERGITHA NIA OLIN</v>
      </c>
      <c r="C1461" s="40" t="str">
        <f>IFERROR(__xludf.DUMMYFUNCTION("""COMPUTED_VALUE"""),"Belum disetujui")</f>
        <v>Belum disetujui</v>
      </c>
      <c r="D1461" s="40"/>
      <c r="E1461" s="40" t="s">
        <v>11431</v>
      </c>
      <c r="F1461" s="40" t="s">
        <v>313</v>
      </c>
      <c r="G1461" s="40" t="s">
        <v>11432</v>
      </c>
      <c r="H1461" s="40" t="s">
        <v>11424</v>
      </c>
    </row>
    <row r="1462">
      <c r="A1462" s="39">
        <f>IFERROR(__xludf.DUMMYFUNCTION("""COMPUTED_VALUE"""),45944.73292940973)</f>
        <v>45944.73293</v>
      </c>
      <c r="B1462" s="40" t="str">
        <f>IFERROR(__xludf.DUMMYFUNCTION("""COMPUTED_VALUE"""),"CHOIRUNISA ILHAM")</f>
        <v>CHOIRUNISA ILHAM</v>
      </c>
      <c r="C1462" s="40" t="str">
        <f>IFERROR(__xludf.DUMMYFUNCTION("""COMPUTED_VALUE"""),"Belum disetujui")</f>
        <v>Belum disetujui</v>
      </c>
      <c r="D1462" s="40"/>
      <c r="E1462" s="40" t="s">
        <v>11404</v>
      </c>
      <c r="F1462" s="40" t="s">
        <v>11404</v>
      </c>
      <c r="G1462" s="40" t="s">
        <v>11404</v>
      </c>
      <c r="H1462" s="40" t="s">
        <v>11404</v>
      </c>
    </row>
    <row r="1463">
      <c r="A1463" s="39">
        <f>IFERROR(__xludf.DUMMYFUNCTION("""COMPUTED_VALUE"""),45944.74747420139)</f>
        <v>45944.74747</v>
      </c>
      <c r="B1463" s="40" t="str">
        <f>IFERROR(__xludf.DUMMYFUNCTION("""COMPUTED_VALUE"""),"SELVINCE BAKO")</f>
        <v>SELVINCE BAKO</v>
      </c>
      <c r="C1463" s="40" t="str">
        <f>IFERROR(__xludf.DUMMYFUNCTION("""COMPUTED_VALUE"""),"Belum disetujui")</f>
        <v>Belum disetujui</v>
      </c>
      <c r="D1463" s="40"/>
      <c r="E1463" s="40" t="s">
        <v>11413</v>
      </c>
      <c r="F1463" s="40" t="s">
        <v>204</v>
      </c>
      <c r="G1463" s="40" t="s">
        <v>11414</v>
      </c>
      <c r="H1463" s="40" t="s">
        <v>11399</v>
      </c>
    </row>
    <row r="1464">
      <c r="A1464" s="39">
        <f>IFERROR(__xludf.DUMMYFUNCTION("""COMPUTED_VALUE"""),45944.7550608912)</f>
        <v>45944.75506</v>
      </c>
      <c r="B1464" s="40" t="str">
        <f>IFERROR(__xludf.DUMMYFUNCTION("""COMPUTED_VALUE"""),"MARNITHA JUWIKE TIMORATI RUNESI")</f>
        <v>MARNITHA JUWIKE TIMORATI RUNESI</v>
      </c>
      <c r="C1464" s="40" t="str">
        <f>IFERROR(__xludf.DUMMYFUNCTION("""COMPUTED_VALUE"""),"ACC")</f>
        <v>ACC</v>
      </c>
      <c r="D1464" s="40" t="str">
        <f>IFERROR(__xludf.DUMMYFUNCTION("""COMPUTED_VALUE"""),"Y400 series")</f>
        <v>Y400 series</v>
      </c>
      <c r="E1464" s="40" t="s">
        <v>11420</v>
      </c>
      <c r="F1464" s="40" t="s">
        <v>204</v>
      </c>
      <c r="G1464" s="40" t="s">
        <v>11421</v>
      </c>
      <c r="H1464" s="40" t="s">
        <v>11399</v>
      </c>
    </row>
    <row r="1465">
      <c r="A1465" s="39">
        <f>IFERROR(__xludf.DUMMYFUNCTION("""COMPUTED_VALUE"""),45944.772753171295)</f>
        <v>45944.77275</v>
      </c>
      <c r="B1465" s="40" t="str">
        <f>IFERROR(__xludf.DUMMYFUNCTION("""COMPUTED_VALUE"""),"YOVANDA KATRINA NAE")</f>
        <v>YOVANDA KATRINA NAE</v>
      </c>
      <c r="C1465" s="40" t="str">
        <f>IFERROR(__xludf.DUMMYFUNCTION("""COMPUTED_VALUE"""),"Belum disetujui")</f>
        <v>Belum disetujui</v>
      </c>
      <c r="D1465" s="40"/>
      <c r="E1465" s="40" t="s">
        <v>11425</v>
      </c>
      <c r="F1465" s="40" t="s">
        <v>205</v>
      </c>
      <c r="G1465" s="40" t="s">
        <v>11426</v>
      </c>
      <c r="H1465" s="40" t="s">
        <v>11419</v>
      </c>
    </row>
    <row r="1466">
      <c r="A1466" s="39">
        <f>IFERROR(__xludf.DUMMYFUNCTION("""COMPUTED_VALUE"""),45944.78847142361)</f>
        <v>45944.78847</v>
      </c>
      <c r="B1466" s="40" t="str">
        <f>IFERROR(__xludf.DUMMYFUNCTION("""COMPUTED_VALUE"""),"YOMELIANA MARIA MAGNO")</f>
        <v>YOMELIANA MARIA MAGNO</v>
      </c>
      <c r="C1466" s="40" t="str">
        <f>IFERROR(__xludf.DUMMYFUNCTION("""COMPUTED_VALUE"""),"Belum disetujui")</f>
        <v>Belum disetujui</v>
      </c>
      <c r="D1466" s="40"/>
      <c r="E1466" s="40" t="s">
        <v>11460</v>
      </c>
      <c r="F1466" s="40" t="s">
        <v>871</v>
      </c>
      <c r="G1466" s="40" t="s">
        <v>11461</v>
      </c>
      <c r="H1466" s="40" t="s">
        <v>11424</v>
      </c>
    </row>
    <row r="1467">
      <c r="A1467" s="39">
        <f>IFERROR(__xludf.DUMMYFUNCTION("""COMPUTED_VALUE"""),45944.790705092586)</f>
        <v>45944.79071</v>
      </c>
      <c r="B1467" s="40" t="str">
        <f>IFERROR(__xludf.DUMMYFUNCTION("""COMPUTED_VALUE"""),"AMBU BAIQ JUMENAH")</f>
        <v>AMBU BAIQ JUMENAH</v>
      </c>
      <c r="C1467" s="40" t="str">
        <f>IFERROR(__xludf.DUMMYFUNCTION("""COMPUTED_VALUE"""),"Belum disetujui")</f>
        <v>Belum disetujui</v>
      </c>
      <c r="D1467" s="40"/>
      <c r="E1467" s="40" t="s">
        <v>11458</v>
      </c>
      <c r="F1467" s="40" t="s">
        <v>205</v>
      </c>
      <c r="G1467" s="40" t="s">
        <v>11459</v>
      </c>
      <c r="H1467" s="40" t="s">
        <v>11419</v>
      </c>
    </row>
    <row r="1468">
      <c r="A1468" s="39">
        <f>IFERROR(__xludf.DUMMYFUNCTION("""COMPUTED_VALUE"""),45944.791882638885)</f>
        <v>45944.79188</v>
      </c>
      <c r="B1468" s="40" t="str">
        <f>IFERROR(__xludf.DUMMYFUNCTION("""COMPUTED_VALUE"""),"ASTUTI BELA WAWO")</f>
        <v>ASTUTI BELA WAWO</v>
      </c>
      <c r="C1468" s="40" t="str">
        <f>IFERROR(__xludf.DUMMYFUNCTION("""COMPUTED_VALUE"""),"Dapat limit tapi belum diproses")</f>
        <v>Dapat limit tapi belum diproses</v>
      </c>
      <c r="D1468" s="40" t="str">
        <f>IFERROR(__xludf.DUMMYFUNCTION("""COMPUTED_VALUE"""),"Y400 series")</f>
        <v>Y400 series</v>
      </c>
      <c r="E1468" s="40" t="s">
        <v>11427</v>
      </c>
      <c r="F1468" s="40" t="s">
        <v>257</v>
      </c>
      <c r="G1468" s="40" t="s">
        <v>11428</v>
      </c>
      <c r="H1468" s="40" t="s">
        <v>11419</v>
      </c>
    </row>
    <row r="1469">
      <c r="A1469" s="39">
        <f>IFERROR(__xludf.DUMMYFUNCTION("""COMPUTED_VALUE"""),45944.80076680556)</f>
        <v>45944.80077</v>
      </c>
      <c r="B1469" s="40" t="str">
        <f>IFERROR(__xludf.DUMMYFUNCTION("""COMPUTED_VALUE"""),"NOVANTRY RUTHANIA NAFFIE")</f>
        <v>NOVANTRY RUTHANIA NAFFIE</v>
      </c>
      <c r="C1469" s="40" t="str">
        <f>IFERROR(__xludf.DUMMYFUNCTION("""COMPUTED_VALUE"""),"Belum disetujui")</f>
        <v>Belum disetujui</v>
      </c>
      <c r="D1469" s="40"/>
      <c r="E1469" s="40" t="s">
        <v>11397</v>
      </c>
      <c r="F1469" s="40" t="s">
        <v>220</v>
      </c>
      <c r="G1469" s="40" t="s">
        <v>11398</v>
      </c>
      <c r="H1469" s="40" t="s">
        <v>11399</v>
      </c>
    </row>
    <row r="1470">
      <c r="A1470" s="39">
        <f>IFERROR(__xludf.DUMMYFUNCTION("""COMPUTED_VALUE"""),45944.815809444444)</f>
        <v>45944.81581</v>
      </c>
      <c r="B1470" s="40" t="str">
        <f>IFERROR(__xludf.DUMMYFUNCTION("""COMPUTED_VALUE"""),"ROS YANE KANA LUDJI")</f>
        <v>ROS YANE KANA LUDJI</v>
      </c>
      <c r="C1470" s="40" t="str">
        <f>IFERROR(__xludf.DUMMYFUNCTION("""COMPUTED_VALUE"""),"Belum disetujui")</f>
        <v>Belum disetujui</v>
      </c>
      <c r="D1470" s="40"/>
      <c r="E1470" s="40" t="s">
        <v>11437</v>
      </c>
      <c r="F1470" s="40" t="s">
        <v>204</v>
      </c>
      <c r="G1470" s="40" t="s">
        <v>11438</v>
      </c>
      <c r="H1470" s="40" t="s">
        <v>11399</v>
      </c>
    </row>
    <row r="1471">
      <c r="A1471" s="39">
        <f>IFERROR(__xludf.DUMMYFUNCTION("""COMPUTED_VALUE"""),45944.81946655093)</f>
        <v>45944.81947</v>
      </c>
      <c r="B1471" s="40" t="str">
        <f>IFERROR(__xludf.DUMMYFUNCTION("""COMPUTED_VALUE"""),"ROS YANE KANA LUDJI")</f>
        <v>ROS YANE KANA LUDJI</v>
      </c>
      <c r="C1471" s="40" t="str">
        <f>IFERROR(__xludf.DUMMYFUNCTION("""COMPUTED_VALUE"""),"Dapat limit tapi belum diproses")</f>
        <v>Dapat limit tapi belum diproses</v>
      </c>
      <c r="D1471" s="40" t="str">
        <f>IFERROR(__xludf.DUMMYFUNCTION("""COMPUTED_VALUE"""),"Y400 series")</f>
        <v>Y400 series</v>
      </c>
      <c r="E1471" s="40" t="s">
        <v>11437</v>
      </c>
      <c r="F1471" s="40" t="s">
        <v>204</v>
      </c>
      <c r="G1471" s="40" t="s">
        <v>11438</v>
      </c>
      <c r="H1471" s="40" t="s">
        <v>11399</v>
      </c>
    </row>
    <row r="1472">
      <c r="A1472" s="39">
        <f>IFERROR(__xludf.DUMMYFUNCTION("""COMPUTED_VALUE"""),45944.821833518516)</f>
        <v>45944.82183</v>
      </c>
      <c r="B1472" s="40" t="str">
        <f>IFERROR(__xludf.DUMMYFUNCTION("""COMPUTED_VALUE"""),"HERONIMUS NAMU WALI")</f>
        <v>HERONIMUS NAMU WALI</v>
      </c>
      <c r="C1472" s="40" t="str">
        <f>IFERROR(__xludf.DUMMYFUNCTION("""COMPUTED_VALUE"""),"Belum disetujui")</f>
        <v>Belum disetujui</v>
      </c>
      <c r="D1472" s="40"/>
      <c r="E1472" s="40" t="s">
        <v>11452</v>
      </c>
      <c r="F1472" s="40" t="s">
        <v>205</v>
      </c>
      <c r="G1472" s="40" t="s">
        <v>11453</v>
      </c>
      <c r="H1472" s="40" t="s">
        <v>11419</v>
      </c>
    </row>
    <row r="1473">
      <c r="A1473" s="39">
        <f>IFERROR(__xludf.DUMMYFUNCTION("""COMPUTED_VALUE"""),45944.82197954861)</f>
        <v>45944.82198</v>
      </c>
      <c r="B1473" s="40" t="str">
        <f>IFERROR(__xludf.DUMMYFUNCTION("""COMPUTED_VALUE"""),"MEXY ALEXANDER HETMINA")</f>
        <v>MEXY ALEXANDER HETMINA</v>
      </c>
      <c r="C1473" s="40" t="str">
        <f>IFERROR(__xludf.DUMMYFUNCTION("""COMPUTED_VALUE"""),"Dapat limit tapi belum diproses")</f>
        <v>Dapat limit tapi belum diproses</v>
      </c>
      <c r="D1473" s="40" t="str">
        <f>IFERROR(__xludf.DUMMYFUNCTION("""COMPUTED_VALUE"""),"Y400 series")</f>
        <v>Y400 series</v>
      </c>
      <c r="E1473" s="40" t="s">
        <v>11413</v>
      </c>
      <c r="F1473" s="40" t="s">
        <v>204</v>
      </c>
      <c r="G1473" s="40" t="s">
        <v>11414</v>
      </c>
      <c r="H1473" s="40" t="s">
        <v>11399</v>
      </c>
    </row>
    <row r="1474">
      <c r="A1474" s="39">
        <f>IFERROR(__xludf.DUMMYFUNCTION("""COMPUTED_VALUE"""),45944.8255780324)</f>
        <v>45944.82558</v>
      </c>
      <c r="B1474" s="40" t="str">
        <f>IFERROR(__xludf.DUMMYFUNCTION("""COMPUTED_VALUE"""),"YASINTHA MBU")</f>
        <v>YASINTHA MBU</v>
      </c>
      <c r="C1474" s="40" t="str">
        <f>IFERROR(__xludf.DUMMYFUNCTION("""COMPUTED_VALUE"""),"Dapat limit tapi belum diproses")</f>
        <v>Dapat limit tapi belum diproses</v>
      </c>
      <c r="D1474" s="40" t="str">
        <f>IFERROR(__xludf.DUMMYFUNCTION("""COMPUTED_VALUE"""),"V60 Lite series")</f>
        <v>V60 Lite series</v>
      </c>
      <c r="E1474" s="40" t="s">
        <v>11407</v>
      </c>
      <c r="F1474" s="40" t="s">
        <v>220</v>
      </c>
      <c r="G1474" s="40" t="s">
        <v>11408</v>
      </c>
      <c r="H1474" s="40" t="s">
        <v>11399</v>
      </c>
    </row>
    <row r="1475">
      <c r="A1475" s="39">
        <f>IFERROR(__xludf.DUMMYFUNCTION("""COMPUTED_VALUE"""),45944.83296270834)</f>
        <v>45944.83296</v>
      </c>
      <c r="B1475" s="40" t="str">
        <f>IFERROR(__xludf.DUMMYFUNCTION("""COMPUTED_VALUE"""),"DEWI RAHMAN")</f>
        <v>DEWI RAHMAN</v>
      </c>
      <c r="C1475" s="40" t="str">
        <f>IFERROR(__xludf.DUMMYFUNCTION("""COMPUTED_VALUE"""),"ACC")</f>
        <v>ACC</v>
      </c>
      <c r="D1475" s="40" t="str">
        <f>IFERROR(__xludf.DUMMYFUNCTION("""COMPUTED_VALUE"""),"Y400 series")</f>
        <v>Y400 series</v>
      </c>
      <c r="E1475" s="40" t="s">
        <v>11449</v>
      </c>
      <c r="F1475" s="40" t="s">
        <v>11450</v>
      </c>
      <c r="G1475" s="40" t="s">
        <v>11451</v>
      </c>
      <c r="H1475" s="40" t="s">
        <v>11424</v>
      </c>
    </row>
    <row r="1476">
      <c r="A1476" s="39">
        <f>IFERROR(__xludf.DUMMYFUNCTION("""COMPUTED_VALUE"""),45944.85008733797)</f>
        <v>45944.85009</v>
      </c>
      <c r="B1476" s="40" t="str">
        <f>IFERROR(__xludf.DUMMYFUNCTION("""COMPUTED_VALUE"""),"BERGITHA NIA OLIN")</f>
        <v>BERGITHA NIA OLIN</v>
      </c>
      <c r="C1476" s="40" t="str">
        <f>IFERROR(__xludf.DUMMYFUNCTION("""COMPUTED_VALUE"""),"ACC")</f>
        <v>ACC</v>
      </c>
      <c r="D1476" s="40" t="str">
        <f>IFERROR(__xludf.DUMMYFUNCTION("""COMPUTED_VALUE"""),"Y400 series")</f>
        <v>Y400 series</v>
      </c>
      <c r="E1476" s="40" t="s">
        <v>11431</v>
      </c>
      <c r="F1476" s="40" t="s">
        <v>313</v>
      </c>
      <c r="G1476" s="40" t="s">
        <v>11432</v>
      </c>
      <c r="H1476" s="40" t="s">
        <v>11424</v>
      </c>
    </row>
    <row r="1477">
      <c r="A1477" s="39">
        <f>IFERROR(__xludf.DUMMYFUNCTION("""COMPUTED_VALUE"""),45944.85011592593)</f>
        <v>45944.85012</v>
      </c>
      <c r="B1477" s="40" t="str">
        <f>IFERROR(__xludf.DUMMYFUNCTION("""COMPUTED_VALUE"""),"YASINTHA MBU")</f>
        <v>YASINTHA MBU</v>
      </c>
      <c r="C1477" s="40" t="str">
        <f>IFERROR(__xludf.DUMMYFUNCTION("""COMPUTED_VALUE"""),"Belum disetujui")</f>
        <v>Belum disetujui</v>
      </c>
      <c r="D1477" s="40"/>
      <c r="E1477" s="40" t="s">
        <v>11407</v>
      </c>
      <c r="F1477" s="40" t="s">
        <v>220</v>
      </c>
      <c r="G1477" s="40" t="s">
        <v>11408</v>
      </c>
      <c r="H1477" s="40" t="s">
        <v>11399</v>
      </c>
    </row>
    <row r="1478">
      <c r="A1478" s="39">
        <f>IFERROR(__xludf.DUMMYFUNCTION("""COMPUTED_VALUE"""),45944.86606883102)</f>
        <v>45944.86607</v>
      </c>
      <c r="B1478" s="40" t="str">
        <f>IFERROR(__xludf.DUMMYFUNCTION("""COMPUTED_VALUE"""),"ANYARMITHA SOPHIA SUEK")</f>
        <v>ANYARMITHA SOPHIA SUEK</v>
      </c>
      <c r="C1478" s="40" t="str">
        <f>IFERROR(__xludf.DUMMYFUNCTION("""COMPUTED_VALUE"""),"Dapat limit tapi belum diproses")</f>
        <v>Dapat limit tapi belum diproses</v>
      </c>
      <c r="D1478" s="40" t="str">
        <f>IFERROR(__xludf.DUMMYFUNCTION("""COMPUTED_VALUE"""),"V50 series")</f>
        <v>V50 series</v>
      </c>
      <c r="E1478" s="40" t="s">
        <v>11443</v>
      </c>
      <c r="F1478" s="40" t="s">
        <v>220</v>
      </c>
      <c r="G1478" s="40" t="s">
        <v>11444</v>
      </c>
      <c r="H1478" s="40" t="s">
        <v>11399</v>
      </c>
    </row>
    <row r="1479">
      <c r="A1479" s="39">
        <f>IFERROR(__xludf.DUMMYFUNCTION("""COMPUTED_VALUE"""),45944.87773940972)</f>
        <v>45944.87774</v>
      </c>
      <c r="B1479" s="40" t="str">
        <f>IFERROR(__xludf.DUMMYFUNCTION("""COMPUTED_VALUE"""),"MARATHA MARLINDA FANGGIDAE")</f>
        <v>MARATHA MARLINDA FANGGIDAE</v>
      </c>
      <c r="C1479" s="40" t="str">
        <f>IFERROR(__xludf.DUMMYFUNCTION("""COMPUTED_VALUE"""),"Dapat limit tapi belum diproses")</f>
        <v>Dapat limit tapi belum diproses</v>
      </c>
      <c r="D1479" s="40" t="str">
        <f>IFERROR(__xludf.DUMMYFUNCTION("""COMPUTED_VALUE"""),"Y400 series")</f>
        <v>Y400 series</v>
      </c>
      <c r="E1479" s="40" t="s">
        <v>11435</v>
      </c>
      <c r="F1479" s="40" t="s">
        <v>215</v>
      </c>
      <c r="G1479" s="40" t="s">
        <v>11436</v>
      </c>
      <c r="H1479" s="40" t="s">
        <v>11424</v>
      </c>
    </row>
    <row r="1480">
      <c r="A1480" s="39">
        <f>IFERROR(__xludf.DUMMYFUNCTION("""COMPUTED_VALUE"""),45944.87952945602)</f>
        <v>45944.87953</v>
      </c>
      <c r="B1480" s="40" t="str">
        <f>IFERROR(__xludf.DUMMYFUNCTION("""COMPUTED_VALUE"""),"MARATHA MARLINDA FANGGIDAE")</f>
        <v>MARATHA MARLINDA FANGGIDAE</v>
      </c>
      <c r="C1480" s="40" t="str">
        <f>IFERROR(__xludf.DUMMYFUNCTION("""COMPUTED_VALUE"""),"Belum disetujui")</f>
        <v>Belum disetujui</v>
      </c>
      <c r="D1480" s="40"/>
      <c r="E1480" s="40" t="s">
        <v>11435</v>
      </c>
      <c r="F1480" s="40" t="s">
        <v>215</v>
      </c>
      <c r="G1480" s="40" t="s">
        <v>11436</v>
      </c>
      <c r="H1480" s="40" t="s">
        <v>11424</v>
      </c>
    </row>
    <row r="1481">
      <c r="A1481" s="39">
        <f>IFERROR(__xludf.DUMMYFUNCTION("""COMPUTED_VALUE"""),45944.88817143519)</f>
        <v>45944.88817</v>
      </c>
      <c r="B1481" s="40" t="str">
        <f>IFERROR(__xludf.DUMMYFUNCTION("""COMPUTED_VALUE"""),"MERDA PUTRI BUNGSU KENAT")</f>
        <v>MERDA PUTRI BUNGSU KENAT</v>
      </c>
      <c r="C1481" s="40" t="str">
        <f>IFERROR(__xludf.DUMMYFUNCTION("""COMPUTED_VALUE"""),"Dapat limit tapi belum diproses")</f>
        <v>Dapat limit tapi belum diproses</v>
      </c>
      <c r="D1481" s="40" t="str">
        <f>IFERROR(__xludf.DUMMYFUNCTION("""COMPUTED_VALUE"""),"Y400 series")</f>
        <v>Y400 series</v>
      </c>
      <c r="E1481" s="40" t="s">
        <v>11422</v>
      </c>
      <c r="F1481" s="40" t="s">
        <v>215</v>
      </c>
      <c r="G1481" s="40" t="s">
        <v>11423</v>
      </c>
      <c r="H1481" s="40" t="s">
        <v>11424</v>
      </c>
    </row>
    <row r="1482">
      <c r="A1482" s="39">
        <f>IFERROR(__xludf.DUMMYFUNCTION("""COMPUTED_VALUE"""),45944.90572324074)</f>
        <v>45944.90572</v>
      </c>
      <c r="B1482" s="40" t="str">
        <f>IFERROR(__xludf.DUMMYFUNCTION("""COMPUTED_VALUE"""),"YUNITA TAMELAB")</f>
        <v>YUNITA TAMELAB</v>
      </c>
      <c r="C1482" s="40" t="str">
        <f>IFERROR(__xludf.DUMMYFUNCTION("""COMPUTED_VALUE"""),"Dapat limit tapi belum diproses")</f>
        <v>Dapat limit tapi belum diproses</v>
      </c>
      <c r="D1482" s="40" t="str">
        <f>IFERROR(__xludf.DUMMYFUNCTION("""COMPUTED_VALUE"""),"Y400 series")</f>
        <v>Y400 series</v>
      </c>
      <c r="E1482" s="40" t="s">
        <v>11472</v>
      </c>
      <c r="F1482" s="40" t="s">
        <v>667</v>
      </c>
      <c r="G1482" s="40" t="s">
        <v>11473</v>
      </c>
      <c r="H1482" s="40" t="s">
        <v>11424</v>
      </c>
    </row>
    <row r="1483">
      <c r="A1483" s="39">
        <f>IFERROR(__xludf.DUMMYFUNCTION("""COMPUTED_VALUE"""),45945.424868877315)</f>
        <v>45945.42487</v>
      </c>
      <c r="B1483" s="40" t="str">
        <f>IFERROR(__xludf.DUMMYFUNCTION("""COMPUTED_VALUE"""),"SANTI MARIA LUKMINI NAHAK")</f>
        <v>SANTI MARIA LUKMINI NAHAK</v>
      </c>
      <c r="C1483" s="40" t="str">
        <f>IFERROR(__xludf.DUMMYFUNCTION("""COMPUTED_VALUE"""),"Belum disetujui")</f>
        <v>Belum disetujui</v>
      </c>
      <c r="D1483" s="40"/>
      <c r="E1483" s="40" t="s">
        <v>11460</v>
      </c>
      <c r="F1483" s="40" t="s">
        <v>871</v>
      </c>
      <c r="G1483" s="40" t="s">
        <v>11461</v>
      </c>
      <c r="H1483" s="40" t="s">
        <v>11424</v>
      </c>
    </row>
    <row r="1484">
      <c r="A1484" s="39">
        <f>IFERROR(__xludf.DUMMYFUNCTION("""COMPUTED_VALUE"""),45945.441299375)</f>
        <v>45945.4413</v>
      </c>
      <c r="B1484" s="40" t="str">
        <f>IFERROR(__xludf.DUMMYFUNCTION("""COMPUTED_VALUE"""),"CHOIRUNISA ILHAM")</f>
        <v>CHOIRUNISA ILHAM</v>
      </c>
      <c r="C1484" s="40" t="str">
        <f>IFERROR(__xludf.DUMMYFUNCTION("""COMPUTED_VALUE"""),"Belum disetujui")</f>
        <v>Belum disetujui</v>
      </c>
      <c r="D1484" s="40"/>
      <c r="E1484" s="40" t="s">
        <v>11404</v>
      </c>
      <c r="F1484" s="40" t="s">
        <v>11404</v>
      </c>
      <c r="G1484" s="40" t="s">
        <v>11404</v>
      </c>
      <c r="H1484" s="40" t="s">
        <v>11404</v>
      </c>
    </row>
    <row r="1485">
      <c r="A1485" s="39">
        <f>IFERROR(__xludf.DUMMYFUNCTION("""COMPUTED_VALUE"""),45945.44957600694)</f>
        <v>45945.44958</v>
      </c>
      <c r="B1485" s="40" t="str">
        <f>IFERROR(__xludf.DUMMYFUNCTION("""COMPUTED_VALUE"""),"MARIA MELAN ANANCE BILI")</f>
        <v>MARIA MELAN ANANCE BILI</v>
      </c>
      <c r="C1485" s="40" t="str">
        <f>IFERROR(__xludf.DUMMYFUNCTION("""COMPUTED_VALUE"""),"Dapat limit tapi belum diproses")</f>
        <v>Dapat limit tapi belum diproses</v>
      </c>
      <c r="D1485" s="40" t="str">
        <f>IFERROR(__xludf.DUMMYFUNCTION("""COMPUTED_VALUE"""),"Y400 series")</f>
        <v>Y400 series</v>
      </c>
      <c r="E1485" s="40" t="s">
        <v>11466</v>
      </c>
      <c r="F1485" s="40" t="s">
        <v>257</v>
      </c>
      <c r="G1485" s="40" t="s">
        <v>11467</v>
      </c>
      <c r="H1485" s="40" t="s">
        <v>11419</v>
      </c>
    </row>
    <row r="1486">
      <c r="A1486" s="39">
        <f>IFERROR(__xludf.DUMMYFUNCTION("""COMPUTED_VALUE"""),45945.45972366898)</f>
        <v>45945.45972</v>
      </c>
      <c r="B1486" s="40" t="str">
        <f>IFERROR(__xludf.DUMMYFUNCTION("""COMPUTED_VALUE"""),"PUSPA ANGGREINI")</f>
        <v>PUSPA ANGGREINI</v>
      </c>
      <c r="C1486" s="40" t="str">
        <f>IFERROR(__xludf.DUMMYFUNCTION("""COMPUTED_VALUE"""),"Dapat limit tapi belum diproses")</f>
        <v>Dapat limit tapi belum diproses</v>
      </c>
      <c r="D1486" s="40" t="str">
        <f>IFERROR(__xludf.DUMMYFUNCTION("""COMPUTED_VALUE"""),"Y400 series")</f>
        <v>Y400 series</v>
      </c>
      <c r="E1486" s="40" t="s">
        <v>11427</v>
      </c>
      <c r="F1486" s="40" t="s">
        <v>257</v>
      </c>
      <c r="G1486" s="40" t="s">
        <v>11428</v>
      </c>
      <c r="H1486" s="40" t="s">
        <v>11419</v>
      </c>
    </row>
    <row r="1487">
      <c r="A1487" s="39">
        <f>IFERROR(__xludf.DUMMYFUNCTION("""COMPUTED_VALUE"""),45945.47253608797)</f>
        <v>45945.47254</v>
      </c>
      <c r="B1487" s="40" t="str">
        <f>IFERROR(__xludf.DUMMYFUNCTION("""COMPUTED_VALUE"""),"SANTI MARIA LUKMINI NAHAK")</f>
        <v>SANTI MARIA LUKMINI NAHAK</v>
      </c>
      <c r="C1487" s="40" t="str">
        <f>IFERROR(__xludf.DUMMYFUNCTION("""COMPUTED_VALUE"""),"Belum disetujui")</f>
        <v>Belum disetujui</v>
      </c>
      <c r="D1487" s="40"/>
      <c r="E1487" s="40" t="s">
        <v>11460</v>
      </c>
      <c r="F1487" s="40" t="s">
        <v>871</v>
      </c>
      <c r="G1487" s="40" t="s">
        <v>11461</v>
      </c>
      <c r="H1487" s="40" t="s">
        <v>11424</v>
      </c>
    </row>
    <row r="1488">
      <c r="A1488" s="39">
        <f>IFERROR(__xludf.DUMMYFUNCTION("""COMPUTED_VALUE"""),45945.473631747685)</f>
        <v>45945.47363</v>
      </c>
      <c r="B1488" s="40" t="str">
        <f>IFERROR(__xludf.DUMMYFUNCTION("""COMPUTED_VALUE"""),"SANTI MARIA LUKMINI NAHAK")</f>
        <v>SANTI MARIA LUKMINI NAHAK</v>
      </c>
      <c r="C1488" s="40" t="str">
        <f>IFERROR(__xludf.DUMMYFUNCTION("""COMPUTED_VALUE"""),"ACC")</f>
        <v>ACC</v>
      </c>
      <c r="D1488" s="40" t="str">
        <f>IFERROR(__xludf.DUMMYFUNCTION("""COMPUTED_VALUE"""),"Y400 series")</f>
        <v>Y400 series</v>
      </c>
      <c r="E1488" s="40" t="s">
        <v>11460</v>
      </c>
      <c r="F1488" s="40" t="s">
        <v>871</v>
      </c>
      <c r="G1488" s="40" t="s">
        <v>11461</v>
      </c>
      <c r="H1488" s="40" t="s">
        <v>11424</v>
      </c>
    </row>
    <row r="1489">
      <c r="A1489" s="39">
        <f>IFERROR(__xludf.DUMMYFUNCTION("""COMPUTED_VALUE"""),45945.489014710656)</f>
        <v>45945.48901</v>
      </c>
      <c r="B1489" s="40" t="str">
        <f>IFERROR(__xludf.DUMMYFUNCTION("""COMPUTED_VALUE"""),"IDMAL YUSDIRAN YUSUF")</f>
        <v>IDMAL YUSDIRAN YUSUF</v>
      </c>
      <c r="C1489" s="40" t="str">
        <f>IFERROR(__xludf.DUMMYFUNCTION("""COMPUTED_VALUE"""),"Dapat limit tapi belum diproses")</f>
        <v>Dapat limit tapi belum diproses</v>
      </c>
      <c r="D1489" s="40" t="str">
        <f>IFERROR(__xludf.DUMMYFUNCTION("""COMPUTED_VALUE"""),"V60 Lite series")</f>
        <v>V60 Lite series</v>
      </c>
      <c r="E1489" s="40" t="s">
        <v>11417</v>
      </c>
      <c r="F1489" s="40" t="s">
        <v>257</v>
      </c>
      <c r="G1489" s="40" t="s">
        <v>11418</v>
      </c>
      <c r="H1489" s="40" t="s">
        <v>11419</v>
      </c>
    </row>
    <row r="1490">
      <c r="A1490" s="39">
        <f>IFERROR(__xludf.DUMMYFUNCTION("""COMPUTED_VALUE"""),45945.49291178241)</f>
        <v>45945.49291</v>
      </c>
      <c r="B1490" s="40" t="str">
        <f>IFERROR(__xludf.DUMMYFUNCTION("""COMPUTED_VALUE"""),"KESIA NATALIA I. BENU")</f>
        <v>KESIA NATALIA I. BENU</v>
      </c>
      <c r="C1490" s="40" t="str">
        <f>IFERROR(__xludf.DUMMYFUNCTION("""COMPUTED_VALUE"""),"Dapat limit tapi belum diproses")</f>
        <v>Dapat limit tapi belum diproses</v>
      </c>
      <c r="D1490" s="40" t="str">
        <f>IFERROR(__xludf.DUMMYFUNCTION("""COMPUTED_VALUE"""),"Y400 series")</f>
        <v>Y400 series</v>
      </c>
      <c r="E1490" s="40" t="s">
        <v>11417</v>
      </c>
      <c r="F1490" s="40" t="s">
        <v>257</v>
      </c>
      <c r="G1490" s="40" t="s">
        <v>11418</v>
      </c>
      <c r="H1490" s="40" t="s">
        <v>11419</v>
      </c>
    </row>
    <row r="1491">
      <c r="A1491" s="39">
        <f>IFERROR(__xludf.DUMMYFUNCTION("""COMPUTED_VALUE"""),45945.494429768514)</f>
        <v>45945.49443</v>
      </c>
      <c r="B1491" s="40" t="str">
        <f>IFERROR(__xludf.DUMMYFUNCTION("""COMPUTED_VALUE"""),"MARIA MELAN ANANCE BILI")</f>
        <v>MARIA MELAN ANANCE BILI</v>
      </c>
      <c r="C1491" s="40" t="str">
        <f>IFERROR(__xludf.DUMMYFUNCTION("""COMPUTED_VALUE"""),"Dapat limit tapi belum diproses")</f>
        <v>Dapat limit tapi belum diproses</v>
      </c>
      <c r="D1491" s="40" t="str">
        <f>IFERROR(__xludf.DUMMYFUNCTION("""COMPUTED_VALUE"""),"V60 series")</f>
        <v>V60 series</v>
      </c>
      <c r="E1491" s="40" t="s">
        <v>11466</v>
      </c>
      <c r="F1491" s="40" t="s">
        <v>257</v>
      </c>
      <c r="G1491" s="40" t="s">
        <v>11467</v>
      </c>
      <c r="H1491" s="40" t="s">
        <v>11419</v>
      </c>
    </row>
    <row r="1492">
      <c r="A1492" s="39">
        <f>IFERROR(__xludf.DUMMYFUNCTION("""COMPUTED_VALUE"""),45945.49653866899)</f>
        <v>45945.49654</v>
      </c>
      <c r="B1492" s="40" t="str">
        <f>IFERROR(__xludf.DUMMYFUNCTION("""COMPUTED_VALUE"""),"MARIA MELAN ANANCE BILI")</f>
        <v>MARIA MELAN ANANCE BILI</v>
      </c>
      <c r="C1492" s="40" t="str">
        <f>IFERROR(__xludf.DUMMYFUNCTION("""COMPUTED_VALUE"""),"Dapat limit tapi belum diproses")</f>
        <v>Dapat limit tapi belum diproses</v>
      </c>
      <c r="D1492" s="40" t="str">
        <f>IFERROR(__xludf.DUMMYFUNCTION("""COMPUTED_VALUE"""),"Y400 series")</f>
        <v>Y400 series</v>
      </c>
      <c r="E1492" s="40" t="s">
        <v>11466</v>
      </c>
      <c r="F1492" s="40" t="s">
        <v>257</v>
      </c>
      <c r="G1492" s="40" t="s">
        <v>11467</v>
      </c>
      <c r="H1492" s="40" t="s">
        <v>11419</v>
      </c>
    </row>
    <row r="1493">
      <c r="A1493" s="39">
        <f>IFERROR(__xludf.DUMMYFUNCTION("""COMPUTED_VALUE"""),45945.51333547454)</f>
        <v>45945.51334</v>
      </c>
      <c r="B1493" s="40" t="str">
        <f>IFERROR(__xludf.DUMMYFUNCTION("""COMPUTED_VALUE"""),"PRETI SISILIA SILA")</f>
        <v>PRETI SISILIA SILA</v>
      </c>
      <c r="C1493" s="40" t="str">
        <f>IFERROR(__xludf.DUMMYFUNCTION("""COMPUTED_VALUE"""),"Belum disetujui")</f>
        <v>Belum disetujui</v>
      </c>
      <c r="D1493" s="40"/>
      <c r="E1493" s="40" t="s">
        <v>11456</v>
      </c>
      <c r="F1493" s="40" t="s">
        <v>667</v>
      </c>
      <c r="G1493" s="40" t="s">
        <v>11457</v>
      </c>
      <c r="H1493" s="40" t="s">
        <v>11424</v>
      </c>
    </row>
    <row r="1494">
      <c r="A1494" s="39">
        <f>IFERROR(__xludf.DUMMYFUNCTION("""COMPUTED_VALUE"""),45945.51394134259)</f>
        <v>45945.51394</v>
      </c>
      <c r="B1494" s="40" t="str">
        <f>IFERROR(__xludf.DUMMYFUNCTION("""COMPUTED_VALUE"""),"MERDA PUTRI BUNGSU KENAT")</f>
        <v>MERDA PUTRI BUNGSU KENAT</v>
      </c>
      <c r="C1494" s="40" t="str">
        <f>IFERROR(__xludf.DUMMYFUNCTION("""COMPUTED_VALUE"""),"Dapat limit tapi belum diproses")</f>
        <v>Dapat limit tapi belum diproses</v>
      </c>
      <c r="D1494" s="40" t="str">
        <f>IFERROR(__xludf.DUMMYFUNCTION("""COMPUTED_VALUE"""),"Y400 series")</f>
        <v>Y400 series</v>
      </c>
      <c r="E1494" s="40" t="s">
        <v>11422</v>
      </c>
      <c r="F1494" s="40" t="s">
        <v>215</v>
      </c>
      <c r="G1494" s="40" t="s">
        <v>11423</v>
      </c>
      <c r="H1494" s="40" t="s">
        <v>11424</v>
      </c>
    </row>
    <row r="1495">
      <c r="A1495" s="39">
        <f>IFERROR(__xludf.DUMMYFUNCTION("""COMPUTED_VALUE"""),45945.51857961805)</f>
        <v>45945.51858</v>
      </c>
      <c r="B1495" s="40" t="str">
        <f>IFERROR(__xludf.DUMMYFUNCTION("""COMPUTED_VALUE"""),"ALDIANA WELIA PANIE")</f>
        <v>ALDIANA WELIA PANIE</v>
      </c>
      <c r="C1495" s="40" t="str">
        <f>IFERROR(__xludf.DUMMYFUNCTION("""COMPUTED_VALUE"""),"Dapat limit tapi belum diproses")</f>
        <v>Dapat limit tapi belum diproses</v>
      </c>
      <c r="D1495" s="40" t="str">
        <f>IFERROR(__xludf.DUMMYFUNCTION("""COMPUTED_VALUE"""),"Y400 series")</f>
        <v>Y400 series</v>
      </c>
      <c r="E1495" s="40" t="s">
        <v>11422</v>
      </c>
      <c r="F1495" s="40" t="s">
        <v>215</v>
      </c>
      <c r="G1495" s="40" t="s">
        <v>11423</v>
      </c>
      <c r="H1495" s="40" t="s">
        <v>11424</v>
      </c>
    </row>
    <row r="1496">
      <c r="A1496" s="39">
        <f>IFERROR(__xludf.DUMMYFUNCTION("""COMPUTED_VALUE"""),45945.531784479164)</f>
        <v>45945.53178</v>
      </c>
      <c r="B1496" s="40" t="str">
        <f>IFERROR(__xludf.DUMMYFUNCTION("""COMPUTED_VALUE"""),"PATRIANI MENGI ULY")</f>
        <v>PATRIANI MENGI ULY</v>
      </c>
      <c r="C1496" s="40" t="str">
        <f>IFERROR(__xludf.DUMMYFUNCTION("""COMPUTED_VALUE"""),"Belum disetujui")</f>
        <v>Belum disetujui</v>
      </c>
      <c r="D1496" s="40"/>
      <c r="E1496" s="40" t="s">
        <v>11402</v>
      </c>
      <c r="F1496" s="40" t="s">
        <v>204</v>
      </c>
      <c r="G1496" s="40" t="s">
        <v>11403</v>
      </c>
      <c r="H1496" s="40" t="s">
        <v>11399</v>
      </c>
    </row>
    <row r="1497">
      <c r="A1497" s="39">
        <f>IFERROR(__xludf.DUMMYFUNCTION("""COMPUTED_VALUE"""),45945.53496952546)</f>
        <v>45945.53497</v>
      </c>
      <c r="B1497" s="40" t="str">
        <f>IFERROR(__xludf.DUMMYFUNCTION("""COMPUTED_VALUE"""),"SANTI MARIA LUKMINI NAHAK")</f>
        <v>SANTI MARIA LUKMINI NAHAK</v>
      </c>
      <c r="C1497" s="40" t="str">
        <f>IFERROR(__xludf.DUMMYFUNCTION("""COMPUTED_VALUE"""),"Dapat limit tapi belum diproses")</f>
        <v>Dapat limit tapi belum diproses</v>
      </c>
      <c r="D1497" s="40" t="str">
        <f>IFERROR(__xludf.DUMMYFUNCTION("""COMPUTED_VALUE"""),"Y400 series")</f>
        <v>Y400 series</v>
      </c>
      <c r="E1497" s="40" t="s">
        <v>11460</v>
      </c>
      <c r="F1497" s="40" t="s">
        <v>871</v>
      </c>
      <c r="G1497" s="40" t="s">
        <v>11461</v>
      </c>
      <c r="H1497" s="40" t="s">
        <v>11424</v>
      </c>
    </row>
    <row r="1498">
      <c r="A1498" s="39">
        <f>IFERROR(__xludf.DUMMYFUNCTION("""COMPUTED_VALUE"""),45945.543461504625)</f>
        <v>45945.54346</v>
      </c>
      <c r="B1498" s="40" t="str">
        <f>IFERROR(__xludf.DUMMYFUNCTION("""COMPUTED_VALUE"""),"MARATHA MARLINDA FANGGIDAE")</f>
        <v>MARATHA MARLINDA FANGGIDAE</v>
      </c>
      <c r="C1498" s="40" t="str">
        <f>IFERROR(__xludf.DUMMYFUNCTION("""COMPUTED_VALUE"""),"Belum disetujui")</f>
        <v>Belum disetujui</v>
      </c>
      <c r="D1498" s="40"/>
      <c r="E1498" s="40" t="s">
        <v>11435</v>
      </c>
      <c r="F1498" s="40" t="s">
        <v>215</v>
      </c>
      <c r="G1498" s="40" t="s">
        <v>11436</v>
      </c>
      <c r="H1498" s="40" t="s">
        <v>11424</v>
      </c>
    </row>
    <row r="1499">
      <c r="A1499" s="39">
        <f>IFERROR(__xludf.DUMMYFUNCTION("""COMPUTED_VALUE"""),45945.54834596065)</f>
        <v>45945.54835</v>
      </c>
      <c r="B1499" s="40" t="str">
        <f>IFERROR(__xludf.DUMMYFUNCTION("""COMPUTED_VALUE"""),"SANTI MARIA LUKMINI NAHAK")</f>
        <v>SANTI MARIA LUKMINI NAHAK</v>
      </c>
      <c r="C1499" s="40" t="str">
        <f>IFERROR(__xludf.DUMMYFUNCTION("""COMPUTED_VALUE"""),"Dapat limit tapi belum diproses")</f>
        <v>Dapat limit tapi belum diproses</v>
      </c>
      <c r="D1499" s="40" t="str">
        <f>IFERROR(__xludf.DUMMYFUNCTION("""COMPUTED_VALUE"""),"Y400 series")</f>
        <v>Y400 series</v>
      </c>
      <c r="E1499" s="40" t="s">
        <v>11460</v>
      </c>
      <c r="F1499" s="40" t="s">
        <v>871</v>
      </c>
      <c r="G1499" s="40" t="s">
        <v>11461</v>
      </c>
      <c r="H1499" s="40" t="s">
        <v>11424</v>
      </c>
    </row>
    <row r="1500">
      <c r="A1500" s="39">
        <f>IFERROR(__xludf.DUMMYFUNCTION("""COMPUTED_VALUE"""),45945.55562292824)</f>
        <v>45945.55562</v>
      </c>
      <c r="B1500" s="40" t="str">
        <f>IFERROR(__xludf.DUMMYFUNCTION("""COMPUTED_VALUE"""),"FEBRIANTHY ELISABET NA'U")</f>
        <v>FEBRIANTHY ELISABET NA'U</v>
      </c>
      <c r="C1500" s="40" t="str">
        <f>IFERROR(__xludf.DUMMYFUNCTION("""COMPUTED_VALUE"""),"Belum disetujui")</f>
        <v>Belum disetujui</v>
      </c>
      <c r="D1500" s="40"/>
      <c r="E1500" s="40" t="s">
        <v>11415</v>
      </c>
      <c r="F1500" s="40" t="s">
        <v>204</v>
      </c>
      <c r="G1500" s="40" t="s">
        <v>11416</v>
      </c>
      <c r="H1500" s="40" t="s">
        <v>11399</v>
      </c>
    </row>
    <row r="1501">
      <c r="A1501" s="39">
        <f>IFERROR(__xludf.DUMMYFUNCTION("""COMPUTED_VALUE"""),45945.561792789355)</f>
        <v>45945.56179</v>
      </c>
      <c r="B1501" s="40" t="str">
        <f>IFERROR(__xludf.DUMMYFUNCTION("""COMPUTED_VALUE"""),"ESTER LUDJI")</f>
        <v>ESTER LUDJI</v>
      </c>
      <c r="C1501" s="40" t="str">
        <f>IFERROR(__xludf.DUMMYFUNCTION("""COMPUTED_VALUE"""),"ACC")</f>
        <v>ACC</v>
      </c>
      <c r="D1501" s="40" t="str">
        <f>IFERROR(__xludf.DUMMYFUNCTION("""COMPUTED_VALUE"""),"V60 Lite series")</f>
        <v>V60 Lite series</v>
      </c>
      <c r="E1501" s="40" t="s">
        <v>11441</v>
      </c>
      <c r="F1501" s="40" t="s">
        <v>205</v>
      </c>
      <c r="G1501" s="40" t="s">
        <v>11442</v>
      </c>
      <c r="H1501" s="40" t="s">
        <v>11419</v>
      </c>
    </row>
    <row r="1502">
      <c r="A1502" s="39">
        <f>IFERROR(__xludf.DUMMYFUNCTION("""COMPUTED_VALUE"""),45945.56296056713)</f>
        <v>45945.56296</v>
      </c>
      <c r="B1502" s="40" t="str">
        <f>IFERROR(__xludf.DUMMYFUNCTION("""COMPUTED_VALUE"""),"SULIS NURAINI INSYATUN")</f>
        <v>SULIS NURAINI INSYATUN</v>
      </c>
      <c r="C1502" s="40" t="str">
        <f>IFERROR(__xludf.DUMMYFUNCTION("""COMPUTED_VALUE"""),"Belum disetujui")</f>
        <v>Belum disetujui</v>
      </c>
      <c r="D1502" s="40"/>
      <c r="E1502" s="40" t="s">
        <v>11429</v>
      </c>
      <c r="F1502" s="40" t="s">
        <v>257</v>
      </c>
      <c r="G1502" s="40" t="s">
        <v>11430</v>
      </c>
      <c r="H1502" s="40" t="s">
        <v>11419</v>
      </c>
    </row>
    <row r="1503">
      <c r="A1503" s="39">
        <f>IFERROR(__xludf.DUMMYFUNCTION("""COMPUTED_VALUE"""),45945.56422361111)</f>
        <v>45945.56422</v>
      </c>
      <c r="B1503" s="40" t="str">
        <f>IFERROR(__xludf.DUMMYFUNCTION("""COMPUTED_VALUE"""),"SULIS NURAINI INSYATUN")</f>
        <v>SULIS NURAINI INSYATUN</v>
      </c>
      <c r="C1503" s="40" t="str">
        <f>IFERROR(__xludf.DUMMYFUNCTION("""COMPUTED_VALUE"""),"Belum disetujui")</f>
        <v>Belum disetujui</v>
      </c>
      <c r="D1503" s="40"/>
      <c r="E1503" s="40" t="s">
        <v>11429</v>
      </c>
      <c r="F1503" s="40" t="s">
        <v>257</v>
      </c>
      <c r="G1503" s="40" t="s">
        <v>11430</v>
      </c>
      <c r="H1503" s="40" t="s">
        <v>11419</v>
      </c>
    </row>
    <row r="1504">
      <c r="A1504" s="39">
        <f>IFERROR(__xludf.DUMMYFUNCTION("""COMPUTED_VALUE"""),45945.57597643518)</f>
        <v>45945.57598</v>
      </c>
      <c r="B1504" s="40" t="str">
        <f>IFERROR(__xludf.DUMMYFUNCTION("""COMPUTED_VALUE"""),"IDMAL YUSDIRAN YUSUF")</f>
        <v>IDMAL YUSDIRAN YUSUF</v>
      </c>
      <c r="C1504" s="40" t="str">
        <f>IFERROR(__xludf.DUMMYFUNCTION("""COMPUTED_VALUE"""),"Belum disetujui")</f>
        <v>Belum disetujui</v>
      </c>
      <c r="D1504" s="40"/>
      <c r="E1504" s="40" t="s">
        <v>11417</v>
      </c>
      <c r="F1504" s="40" t="s">
        <v>257</v>
      </c>
      <c r="G1504" s="40" t="s">
        <v>11418</v>
      </c>
      <c r="H1504" s="40" t="s">
        <v>11419</v>
      </c>
    </row>
    <row r="1505">
      <c r="A1505" s="39">
        <f>IFERROR(__xludf.DUMMYFUNCTION("""COMPUTED_VALUE"""),45945.57859902778)</f>
        <v>45945.5786</v>
      </c>
      <c r="B1505" s="40" t="str">
        <f>IFERROR(__xludf.DUMMYFUNCTION("""COMPUTED_VALUE"""),"ASTUTI BELA WAWO")</f>
        <v>ASTUTI BELA WAWO</v>
      </c>
      <c r="C1505" s="40" t="str">
        <f>IFERROR(__xludf.DUMMYFUNCTION("""COMPUTED_VALUE"""),"Belum disetujui")</f>
        <v>Belum disetujui</v>
      </c>
      <c r="D1505" s="40"/>
      <c r="E1505" s="40" t="s">
        <v>11427</v>
      </c>
      <c r="F1505" s="40" t="s">
        <v>257</v>
      </c>
      <c r="G1505" s="40" t="s">
        <v>11428</v>
      </c>
      <c r="H1505" s="40" t="s">
        <v>11419</v>
      </c>
    </row>
    <row r="1506">
      <c r="A1506" s="39">
        <f>IFERROR(__xludf.DUMMYFUNCTION("""COMPUTED_VALUE"""),45945.58278936343)</f>
        <v>45945.58279</v>
      </c>
      <c r="B1506" s="40" t="str">
        <f>IFERROR(__xludf.DUMMYFUNCTION("""COMPUTED_VALUE"""),"YOMELIANA MARIA MAGNO")</f>
        <v>YOMELIANA MARIA MAGNO</v>
      </c>
      <c r="C1506" s="40" t="str">
        <f>IFERROR(__xludf.DUMMYFUNCTION("""COMPUTED_VALUE"""),"Belum disetujui")</f>
        <v>Belum disetujui</v>
      </c>
      <c r="D1506" s="40"/>
      <c r="E1506" s="40" t="s">
        <v>11460</v>
      </c>
      <c r="F1506" s="40" t="s">
        <v>871</v>
      </c>
      <c r="G1506" s="40" t="s">
        <v>11461</v>
      </c>
      <c r="H1506" s="40" t="s">
        <v>11424</v>
      </c>
    </row>
    <row r="1507">
      <c r="A1507" s="39">
        <f>IFERROR(__xludf.DUMMYFUNCTION("""COMPUTED_VALUE"""),45945.58726795139)</f>
        <v>45945.58727</v>
      </c>
      <c r="B1507" s="40" t="str">
        <f>IFERROR(__xludf.DUMMYFUNCTION("""COMPUTED_VALUE"""),"MEXY ALEXANDER HETMINA")</f>
        <v>MEXY ALEXANDER HETMINA</v>
      </c>
      <c r="C1507" s="40" t="str">
        <f>IFERROR(__xludf.DUMMYFUNCTION("""COMPUTED_VALUE"""),"ACC")</f>
        <v>ACC</v>
      </c>
      <c r="D1507" s="40" t="str">
        <f>IFERROR(__xludf.DUMMYFUNCTION("""COMPUTED_VALUE"""),"Y400 series")</f>
        <v>Y400 series</v>
      </c>
      <c r="E1507" s="40" t="s">
        <v>11413</v>
      </c>
      <c r="F1507" s="40" t="s">
        <v>204</v>
      </c>
      <c r="G1507" s="40" t="s">
        <v>11414</v>
      </c>
      <c r="H1507" s="40" t="s">
        <v>11399</v>
      </c>
    </row>
    <row r="1508">
      <c r="A1508" s="39">
        <f>IFERROR(__xludf.DUMMYFUNCTION("""COMPUTED_VALUE"""),45945.59064021991)</f>
        <v>45945.59064</v>
      </c>
      <c r="B1508" s="40" t="str">
        <f>IFERROR(__xludf.DUMMYFUNCTION("""COMPUTED_VALUE"""),"YASINTHA MBU")</f>
        <v>YASINTHA MBU</v>
      </c>
      <c r="C1508" s="40" t="str">
        <f>IFERROR(__xludf.DUMMYFUNCTION("""COMPUTED_VALUE"""),"Dapat limit tapi belum diproses")</f>
        <v>Dapat limit tapi belum diproses</v>
      </c>
      <c r="D1508" s="40" t="str">
        <f>IFERROR(__xludf.DUMMYFUNCTION("""COMPUTED_VALUE"""),"V60 Lite series")</f>
        <v>V60 Lite series</v>
      </c>
      <c r="E1508" s="40" t="s">
        <v>11407</v>
      </c>
      <c r="F1508" s="40" t="s">
        <v>220</v>
      </c>
      <c r="G1508" s="40" t="s">
        <v>11408</v>
      </c>
      <c r="H1508" s="40" t="s">
        <v>11399</v>
      </c>
    </row>
    <row r="1509">
      <c r="A1509" s="39">
        <f>IFERROR(__xludf.DUMMYFUNCTION("""COMPUTED_VALUE"""),45945.599809872685)</f>
        <v>45945.59981</v>
      </c>
      <c r="B1509" s="40" t="str">
        <f>IFERROR(__xludf.DUMMYFUNCTION("""COMPUTED_VALUE"""),"IRENE NOVALIA KADJU")</f>
        <v>IRENE NOVALIA KADJU</v>
      </c>
      <c r="C1509" s="40" t="str">
        <f>IFERROR(__xludf.DUMMYFUNCTION("""COMPUTED_VALUE"""),"Belum disetujui")</f>
        <v>Belum disetujui</v>
      </c>
      <c r="D1509" s="40"/>
      <c r="E1509" s="40" t="s">
        <v>11445</v>
      </c>
      <c r="F1509" s="40" t="s">
        <v>204</v>
      </c>
      <c r="G1509" s="40" t="s">
        <v>11446</v>
      </c>
      <c r="H1509" s="40" t="s">
        <v>11399</v>
      </c>
    </row>
    <row r="1510">
      <c r="A1510" s="39">
        <f>IFERROR(__xludf.DUMMYFUNCTION("""COMPUTED_VALUE"""),45945.601699375)</f>
        <v>45945.6017</v>
      </c>
      <c r="B1510" s="40" t="str">
        <f>IFERROR(__xludf.DUMMYFUNCTION("""COMPUTED_VALUE"""),"FEBRIANTHY ELISABET NA'U")</f>
        <v>FEBRIANTHY ELISABET NA'U</v>
      </c>
      <c r="C1510" s="40" t="str">
        <f>IFERROR(__xludf.DUMMYFUNCTION("""COMPUTED_VALUE"""),"Belum disetujui")</f>
        <v>Belum disetujui</v>
      </c>
      <c r="D1510" s="40"/>
      <c r="E1510" s="40" t="s">
        <v>11415</v>
      </c>
      <c r="F1510" s="40" t="s">
        <v>204</v>
      </c>
      <c r="G1510" s="40" t="s">
        <v>11416</v>
      </c>
      <c r="H1510" s="40" t="s">
        <v>11399</v>
      </c>
    </row>
    <row r="1511">
      <c r="A1511" s="39">
        <f>IFERROR(__xludf.DUMMYFUNCTION("""COMPUTED_VALUE"""),45945.65287708333)</f>
        <v>45945.65288</v>
      </c>
      <c r="B1511" s="40" t="str">
        <f>IFERROR(__xludf.DUMMYFUNCTION("""COMPUTED_VALUE"""),"ADRIANA")</f>
        <v>ADRIANA</v>
      </c>
      <c r="C1511" s="40" t="str">
        <f>IFERROR(__xludf.DUMMYFUNCTION("""COMPUTED_VALUE"""),"Belum disetujui")</f>
        <v>Belum disetujui</v>
      </c>
      <c r="D1511" s="40"/>
      <c r="E1511" s="40" t="s">
        <v>11433</v>
      </c>
      <c r="F1511" s="40" t="s">
        <v>313</v>
      </c>
      <c r="G1511" s="40" t="s">
        <v>11434</v>
      </c>
      <c r="H1511" s="40" t="s">
        <v>11424</v>
      </c>
    </row>
    <row r="1512">
      <c r="A1512" s="39">
        <f>IFERROR(__xludf.DUMMYFUNCTION("""COMPUTED_VALUE"""),45945.65485086806)</f>
        <v>45945.65485</v>
      </c>
      <c r="B1512" s="40" t="str">
        <f>IFERROR(__xludf.DUMMYFUNCTION("""COMPUTED_VALUE"""),"ADRIANA")</f>
        <v>ADRIANA</v>
      </c>
      <c r="C1512" s="40" t="str">
        <f>IFERROR(__xludf.DUMMYFUNCTION("""COMPUTED_VALUE"""),"Belum disetujui")</f>
        <v>Belum disetujui</v>
      </c>
      <c r="D1512" s="40"/>
      <c r="E1512" s="40" t="s">
        <v>11433</v>
      </c>
      <c r="F1512" s="40" t="s">
        <v>313</v>
      </c>
      <c r="G1512" s="40" t="s">
        <v>11434</v>
      </c>
      <c r="H1512" s="40" t="s">
        <v>11424</v>
      </c>
    </row>
    <row r="1513">
      <c r="A1513" s="39">
        <f>IFERROR(__xludf.DUMMYFUNCTION("""COMPUTED_VALUE"""),45945.65752570602)</f>
        <v>45945.65753</v>
      </c>
      <c r="B1513" s="40" t="str">
        <f>IFERROR(__xludf.DUMMYFUNCTION("""COMPUTED_VALUE"""),"ADRIANA")</f>
        <v>ADRIANA</v>
      </c>
      <c r="C1513" s="40" t="str">
        <f>IFERROR(__xludf.DUMMYFUNCTION("""COMPUTED_VALUE"""),"Belum disetujui")</f>
        <v>Belum disetujui</v>
      </c>
      <c r="D1513" s="40"/>
      <c r="E1513" s="40" t="s">
        <v>11433</v>
      </c>
      <c r="F1513" s="40" t="s">
        <v>313</v>
      </c>
      <c r="G1513" s="40" t="s">
        <v>11434</v>
      </c>
      <c r="H1513" s="40" t="s">
        <v>11424</v>
      </c>
    </row>
    <row r="1514">
      <c r="A1514" s="39">
        <f>IFERROR(__xludf.DUMMYFUNCTION("""COMPUTED_VALUE"""),45945.68701806713)</f>
        <v>45945.68702</v>
      </c>
      <c r="B1514" s="40" t="str">
        <f>IFERROR(__xludf.DUMMYFUNCTION("""COMPUTED_VALUE"""),"PRETI SISILIA SILA")</f>
        <v>PRETI SISILIA SILA</v>
      </c>
      <c r="C1514" s="40" t="str">
        <f>IFERROR(__xludf.DUMMYFUNCTION("""COMPUTED_VALUE"""),"Belum disetujui")</f>
        <v>Belum disetujui</v>
      </c>
      <c r="D1514" s="40"/>
      <c r="E1514" s="40" t="s">
        <v>11456</v>
      </c>
      <c r="F1514" s="40" t="s">
        <v>667</v>
      </c>
      <c r="G1514" s="40" t="s">
        <v>11457</v>
      </c>
      <c r="H1514" s="40" t="s">
        <v>11424</v>
      </c>
    </row>
    <row r="1515">
      <c r="A1515" s="39">
        <f>IFERROR(__xludf.DUMMYFUNCTION("""COMPUTED_VALUE"""),45945.724158020836)</f>
        <v>45945.72416</v>
      </c>
      <c r="B1515" s="40" t="str">
        <f>IFERROR(__xludf.DUMMYFUNCTION("""COMPUTED_VALUE"""),"BERGITHA NIA OLIN")</f>
        <v>BERGITHA NIA OLIN</v>
      </c>
      <c r="C1515" s="40" t="str">
        <f>IFERROR(__xludf.DUMMYFUNCTION("""COMPUTED_VALUE"""),"Belum disetujui")</f>
        <v>Belum disetujui</v>
      </c>
      <c r="D1515" s="40"/>
      <c r="E1515" s="40" t="s">
        <v>11431</v>
      </c>
      <c r="F1515" s="40" t="s">
        <v>313</v>
      </c>
      <c r="G1515" s="40" t="s">
        <v>11432</v>
      </c>
      <c r="H1515" s="40" t="s">
        <v>11424</v>
      </c>
    </row>
    <row r="1516">
      <c r="A1516" s="39">
        <f>IFERROR(__xludf.DUMMYFUNCTION("""COMPUTED_VALUE"""),45945.72616881944)</f>
        <v>45945.72617</v>
      </c>
      <c r="B1516" s="40" t="str">
        <f>IFERROR(__xludf.DUMMYFUNCTION("""COMPUTED_VALUE"""),"BERGITHA NIA OLIN")</f>
        <v>BERGITHA NIA OLIN</v>
      </c>
      <c r="C1516" s="40" t="str">
        <f>IFERROR(__xludf.DUMMYFUNCTION("""COMPUTED_VALUE"""),"Belum disetujui")</f>
        <v>Belum disetujui</v>
      </c>
      <c r="D1516" s="40"/>
      <c r="E1516" s="40" t="s">
        <v>11431</v>
      </c>
      <c r="F1516" s="40" t="s">
        <v>313</v>
      </c>
      <c r="G1516" s="40" t="s">
        <v>11432</v>
      </c>
      <c r="H1516" s="40" t="s">
        <v>11424</v>
      </c>
    </row>
    <row r="1517">
      <c r="A1517" s="39">
        <f>IFERROR(__xludf.DUMMYFUNCTION("""COMPUTED_VALUE"""),45945.747766597226)</f>
        <v>45945.74777</v>
      </c>
      <c r="B1517" s="40" t="str">
        <f>IFERROR(__xludf.DUMMYFUNCTION("""COMPUTED_VALUE"""),"YOVANDA KATRINA NAE")</f>
        <v>YOVANDA KATRINA NAE</v>
      </c>
      <c r="C1517" s="40" t="str">
        <f>IFERROR(__xludf.DUMMYFUNCTION("""COMPUTED_VALUE"""),"Belum disetujui")</f>
        <v>Belum disetujui</v>
      </c>
      <c r="D1517" s="40"/>
      <c r="E1517" s="40" t="s">
        <v>11425</v>
      </c>
      <c r="F1517" s="40" t="s">
        <v>205</v>
      </c>
      <c r="G1517" s="40" t="s">
        <v>11426</v>
      </c>
      <c r="H1517" s="40" t="s">
        <v>11419</v>
      </c>
    </row>
    <row r="1518">
      <c r="A1518" s="39">
        <f>IFERROR(__xludf.DUMMYFUNCTION("""COMPUTED_VALUE"""),45945.7807847338)</f>
        <v>45945.78078</v>
      </c>
      <c r="B1518" s="40" t="str">
        <f>IFERROR(__xludf.DUMMYFUNCTION("""COMPUTED_VALUE"""),"WARDIA")</f>
        <v>WARDIA</v>
      </c>
      <c r="C1518" s="40" t="str">
        <f>IFERROR(__xludf.DUMMYFUNCTION("""COMPUTED_VALUE"""),"Belum disetujui")</f>
        <v>Belum disetujui</v>
      </c>
      <c r="D1518" s="40"/>
      <c r="E1518" s="40" t="s">
        <v>11409</v>
      </c>
      <c r="F1518" s="40" t="s">
        <v>204</v>
      </c>
      <c r="G1518" s="40" t="s">
        <v>11410</v>
      </c>
      <c r="H1518" s="40" t="s">
        <v>11399</v>
      </c>
    </row>
    <row r="1519">
      <c r="A1519" s="39">
        <f>IFERROR(__xludf.DUMMYFUNCTION("""COMPUTED_VALUE"""),45945.78175873843)</f>
        <v>45945.78176</v>
      </c>
      <c r="B1519" s="40" t="str">
        <f>IFERROR(__xludf.DUMMYFUNCTION("""COMPUTED_VALUE"""),"WARDIA")</f>
        <v>WARDIA</v>
      </c>
      <c r="C1519" s="40" t="str">
        <f>IFERROR(__xludf.DUMMYFUNCTION("""COMPUTED_VALUE"""),"Belum disetujui")</f>
        <v>Belum disetujui</v>
      </c>
      <c r="D1519" s="40"/>
      <c r="E1519" s="40" t="s">
        <v>11409</v>
      </c>
      <c r="F1519" s="40" t="s">
        <v>204</v>
      </c>
      <c r="G1519" s="40" t="s">
        <v>11410</v>
      </c>
      <c r="H1519" s="40" t="s">
        <v>11399</v>
      </c>
    </row>
    <row r="1520">
      <c r="A1520" s="39">
        <f>IFERROR(__xludf.DUMMYFUNCTION("""COMPUTED_VALUE"""),45945.78256850695)</f>
        <v>45945.78257</v>
      </c>
      <c r="B1520" s="40" t="str">
        <f>IFERROR(__xludf.DUMMYFUNCTION("""COMPUTED_VALUE"""),"FEBRIANTHY ELISABET NA'U")</f>
        <v>FEBRIANTHY ELISABET NA'U</v>
      </c>
      <c r="C1520" s="40" t="str">
        <f>IFERROR(__xludf.DUMMYFUNCTION("""COMPUTED_VALUE"""),"Belum disetujui")</f>
        <v>Belum disetujui</v>
      </c>
      <c r="D1520" s="40"/>
      <c r="E1520" s="40" t="s">
        <v>11415</v>
      </c>
      <c r="F1520" s="40" t="s">
        <v>204</v>
      </c>
      <c r="G1520" s="40" t="s">
        <v>11416</v>
      </c>
      <c r="H1520" s="40" t="s">
        <v>11399</v>
      </c>
    </row>
    <row r="1521">
      <c r="A1521" s="39">
        <f>IFERROR(__xludf.DUMMYFUNCTION("""COMPUTED_VALUE"""),45945.78530873843)</f>
        <v>45945.78531</v>
      </c>
      <c r="B1521" s="40" t="str">
        <f>IFERROR(__xludf.DUMMYFUNCTION("""COMPUTED_VALUE"""),"SKOLASTIKA B TAUNAES")</f>
        <v>SKOLASTIKA B TAUNAES</v>
      </c>
      <c r="C1521" s="40" t="str">
        <f>IFERROR(__xludf.DUMMYFUNCTION("""COMPUTED_VALUE"""),"Belum disetujui")</f>
        <v>Belum disetujui</v>
      </c>
      <c r="D1521" s="40"/>
      <c r="E1521" s="40" t="s">
        <v>11413</v>
      </c>
      <c r="F1521" s="40" t="s">
        <v>204</v>
      </c>
      <c r="G1521" s="40" t="s">
        <v>11414</v>
      </c>
      <c r="H1521" s="40" t="s">
        <v>11399</v>
      </c>
    </row>
    <row r="1522">
      <c r="A1522" s="39">
        <f>IFERROR(__xludf.DUMMYFUNCTION("""COMPUTED_VALUE"""),45945.78875400463)</f>
        <v>45945.78875</v>
      </c>
      <c r="B1522" s="40" t="str">
        <f>IFERROR(__xludf.DUMMYFUNCTION("""COMPUTED_VALUE"""),"SELVINCE BAKO")</f>
        <v>SELVINCE BAKO</v>
      </c>
      <c r="C1522" s="40" t="str">
        <f>IFERROR(__xludf.DUMMYFUNCTION("""COMPUTED_VALUE"""),"Belum disetujui")</f>
        <v>Belum disetujui</v>
      </c>
      <c r="D1522" s="40"/>
      <c r="E1522" s="40" t="s">
        <v>11413</v>
      </c>
      <c r="F1522" s="40" t="s">
        <v>204</v>
      </c>
      <c r="G1522" s="40" t="s">
        <v>11414</v>
      </c>
      <c r="H1522" s="40" t="s">
        <v>11399</v>
      </c>
    </row>
    <row r="1523">
      <c r="A1523" s="39">
        <f>IFERROR(__xludf.DUMMYFUNCTION("""COMPUTED_VALUE"""),45945.79106543981)</f>
        <v>45945.79107</v>
      </c>
      <c r="B1523" s="40" t="str">
        <f>IFERROR(__xludf.DUMMYFUNCTION("""COMPUTED_VALUE"""),"NOVANTRY RUTHANIA NAFFIE")</f>
        <v>NOVANTRY RUTHANIA NAFFIE</v>
      </c>
      <c r="C1523" s="40" t="str">
        <f>IFERROR(__xludf.DUMMYFUNCTION("""COMPUTED_VALUE"""),"Belum disetujui")</f>
        <v>Belum disetujui</v>
      </c>
      <c r="D1523" s="40"/>
      <c r="E1523" s="40" t="s">
        <v>11397</v>
      </c>
      <c r="F1523" s="40" t="s">
        <v>220</v>
      </c>
      <c r="G1523" s="40" t="s">
        <v>11398</v>
      </c>
      <c r="H1523" s="40" t="s">
        <v>11399</v>
      </c>
    </row>
    <row r="1524">
      <c r="A1524" s="39">
        <f>IFERROR(__xludf.DUMMYFUNCTION("""COMPUTED_VALUE"""),45945.792446562504)</f>
        <v>45945.79245</v>
      </c>
      <c r="B1524" s="40" t="str">
        <f>IFERROR(__xludf.DUMMYFUNCTION("""COMPUTED_VALUE"""),"SELVINCE BAKO")</f>
        <v>SELVINCE BAKO</v>
      </c>
      <c r="C1524" s="40" t="str">
        <f>IFERROR(__xludf.DUMMYFUNCTION("""COMPUTED_VALUE"""),"Belum disetujui")</f>
        <v>Belum disetujui</v>
      </c>
      <c r="D1524" s="40"/>
      <c r="E1524" s="40" t="s">
        <v>11413</v>
      </c>
      <c r="F1524" s="40" t="s">
        <v>204</v>
      </c>
      <c r="G1524" s="40" t="s">
        <v>11414</v>
      </c>
      <c r="H1524" s="40" t="s">
        <v>11399</v>
      </c>
    </row>
    <row r="1525">
      <c r="A1525" s="39">
        <f>IFERROR(__xludf.DUMMYFUNCTION("""COMPUTED_VALUE"""),45945.79780693287)</f>
        <v>45945.79781</v>
      </c>
      <c r="B1525" s="40" t="str">
        <f>IFERROR(__xludf.DUMMYFUNCTION("""COMPUTED_VALUE"""),"YASINTHA MBU")</f>
        <v>YASINTHA MBU</v>
      </c>
      <c r="C1525" s="40" t="str">
        <f>IFERROR(__xludf.DUMMYFUNCTION("""COMPUTED_VALUE"""),"Belum disetujui")</f>
        <v>Belum disetujui</v>
      </c>
      <c r="D1525" s="40"/>
      <c r="E1525" s="40" t="s">
        <v>11407</v>
      </c>
      <c r="F1525" s="40" t="s">
        <v>220</v>
      </c>
      <c r="G1525" s="40" t="s">
        <v>11408</v>
      </c>
      <c r="H1525" s="40" t="s">
        <v>11399</v>
      </c>
    </row>
    <row r="1526">
      <c r="A1526" s="39">
        <f>IFERROR(__xludf.DUMMYFUNCTION("""COMPUTED_VALUE"""),45945.79847135417)</f>
        <v>45945.79847</v>
      </c>
      <c r="B1526" s="40" t="str">
        <f>IFERROR(__xludf.DUMMYFUNCTION("""COMPUTED_VALUE"""),"MARNITHA JUWIKE TIMORATI RUNESI")</f>
        <v>MARNITHA JUWIKE TIMORATI RUNESI</v>
      </c>
      <c r="C1526" s="40" t="str">
        <f>IFERROR(__xludf.DUMMYFUNCTION("""COMPUTED_VALUE"""),"Belum disetujui")</f>
        <v>Belum disetujui</v>
      </c>
      <c r="D1526" s="40"/>
      <c r="E1526" s="40" t="s">
        <v>11420</v>
      </c>
      <c r="F1526" s="40" t="s">
        <v>204</v>
      </c>
      <c r="G1526" s="40" t="s">
        <v>11421</v>
      </c>
      <c r="H1526" s="40" t="s">
        <v>11399</v>
      </c>
    </row>
    <row r="1527">
      <c r="A1527" s="39">
        <f>IFERROR(__xludf.DUMMYFUNCTION("""COMPUTED_VALUE"""),45945.8108097338)</f>
        <v>45945.81081</v>
      </c>
      <c r="B1527" s="40" t="str">
        <f>IFERROR(__xludf.DUMMYFUNCTION("""COMPUTED_VALUE"""),"MARIA MELAN ANANCE BILI")</f>
        <v>MARIA MELAN ANANCE BILI</v>
      </c>
      <c r="C1527" s="40" t="str">
        <f>IFERROR(__xludf.DUMMYFUNCTION("""COMPUTED_VALUE"""),"Belum disetujui")</f>
        <v>Belum disetujui</v>
      </c>
      <c r="D1527" s="40"/>
      <c r="E1527" s="40" t="s">
        <v>11466</v>
      </c>
      <c r="F1527" s="40" t="s">
        <v>257</v>
      </c>
      <c r="G1527" s="40" t="s">
        <v>11467</v>
      </c>
      <c r="H1527" s="40" t="s">
        <v>11419</v>
      </c>
    </row>
    <row r="1528">
      <c r="A1528" s="39">
        <f>IFERROR(__xludf.DUMMYFUNCTION("""COMPUTED_VALUE"""),45945.81260143519)</f>
        <v>45945.8126</v>
      </c>
      <c r="B1528" s="40" t="str">
        <f>IFERROR(__xludf.DUMMYFUNCTION("""COMPUTED_VALUE"""),"YASINTHA MBU")</f>
        <v>YASINTHA MBU</v>
      </c>
      <c r="C1528" s="40" t="str">
        <f>IFERROR(__xludf.DUMMYFUNCTION("""COMPUTED_VALUE"""),"Belum disetujui")</f>
        <v>Belum disetujui</v>
      </c>
      <c r="D1528" s="40"/>
      <c r="E1528" s="40" t="s">
        <v>11407</v>
      </c>
      <c r="F1528" s="40" t="s">
        <v>220</v>
      </c>
      <c r="G1528" s="40" t="s">
        <v>11408</v>
      </c>
      <c r="H1528" s="40" t="s">
        <v>11399</v>
      </c>
    </row>
    <row r="1529">
      <c r="A1529" s="39">
        <f>IFERROR(__xludf.DUMMYFUNCTION("""COMPUTED_VALUE"""),45945.81521962963)</f>
        <v>45945.81522</v>
      </c>
      <c r="B1529" s="40" t="str">
        <f>IFERROR(__xludf.DUMMYFUNCTION("""COMPUTED_VALUE"""),"MARIA MELAN ANANCE BILI")</f>
        <v>MARIA MELAN ANANCE BILI</v>
      </c>
      <c r="C1529" s="40" t="str">
        <f>IFERROR(__xludf.DUMMYFUNCTION("""COMPUTED_VALUE"""),"Dapat limit tapi belum diproses")</f>
        <v>Dapat limit tapi belum diproses</v>
      </c>
      <c r="D1529" s="40" t="str">
        <f>IFERROR(__xludf.DUMMYFUNCTION("""COMPUTED_VALUE"""),"V60 Lite series")</f>
        <v>V60 Lite series</v>
      </c>
      <c r="E1529" s="40" t="s">
        <v>11466</v>
      </c>
      <c r="F1529" s="40" t="s">
        <v>257</v>
      </c>
      <c r="G1529" s="40" t="s">
        <v>11467</v>
      </c>
      <c r="H1529" s="40" t="s">
        <v>11419</v>
      </c>
    </row>
    <row r="1530">
      <c r="A1530" s="39">
        <f>IFERROR(__xludf.DUMMYFUNCTION("""COMPUTED_VALUE"""),45945.81702579861)</f>
        <v>45945.81703</v>
      </c>
      <c r="B1530" s="40" t="str">
        <f>IFERROR(__xludf.DUMMYFUNCTION("""COMPUTED_VALUE"""),"MARIA MELAN ANANCE BILI")</f>
        <v>MARIA MELAN ANANCE BILI</v>
      </c>
      <c r="C1530" s="40" t="str">
        <f>IFERROR(__xludf.DUMMYFUNCTION("""COMPUTED_VALUE"""),"Dapat limit tapi belum diproses")</f>
        <v>Dapat limit tapi belum diproses</v>
      </c>
      <c r="D1530" s="40" t="str">
        <f>IFERROR(__xludf.DUMMYFUNCTION("""COMPUTED_VALUE"""),"Y400 series")</f>
        <v>Y400 series</v>
      </c>
      <c r="E1530" s="40" t="s">
        <v>11466</v>
      </c>
      <c r="F1530" s="40" t="s">
        <v>257</v>
      </c>
      <c r="G1530" s="40" t="s">
        <v>11467</v>
      </c>
      <c r="H1530" s="40" t="s">
        <v>11419</v>
      </c>
    </row>
    <row r="1531">
      <c r="A1531" s="39">
        <f>IFERROR(__xludf.DUMMYFUNCTION("""COMPUTED_VALUE"""),45945.82119811343)</f>
        <v>45945.8212</v>
      </c>
      <c r="B1531" s="40" t="str">
        <f>IFERROR(__xludf.DUMMYFUNCTION("""COMPUTED_VALUE"""),"WINDRI MANOE")</f>
        <v>WINDRI MANOE</v>
      </c>
      <c r="C1531" s="40" t="str">
        <f>IFERROR(__xludf.DUMMYFUNCTION("""COMPUTED_VALUE"""),"Belum disetujui")</f>
        <v>Belum disetujui</v>
      </c>
      <c r="D1531" s="40"/>
      <c r="E1531" s="40" t="s">
        <v>11443</v>
      </c>
      <c r="F1531" s="40" t="s">
        <v>220</v>
      </c>
      <c r="G1531" s="40" t="s">
        <v>11444</v>
      </c>
      <c r="H1531" s="40" t="s">
        <v>11399</v>
      </c>
    </row>
    <row r="1532">
      <c r="A1532" s="39">
        <f>IFERROR(__xludf.DUMMYFUNCTION("""COMPUTED_VALUE"""),45945.822423564816)</f>
        <v>45945.82242</v>
      </c>
      <c r="B1532" s="40" t="str">
        <f>IFERROR(__xludf.DUMMYFUNCTION("""COMPUTED_VALUE"""),"WINDRI MANOE")</f>
        <v>WINDRI MANOE</v>
      </c>
      <c r="C1532" s="40" t="str">
        <f>IFERROR(__xludf.DUMMYFUNCTION("""COMPUTED_VALUE"""),"Belum disetujui")</f>
        <v>Belum disetujui</v>
      </c>
      <c r="D1532" s="40"/>
      <c r="E1532" s="40" t="s">
        <v>11443</v>
      </c>
      <c r="F1532" s="40" t="s">
        <v>220</v>
      </c>
      <c r="G1532" s="40" t="s">
        <v>11444</v>
      </c>
      <c r="H1532" s="40" t="s">
        <v>11399</v>
      </c>
    </row>
    <row r="1533">
      <c r="A1533" s="39">
        <f>IFERROR(__xludf.DUMMYFUNCTION("""COMPUTED_VALUE"""),45945.82394283565)</f>
        <v>45945.82394</v>
      </c>
      <c r="B1533" s="40" t="str">
        <f>IFERROR(__xludf.DUMMYFUNCTION("""COMPUTED_VALUE"""),"WINDRI MANOE")</f>
        <v>WINDRI MANOE</v>
      </c>
      <c r="C1533" s="40" t="str">
        <f>IFERROR(__xludf.DUMMYFUNCTION("""COMPUTED_VALUE"""),"Belum disetujui")</f>
        <v>Belum disetujui</v>
      </c>
      <c r="D1533" s="40"/>
      <c r="E1533" s="40" t="s">
        <v>11443</v>
      </c>
      <c r="F1533" s="40" t="s">
        <v>220</v>
      </c>
      <c r="G1533" s="40" t="s">
        <v>11444</v>
      </c>
      <c r="H1533" s="40" t="s">
        <v>11399</v>
      </c>
    </row>
    <row r="1534">
      <c r="A1534" s="39">
        <f>IFERROR(__xludf.DUMMYFUNCTION("""COMPUTED_VALUE"""),45945.82547018519)</f>
        <v>45945.82547</v>
      </c>
      <c r="B1534" s="40" t="str">
        <f>IFERROR(__xludf.DUMMYFUNCTION("""COMPUTED_VALUE"""),"YOVANDA KATRINA NAE")</f>
        <v>YOVANDA KATRINA NAE</v>
      </c>
      <c r="C1534" s="40" t="str">
        <f>IFERROR(__xludf.DUMMYFUNCTION("""COMPUTED_VALUE"""),"Dapat limit tapi belum diproses")</f>
        <v>Dapat limit tapi belum diproses</v>
      </c>
      <c r="D1534" s="40" t="str">
        <f>IFERROR(__xludf.DUMMYFUNCTION("""COMPUTED_VALUE"""),"Y400 series")</f>
        <v>Y400 series</v>
      </c>
      <c r="E1534" s="40" t="s">
        <v>11425</v>
      </c>
      <c r="F1534" s="40" t="s">
        <v>205</v>
      </c>
      <c r="G1534" s="40" t="s">
        <v>11426</v>
      </c>
      <c r="H1534" s="40" t="s">
        <v>11419</v>
      </c>
    </row>
    <row r="1535">
      <c r="A1535" s="39">
        <f>IFERROR(__xludf.DUMMYFUNCTION("""COMPUTED_VALUE"""),45945.82638960648)</f>
        <v>45945.82639</v>
      </c>
      <c r="B1535" s="40" t="str">
        <f>IFERROR(__xludf.DUMMYFUNCTION("""COMPUTED_VALUE"""),"MERDA PUTRI BUNGSU KENAT")</f>
        <v>MERDA PUTRI BUNGSU KENAT</v>
      </c>
      <c r="C1535" s="40" t="str">
        <f>IFERROR(__xludf.DUMMYFUNCTION("""COMPUTED_VALUE"""),"Belum disetujui")</f>
        <v>Belum disetujui</v>
      </c>
      <c r="D1535" s="40"/>
      <c r="E1535" s="40" t="s">
        <v>11422</v>
      </c>
      <c r="F1535" s="40" t="s">
        <v>215</v>
      </c>
      <c r="G1535" s="40" t="s">
        <v>11423</v>
      </c>
      <c r="H1535" s="40" t="s">
        <v>11424</v>
      </c>
    </row>
    <row r="1536">
      <c r="A1536" s="39">
        <f>IFERROR(__xludf.DUMMYFUNCTION("""COMPUTED_VALUE"""),45945.83001059028)</f>
        <v>45945.83001</v>
      </c>
      <c r="B1536" s="40" t="str">
        <f>IFERROR(__xludf.DUMMYFUNCTION("""COMPUTED_VALUE"""),"MARATHA MARLINDA FANGGIDAE")</f>
        <v>MARATHA MARLINDA FANGGIDAE</v>
      </c>
      <c r="C1536" s="40" t="str">
        <f>IFERROR(__xludf.DUMMYFUNCTION("""COMPUTED_VALUE"""),"Belum disetujui")</f>
        <v>Belum disetujui</v>
      </c>
      <c r="D1536" s="40"/>
      <c r="E1536" s="40" t="s">
        <v>11435</v>
      </c>
      <c r="F1536" s="40" t="s">
        <v>215</v>
      </c>
      <c r="G1536" s="40" t="s">
        <v>11436</v>
      </c>
      <c r="H1536" s="40" t="s">
        <v>11424</v>
      </c>
    </row>
    <row r="1537">
      <c r="A1537" s="39">
        <f>IFERROR(__xludf.DUMMYFUNCTION("""COMPUTED_VALUE"""),45945.83167810185)</f>
        <v>45945.83168</v>
      </c>
      <c r="B1537" s="40" t="str">
        <f>IFERROR(__xludf.DUMMYFUNCTION("""COMPUTED_VALUE"""),"MARNITHA JUWIKE TIMORATI RUNESI")</f>
        <v>MARNITHA JUWIKE TIMORATI RUNESI</v>
      </c>
      <c r="C1537" s="40" t="str">
        <f>IFERROR(__xludf.DUMMYFUNCTION("""COMPUTED_VALUE"""),"Belum disetujui")</f>
        <v>Belum disetujui</v>
      </c>
      <c r="D1537" s="40"/>
      <c r="E1537" s="40" t="s">
        <v>11420</v>
      </c>
      <c r="F1537" s="40" t="s">
        <v>204</v>
      </c>
      <c r="G1537" s="40" t="s">
        <v>11421</v>
      </c>
      <c r="H1537" s="40" t="s">
        <v>11399</v>
      </c>
    </row>
    <row r="1538">
      <c r="A1538" s="39">
        <f>IFERROR(__xludf.DUMMYFUNCTION("""COMPUTED_VALUE"""),45945.83270939814)</f>
        <v>45945.83271</v>
      </c>
      <c r="B1538" s="40" t="str">
        <f>IFERROR(__xludf.DUMMYFUNCTION("""COMPUTED_VALUE"""),"EMPI FRANGKI LIEM")</f>
        <v>EMPI FRANGKI LIEM</v>
      </c>
      <c r="C1538" s="40" t="str">
        <f>IFERROR(__xludf.DUMMYFUNCTION("""COMPUTED_VALUE"""),"Belum disetujui")</f>
        <v>Belum disetujui</v>
      </c>
      <c r="D1538" s="40"/>
      <c r="E1538" s="40" t="s">
        <v>11397</v>
      </c>
      <c r="F1538" s="40" t="s">
        <v>220</v>
      </c>
      <c r="G1538" s="40" t="s">
        <v>11398</v>
      </c>
      <c r="H1538" s="40" t="s">
        <v>11399</v>
      </c>
    </row>
    <row r="1539">
      <c r="A1539" s="39">
        <f>IFERROR(__xludf.DUMMYFUNCTION("""COMPUTED_VALUE"""),45945.837828923606)</f>
        <v>45945.83783</v>
      </c>
      <c r="B1539" s="40" t="str">
        <f>IFERROR(__xludf.DUMMYFUNCTION("""COMPUTED_VALUE"""),"ROS YANE KANA LUDJI")</f>
        <v>ROS YANE KANA LUDJI</v>
      </c>
      <c r="C1539" s="40" t="str">
        <f>IFERROR(__xludf.DUMMYFUNCTION("""COMPUTED_VALUE"""),"Belum disetujui")</f>
        <v>Belum disetujui</v>
      </c>
      <c r="D1539" s="40"/>
      <c r="E1539" s="40" t="s">
        <v>11437</v>
      </c>
      <c r="F1539" s="40" t="s">
        <v>204</v>
      </c>
      <c r="G1539" s="40" t="s">
        <v>11438</v>
      </c>
      <c r="H1539" s="40" t="s">
        <v>11399</v>
      </c>
    </row>
    <row r="1540">
      <c r="A1540" s="39">
        <f>IFERROR(__xludf.DUMMYFUNCTION("""COMPUTED_VALUE"""),45945.85758756944)</f>
        <v>45945.85759</v>
      </c>
      <c r="B1540" s="40" t="str">
        <f>IFERROR(__xludf.DUMMYFUNCTION("""COMPUTED_VALUE"""),"EMPI FRANGKI LIEM")</f>
        <v>EMPI FRANGKI LIEM</v>
      </c>
      <c r="C1540" s="40" t="str">
        <f>IFERROR(__xludf.DUMMYFUNCTION("""COMPUTED_VALUE"""),"Dapat limit tapi belum diproses")</f>
        <v>Dapat limit tapi belum diproses</v>
      </c>
      <c r="D1540" s="40" t="str">
        <f>IFERROR(__xludf.DUMMYFUNCTION("""COMPUTED_VALUE"""),"Y400 series")</f>
        <v>Y400 series</v>
      </c>
      <c r="E1540" s="40" t="s">
        <v>11397</v>
      </c>
      <c r="F1540" s="40" t="s">
        <v>220</v>
      </c>
      <c r="G1540" s="40" t="s">
        <v>11398</v>
      </c>
      <c r="H1540" s="40" t="s">
        <v>11399</v>
      </c>
    </row>
    <row r="1541">
      <c r="A1541" s="39">
        <f>IFERROR(__xludf.DUMMYFUNCTION("""COMPUTED_VALUE"""),45945.90319181713)</f>
        <v>45945.90319</v>
      </c>
      <c r="B1541" s="40" t="str">
        <f>IFERROR(__xludf.DUMMYFUNCTION("""COMPUTED_VALUE"""),"TERSIANA KADJA PAU")</f>
        <v>TERSIANA KADJA PAU</v>
      </c>
      <c r="C1541" s="40" t="str">
        <f>IFERROR(__xludf.DUMMYFUNCTION("""COMPUTED_VALUE"""),"Belum disetujui")</f>
        <v>Belum disetujui</v>
      </c>
      <c r="D1541" s="40"/>
      <c r="E1541" s="40" t="s">
        <v>11411</v>
      </c>
      <c r="F1541" s="40" t="s">
        <v>220</v>
      </c>
      <c r="G1541" s="40" t="s">
        <v>11412</v>
      </c>
      <c r="H1541" s="40" t="s">
        <v>11399</v>
      </c>
    </row>
    <row r="1542">
      <c r="A1542" s="39">
        <f>IFERROR(__xludf.DUMMYFUNCTION("""COMPUTED_VALUE"""),45946.397998333334)</f>
        <v>45946.398</v>
      </c>
      <c r="B1542" s="40" t="str">
        <f>IFERROR(__xludf.DUMMYFUNCTION("""COMPUTED_VALUE"""),"YOMELIANA MARIA MAGNO")</f>
        <v>YOMELIANA MARIA MAGNO</v>
      </c>
      <c r="C1542" s="40" t="str">
        <f>IFERROR(__xludf.DUMMYFUNCTION("""COMPUTED_VALUE"""),"Belum disetujui")</f>
        <v>Belum disetujui</v>
      </c>
      <c r="D1542" s="40"/>
      <c r="E1542" s="40" t="s">
        <v>11460</v>
      </c>
      <c r="F1542" s="40" t="s">
        <v>871</v>
      </c>
      <c r="G1542" s="40" t="s">
        <v>11461</v>
      </c>
      <c r="H1542" s="40" t="s">
        <v>11424</v>
      </c>
    </row>
    <row r="1543">
      <c r="A1543" s="39">
        <f>IFERROR(__xludf.DUMMYFUNCTION("""COMPUTED_VALUE"""),45946.400202372686)</f>
        <v>45946.4002</v>
      </c>
      <c r="B1543" s="40" t="str">
        <f>IFERROR(__xludf.DUMMYFUNCTION("""COMPUTED_VALUE"""),"YUNITA TAMELAB")</f>
        <v>YUNITA TAMELAB</v>
      </c>
      <c r="C1543" s="40" t="str">
        <f>IFERROR(__xludf.DUMMYFUNCTION("""COMPUTED_VALUE"""),"Belum disetujui")</f>
        <v>Belum disetujui</v>
      </c>
      <c r="D1543" s="40"/>
      <c r="E1543" s="40" t="s">
        <v>11472</v>
      </c>
      <c r="F1543" s="40" t="s">
        <v>667</v>
      </c>
      <c r="G1543" s="40" t="s">
        <v>11473</v>
      </c>
      <c r="H1543" s="40" t="s">
        <v>11424</v>
      </c>
    </row>
    <row r="1544">
      <c r="A1544" s="39">
        <f>IFERROR(__xludf.DUMMYFUNCTION("""COMPUTED_VALUE"""),45946.403693229164)</f>
        <v>45946.40369</v>
      </c>
      <c r="B1544" s="40" t="str">
        <f>IFERROR(__xludf.DUMMYFUNCTION("""COMPUTED_VALUE"""),"YUNITA TAMELAB")</f>
        <v>YUNITA TAMELAB</v>
      </c>
      <c r="C1544" s="40" t="str">
        <f>IFERROR(__xludf.DUMMYFUNCTION("""COMPUTED_VALUE"""),"Belum disetujui")</f>
        <v>Belum disetujui</v>
      </c>
      <c r="D1544" s="40"/>
      <c r="E1544" s="40" t="s">
        <v>11472</v>
      </c>
      <c r="F1544" s="40" t="s">
        <v>667</v>
      </c>
      <c r="G1544" s="40" t="s">
        <v>11473</v>
      </c>
      <c r="H1544" s="40" t="s">
        <v>11424</v>
      </c>
    </row>
    <row r="1545">
      <c r="A1545" s="39">
        <f>IFERROR(__xludf.DUMMYFUNCTION("""COMPUTED_VALUE"""),45946.47227119213)</f>
        <v>45946.47227</v>
      </c>
      <c r="B1545" s="40" t="str">
        <f>IFERROR(__xludf.DUMMYFUNCTION("""COMPUTED_VALUE"""),"PRETI SISILIA SILA")</f>
        <v>PRETI SISILIA SILA</v>
      </c>
      <c r="C1545" s="40" t="str">
        <f>IFERROR(__xludf.DUMMYFUNCTION("""COMPUTED_VALUE"""),"Belum disetujui")</f>
        <v>Belum disetujui</v>
      </c>
      <c r="D1545" s="40"/>
      <c r="E1545" s="40" t="s">
        <v>11456</v>
      </c>
      <c r="F1545" s="40" t="s">
        <v>667</v>
      </c>
      <c r="G1545" s="40" t="s">
        <v>11457</v>
      </c>
      <c r="H1545" s="40" t="s">
        <v>11424</v>
      </c>
    </row>
    <row r="1546">
      <c r="A1546" s="39">
        <f>IFERROR(__xludf.DUMMYFUNCTION("""COMPUTED_VALUE"""),45946.474371840275)</f>
        <v>45946.47437</v>
      </c>
      <c r="B1546" s="40" t="str">
        <f>IFERROR(__xludf.DUMMYFUNCTION("""COMPUTED_VALUE"""),"MARATHA MARLINDA FANGGIDAE")</f>
        <v>MARATHA MARLINDA FANGGIDAE</v>
      </c>
      <c r="C1546" s="40" t="str">
        <f>IFERROR(__xludf.DUMMYFUNCTION("""COMPUTED_VALUE"""),"Dapat limit tapi belum diproses")</f>
        <v>Dapat limit tapi belum diproses</v>
      </c>
      <c r="D1546" s="40" t="str">
        <f>IFERROR(__xludf.DUMMYFUNCTION("""COMPUTED_VALUE"""),"Y400 series")</f>
        <v>Y400 series</v>
      </c>
      <c r="E1546" s="40" t="s">
        <v>11435</v>
      </c>
      <c r="F1546" s="40" t="s">
        <v>215</v>
      </c>
      <c r="G1546" s="40" t="s">
        <v>11436</v>
      </c>
      <c r="H1546" s="40" t="s">
        <v>11424</v>
      </c>
    </row>
    <row r="1547">
      <c r="A1547" s="39">
        <f>IFERROR(__xludf.DUMMYFUNCTION("""COMPUTED_VALUE"""),45946.47640467592)</f>
        <v>45946.4764</v>
      </c>
      <c r="B1547" s="40" t="str">
        <f>IFERROR(__xludf.DUMMYFUNCTION("""COMPUTED_VALUE"""),"ADRIANA")</f>
        <v>ADRIANA</v>
      </c>
      <c r="C1547" s="40" t="str">
        <f>IFERROR(__xludf.DUMMYFUNCTION("""COMPUTED_VALUE"""),"Belum disetujui")</f>
        <v>Belum disetujui</v>
      </c>
      <c r="D1547" s="40"/>
      <c r="E1547" s="40" t="s">
        <v>11433</v>
      </c>
      <c r="F1547" s="40" t="s">
        <v>313</v>
      </c>
      <c r="G1547" s="40" t="s">
        <v>11434</v>
      </c>
      <c r="H1547" s="40" t="s">
        <v>11424</v>
      </c>
    </row>
    <row r="1548">
      <c r="A1548" s="39">
        <f>IFERROR(__xludf.DUMMYFUNCTION("""COMPUTED_VALUE"""),45946.48487532407)</f>
        <v>45946.48488</v>
      </c>
      <c r="B1548" s="40" t="str">
        <f>IFERROR(__xludf.DUMMYFUNCTION("""COMPUTED_VALUE"""),"WINDRI MANOE")</f>
        <v>WINDRI MANOE</v>
      </c>
      <c r="C1548" s="40" t="str">
        <f>IFERROR(__xludf.DUMMYFUNCTION("""COMPUTED_VALUE"""),"Belum disetujui")</f>
        <v>Belum disetujui</v>
      </c>
      <c r="D1548" s="40"/>
      <c r="E1548" s="40" t="s">
        <v>11443</v>
      </c>
      <c r="F1548" s="40" t="s">
        <v>220</v>
      </c>
      <c r="G1548" s="40" t="s">
        <v>11444</v>
      </c>
      <c r="H1548" s="40" t="s">
        <v>11399</v>
      </c>
    </row>
    <row r="1549">
      <c r="A1549" s="39">
        <f>IFERROR(__xludf.DUMMYFUNCTION("""COMPUTED_VALUE"""),45946.508373495366)</f>
        <v>45946.50837</v>
      </c>
      <c r="B1549" s="40" t="str">
        <f>IFERROR(__xludf.DUMMYFUNCTION("""COMPUTED_VALUE"""),"SANTI MARIA LUKMINI NAHAK")</f>
        <v>SANTI MARIA LUKMINI NAHAK</v>
      </c>
      <c r="C1549" s="40" t="str">
        <f>IFERROR(__xludf.DUMMYFUNCTION("""COMPUTED_VALUE"""),"Dapat limit tapi belum diproses")</f>
        <v>Dapat limit tapi belum diproses</v>
      </c>
      <c r="D1549" s="40" t="str">
        <f>IFERROR(__xludf.DUMMYFUNCTION("""COMPUTED_VALUE"""),"Y400 series")</f>
        <v>Y400 series</v>
      </c>
      <c r="E1549" s="40" t="s">
        <v>11460</v>
      </c>
      <c r="F1549" s="40" t="s">
        <v>871</v>
      </c>
      <c r="G1549" s="40" t="s">
        <v>11461</v>
      </c>
      <c r="H1549" s="40" t="s">
        <v>11424</v>
      </c>
    </row>
    <row r="1550">
      <c r="A1550" s="39">
        <f>IFERROR(__xludf.DUMMYFUNCTION("""COMPUTED_VALUE"""),45946.52377775463)</f>
        <v>45946.52378</v>
      </c>
      <c r="B1550" s="40" t="str">
        <f>IFERROR(__xludf.DUMMYFUNCTION("""COMPUTED_VALUE"""),"ALDIANA WELIA PANIE")</f>
        <v>ALDIANA WELIA PANIE</v>
      </c>
      <c r="C1550" s="40" t="str">
        <f>IFERROR(__xludf.DUMMYFUNCTION("""COMPUTED_VALUE"""),"Belum disetujui")</f>
        <v>Belum disetujui</v>
      </c>
      <c r="D1550" s="40"/>
      <c r="E1550" s="40" t="s">
        <v>11422</v>
      </c>
      <c r="F1550" s="40" t="s">
        <v>215</v>
      </c>
      <c r="G1550" s="40" t="s">
        <v>11423</v>
      </c>
      <c r="H1550" s="40" t="s">
        <v>11424</v>
      </c>
    </row>
    <row r="1551">
      <c r="A1551" s="39">
        <f>IFERROR(__xludf.DUMMYFUNCTION("""COMPUTED_VALUE"""),45946.5254143287)</f>
        <v>45946.52541</v>
      </c>
      <c r="B1551" s="40" t="str">
        <f>IFERROR(__xludf.DUMMYFUNCTION("""COMPUTED_VALUE"""),"ALDIANA WELIA PANIE")</f>
        <v>ALDIANA WELIA PANIE</v>
      </c>
      <c r="C1551" s="40" t="str">
        <f>IFERROR(__xludf.DUMMYFUNCTION("""COMPUTED_VALUE"""),"Belum disetujui")</f>
        <v>Belum disetujui</v>
      </c>
      <c r="D1551" s="40"/>
      <c r="E1551" s="40" t="s">
        <v>11422</v>
      </c>
      <c r="F1551" s="40" t="s">
        <v>215</v>
      </c>
      <c r="G1551" s="40" t="s">
        <v>11423</v>
      </c>
      <c r="H1551" s="40" t="s">
        <v>11424</v>
      </c>
    </row>
    <row r="1552">
      <c r="A1552" s="39">
        <f>IFERROR(__xludf.DUMMYFUNCTION("""COMPUTED_VALUE"""),45946.527419791666)</f>
        <v>45946.52742</v>
      </c>
      <c r="B1552" s="40" t="str">
        <f>IFERROR(__xludf.DUMMYFUNCTION("""COMPUTED_VALUE"""),"ALDIANA WELIA PANIE")</f>
        <v>ALDIANA WELIA PANIE</v>
      </c>
      <c r="C1552" s="40" t="str">
        <f>IFERROR(__xludf.DUMMYFUNCTION("""COMPUTED_VALUE"""),"Belum disetujui")</f>
        <v>Belum disetujui</v>
      </c>
      <c r="D1552" s="40"/>
      <c r="E1552" s="40" t="s">
        <v>11422</v>
      </c>
      <c r="F1552" s="40" t="s">
        <v>215</v>
      </c>
      <c r="G1552" s="40" t="s">
        <v>11423</v>
      </c>
      <c r="H1552" s="40" t="s">
        <v>11424</v>
      </c>
    </row>
    <row r="1553">
      <c r="A1553" s="39">
        <f>IFERROR(__xludf.DUMMYFUNCTION("""COMPUTED_VALUE"""),45946.53135447917)</f>
        <v>45946.53135</v>
      </c>
      <c r="B1553" s="40" t="str">
        <f>IFERROR(__xludf.DUMMYFUNCTION("""COMPUTED_VALUE"""),"AINI RAHMATINI NATALIA MOESTAKIM")</f>
        <v>AINI RAHMATINI NATALIA MOESTAKIM</v>
      </c>
      <c r="C1553" s="40" t="str">
        <f>IFERROR(__xludf.DUMMYFUNCTION("""COMPUTED_VALUE"""),"Dapat limit tapi belum diproses")</f>
        <v>Dapat limit tapi belum diproses</v>
      </c>
      <c r="D1553" s="40" t="str">
        <f>IFERROR(__xludf.DUMMYFUNCTION("""COMPUTED_VALUE"""),"Y400 series")</f>
        <v>Y400 series</v>
      </c>
      <c r="E1553" s="40" t="s">
        <v>11409</v>
      </c>
      <c r="F1553" s="40" t="s">
        <v>204</v>
      </c>
      <c r="G1553" s="40" t="s">
        <v>11410</v>
      </c>
      <c r="H1553" s="40" t="s">
        <v>11399</v>
      </c>
    </row>
    <row r="1554">
      <c r="A1554" s="39">
        <f>IFERROR(__xludf.DUMMYFUNCTION("""COMPUTED_VALUE"""),45946.54909734953)</f>
        <v>45946.5491</v>
      </c>
      <c r="B1554" s="40" t="str">
        <f>IFERROR(__xludf.DUMMYFUNCTION("""COMPUTED_VALUE"""),"IDMAL YUSDIRAN YUSUF")</f>
        <v>IDMAL YUSDIRAN YUSUF</v>
      </c>
      <c r="C1554" s="40" t="str">
        <f>IFERROR(__xludf.DUMMYFUNCTION("""COMPUTED_VALUE"""),"Belum disetujui")</f>
        <v>Belum disetujui</v>
      </c>
      <c r="D1554" s="40"/>
      <c r="E1554" s="40" t="s">
        <v>11417</v>
      </c>
      <c r="F1554" s="40" t="s">
        <v>257</v>
      </c>
      <c r="G1554" s="40" t="s">
        <v>11418</v>
      </c>
      <c r="H1554" s="40" t="s">
        <v>11419</v>
      </c>
    </row>
    <row r="1555">
      <c r="A1555" s="39">
        <f>IFERROR(__xludf.DUMMYFUNCTION("""COMPUTED_VALUE"""),45946.55304153935)</f>
        <v>45946.55304</v>
      </c>
      <c r="B1555" s="40" t="str">
        <f>IFERROR(__xludf.DUMMYFUNCTION("""COMPUTED_VALUE"""),"MEXY ALEXANDER HETMINA")</f>
        <v>MEXY ALEXANDER HETMINA</v>
      </c>
      <c r="C1555" s="40" t="str">
        <f>IFERROR(__xludf.DUMMYFUNCTION("""COMPUTED_VALUE"""),"Belum disetujui")</f>
        <v>Belum disetujui</v>
      </c>
      <c r="D1555" s="40"/>
      <c r="E1555" s="40" t="s">
        <v>11413</v>
      </c>
      <c r="F1555" s="40" t="s">
        <v>204</v>
      </c>
      <c r="G1555" s="40" t="s">
        <v>11414</v>
      </c>
      <c r="H1555" s="40" t="s">
        <v>11399</v>
      </c>
    </row>
    <row r="1556">
      <c r="A1556" s="39">
        <f>IFERROR(__xludf.DUMMYFUNCTION("""COMPUTED_VALUE"""),45946.55714311342)</f>
        <v>45946.55714</v>
      </c>
      <c r="B1556" s="40" t="str">
        <f>IFERROR(__xludf.DUMMYFUNCTION("""COMPUTED_VALUE"""),"PUSPA ANGGREINI")</f>
        <v>PUSPA ANGGREINI</v>
      </c>
      <c r="C1556" s="40" t="str">
        <f>IFERROR(__xludf.DUMMYFUNCTION("""COMPUTED_VALUE"""),"Belum disetujui")</f>
        <v>Belum disetujui</v>
      </c>
      <c r="D1556" s="40"/>
      <c r="E1556" s="40" t="s">
        <v>11427</v>
      </c>
      <c r="F1556" s="40" t="s">
        <v>257</v>
      </c>
      <c r="G1556" s="40" t="s">
        <v>11428</v>
      </c>
      <c r="H1556" s="40" t="s">
        <v>11419</v>
      </c>
    </row>
    <row r="1557">
      <c r="A1557" s="39">
        <f>IFERROR(__xludf.DUMMYFUNCTION("""COMPUTED_VALUE"""),45946.560022777776)</f>
        <v>45946.56002</v>
      </c>
      <c r="B1557" s="40" t="str">
        <f>IFERROR(__xludf.DUMMYFUNCTION("""COMPUTED_VALUE"""),"MARNITHA JUWIKE TIMORATI RUNESI")</f>
        <v>MARNITHA JUWIKE TIMORATI RUNESI</v>
      </c>
      <c r="C1557" s="40" t="str">
        <f>IFERROR(__xludf.DUMMYFUNCTION("""COMPUTED_VALUE"""),"Belum disetujui")</f>
        <v>Belum disetujui</v>
      </c>
      <c r="D1557" s="40"/>
      <c r="E1557" s="40" t="s">
        <v>11420</v>
      </c>
      <c r="F1557" s="40" t="s">
        <v>204</v>
      </c>
      <c r="G1557" s="40" t="s">
        <v>11421</v>
      </c>
      <c r="H1557" s="40" t="s">
        <v>11399</v>
      </c>
    </row>
    <row r="1558">
      <c r="A1558" s="39">
        <f>IFERROR(__xludf.DUMMYFUNCTION("""COMPUTED_VALUE"""),45946.57752449075)</f>
        <v>45946.57752</v>
      </c>
      <c r="B1558" s="40" t="str">
        <f>IFERROR(__xludf.DUMMYFUNCTION("""COMPUTED_VALUE"""),"HERONIMUS NAMU WALI")</f>
        <v>HERONIMUS NAMU WALI</v>
      </c>
      <c r="C1558" s="40" t="str">
        <f>IFERROR(__xludf.DUMMYFUNCTION("""COMPUTED_VALUE"""),"Belum disetujui")</f>
        <v>Belum disetujui</v>
      </c>
      <c r="D1558" s="40"/>
      <c r="E1558" s="40" t="s">
        <v>11452</v>
      </c>
      <c r="F1558" s="40" t="s">
        <v>205</v>
      </c>
      <c r="G1558" s="40" t="s">
        <v>11453</v>
      </c>
      <c r="H1558" s="40" t="s">
        <v>11419</v>
      </c>
    </row>
    <row r="1559">
      <c r="A1559" s="39">
        <f>IFERROR(__xludf.DUMMYFUNCTION("""COMPUTED_VALUE"""),45946.57858987268)</f>
        <v>45946.57859</v>
      </c>
      <c r="B1559" s="40" t="str">
        <f>IFERROR(__xludf.DUMMYFUNCTION("""COMPUTED_VALUE"""),"YASINTHA MBU")</f>
        <v>YASINTHA MBU</v>
      </c>
      <c r="C1559" s="40" t="str">
        <f>IFERROR(__xludf.DUMMYFUNCTION("""COMPUTED_VALUE"""),"Dapat limit tapi belum diproses")</f>
        <v>Dapat limit tapi belum diproses</v>
      </c>
      <c r="D1559" s="40" t="str">
        <f>IFERROR(__xludf.DUMMYFUNCTION("""COMPUTED_VALUE"""),"Y400 series")</f>
        <v>Y400 series</v>
      </c>
      <c r="E1559" s="40" t="s">
        <v>11407</v>
      </c>
      <c r="F1559" s="40" t="s">
        <v>220</v>
      </c>
      <c r="G1559" s="40" t="s">
        <v>11408</v>
      </c>
      <c r="H1559" s="40" t="s">
        <v>11399</v>
      </c>
    </row>
    <row r="1560">
      <c r="A1560" s="39">
        <f>IFERROR(__xludf.DUMMYFUNCTION("""COMPUTED_VALUE"""),45946.609869629625)</f>
        <v>45946.60987</v>
      </c>
      <c r="B1560" s="40" t="str">
        <f>IFERROR(__xludf.DUMMYFUNCTION("""COMPUTED_VALUE"""),"DEWI RAHMAN")</f>
        <v>DEWI RAHMAN</v>
      </c>
      <c r="C1560" s="40" t="str">
        <f>IFERROR(__xludf.DUMMYFUNCTION("""COMPUTED_VALUE"""),"Belum disetujui")</f>
        <v>Belum disetujui</v>
      </c>
      <c r="D1560" s="40"/>
      <c r="E1560" s="40" t="s">
        <v>11449</v>
      </c>
      <c r="F1560" s="40" t="s">
        <v>11450</v>
      </c>
      <c r="G1560" s="40" t="s">
        <v>11451</v>
      </c>
      <c r="H1560" s="40" t="s">
        <v>11424</v>
      </c>
    </row>
    <row r="1561">
      <c r="A1561" s="39">
        <f>IFERROR(__xludf.DUMMYFUNCTION("""COMPUTED_VALUE"""),45946.61483265046)</f>
        <v>45946.61483</v>
      </c>
      <c r="B1561" s="40" t="str">
        <f>IFERROR(__xludf.DUMMYFUNCTION("""COMPUTED_VALUE"""),"FEBRIANTHY ELISABET NA'U")</f>
        <v>FEBRIANTHY ELISABET NA'U</v>
      </c>
      <c r="C1561" s="40" t="str">
        <f>IFERROR(__xludf.DUMMYFUNCTION("""COMPUTED_VALUE"""),"Belum disetujui")</f>
        <v>Belum disetujui</v>
      </c>
      <c r="D1561" s="40"/>
      <c r="E1561" s="40" t="s">
        <v>11415</v>
      </c>
      <c r="F1561" s="40" t="s">
        <v>204</v>
      </c>
      <c r="G1561" s="40" t="s">
        <v>11416</v>
      </c>
      <c r="H1561" s="40" t="s">
        <v>11399</v>
      </c>
    </row>
    <row r="1562">
      <c r="A1562" s="39">
        <f>IFERROR(__xludf.DUMMYFUNCTION("""COMPUTED_VALUE"""),45946.63868674768)</f>
        <v>45946.63869</v>
      </c>
      <c r="B1562" s="40" t="str">
        <f>IFERROR(__xludf.DUMMYFUNCTION("""COMPUTED_VALUE"""),"PRETI SISILIA SILA")</f>
        <v>PRETI SISILIA SILA</v>
      </c>
      <c r="C1562" s="40" t="str">
        <f>IFERROR(__xludf.DUMMYFUNCTION("""COMPUTED_VALUE"""),"Belum disetujui")</f>
        <v>Belum disetujui</v>
      </c>
      <c r="D1562" s="40"/>
      <c r="E1562" s="40" t="s">
        <v>11456</v>
      </c>
      <c r="F1562" s="40" t="s">
        <v>667</v>
      </c>
      <c r="G1562" s="40" t="s">
        <v>11457</v>
      </c>
      <c r="H1562" s="40" t="s">
        <v>11424</v>
      </c>
    </row>
    <row r="1563">
      <c r="A1563" s="39">
        <f>IFERROR(__xludf.DUMMYFUNCTION("""COMPUTED_VALUE"""),45946.64334188657)</f>
        <v>45946.64334</v>
      </c>
      <c r="B1563" s="40" t="str">
        <f>IFERROR(__xludf.DUMMYFUNCTION("""COMPUTED_VALUE"""),"HERONIMUS NAMU WALI")</f>
        <v>HERONIMUS NAMU WALI</v>
      </c>
      <c r="C1563" s="40" t="str">
        <f>IFERROR(__xludf.DUMMYFUNCTION("""COMPUTED_VALUE"""),"ACC")</f>
        <v>ACC</v>
      </c>
      <c r="D1563" s="40" t="str">
        <f>IFERROR(__xludf.DUMMYFUNCTION("""COMPUTED_VALUE"""),"Y400 series")</f>
        <v>Y400 series</v>
      </c>
      <c r="E1563" s="40" t="s">
        <v>11452</v>
      </c>
      <c r="F1563" s="40" t="s">
        <v>205</v>
      </c>
      <c r="G1563" s="40" t="s">
        <v>11453</v>
      </c>
      <c r="H1563" s="40" t="s">
        <v>11419</v>
      </c>
    </row>
    <row r="1564">
      <c r="A1564" s="39">
        <f>IFERROR(__xludf.DUMMYFUNCTION("""COMPUTED_VALUE"""),45946.64446383102)</f>
        <v>45946.64446</v>
      </c>
      <c r="B1564" s="40" t="str">
        <f>IFERROR(__xludf.DUMMYFUNCTION("""COMPUTED_VALUE"""),"ADRIANA")</f>
        <v>ADRIANA</v>
      </c>
      <c r="C1564" s="40" t="str">
        <f>IFERROR(__xludf.DUMMYFUNCTION("""COMPUTED_VALUE"""),"Belum disetujui")</f>
        <v>Belum disetujui</v>
      </c>
      <c r="D1564" s="40"/>
      <c r="E1564" s="40" t="s">
        <v>11433</v>
      </c>
      <c r="F1564" s="40" t="s">
        <v>313</v>
      </c>
      <c r="G1564" s="40" t="s">
        <v>11434</v>
      </c>
      <c r="H1564" s="40" t="s">
        <v>11424</v>
      </c>
    </row>
    <row r="1565">
      <c r="A1565" s="39">
        <f>IFERROR(__xludf.DUMMYFUNCTION("""COMPUTED_VALUE"""),45946.66936611111)</f>
        <v>45946.66937</v>
      </c>
      <c r="B1565" s="40" t="str">
        <f>IFERROR(__xludf.DUMMYFUNCTION("""COMPUTED_VALUE"""),"ASRI NINGSI RAMBU ATA ENDI")</f>
        <v>ASRI NINGSI RAMBU ATA ENDI</v>
      </c>
      <c r="C1565" s="40" t="str">
        <f>IFERROR(__xludf.DUMMYFUNCTION("""COMPUTED_VALUE"""),"Belum disetujui")</f>
        <v>Belum disetujui</v>
      </c>
      <c r="D1565" s="40"/>
      <c r="E1565" s="40" t="s">
        <v>11441</v>
      </c>
      <c r="F1565" s="40" t="s">
        <v>205</v>
      </c>
      <c r="G1565" s="40" t="s">
        <v>11442</v>
      </c>
      <c r="H1565" s="40" t="s">
        <v>11419</v>
      </c>
    </row>
    <row r="1566">
      <c r="A1566" s="39">
        <f>IFERROR(__xludf.DUMMYFUNCTION("""COMPUTED_VALUE"""),45946.68887912037)</f>
        <v>45946.68888</v>
      </c>
      <c r="B1566" s="40" t="str">
        <f>IFERROR(__xludf.DUMMYFUNCTION("""COMPUTED_VALUE"""),"MARNITHA JUWIKE TIMORATI RUNESI")</f>
        <v>MARNITHA JUWIKE TIMORATI RUNESI</v>
      </c>
      <c r="C1566" s="40" t="str">
        <f>IFERROR(__xludf.DUMMYFUNCTION("""COMPUTED_VALUE"""),"Belum disetujui")</f>
        <v>Belum disetujui</v>
      </c>
      <c r="D1566" s="40"/>
      <c r="E1566" s="40" t="s">
        <v>11420</v>
      </c>
      <c r="F1566" s="40" t="s">
        <v>204</v>
      </c>
      <c r="G1566" s="40" t="s">
        <v>11421</v>
      </c>
      <c r="H1566" s="40" t="s">
        <v>11399</v>
      </c>
    </row>
    <row r="1567">
      <c r="A1567" s="39">
        <f>IFERROR(__xludf.DUMMYFUNCTION("""COMPUTED_VALUE"""),45946.692933321756)</f>
        <v>45946.69293</v>
      </c>
      <c r="B1567" s="40" t="str">
        <f>IFERROR(__xludf.DUMMYFUNCTION("""COMPUTED_VALUE"""),"ADRIANA")</f>
        <v>ADRIANA</v>
      </c>
      <c r="C1567" s="40" t="str">
        <f>IFERROR(__xludf.DUMMYFUNCTION("""COMPUTED_VALUE"""),"Belum disetujui")</f>
        <v>Belum disetujui</v>
      </c>
      <c r="D1567" s="40"/>
      <c r="E1567" s="40" t="s">
        <v>11433</v>
      </c>
      <c r="F1567" s="40" t="s">
        <v>313</v>
      </c>
      <c r="G1567" s="40" t="s">
        <v>11434</v>
      </c>
      <c r="H1567" s="40" t="s">
        <v>11424</v>
      </c>
    </row>
    <row r="1568">
      <c r="A1568" s="39">
        <f>IFERROR(__xludf.DUMMYFUNCTION("""COMPUTED_VALUE"""),45946.69848451389)</f>
        <v>45946.69848</v>
      </c>
      <c r="B1568" s="40" t="str">
        <f>IFERROR(__xludf.DUMMYFUNCTION("""COMPUTED_VALUE"""),"YASINTHA MBU")</f>
        <v>YASINTHA MBU</v>
      </c>
      <c r="C1568" s="40" t="str">
        <f>IFERROR(__xludf.DUMMYFUNCTION("""COMPUTED_VALUE"""),"ACC")</f>
        <v>ACC</v>
      </c>
      <c r="D1568" s="40" t="str">
        <f>IFERROR(__xludf.DUMMYFUNCTION("""COMPUTED_VALUE"""),"Y400 series")</f>
        <v>Y400 series</v>
      </c>
      <c r="E1568" s="40" t="s">
        <v>11407</v>
      </c>
      <c r="F1568" s="40" t="s">
        <v>220</v>
      </c>
      <c r="G1568" s="40" t="s">
        <v>11408</v>
      </c>
      <c r="H1568" s="40" t="s">
        <v>11399</v>
      </c>
    </row>
    <row r="1569">
      <c r="A1569" s="39">
        <f>IFERROR(__xludf.DUMMYFUNCTION("""COMPUTED_VALUE"""),45946.70105027778)</f>
        <v>45946.70105</v>
      </c>
      <c r="B1569" s="40" t="str">
        <f>IFERROR(__xludf.DUMMYFUNCTION("""COMPUTED_VALUE"""),"YASINTHA MBU")</f>
        <v>YASINTHA MBU</v>
      </c>
      <c r="C1569" s="40" t="str">
        <f>IFERROR(__xludf.DUMMYFUNCTION("""COMPUTED_VALUE"""),"ACC")</f>
        <v>ACC</v>
      </c>
      <c r="D1569" s="40" t="str">
        <f>IFERROR(__xludf.DUMMYFUNCTION("""COMPUTED_VALUE"""),"Y400 series")</f>
        <v>Y400 series</v>
      </c>
      <c r="E1569" s="40" t="s">
        <v>11407</v>
      </c>
      <c r="F1569" s="40" t="s">
        <v>220</v>
      </c>
      <c r="G1569" s="40" t="s">
        <v>11408</v>
      </c>
      <c r="H1569" s="40" t="s">
        <v>11399</v>
      </c>
    </row>
    <row r="1570">
      <c r="A1570" s="39">
        <f>IFERROR(__xludf.DUMMYFUNCTION("""COMPUTED_VALUE"""),45946.72837133102)</f>
        <v>45946.72837</v>
      </c>
      <c r="B1570" s="40" t="str">
        <f>IFERROR(__xludf.DUMMYFUNCTION("""COMPUTED_VALUE"""),"HERONIMUS NAMU WALI")</f>
        <v>HERONIMUS NAMU WALI</v>
      </c>
      <c r="C1570" s="40" t="str">
        <f>IFERROR(__xludf.DUMMYFUNCTION("""COMPUTED_VALUE"""),"Belum disetujui")</f>
        <v>Belum disetujui</v>
      </c>
      <c r="D1570" s="40"/>
      <c r="E1570" s="40" t="s">
        <v>11452</v>
      </c>
      <c r="F1570" s="40" t="s">
        <v>205</v>
      </c>
      <c r="G1570" s="40" t="s">
        <v>11453</v>
      </c>
      <c r="H1570" s="40" t="s">
        <v>11419</v>
      </c>
    </row>
    <row r="1571">
      <c r="A1571" s="39">
        <f>IFERROR(__xludf.DUMMYFUNCTION("""COMPUTED_VALUE"""),45946.73141974537)</f>
        <v>45946.73142</v>
      </c>
      <c r="B1571" s="40" t="str">
        <f>IFERROR(__xludf.DUMMYFUNCTION("""COMPUTED_VALUE"""),"WARDIA")</f>
        <v>WARDIA</v>
      </c>
      <c r="C1571" s="40" t="str">
        <f>IFERROR(__xludf.DUMMYFUNCTION("""COMPUTED_VALUE"""),"Belum disetujui")</f>
        <v>Belum disetujui</v>
      </c>
      <c r="D1571" s="40"/>
      <c r="E1571" s="40" t="s">
        <v>11409</v>
      </c>
      <c r="F1571" s="40" t="s">
        <v>204</v>
      </c>
      <c r="G1571" s="40" t="s">
        <v>11410</v>
      </c>
      <c r="H1571" s="40" t="s">
        <v>11399</v>
      </c>
    </row>
    <row r="1572">
      <c r="A1572" s="39">
        <f>IFERROR(__xludf.DUMMYFUNCTION("""COMPUTED_VALUE"""),45946.73770619213)</f>
        <v>45946.73771</v>
      </c>
      <c r="B1572" s="40" t="str">
        <f>IFERROR(__xludf.DUMMYFUNCTION("""COMPUTED_VALUE"""),"YUNITA TAMELAB")</f>
        <v>YUNITA TAMELAB</v>
      </c>
      <c r="C1572" s="40" t="str">
        <f>IFERROR(__xludf.DUMMYFUNCTION("""COMPUTED_VALUE"""),"Belum disetujui")</f>
        <v>Belum disetujui</v>
      </c>
      <c r="D1572" s="40"/>
      <c r="E1572" s="40" t="s">
        <v>11472</v>
      </c>
      <c r="F1572" s="40" t="s">
        <v>667</v>
      </c>
      <c r="G1572" s="40" t="s">
        <v>11473</v>
      </c>
      <c r="H1572" s="40" t="s">
        <v>11424</v>
      </c>
    </row>
    <row r="1573">
      <c r="A1573" s="39">
        <f>IFERROR(__xludf.DUMMYFUNCTION("""COMPUTED_VALUE"""),45946.7527491088)</f>
        <v>45946.75275</v>
      </c>
      <c r="B1573" s="40" t="str">
        <f>IFERROR(__xludf.DUMMYFUNCTION("""COMPUTED_VALUE"""),"BERGITHA NIA OLIN")</f>
        <v>BERGITHA NIA OLIN</v>
      </c>
      <c r="C1573" s="40" t="str">
        <f>IFERROR(__xludf.DUMMYFUNCTION("""COMPUTED_VALUE"""),"Belum disetujui")</f>
        <v>Belum disetujui</v>
      </c>
      <c r="D1573" s="40"/>
      <c r="E1573" s="40" t="s">
        <v>11431</v>
      </c>
      <c r="F1573" s="40" t="s">
        <v>313</v>
      </c>
      <c r="G1573" s="40" t="s">
        <v>11432</v>
      </c>
      <c r="H1573" s="40" t="s">
        <v>11424</v>
      </c>
    </row>
    <row r="1574">
      <c r="A1574" s="39">
        <f>IFERROR(__xludf.DUMMYFUNCTION("""COMPUTED_VALUE"""),45946.7718101389)</f>
        <v>45946.77181</v>
      </c>
      <c r="B1574" s="40" t="str">
        <f>IFERROR(__xludf.DUMMYFUNCTION("""COMPUTED_VALUE"""),"DWITNEY PRETY WANGGANDIMA")</f>
        <v>DWITNEY PRETY WANGGANDIMA</v>
      </c>
      <c r="C1574" s="40" t="str">
        <f>IFERROR(__xludf.DUMMYFUNCTION("""COMPUTED_VALUE"""),"Belum disetujui")</f>
        <v>Belum disetujui</v>
      </c>
      <c r="D1574" s="40"/>
      <c r="E1574" s="40" t="s">
        <v>11443</v>
      </c>
      <c r="F1574" s="40" t="s">
        <v>220</v>
      </c>
      <c r="G1574" s="40" t="s">
        <v>11444</v>
      </c>
      <c r="H1574" s="40" t="s">
        <v>11399</v>
      </c>
    </row>
    <row r="1575">
      <c r="A1575" s="39">
        <f>IFERROR(__xludf.DUMMYFUNCTION("""COMPUTED_VALUE"""),45946.77890384259)</f>
        <v>45946.7789</v>
      </c>
      <c r="B1575" s="40" t="str">
        <f>IFERROR(__xludf.DUMMYFUNCTION("""COMPUTED_VALUE"""),"NOVANTRY RUTHANIA NAFFIE")</f>
        <v>NOVANTRY RUTHANIA NAFFIE</v>
      </c>
      <c r="C1575" s="40" t="str">
        <f>IFERROR(__xludf.DUMMYFUNCTION("""COMPUTED_VALUE"""),"Belum disetujui")</f>
        <v>Belum disetujui</v>
      </c>
      <c r="D1575" s="40"/>
      <c r="E1575" s="40" t="s">
        <v>11397</v>
      </c>
      <c r="F1575" s="40" t="s">
        <v>220</v>
      </c>
      <c r="G1575" s="40" t="s">
        <v>11398</v>
      </c>
      <c r="H1575" s="40" t="s">
        <v>11399</v>
      </c>
    </row>
    <row r="1576">
      <c r="A1576" s="39">
        <f>IFERROR(__xludf.DUMMYFUNCTION("""COMPUTED_VALUE"""),45946.781252824076)</f>
        <v>45946.78125</v>
      </c>
      <c r="B1576" s="40" t="str">
        <f>IFERROR(__xludf.DUMMYFUNCTION("""COMPUTED_VALUE"""),"AINI RAHMATINI NATALIA MOESTAKIM")</f>
        <v>AINI RAHMATINI NATALIA MOESTAKIM</v>
      </c>
      <c r="C1576" s="40" t="str">
        <f>IFERROR(__xludf.DUMMYFUNCTION("""COMPUTED_VALUE"""),"Belum disetujui")</f>
        <v>Belum disetujui</v>
      </c>
      <c r="D1576" s="40"/>
      <c r="E1576" s="40" t="s">
        <v>11409</v>
      </c>
      <c r="F1576" s="40" t="s">
        <v>204</v>
      </c>
      <c r="G1576" s="40" t="s">
        <v>11410</v>
      </c>
      <c r="H1576" s="40" t="s">
        <v>11399</v>
      </c>
    </row>
    <row r="1577">
      <c r="A1577" s="39">
        <f>IFERROR(__xludf.DUMMYFUNCTION("""COMPUTED_VALUE"""),45946.78176481482)</f>
        <v>45946.78176</v>
      </c>
      <c r="B1577" s="40" t="str">
        <f>IFERROR(__xludf.DUMMYFUNCTION("""COMPUTED_VALUE"""),"DWITNEY PRETY WANGGANDIMA")</f>
        <v>DWITNEY PRETY WANGGANDIMA</v>
      </c>
      <c r="C1577" s="40" t="str">
        <f>IFERROR(__xludf.DUMMYFUNCTION("""COMPUTED_VALUE"""),"Belum disetujui")</f>
        <v>Belum disetujui</v>
      </c>
      <c r="D1577" s="40"/>
      <c r="E1577" s="40" t="s">
        <v>11443</v>
      </c>
      <c r="F1577" s="40" t="s">
        <v>220</v>
      </c>
      <c r="G1577" s="40" t="s">
        <v>11444</v>
      </c>
      <c r="H1577" s="40" t="s">
        <v>11399</v>
      </c>
    </row>
    <row r="1578">
      <c r="A1578" s="39">
        <f>IFERROR(__xludf.DUMMYFUNCTION("""COMPUTED_VALUE"""),45946.78334649306)</f>
        <v>45946.78335</v>
      </c>
      <c r="B1578" s="40" t="str">
        <f>IFERROR(__xludf.DUMMYFUNCTION("""COMPUTED_VALUE"""),"DWITNEY PRETY WANGGANDIMA")</f>
        <v>DWITNEY PRETY WANGGANDIMA</v>
      </c>
      <c r="C1578" s="40" t="str">
        <f>IFERROR(__xludf.DUMMYFUNCTION("""COMPUTED_VALUE"""),"Belum disetujui")</f>
        <v>Belum disetujui</v>
      </c>
      <c r="D1578" s="40"/>
      <c r="E1578" s="40" t="s">
        <v>11443</v>
      </c>
      <c r="F1578" s="40" t="s">
        <v>220</v>
      </c>
      <c r="G1578" s="40" t="s">
        <v>11444</v>
      </c>
      <c r="H1578" s="40" t="s">
        <v>11399</v>
      </c>
    </row>
    <row r="1579">
      <c r="A1579" s="39">
        <f>IFERROR(__xludf.DUMMYFUNCTION("""COMPUTED_VALUE"""),45946.78357457176)</f>
        <v>45946.78357</v>
      </c>
      <c r="B1579" s="40" t="str">
        <f>IFERROR(__xludf.DUMMYFUNCTION("""COMPUTED_VALUE"""),"MARNITHA JUWIKE TIMORATI RUNESI")</f>
        <v>MARNITHA JUWIKE TIMORATI RUNESI</v>
      </c>
      <c r="C1579" s="40" t="str">
        <f>IFERROR(__xludf.DUMMYFUNCTION("""COMPUTED_VALUE"""),"Belum disetujui")</f>
        <v>Belum disetujui</v>
      </c>
      <c r="D1579" s="40"/>
      <c r="E1579" s="40" t="s">
        <v>11420</v>
      </c>
      <c r="F1579" s="40" t="s">
        <v>204</v>
      </c>
      <c r="G1579" s="40" t="s">
        <v>11421</v>
      </c>
      <c r="H1579" s="40" t="s">
        <v>11399</v>
      </c>
    </row>
    <row r="1580">
      <c r="A1580" s="39">
        <f>IFERROR(__xludf.DUMMYFUNCTION("""COMPUTED_VALUE"""),45946.7864645949)</f>
        <v>45946.78646</v>
      </c>
      <c r="B1580" s="40" t="str">
        <f>IFERROR(__xludf.DUMMYFUNCTION("""COMPUTED_VALUE"""),"ROS YANE KANA LUDJI")</f>
        <v>ROS YANE KANA LUDJI</v>
      </c>
      <c r="C1580" s="40" t="str">
        <f>IFERROR(__xludf.DUMMYFUNCTION("""COMPUTED_VALUE"""),"Dapat limit tapi belum diproses")</f>
        <v>Dapat limit tapi belum diproses</v>
      </c>
      <c r="D1580" s="40" t="str">
        <f>IFERROR(__xludf.DUMMYFUNCTION("""COMPUTED_VALUE"""),"V60 Lite series")</f>
        <v>V60 Lite series</v>
      </c>
      <c r="E1580" s="40" t="s">
        <v>11437</v>
      </c>
      <c r="F1580" s="40" t="s">
        <v>204</v>
      </c>
      <c r="G1580" s="40" t="s">
        <v>11438</v>
      </c>
      <c r="H1580" s="40" t="s">
        <v>11399</v>
      </c>
    </row>
    <row r="1581">
      <c r="A1581" s="39">
        <f>IFERROR(__xludf.DUMMYFUNCTION("""COMPUTED_VALUE"""),45946.800723587956)</f>
        <v>45946.80072</v>
      </c>
      <c r="B1581" s="40" t="str">
        <f>IFERROR(__xludf.DUMMYFUNCTION("""COMPUTED_VALUE"""),"MARNITHA JUWIKE TIMORATI RUNESI")</f>
        <v>MARNITHA JUWIKE TIMORATI RUNESI</v>
      </c>
      <c r="C1581" s="40" t="str">
        <f>IFERROR(__xludf.DUMMYFUNCTION("""COMPUTED_VALUE"""),"Dapat limit tapi belum diproses")</f>
        <v>Dapat limit tapi belum diproses</v>
      </c>
      <c r="D1581" s="40" t="str">
        <f>IFERROR(__xludf.DUMMYFUNCTION("""COMPUTED_VALUE"""),"Y400 series")</f>
        <v>Y400 series</v>
      </c>
      <c r="E1581" s="40" t="s">
        <v>11420</v>
      </c>
      <c r="F1581" s="40" t="s">
        <v>204</v>
      </c>
      <c r="G1581" s="40" t="s">
        <v>11421</v>
      </c>
      <c r="H1581" s="40" t="s">
        <v>11399</v>
      </c>
    </row>
    <row r="1582">
      <c r="A1582" s="39">
        <f>IFERROR(__xludf.DUMMYFUNCTION("""COMPUTED_VALUE"""),45946.81406614584)</f>
        <v>45946.81407</v>
      </c>
      <c r="B1582" s="40" t="str">
        <f>IFERROR(__xludf.DUMMYFUNCTION("""COMPUTED_VALUE"""),"ASRI NINGSI RAMBU ATA ENDI")</f>
        <v>ASRI NINGSI RAMBU ATA ENDI</v>
      </c>
      <c r="C1582" s="40" t="str">
        <f>IFERROR(__xludf.DUMMYFUNCTION("""COMPUTED_VALUE"""),"Belum disetujui")</f>
        <v>Belum disetujui</v>
      </c>
      <c r="D1582" s="40"/>
      <c r="E1582" s="40" t="s">
        <v>11441</v>
      </c>
      <c r="F1582" s="40" t="s">
        <v>205</v>
      </c>
      <c r="G1582" s="40" t="s">
        <v>11442</v>
      </c>
      <c r="H1582" s="40" t="s">
        <v>11419</v>
      </c>
    </row>
    <row r="1583">
      <c r="A1583" s="39">
        <f>IFERROR(__xludf.DUMMYFUNCTION("""COMPUTED_VALUE"""),45946.819663888884)</f>
        <v>45946.81966</v>
      </c>
      <c r="B1583" s="40" t="str">
        <f>IFERROR(__xludf.DUMMYFUNCTION("""COMPUTED_VALUE"""),"MARNITHA JUWIKE TIMORATI RUNESI")</f>
        <v>MARNITHA JUWIKE TIMORATI RUNESI</v>
      </c>
      <c r="C1583" s="40" t="str">
        <f>IFERROR(__xludf.DUMMYFUNCTION("""COMPUTED_VALUE"""),"Dapat limit tapi belum diproses")</f>
        <v>Dapat limit tapi belum diproses</v>
      </c>
      <c r="D1583" s="40" t="str">
        <f>IFERROR(__xludf.DUMMYFUNCTION("""COMPUTED_VALUE"""),"Y400 series")</f>
        <v>Y400 series</v>
      </c>
      <c r="E1583" s="40" t="s">
        <v>11420</v>
      </c>
      <c r="F1583" s="40" t="s">
        <v>204</v>
      </c>
      <c r="G1583" s="40" t="s">
        <v>11421</v>
      </c>
      <c r="H1583" s="40" t="s">
        <v>11399</v>
      </c>
    </row>
    <row r="1584">
      <c r="A1584" s="39">
        <f>IFERROR(__xludf.DUMMYFUNCTION("""COMPUTED_VALUE"""),45946.819854270834)</f>
        <v>45946.81985</v>
      </c>
      <c r="B1584" s="40" t="str">
        <f>IFERROR(__xludf.DUMMYFUNCTION("""COMPUTED_VALUE"""),"SANTI MARIA LUKMINI NAHAK")</f>
        <v>SANTI MARIA LUKMINI NAHAK</v>
      </c>
      <c r="C1584" s="40" t="str">
        <f>IFERROR(__xludf.DUMMYFUNCTION("""COMPUTED_VALUE"""),"Dapat limit tapi belum diproses")</f>
        <v>Dapat limit tapi belum diproses</v>
      </c>
      <c r="D1584" s="40" t="str">
        <f>IFERROR(__xludf.DUMMYFUNCTION("""COMPUTED_VALUE"""),"Y400 series")</f>
        <v>Y400 series</v>
      </c>
      <c r="E1584" s="40" t="s">
        <v>11460</v>
      </c>
      <c r="F1584" s="40" t="s">
        <v>871</v>
      </c>
      <c r="G1584" s="40" t="s">
        <v>11461</v>
      </c>
      <c r="H1584" s="40" t="s">
        <v>11424</v>
      </c>
    </row>
    <row r="1585">
      <c r="A1585" s="39">
        <f>IFERROR(__xludf.DUMMYFUNCTION("""COMPUTED_VALUE"""),45947.40009886574)</f>
        <v>45947.4001</v>
      </c>
      <c r="B1585" s="40" t="str">
        <f>IFERROR(__xludf.DUMMYFUNCTION("""COMPUTED_VALUE"""),"KESIA NATALIA I. BENU")</f>
        <v>KESIA NATALIA I. BENU</v>
      </c>
      <c r="C1585" s="40" t="str">
        <f>IFERROR(__xludf.DUMMYFUNCTION("""COMPUTED_VALUE"""),"Belum disetujui")</f>
        <v>Belum disetujui</v>
      </c>
      <c r="D1585" s="40"/>
      <c r="E1585" s="40" t="s">
        <v>11417</v>
      </c>
      <c r="F1585" s="40" t="s">
        <v>257</v>
      </c>
      <c r="G1585" s="40" t="s">
        <v>11418</v>
      </c>
      <c r="H1585" s="40" t="s">
        <v>11419</v>
      </c>
    </row>
    <row r="1586">
      <c r="A1586" s="39">
        <f>IFERROR(__xludf.DUMMYFUNCTION("""COMPUTED_VALUE"""),45947.42019631944)</f>
        <v>45947.4202</v>
      </c>
      <c r="B1586" s="40" t="str">
        <f>IFERROR(__xludf.DUMMYFUNCTION("""COMPUTED_VALUE"""),"ARMINDA TEKU MANEK")</f>
        <v>ARMINDA TEKU MANEK</v>
      </c>
      <c r="C1586" s="40" t="str">
        <f>IFERROR(__xludf.DUMMYFUNCTION("""COMPUTED_VALUE"""),"Dapat limit tapi belum diproses")</f>
        <v>Dapat limit tapi belum diproses</v>
      </c>
      <c r="D1586" s="40" t="str">
        <f>IFERROR(__xludf.DUMMYFUNCTION("""COMPUTED_VALUE"""),"Y400 series")</f>
        <v>Y400 series</v>
      </c>
      <c r="E1586" s="40" t="s">
        <v>11474</v>
      </c>
      <c r="F1586" s="40" t="s">
        <v>313</v>
      </c>
      <c r="G1586" s="40" t="s">
        <v>11475</v>
      </c>
      <c r="H1586" s="40" t="s">
        <v>11424</v>
      </c>
    </row>
    <row r="1587">
      <c r="A1587" s="39">
        <f>IFERROR(__xludf.DUMMYFUNCTION("""COMPUTED_VALUE"""),45947.427006701386)</f>
        <v>45947.42701</v>
      </c>
      <c r="B1587" s="40" t="str">
        <f>IFERROR(__xludf.DUMMYFUNCTION("""COMPUTED_VALUE"""),"YUNITA TAMELAB")</f>
        <v>YUNITA TAMELAB</v>
      </c>
      <c r="C1587" s="40" t="str">
        <f>IFERROR(__xludf.DUMMYFUNCTION("""COMPUTED_VALUE"""),"Belum disetujui")</f>
        <v>Belum disetujui</v>
      </c>
      <c r="D1587" s="40"/>
      <c r="E1587" s="40" t="s">
        <v>11472</v>
      </c>
      <c r="F1587" s="40" t="s">
        <v>667</v>
      </c>
      <c r="G1587" s="40" t="s">
        <v>11473</v>
      </c>
      <c r="H1587" s="40" t="s">
        <v>11424</v>
      </c>
    </row>
    <row r="1588">
      <c r="A1588" s="39">
        <f>IFERROR(__xludf.DUMMYFUNCTION("""COMPUTED_VALUE"""),45947.43963799769)</f>
        <v>45947.43964</v>
      </c>
      <c r="B1588" s="40" t="str">
        <f>IFERROR(__xludf.DUMMYFUNCTION("""COMPUTED_VALUE"""),"EMPI FRANGKI LIEM")</f>
        <v>EMPI FRANGKI LIEM</v>
      </c>
      <c r="C1588" s="40" t="str">
        <f>IFERROR(__xludf.DUMMYFUNCTION("""COMPUTED_VALUE"""),"Belum disetujui")</f>
        <v>Belum disetujui</v>
      </c>
      <c r="D1588" s="40"/>
      <c r="E1588" s="40" t="s">
        <v>11397</v>
      </c>
      <c r="F1588" s="40" t="s">
        <v>220</v>
      </c>
      <c r="G1588" s="40" t="s">
        <v>11398</v>
      </c>
      <c r="H1588" s="40" t="s">
        <v>11399</v>
      </c>
    </row>
    <row r="1589">
      <c r="A1589" s="39">
        <f>IFERROR(__xludf.DUMMYFUNCTION("""COMPUTED_VALUE"""),45947.45074599537)</f>
        <v>45947.45075</v>
      </c>
      <c r="B1589" s="40" t="str">
        <f>IFERROR(__xludf.DUMMYFUNCTION("""COMPUTED_VALUE"""),"PRETI SISILIA SILA")</f>
        <v>PRETI SISILIA SILA</v>
      </c>
      <c r="C1589" s="40" t="str">
        <f>IFERROR(__xludf.DUMMYFUNCTION("""COMPUTED_VALUE"""),"Belum disetujui")</f>
        <v>Belum disetujui</v>
      </c>
      <c r="D1589" s="40"/>
      <c r="E1589" s="40" t="s">
        <v>11456</v>
      </c>
      <c r="F1589" s="40" t="s">
        <v>667</v>
      </c>
      <c r="G1589" s="40" t="s">
        <v>11457</v>
      </c>
      <c r="H1589" s="40" t="s">
        <v>11424</v>
      </c>
    </row>
    <row r="1590">
      <c r="A1590" s="39">
        <f>IFERROR(__xludf.DUMMYFUNCTION("""COMPUTED_VALUE"""),45947.45820460648)</f>
        <v>45947.4582</v>
      </c>
      <c r="B1590" s="40" t="str">
        <f>IFERROR(__xludf.DUMMYFUNCTION("""COMPUTED_VALUE"""),"BERGITHA NIA OLIN")</f>
        <v>BERGITHA NIA OLIN</v>
      </c>
      <c r="C1590" s="40" t="str">
        <f>IFERROR(__xludf.DUMMYFUNCTION("""COMPUTED_VALUE"""),"Belum disetujui")</f>
        <v>Belum disetujui</v>
      </c>
      <c r="D1590" s="40"/>
      <c r="E1590" s="40" t="s">
        <v>11431</v>
      </c>
      <c r="F1590" s="40" t="s">
        <v>313</v>
      </c>
      <c r="G1590" s="40" t="s">
        <v>11432</v>
      </c>
      <c r="H1590" s="40" t="s">
        <v>11424</v>
      </c>
    </row>
    <row r="1591">
      <c r="A1591" s="39">
        <f>IFERROR(__xludf.DUMMYFUNCTION("""COMPUTED_VALUE"""),45947.484104664356)</f>
        <v>45947.4841</v>
      </c>
      <c r="B1591" s="40" t="str">
        <f>IFERROR(__xludf.DUMMYFUNCTION("""COMPUTED_VALUE"""),"SANTI MARIA LUKMINI NAHAK")</f>
        <v>SANTI MARIA LUKMINI NAHAK</v>
      </c>
      <c r="C1591" s="40" t="str">
        <f>IFERROR(__xludf.DUMMYFUNCTION("""COMPUTED_VALUE"""),"ACC")</f>
        <v>ACC</v>
      </c>
      <c r="D1591" s="40" t="str">
        <f>IFERROR(__xludf.DUMMYFUNCTION("""COMPUTED_VALUE"""),"Y400 series")</f>
        <v>Y400 series</v>
      </c>
      <c r="E1591" s="40" t="s">
        <v>11460</v>
      </c>
      <c r="F1591" s="40" t="s">
        <v>871</v>
      </c>
      <c r="G1591" s="40" t="s">
        <v>11461</v>
      </c>
      <c r="H1591" s="40" t="s">
        <v>11424</v>
      </c>
    </row>
    <row r="1592">
      <c r="A1592" s="39">
        <f>IFERROR(__xludf.DUMMYFUNCTION("""COMPUTED_VALUE"""),45947.489644953705)</f>
        <v>45947.48964</v>
      </c>
      <c r="B1592" s="40" t="str">
        <f>IFERROR(__xludf.DUMMYFUNCTION("""COMPUTED_VALUE"""),"PRETI SISILIA SILA")</f>
        <v>PRETI SISILIA SILA</v>
      </c>
      <c r="C1592" s="40" t="str">
        <f>IFERROR(__xludf.DUMMYFUNCTION("""COMPUTED_VALUE"""),"Belum disetujui")</f>
        <v>Belum disetujui</v>
      </c>
      <c r="D1592" s="40"/>
      <c r="E1592" s="40" t="s">
        <v>11456</v>
      </c>
      <c r="F1592" s="40" t="s">
        <v>667</v>
      </c>
      <c r="G1592" s="40" t="s">
        <v>11457</v>
      </c>
      <c r="H1592" s="40" t="s">
        <v>11424</v>
      </c>
    </row>
    <row r="1593">
      <c r="A1593" s="39">
        <f>IFERROR(__xludf.DUMMYFUNCTION("""COMPUTED_VALUE"""),45947.49362731481)</f>
        <v>45947.49363</v>
      </c>
      <c r="B1593" s="40" t="str">
        <f>IFERROR(__xludf.DUMMYFUNCTION("""COMPUTED_VALUE"""),"HERONIMUS NAMU WALI")</f>
        <v>HERONIMUS NAMU WALI</v>
      </c>
      <c r="C1593" s="40" t="str">
        <f>IFERROR(__xludf.DUMMYFUNCTION("""COMPUTED_VALUE"""),"Belum disetujui")</f>
        <v>Belum disetujui</v>
      </c>
      <c r="D1593" s="40"/>
      <c r="E1593" s="40" t="s">
        <v>11452</v>
      </c>
      <c r="F1593" s="40" t="s">
        <v>205</v>
      </c>
      <c r="G1593" s="40" t="s">
        <v>11453</v>
      </c>
      <c r="H1593" s="40" t="s">
        <v>11419</v>
      </c>
    </row>
    <row r="1594">
      <c r="A1594" s="39">
        <f>IFERROR(__xludf.DUMMYFUNCTION("""COMPUTED_VALUE"""),45947.52686957176)</f>
        <v>45947.52687</v>
      </c>
      <c r="B1594" s="40" t="str">
        <f>IFERROR(__xludf.DUMMYFUNCTION("""COMPUTED_VALUE"""),"SANTI MARIA LUKMINI NAHAK")</f>
        <v>SANTI MARIA LUKMINI NAHAK</v>
      </c>
      <c r="C1594" s="40" t="str">
        <f>IFERROR(__xludf.DUMMYFUNCTION("""COMPUTED_VALUE"""),"Dapat limit tapi belum diproses")</f>
        <v>Dapat limit tapi belum diproses</v>
      </c>
      <c r="D1594" s="40" t="str">
        <f>IFERROR(__xludf.DUMMYFUNCTION("""COMPUTED_VALUE"""),"Y400 series")</f>
        <v>Y400 series</v>
      </c>
      <c r="E1594" s="40" t="s">
        <v>11460</v>
      </c>
      <c r="F1594" s="40" t="s">
        <v>871</v>
      </c>
      <c r="G1594" s="40" t="s">
        <v>11461</v>
      </c>
      <c r="H1594" s="40" t="s">
        <v>11424</v>
      </c>
    </row>
    <row r="1595">
      <c r="A1595" s="39">
        <f>IFERROR(__xludf.DUMMYFUNCTION("""COMPUTED_VALUE"""),45947.539408888886)</f>
        <v>45947.53941</v>
      </c>
      <c r="B1595" s="40" t="str">
        <f>IFERROR(__xludf.DUMMYFUNCTION("""COMPUTED_VALUE"""),"MERDA PUTRI BUNGSU KENAT")</f>
        <v>MERDA PUTRI BUNGSU KENAT</v>
      </c>
      <c r="C1595" s="40" t="str">
        <f>IFERROR(__xludf.DUMMYFUNCTION("""COMPUTED_VALUE"""),"Belum disetujui")</f>
        <v>Belum disetujui</v>
      </c>
      <c r="D1595" s="40"/>
      <c r="E1595" s="40" t="s">
        <v>11422</v>
      </c>
      <c r="F1595" s="40" t="s">
        <v>215</v>
      </c>
      <c r="G1595" s="40" t="s">
        <v>11423</v>
      </c>
      <c r="H1595" s="40" t="s">
        <v>11424</v>
      </c>
    </row>
    <row r="1596">
      <c r="A1596" s="39">
        <f>IFERROR(__xludf.DUMMYFUNCTION("""COMPUTED_VALUE"""),45947.547091018525)</f>
        <v>45947.54709</v>
      </c>
      <c r="B1596" s="40" t="str">
        <f>IFERROR(__xludf.DUMMYFUNCTION("""COMPUTED_VALUE"""),"MARNITHA JUWIKE TIMORATI RUNESI")</f>
        <v>MARNITHA JUWIKE TIMORATI RUNESI</v>
      </c>
      <c r="C1596" s="40" t="str">
        <f>IFERROR(__xludf.DUMMYFUNCTION("""COMPUTED_VALUE"""),"Belum disetujui")</f>
        <v>Belum disetujui</v>
      </c>
      <c r="D1596" s="40"/>
      <c r="E1596" s="40" t="s">
        <v>11420</v>
      </c>
      <c r="F1596" s="40" t="s">
        <v>204</v>
      </c>
      <c r="G1596" s="40" t="s">
        <v>11421</v>
      </c>
      <c r="H1596" s="40" t="s">
        <v>11399</v>
      </c>
    </row>
    <row r="1597">
      <c r="A1597" s="39">
        <f>IFERROR(__xludf.DUMMYFUNCTION("""COMPUTED_VALUE"""),45947.554607314814)</f>
        <v>45947.55461</v>
      </c>
      <c r="B1597" s="40" t="str">
        <f>IFERROR(__xludf.DUMMYFUNCTION("""COMPUTED_VALUE"""),"PATRIANI MENGI ULY")</f>
        <v>PATRIANI MENGI ULY</v>
      </c>
      <c r="C1597" s="40" t="str">
        <f>IFERROR(__xludf.DUMMYFUNCTION("""COMPUTED_VALUE"""),"Dapat limit tapi belum diproses")</f>
        <v>Dapat limit tapi belum diproses</v>
      </c>
      <c r="D1597" s="40" t="str">
        <f>IFERROR(__xludf.DUMMYFUNCTION("""COMPUTED_VALUE"""),"Y400 series")</f>
        <v>Y400 series</v>
      </c>
      <c r="E1597" s="40" t="s">
        <v>11402</v>
      </c>
      <c r="F1597" s="40" t="s">
        <v>204</v>
      </c>
      <c r="G1597" s="40" t="s">
        <v>11403</v>
      </c>
      <c r="H1597" s="40" t="s">
        <v>11399</v>
      </c>
    </row>
    <row r="1598">
      <c r="A1598" s="39">
        <f>IFERROR(__xludf.DUMMYFUNCTION("""COMPUTED_VALUE"""),45947.56000605324)</f>
        <v>45947.56001</v>
      </c>
      <c r="B1598" s="40" t="str">
        <f>IFERROR(__xludf.DUMMYFUNCTION("""COMPUTED_VALUE"""),"YANA DANGU")</f>
        <v>YANA DANGU</v>
      </c>
      <c r="C1598" s="40" t="str">
        <f>IFERROR(__xludf.DUMMYFUNCTION("""COMPUTED_VALUE"""),"Belum disetujui")</f>
        <v>Belum disetujui</v>
      </c>
      <c r="D1598" s="40"/>
      <c r="E1598" s="40" t="s">
        <v>11397</v>
      </c>
      <c r="F1598" s="40" t="s">
        <v>220</v>
      </c>
      <c r="G1598" s="40" t="s">
        <v>11398</v>
      </c>
      <c r="H1598" s="40" t="s">
        <v>11399</v>
      </c>
    </row>
    <row r="1599">
      <c r="A1599" s="39">
        <f>IFERROR(__xludf.DUMMYFUNCTION("""COMPUTED_VALUE"""),45947.563846689816)</f>
        <v>45947.56385</v>
      </c>
      <c r="B1599" s="40" t="str">
        <f>IFERROR(__xludf.DUMMYFUNCTION("""COMPUTED_VALUE"""),"YANA DANGU")</f>
        <v>YANA DANGU</v>
      </c>
      <c r="C1599" s="40" t="str">
        <f>IFERROR(__xludf.DUMMYFUNCTION("""COMPUTED_VALUE"""),"Belum disetujui")</f>
        <v>Belum disetujui</v>
      </c>
      <c r="D1599" s="40"/>
      <c r="E1599" s="40" t="s">
        <v>11397</v>
      </c>
      <c r="F1599" s="40" t="s">
        <v>220</v>
      </c>
      <c r="G1599" s="40" t="s">
        <v>11398</v>
      </c>
      <c r="H1599" s="40" t="s">
        <v>11399</v>
      </c>
    </row>
    <row r="1600">
      <c r="A1600" s="39">
        <f>IFERROR(__xludf.DUMMYFUNCTION("""COMPUTED_VALUE"""),45947.57793708334)</f>
        <v>45947.57794</v>
      </c>
      <c r="B1600" s="40" t="str">
        <f>IFERROR(__xludf.DUMMYFUNCTION("""COMPUTED_VALUE"""),"TERSIANA KADJA PAU")</f>
        <v>TERSIANA KADJA PAU</v>
      </c>
      <c r="C1600" s="40" t="str">
        <f>IFERROR(__xludf.DUMMYFUNCTION("""COMPUTED_VALUE"""),"Belum disetujui")</f>
        <v>Belum disetujui</v>
      </c>
      <c r="D1600" s="40"/>
      <c r="E1600" s="40" t="s">
        <v>11411</v>
      </c>
      <c r="F1600" s="40" t="s">
        <v>220</v>
      </c>
      <c r="G1600" s="40" t="s">
        <v>11412</v>
      </c>
      <c r="H1600" s="40" t="s">
        <v>11399</v>
      </c>
    </row>
    <row r="1601">
      <c r="A1601" s="39">
        <f>IFERROR(__xludf.DUMMYFUNCTION("""COMPUTED_VALUE"""),45947.647377974536)</f>
        <v>45947.64738</v>
      </c>
      <c r="B1601" s="40" t="str">
        <f>IFERROR(__xludf.DUMMYFUNCTION("""COMPUTED_VALUE"""),"ALDIANA WELIA PANIE")</f>
        <v>ALDIANA WELIA PANIE</v>
      </c>
      <c r="C1601" s="40" t="str">
        <f>IFERROR(__xludf.DUMMYFUNCTION("""COMPUTED_VALUE"""),"Belum disetujui")</f>
        <v>Belum disetujui</v>
      </c>
      <c r="D1601" s="40"/>
      <c r="E1601" s="40" t="s">
        <v>11422</v>
      </c>
      <c r="F1601" s="40" t="s">
        <v>215</v>
      </c>
      <c r="G1601" s="40" t="s">
        <v>11423</v>
      </c>
      <c r="H1601" s="40" t="s">
        <v>11424</v>
      </c>
    </row>
    <row r="1602">
      <c r="A1602" s="39">
        <f>IFERROR(__xludf.DUMMYFUNCTION("""COMPUTED_VALUE"""),45947.647442326386)</f>
        <v>45947.64744</v>
      </c>
      <c r="B1602" s="40" t="str">
        <f>IFERROR(__xludf.DUMMYFUNCTION("""COMPUTED_VALUE"""),"MARIA MELAN ANANCE BILI")</f>
        <v>MARIA MELAN ANANCE BILI</v>
      </c>
      <c r="C1602" s="40" t="str">
        <f>IFERROR(__xludf.DUMMYFUNCTION("""COMPUTED_VALUE"""),"ACC")</f>
        <v>ACC</v>
      </c>
      <c r="D1602" s="40" t="str">
        <f>IFERROR(__xludf.DUMMYFUNCTION("""COMPUTED_VALUE"""),"Y400 series")</f>
        <v>Y400 series</v>
      </c>
      <c r="E1602" s="40" t="s">
        <v>11466</v>
      </c>
      <c r="F1602" s="40" t="s">
        <v>257</v>
      </c>
      <c r="G1602" s="40" t="s">
        <v>11467</v>
      </c>
      <c r="H1602" s="40" t="s">
        <v>11419</v>
      </c>
    </row>
    <row r="1603">
      <c r="A1603" s="39">
        <f>IFERROR(__xludf.DUMMYFUNCTION("""COMPUTED_VALUE"""),45947.64910591435)</f>
        <v>45947.64911</v>
      </c>
      <c r="B1603" s="40" t="str">
        <f>IFERROR(__xludf.DUMMYFUNCTION("""COMPUTED_VALUE"""),"ALDIANA WELIA PANIE")</f>
        <v>ALDIANA WELIA PANIE</v>
      </c>
      <c r="C1603" s="40" t="str">
        <f>IFERROR(__xludf.DUMMYFUNCTION("""COMPUTED_VALUE"""),"Belum disetujui")</f>
        <v>Belum disetujui</v>
      </c>
      <c r="D1603" s="40"/>
      <c r="E1603" s="40" t="s">
        <v>11422</v>
      </c>
      <c r="F1603" s="40" t="s">
        <v>215</v>
      </c>
      <c r="G1603" s="40" t="s">
        <v>11423</v>
      </c>
      <c r="H1603" s="40" t="s">
        <v>11424</v>
      </c>
    </row>
    <row r="1604">
      <c r="A1604" s="39">
        <f>IFERROR(__xludf.DUMMYFUNCTION("""COMPUTED_VALUE"""),45947.65661697917)</f>
        <v>45947.65662</v>
      </c>
      <c r="B1604" s="40" t="str">
        <f>IFERROR(__xludf.DUMMYFUNCTION("""COMPUTED_VALUE"""),"WINDRI MANOE")</f>
        <v>WINDRI MANOE</v>
      </c>
      <c r="C1604" s="40" t="str">
        <f>IFERROR(__xludf.DUMMYFUNCTION("""COMPUTED_VALUE"""),"Dapat limit tapi belum diproses")</f>
        <v>Dapat limit tapi belum diproses</v>
      </c>
      <c r="D1604" s="40" t="str">
        <f>IFERROR(__xludf.DUMMYFUNCTION("""COMPUTED_VALUE"""),"Y29 series")</f>
        <v>Y29 series</v>
      </c>
      <c r="E1604" s="40" t="s">
        <v>11443</v>
      </c>
      <c r="F1604" s="40" t="s">
        <v>220</v>
      </c>
      <c r="G1604" s="40" t="s">
        <v>11444</v>
      </c>
      <c r="H1604" s="40" t="s">
        <v>11399</v>
      </c>
    </row>
    <row r="1605">
      <c r="A1605" s="39">
        <f>IFERROR(__xludf.DUMMYFUNCTION("""COMPUTED_VALUE"""),45947.70385346065)</f>
        <v>45947.70385</v>
      </c>
      <c r="B1605" s="40" t="str">
        <f>IFERROR(__xludf.DUMMYFUNCTION("""COMPUTED_VALUE"""),"YASINTHA MBU")</f>
        <v>YASINTHA MBU</v>
      </c>
      <c r="C1605" s="40" t="str">
        <f>IFERROR(__xludf.DUMMYFUNCTION("""COMPUTED_VALUE"""),"Belum disetujui")</f>
        <v>Belum disetujui</v>
      </c>
      <c r="D1605" s="40"/>
      <c r="E1605" s="40" t="s">
        <v>11407</v>
      </c>
      <c r="F1605" s="40" t="s">
        <v>220</v>
      </c>
      <c r="G1605" s="40" t="s">
        <v>11408</v>
      </c>
      <c r="H1605" s="40" t="s">
        <v>11399</v>
      </c>
    </row>
    <row r="1606">
      <c r="A1606" s="39">
        <f>IFERROR(__xludf.DUMMYFUNCTION("""COMPUTED_VALUE"""),45947.710120208336)</f>
        <v>45947.71012</v>
      </c>
      <c r="B1606" s="40" t="str">
        <f>IFERROR(__xludf.DUMMYFUNCTION("""COMPUTED_VALUE"""),"SELVINCE BAKO")</f>
        <v>SELVINCE BAKO</v>
      </c>
      <c r="C1606" s="40" t="str">
        <f>IFERROR(__xludf.DUMMYFUNCTION("""COMPUTED_VALUE"""),"Belum disetujui")</f>
        <v>Belum disetujui</v>
      </c>
      <c r="D1606" s="40"/>
      <c r="E1606" s="40" t="s">
        <v>11413</v>
      </c>
      <c r="F1606" s="40" t="s">
        <v>204</v>
      </c>
      <c r="G1606" s="40" t="s">
        <v>11414</v>
      </c>
      <c r="H1606" s="40" t="s">
        <v>11399</v>
      </c>
    </row>
    <row r="1607">
      <c r="A1607" s="39">
        <f>IFERROR(__xludf.DUMMYFUNCTION("""COMPUTED_VALUE"""),45947.76055837963)</f>
        <v>45947.76056</v>
      </c>
      <c r="B1607" s="40" t="str">
        <f>IFERROR(__xludf.DUMMYFUNCTION("""COMPUTED_VALUE"""),"AZ ZAHRA SITI ZAINAB")</f>
        <v>AZ ZAHRA SITI ZAINAB</v>
      </c>
      <c r="C1607" s="40" t="str">
        <f>IFERROR(__xludf.DUMMYFUNCTION("""COMPUTED_VALUE"""),"ACC")</f>
        <v>ACC</v>
      </c>
      <c r="D1607" s="40" t="str">
        <f>IFERROR(__xludf.DUMMYFUNCTION("""COMPUTED_VALUE"""),"V50 Lite series")</f>
        <v>V50 Lite series</v>
      </c>
      <c r="E1607" s="40" t="s">
        <v>11462</v>
      </c>
      <c r="F1607" s="40" t="s">
        <v>257</v>
      </c>
      <c r="G1607" s="40" t="s">
        <v>11463</v>
      </c>
      <c r="H1607" s="40" t="s">
        <v>11419</v>
      </c>
    </row>
    <row r="1608">
      <c r="A1608" s="39">
        <f>IFERROR(__xludf.DUMMYFUNCTION("""COMPUTED_VALUE"""),45947.778554930555)</f>
        <v>45947.77855</v>
      </c>
      <c r="B1608" s="40" t="str">
        <f>IFERROR(__xludf.DUMMYFUNCTION("""COMPUTED_VALUE"""),"YOMELIANA MARIA MAGNO")</f>
        <v>YOMELIANA MARIA MAGNO</v>
      </c>
      <c r="C1608" s="40" t="str">
        <f>IFERROR(__xludf.DUMMYFUNCTION("""COMPUTED_VALUE"""),"Belum disetujui")</f>
        <v>Belum disetujui</v>
      </c>
      <c r="D1608" s="40"/>
      <c r="E1608" s="40" t="s">
        <v>11460</v>
      </c>
      <c r="F1608" s="40" t="s">
        <v>871</v>
      </c>
      <c r="G1608" s="40" t="s">
        <v>11461</v>
      </c>
      <c r="H1608" s="40" t="s">
        <v>11424</v>
      </c>
    </row>
    <row r="1609">
      <c r="A1609" s="39">
        <f>IFERROR(__xludf.DUMMYFUNCTION("""COMPUTED_VALUE"""),45947.779716018515)</f>
        <v>45947.77972</v>
      </c>
      <c r="B1609" s="40" t="str">
        <f>IFERROR(__xludf.DUMMYFUNCTION("""COMPUTED_VALUE"""),"ESTER LUDJI")</f>
        <v>ESTER LUDJI</v>
      </c>
      <c r="C1609" s="40" t="str">
        <f>IFERROR(__xludf.DUMMYFUNCTION("""COMPUTED_VALUE"""),"ACC")</f>
        <v>ACC</v>
      </c>
      <c r="D1609" s="40" t="str">
        <f>IFERROR(__xludf.DUMMYFUNCTION("""COMPUTED_VALUE"""),"V60 Lite series")</f>
        <v>V60 Lite series</v>
      </c>
      <c r="E1609" s="40" t="s">
        <v>11441</v>
      </c>
      <c r="F1609" s="40" t="s">
        <v>205</v>
      </c>
      <c r="G1609" s="40" t="s">
        <v>11442</v>
      </c>
      <c r="H1609" s="40" t="s">
        <v>11419</v>
      </c>
    </row>
    <row r="1610">
      <c r="A1610" s="39">
        <f>IFERROR(__xludf.DUMMYFUNCTION("""COMPUTED_VALUE"""),45947.781439212966)</f>
        <v>45947.78144</v>
      </c>
      <c r="B1610" s="40" t="str">
        <f>IFERROR(__xludf.DUMMYFUNCTION("""COMPUTED_VALUE"""),"ASTUTI BELA WAWO")</f>
        <v>ASTUTI BELA WAWO</v>
      </c>
      <c r="C1610" s="40" t="str">
        <f>IFERROR(__xludf.DUMMYFUNCTION("""COMPUTED_VALUE"""),"Belum disetujui")</f>
        <v>Belum disetujui</v>
      </c>
      <c r="D1610" s="40"/>
      <c r="E1610" s="40" t="s">
        <v>11427</v>
      </c>
      <c r="F1610" s="40" t="s">
        <v>257</v>
      </c>
      <c r="G1610" s="40" t="s">
        <v>11428</v>
      </c>
      <c r="H1610" s="40" t="s">
        <v>11419</v>
      </c>
    </row>
    <row r="1611">
      <c r="A1611" s="39">
        <f>IFERROR(__xludf.DUMMYFUNCTION("""COMPUTED_VALUE"""),45947.784626886576)</f>
        <v>45947.78463</v>
      </c>
      <c r="B1611" s="40" t="str">
        <f>IFERROR(__xludf.DUMMYFUNCTION("""COMPUTED_VALUE"""),"SELVINCE BAKO")</f>
        <v>SELVINCE BAKO</v>
      </c>
      <c r="C1611" s="40" t="str">
        <f>IFERROR(__xludf.DUMMYFUNCTION("""COMPUTED_VALUE"""),"Belum disetujui")</f>
        <v>Belum disetujui</v>
      </c>
      <c r="D1611" s="40"/>
      <c r="E1611" s="40" t="s">
        <v>11413</v>
      </c>
      <c r="F1611" s="40" t="s">
        <v>204</v>
      </c>
      <c r="G1611" s="40" t="s">
        <v>11414</v>
      </c>
      <c r="H1611" s="40" t="s">
        <v>11399</v>
      </c>
    </row>
    <row r="1612">
      <c r="A1612" s="39">
        <f>IFERROR(__xludf.DUMMYFUNCTION("""COMPUTED_VALUE"""),45947.78478010417)</f>
        <v>45947.78478</v>
      </c>
      <c r="B1612" s="40" t="str">
        <f>IFERROR(__xludf.DUMMYFUNCTION("""COMPUTED_VALUE"""),"EMPI FRANGKI LIEM")</f>
        <v>EMPI FRANGKI LIEM</v>
      </c>
      <c r="C1612" s="40" t="str">
        <f>IFERROR(__xludf.DUMMYFUNCTION("""COMPUTED_VALUE"""),"Dapat limit tapi belum diproses")</f>
        <v>Dapat limit tapi belum diproses</v>
      </c>
      <c r="D1612" s="40" t="str">
        <f>IFERROR(__xludf.DUMMYFUNCTION("""COMPUTED_VALUE"""),"Y29 series")</f>
        <v>Y29 series</v>
      </c>
      <c r="E1612" s="40" t="s">
        <v>11397</v>
      </c>
      <c r="F1612" s="40" t="s">
        <v>220</v>
      </c>
      <c r="G1612" s="40" t="s">
        <v>11398</v>
      </c>
      <c r="H1612" s="40" t="s">
        <v>11399</v>
      </c>
    </row>
    <row r="1613">
      <c r="A1613" s="39">
        <f>IFERROR(__xludf.DUMMYFUNCTION("""COMPUTED_VALUE"""),45947.7917043287)</f>
        <v>45947.7917</v>
      </c>
      <c r="B1613" s="40" t="str">
        <f>IFERROR(__xludf.DUMMYFUNCTION("""COMPUTED_VALUE"""),"ALDIANA WELIA PANIE")</f>
        <v>ALDIANA WELIA PANIE</v>
      </c>
      <c r="C1613" s="40" t="str">
        <f>IFERROR(__xludf.DUMMYFUNCTION("""COMPUTED_VALUE"""),"Belum disetujui")</f>
        <v>Belum disetujui</v>
      </c>
      <c r="D1613" s="40"/>
      <c r="E1613" s="40" t="s">
        <v>11422</v>
      </c>
      <c r="F1613" s="40" t="s">
        <v>215</v>
      </c>
      <c r="G1613" s="40" t="s">
        <v>11423</v>
      </c>
      <c r="H1613" s="40" t="s">
        <v>11424</v>
      </c>
    </row>
    <row r="1614">
      <c r="A1614" s="39">
        <f>IFERROR(__xludf.DUMMYFUNCTION("""COMPUTED_VALUE"""),45947.80520952546)</f>
        <v>45947.80521</v>
      </c>
      <c r="B1614" s="40" t="str">
        <f>IFERROR(__xludf.DUMMYFUNCTION("""COMPUTED_VALUE"""),"YOHANIS TIPNONI")</f>
        <v>YOHANIS TIPNONI</v>
      </c>
      <c r="C1614" s="40" t="str">
        <f>IFERROR(__xludf.DUMMYFUNCTION("""COMPUTED_VALUE"""),"Dapat limit tapi belum diproses")</f>
        <v>Dapat limit tapi belum diproses</v>
      </c>
      <c r="D1614" s="40" t="str">
        <f>IFERROR(__xludf.DUMMYFUNCTION("""COMPUTED_VALUE"""),"Y400 series")</f>
        <v>Y400 series</v>
      </c>
      <c r="E1614" s="40" t="s">
        <v>11405</v>
      </c>
      <c r="F1614" s="40" t="s">
        <v>220</v>
      </c>
      <c r="G1614" s="40" t="s">
        <v>11406</v>
      </c>
      <c r="H1614" s="40" t="s">
        <v>11399</v>
      </c>
    </row>
    <row r="1615">
      <c r="A1615" s="39">
        <f>IFERROR(__xludf.DUMMYFUNCTION("""COMPUTED_VALUE"""),45947.81340707176)</f>
        <v>45947.81341</v>
      </c>
      <c r="B1615" s="40" t="str">
        <f>IFERROR(__xludf.DUMMYFUNCTION("""COMPUTED_VALUE"""),"YANA DANGU")</f>
        <v>YANA DANGU</v>
      </c>
      <c r="C1615" s="40" t="str">
        <f>IFERROR(__xludf.DUMMYFUNCTION("""COMPUTED_VALUE"""),"Belum disetujui")</f>
        <v>Belum disetujui</v>
      </c>
      <c r="D1615" s="40"/>
      <c r="E1615" s="40" t="s">
        <v>11397</v>
      </c>
      <c r="F1615" s="40" t="s">
        <v>220</v>
      </c>
      <c r="G1615" s="40" t="s">
        <v>11398</v>
      </c>
      <c r="H1615" s="40" t="s">
        <v>11399</v>
      </c>
    </row>
    <row r="1616">
      <c r="A1616" s="39">
        <f>IFERROR(__xludf.DUMMYFUNCTION("""COMPUTED_VALUE"""),45947.82349162037)</f>
        <v>45947.82349</v>
      </c>
      <c r="B1616" s="40" t="str">
        <f>IFERROR(__xludf.DUMMYFUNCTION("""COMPUTED_VALUE"""),"PRETI SISILIA SILA")</f>
        <v>PRETI SISILIA SILA</v>
      </c>
      <c r="C1616" s="40" t="str">
        <f>IFERROR(__xludf.DUMMYFUNCTION("""COMPUTED_VALUE"""),"Belum disetujui")</f>
        <v>Belum disetujui</v>
      </c>
      <c r="D1616" s="40"/>
      <c r="E1616" s="40" t="s">
        <v>11456</v>
      </c>
      <c r="F1616" s="40" t="s">
        <v>667</v>
      </c>
      <c r="G1616" s="40" t="s">
        <v>11457</v>
      </c>
      <c r="H1616" s="40" t="s">
        <v>11424</v>
      </c>
    </row>
    <row r="1617">
      <c r="A1617" s="39">
        <f>IFERROR(__xludf.DUMMYFUNCTION("""COMPUTED_VALUE"""),45947.82809469907)</f>
        <v>45947.82809</v>
      </c>
      <c r="B1617" s="40" t="str">
        <f>IFERROR(__xludf.DUMMYFUNCTION("""COMPUTED_VALUE"""),"MARIA MELAN ANANCE BILI")</f>
        <v>MARIA MELAN ANANCE BILI</v>
      </c>
      <c r="C1617" s="40" t="str">
        <f>IFERROR(__xludf.DUMMYFUNCTION("""COMPUTED_VALUE"""),"Belum disetujui")</f>
        <v>Belum disetujui</v>
      </c>
      <c r="D1617" s="40"/>
      <c r="E1617" s="40" t="s">
        <v>11466</v>
      </c>
      <c r="F1617" s="40" t="s">
        <v>257</v>
      </c>
      <c r="G1617" s="40" t="s">
        <v>11467</v>
      </c>
      <c r="H1617" s="40" t="s">
        <v>11419</v>
      </c>
    </row>
    <row r="1618">
      <c r="A1618" s="39">
        <f>IFERROR(__xludf.DUMMYFUNCTION("""COMPUTED_VALUE"""),45947.82959530093)</f>
        <v>45947.8296</v>
      </c>
      <c r="B1618" s="40" t="str">
        <f>IFERROR(__xludf.DUMMYFUNCTION("""COMPUTED_VALUE"""),"MARIA MELAN ANANCE BILI")</f>
        <v>MARIA MELAN ANANCE BILI</v>
      </c>
      <c r="C1618" s="40" t="str">
        <f>IFERROR(__xludf.DUMMYFUNCTION("""COMPUTED_VALUE"""),"Belum disetujui")</f>
        <v>Belum disetujui</v>
      </c>
      <c r="D1618" s="40"/>
      <c r="E1618" s="40" t="s">
        <v>11466</v>
      </c>
      <c r="F1618" s="40" t="s">
        <v>257</v>
      </c>
      <c r="G1618" s="40" t="s">
        <v>11467</v>
      </c>
      <c r="H1618" s="40" t="s">
        <v>11419</v>
      </c>
    </row>
    <row r="1619">
      <c r="A1619" s="39">
        <f>IFERROR(__xludf.DUMMYFUNCTION("""COMPUTED_VALUE"""),45947.85644270833)</f>
        <v>45947.85644</v>
      </c>
      <c r="B1619" s="40" t="str">
        <f>IFERROR(__xludf.DUMMYFUNCTION("""COMPUTED_VALUE"""),"AINI RAHMATINI NATALIA MOESTAKIM")</f>
        <v>AINI RAHMATINI NATALIA MOESTAKIM</v>
      </c>
      <c r="C1619" s="40" t="str">
        <f>IFERROR(__xludf.DUMMYFUNCTION("""COMPUTED_VALUE"""),"Belum disetujui")</f>
        <v>Belum disetujui</v>
      </c>
      <c r="D1619" s="40"/>
      <c r="E1619" s="40" t="s">
        <v>11409</v>
      </c>
      <c r="F1619" s="40" t="s">
        <v>204</v>
      </c>
      <c r="G1619" s="40" t="s">
        <v>11410</v>
      </c>
      <c r="H1619" s="40" t="s">
        <v>11399</v>
      </c>
    </row>
    <row r="1620">
      <c r="A1620" s="39">
        <f>IFERROR(__xludf.DUMMYFUNCTION("""COMPUTED_VALUE"""),45947.8662299537)</f>
        <v>45947.86623</v>
      </c>
      <c r="B1620" s="40" t="str">
        <f>IFERROR(__xludf.DUMMYFUNCTION("""COMPUTED_VALUE"""),"DWITNEY PRETY WANGGANDIMA")</f>
        <v>DWITNEY PRETY WANGGANDIMA</v>
      </c>
      <c r="C1620" s="40" t="str">
        <f>IFERROR(__xludf.DUMMYFUNCTION("""COMPUTED_VALUE"""),"Belum disetujui")</f>
        <v>Belum disetujui</v>
      </c>
      <c r="D1620" s="40"/>
      <c r="E1620" s="40" t="s">
        <v>11443</v>
      </c>
      <c r="F1620" s="40" t="s">
        <v>220</v>
      </c>
      <c r="G1620" s="40" t="s">
        <v>11444</v>
      </c>
      <c r="H1620" s="40" t="s">
        <v>11399</v>
      </c>
    </row>
    <row r="1621">
      <c r="A1621" s="39">
        <f>IFERROR(__xludf.DUMMYFUNCTION("""COMPUTED_VALUE"""),45947.8946319213)</f>
        <v>45947.89463</v>
      </c>
      <c r="B1621" s="40" t="str">
        <f>IFERROR(__xludf.DUMMYFUNCTION("""COMPUTED_VALUE"""),"IRENE NOVALIA KADJU")</f>
        <v>IRENE NOVALIA KADJU</v>
      </c>
      <c r="C1621" s="40" t="str">
        <f>IFERROR(__xludf.DUMMYFUNCTION("""COMPUTED_VALUE"""),"Belum disetujui")</f>
        <v>Belum disetujui</v>
      </c>
      <c r="D1621" s="40"/>
      <c r="E1621" s="40" t="s">
        <v>11445</v>
      </c>
      <c r="F1621" s="40" t="s">
        <v>204</v>
      </c>
      <c r="G1621" s="40" t="s">
        <v>11446</v>
      </c>
      <c r="H1621" s="40" t="s">
        <v>11399</v>
      </c>
    </row>
    <row r="1622">
      <c r="A1622" s="39">
        <f>IFERROR(__xludf.DUMMYFUNCTION("""COMPUTED_VALUE"""),45948.40364805555)</f>
        <v>45948.40365</v>
      </c>
      <c r="B1622" s="40" t="str">
        <f>IFERROR(__xludf.DUMMYFUNCTION("""COMPUTED_VALUE"""),"IDMAL YUSDIRAN YUSUF")</f>
        <v>IDMAL YUSDIRAN YUSUF</v>
      </c>
      <c r="C1622" s="40" t="str">
        <f>IFERROR(__xludf.DUMMYFUNCTION("""COMPUTED_VALUE"""),"Belum disetujui")</f>
        <v>Belum disetujui</v>
      </c>
      <c r="D1622" s="40"/>
      <c r="E1622" s="40" t="s">
        <v>11417</v>
      </c>
      <c r="F1622" s="40" t="s">
        <v>257</v>
      </c>
      <c r="G1622" s="40" t="s">
        <v>11418</v>
      </c>
      <c r="H1622" s="40" t="s">
        <v>11419</v>
      </c>
    </row>
    <row r="1623">
      <c r="A1623" s="39">
        <f>IFERROR(__xludf.DUMMYFUNCTION("""COMPUTED_VALUE"""),45948.42424201389)</f>
        <v>45948.42424</v>
      </c>
      <c r="B1623" s="40" t="str">
        <f>IFERROR(__xludf.DUMMYFUNCTION("""COMPUTED_VALUE"""),"LASTRIANA PALUS")</f>
        <v>LASTRIANA PALUS</v>
      </c>
      <c r="C1623" s="40" t="str">
        <f>IFERROR(__xludf.DUMMYFUNCTION("""COMPUTED_VALUE"""),"Belum disetujui")</f>
        <v>Belum disetujui</v>
      </c>
      <c r="D1623" s="40"/>
      <c r="E1623" s="40" t="s">
        <v>11468</v>
      </c>
      <c r="F1623" s="40" t="s">
        <v>257</v>
      </c>
      <c r="G1623" s="40" t="s">
        <v>11469</v>
      </c>
      <c r="H1623" s="40" t="s">
        <v>11419</v>
      </c>
    </row>
    <row r="1624">
      <c r="A1624" s="39">
        <f>IFERROR(__xludf.DUMMYFUNCTION("""COMPUTED_VALUE"""),45948.42690752314)</f>
        <v>45948.42691</v>
      </c>
      <c r="B1624" s="40" t="str">
        <f>IFERROR(__xludf.DUMMYFUNCTION("""COMPUTED_VALUE"""),"LASTRIANA PALUS")</f>
        <v>LASTRIANA PALUS</v>
      </c>
      <c r="C1624" s="40" t="str">
        <f>IFERROR(__xludf.DUMMYFUNCTION("""COMPUTED_VALUE"""),"Belum disetujui")</f>
        <v>Belum disetujui</v>
      </c>
      <c r="D1624" s="40"/>
      <c r="E1624" s="40" t="s">
        <v>11468</v>
      </c>
      <c r="F1624" s="40" t="s">
        <v>257</v>
      </c>
      <c r="G1624" s="40" t="s">
        <v>11469</v>
      </c>
      <c r="H1624" s="40" t="s">
        <v>11419</v>
      </c>
    </row>
    <row r="1625">
      <c r="A1625" s="39">
        <f>IFERROR(__xludf.DUMMYFUNCTION("""COMPUTED_VALUE"""),45948.469252696756)</f>
        <v>45948.46925</v>
      </c>
      <c r="B1625" s="40" t="str">
        <f>IFERROR(__xludf.DUMMYFUNCTION("""COMPUTED_VALUE"""),"MERDA PUTRI BUNGSU KENAT")</f>
        <v>MERDA PUTRI BUNGSU KENAT</v>
      </c>
      <c r="C1625" s="40" t="str">
        <f>IFERROR(__xludf.DUMMYFUNCTION("""COMPUTED_VALUE"""),"Dapat limit tapi belum diproses")</f>
        <v>Dapat limit tapi belum diproses</v>
      </c>
      <c r="D1625" s="40" t="str">
        <f>IFERROR(__xludf.DUMMYFUNCTION("""COMPUTED_VALUE"""),"Y400 series")</f>
        <v>Y400 series</v>
      </c>
      <c r="E1625" s="40" t="s">
        <v>11422</v>
      </c>
      <c r="F1625" s="40" t="s">
        <v>215</v>
      </c>
      <c r="G1625" s="40" t="s">
        <v>11423</v>
      </c>
      <c r="H1625" s="40" t="s">
        <v>11424</v>
      </c>
    </row>
    <row r="1626">
      <c r="A1626" s="39">
        <f>IFERROR(__xludf.DUMMYFUNCTION("""COMPUTED_VALUE"""),45948.47188020834)</f>
        <v>45948.47188</v>
      </c>
      <c r="B1626" s="40" t="str">
        <f>IFERROR(__xludf.DUMMYFUNCTION("""COMPUTED_VALUE"""),"MERDA PUTRI BUNGSU KENAT")</f>
        <v>MERDA PUTRI BUNGSU KENAT</v>
      </c>
      <c r="C1626" s="40" t="str">
        <f>IFERROR(__xludf.DUMMYFUNCTION("""COMPUTED_VALUE"""),"Dapat limit tapi belum diproses")</f>
        <v>Dapat limit tapi belum diproses</v>
      </c>
      <c r="D1626" s="40" t="str">
        <f>IFERROR(__xludf.DUMMYFUNCTION("""COMPUTED_VALUE"""),"Y400 series")</f>
        <v>Y400 series</v>
      </c>
      <c r="E1626" s="40" t="s">
        <v>11422</v>
      </c>
      <c r="F1626" s="40" t="s">
        <v>215</v>
      </c>
      <c r="G1626" s="40" t="s">
        <v>11423</v>
      </c>
      <c r="H1626" s="40" t="s">
        <v>11424</v>
      </c>
    </row>
    <row r="1627">
      <c r="A1627" s="39">
        <f>IFERROR(__xludf.DUMMYFUNCTION("""COMPUTED_VALUE"""),45948.486418043976)</f>
        <v>45948.48642</v>
      </c>
      <c r="B1627" s="40" t="str">
        <f>IFERROR(__xludf.DUMMYFUNCTION("""COMPUTED_VALUE"""),"PUSPA ANGGREINI")</f>
        <v>PUSPA ANGGREINI</v>
      </c>
      <c r="C1627" s="40" t="str">
        <f>IFERROR(__xludf.DUMMYFUNCTION("""COMPUTED_VALUE"""),"Belum disetujui")</f>
        <v>Belum disetujui</v>
      </c>
      <c r="D1627" s="40"/>
      <c r="E1627" s="40" t="s">
        <v>11427</v>
      </c>
      <c r="F1627" s="40" t="s">
        <v>257</v>
      </c>
      <c r="G1627" s="40" t="s">
        <v>11428</v>
      </c>
      <c r="H1627" s="40" t="s">
        <v>11419</v>
      </c>
    </row>
    <row r="1628">
      <c r="A1628" s="39">
        <f>IFERROR(__xludf.DUMMYFUNCTION("""COMPUTED_VALUE"""),45948.49860013889)</f>
        <v>45948.4986</v>
      </c>
      <c r="B1628" s="40" t="str">
        <f>IFERROR(__xludf.DUMMYFUNCTION("""COMPUTED_VALUE"""),"MARNITHA JUWIKE TIMORATI RUNESI")</f>
        <v>MARNITHA JUWIKE TIMORATI RUNESI</v>
      </c>
      <c r="C1628" s="40" t="str">
        <f>IFERROR(__xludf.DUMMYFUNCTION("""COMPUTED_VALUE"""),"Belum disetujui")</f>
        <v>Belum disetujui</v>
      </c>
      <c r="D1628" s="40"/>
      <c r="E1628" s="40" t="s">
        <v>11420</v>
      </c>
      <c r="F1628" s="40" t="s">
        <v>204</v>
      </c>
      <c r="G1628" s="40" t="s">
        <v>11421</v>
      </c>
      <c r="H1628" s="40" t="s">
        <v>11399</v>
      </c>
    </row>
    <row r="1629">
      <c r="A1629" s="39">
        <f>IFERROR(__xludf.DUMMYFUNCTION("""COMPUTED_VALUE"""),45948.49866665509)</f>
        <v>45948.49867</v>
      </c>
      <c r="B1629" s="40" t="str">
        <f>IFERROR(__xludf.DUMMYFUNCTION("""COMPUTED_VALUE"""),"ANYARMITHA SOPHIA SUEK")</f>
        <v>ANYARMITHA SOPHIA SUEK</v>
      </c>
      <c r="C1629" s="40" t="str">
        <f>IFERROR(__xludf.DUMMYFUNCTION("""COMPUTED_VALUE"""),"Belum disetujui")</f>
        <v>Belum disetujui</v>
      </c>
      <c r="D1629" s="40"/>
      <c r="E1629" s="40" t="s">
        <v>11443</v>
      </c>
      <c r="F1629" s="40" t="s">
        <v>220</v>
      </c>
      <c r="G1629" s="40" t="s">
        <v>11444</v>
      </c>
      <c r="H1629" s="40" t="s">
        <v>11399</v>
      </c>
    </row>
    <row r="1630">
      <c r="A1630" s="39">
        <f>IFERROR(__xludf.DUMMYFUNCTION("""COMPUTED_VALUE"""),45948.51280606481)</f>
        <v>45948.51281</v>
      </c>
      <c r="B1630" s="40" t="str">
        <f>IFERROR(__xludf.DUMMYFUNCTION("""COMPUTED_VALUE"""),"MARIA MELAN ANANCE BILI")</f>
        <v>MARIA MELAN ANANCE BILI</v>
      </c>
      <c r="C1630" s="40" t="str">
        <f>IFERROR(__xludf.DUMMYFUNCTION("""COMPUTED_VALUE"""),"Belum disetujui")</f>
        <v>Belum disetujui</v>
      </c>
      <c r="D1630" s="40"/>
      <c r="E1630" s="40" t="s">
        <v>11466</v>
      </c>
      <c r="F1630" s="40" t="s">
        <v>257</v>
      </c>
      <c r="G1630" s="40" t="s">
        <v>11467</v>
      </c>
      <c r="H1630" s="40" t="s">
        <v>11419</v>
      </c>
    </row>
    <row r="1631">
      <c r="A1631" s="39">
        <f>IFERROR(__xludf.DUMMYFUNCTION("""COMPUTED_VALUE"""),45948.51399780093)</f>
        <v>45948.514</v>
      </c>
      <c r="B1631" s="40" t="str">
        <f>IFERROR(__xludf.DUMMYFUNCTION("""COMPUTED_VALUE"""),"MARIA MELAN ANANCE BILI")</f>
        <v>MARIA MELAN ANANCE BILI</v>
      </c>
      <c r="C1631" s="40" t="str">
        <f>IFERROR(__xludf.DUMMYFUNCTION("""COMPUTED_VALUE"""),"Belum disetujui")</f>
        <v>Belum disetujui</v>
      </c>
      <c r="D1631" s="40"/>
      <c r="E1631" s="40" t="s">
        <v>11466</v>
      </c>
      <c r="F1631" s="40" t="s">
        <v>257</v>
      </c>
      <c r="G1631" s="40" t="s">
        <v>11467</v>
      </c>
      <c r="H1631" s="40" t="s">
        <v>11419</v>
      </c>
    </row>
    <row r="1632">
      <c r="A1632" s="39">
        <f>IFERROR(__xludf.DUMMYFUNCTION("""COMPUTED_VALUE"""),45948.51426188657)</f>
        <v>45948.51426</v>
      </c>
      <c r="B1632" s="40" t="str">
        <f>IFERROR(__xludf.DUMMYFUNCTION("""COMPUTED_VALUE"""),"DEWI RAHMAN")</f>
        <v>DEWI RAHMAN</v>
      </c>
      <c r="C1632" s="40" t="str">
        <f>IFERROR(__xludf.DUMMYFUNCTION("""COMPUTED_VALUE"""),"Belum disetujui")</f>
        <v>Belum disetujui</v>
      </c>
      <c r="D1632" s="40"/>
      <c r="E1632" s="40" t="s">
        <v>11449</v>
      </c>
      <c r="F1632" s="40" t="s">
        <v>11450</v>
      </c>
      <c r="G1632" s="40" t="s">
        <v>11451</v>
      </c>
      <c r="H1632" s="40" t="s">
        <v>11424</v>
      </c>
    </row>
    <row r="1633">
      <c r="A1633" s="39">
        <f>IFERROR(__xludf.DUMMYFUNCTION("""COMPUTED_VALUE"""),45948.515687071755)</f>
        <v>45948.51569</v>
      </c>
      <c r="B1633" s="40" t="str">
        <f>IFERROR(__xludf.DUMMYFUNCTION("""COMPUTED_VALUE"""),"MARIA MELAN ANANCE BILI")</f>
        <v>MARIA MELAN ANANCE BILI</v>
      </c>
      <c r="C1633" s="40" t="str">
        <f>IFERROR(__xludf.DUMMYFUNCTION("""COMPUTED_VALUE"""),"Belum disetujui")</f>
        <v>Belum disetujui</v>
      </c>
      <c r="D1633" s="40"/>
      <c r="E1633" s="40" t="s">
        <v>11466</v>
      </c>
      <c r="F1633" s="40" t="s">
        <v>257</v>
      </c>
      <c r="G1633" s="40" t="s">
        <v>11467</v>
      </c>
      <c r="H1633" s="40" t="s">
        <v>11419</v>
      </c>
    </row>
    <row r="1634">
      <c r="A1634" s="39">
        <f>IFERROR(__xludf.DUMMYFUNCTION("""COMPUTED_VALUE"""),45948.52489652778)</f>
        <v>45948.5249</v>
      </c>
      <c r="B1634" s="40" t="str">
        <f>IFERROR(__xludf.DUMMYFUNCTION("""COMPUTED_VALUE"""),"DEWI RAHMAN")</f>
        <v>DEWI RAHMAN</v>
      </c>
      <c r="C1634" s="40" t="str">
        <f>IFERROR(__xludf.DUMMYFUNCTION("""COMPUTED_VALUE"""),"Belum disetujui")</f>
        <v>Belum disetujui</v>
      </c>
      <c r="D1634" s="40"/>
      <c r="E1634" s="40" t="s">
        <v>11449</v>
      </c>
      <c r="F1634" s="40" t="s">
        <v>11450</v>
      </c>
      <c r="G1634" s="40" t="s">
        <v>11451</v>
      </c>
      <c r="H1634" s="40" t="s">
        <v>11424</v>
      </c>
    </row>
    <row r="1635">
      <c r="A1635" s="39">
        <f>IFERROR(__xludf.DUMMYFUNCTION("""COMPUTED_VALUE"""),45948.5281430787)</f>
        <v>45948.52814</v>
      </c>
      <c r="B1635" s="40" t="str">
        <f>IFERROR(__xludf.DUMMYFUNCTION("""COMPUTED_VALUE"""),"BERGITHA NIA OLIN")</f>
        <v>BERGITHA NIA OLIN</v>
      </c>
      <c r="C1635" s="40" t="str">
        <f>IFERROR(__xludf.DUMMYFUNCTION("""COMPUTED_VALUE"""),"Belum disetujui")</f>
        <v>Belum disetujui</v>
      </c>
      <c r="D1635" s="40"/>
      <c r="E1635" s="40" t="s">
        <v>11431</v>
      </c>
      <c r="F1635" s="40" t="s">
        <v>313</v>
      </c>
      <c r="G1635" s="40" t="s">
        <v>11432</v>
      </c>
      <c r="H1635" s="40" t="s">
        <v>11424</v>
      </c>
    </row>
    <row r="1636">
      <c r="A1636" s="39">
        <f>IFERROR(__xludf.DUMMYFUNCTION("""COMPUTED_VALUE"""),45948.54324210648)</f>
        <v>45948.54324</v>
      </c>
      <c r="B1636" s="40" t="str">
        <f>IFERROR(__xludf.DUMMYFUNCTION("""COMPUTED_VALUE"""),"LASTRIANA PALUS")</f>
        <v>LASTRIANA PALUS</v>
      </c>
      <c r="C1636" s="40" t="str">
        <f>IFERROR(__xludf.DUMMYFUNCTION("""COMPUTED_VALUE"""),"Belum disetujui")</f>
        <v>Belum disetujui</v>
      </c>
      <c r="D1636" s="40"/>
      <c r="E1636" s="40" t="s">
        <v>11468</v>
      </c>
      <c r="F1636" s="40" t="s">
        <v>257</v>
      </c>
      <c r="G1636" s="40" t="s">
        <v>11469</v>
      </c>
      <c r="H1636" s="40" t="s">
        <v>11419</v>
      </c>
    </row>
    <row r="1637">
      <c r="A1637" s="39">
        <f>IFERROR(__xludf.DUMMYFUNCTION("""COMPUTED_VALUE"""),45948.55286228009)</f>
        <v>45948.55286</v>
      </c>
      <c r="B1637" s="40" t="str">
        <f>IFERROR(__xludf.DUMMYFUNCTION("""COMPUTED_VALUE"""),"FEBRIANTHY ELISABET NA'U")</f>
        <v>FEBRIANTHY ELISABET NA'U</v>
      </c>
      <c r="C1637" s="40" t="str">
        <f>IFERROR(__xludf.DUMMYFUNCTION("""COMPUTED_VALUE"""),"Dapat limit tapi belum diproses")</f>
        <v>Dapat limit tapi belum diproses</v>
      </c>
      <c r="D1637" s="40" t="str">
        <f>IFERROR(__xludf.DUMMYFUNCTION("""COMPUTED_VALUE"""),"Y400 series")</f>
        <v>Y400 series</v>
      </c>
      <c r="E1637" s="40" t="s">
        <v>11415</v>
      </c>
      <c r="F1637" s="40" t="s">
        <v>204</v>
      </c>
      <c r="G1637" s="40" t="s">
        <v>11416</v>
      </c>
      <c r="H1637" s="40" t="s">
        <v>11399</v>
      </c>
    </row>
    <row r="1638">
      <c r="A1638" s="39">
        <f>IFERROR(__xludf.DUMMYFUNCTION("""COMPUTED_VALUE"""),45948.57783405093)</f>
        <v>45948.57783</v>
      </c>
      <c r="B1638" s="40" t="str">
        <f>IFERROR(__xludf.DUMMYFUNCTION("""COMPUTED_VALUE"""),"HERONIMUS NAMU WALI")</f>
        <v>HERONIMUS NAMU WALI</v>
      </c>
      <c r="C1638" s="40" t="str">
        <f>IFERROR(__xludf.DUMMYFUNCTION("""COMPUTED_VALUE"""),"Belum disetujui")</f>
        <v>Belum disetujui</v>
      </c>
      <c r="D1638" s="40"/>
      <c r="E1638" s="40" t="s">
        <v>11452</v>
      </c>
      <c r="F1638" s="40" t="s">
        <v>205</v>
      </c>
      <c r="G1638" s="40" t="s">
        <v>11453</v>
      </c>
      <c r="H1638" s="40" t="s">
        <v>11419</v>
      </c>
    </row>
    <row r="1639">
      <c r="A1639" s="39">
        <f>IFERROR(__xludf.DUMMYFUNCTION("""COMPUTED_VALUE"""),45948.58347626157)</f>
        <v>45948.58348</v>
      </c>
      <c r="B1639" s="40" t="str">
        <f>IFERROR(__xludf.DUMMYFUNCTION("""COMPUTED_VALUE"""),"AZ ZAHRA SITI ZAINAB")</f>
        <v>AZ ZAHRA SITI ZAINAB</v>
      </c>
      <c r="C1639" s="40" t="str">
        <f>IFERROR(__xludf.DUMMYFUNCTION("""COMPUTED_VALUE"""),"Belum disetujui")</f>
        <v>Belum disetujui</v>
      </c>
      <c r="D1639" s="40"/>
      <c r="E1639" s="40" t="s">
        <v>11462</v>
      </c>
      <c r="F1639" s="40" t="s">
        <v>257</v>
      </c>
      <c r="G1639" s="40" t="s">
        <v>11463</v>
      </c>
      <c r="H1639" s="40" t="s">
        <v>11419</v>
      </c>
    </row>
    <row r="1640">
      <c r="A1640" s="39">
        <f>IFERROR(__xludf.DUMMYFUNCTION("""COMPUTED_VALUE"""),45948.58470679398)</f>
        <v>45948.58471</v>
      </c>
      <c r="B1640" s="40" t="str">
        <f>IFERROR(__xludf.DUMMYFUNCTION("""COMPUTED_VALUE"""),"SANTI MARIA LUKMINI NAHAK")</f>
        <v>SANTI MARIA LUKMINI NAHAK</v>
      </c>
      <c r="C1640" s="40" t="str">
        <f>IFERROR(__xludf.DUMMYFUNCTION("""COMPUTED_VALUE"""),"Belum disetujui")</f>
        <v>Belum disetujui</v>
      </c>
      <c r="D1640" s="40"/>
      <c r="E1640" s="40" t="s">
        <v>11460</v>
      </c>
      <c r="F1640" s="40" t="s">
        <v>871</v>
      </c>
      <c r="G1640" s="40" t="s">
        <v>11461</v>
      </c>
      <c r="H1640" s="40" t="s">
        <v>11424</v>
      </c>
    </row>
    <row r="1641">
      <c r="A1641" s="39">
        <f>IFERROR(__xludf.DUMMYFUNCTION("""COMPUTED_VALUE"""),45948.60824826389)</f>
        <v>45948.60825</v>
      </c>
      <c r="B1641" s="40" t="str">
        <f>IFERROR(__xludf.DUMMYFUNCTION("""COMPUTED_VALUE"""),"PRETI SISILIA SILA")</f>
        <v>PRETI SISILIA SILA</v>
      </c>
      <c r="C1641" s="40" t="str">
        <f>IFERROR(__xludf.DUMMYFUNCTION("""COMPUTED_VALUE"""),"Belum disetujui")</f>
        <v>Belum disetujui</v>
      </c>
      <c r="D1641" s="40"/>
      <c r="E1641" s="40" t="s">
        <v>11456</v>
      </c>
      <c r="F1641" s="40" t="s">
        <v>667</v>
      </c>
      <c r="G1641" s="40" t="s">
        <v>11457</v>
      </c>
      <c r="H1641" s="40" t="s">
        <v>11424</v>
      </c>
    </row>
    <row r="1642">
      <c r="A1642" s="39">
        <f>IFERROR(__xludf.DUMMYFUNCTION("""COMPUTED_VALUE"""),45948.620458287034)</f>
        <v>45948.62046</v>
      </c>
      <c r="B1642" s="40" t="str">
        <f>IFERROR(__xludf.DUMMYFUNCTION("""COMPUTED_VALUE"""),"MARATHA MARLINDA FANGGIDAE")</f>
        <v>MARATHA MARLINDA FANGGIDAE</v>
      </c>
      <c r="C1642" s="40" t="str">
        <f>IFERROR(__xludf.DUMMYFUNCTION("""COMPUTED_VALUE"""),"Belum disetujui")</f>
        <v>Belum disetujui</v>
      </c>
      <c r="D1642" s="40"/>
      <c r="E1642" s="40" t="s">
        <v>11435</v>
      </c>
      <c r="F1642" s="40" t="s">
        <v>215</v>
      </c>
      <c r="G1642" s="40" t="s">
        <v>11436</v>
      </c>
      <c r="H1642" s="40" t="s">
        <v>11424</v>
      </c>
    </row>
    <row r="1643">
      <c r="A1643" s="39">
        <f>IFERROR(__xludf.DUMMYFUNCTION("""COMPUTED_VALUE"""),45948.65923646991)</f>
        <v>45948.65924</v>
      </c>
      <c r="B1643" s="40" t="str">
        <f>IFERROR(__xludf.DUMMYFUNCTION("""COMPUTED_VALUE"""),"SANTI MARIA LUKMINI NAHAK")</f>
        <v>SANTI MARIA LUKMINI NAHAK</v>
      </c>
      <c r="C1643" s="40" t="str">
        <f>IFERROR(__xludf.DUMMYFUNCTION("""COMPUTED_VALUE"""),"ACC")</f>
        <v>ACC</v>
      </c>
      <c r="D1643" s="40" t="str">
        <f>IFERROR(__xludf.DUMMYFUNCTION("""COMPUTED_VALUE"""),"Y400 series")</f>
        <v>Y400 series</v>
      </c>
      <c r="E1643" s="40" t="s">
        <v>11460</v>
      </c>
      <c r="F1643" s="40" t="s">
        <v>871</v>
      </c>
      <c r="G1643" s="40" t="s">
        <v>11461</v>
      </c>
      <c r="H1643" s="40" t="s">
        <v>11424</v>
      </c>
    </row>
    <row r="1644">
      <c r="A1644" s="39">
        <f>IFERROR(__xludf.DUMMYFUNCTION("""COMPUTED_VALUE"""),45948.65978953704)</f>
        <v>45948.65979</v>
      </c>
      <c r="B1644" s="40" t="str">
        <f>IFERROR(__xludf.DUMMYFUNCTION("""COMPUTED_VALUE"""),"SELVINCE BAKO")</f>
        <v>SELVINCE BAKO</v>
      </c>
      <c r="C1644" s="40" t="str">
        <f>IFERROR(__xludf.DUMMYFUNCTION("""COMPUTED_VALUE"""),"Belum disetujui")</f>
        <v>Belum disetujui</v>
      </c>
      <c r="D1644" s="40"/>
      <c r="E1644" s="40" t="s">
        <v>11413</v>
      </c>
      <c r="F1644" s="40" t="s">
        <v>204</v>
      </c>
      <c r="G1644" s="40" t="s">
        <v>11414</v>
      </c>
      <c r="H1644" s="40" t="s">
        <v>11399</v>
      </c>
    </row>
    <row r="1645">
      <c r="A1645" s="39">
        <f>IFERROR(__xludf.DUMMYFUNCTION("""COMPUTED_VALUE"""),45948.66823636574)</f>
        <v>45948.66824</v>
      </c>
      <c r="B1645" s="40" t="str">
        <f>IFERROR(__xludf.DUMMYFUNCTION("""COMPUTED_VALUE"""),"ALDIANA WELIA PANIE")</f>
        <v>ALDIANA WELIA PANIE</v>
      </c>
      <c r="C1645" s="40" t="str">
        <f>IFERROR(__xludf.DUMMYFUNCTION("""COMPUTED_VALUE"""),"Dapat limit tapi belum diproses")</f>
        <v>Dapat limit tapi belum diproses</v>
      </c>
      <c r="D1645" s="40" t="str">
        <f>IFERROR(__xludf.DUMMYFUNCTION("""COMPUTED_VALUE"""),"Y400 series")</f>
        <v>Y400 series</v>
      </c>
      <c r="E1645" s="40" t="s">
        <v>11422</v>
      </c>
      <c r="F1645" s="40" t="s">
        <v>215</v>
      </c>
      <c r="G1645" s="40" t="s">
        <v>11423</v>
      </c>
      <c r="H1645" s="40" t="s">
        <v>11424</v>
      </c>
    </row>
    <row r="1646">
      <c r="A1646" s="39">
        <f>IFERROR(__xludf.DUMMYFUNCTION("""COMPUTED_VALUE"""),45948.68734196759)</f>
        <v>45948.68734</v>
      </c>
      <c r="B1646" s="40" t="str">
        <f>IFERROR(__xludf.DUMMYFUNCTION("""COMPUTED_VALUE"""),"MARNITHA JUWIKE TIMORATI RUNESI")</f>
        <v>MARNITHA JUWIKE TIMORATI RUNESI</v>
      </c>
      <c r="C1646" s="40" t="str">
        <f>IFERROR(__xludf.DUMMYFUNCTION("""COMPUTED_VALUE"""),"Belum disetujui")</f>
        <v>Belum disetujui</v>
      </c>
      <c r="D1646" s="40"/>
      <c r="E1646" s="40" t="s">
        <v>11420</v>
      </c>
      <c r="F1646" s="40" t="s">
        <v>204</v>
      </c>
      <c r="G1646" s="40" t="s">
        <v>11421</v>
      </c>
      <c r="H1646" s="40" t="s">
        <v>11399</v>
      </c>
    </row>
    <row r="1647">
      <c r="A1647" s="39">
        <f>IFERROR(__xludf.DUMMYFUNCTION("""COMPUTED_VALUE"""),45948.693262175926)</f>
        <v>45948.69326</v>
      </c>
      <c r="B1647" s="40" t="str">
        <f>IFERROR(__xludf.DUMMYFUNCTION("""COMPUTED_VALUE"""),"EMPI FRANGKI LIEM")</f>
        <v>EMPI FRANGKI LIEM</v>
      </c>
      <c r="C1647" s="40" t="str">
        <f>IFERROR(__xludf.DUMMYFUNCTION("""COMPUTED_VALUE"""),"Dapat limit tapi belum diproses")</f>
        <v>Dapat limit tapi belum diproses</v>
      </c>
      <c r="D1647" s="40" t="str">
        <f>IFERROR(__xludf.DUMMYFUNCTION("""COMPUTED_VALUE"""),"Y400 series")</f>
        <v>Y400 series</v>
      </c>
      <c r="E1647" s="40" t="s">
        <v>11397</v>
      </c>
      <c r="F1647" s="40" t="s">
        <v>220</v>
      </c>
      <c r="G1647" s="40" t="s">
        <v>11398</v>
      </c>
      <c r="H1647" s="40" t="s">
        <v>11399</v>
      </c>
    </row>
    <row r="1648">
      <c r="A1648" s="39">
        <f>IFERROR(__xludf.DUMMYFUNCTION("""COMPUTED_VALUE"""),45948.72389807871)</f>
        <v>45948.7239</v>
      </c>
      <c r="B1648" s="40" t="str">
        <f>IFERROR(__xludf.DUMMYFUNCTION("""COMPUTED_VALUE"""),"FEBRIANTHY ELISABET NA'U")</f>
        <v>FEBRIANTHY ELISABET NA'U</v>
      </c>
      <c r="C1648" s="40" t="str">
        <f>IFERROR(__xludf.DUMMYFUNCTION("""COMPUTED_VALUE"""),"Dapat limit tapi belum diproses")</f>
        <v>Dapat limit tapi belum diproses</v>
      </c>
      <c r="D1648" s="40" t="str">
        <f>IFERROR(__xludf.DUMMYFUNCTION("""COMPUTED_VALUE"""),"Y400 series")</f>
        <v>Y400 series</v>
      </c>
      <c r="E1648" s="40" t="s">
        <v>11415</v>
      </c>
      <c r="F1648" s="40" t="s">
        <v>204</v>
      </c>
      <c r="G1648" s="40" t="s">
        <v>11416</v>
      </c>
      <c r="H1648" s="40" t="s">
        <v>11399</v>
      </c>
    </row>
    <row r="1649">
      <c r="A1649" s="39">
        <f>IFERROR(__xludf.DUMMYFUNCTION("""COMPUTED_VALUE"""),45948.73783309028)</f>
        <v>45948.73783</v>
      </c>
      <c r="B1649" s="40" t="str">
        <f>IFERROR(__xludf.DUMMYFUNCTION("""COMPUTED_VALUE"""),"ADRIANA")</f>
        <v>ADRIANA</v>
      </c>
      <c r="C1649" s="40" t="str">
        <f>IFERROR(__xludf.DUMMYFUNCTION("""COMPUTED_VALUE"""),"Dapat limit tapi belum diproses")</f>
        <v>Dapat limit tapi belum diproses</v>
      </c>
      <c r="D1649" s="40" t="str">
        <f>IFERROR(__xludf.DUMMYFUNCTION("""COMPUTED_VALUE"""),"Y400 series")</f>
        <v>Y400 series</v>
      </c>
      <c r="E1649" s="40" t="s">
        <v>11433</v>
      </c>
      <c r="F1649" s="40" t="s">
        <v>313</v>
      </c>
      <c r="G1649" s="40" t="s">
        <v>11434</v>
      </c>
      <c r="H1649" s="40" t="s">
        <v>11424</v>
      </c>
    </row>
    <row r="1650">
      <c r="A1650" s="39">
        <f>IFERROR(__xludf.DUMMYFUNCTION("""COMPUTED_VALUE"""),45948.741334317136)</f>
        <v>45948.74133</v>
      </c>
      <c r="B1650" s="40" t="str">
        <f>IFERROR(__xludf.DUMMYFUNCTION("""COMPUTED_VALUE"""),"ALDIANA WELIA PANIE")</f>
        <v>ALDIANA WELIA PANIE</v>
      </c>
      <c r="C1650" s="40" t="str">
        <f>IFERROR(__xludf.DUMMYFUNCTION("""COMPUTED_VALUE"""),"Belum disetujui")</f>
        <v>Belum disetujui</v>
      </c>
      <c r="D1650" s="40"/>
      <c r="E1650" s="40" t="s">
        <v>11422</v>
      </c>
      <c r="F1650" s="40" t="s">
        <v>215</v>
      </c>
      <c r="G1650" s="40" t="s">
        <v>11423</v>
      </c>
      <c r="H1650" s="40" t="s">
        <v>11424</v>
      </c>
    </row>
    <row r="1651">
      <c r="A1651" s="39">
        <f>IFERROR(__xludf.DUMMYFUNCTION("""COMPUTED_VALUE"""),45948.78800869213)</f>
        <v>45948.78801</v>
      </c>
      <c r="B1651" s="40" t="str">
        <f>IFERROR(__xludf.DUMMYFUNCTION("""COMPUTED_VALUE"""),"YOMELIANA MARIA MAGNO")</f>
        <v>YOMELIANA MARIA MAGNO</v>
      </c>
      <c r="C1651" s="40" t="str">
        <f>IFERROR(__xludf.DUMMYFUNCTION("""COMPUTED_VALUE"""),"Belum disetujui")</f>
        <v>Belum disetujui</v>
      </c>
      <c r="D1651" s="40"/>
      <c r="E1651" s="40" t="s">
        <v>11460</v>
      </c>
      <c r="F1651" s="40" t="s">
        <v>871</v>
      </c>
      <c r="G1651" s="40" t="s">
        <v>11461</v>
      </c>
      <c r="H1651" s="40" t="s">
        <v>11424</v>
      </c>
    </row>
    <row r="1652">
      <c r="A1652" s="39">
        <f>IFERROR(__xludf.DUMMYFUNCTION("""COMPUTED_VALUE"""),45948.7940605787)</f>
        <v>45948.79406</v>
      </c>
      <c r="B1652" s="40" t="str">
        <f>IFERROR(__xludf.DUMMYFUNCTION("""COMPUTED_VALUE"""),"BERGITHA NIA OLIN")</f>
        <v>BERGITHA NIA OLIN</v>
      </c>
      <c r="C1652" s="40" t="str">
        <f>IFERROR(__xludf.DUMMYFUNCTION("""COMPUTED_VALUE"""),"Belum disetujui")</f>
        <v>Belum disetujui</v>
      </c>
      <c r="D1652" s="40"/>
      <c r="E1652" s="40" t="s">
        <v>11431</v>
      </c>
      <c r="F1652" s="40" t="s">
        <v>313</v>
      </c>
      <c r="G1652" s="40" t="s">
        <v>11432</v>
      </c>
      <c r="H1652" s="40" t="s">
        <v>11424</v>
      </c>
    </row>
    <row r="1653">
      <c r="A1653" s="39">
        <f>IFERROR(__xludf.DUMMYFUNCTION("""COMPUTED_VALUE"""),45948.79591037037)</f>
        <v>45948.79591</v>
      </c>
      <c r="B1653" s="40" t="str">
        <f>IFERROR(__xludf.DUMMYFUNCTION("""COMPUTED_VALUE"""),"BERGITHA NIA OLIN")</f>
        <v>BERGITHA NIA OLIN</v>
      </c>
      <c r="C1653" s="40" t="str">
        <f>IFERROR(__xludf.DUMMYFUNCTION("""COMPUTED_VALUE"""),"Belum disetujui")</f>
        <v>Belum disetujui</v>
      </c>
      <c r="D1653" s="40"/>
      <c r="E1653" s="40" t="s">
        <v>11431</v>
      </c>
      <c r="F1653" s="40" t="s">
        <v>313</v>
      </c>
      <c r="G1653" s="40" t="s">
        <v>11432</v>
      </c>
      <c r="H1653" s="40" t="s">
        <v>11424</v>
      </c>
    </row>
    <row r="1654">
      <c r="A1654" s="39">
        <f>IFERROR(__xludf.DUMMYFUNCTION("""COMPUTED_VALUE"""),45948.80029825232)</f>
        <v>45948.8003</v>
      </c>
      <c r="B1654" s="40" t="str">
        <f>IFERROR(__xludf.DUMMYFUNCTION("""COMPUTED_VALUE"""),"BERGITHA NIA OLIN")</f>
        <v>BERGITHA NIA OLIN</v>
      </c>
      <c r="C1654" s="40" t="str">
        <f>IFERROR(__xludf.DUMMYFUNCTION("""COMPUTED_VALUE"""),"Belum disetujui")</f>
        <v>Belum disetujui</v>
      </c>
      <c r="D1654" s="40"/>
      <c r="E1654" s="40" t="s">
        <v>11431</v>
      </c>
      <c r="F1654" s="40" t="s">
        <v>313</v>
      </c>
      <c r="G1654" s="40" t="s">
        <v>11432</v>
      </c>
      <c r="H1654" s="40" t="s">
        <v>11424</v>
      </c>
    </row>
    <row r="1655">
      <c r="A1655" s="39">
        <f>IFERROR(__xludf.DUMMYFUNCTION("""COMPUTED_VALUE"""),45948.80228383102)</f>
        <v>45948.80228</v>
      </c>
      <c r="B1655" s="40" t="str">
        <f>IFERROR(__xludf.DUMMYFUNCTION("""COMPUTED_VALUE"""),"BERGITHA NIA OLIN")</f>
        <v>BERGITHA NIA OLIN</v>
      </c>
      <c r="C1655" s="40" t="str">
        <f>IFERROR(__xludf.DUMMYFUNCTION("""COMPUTED_VALUE"""),"Belum disetujui")</f>
        <v>Belum disetujui</v>
      </c>
      <c r="D1655" s="40"/>
      <c r="E1655" s="40" t="s">
        <v>11431</v>
      </c>
      <c r="F1655" s="40" t="s">
        <v>313</v>
      </c>
      <c r="G1655" s="40" t="s">
        <v>11432</v>
      </c>
      <c r="H1655" s="40" t="s">
        <v>11424</v>
      </c>
    </row>
    <row r="1656">
      <c r="A1656" s="39">
        <f>IFERROR(__xludf.DUMMYFUNCTION("""COMPUTED_VALUE"""),45948.80393980324)</f>
        <v>45948.80394</v>
      </c>
      <c r="B1656" s="40" t="str">
        <f>IFERROR(__xludf.DUMMYFUNCTION("""COMPUTED_VALUE"""),"BERGITHA NIA OLIN")</f>
        <v>BERGITHA NIA OLIN</v>
      </c>
      <c r="C1656" s="40" t="str">
        <f>IFERROR(__xludf.DUMMYFUNCTION("""COMPUTED_VALUE"""),"Dapat limit tapi belum diproses")</f>
        <v>Dapat limit tapi belum diproses</v>
      </c>
      <c r="D1656" s="40" t="str">
        <f>IFERROR(__xludf.DUMMYFUNCTION("""COMPUTED_VALUE"""),"Y400 series")</f>
        <v>Y400 series</v>
      </c>
      <c r="E1656" s="40" t="s">
        <v>11431</v>
      </c>
      <c r="F1656" s="40" t="s">
        <v>313</v>
      </c>
      <c r="G1656" s="40" t="s">
        <v>11432</v>
      </c>
      <c r="H1656" s="40" t="s">
        <v>11424</v>
      </c>
    </row>
    <row r="1657">
      <c r="A1657" s="39">
        <f>IFERROR(__xludf.DUMMYFUNCTION("""COMPUTED_VALUE"""),45948.80566951389)</f>
        <v>45948.80567</v>
      </c>
      <c r="B1657" s="40" t="str">
        <f>IFERROR(__xludf.DUMMYFUNCTION("""COMPUTED_VALUE"""),"ALDIANA WELIA PANIE")</f>
        <v>ALDIANA WELIA PANIE</v>
      </c>
      <c r="C1657" s="40" t="str">
        <f>IFERROR(__xludf.DUMMYFUNCTION("""COMPUTED_VALUE"""),"Belum disetujui")</f>
        <v>Belum disetujui</v>
      </c>
      <c r="D1657" s="40"/>
      <c r="E1657" s="40" t="s">
        <v>11422</v>
      </c>
      <c r="F1657" s="40" t="s">
        <v>215</v>
      </c>
      <c r="G1657" s="40" t="s">
        <v>11423</v>
      </c>
      <c r="H1657" s="40" t="s">
        <v>11424</v>
      </c>
    </row>
    <row r="1658">
      <c r="A1658" s="39">
        <f>IFERROR(__xludf.DUMMYFUNCTION("""COMPUTED_VALUE"""),45948.805908518516)</f>
        <v>45948.80591</v>
      </c>
      <c r="B1658" s="40" t="str">
        <f>IFERROR(__xludf.DUMMYFUNCTION("""COMPUTED_VALUE"""),"BERGITHA NIA OLIN")</f>
        <v>BERGITHA NIA OLIN</v>
      </c>
      <c r="C1658" s="40" t="str">
        <f>IFERROR(__xludf.DUMMYFUNCTION("""COMPUTED_VALUE"""),"Belum disetujui")</f>
        <v>Belum disetujui</v>
      </c>
      <c r="D1658" s="40"/>
      <c r="E1658" s="40" t="s">
        <v>11431</v>
      </c>
      <c r="F1658" s="40" t="s">
        <v>313</v>
      </c>
      <c r="G1658" s="40" t="s">
        <v>11432</v>
      </c>
      <c r="H1658" s="40" t="s">
        <v>11424</v>
      </c>
    </row>
    <row r="1659">
      <c r="A1659" s="39">
        <f>IFERROR(__xludf.DUMMYFUNCTION("""COMPUTED_VALUE"""),45948.80749077546)</f>
        <v>45948.80749</v>
      </c>
      <c r="B1659" s="40" t="str">
        <f>IFERROR(__xludf.DUMMYFUNCTION("""COMPUTED_VALUE"""),"BERGITHA NIA OLIN")</f>
        <v>BERGITHA NIA OLIN</v>
      </c>
      <c r="C1659" s="40" t="str">
        <f>IFERROR(__xludf.DUMMYFUNCTION("""COMPUTED_VALUE"""),"Belum disetujui")</f>
        <v>Belum disetujui</v>
      </c>
      <c r="D1659" s="40"/>
      <c r="E1659" s="40" t="s">
        <v>11431</v>
      </c>
      <c r="F1659" s="40" t="s">
        <v>313</v>
      </c>
      <c r="G1659" s="40" t="s">
        <v>11432</v>
      </c>
      <c r="H1659" s="40" t="s">
        <v>11424</v>
      </c>
    </row>
    <row r="1660">
      <c r="A1660" s="39">
        <f>IFERROR(__xludf.DUMMYFUNCTION("""COMPUTED_VALUE"""),45948.80934601851)</f>
        <v>45948.80935</v>
      </c>
      <c r="B1660" s="40" t="str">
        <f>IFERROR(__xludf.DUMMYFUNCTION("""COMPUTED_VALUE"""),"YOMELIANA MARIA MAGNO")</f>
        <v>YOMELIANA MARIA MAGNO</v>
      </c>
      <c r="C1660" s="40" t="str">
        <f>IFERROR(__xludf.DUMMYFUNCTION("""COMPUTED_VALUE"""),"Belum disetujui")</f>
        <v>Belum disetujui</v>
      </c>
      <c r="D1660" s="40"/>
      <c r="E1660" s="40" t="s">
        <v>11460</v>
      </c>
      <c r="F1660" s="40" t="s">
        <v>871</v>
      </c>
      <c r="G1660" s="40" t="s">
        <v>11461</v>
      </c>
      <c r="H1660" s="40" t="s">
        <v>11424</v>
      </c>
    </row>
    <row r="1661">
      <c r="A1661" s="39">
        <f>IFERROR(__xludf.DUMMYFUNCTION("""COMPUTED_VALUE"""),45948.81052175925)</f>
        <v>45948.81052</v>
      </c>
      <c r="B1661" s="40" t="str">
        <f>IFERROR(__xludf.DUMMYFUNCTION("""COMPUTED_VALUE"""),"ASTUTI BELA WAWO")</f>
        <v>ASTUTI BELA WAWO</v>
      </c>
      <c r="C1661" s="40" t="str">
        <f>IFERROR(__xludf.DUMMYFUNCTION("""COMPUTED_VALUE"""),"Belum disetujui")</f>
        <v>Belum disetujui</v>
      </c>
      <c r="D1661" s="40"/>
      <c r="E1661" s="40" t="s">
        <v>11427</v>
      </c>
      <c r="F1661" s="40" t="s">
        <v>257</v>
      </c>
      <c r="G1661" s="40" t="s">
        <v>11428</v>
      </c>
      <c r="H1661" s="40" t="s">
        <v>11419</v>
      </c>
    </row>
    <row r="1662">
      <c r="A1662" s="39">
        <f>IFERROR(__xludf.DUMMYFUNCTION("""COMPUTED_VALUE"""),45948.810805914356)</f>
        <v>45948.81081</v>
      </c>
      <c r="B1662" s="40" t="str">
        <f>IFERROR(__xludf.DUMMYFUNCTION("""COMPUTED_VALUE"""),"MERDA PUTRI BUNGSU KENAT")</f>
        <v>MERDA PUTRI BUNGSU KENAT</v>
      </c>
      <c r="C1662" s="40" t="str">
        <f>IFERROR(__xludf.DUMMYFUNCTION("""COMPUTED_VALUE"""),"Dapat limit tapi belum diproses")</f>
        <v>Dapat limit tapi belum diproses</v>
      </c>
      <c r="D1662" s="40" t="str">
        <f>IFERROR(__xludf.DUMMYFUNCTION("""COMPUTED_VALUE"""),"Y400 series")</f>
        <v>Y400 series</v>
      </c>
      <c r="E1662" s="40" t="s">
        <v>11422</v>
      </c>
      <c r="F1662" s="40" t="s">
        <v>215</v>
      </c>
      <c r="G1662" s="40" t="s">
        <v>11423</v>
      </c>
      <c r="H1662" s="40" t="s">
        <v>11424</v>
      </c>
    </row>
    <row r="1663">
      <c r="A1663" s="39">
        <f>IFERROR(__xludf.DUMMYFUNCTION("""COMPUTED_VALUE"""),45948.81462900463)</f>
        <v>45948.81463</v>
      </c>
      <c r="B1663" s="40" t="str">
        <f>IFERROR(__xludf.DUMMYFUNCTION("""COMPUTED_VALUE"""),"BERGITHA NIA OLIN")</f>
        <v>BERGITHA NIA OLIN</v>
      </c>
      <c r="C1663" s="40" t="str">
        <f>IFERROR(__xludf.DUMMYFUNCTION("""COMPUTED_VALUE"""),"Belum disetujui")</f>
        <v>Belum disetujui</v>
      </c>
      <c r="D1663" s="40"/>
      <c r="E1663" s="40" t="s">
        <v>11431</v>
      </c>
      <c r="F1663" s="40" t="s">
        <v>313</v>
      </c>
      <c r="G1663" s="40" t="s">
        <v>11432</v>
      </c>
      <c r="H1663" s="40" t="s">
        <v>11424</v>
      </c>
    </row>
    <row r="1664">
      <c r="A1664" s="39">
        <f>IFERROR(__xludf.DUMMYFUNCTION("""COMPUTED_VALUE"""),45948.81574572917)</f>
        <v>45948.81575</v>
      </c>
      <c r="B1664" s="40" t="str">
        <f>IFERROR(__xludf.DUMMYFUNCTION("""COMPUTED_VALUE"""),"MARATHA MARLINDA FANGGIDAE")</f>
        <v>MARATHA MARLINDA FANGGIDAE</v>
      </c>
      <c r="C1664" s="40" t="str">
        <f>IFERROR(__xludf.DUMMYFUNCTION("""COMPUTED_VALUE"""),"Belum disetujui")</f>
        <v>Belum disetujui</v>
      </c>
      <c r="D1664" s="40"/>
      <c r="E1664" s="40" t="s">
        <v>11435</v>
      </c>
      <c r="F1664" s="40" t="s">
        <v>215</v>
      </c>
      <c r="G1664" s="40" t="s">
        <v>11436</v>
      </c>
      <c r="H1664" s="40" t="s">
        <v>11424</v>
      </c>
    </row>
    <row r="1665">
      <c r="A1665" s="39">
        <f>IFERROR(__xludf.DUMMYFUNCTION("""COMPUTED_VALUE"""),45948.818171770836)</f>
        <v>45948.81817</v>
      </c>
      <c r="B1665" s="40" t="str">
        <f>IFERROR(__xludf.DUMMYFUNCTION("""COMPUTED_VALUE"""),"BERGITHA NIA OLIN")</f>
        <v>BERGITHA NIA OLIN</v>
      </c>
      <c r="C1665" s="40" t="str">
        <f>IFERROR(__xludf.DUMMYFUNCTION("""COMPUTED_VALUE"""),"Belum disetujui")</f>
        <v>Belum disetujui</v>
      </c>
      <c r="D1665" s="40"/>
      <c r="E1665" s="40" t="s">
        <v>11431</v>
      </c>
      <c r="F1665" s="40" t="s">
        <v>313</v>
      </c>
      <c r="G1665" s="40" t="s">
        <v>11432</v>
      </c>
      <c r="H1665" s="40" t="s">
        <v>11424</v>
      </c>
    </row>
    <row r="1666">
      <c r="A1666" s="39">
        <f>IFERROR(__xludf.DUMMYFUNCTION("""COMPUTED_VALUE"""),45948.823099814814)</f>
        <v>45948.8231</v>
      </c>
      <c r="B1666" s="40" t="str">
        <f>IFERROR(__xludf.DUMMYFUNCTION("""COMPUTED_VALUE"""),"IRENE NOVALIA KADJU")</f>
        <v>IRENE NOVALIA KADJU</v>
      </c>
      <c r="C1666" s="40" t="str">
        <f>IFERROR(__xludf.DUMMYFUNCTION("""COMPUTED_VALUE"""),"Belum disetujui")</f>
        <v>Belum disetujui</v>
      </c>
      <c r="D1666" s="40"/>
      <c r="E1666" s="40" t="s">
        <v>11445</v>
      </c>
      <c r="F1666" s="40" t="s">
        <v>204</v>
      </c>
      <c r="G1666" s="40" t="s">
        <v>11446</v>
      </c>
      <c r="H1666" s="40" t="s">
        <v>11399</v>
      </c>
    </row>
    <row r="1667">
      <c r="A1667" s="39">
        <f>IFERROR(__xludf.DUMMYFUNCTION("""COMPUTED_VALUE"""),45948.82357991898)</f>
        <v>45948.82358</v>
      </c>
      <c r="B1667" s="40" t="str">
        <f>IFERROR(__xludf.DUMMYFUNCTION("""COMPUTED_VALUE"""),"ALDIANA WELIA PANIE")</f>
        <v>ALDIANA WELIA PANIE</v>
      </c>
      <c r="C1667" s="40" t="str">
        <f>IFERROR(__xludf.DUMMYFUNCTION("""COMPUTED_VALUE"""),"Belum disetujui")</f>
        <v>Belum disetujui</v>
      </c>
      <c r="D1667" s="40"/>
      <c r="E1667" s="40" t="s">
        <v>11422</v>
      </c>
      <c r="F1667" s="40" t="s">
        <v>215</v>
      </c>
      <c r="G1667" s="40" t="s">
        <v>11423</v>
      </c>
      <c r="H1667" s="40" t="s">
        <v>11424</v>
      </c>
    </row>
    <row r="1668">
      <c r="A1668" s="39">
        <f>IFERROR(__xludf.DUMMYFUNCTION("""COMPUTED_VALUE"""),45948.829023692124)</f>
        <v>45948.82902</v>
      </c>
      <c r="B1668" s="40" t="str">
        <f>IFERROR(__xludf.DUMMYFUNCTION("""COMPUTED_VALUE"""),"ALDIANA WELIA PANIE")</f>
        <v>ALDIANA WELIA PANIE</v>
      </c>
      <c r="C1668" s="40" t="str">
        <f>IFERROR(__xludf.DUMMYFUNCTION("""COMPUTED_VALUE"""),"Belum disetujui")</f>
        <v>Belum disetujui</v>
      </c>
      <c r="D1668" s="40"/>
      <c r="E1668" s="40" t="s">
        <v>11422</v>
      </c>
      <c r="F1668" s="40" t="s">
        <v>215</v>
      </c>
      <c r="G1668" s="40" t="s">
        <v>11423</v>
      </c>
      <c r="H1668" s="40" t="s">
        <v>11424</v>
      </c>
    </row>
    <row r="1669">
      <c r="A1669" s="39">
        <f>IFERROR(__xludf.DUMMYFUNCTION("""COMPUTED_VALUE"""),45948.832796435185)</f>
        <v>45948.8328</v>
      </c>
      <c r="B1669" s="40" t="str">
        <f>IFERROR(__xludf.DUMMYFUNCTION("""COMPUTED_VALUE"""),"MARNITHA JUWIKE TIMORATI RUNESI")</f>
        <v>MARNITHA JUWIKE TIMORATI RUNESI</v>
      </c>
      <c r="C1669" s="40" t="str">
        <f>IFERROR(__xludf.DUMMYFUNCTION("""COMPUTED_VALUE"""),"Belum disetujui")</f>
        <v>Belum disetujui</v>
      </c>
      <c r="D1669" s="40"/>
      <c r="E1669" s="40" t="s">
        <v>11420</v>
      </c>
      <c r="F1669" s="40" t="s">
        <v>204</v>
      </c>
      <c r="G1669" s="40" t="s">
        <v>11421</v>
      </c>
      <c r="H1669" s="40" t="s">
        <v>11399</v>
      </c>
    </row>
    <row r="1670">
      <c r="A1670" s="39">
        <f>IFERROR(__xludf.DUMMYFUNCTION("""COMPUTED_VALUE"""),45948.83594844907)</f>
        <v>45948.83595</v>
      </c>
      <c r="B1670" s="40" t="str">
        <f>IFERROR(__xludf.DUMMYFUNCTION("""COMPUTED_VALUE"""),"PATRIANI MENGI ULY")</f>
        <v>PATRIANI MENGI ULY</v>
      </c>
      <c r="C1670" s="40" t="str">
        <f>IFERROR(__xludf.DUMMYFUNCTION("""COMPUTED_VALUE"""),"Belum disetujui")</f>
        <v>Belum disetujui</v>
      </c>
      <c r="D1670" s="40"/>
      <c r="E1670" s="40" t="s">
        <v>11402</v>
      </c>
      <c r="F1670" s="40" t="s">
        <v>204</v>
      </c>
      <c r="G1670" s="40" t="s">
        <v>11403</v>
      </c>
      <c r="H1670" s="40" t="s">
        <v>11399</v>
      </c>
    </row>
    <row r="1671">
      <c r="A1671" s="39">
        <f>IFERROR(__xludf.DUMMYFUNCTION("""COMPUTED_VALUE"""),45948.843268564815)</f>
        <v>45948.84327</v>
      </c>
      <c r="B1671" s="40" t="str">
        <f>IFERROR(__xludf.DUMMYFUNCTION("""COMPUTED_VALUE"""),"MARATHA MARLINDA FANGGIDAE")</f>
        <v>MARATHA MARLINDA FANGGIDAE</v>
      </c>
      <c r="C1671" s="40" t="str">
        <f>IFERROR(__xludf.DUMMYFUNCTION("""COMPUTED_VALUE"""),"Belum disetujui")</f>
        <v>Belum disetujui</v>
      </c>
      <c r="D1671" s="40"/>
      <c r="E1671" s="40" t="s">
        <v>11435</v>
      </c>
      <c r="F1671" s="40" t="s">
        <v>215</v>
      </c>
      <c r="G1671" s="40" t="s">
        <v>11436</v>
      </c>
      <c r="H1671" s="40" t="s">
        <v>11424</v>
      </c>
    </row>
    <row r="1672">
      <c r="A1672" s="39">
        <f>IFERROR(__xludf.DUMMYFUNCTION("""COMPUTED_VALUE"""),45948.86054771991)</f>
        <v>45948.86055</v>
      </c>
      <c r="B1672" s="40" t="str">
        <f>IFERROR(__xludf.DUMMYFUNCTION("""COMPUTED_VALUE"""),"ALDIANA WELIA PANIE")</f>
        <v>ALDIANA WELIA PANIE</v>
      </c>
      <c r="C1672" s="40" t="str">
        <f>IFERROR(__xludf.DUMMYFUNCTION("""COMPUTED_VALUE"""),"Dapat limit tapi belum diproses")</f>
        <v>Dapat limit tapi belum diproses</v>
      </c>
      <c r="D1672" s="40" t="str">
        <f>IFERROR(__xludf.DUMMYFUNCTION("""COMPUTED_VALUE"""),"Y400 series")</f>
        <v>Y400 series</v>
      </c>
      <c r="E1672" s="40" t="s">
        <v>11422</v>
      </c>
      <c r="F1672" s="40" t="s">
        <v>215</v>
      </c>
      <c r="G1672" s="40" t="s">
        <v>11423</v>
      </c>
      <c r="H1672" s="40" t="s">
        <v>11424</v>
      </c>
    </row>
    <row r="1673">
      <c r="A1673" s="39">
        <f>IFERROR(__xludf.DUMMYFUNCTION("""COMPUTED_VALUE"""),45948.86214478009)</f>
        <v>45948.86214</v>
      </c>
      <c r="B1673" s="40" t="str">
        <f>IFERROR(__xludf.DUMMYFUNCTION("""COMPUTED_VALUE"""),"WARDIA")</f>
        <v>WARDIA</v>
      </c>
      <c r="C1673" s="40" t="str">
        <f>IFERROR(__xludf.DUMMYFUNCTION("""COMPUTED_VALUE"""),"Dapat limit tapi belum diproses")</f>
        <v>Dapat limit tapi belum diproses</v>
      </c>
      <c r="D1673" s="40" t="str">
        <f>IFERROR(__xludf.DUMMYFUNCTION("""COMPUTED_VALUE"""),"V60 series")</f>
        <v>V60 series</v>
      </c>
      <c r="E1673" s="40" t="s">
        <v>11409</v>
      </c>
      <c r="F1673" s="40" t="s">
        <v>204</v>
      </c>
      <c r="G1673" s="40" t="s">
        <v>11410</v>
      </c>
      <c r="H1673" s="40" t="s">
        <v>11399</v>
      </c>
    </row>
    <row r="1674">
      <c r="A1674" s="39">
        <f>IFERROR(__xludf.DUMMYFUNCTION("""COMPUTED_VALUE"""),45948.86347701389)</f>
        <v>45948.86348</v>
      </c>
      <c r="B1674" s="40" t="str">
        <f>IFERROR(__xludf.DUMMYFUNCTION("""COMPUTED_VALUE"""),"ALDIANA WELIA PANIE")</f>
        <v>ALDIANA WELIA PANIE</v>
      </c>
      <c r="C1674" s="40" t="str">
        <f>IFERROR(__xludf.DUMMYFUNCTION("""COMPUTED_VALUE"""),"Belum disetujui")</f>
        <v>Belum disetujui</v>
      </c>
      <c r="D1674" s="40"/>
      <c r="E1674" s="40" t="s">
        <v>11422</v>
      </c>
      <c r="F1674" s="40" t="s">
        <v>215</v>
      </c>
      <c r="G1674" s="40" t="s">
        <v>11423</v>
      </c>
      <c r="H1674" s="40" t="s">
        <v>11424</v>
      </c>
    </row>
    <row r="1675">
      <c r="A1675" s="39">
        <f>IFERROR(__xludf.DUMMYFUNCTION("""COMPUTED_VALUE"""),45948.86661430555)</f>
        <v>45948.86661</v>
      </c>
      <c r="B1675" s="40" t="str">
        <f>IFERROR(__xludf.DUMMYFUNCTION("""COMPUTED_VALUE"""),"ALDIANA WELIA PANIE")</f>
        <v>ALDIANA WELIA PANIE</v>
      </c>
      <c r="C1675" s="40" t="str">
        <f>IFERROR(__xludf.DUMMYFUNCTION("""COMPUTED_VALUE"""),"Belum disetujui")</f>
        <v>Belum disetujui</v>
      </c>
      <c r="D1675" s="40"/>
      <c r="E1675" s="40" t="s">
        <v>11422</v>
      </c>
      <c r="F1675" s="40" t="s">
        <v>215</v>
      </c>
      <c r="G1675" s="40" t="s">
        <v>11423</v>
      </c>
      <c r="H1675" s="40" t="s">
        <v>11424</v>
      </c>
    </row>
    <row r="1676">
      <c r="A1676" s="39">
        <f>IFERROR(__xludf.DUMMYFUNCTION("""COMPUTED_VALUE"""),45948.87255604167)</f>
        <v>45948.87256</v>
      </c>
      <c r="B1676" s="40" t="str">
        <f>IFERROR(__xludf.DUMMYFUNCTION("""COMPUTED_VALUE"""),"ALDIANA WELIA PANIE")</f>
        <v>ALDIANA WELIA PANIE</v>
      </c>
      <c r="C1676" s="40" t="str">
        <f>IFERROR(__xludf.DUMMYFUNCTION("""COMPUTED_VALUE"""),"Belum disetujui")</f>
        <v>Belum disetujui</v>
      </c>
      <c r="D1676" s="40"/>
      <c r="E1676" s="40" t="s">
        <v>11422</v>
      </c>
      <c r="F1676" s="40" t="s">
        <v>215</v>
      </c>
      <c r="G1676" s="40" t="s">
        <v>11423</v>
      </c>
      <c r="H1676" s="40" t="s">
        <v>11424</v>
      </c>
    </row>
    <row r="1677">
      <c r="A1677" s="39">
        <f>IFERROR(__xludf.DUMMYFUNCTION("""COMPUTED_VALUE"""),45948.87990785879)</f>
        <v>45948.87991</v>
      </c>
      <c r="B1677" s="40" t="str">
        <f>IFERROR(__xludf.DUMMYFUNCTION("""COMPUTED_VALUE"""),"MARATHA MARLINDA FANGGIDAE")</f>
        <v>MARATHA MARLINDA FANGGIDAE</v>
      </c>
      <c r="C1677" s="40" t="str">
        <f>IFERROR(__xludf.DUMMYFUNCTION("""COMPUTED_VALUE"""),"Dapat limit tapi belum diproses")</f>
        <v>Dapat limit tapi belum diproses</v>
      </c>
      <c r="D1677" s="40" t="str">
        <f>IFERROR(__xludf.DUMMYFUNCTION("""COMPUTED_VALUE"""),"V60 series")</f>
        <v>V60 series</v>
      </c>
      <c r="E1677" s="40" t="s">
        <v>11435</v>
      </c>
      <c r="F1677" s="40" t="s">
        <v>215</v>
      </c>
      <c r="G1677" s="40" t="s">
        <v>11436</v>
      </c>
      <c r="H1677" s="40" t="s">
        <v>11424</v>
      </c>
    </row>
    <row r="1678">
      <c r="A1678" s="39">
        <f>IFERROR(__xludf.DUMMYFUNCTION("""COMPUTED_VALUE"""),45949.539193668985)</f>
        <v>45949.53919</v>
      </c>
      <c r="B1678" s="40" t="str">
        <f>IFERROR(__xludf.DUMMYFUNCTION("""COMPUTED_VALUE"""),"YANA DANGU")</f>
        <v>YANA DANGU</v>
      </c>
      <c r="C1678" s="40" t="str">
        <f>IFERROR(__xludf.DUMMYFUNCTION("""COMPUTED_VALUE"""),"Belum disetujui")</f>
        <v>Belum disetujui</v>
      </c>
      <c r="D1678" s="40"/>
      <c r="E1678" s="40" t="s">
        <v>11397</v>
      </c>
      <c r="F1678" s="40" t="s">
        <v>220</v>
      </c>
      <c r="G1678" s="40" t="s">
        <v>11398</v>
      </c>
      <c r="H1678" s="40" t="s">
        <v>11399</v>
      </c>
    </row>
    <row r="1679">
      <c r="A1679" s="39">
        <f>IFERROR(__xludf.DUMMYFUNCTION("""COMPUTED_VALUE"""),45949.558018923606)</f>
        <v>45949.55802</v>
      </c>
      <c r="B1679" s="40" t="str">
        <f>IFERROR(__xludf.DUMMYFUNCTION("""COMPUTED_VALUE"""),"ASRI NINGSI RAMBU ATA ENDI")</f>
        <v>ASRI NINGSI RAMBU ATA ENDI</v>
      </c>
      <c r="C1679" s="40" t="str">
        <f>IFERROR(__xludf.DUMMYFUNCTION("""COMPUTED_VALUE"""),"Dapat limit tapi belum diproses")</f>
        <v>Dapat limit tapi belum diproses</v>
      </c>
      <c r="D1679" s="40" t="str">
        <f>IFERROR(__xludf.DUMMYFUNCTION("""COMPUTED_VALUE"""),"V60 Lite series")</f>
        <v>V60 Lite series</v>
      </c>
      <c r="E1679" s="40" t="s">
        <v>11441</v>
      </c>
      <c r="F1679" s="40" t="s">
        <v>205</v>
      </c>
      <c r="G1679" s="40" t="s">
        <v>11442</v>
      </c>
      <c r="H1679" s="40" t="s">
        <v>11419</v>
      </c>
    </row>
    <row r="1680">
      <c r="A1680" s="39">
        <f>IFERROR(__xludf.DUMMYFUNCTION("""COMPUTED_VALUE"""),45949.71072972222)</f>
        <v>45949.71073</v>
      </c>
      <c r="B1680" s="40" t="str">
        <f>IFERROR(__xludf.DUMMYFUNCTION("""COMPUTED_VALUE"""),"AINI RAHMATINI NATALIA MOESTAKIM")</f>
        <v>AINI RAHMATINI NATALIA MOESTAKIM</v>
      </c>
      <c r="C1680" s="40" t="str">
        <f>IFERROR(__xludf.DUMMYFUNCTION("""COMPUTED_VALUE"""),"Dapat limit tapi belum diproses")</f>
        <v>Dapat limit tapi belum diproses</v>
      </c>
      <c r="D1680" s="40" t="str">
        <f>IFERROR(__xludf.DUMMYFUNCTION("""COMPUTED_VALUE"""),"Y400 series")</f>
        <v>Y400 series</v>
      </c>
      <c r="E1680" s="40" t="s">
        <v>11409</v>
      </c>
      <c r="F1680" s="40" t="s">
        <v>204</v>
      </c>
      <c r="G1680" s="40" t="s">
        <v>11410</v>
      </c>
      <c r="H1680" s="40" t="s">
        <v>11399</v>
      </c>
    </row>
    <row r="1681">
      <c r="A1681" s="39">
        <f>IFERROR(__xludf.DUMMYFUNCTION("""COMPUTED_VALUE"""),45949.87669321759)</f>
        <v>45949.87669</v>
      </c>
      <c r="B1681" s="40" t="str">
        <f>IFERROR(__xludf.DUMMYFUNCTION("""COMPUTED_VALUE"""),"ESTER LUDJI")</f>
        <v>ESTER LUDJI</v>
      </c>
      <c r="C1681" s="40" t="str">
        <f>IFERROR(__xludf.DUMMYFUNCTION("""COMPUTED_VALUE"""),"Belum disetujui")</f>
        <v>Belum disetujui</v>
      </c>
      <c r="D1681" s="40"/>
      <c r="E1681" s="40" t="s">
        <v>11441</v>
      </c>
      <c r="F1681" s="40" t="s">
        <v>205</v>
      </c>
      <c r="G1681" s="40" t="s">
        <v>11442</v>
      </c>
      <c r="H1681" s="40" t="s">
        <v>11419</v>
      </c>
    </row>
    <row r="1682">
      <c r="A1682" s="39">
        <f>IFERROR(__xludf.DUMMYFUNCTION("""COMPUTED_VALUE"""),45949.891362789356)</f>
        <v>45949.89136</v>
      </c>
      <c r="B1682" s="40" t="str">
        <f>IFERROR(__xludf.DUMMYFUNCTION("""COMPUTED_VALUE"""),"SELVINCE BAKO")</f>
        <v>SELVINCE BAKO</v>
      </c>
      <c r="C1682" s="40" t="str">
        <f>IFERROR(__xludf.DUMMYFUNCTION("""COMPUTED_VALUE"""),"Belum disetujui")</f>
        <v>Belum disetujui</v>
      </c>
      <c r="D1682" s="40"/>
      <c r="E1682" s="40" t="s">
        <v>11413</v>
      </c>
      <c r="F1682" s="40" t="s">
        <v>204</v>
      </c>
      <c r="G1682" s="40" t="s">
        <v>11414</v>
      </c>
      <c r="H1682" s="40" t="s">
        <v>11399</v>
      </c>
    </row>
    <row r="1683">
      <c r="A1683" s="39">
        <f>IFERROR(__xludf.DUMMYFUNCTION("""COMPUTED_VALUE"""),45949.89513712963)</f>
        <v>45949.89514</v>
      </c>
      <c r="B1683" s="40" t="str">
        <f>IFERROR(__xludf.DUMMYFUNCTION("""COMPUTED_VALUE"""),"SELVINCE BAKO")</f>
        <v>SELVINCE BAKO</v>
      </c>
      <c r="C1683" s="40" t="str">
        <f>IFERROR(__xludf.DUMMYFUNCTION("""COMPUTED_VALUE"""),"Belum disetujui")</f>
        <v>Belum disetujui</v>
      </c>
      <c r="D1683" s="40"/>
      <c r="E1683" s="40" t="s">
        <v>11413</v>
      </c>
      <c r="F1683" s="40" t="s">
        <v>204</v>
      </c>
      <c r="G1683" s="40" t="s">
        <v>11414</v>
      </c>
      <c r="H1683" s="40" t="s">
        <v>11399</v>
      </c>
    </row>
    <row r="1684">
      <c r="A1684" s="39">
        <f>IFERROR(__xludf.DUMMYFUNCTION("""COMPUTED_VALUE"""),45949.89869479167)</f>
        <v>45949.89869</v>
      </c>
      <c r="B1684" s="40" t="str">
        <f>IFERROR(__xludf.DUMMYFUNCTION("""COMPUTED_VALUE"""),"MARNITHA JUWIKE TIMORATI RUNESI")</f>
        <v>MARNITHA JUWIKE TIMORATI RUNESI</v>
      </c>
      <c r="C1684" s="40" t="str">
        <f>IFERROR(__xludf.DUMMYFUNCTION("""COMPUTED_VALUE"""),"Belum disetujui")</f>
        <v>Belum disetujui</v>
      </c>
      <c r="D1684" s="40"/>
      <c r="E1684" s="40" t="s">
        <v>11420</v>
      </c>
      <c r="F1684" s="40" t="s">
        <v>204</v>
      </c>
      <c r="G1684" s="40" t="s">
        <v>11421</v>
      </c>
      <c r="H1684" s="40" t="s">
        <v>11399</v>
      </c>
    </row>
    <row r="1685">
      <c r="A1685" s="39">
        <f>IFERROR(__xludf.DUMMYFUNCTION("""COMPUTED_VALUE"""),45949.901671585656)</f>
        <v>45949.90167</v>
      </c>
      <c r="B1685" s="40" t="str">
        <f>IFERROR(__xludf.DUMMYFUNCTION("""COMPUTED_VALUE"""),"IRENE NOVALIA KADJU")</f>
        <v>IRENE NOVALIA KADJU</v>
      </c>
      <c r="C1685" s="40" t="str">
        <f>IFERROR(__xludf.DUMMYFUNCTION("""COMPUTED_VALUE"""),"Belum disetujui")</f>
        <v>Belum disetujui</v>
      </c>
      <c r="D1685" s="40"/>
      <c r="E1685" s="40" t="s">
        <v>11445</v>
      </c>
      <c r="F1685" s="40" t="s">
        <v>204</v>
      </c>
      <c r="G1685" s="40" t="s">
        <v>11446</v>
      </c>
      <c r="H1685" s="40" t="s">
        <v>11399</v>
      </c>
    </row>
    <row r="1686">
      <c r="A1686" s="39">
        <f>IFERROR(__xludf.DUMMYFUNCTION("""COMPUTED_VALUE"""),45949.904262118056)</f>
        <v>45949.90426</v>
      </c>
      <c r="B1686" s="40" t="str">
        <f>IFERROR(__xludf.DUMMYFUNCTION("""COMPUTED_VALUE"""),"IRENE NOVALIA KADJU")</f>
        <v>IRENE NOVALIA KADJU</v>
      </c>
      <c r="C1686" s="40" t="str">
        <f>IFERROR(__xludf.DUMMYFUNCTION("""COMPUTED_VALUE"""),"Belum disetujui")</f>
        <v>Belum disetujui</v>
      </c>
      <c r="D1686" s="40"/>
      <c r="E1686" s="40" t="s">
        <v>11445</v>
      </c>
      <c r="F1686" s="40" t="s">
        <v>204</v>
      </c>
      <c r="G1686" s="40" t="s">
        <v>11446</v>
      </c>
      <c r="H1686" s="40" t="s">
        <v>11399</v>
      </c>
    </row>
    <row r="1687">
      <c r="A1687" s="39">
        <f>IFERROR(__xludf.DUMMYFUNCTION("""COMPUTED_VALUE"""),45949.91015271991)</f>
        <v>45949.91015</v>
      </c>
      <c r="B1687" s="40" t="str">
        <f>IFERROR(__xludf.DUMMYFUNCTION("""COMPUTED_VALUE"""),"HERONIMUS NAMU WALI")</f>
        <v>HERONIMUS NAMU WALI</v>
      </c>
      <c r="C1687" s="40" t="str">
        <f>IFERROR(__xludf.DUMMYFUNCTION("""COMPUTED_VALUE"""),"ACC")</f>
        <v>ACC</v>
      </c>
      <c r="D1687" s="40" t="str">
        <f>IFERROR(__xludf.DUMMYFUNCTION("""COMPUTED_VALUE"""),"Y400 series")</f>
        <v>Y400 series</v>
      </c>
      <c r="E1687" s="40" t="s">
        <v>11452</v>
      </c>
      <c r="F1687" s="40" t="s">
        <v>205</v>
      </c>
      <c r="G1687" s="40" t="s">
        <v>11453</v>
      </c>
      <c r="H1687" s="40" t="s">
        <v>11419</v>
      </c>
    </row>
    <row r="1688">
      <c r="A1688" s="39">
        <f>IFERROR(__xludf.DUMMYFUNCTION("""COMPUTED_VALUE"""),45950.44476464121)</f>
        <v>45950.44476</v>
      </c>
      <c r="B1688" s="40" t="str">
        <f>IFERROR(__xludf.DUMMYFUNCTION("""COMPUTED_VALUE"""),"CHOIRUNISA ILHAM")</f>
        <v>CHOIRUNISA ILHAM</v>
      </c>
      <c r="C1688" s="40" t="str">
        <f>IFERROR(__xludf.DUMMYFUNCTION("""COMPUTED_VALUE"""),"Belum disetujui")</f>
        <v>Belum disetujui</v>
      </c>
      <c r="D1688" s="40"/>
      <c r="E1688" s="40" t="s">
        <v>11404</v>
      </c>
      <c r="F1688" s="40" t="s">
        <v>11404</v>
      </c>
      <c r="G1688" s="40" t="s">
        <v>11404</v>
      </c>
      <c r="H1688" s="40" t="s">
        <v>11404</v>
      </c>
    </row>
    <row r="1689">
      <c r="A1689" s="39">
        <f>IFERROR(__xludf.DUMMYFUNCTION("""COMPUTED_VALUE"""),45950.46655342592)</f>
        <v>45950.46655</v>
      </c>
      <c r="B1689" s="40" t="str">
        <f>IFERROR(__xludf.DUMMYFUNCTION("""COMPUTED_VALUE"""),"BERGITHA NIA OLIN")</f>
        <v>BERGITHA NIA OLIN</v>
      </c>
      <c r="C1689" s="40" t="str">
        <f>IFERROR(__xludf.DUMMYFUNCTION("""COMPUTED_VALUE"""),"Belum disetujui")</f>
        <v>Belum disetujui</v>
      </c>
      <c r="D1689" s="40"/>
      <c r="E1689" s="40" t="s">
        <v>11431</v>
      </c>
      <c r="F1689" s="40" t="s">
        <v>313</v>
      </c>
      <c r="G1689" s="40" t="s">
        <v>11432</v>
      </c>
      <c r="H1689" s="40" t="s">
        <v>11424</v>
      </c>
    </row>
    <row r="1690">
      <c r="A1690" s="39">
        <f>IFERROR(__xludf.DUMMYFUNCTION("""COMPUTED_VALUE"""),45950.49302004629)</f>
        <v>45950.49302</v>
      </c>
      <c r="B1690" s="40" t="str">
        <f>IFERROR(__xludf.DUMMYFUNCTION("""COMPUTED_VALUE"""),"NUR FATIMAH MOLBANG")</f>
        <v>NUR FATIMAH MOLBANG</v>
      </c>
      <c r="C1690" s="40" t="str">
        <f>IFERROR(__xludf.DUMMYFUNCTION("""COMPUTED_VALUE"""),"Belum disetujui")</f>
        <v>Belum disetujui</v>
      </c>
      <c r="D1690" s="40"/>
      <c r="E1690" s="40" t="s">
        <v>11439</v>
      </c>
      <c r="F1690" s="40" t="s">
        <v>313</v>
      </c>
      <c r="G1690" s="40" t="s">
        <v>11440</v>
      </c>
      <c r="H1690" s="40" t="s">
        <v>11424</v>
      </c>
    </row>
    <row r="1691">
      <c r="A1691" s="39">
        <f>IFERROR(__xludf.DUMMYFUNCTION("""COMPUTED_VALUE"""),45950.500973009264)</f>
        <v>45950.50097</v>
      </c>
      <c r="B1691" s="40" t="str">
        <f>IFERROR(__xludf.DUMMYFUNCTION("""COMPUTED_VALUE"""),"PRETI SISILIA SILA")</f>
        <v>PRETI SISILIA SILA</v>
      </c>
      <c r="C1691" s="40" t="str">
        <f>IFERROR(__xludf.DUMMYFUNCTION("""COMPUTED_VALUE"""),"Dapat limit tapi belum diproses")</f>
        <v>Dapat limit tapi belum diproses</v>
      </c>
      <c r="D1691" s="40" t="str">
        <f>IFERROR(__xludf.DUMMYFUNCTION("""COMPUTED_VALUE"""),"Y400 series")</f>
        <v>Y400 series</v>
      </c>
      <c r="E1691" s="40" t="s">
        <v>11456</v>
      </c>
      <c r="F1691" s="40" t="s">
        <v>667</v>
      </c>
      <c r="G1691" s="40" t="s">
        <v>11457</v>
      </c>
      <c r="H1691" s="40" t="s">
        <v>11424</v>
      </c>
    </row>
    <row r="1692">
      <c r="A1692" s="39">
        <f>IFERROR(__xludf.DUMMYFUNCTION("""COMPUTED_VALUE"""),45950.509843611115)</f>
        <v>45950.50984</v>
      </c>
      <c r="B1692" s="40" t="str">
        <f>IFERROR(__xludf.DUMMYFUNCTION("""COMPUTED_VALUE"""),"EMPI FRANGKI LIEM")</f>
        <v>EMPI FRANGKI LIEM</v>
      </c>
      <c r="C1692" s="40" t="str">
        <f>IFERROR(__xludf.DUMMYFUNCTION("""COMPUTED_VALUE"""),"Belum disetujui")</f>
        <v>Belum disetujui</v>
      </c>
      <c r="D1692" s="40"/>
      <c r="E1692" s="40" t="s">
        <v>11397</v>
      </c>
      <c r="F1692" s="40" t="s">
        <v>220</v>
      </c>
      <c r="G1692" s="40" t="s">
        <v>11398</v>
      </c>
      <c r="H1692" s="40" t="s">
        <v>11399</v>
      </c>
    </row>
    <row r="1693">
      <c r="A1693" s="39">
        <f>IFERROR(__xludf.DUMMYFUNCTION("""COMPUTED_VALUE"""),45950.51882168982)</f>
        <v>45950.51882</v>
      </c>
      <c r="B1693" s="40" t="str">
        <f>IFERROR(__xludf.DUMMYFUNCTION("""COMPUTED_VALUE"""),"ARMINDA TEKU MANEK")</f>
        <v>ARMINDA TEKU MANEK</v>
      </c>
      <c r="C1693" s="40" t="str">
        <f>IFERROR(__xludf.DUMMYFUNCTION("""COMPUTED_VALUE"""),"Dapat limit tapi belum diproses")</f>
        <v>Dapat limit tapi belum diproses</v>
      </c>
      <c r="D1693" s="40" t="str">
        <f>IFERROR(__xludf.DUMMYFUNCTION("""COMPUTED_VALUE"""),"V60 Lite series")</f>
        <v>V60 Lite series</v>
      </c>
      <c r="E1693" s="40" t="s">
        <v>11474</v>
      </c>
      <c r="F1693" s="40" t="s">
        <v>313</v>
      </c>
      <c r="G1693" s="40" t="s">
        <v>11475</v>
      </c>
      <c r="H1693" s="40" t="s">
        <v>11424</v>
      </c>
    </row>
    <row r="1694">
      <c r="A1694" s="39">
        <f>IFERROR(__xludf.DUMMYFUNCTION("""COMPUTED_VALUE"""),45950.52652289352)</f>
        <v>45950.52652</v>
      </c>
      <c r="B1694" s="40" t="str">
        <f>IFERROR(__xludf.DUMMYFUNCTION("""COMPUTED_VALUE"""),"KESIA NATALIA I. BENU")</f>
        <v>KESIA NATALIA I. BENU</v>
      </c>
      <c r="C1694" s="40" t="str">
        <f>IFERROR(__xludf.DUMMYFUNCTION("""COMPUTED_VALUE"""),"ACC")</f>
        <v>ACC</v>
      </c>
      <c r="D1694" s="40" t="str">
        <f>IFERROR(__xludf.DUMMYFUNCTION("""COMPUTED_VALUE"""),"V50 Lite series")</f>
        <v>V50 Lite series</v>
      </c>
      <c r="E1694" s="40" t="s">
        <v>11417</v>
      </c>
      <c r="F1694" s="40" t="s">
        <v>257</v>
      </c>
      <c r="G1694" s="40" t="s">
        <v>11418</v>
      </c>
      <c r="H1694" s="40" t="s">
        <v>11419</v>
      </c>
    </row>
    <row r="1695">
      <c r="A1695" s="39">
        <f>IFERROR(__xludf.DUMMYFUNCTION("""COMPUTED_VALUE"""),45950.52764974537)</f>
        <v>45950.52765</v>
      </c>
      <c r="B1695" s="40" t="str">
        <f>IFERROR(__xludf.DUMMYFUNCTION("""COMPUTED_VALUE"""),"SANTI MARIA LUKMINI NAHAK")</f>
        <v>SANTI MARIA LUKMINI NAHAK</v>
      </c>
      <c r="C1695" s="40" t="str">
        <f>IFERROR(__xludf.DUMMYFUNCTION("""COMPUTED_VALUE"""),"Belum disetujui")</f>
        <v>Belum disetujui</v>
      </c>
      <c r="D1695" s="40"/>
      <c r="E1695" s="40" t="s">
        <v>11460</v>
      </c>
      <c r="F1695" s="40" t="s">
        <v>871</v>
      </c>
      <c r="G1695" s="40" t="s">
        <v>11461</v>
      </c>
      <c r="H1695" s="40" t="s">
        <v>11424</v>
      </c>
    </row>
    <row r="1696">
      <c r="A1696" s="39">
        <f>IFERROR(__xludf.DUMMYFUNCTION("""COMPUTED_VALUE"""),45950.52778072917)</f>
        <v>45950.52778</v>
      </c>
      <c r="B1696" s="40" t="str">
        <f>IFERROR(__xludf.DUMMYFUNCTION("""COMPUTED_VALUE"""),"KESIA NATALIA I. BENU")</f>
        <v>KESIA NATALIA I. BENU</v>
      </c>
      <c r="C1696" s="40" t="str">
        <f>IFERROR(__xludf.DUMMYFUNCTION("""COMPUTED_VALUE"""),"ACC")</f>
        <v>ACC</v>
      </c>
      <c r="D1696" s="40" t="str">
        <f>IFERROR(__xludf.DUMMYFUNCTION("""COMPUTED_VALUE"""),"Y400 series")</f>
        <v>Y400 series</v>
      </c>
      <c r="E1696" s="40" t="s">
        <v>11417</v>
      </c>
      <c r="F1696" s="40" t="s">
        <v>257</v>
      </c>
      <c r="G1696" s="40" t="s">
        <v>11418</v>
      </c>
      <c r="H1696" s="40" t="s">
        <v>11419</v>
      </c>
    </row>
    <row r="1697">
      <c r="A1697" s="39">
        <f>IFERROR(__xludf.DUMMYFUNCTION("""COMPUTED_VALUE"""),45950.542746736115)</f>
        <v>45950.54275</v>
      </c>
      <c r="B1697" s="40" t="str">
        <f>IFERROR(__xludf.DUMMYFUNCTION("""COMPUTED_VALUE"""),"MERDA PUTRI BUNGSU KENAT")</f>
        <v>MERDA PUTRI BUNGSU KENAT</v>
      </c>
      <c r="C1697" s="40" t="str">
        <f>IFERROR(__xludf.DUMMYFUNCTION("""COMPUTED_VALUE"""),"Belum disetujui")</f>
        <v>Belum disetujui</v>
      </c>
      <c r="D1697" s="40"/>
      <c r="E1697" s="40" t="s">
        <v>11422</v>
      </c>
      <c r="F1697" s="40" t="s">
        <v>215</v>
      </c>
      <c r="G1697" s="40" t="s">
        <v>11423</v>
      </c>
      <c r="H1697" s="40" t="s">
        <v>11424</v>
      </c>
    </row>
    <row r="1698">
      <c r="A1698" s="39">
        <f>IFERROR(__xludf.DUMMYFUNCTION("""COMPUTED_VALUE"""),45950.54528990741)</f>
        <v>45950.54529</v>
      </c>
      <c r="B1698" s="40" t="str">
        <f>IFERROR(__xludf.DUMMYFUNCTION("""COMPUTED_VALUE"""),"NENY MERLIANTI NA'U")</f>
        <v>NENY MERLIANTI NA'U</v>
      </c>
      <c r="C1698" s="40" t="str">
        <f>IFERROR(__xludf.DUMMYFUNCTION("""COMPUTED_VALUE"""),"Belum disetujui")</f>
        <v>Belum disetujui</v>
      </c>
      <c r="D1698" s="40"/>
      <c r="E1698" s="40" t="s">
        <v>11476</v>
      </c>
      <c r="F1698" s="40" t="s">
        <v>204</v>
      </c>
      <c r="G1698" s="40" t="s">
        <v>11477</v>
      </c>
      <c r="H1698" s="40" t="s">
        <v>11399</v>
      </c>
    </row>
    <row r="1699">
      <c r="A1699" s="39">
        <f>IFERROR(__xludf.DUMMYFUNCTION("""COMPUTED_VALUE"""),45950.55271655092)</f>
        <v>45950.55272</v>
      </c>
      <c r="B1699" s="40" t="str">
        <f>IFERROR(__xludf.DUMMYFUNCTION("""COMPUTED_VALUE"""),"YOHANIS TIPNONI")</f>
        <v>YOHANIS TIPNONI</v>
      </c>
      <c r="C1699" s="40" t="str">
        <f>IFERROR(__xludf.DUMMYFUNCTION("""COMPUTED_VALUE"""),"ACC")</f>
        <v>ACC</v>
      </c>
      <c r="D1699" s="40" t="str">
        <f>IFERROR(__xludf.DUMMYFUNCTION("""COMPUTED_VALUE"""),"Y400 series")</f>
        <v>Y400 series</v>
      </c>
      <c r="E1699" s="40" t="s">
        <v>11405</v>
      </c>
      <c r="F1699" s="40" t="s">
        <v>220</v>
      </c>
      <c r="G1699" s="40" t="s">
        <v>11406</v>
      </c>
      <c r="H1699" s="40" t="s">
        <v>11399</v>
      </c>
    </row>
    <row r="1700">
      <c r="A1700" s="39">
        <f>IFERROR(__xludf.DUMMYFUNCTION("""COMPUTED_VALUE"""),45950.553283587964)</f>
        <v>45950.55328</v>
      </c>
      <c r="B1700" s="40" t="str">
        <f>IFERROR(__xludf.DUMMYFUNCTION("""COMPUTED_VALUE"""),"NENY MERLIANTI NA'U")</f>
        <v>NENY MERLIANTI NA'U</v>
      </c>
      <c r="C1700" s="40" t="str">
        <f>IFERROR(__xludf.DUMMYFUNCTION("""COMPUTED_VALUE"""),"Belum disetujui")</f>
        <v>Belum disetujui</v>
      </c>
      <c r="D1700" s="40"/>
      <c r="E1700" s="40" t="s">
        <v>11476</v>
      </c>
      <c r="F1700" s="40" t="s">
        <v>204</v>
      </c>
      <c r="G1700" s="40" t="s">
        <v>11477</v>
      </c>
      <c r="H1700" s="40" t="s">
        <v>11399</v>
      </c>
    </row>
    <row r="1701">
      <c r="A1701" s="39">
        <f>IFERROR(__xludf.DUMMYFUNCTION("""COMPUTED_VALUE"""),45950.61550372685)</f>
        <v>45950.6155</v>
      </c>
      <c r="B1701" s="40" t="str">
        <f>IFERROR(__xludf.DUMMYFUNCTION("""COMPUTED_VALUE"""),"IRENE NOVALIA KADJU")</f>
        <v>IRENE NOVALIA KADJU</v>
      </c>
      <c r="C1701" s="40" t="str">
        <f>IFERROR(__xludf.DUMMYFUNCTION("""COMPUTED_VALUE"""),"Belum disetujui")</f>
        <v>Belum disetujui</v>
      </c>
      <c r="D1701" s="40"/>
      <c r="E1701" s="40" t="s">
        <v>11445</v>
      </c>
      <c r="F1701" s="40" t="s">
        <v>204</v>
      </c>
      <c r="G1701" s="40" t="s">
        <v>11446</v>
      </c>
      <c r="H1701" s="40" t="s">
        <v>11399</v>
      </c>
    </row>
    <row r="1702">
      <c r="A1702" s="39">
        <f>IFERROR(__xludf.DUMMYFUNCTION("""COMPUTED_VALUE"""),45950.67800659722)</f>
        <v>45950.67801</v>
      </c>
      <c r="B1702" s="40" t="str">
        <f>IFERROR(__xludf.DUMMYFUNCTION("""COMPUTED_VALUE"""),"YOMELIANA MARIA MAGNO")</f>
        <v>YOMELIANA MARIA MAGNO</v>
      </c>
      <c r="C1702" s="40" t="str">
        <f>IFERROR(__xludf.DUMMYFUNCTION("""COMPUTED_VALUE"""),"Belum disetujui")</f>
        <v>Belum disetujui</v>
      </c>
      <c r="D1702" s="40"/>
      <c r="E1702" s="40" t="s">
        <v>11460</v>
      </c>
      <c r="F1702" s="40" t="s">
        <v>871</v>
      </c>
      <c r="G1702" s="40" t="s">
        <v>11461</v>
      </c>
      <c r="H1702" s="40" t="s">
        <v>11424</v>
      </c>
    </row>
    <row r="1703">
      <c r="A1703" s="39">
        <f>IFERROR(__xludf.DUMMYFUNCTION("""COMPUTED_VALUE"""),45950.71045266204)</f>
        <v>45950.71045</v>
      </c>
      <c r="B1703" s="40" t="str">
        <f>IFERROR(__xludf.DUMMYFUNCTION("""COMPUTED_VALUE"""),"MARNITHA JUWIKE TIMORATI RUNESI")</f>
        <v>MARNITHA JUWIKE TIMORATI RUNESI</v>
      </c>
      <c r="C1703" s="40" t="str">
        <f>IFERROR(__xludf.DUMMYFUNCTION("""COMPUTED_VALUE"""),"Belum disetujui")</f>
        <v>Belum disetujui</v>
      </c>
      <c r="D1703" s="40"/>
      <c r="E1703" s="40" t="s">
        <v>11420</v>
      </c>
      <c r="F1703" s="40" t="s">
        <v>204</v>
      </c>
      <c r="G1703" s="40" t="s">
        <v>11421</v>
      </c>
      <c r="H1703" s="40" t="s">
        <v>11399</v>
      </c>
    </row>
    <row r="1704">
      <c r="A1704" s="39">
        <f>IFERROR(__xludf.DUMMYFUNCTION("""COMPUTED_VALUE"""),45950.717944675926)</f>
        <v>45950.71794</v>
      </c>
      <c r="B1704" s="40" t="str">
        <f>IFERROR(__xludf.DUMMYFUNCTION("""COMPUTED_VALUE"""),"ARMINDA TEKU MANEK")</f>
        <v>ARMINDA TEKU MANEK</v>
      </c>
      <c r="C1704" s="40" t="str">
        <f>IFERROR(__xludf.DUMMYFUNCTION("""COMPUTED_VALUE"""),"Belum disetujui")</f>
        <v>Belum disetujui</v>
      </c>
      <c r="D1704" s="40"/>
      <c r="E1704" s="40" t="s">
        <v>11474</v>
      </c>
      <c r="F1704" s="40" t="s">
        <v>313</v>
      </c>
      <c r="G1704" s="40" t="s">
        <v>11475</v>
      </c>
      <c r="H1704" s="40" t="s">
        <v>11424</v>
      </c>
    </row>
    <row r="1705">
      <c r="A1705" s="39">
        <f>IFERROR(__xludf.DUMMYFUNCTION("""COMPUTED_VALUE"""),45950.7354296412)</f>
        <v>45950.73543</v>
      </c>
      <c r="B1705" s="40" t="str">
        <f>IFERROR(__xludf.DUMMYFUNCTION("""COMPUTED_VALUE"""),"PRETI SISILIA SILA")</f>
        <v>PRETI SISILIA SILA</v>
      </c>
      <c r="C1705" s="40" t="str">
        <f>IFERROR(__xludf.DUMMYFUNCTION("""COMPUTED_VALUE"""),"Dapat limit tapi belum diproses")</f>
        <v>Dapat limit tapi belum diproses</v>
      </c>
      <c r="D1705" s="40" t="str">
        <f>IFERROR(__xludf.DUMMYFUNCTION("""COMPUTED_VALUE"""),"V50 series")</f>
        <v>V50 series</v>
      </c>
      <c r="E1705" s="40" t="s">
        <v>11456</v>
      </c>
      <c r="F1705" s="40" t="s">
        <v>667</v>
      </c>
      <c r="G1705" s="40" t="s">
        <v>11457</v>
      </c>
      <c r="H1705" s="40" t="s">
        <v>11424</v>
      </c>
    </row>
    <row r="1706">
      <c r="A1706" s="39">
        <f>IFERROR(__xludf.DUMMYFUNCTION("""COMPUTED_VALUE"""),45950.75466001157)</f>
        <v>45950.75466</v>
      </c>
      <c r="B1706" s="40" t="str">
        <f>IFERROR(__xludf.DUMMYFUNCTION("""COMPUTED_VALUE"""),"ADRIANA")</f>
        <v>ADRIANA</v>
      </c>
      <c r="C1706" s="40" t="str">
        <f>IFERROR(__xludf.DUMMYFUNCTION("""COMPUTED_VALUE"""),"ACC")</f>
        <v>ACC</v>
      </c>
      <c r="D1706" s="40" t="str">
        <f>IFERROR(__xludf.DUMMYFUNCTION("""COMPUTED_VALUE"""),"V60 Lite series")</f>
        <v>V60 Lite series</v>
      </c>
      <c r="E1706" s="40" t="s">
        <v>11433</v>
      </c>
      <c r="F1706" s="40" t="s">
        <v>313</v>
      </c>
      <c r="G1706" s="40" t="s">
        <v>11434</v>
      </c>
      <c r="H1706" s="40" t="s">
        <v>11424</v>
      </c>
    </row>
    <row r="1707">
      <c r="A1707" s="39">
        <f>IFERROR(__xludf.DUMMYFUNCTION("""COMPUTED_VALUE"""),45950.77253619213)</f>
        <v>45950.77254</v>
      </c>
      <c r="B1707" s="40" t="str">
        <f>IFERROR(__xludf.DUMMYFUNCTION("""COMPUTED_VALUE"""),"BERGITHA NIA OLIN")</f>
        <v>BERGITHA NIA OLIN</v>
      </c>
      <c r="C1707" s="40" t="str">
        <f>IFERROR(__xludf.DUMMYFUNCTION("""COMPUTED_VALUE"""),"Belum disetujui")</f>
        <v>Belum disetujui</v>
      </c>
      <c r="D1707" s="40"/>
      <c r="E1707" s="40" t="s">
        <v>11431</v>
      </c>
      <c r="F1707" s="40" t="s">
        <v>313</v>
      </c>
      <c r="G1707" s="40" t="s">
        <v>11432</v>
      </c>
      <c r="H1707" s="40" t="s">
        <v>11424</v>
      </c>
    </row>
    <row r="1708">
      <c r="A1708" s="39">
        <f>IFERROR(__xludf.DUMMYFUNCTION("""COMPUTED_VALUE"""),45950.7971722338)</f>
        <v>45950.79717</v>
      </c>
      <c r="B1708" s="40" t="str">
        <f>IFERROR(__xludf.DUMMYFUNCTION("""COMPUTED_VALUE"""),"MARIA MELAN ANANCE BILI")</f>
        <v>MARIA MELAN ANANCE BILI</v>
      </c>
      <c r="C1708" s="40" t="str">
        <f>IFERROR(__xludf.DUMMYFUNCTION("""COMPUTED_VALUE"""),"Belum disetujui")</f>
        <v>Belum disetujui</v>
      </c>
      <c r="D1708" s="40"/>
      <c r="E1708" s="40" t="s">
        <v>11466</v>
      </c>
      <c r="F1708" s="40" t="s">
        <v>257</v>
      </c>
      <c r="G1708" s="40" t="s">
        <v>11467</v>
      </c>
      <c r="H1708" s="40" t="s">
        <v>11419</v>
      </c>
    </row>
    <row r="1709">
      <c r="A1709" s="39">
        <f>IFERROR(__xludf.DUMMYFUNCTION("""COMPUTED_VALUE"""),45950.81017471065)</f>
        <v>45950.81017</v>
      </c>
      <c r="B1709" s="40" t="str">
        <f>IFERROR(__xludf.DUMMYFUNCTION("""COMPUTED_VALUE"""),"MERDA PUTRI BUNGSU KENAT")</f>
        <v>MERDA PUTRI BUNGSU KENAT</v>
      </c>
      <c r="C1709" s="40" t="str">
        <f>IFERROR(__xludf.DUMMYFUNCTION("""COMPUTED_VALUE"""),"ACC")</f>
        <v>ACC</v>
      </c>
      <c r="D1709" s="40" t="str">
        <f>IFERROR(__xludf.DUMMYFUNCTION("""COMPUTED_VALUE"""),"Y400 series")</f>
        <v>Y400 series</v>
      </c>
      <c r="E1709" s="40" t="s">
        <v>11422</v>
      </c>
      <c r="F1709" s="40" t="s">
        <v>215</v>
      </c>
      <c r="G1709" s="40" t="s">
        <v>11423</v>
      </c>
      <c r="H1709" s="40" t="s">
        <v>11424</v>
      </c>
    </row>
    <row r="1710">
      <c r="A1710" s="39">
        <f>IFERROR(__xludf.DUMMYFUNCTION("""COMPUTED_VALUE"""),45950.82762510416)</f>
        <v>45950.82763</v>
      </c>
      <c r="B1710" s="40" t="str">
        <f>IFERROR(__xludf.DUMMYFUNCTION("""COMPUTED_VALUE"""),"EMPI FRANGKI LIEM")</f>
        <v>EMPI FRANGKI LIEM</v>
      </c>
      <c r="C1710" s="40" t="str">
        <f>IFERROR(__xludf.DUMMYFUNCTION("""COMPUTED_VALUE"""),"Belum disetujui")</f>
        <v>Belum disetujui</v>
      </c>
      <c r="D1710" s="40"/>
      <c r="E1710" s="40" t="s">
        <v>11397</v>
      </c>
      <c r="F1710" s="40" t="s">
        <v>220</v>
      </c>
      <c r="G1710" s="40" t="s">
        <v>11398</v>
      </c>
      <c r="H1710" s="40" t="s">
        <v>11399</v>
      </c>
    </row>
    <row r="1711">
      <c r="A1711" s="39">
        <f>IFERROR(__xludf.DUMMYFUNCTION("""COMPUTED_VALUE"""),45950.8381456713)</f>
        <v>45950.83815</v>
      </c>
      <c r="B1711" s="40" t="str">
        <f>IFERROR(__xludf.DUMMYFUNCTION("""COMPUTED_VALUE"""),"SELVINCE BAKO")</f>
        <v>SELVINCE BAKO</v>
      </c>
      <c r="C1711" s="40" t="str">
        <f>IFERROR(__xludf.DUMMYFUNCTION("""COMPUTED_VALUE"""),"Belum disetujui")</f>
        <v>Belum disetujui</v>
      </c>
      <c r="D1711" s="40"/>
      <c r="E1711" s="40" t="s">
        <v>11413</v>
      </c>
      <c r="F1711" s="40" t="s">
        <v>204</v>
      </c>
      <c r="G1711" s="40" t="s">
        <v>11414</v>
      </c>
      <c r="H1711" s="40" t="s">
        <v>11399</v>
      </c>
    </row>
    <row r="1712">
      <c r="A1712" s="39">
        <f>IFERROR(__xludf.DUMMYFUNCTION("""COMPUTED_VALUE"""),45950.84177777777)</f>
        <v>45950.84178</v>
      </c>
      <c r="B1712" s="40" t="str">
        <f>IFERROR(__xludf.DUMMYFUNCTION("""COMPUTED_VALUE"""),"YOHANA NOVIANA MARIANA GAA")</f>
        <v>YOHANA NOVIANA MARIANA GAA</v>
      </c>
      <c r="C1712" s="40" t="str">
        <f>IFERROR(__xludf.DUMMYFUNCTION("""COMPUTED_VALUE"""),"ACC")</f>
        <v>ACC</v>
      </c>
      <c r="D1712" s="40" t="str">
        <f>IFERROR(__xludf.DUMMYFUNCTION("""COMPUTED_VALUE"""),"V60 Lite series")</f>
        <v>V60 Lite series</v>
      </c>
      <c r="E1712" s="40" t="s">
        <v>11400</v>
      </c>
      <c r="F1712" s="40" t="s">
        <v>204</v>
      </c>
      <c r="G1712" s="40" t="s">
        <v>11401</v>
      </c>
      <c r="H1712" s="40" t="s">
        <v>11399</v>
      </c>
    </row>
    <row r="1713">
      <c r="A1713" s="39">
        <f>IFERROR(__xludf.DUMMYFUNCTION("""COMPUTED_VALUE"""),45950.845134895826)</f>
        <v>45950.84513</v>
      </c>
      <c r="B1713" s="40" t="str">
        <f>IFERROR(__xludf.DUMMYFUNCTION("""COMPUTED_VALUE"""),"YOHANA NOVIANA MARIANA GAA")</f>
        <v>YOHANA NOVIANA MARIANA GAA</v>
      </c>
      <c r="C1713" s="40" t="str">
        <f>IFERROR(__xludf.DUMMYFUNCTION("""COMPUTED_VALUE"""),"Belum disetujui")</f>
        <v>Belum disetujui</v>
      </c>
      <c r="D1713" s="40"/>
      <c r="E1713" s="40" t="s">
        <v>11400</v>
      </c>
      <c r="F1713" s="40" t="s">
        <v>204</v>
      </c>
      <c r="G1713" s="40" t="s">
        <v>11401</v>
      </c>
      <c r="H1713" s="40" t="s">
        <v>11399</v>
      </c>
    </row>
    <row r="1714">
      <c r="A1714" s="39">
        <f>IFERROR(__xludf.DUMMYFUNCTION("""COMPUTED_VALUE"""),45950.84650274306)</f>
        <v>45950.8465</v>
      </c>
      <c r="B1714" s="40" t="str">
        <f>IFERROR(__xludf.DUMMYFUNCTION("""COMPUTED_VALUE"""),"MEXY ALEXANDER HETMINA")</f>
        <v>MEXY ALEXANDER HETMINA</v>
      </c>
      <c r="C1714" s="40" t="str">
        <f>IFERROR(__xludf.DUMMYFUNCTION("""COMPUTED_VALUE"""),"Belum disetujui")</f>
        <v>Belum disetujui</v>
      </c>
      <c r="D1714" s="40"/>
      <c r="E1714" s="40" t="s">
        <v>11413</v>
      </c>
      <c r="F1714" s="40" t="s">
        <v>204</v>
      </c>
      <c r="G1714" s="40" t="s">
        <v>11414</v>
      </c>
      <c r="H1714" s="40" t="s">
        <v>11399</v>
      </c>
    </row>
    <row r="1715">
      <c r="A1715" s="39">
        <f>IFERROR(__xludf.DUMMYFUNCTION("""COMPUTED_VALUE"""),45951.38300947916)</f>
        <v>45951.38301</v>
      </c>
      <c r="B1715" s="40" t="str">
        <f>IFERROR(__xludf.DUMMYFUNCTION("""COMPUTED_VALUE"""),"MERDA PUTRI BUNGSU KENAT")</f>
        <v>MERDA PUTRI BUNGSU KENAT</v>
      </c>
      <c r="C1715" s="40" t="str">
        <f>IFERROR(__xludf.DUMMYFUNCTION("""COMPUTED_VALUE"""),"ACC")</f>
        <v>ACC</v>
      </c>
      <c r="D1715" s="40" t="str">
        <f>IFERROR(__xludf.DUMMYFUNCTION("""COMPUTED_VALUE"""),"Y400 series")</f>
        <v>Y400 series</v>
      </c>
      <c r="E1715" s="40" t="s">
        <v>11422</v>
      </c>
      <c r="F1715" s="40" t="s">
        <v>215</v>
      </c>
      <c r="G1715" s="40" t="s">
        <v>11423</v>
      </c>
      <c r="H1715" s="40" t="s">
        <v>11424</v>
      </c>
    </row>
    <row r="1716">
      <c r="A1716" s="39">
        <f>IFERROR(__xludf.DUMMYFUNCTION("""COMPUTED_VALUE"""),45951.4036883912)</f>
        <v>45951.40369</v>
      </c>
      <c r="B1716" s="40" t="str">
        <f>IFERROR(__xludf.DUMMYFUNCTION("""COMPUTED_VALUE"""),"SANTI MARIA LUKMINI NAHAK")</f>
        <v>SANTI MARIA LUKMINI NAHAK</v>
      </c>
      <c r="C1716" s="40" t="str">
        <f>IFERROR(__xludf.DUMMYFUNCTION("""COMPUTED_VALUE"""),"Belum disetujui")</f>
        <v>Belum disetujui</v>
      </c>
      <c r="D1716" s="40"/>
      <c r="E1716" s="40" t="s">
        <v>11460</v>
      </c>
      <c r="F1716" s="40" t="s">
        <v>871</v>
      </c>
      <c r="G1716" s="40" t="s">
        <v>11461</v>
      </c>
      <c r="H1716" s="40" t="s">
        <v>11424</v>
      </c>
    </row>
    <row r="1717">
      <c r="A1717" s="39">
        <f>IFERROR(__xludf.DUMMYFUNCTION("""COMPUTED_VALUE"""),45951.40561703704)</f>
        <v>45951.40562</v>
      </c>
      <c r="B1717" s="40" t="str">
        <f>IFERROR(__xludf.DUMMYFUNCTION("""COMPUTED_VALUE"""),"ASRI NINGSI RAMBU ATA ENDI")</f>
        <v>ASRI NINGSI RAMBU ATA ENDI</v>
      </c>
      <c r="C1717" s="40" t="str">
        <f>IFERROR(__xludf.DUMMYFUNCTION("""COMPUTED_VALUE"""),"Belum disetujui")</f>
        <v>Belum disetujui</v>
      </c>
      <c r="D1717" s="40"/>
      <c r="E1717" s="40" t="s">
        <v>11441</v>
      </c>
      <c r="F1717" s="40" t="s">
        <v>205</v>
      </c>
      <c r="G1717" s="40" t="s">
        <v>11442</v>
      </c>
      <c r="H1717" s="40" t="s">
        <v>11419</v>
      </c>
    </row>
    <row r="1718">
      <c r="A1718" s="39">
        <f>IFERROR(__xludf.DUMMYFUNCTION("""COMPUTED_VALUE"""),45951.41047293981)</f>
        <v>45951.41047</v>
      </c>
      <c r="B1718" s="40" t="str">
        <f>IFERROR(__xludf.DUMMYFUNCTION("""COMPUTED_VALUE"""),"SANTI MARIA LUKMINI NAHAK")</f>
        <v>SANTI MARIA LUKMINI NAHAK</v>
      </c>
      <c r="C1718" s="40" t="str">
        <f>IFERROR(__xludf.DUMMYFUNCTION("""COMPUTED_VALUE"""),"Belum disetujui")</f>
        <v>Belum disetujui</v>
      </c>
      <c r="D1718" s="40"/>
      <c r="E1718" s="40" t="s">
        <v>11460</v>
      </c>
      <c r="F1718" s="40" t="s">
        <v>871</v>
      </c>
      <c r="G1718" s="40" t="s">
        <v>11461</v>
      </c>
      <c r="H1718" s="40" t="s">
        <v>11424</v>
      </c>
    </row>
    <row r="1719">
      <c r="A1719" s="39">
        <f>IFERROR(__xludf.DUMMYFUNCTION("""COMPUTED_VALUE"""),45951.4110490625)</f>
        <v>45951.41105</v>
      </c>
      <c r="B1719" s="40" t="str">
        <f>IFERROR(__xludf.DUMMYFUNCTION("""COMPUTED_VALUE"""),"NUR FATIMAH MOLBANG")</f>
        <v>NUR FATIMAH MOLBANG</v>
      </c>
      <c r="C1719" s="40" t="str">
        <f>IFERROR(__xludf.DUMMYFUNCTION("""COMPUTED_VALUE"""),"Belum disetujui")</f>
        <v>Belum disetujui</v>
      </c>
      <c r="D1719" s="40"/>
      <c r="E1719" s="40" t="s">
        <v>11439</v>
      </c>
      <c r="F1719" s="40" t="s">
        <v>313</v>
      </c>
      <c r="G1719" s="40" t="s">
        <v>11440</v>
      </c>
      <c r="H1719" s="40" t="s">
        <v>11424</v>
      </c>
    </row>
    <row r="1720">
      <c r="A1720" s="39">
        <f>IFERROR(__xludf.DUMMYFUNCTION("""COMPUTED_VALUE"""),45951.418198368054)</f>
        <v>45951.4182</v>
      </c>
      <c r="B1720" s="40" t="str">
        <f>IFERROR(__xludf.DUMMYFUNCTION("""COMPUTED_VALUE"""),"PRETI SISILIA SILA")</f>
        <v>PRETI SISILIA SILA</v>
      </c>
      <c r="C1720" s="40" t="str">
        <f>IFERROR(__xludf.DUMMYFUNCTION("""COMPUTED_VALUE"""),"Belum disetujui")</f>
        <v>Belum disetujui</v>
      </c>
      <c r="D1720" s="40"/>
      <c r="E1720" s="40" t="s">
        <v>11456</v>
      </c>
      <c r="F1720" s="40" t="s">
        <v>667</v>
      </c>
      <c r="G1720" s="40" t="s">
        <v>11457</v>
      </c>
      <c r="H1720" s="40" t="s">
        <v>11424</v>
      </c>
    </row>
    <row r="1721">
      <c r="A1721" s="39">
        <f>IFERROR(__xludf.DUMMYFUNCTION("""COMPUTED_VALUE"""),45951.42017481482)</f>
        <v>45951.42017</v>
      </c>
      <c r="B1721" s="40" t="str">
        <f>IFERROR(__xludf.DUMMYFUNCTION("""COMPUTED_VALUE"""),"MARNITHA JUWIKE TIMORATI RUNESI")</f>
        <v>MARNITHA JUWIKE TIMORATI RUNESI</v>
      </c>
      <c r="C1721" s="40" t="str">
        <f>IFERROR(__xludf.DUMMYFUNCTION("""COMPUTED_VALUE"""),"Belum disetujui")</f>
        <v>Belum disetujui</v>
      </c>
      <c r="D1721" s="40"/>
      <c r="E1721" s="40" t="s">
        <v>11420</v>
      </c>
      <c r="F1721" s="40" t="s">
        <v>204</v>
      </c>
      <c r="G1721" s="40" t="s">
        <v>11421</v>
      </c>
      <c r="H1721" s="40" t="s">
        <v>11399</v>
      </c>
    </row>
    <row r="1722">
      <c r="A1722" s="39">
        <f>IFERROR(__xludf.DUMMYFUNCTION("""COMPUTED_VALUE"""),45951.446559537035)</f>
        <v>45951.44656</v>
      </c>
      <c r="B1722" s="40" t="str">
        <f>IFERROR(__xludf.DUMMYFUNCTION("""COMPUTED_VALUE"""),"EMPI FRANGKI LIEM")</f>
        <v>EMPI FRANGKI LIEM</v>
      </c>
      <c r="C1722" s="40" t="str">
        <f>IFERROR(__xludf.DUMMYFUNCTION("""COMPUTED_VALUE"""),"Belum disetujui")</f>
        <v>Belum disetujui</v>
      </c>
      <c r="D1722" s="40"/>
      <c r="E1722" s="40" t="s">
        <v>11397</v>
      </c>
      <c r="F1722" s="40" t="s">
        <v>220</v>
      </c>
      <c r="G1722" s="40" t="s">
        <v>11398</v>
      </c>
      <c r="H1722" s="40" t="s">
        <v>11399</v>
      </c>
    </row>
    <row r="1723">
      <c r="A1723" s="39">
        <f>IFERROR(__xludf.DUMMYFUNCTION("""COMPUTED_VALUE"""),45951.47409091436)</f>
        <v>45951.47409</v>
      </c>
      <c r="B1723" s="40" t="str">
        <f>IFERROR(__xludf.DUMMYFUNCTION("""COMPUTED_VALUE"""),"ASRI NINGSI RAMBU ATA ENDI")</f>
        <v>ASRI NINGSI RAMBU ATA ENDI</v>
      </c>
      <c r="C1723" s="40" t="str">
        <f>IFERROR(__xludf.DUMMYFUNCTION("""COMPUTED_VALUE"""),"Belum disetujui")</f>
        <v>Belum disetujui</v>
      </c>
      <c r="D1723" s="40"/>
      <c r="E1723" s="40" t="s">
        <v>11441</v>
      </c>
      <c r="F1723" s="40" t="s">
        <v>205</v>
      </c>
      <c r="G1723" s="40" t="s">
        <v>11442</v>
      </c>
      <c r="H1723" s="40" t="s">
        <v>11419</v>
      </c>
    </row>
    <row r="1724">
      <c r="A1724" s="39">
        <f>IFERROR(__xludf.DUMMYFUNCTION("""COMPUTED_VALUE"""),45951.4778362037)</f>
        <v>45951.47784</v>
      </c>
      <c r="B1724" s="40" t="str">
        <f>IFERROR(__xludf.DUMMYFUNCTION("""COMPUTED_VALUE"""),"NOVANTRY RUTHANIA NAFFIE")</f>
        <v>NOVANTRY RUTHANIA NAFFIE</v>
      </c>
      <c r="C1724" s="40" t="str">
        <f>IFERROR(__xludf.DUMMYFUNCTION("""COMPUTED_VALUE"""),"Belum disetujui")</f>
        <v>Belum disetujui</v>
      </c>
      <c r="D1724" s="40"/>
      <c r="E1724" s="40" t="s">
        <v>11397</v>
      </c>
      <c r="F1724" s="40" t="s">
        <v>220</v>
      </c>
      <c r="G1724" s="40" t="s">
        <v>11398</v>
      </c>
      <c r="H1724" s="40" t="s">
        <v>11399</v>
      </c>
    </row>
    <row r="1725">
      <c r="A1725" s="39">
        <f>IFERROR(__xludf.DUMMYFUNCTION("""COMPUTED_VALUE"""),45951.552646516204)</f>
        <v>45951.55265</v>
      </c>
      <c r="B1725" s="40" t="str">
        <f>IFERROR(__xludf.DUMMYFUNCTION("""COMPUTED_VALUE"""),"KESIA NATALIA I. BENU")</f>
        <v>KESIA NATALIA I. BENU</v>
      </c>
      <c r="C1725" s="40" t="str">
        <f>IFERROR(__xludf.DUMMYFUNCTION("""COMPUTED_VALUE"""),"Belum disetujui")</f>
        <v>Belum disetujui</v>
      </c>
      <c r="D1725" s="40"/>
      <c r="E1725" s="40" t="s">
        <v>11417</v>
      </c>
      <c r="F1725" s="40" t="s">
        <v>257</v>
      </c>
      <c r="G1725" s="40" t="s">
        <v>11418</v>
      </c>
      <c r="H1725" s="40" t="s">
        <v>11419</v>
      </c>
    </row>
    <row r="1726">
      <c r="A1726" s="39">
        <f>IFERROR(__xludf.DUMMYFUNCTION("""COMPUTED_VALUE"""),45951.578729629626)</f>
        <v>45951.57873</v>
      </c>
      <c r="B1726" s="40" t="str">
        <f>IFERROR(__xludf.DUMMYFUNCTION("""COMPUTED_VALUE"""),"YASINTHA MBU")</f>
        <v>YASINTHA MBU</v>
      </c>
      <c r="C1726" s="40" t="str">
        <f>IFERROR(__xludf.DUMMYFUNCTION("""COMPUTED_VALUE"""),"Belum disetujui")</f>
        <v>Belum disetujui</v>
      </c>
      <c r="D1726" s="40"/>
      <c r="E1726" s="40" t="s">
        <v>11407</v>
      </c>
      <c r="F1726" s="40" t="s">
        <v>220</v>
      </c>
      <c r="G1726" s="40" t="s">
        <v>11408</v>
      </c>
      <c r="H1726" s="40" t="s">
        <v>11399</v>
      </c>
    </row>
    <row r="1727">
      <c r="A1727" s="39">
        <f>IFERROR(__xludf.DUMMYFUNCTION("""COMPUTED_VALUE"""),45951.60742193287)</f>
        <v>45951.60742</v>
      </c>
      <c r="B1727" s="40" t="str">
        <f>IFERROR(__xludf.DUMMYFUNCTION("""COMPUTED_VALUE"""),"NUR FATIMAH MOLBANG")</f>
        <v>NUR FATIMAH MOLBANG</v>
      </c>
      <c r="C1727" s="40" t="str">
        <f>IFERROR(__xludf.DUMMYFUNCTION("""COMPUTED_VALUE"""),"Belum disetujui")</f>
        <v>Belum disetujui</v>
      </c>
      <c r="D1727" s="40"/>
      <c r="E1727" s="40" t="s">
        <v>11439</v>
      </c>
      <c r="F1727" s="40" t="s">
        <v>313</v>
      </c>
      <c r="G1727" s="40" t="s">
        <v>11440</v>
      </c>
      <c r="H1727" s="40" t="s">
        <v>11424</v>
      </c>
    </row>
    <row r="1728">
      <c r="A1728" s="39">
        <f>IFERROR(__xludf.DUMMYFUNCTION("""COMPUTED_VALUE"""),45951.63336135417)</f>
        <v>45951.63336</v>
      </c>
      <c r="B1728" s="40" t="str">
        <f>IFERROR(__xludf.DUMMYFUNCTION("""COMPUTED_VALUE"""),"NABILA RAHMAWATI")</f>
        <v>NABILA RAHMAWATI</v>
      </c>
      <c r="C1728" s="40" t="str">
        <f>IFERROR(__xludf.DUMMYFUNCTION("""COMPUTED_VALUE"""),"Dapat limit tapi belum diproses")</f>
        <v>Dapat limit tapi belum diproses</v>
      </c>
      <c r="D1728" s="40" t="str">
        <f>IFERROR(__xludf.DUMMYFUNCTION("""COMPUTED_VALUE"""),"V60 Lite series")</f>
        <v>V60 Lite series</v>
      </c>
      <c r="E1728" s="40" t="s">
        <v>11464</v>
      </c>
      <c r="F1728" s="40" t="s">
        <v>257</v>
      </c>
      <c r="G1728" s="40" t="s">
        <v>11465</v>
      </c>
      <c r="H1728" s="40" t="s">
        <v>11419</v>
      </c>
    </row>
    <row r="1729">
      <c r="A1729" s="39">
        <f>IFERROR(__xludf.DUMMYFUNCTION("""COMPUTED_VALUE"""),45951.63405368055)</f>
        <v>45951.63405</v>
      </c>
      <c r="B1729" s="40" t="str">
        <f>IFERROR(__xludf.DUMMYFUNCTION("""COMPUTED_VALUE"""),"MARIA MELAN ANANCE BILI")</f>
        <v>MARIA MELAN ANANCE BILI</v>
      </c>
      <c r="C1729" s="40" t="str">
        <f>IFERROR(__xludf.DUMMYFUNCTION("""COMPUTED_VALUE"""),"Belum disetujui")</f>
        <v>Belum disetujui</v>
      </c>
      <c r="D1729" s="40"/>
      <c r="E1729" s="40" t="s">
        <v>11466</v>
      </c>
      <c r="F1729" s="40" t="s">
        <v>257</v>
      </c>
      <c r="G1729" s="40" t="s">
        <v>11467</v>
      </c>
      <c r="H1729" s="40" t="s">
        <v>11419</v>
      </c>
    </row>
    <row r="1730">
      <c r="A1730" s="39">
        <f>IFERROR(__xludf.DUMMYFUNCTION("""COMPUTED_VALUE"""),45951.63484894676)</f>
        <v>45951.63485</v>
      </c>
      <c r="B1730" s="40" t="str">
        <f>IFERROR(__xludf.DUMMYFUNCTION("""COMPUTED_VALUE"""),"PRETI SISILIA SILA")</f>
        <v>PRETI SISILIA SILA</v>
      </c>
      <c r="C1730" s="40" t="str">
        <f>IFERROR(__xludf.DUMMYFUNCTION("""COMPUTED_VALUE"""),"Dapat limit tapi belum diproses")</f>
        <v>Dapat limit tapi belum diproses</v>
      </c>
      <c r="D1730" s="40" t="str">
        <f>IFERROR(__xludf.DUMMYFUNCTION("""COMPUTED_VALUE"""),"Y400 series")</f>
        <v>Y400 series</v>
      </c>
      <c r="E1730" s="40" t="s">
        <v>11456</v>
      </c>
      <c r="F1730" s="40" t="s">
        <v>667</v>
      </c>
      <c r="G1730" s="40" t="s">
        <v>11457</v>
      </c>
      <c r="H1730" s="40" t="s">
        <v>11424</v>
      </c>
    </row>
    <row r="1731">
      <c r="A1731" s="39">
        <f>IFERROR(__xludf.DUMMYFUNCTION("""COMPUTED_VALUE"""),45951.635246736114)</f>
        <v>45951.63525</v>
      </c>
      <c r="B1731" s="40" t="str">
        <f>IFERROR(__xludf.DUMMYFUNCTION("""COMPUTED_VALUE"""),"MARIA MELAN ANANCE BILI")</f>
        <v>MARIA MELAN ANANCE BILI</v>
      </c>
      <c r="C1731" s="40" t="str">
        <f>IFERROR(__xludf.DUMMYFUNCTION("""COMPUTED_VALUE"""),"Belum disetujui")</f>
        <v>Belum disetujui</v>
      </c>
      <c r="D1731" s="40"/>
      <c r="E1731" s="40" t="s">
        <v>11466</v>
      </c>
      <c r="F1731" s="40" t="s">
        <v>257</v>
      </c>
      <c r="G1731" s="40" t="s">
        <v>11467</v>
      </c>
      <c r="H1731" s="40" t="s">
        <v>11419</v>
      </c>
    </row>
    <row r="1732">
      <c r="A1732" s="39">
        <f>IFERROR(__xludf.DUMMYFUNCTION("""COMPUTED_VALUE"""),45951.6463728588)</f>
        <v>45951.64637</v>
      </c>
      <c r="B1732" s="40" t="str">
        <f>IFERROR(__xludf.DUMMYFUNCTION("""COMPUTED_VALUE"""),"AZ ZAHRA SITI ZAINAB")</f>
        <v>AZ ZAHRA SITI ZAINAB</v>
      </c>
      <c r="C1732" s="40" t="str">
        <f>IFERROR(__xludf.DUMMYFUNCTION("""COMPUTED_VALUE"""),"Belum disetujui")</f>
        <v>Belum disetujui</v>
      </c>
      <c r="D1732" s="40"/>
      <c r="E1732" s="40" t="s">
        <v>11462</v>
      </c>
      <c r="F1732" s="40" t="s">
        <v>257</v>
      </c>
      <c r="G1732" s="40" t="s">
        <v>11463</v>
      </c>
      <c r="H1732" s="40" t="s">
        <v>11419</v>
      </c>
    </row>
    <row r="1733">
      <c r="A1733" s="39">
        <f>IFERROR(__xludf.DUMMYFUNCTION("""COMPUTED_VALUE"""),45951.6581390162)</f>
        <v>45951.65814</v>
      </c>
      <c r="B1733" s="40" t="str">
        <f>IFERROR(__xludf.DUMMYFUNCTION("""COMPUTED_VALUE"""),"ADRIANA")</f>
        <v>ADRIANA</v>
      </c>
      <c r="C1733" s="40" t="str">
        <f>IFERROR(__xludf.DUMMYFUNCTION("""COMPUTED_VALUE"""),"Dapat limit tapi belum diproses")</f>
        <v>Dapat limit tapi belum diproses</v>
      </c>
      <c r="D1733" s="40" t="str">
        <f>IFERROR(__xludf.DUMMYFUNCTION("""COMPUTED_VALUE"""),"Y400 series")</f>
        <v>Y400 series</v>
      </c>
      <c r="E1733" s="40" t="s">
        <v>11433</v>
      </c>
      <c r="F1733" s="40" t="s">
        <v>313</v>
      </c>
      <c r="G1733" s="40" t="s">
        <v>11434</v>
      </c>
      <c r="H1733" s="40" t="s">
        <v>11424</v>
      </c>
    </row>
    <row r="1734">
      <c r="A1734" s="39">
        <f>IFERROR(__xludf.DUMMYFUNCTION("""COMPUTED_VALUE"""),45951.66535342593)</f>
        <v>45951.66535</v>
      </c>
      <c r="B1734" s="40" t="str">
        <f>IFERROR(__xludf.DUMMYFUNCTION("""COMPUTED_VALUE"""),"EMPI FRANGKI LIEM")</f>
        <v>EMPI FRANGKI LIEM</v>
      </c>
      <c r="C1734" s="40" t="str">
        <f>IFERROR(__xludf.DUMMYFUNCTION("""COMPUTED_VALUE"""),"Belum disetujui")</f>
        <v>Belum disetujui</v>
      </c>
      <c r="D1734" s="40"/>
      <c r="E1734" s="40" t="s">
        <v>11397</v>
      </c>
      <c r="F1734" s="40" t="s">
        <v>220</v>
      </c>
      <c r="G1734" s="40" t="s">
        <v>11398</v>
      </c>
      <c r="H1734" s="40" t="s">
        <v>11399</v>
      </c>
    </row>
    <row r="1735">
      <c r="A1735" s="39">
        <f>IFERROR(__xludf.DUMMYFUNCTION("""COMPUTED_VALUE"""),45951.70363049769)</f>
        <v>45951.70363</v>
      </c>
      <c r="B1735" s="40" t="str">
        <f>IFERROR(__xludf.DUMMYFUNCTION("""COMPUTED_VALUE"""),"SULIS NURAINI INSYATUN")</f>
        <v>SULIS NURAINI INSYATUN</v>
      </c>
      <c r="C1735" s="40" t="str">
        <f>IFERROR(__xludf.DUMMYFUNCTION("""COMPUTED_VALUE"""),"Belum disetujui")</f>
        <v>Belum disetujui</v>
      </c>
      <c r="D1735" s="40"/>
      <c r="E1735" s="40" t="s">
        <v>11429</v>
      </c>
      <c r="F1735" s="40" t="s">
        <v>257</v>
      </c>
      <c r="G1735" s="40" t="s">
        <v>11430</v>
      </c>
      <c r="H1735" s="40" t="s">
        <v>11419</v>
      </c>
    </row>
    <row r="1736">
      <c r="A1736" s="39">
        <f>IFERROR(__xludf.DUMMYFUNCTION("""COMPUTED_VALUE"""),45951.703952812495)</f>
        <v>45951.70395</v>
      </c>
      <c r="B1736" s="40" t="str">
        <f>IFERROR(__xludf.DUMMYFUNCTION("""COMPUTED_VALUE"""),"MARNITHA JUWIKE TIMORATI RUNESI")</f>
        <v>MARNITHA JUWIKE TIMORATI RUNESI</v>
      </c>
      <c r="C1736" s="40" t="str">
        <f>IFERROR(__xludf.DUMMYFUNCTION("""COMPUTED_VALUE"""),"Belum disetujui")</f>
        <v>Belum disetujui</v>
      </c>
      <c r="D1736" s="40"/>
      <c r="E1736" s="40" t="s">
        <v>11420</v>
      </c>
      <c r="F1736" s="40" t="s">
        <v>204</v>
      </c>
      <c r="G1736" s="40" t="s">
        <v>11421</v>
      </c>
      <c r="H1736" s="40" t="s">
        <v>11399</v>
      </c>
    </row>
    <row r="1737">
      <c r="A1737" s="39">
        <f>IFERROR(__xludf.DUMMYFUNCTION("""COMPUTED_VALUE"""),45951.71632127315)</f>
        <v>45951.71632</v>
      </c>
      <c r="B1737" s="40" t="str">
        <f>IFERROR(__xludf.DUMMYFUNCTION("""COMPUTED_VALUE"""),"SELVINCE BAKO")</f>
        <v>SELVINCE BAKO</v>
      </c>
      <c r="C1737" s="40" t="str">
        <f>IFERROR(__xludf.DUMMYFUNCTION("""COMPUTED_VALUE"""),"Dapat limit tapi belum diproses")</f>
        <v>Dapat limit tapi belum diproses</v>
      </c>
      <c r="D1737" s="40" t="str">
        <f>IFERROR(__xludf.DUMMYFUNCTION("""COMPUTED_VALUE"""),"Y400 series")</f>
        <v>Y400 series</v>
      </c>
      <c r="E1737" s="40" t="s">
        <v>11413</v>
      </c>
      <c r="F1737" s="40" t="s">
        <v>204</v>
      </c>
      <c r="G1737" s="40" t="s">
        <v>11414</v>
      </c>
      <c r="H1737" s="40" t="s">
        <v>11399</v>
      </c>
    </row>
    <row r="1738">
      <c r="A1738" s="39">
        <f>IFERROR(__xludf.DUMMYFUNCTION("""COMPUTED_VALUE"""),45951.72273930556)</f>
        <v>45951.72274</v>
      </c>
      <c r="B1738" s="40" t="str">
        <f>IFERROR(__xludf.DUMMYFUNCTION("""COMPUTED_VALUE"""),"YUNITA TAMELAB")</f>
        <v>YUNITA TAMELAB</v>
      </c>
      <c r="C1738" s="40" t="str">
        <f>IFERROR(__xludf.DUMMYFUNCTION("""COMPUTED_VALUE"""),"Belum disetujui")</f>
        <v>Belum disetujui</v>
      </c>
      <c r="D1738" s="40"/>
      <c r="E1738" s="40" t="s">
        <v>11472</v>
      </c>
      <c r="F1738" s="40" t="s">
        <v>667</v>
      </c>
      <c r="G1738" s="40" t="s">
        <v>11473</v>
      </c>
      <c r="H1738" s="40" t="s">
        <v>11424</v>
      </c>
    </row>
    <row r="1739">
      <c r="A1739" s="39">
        <f>IFERROR(__xludf.DUMMYFUNCTION("""COMPUTED_VALUE"""),45951.78559146991)</f>
        <v>45951.78559</v>
      </c>
      <c r="B1739" s="40" t="str">
        <f>IFERROR(__xludf.DUMMYFUNCTION("""COMPUTED_VALUE"""),"NOVLIANA BARBALINA MISA")</f>
        <v>NOVLIANA BARBALINA MISA</v>
      </c>
      <c r="C1739" s="40" t="str">
        <f>IFERROR(__xludf.DUMMYFUNCTION("""COMPUTED_VALUE"""),"ACC")</f>
        <v>ACC</v>
      </c>
      <c r="D1739" s="40" t="str">
        <f>IFERROR(__xludf.DUMMYFUNCTION("""COMPUTED_VALUE"""),"V60 Lite series")</f>
        <v>V60 Lite series</v>
      </c>
      <c r="E1739" s="40" t="s">
        <v>11454</v>
      </c>
      <c r="F1739" s="40" t="s">
        <v>205</v>
      </c>
      <c r="G1739" s="40" t="s">
        <v>11455</v>
      </c>
      <c r="H1739" s="40" t="s">
        <v>11419</v>
      </c>
    </row>
    <row r="1740">
      <c r="A1740" s="39">
        <f>IFERROR(__xludf.DUMMYFUNCTION("""COMPUTED_VALUE"""),45951.78613342592)</f>
        <v>45951.78613</v>
      </c>
      <c r="B1740" s="40" t="str">
        <f>IFERROR(__xludf.DUMMYFUNCTION("""COMPUTED_VALUE"""),"ESTER LUDJI")</f>
        <v>ESTER LUDJI</v>
      </c>
      <c r="C1740" s="40" t="str">
        <f>IFERROR(__xludf.DUMMYFUNCTION("""COMPUTED_VALUE"""),"Belum disetujui")</f>
        <v>Belum disetujui</v>
      </c>
      <c r="D1740" s="40"/>
      <c r="E1740" s="40" t="s">
        <v>11441</v>
      </c>
      <c r="F1740" s="40" t="s">
        <v>205</v>
      </c>
      <c r="G1740" s="40" t="s">
        <v>11442</v>
      </c>
      <c r="H1740" s="40" t="s">
        <v>11419</v>
      </c>
    </row>
    <row r="1741">
      <c r="A1741" s="39">
        <f>IFERROR(__xludf.DUMMYFUNCTION("""COMPUTED_VALUE"""),45951.8068691088)</f>
        <v>45951.80687</v>
      </c>
      <c r="B1741" s="40" t="str">
        <f>IFERROR(__xludf.DUMMYFUNCTION("""COMPUTED_VALUE"""),"ALDIANA WELIA PANIE")</f>
        <v>ALDIANA WELIA PANIE</v>
      </c>
      <c r="C1741" s="40" t="str">
        <f>IFERROR(__xludf.DUMMYFUNCTION("""COMPUTED_VALUE"""),"Belum disetujui")</f>
        <v>Belum disetujui</v>
      </c>
      <c r="D1741" s="40"/>
      <c r="E1741" s="40" t="s">
        <v>11422</v>
      </c>
      <c r="F1741" s="40" t="s">
        <v>215</v>
      </c>
      <c r="G1741" s="40" t="s">
        <v>11423</v>
      </c>
      <c r="H1741" s="40" t="s">
        <v>11424</v>
      </c>
    </row>
    <row r="1742">
      <c r="A1742" s="39">
        <f>IFERROR(__xludf.DUMMYFUNCTION("""COMPUTED_VALUE"""),45951.868049571756)</f>
        <v>45951.86805</v>
      </c>
      <c r="B1742" s="40" t="str">
        <f>IFERROR(__xludf.DUMMYFUNCTION("""COMPUTED_VALUE"""),"IRENE NOVALIA KADJU")</f>
        <v>IRENE NOVALIA KADJU</v>
      </c>
      <c r="C1742" s="40" t="str">
        <f>IFERROR(__xludf.DUMMYFUNCTION("""COMPUTED_VALUE"""),"Dapat limit tapi belum diproses")</f>
        <v>Dapat limit tapi belum diproses</v>
      </c>
      <c r="D1742" s="40" t="str">
        <f>IFERROR(__xludf.DUMMYFUNCTION("""COMPUTED_VALUE"""),"Y29 series")</f>
        <v>Y29 series</v>
      </c>
      <c r="E1742" s="40" t="s">
        <v>11445</v>
      </c>
      <c r="F1742" s="40" t="s">
        <v>204</v>
      </c>
      <c r="G1742" s="40" t="s">
        <v>11446</v>
      </c>
      <c r="H1742" s="40" t="s">
        <v>11399</v>
      </c>
    </row>
    <row r="1743">
      <c r="A1743" s="39">
        <f>IFERROR(__xludf.DUMMYFUNCTION("""COMPUTED_VALUE"""),45951.92173158565)</f>
        <v>45951.92173</v>
      </c>
      <c r="B1743" s="40" t="str">
        <f>IFERROR(__xludf.DUMMYFUNCTION("""COMPUTED_VALUE"""),"MEXY ALEXANDER HETMINA")</f>
        <v>MEXY ALEXANDER HETMINA</v>
      </c>
      <c r="C1743" s="40" t="str">
        <f>IFERROR(__xludf.DUMMYFUNCTION("""COMPUTED_VALUE"""),"Belum disetujui")</f>
        <v>Belum disetujui</v>
      </c>
      <c r="D1743" s="40"/>
      <c r="E1743" s="40" t="s">
        <v>11413</v>
      </c>
      <c r="F1743" s="40" t="s">
        <v>204</v>
      </c>
      <c r="G1743" s="40" t="s">
        <v>11414</v>
      </c>
      <c r="H1743" s="40" t="s">
        <v>11399</v>
      </c>
    </row>
    <row r="1744">
      <c r="A1744" s="39">
        <f>IFERROR(__xludf.DUMMYFUNCTION("""COMPUTED_VALUE"""),45952.3910518287)</f>
        <v>45952.39105</v>
      </c>
      <c r="B1744" s="40" t="str">
        <f>IFERROR(__xludf.DUMMYFUNCTION("""COMPUTED_VALUE"""),"NOVLIANA BARBALINA MISA")</f>
        <v>NOVLIANA BARBALINA MISA</v>
      </c>
      <c r="C1744" s="40" t="str">
        <f>IFERROR(__xludf.DUMMYFUNCTION("""COMPUTED_VALUE"""),"Belum disetujui")</f>
        <v>Belum disetujui</v>
      </c>
      <c r="D1744" s="40"/>
      <c r="E1744" s="40" t="s">
        <v>11454</v>
      </c>
      <c r="F1744" s="40" t="s">
        <v>205</v>
      </c>
      <c r="G1744" s="40" t="s">
        <v>11455</v>
      </c>
      <c r="H1744" s="40" t="s">
        <v>11419</v>
      </c>
    </row>
    <row r="1745">
      <c r="A1745" s="39">
        <f>IFERROR(__xludf.DUMMYFUNCTION("""COMPUTED_VALUE"""),45952.41967891203)</f>
        <v>45952.41968</v>
      </c>
      <c r="B1745" s="40" t="str">
        <f>IFERROR(__xludf.DUMMYFUNCTION("""COMPUTED_VALUE"""),"ARMINDA TEKU MANEK")</f>
        <v>ARMINDA TEKU MANEK</v>
      </c>
      <c r="C1745" s="40" t="str">
        <f>IFERROR(__xludf.DUMMYFUNCTION("""COMPUTED_VALUE"""),"Belum disetujui")</f>
        <v>Belum disetujui</v>
      </c>
      <c r="D1745" s="40"/>
      <c r="E1745" s="40" t="s">
        <v>11474</v>
      </c>
      <c r="F1745" s="40" t="s">
        <v>313</v>
      </c>
      <c r="G1745" s="40" t="s">
        <v>11475</v>
      </c>
      <c r="H1745" s="40" t="s">
        <v>11424</v>
      </c>
    </row>
    <row r="1746">
      <c r="A1746" s="39">
        <f>IFERROR(__xludf.DUMMYFUNCTION("""COMPUTED_VALUE"""),45952.430235509266)</f>
        <v>45952.43024</v>
      </c>
      <c r="B1746" s="40" t="str">
        <f>IFERROR(__xludf.DUMMYFUNCTION("""COMPUTED_VALUE"""),"MARATHA MARLINDA FANGGIDAE")</f>
        <v>MARATHA MARLINDA FANGGIDAE</v>
      </c>
      <c r="C1746" s="40" t="str">
        <f>IFERROR(__xludf.DUMMYFUNCTION("""COMPUTED_VALUE"""),"Belum disetujui")</f>
        <v>Belum disetujui</v>
      </c>
      <c r="D1746" s="40"/>
      <c r="E1746" s="40" t="s">
        <v>11435</v>
      </c>
      <c r="F1746" s="40" t="s">
        <v>215</v>
      </c>
      <c r="G1746" s="40" t="s">
        <v>11436</v>
      </c>
      <c r="H1746" s="40" t="s">
        <v>11424</v>
      </c>
    </row>
    <row r="1747">
      <c r="A1747" s="39">
        <f>IFERROR(__xludf.DUMMYFUNCTION("""COMPUTED_VALUE"""),45952.4545591088)</f>
        <v>45952.45456</v>
      </c>
      <c r="B1747" s="40" t="str">
        <f>IFERROR(__xludf.DUMMYFUNCTION("""COMPUTED_VALUE"""),"NUR FATIMAH MOLBANG")</f>
        <v>NUR FATIMAH MOLBANG</v>
      </c>
      <c r="C1747" s="40" t="str">
        <f>IFERROR(__xludf.DUMMYFUNCTION("""COMPUTED_VALUE"""),"Dapat limit tapi belum diproses")</f>
        <v>Dapat limit tapi belum diproses</v>
      </c>
      <c r="D1747" s="40" t="str">
        <f>IFERROR(__xludf.DUMMYFUNCTION("""COMPUTED_VALUE"""),"Y400 series")</f>
        <v>Y400 series</v>
      </c>
      <c r="E1747" s="40" t="s">
        <v>11439</v>
      </c>
      <c r="F1747" s="40" t="s">
        <v>313</v>
      </c>
      <c r="G1747" s="40" t="s">
        <v>11440</v>
      </c>
      <c r="H1747" s="40" t="s">
        <v>11424</v>
      </c>
    </row>
    <row r="1748">
      <c r="A1748" s="39">
        <f>IFERROR(__xludf.DUMMYFUNCTION("""COMPUTED_VALUE"""),45952.47984864584)</f>
        <v>45952.47985</v>
      </c>
      <c r="B1748" s="40" t="str">
        <f>IFERROR(__xludf.DUMMYFUNCTION("""COMPUTED_VALUE"""),"TERSIANA KADJA PAU")</f>
        <v>TERSIANA KADJA PAU</v>
      </c>
      <c r="C1748" s="40" t="str">
        <f>IFERROR(__xludf.DUMMYFUNCTION("""COMPUTED_VALUE"""),"Belum disetujui")</f>
        <v>Belum disetujui</v>
      </c>
      <c r="D1748" s="40"/>
      <c r="E1748" s="40" t="s">
        <v>11411</v>
      </c>
      <c r="F1748" s="40" t="s">
        <v>220</v>
      </c>
      <c r="G1748" s="40" t="s">
        <v>11412</v>
      </c>
      <c r="H1748" s="40" t="s">
        <v>11399</v>
      </c>
    </row>
    <row r="1749">
      <c r="A1749" s="39">
        <f>IFERROR(__xludf.DUMMYFUNCTION("""COMPUTED_VALUE"""),45952.487084849534)</f>
        <v>45952.48708</v>
      </c>
      <c r="B1749" s="40" t="str">
        <f>IFERROR(__xludf.DUMMYFUNCTION("""COMPUTED_VALUE"""),"EMPI FRANGKI LIEM")</f>
        <v>EMPI FRANGKI LIEM</v>
      </c>
      <c r="C1749" s="40" t="str">
        <f>IFERROR(__xludf.DUMMYFUNCTION("""COMPUTED_VALUE"""),"Belum disetujui")</f>
        <v>Belum disetujui</v>
      </c>
      <c r="D1749" s="40"/>
      <c r="E1749" s="40" t="s">
        <v>11397</v>
      </c>
      <c r="F1749" s="40" t="s">
        <v>220</v>
      </c>
      <c r="G1749" s="40" t="s">
        <v>11398</v>
      </c>
      <c r="H1749" s="40" t="s">
        <v>11399</v>
      </c>
    </row>
    <row r="1750">
      <c r="A1750" s="39">
        <f>IFERROR(__xludf.DUMMYFUNCTION("""COMPUTED_VALUE"""),45952.52577678241)</f>
        <v>45952.52578</v>
      </c>
      <c r="B1750" s="40" t="str">
        <f>IFERROR(__xludf.DUMMYFUNCTION("""COMPUTED_VALUE"""),"YUNITA TAMELAB")</f>
        <v>YUNITA TAMELAB</v>
      </c>
      <c r="C1750" s="40" t="str">
        <f>IFERROR(__xludf.DUMMYFUNCTION("""COMPUTED_VALUE"""),"Belum disetujui")</f>
        <v>Belum disetujui</v>
      </c>
      <c r="D1750" s="40"/>
      <c r="E1750" s="40" t="s">
        <v>11472</v>
      </c>
      <c r="F1750" s="40" t="s">
        <v>667</v>
      </c>
      <c r="G1750" s="40" t="s">
        <v>11473</v>
      </c>
      <c r="H1750" s="40" t="s">
        <v>11424</v>
      </c>
    </row>
    <row r="1751">
      <c r="A1751" s="39">
        <f>IFERROR(__xludf.DUMMYFUNCTION("""COMPUTED_VALUE"""),45952.5377284375)</f>
        <v>45952.53773</v>
      </c>
      <c r="B1751" s="40" t="str">
        <f>IFERROR(__xludf.DUMMYFUNCTION("""COMPUTED_VALUE"""),"ADRIANA")</f>
        <v>ADRIANA</v>
      </c>
      <c r="C1751" s="40" t="str">
        <f>IFERROR(__xludf.DUMMYFUNCTION("""COMPUTED_VALUE"""),"Belum disetujui")</f>
        <v>Belum disetujui</v>
      </c>
      <c r="D1751" s="40"/>
      <c r="E1751" s="40" t="s">
        <v>11433</v>
      </c>
      <c r="F1751" s="40" t="s">
        <v>313</v>
      </c>
      <c r="G1751" s="40" t="s">
        <v>11434</v>
      </c>
      <c r="H1751" s="40" t="s">
        <v>11424</v>
      </c>
    </row>
    <row r="1752">
      <c r="A1752" s="39">
        <f>IFERROR(__xludf.DUMMYFUNCTION("""COMPUTED_VALUE"""),45952.54580702547)</f>
        <v>45952.54581</v>
      </c>
      <c r="B1752" s="40" t="str">
        <f>IFERROR(__xludf.DUMMYFUNCTION("""COMPUTED_VALUE"""),"AZ ZAHRA SITI ZAINAB")</f>
        <v>AZ ZAHRA SITI ZAINAB</v>
      </c>
      <c r="C1752" s="40" t="str">
        <f>IFERROR(__xludf.DUMMYFUNCTION("""COMPUTED_VALUE"""),"ACC")</f>
        <v>ACC</v>
      </c>
      <c r="D1752" s="40" t="str">
        <f>IFERROR(__xludf.DUMMYFUNCTION("""COMPUTED_VALUE"""),"Y400 series")</f>
        <v>Y400 series</v>
      </c>
      <c r="E1752" s="40" t="s">
        <v>11462</v>
      </c>
      <c r="F1752" s="40" t="s">
        <v>257</v>
      </c>
      <c r="G1752" s="40" t="s">
        <v>11463</v>
      </c>
      <c r="H1752" s="40" t="s">
        <v>11419</v>
      </c>
    </row>
    <row r="1753">
      <c r="A1753" s="39">
        <f>IFERROR(__xludf.DUMMYFUNCTION("""COMPUTED_VALUE"""),45952.55780545139)</f>
        <v>45952.55781</v>
      </c>
      <c r="B1753" s="40" t="str">
        <f>IFERROR(__xludf.DUMMYFUNCTION("""COMPUTED_VALUE"""),"ARMINDA TEKU MANEK")</f>
        <v>ARMINDA TEKU MANEK</v>
      </c>
      <c r="C1753" s="40" t="str">
        <f>IFERROR(__xludf.DUMMYFUNCTION("""COMPUTED_VALUE"""),"Belum disetujui")</f>
        <v>Belum disetujui</v>
      </c>
      <c r="D1753" s="40"/>
      <c r="E1753" s="40" t="s">
        <v>11474</v>
      </c>
      <c r="F1753" s="40" t="s">
        <v>313</v>
      </c>
      <c r="G1753" s="40" t="s">
        <v>11475</v>
      </c>
      <c r="H1753" s="40" t="s">
        <v>11424</v>
      </c>
    </row>
    <row r="1754">
      <c r="A1754" s="39">
        <f>IFERROR(__xludf.DUMMYFUNCTION("""COMPUTED_VALUE"""),45952.56113962963)</f>
        <v>45952.56114</v>
      </c>
      <c r="B1754" s="40" t="str">
        <f>IFERROR(__xludf.DUMMYFUNCTION("""COMPUTED_VALUE"""),"ROS YANE KANA LUDJI")</f>
        <v>ROS YANE KANA LUDJI</v>
      </c>
      <c r="C1754" s="40" t="str">
        <f>IFERROR(__xludf.DUMMYFUNCTION("""COMPUTED_VALUE"""),"Belum disetujui")</f>
        <v>Belum disetujui</v>
      </c>
      <c r="D1754" s="40"/>
      <c r="E1754" s="40" t="s">
        <v>11437</v>
      </c>
      <c r="F1754" s="40" t="s">
        <v>204</v>
      </c>
      <c r="G1754" s="40" t="s">
        <v>11438</v>
      </c>
      <c r="H1754" s="40" t="s">
        <v>11399</v>
      </c>
    </row>
    <row r="1755">
      <c r="A1755" s="39">
        <f>IFERROR(__xludf.DUMMYFUNCTION("""COMPUTED_VALUE"""),45952.579304791674)</f>
        <v>45952.5793</v>
      </c>
      <c r="B1755" s="40" t="str">
        <f>IFERROR(__xludf.DUMMYFUNCTION("""COMPUTED_VALUE"""),"ANITA ANA AMAH")</f>
        <v>ANITA ANA AMAH</v>
      </c>
      <c r="C1755" s="40" t="str">
        <f>IFERROR(__xludf.DUMMYFUNCTION("""COMPUTED_VALUE"""),"Belum disetujui")</f>
        <v>Belum disetujui</v>
      </c>
      <c r="D1755" s="40"/>
      <c r="E1755" s="40" t="s">
        <v>11425</v>
      </c>
      <c r="F1755" s="40" t="s">
        <v>205</v>
      </c>
      <c r="G1755" s="40" t="s">
        <v>11426</v>
      </c>
      <c r="H1755" s="40" t="s">
        <v>11419</v>
      </c>
    </row>
    <row r="1756">
      <c r="A1756" s="39">
        <f>IFERROR(__xludf.DUMMYFUNCTION("""COMPUTED_VALUE"""),45952.60854864583)</f>
        <v>45952.60855</v>
      </c>
      <c r="B1756" s="40" t="str">
        <f>IFERROR(__xludf.DUMMYFUNCTION("""COMPUTED_VALUE"""),"YUNITA TAMELAB")</f>
        <v>YUNITA TAMELAB</v>
      </c>
      <c r="C1756" s="40" t="str">
        <f>IFERROR(__xludf.DUMMYFUNCTION("""COMPUTED_VALUE"""),"Belum disetujui")</f>
        <v>Belum disetujui</v>
      </c>
      <c r="D1756" s="40"/>
      <c r="E1756" s="40" t="s">
        <v>11472</v>
      </c>
      <c r="F1756" s="40" t="s">
        <v>667</v>
      </c>
      <c r="G1756" s="40" t="s">
        <v>11473</v>
      </c>
      <c r="H1756" s="40" t="s">
        <v>11424</v>
      </c>
    </row>
    <row r="1757">
      <c r="A1757" s="39">
        <f>IFERROR(__xludf.DUMMYFUNCTION("""COMPUTED_VALUE"""),45952.61042197916)</f>
        <v>45952.61042</v>
      </c>
      <c r="B1757" s="40" t="str">
        <f>IFERROR(__xludf.DUMMYFUNCTION("""COMPUTED_VALUE"""),"YUNITA TAMELAB")</f>
        <v>YUNITA TAMELAB</v>
      </c>
      <c r="C1757" s="40" t="str">
        <f>IFERROR(__xludf.DUMMYFUNCTION("""COMPUTED_VALUE"""),"Belum disetujui")</f>
        <v>Belum disetujui</v>
      </c>
      <c r="D1757" s="40"/>
      <c r="E1757" s="40" t="s">
        <v>11472</v>
      </c>
      <c r="F1757" s="40" t="s">
        <v>667</v>
      </c>
      <c r="G1757" s="40" t="s">
        <v>11473</v>
      </c>
      <c r="H1757" s="40" t="s">
        <v>11424</v>
      </c>
    </row>
    <row r="1758">
      <c r="A1758" s="39">
        <f>IFERROR(__xludf.DUMMYFUNCTION("""COMPUTED_VALUE"""),45952.628533414354)</f>
        <v>45952.62853</v>
      </c>
      <c r="B1758" s="40" t="str">
        <f>IFERROR(__xludf.DUMMYFUNCTION("""COMPUTED_VALUE"""),"ARMINDA TEKU MANEK")</f>
        <v>ARMINDA TEKU MANEK</v>
      </c>
      <c r="C1758" s="40" t="str">
        <f>IFERROR(__xludf.DUMMYFUNCTION("""COMPUTED_VALUE"""),"Belum disetujui")</f>
        <v>Belum disetujui</v>
      </c>
      <c r="D1758" s="40"/>
      <c r="E1758" s="40" t="s">
        <v>11474</v>
      </c>
      <c r="F1758" s="40" t="s">
        <v>313</v>
      </c>
      <c r="G1758" s="40" t="s">
        <v>11475</v>
      </c>
      <c r="H1758" s="40" t="s">
        <v>11424</v>
      </c>
    </row>
    <row r="1759">
      <c r="A1759" s="39">
        <f>IFERROR(__xludf.DUMMYFUNCTION("""COMPUTED_VALUE"""),45952.65858553241)</f>
        <v>45952.65859</v>
      </c>
      <c r="B1759" s="40" t="str">
        <f>IFERROR(__xludf.DUMMYFUNCTION("""COMPUTED_VALUE"""),"DEWI RAHMAN")</f>
        <v>DEWI RAHMAN</v>
      </c>
      <c r="C1759" s="40" t="str">
        <f>IFERROR(__xludf.DUMMYFUNCTION("""COMPUTED_VALUE"""),"Belum disetujui")</f>
        <v>Belum disetujui</v>
      </c>
      <c r="D1759" s="40"/>
      <c r="E1759" s="40" t="s">
        <v>11449</v>
      </c>
      <c r="F1759" s="40" t="s">
        <v>11450</v>
      </c>
      <c r="G1759" s="40" t="s">
        <v>11451</v>
      </c>
      <c r="H1759" s="40" t="s">
        <v>11424</v>
      </c>
    </row>
    <row r="1760">
      <c r="A1760" s="39">
        <f>IFERROR(__xludf.DUMMYFUNCTION("""COMPUTED_VALUE"""),45952.67704048611)</f>
        <v>45952.67704</v>
      </c>
      <c r="B1760" s="40" t="str">
        <f>IFERROR(__xludf.DUMMYFUNCTION("""COMPUTED_VALUE"""),"SANTI MARIA LUKMINI NAHAK")</f>
        <v>SANTI MARIA LUKMINI NAHAK</v>
      </c>
      <c r="C1760" s="40" t="str">
        <f>IFERROR(__xludf.DUMMYFUNCTION("""COMPUTED_VALUE"""),"Dapat limit tapi belum diproses")</f>
        <v>Dapat limit tapi belum diproses</v>
      </c>
      <c r="D1760" s="40" t="str">
        <f>IFERROR(__xludf.DUMMYFUNCTION("""COMPUTED_VALUE"""),"Y400 series")</f>
        <v>Y400 series</v>
      </c>
      <c r="E1760" s="40" t="s">
        <v>11460</v>
      </c>
      <c r="F1760" s="40" t="s">
        <v>871</v>
      </c>
      <c r="G1760" s="40" t="s">
        <v>11461</v>
      </c>
      <c r="H1760" s="40" t="s">
        <v>11424</v>
      </c>
    </row>
    <row r="1761">
      <c r="A1761" s="39">
        <f>IFERROR(__xludf.DUMMYFUNCTION("""COMPUTED_VALUE"""),45952.681018668976)</f>
        <v>45952.68102</v>
      </c>
      <c r="B1761" s="40" t="str">
        <f>IFERROR(__xludf.DUMMYFUNCTION("""COMPUTED_VALUE"""),"MARIA MELAN ANANCE BILI")</f>
        <v>MARIA MELAN ANANCE BILI</v>
      </c>
      <c r="C1761" s="40" t="str">
        <f>IFERROR(__xludf.DUMMYFUNCTION("""COMPUTED_VALUE"""),"Belum disetujui")</f>
        <v>Belum disetujui</v>
      </c>
      <c r="D1761" s="40"/>
      <c r="E1761" s="40" t="s">
        <v>11466</v>
      </c>
      <c r="F1761" s="40" t="s">
        <v>257</v>
      </c>
      <c r="G1761" s="40" t="s">
        <v>11467</v>
      </c>
      <c r="H1761" s="40" t="s">
        <v>11419</v>
      </c>
    </row>
    <row r="1762">
      <c r="A1762" s="39">
        <f>IFERROR(__xludf.DUMMYFUNCTION("""COMPUTED_VALUE"""),45952.710059212965)</f>
        <v>45952.71006</v>
      </c>
      <c r="B1762" s="40" t="str">
        <f>IFERROR(__xludf.DUMMYFUNCTION("""COMPUTED_VALUE"""),"IRENE NOVALIA KADJU")</f>
        <v>IRENE NOVALIA KADJU</v>
      </c>
      <c r="C1762" s="40" t="str">
        <f>IFERROR(__xludf.DUMMYFUNCTION("""COMPUTED_VALUE"""),"ACC")</f>
        <v>ACC</v>
      </c>
      <c r="D1762" s="40" t="str">
        <f>IFERROR(__xludf.DUMMYFUNCTION("""COMPUTED_VALUE"""),"V60 Lite series")</f>
        <v>V60 Lite series</v>
      </c>
      <c r="E1762" s="40" t="s">
        <v>11445</v>
      </c>
      <c r="F1762" s="40" t="s">
        <v>204</v>
      </c>
      <c r="G1762" s="40" t="s">
        <v>11446</v>
      </c>
      <c r="H1762" s="40" t="s">
        <v>11399</v>
      </c>
    </row>
    <row r="1763">
      <c r="A1763" s="39">
        <f>IFERROR(__xludf.DUMMYFUNCTION("""COMPUTED_VALUE"""),45952.712536134255)</f>
        <v>45952.71254</v>
      </c>
      <c r="B1763" s="40" t="str">
        <f>IFERROR(__xludf.DUMMYFUNCTION("""COMPUTED_VALUE"""),"MARNITHA JUWIKE TIMORATI RUNESI")</f>
        <v>MARNITHA JUWIKE TIMORATI RUNESI</v>
      </c>
      <c r="C1763" s="40" t="str">
        <f>IFERROR(__xludf.DUMMYFUNCTION("""COMPUTED_VALUE"""),"Belum disetujui")</f>
        <v>Belum disetujui</v>
      </c>
      <c r="D1763" s="40"/>
      <c r="E1763" s="40" t="s">
        <v>11420</v>
      </c>
      <c r="F1763" s="40" t="s">
        <v>204</v>
      </c>
      <c r="G1763" s="40" t="s">
        <v>11421</v>
      </c>
      <c r="H1763" s="40" t="s">
        <v>11399</v>
      </c>
    </row>
    <row r="1764">
      <c r="A1764" s="39">
        <f>IFERROR(__xludf.DUMMYFUNCTION("""COMPUTED_VALUE"""),45952.72813026621)</f>
        <v>45952.72813</v>
      </c>
      <c r="B1764" s="40" t="str">
        <f>IFERROR(__xludf.DUMMYFUNCTION("""COMPUTED_VALUE"""),"ESTER LUDJI")</f>
        <v>ESTER LUDJI</v>
      </c>
      <c r="C1764" s="40" t="str">
        <f>IFERROR(__xludf.DUMMYFUNCTION("""COMPUTED_VALUE"""),"Belum disetujui")</f>
        <v>Belum disetujui</v>
      </c>
      <c r="D1764" s="40"/>
      <c r="E1764" s="40" t="s">
        <v>11441</v>
      </c>
      <c r="F1764" s="40" t="s">
        <v>205</v>
      </c>
      <c r="G1764" s="40" t="s">
        <v>11442</v>
      </c>
      <c r="H1764" s="40" t="s">
        <v>11419</v>
      </c>
    </row>
    <row r="1765">
      <c r="A1765" s="39">
        <f>IFERROR(__xludf.DUMMYFUNCTION("""COMPUTED_VALUE"""),45952.742946875)</f>
        <v>45952.74295</v>
      </c>
      <c r="B1765" s="40" t="str">
        <f>IFERROR(__xludf.DUMMYFUNCTION("""COMPUTED_VALUE"""),"MARNITHA JUWIKE TIMORATI RUNESI")</f>
        <v>MARNITHA JUWIKE TIMORATI RUNESI</v>
      </c>
      <c r="C1765" s="40" t="str">
        <f>IFERROR(__xludf.DUMMYFUNCTION("""COMPUTED_VALUE"""),"Belum disetujui")</f>
        <v>Belum disetujui</v>
      </c>
      <c r="D1765" s="40"/>
      <c r="E1765" s="40" t="s">
        <v>11420</v>
      </c>
      <c r="F1765" s="40" t="s">
        <v>204</v>
      </c>
      <c r="G1765" s="40" t="s">
        <v>11421</v>
      </c>
      <c r="H1765" s="40" t="s">
        <v>11399</v>
      </c>
    </row>
    <row r="1766">
      <c r="A1766" s="39">
        <f>IFERROR(__xludf.DUMMYFUNCTION("""COMPUTED_VALUE"""),45952.74422577546)</f>
        <v>45952.74423</v>
      </c>
      <c r="B1766" s="40" t="str">
        <f>IFERROR(__xludf.DUMMYFUNCTION("""COMPUTED_VALUE"""),"AZ ZAHRA SITI ZAINAB")</f>
        <v>AZ ZAHRA SITI ZAINAB</v>
      </c>
      <c r="C1766" s="40" t="str">
        <f>IFERROR(__xludf.DUMMYFUNCTION("""COMPUTED_VALUE"""),"ACC")</f>
        <v>ACC</v>
      </c>
      <c r="D1766" s="40" t="str">
        <f>IFERROR(__xludf.DUMMYFUNCTION("""COMPUTED_VALUE"""),"Y400 series")</f>
        <v>Y400 series</v>
      </c>
      <c r="E1766" s="40" t="s">
        <v>11462</v>
      </c>
      <c r="F1766" s="40" t="s">
        <v>257</v>
      </c>
      <c r="G1766" s="40" t="s">
        <v>11463</v>
      </c>
      <c r="H1766" s="40" t="s">
        <v>11419</v>
      </c>
    </row>
    <row r="1767">
      <c r="A1767" s="39">
        <f>IFERROR(__xludf.DUMMYFUNCTION("""COMPUTED_VALUE"""),45952.751693935184)</f>
        <v>45952.75169</v>
      </c>
      <c r="B1767" s="40" t="str">
        <f>IFERROR(__xludf.DUMMYFUNCTION("""COMPUTED_VALUE"""),"NUR FATIMAH MOLBANG")</f>
        <v>NUR FATIMAH MOLBANG</v>
      </c>
      <c r="C1767" s="40" t="str">
        <f>IFERROR(__xludf.DUMMYFUNCTION("""COMPUTED_VALUE"""),"Dapat limit tapi belum diproses")</f>
        <v>Dapat limit tapi belum diproses</v>
      </c>
      <c r="D1767" s="40" t="str">
        <f>IFERROR(__xludf.DUMMYFUNCTION("""COMPUTED_VALUE"""),"Y400 series")</f>
        <v>Y400 series</v>
      </c>
      <c r="E1767" s="40" t="s">
        <v>11439</v>
      </c>
      <c r="F1767" s="40" t="s">
        <v>313</v>
      </c>
      <c r="G1767" s="40" t="s">
        <v>11440</v>
      </c>
      <c r="H1767" s="40" t="s">
        <v>11424</v>
      </c>
    </row>
    <row r="1768">
      <c r="A1768" s="39">
        <f>IFERROR(__xludf.DUMMYFUNCTION("""COMPUTED_VALUE"""),45952.75412737269)</f>
        <v>45952.75413</v>
      </c>
      <c r="B1768" s="40" t="str">
        <f>IFERROR(__xludf.DUMMYFUNCTION("""COMPUTED_VALUE"""),"CHOIRUNISA ILHAM")</f>
        <v>CHOIRUNISA ILHAM</v>
      </c>
      <c r="C1768" s="40" t="str">
        <f>IFERROR(__xludf.DUMMYFUNCTION("""COMPUTED_VALUE"""),"Belum disetujui")</f>
        <v>Belum disetujui</v>
      </c>
      <c r="D1768" s="40"/>
      <c r="E1768" s="40" t="s">
        <v>11404</v>
      </c>
      <c r="F1768" s="40" t="s">
        <v>11404</v>
      </c>
      <c r="G1768" s="40" t="s">
        <v>11404</v>
      </c>
      <c r="H1768" s="40" t="s">
        <v>11404</v>
      </c>
    </row>
    <row r="1769">
      <c r="A1769" s="39">
        <f>IFERROR(__xludf.DUMMYFUNCTION("""COMPUTED_VALUE"""),45952.78559990741)</f>
        <v>45952.7856</v>
      </c>
      <c r="B1769" s="40" t="str">
        <f>IFERROR(__xludf.DUMMYFUNCTION("""COMPUTED_VALUE"""),"YOHANA NOVIANA MARIANA GAA")</f>
        <v>YOHANA NOVIANA MARIANA GAA</v>
      </c>
      <c r="C1769" s="40" t="str">
        <f>IFERROR(__xludf.DUMMYFUNCTION("""COMPUTED_VALUE"""),"Belum disetujui")</f>
        <v>Belum disetujui</v>
      </c>
      <c r="D1769" s="40"/>
      <c r="E1769" s="40" t="s">
        <v>11400</v>
      </c>
      <c r="F1769" s="40" t="s">
        <v>204</v>
      </c>
      <c r="G1769" s="40" t="s">
        <v>11401</v>
      </c>
      <c r="H1769" s="40" t="s">
        <v>11399</v>
      </c>
    </row>
    <row r="1770">
      <c r="A1770" s="39">
        <f>IFERROR(__xludf.DUMMYFUNCTION("""COMPUTED_VALUE"""),45952.79498518519)</f>
        <v>45952.79499</v>
      </c>
      <c r="B1770" s="40" t="str">
        <f>IFERROR(__xludf.DUMMYFUNCTION("""COMPUTED_VALUE"""),"YASINTHA MBU")</f>
        <v>YASINTHA MBU</v>
      </c>
      <c r="C1770" s="40" t="str">
        <f>IFERROR(__xludf.DUMMYFUNCTION("""COMPUTED_VALUE"""),"Belum disetujui")</f>
        <v>Belum disetujui</v>
      </c>
      <c r="D1770" s="40"/>
      <c r="E1770" s="40" t="s">
        <v>11407</v>
      </c>
      <c r="F1770" s="40" t="s">
        <v>220</v>
      </c>
      <c r="G1770" s="40" t="s">
        <v>11408</v>
      </c>
      <c r="H1770" s="40" t="s">
        <v>11399</v>
      </c>
    </row>
    <row r="1771">
      <c r="A1771" s="39">
        <f>IFERROR(__xludf.DUMMYFUNCTION("""COMPUTED_VALUE"""),45952.80105446759)</f>
        <v>45952.80105</v>
      </c>
      <c r="B1771" s="40" t="str">
        <f>IFERROR(__xludf.DUMMYFUNCTION("""COMPUTED_VALUE"""),"NENY MERLIANTI NA'U")</f>
        <v>NENY MERLIANTI NA'U</v>
      </c>
      <c r="C1771" s="40" t="str">
        <f>IFERROR(__xludf.DUMMYFUNCTION("""COMPUTED_VALUE"""),"Dapat limit tapi belum diproses")</f>
        <v>Dapat limit tapi belum diproses</v>
      </c>
      <c r="D1771" s="40" t="str">
        <f>IFERROR(__xludf.DUMMYFUNCTION("""COMPUTED_VALUE"""),"Y29 series")</f>
        <v>Y29 series</v>
      </c>
      <c r="E1771" s="40" t="s">
        <v>11476</v>
      </c>
      <c r="F1771" s="40" t="s">
        <v>204</v>
      </c>
      <c r="G1771" s="40" t="s">
        <v>11477</v>
      </c>
      <c r="H1771" s="40" t="s">
        <v>11399</v>
      </c>
    </row>
    <row r="1772">
      <c r="A1772" s="39">
        <f>IFERROR(__xludf.DUMMYFUNCTION("""COMPUTED_VALUE"""),45952.806713101854)</f>
        <v>45952.80671</v>
      </c>
      <c r="B1772" s="40" t="str">
        <f>IFERROR(__xludf.DUMMYFUNCTION("""COMPUTED_VALUE"""),"SKOLASTIKA B TAUNAES")</f>
        <v>SKOLASTIKA B TAUNAES</v>
      </c>
      <c r="C1772" s="40" t="str">
        <f>IFERROR(__xludf.DUMMYFUNCTION("""COMPUTED_VALUE"""),"Belum disetujui")</f>
        <v>Belum disetujui</v>
      </c>
      <c r="D1772" s="40"/>
      <c r="E1772" s="40" t="s">
        <v>11413</v>
      </c>
      <c r="F1772" s="40" t="s">
        <v>204</v>
      </c>
      <c r="G1772" s="40" t="s">
        <v>11414</v>
      </c>
      <c r="H1772" s="40" t="s">
        <v>11399</v>
      </c>
    </row>
    <row r="1773">
      <c r="A1773" s="39">
        <f>IFERROR(__xludf.DUMMYFUNCTION("""COMPUTED_VALUE"""),45952.82990866897)</f>
        <v>45952.82991</v>
      </c>
      <c r="B1773" s="40" t="str">
        <f>IFERROR(__xludf.DUMMYFUNCTION("""COMPUTED_VALUE"""),"IDMAL YUSDIRAN YUSUF")</f>
        <v>IDMAL YUSDIRAN YUSUF</v>
      </c>
      <c r="C1773" s="40" t="str">
        <f>IFERROR(__xludf.DUMMYFUNCTION("""COMPUTED_VALUE"""),"Dapat limit tapi belum diproses")</f>
        <v>Dapat limit tapi belum diproses</v>
      </c>
      <c r="D1773" s="40" t="str">
        <f>IFERROR(__xludf.DUMMYFUNCTION("""COMPUTED_VALUE"""),"Y400 series")</f>
        <v>Y400 series</v>
      </c>
      <c r="E1773" s="40" t="s">
        <v>11417</v>
      </c>
      <c r="F1773" s="40" t="s">
        <v>257</v>
      </c>
      <c r="G1773" s="40" t="s">
        <v>11418</v>
      </c>
      <c r="H1773" s="40" t="s">
        <v>11419</v>
      </c>
    </row>
    <row r="1774">
      <c r="A1774" s="39">
        <f>IFERROR(__xludf.DUMMYFUNCTION("""COMPUTED_VALUE"""),45952.83288196759)</f>
        <v>45952.83288</v>
      </c>
      <c r="B1774" s="40" t="str">
        <f>IFERROR(__xludf.DUMMYFUNCTION("""COMPUTED_VALUE"""),"SULIS NURAINI INSYATUN")</f>
        <v>SULIS NURAINI INSYATUN</v>
      </c>
      <c r="C1774" s="40" t="str">
        <f>IFERROR(__xludf.DUMMYFUNCTION("""COMPUTED_VALUE"""),"Dapat limit tapi belum diproses")</f>
        <v>Dapat limit tapi belum diproses</v>
      </c>
      <c r="D1774" s="40" t="str">
        <f>IFERROR(__xludf.DUMMYFUNCTION("""COMPUTED_VALUE"""),"Y400 series")</f>
        <v>Y400 series</v>
      </c>
      <c r="E1774" s="40" t="s">
        <v>11429</v>
      </c>
      <c r="F1774" s="40" t="s">
        <v>257</v>
      </c>
      <c r="G1774" s="40" t="s">
        <v>11430</v>
      </c>
      <c r="H1774" s="40" t="s">
        <v>11419</v>
      </c>
    </row>
    <row r="1775">
      <c r="A1775" s="39">
        <f>IFERROR(__xludf.DUMMYFUNCTION("""COMPUTED_VALUE"""),45952.84006956018)</f>
        <v>45952.84007</v>
      </c>
      <c r="B1775" s="40" t="str">
        <f>IFERROR(__xludf.DUMMYFUNCTION("""COMPUTED_VALUE"""),"EMPI FRANGKI LIEM")</f>
        <v>EMPI FRANGKI LIEM</v>
      </c>
      <c r="C1775" s="40" t="str">
        <f>IFERROR(__xludf.DUMMYFUNCTION("""COMPUTED_VALUE"""),"Belum disetujui")</f>
        <v>Belum disetujui</v>
      </c>
      <c r="D1775" s="40"/>
      <c r="E1775" s="40" t="s">
        <v>11397</v>
      </c>
      <c r="F1775" s="40" t="s">
        <v>220</v>
      </c>
      <c r="G1775" s="40" t="s">
        <v>11398</v>
      </c>
      <c r="H1775" s="40" t="s">
        <v>11399</v>
      </c>
    </row>
    <row r="1776">
      <c r="A1776" s="39">
        <f>IFERROR(__xludf.DUMMYFUNCTION("""COMPUTED_VALUE"""),45952.87574471065)</f>
        <v>45952.87574</v>
      </c>
      <c r="B1776" s="40" t="str">
        <f>IFERROR(__xludf.DUMMYFUNCTION("""COMPUTED_VALUE"""),"HERONIMUS NAMU WALI")</f>
        <v>HERONIMUS NAMU WALI</v>
      </c>
      <c r="C1776" s="40" t="str">
        <f>IFERROR(__xludf.DUMMYFUNCTION("""COMPUTED_VALUE"""),"Dapat limit tapi belum diproses")</f>
        <v>Dapat limit tapi belum diproses</v>
      </c>
      <c r="D1776" s="40" t="str">
        <f>IFERROR(__xludf.DUMMYFUNCTION("""COMPUTED_VALUE"""),"V60 series")</f>
        <v>V60 series</v>
      </c>
      <c r="E1776" s="40" t="s">
        <v>11452</v>
      </c>
      <c r="F1776" s="40" t="s">
        <v>205</v>
      </c>
      <c r="G1776" s="40" t="s">
        <v>11453</v>
      </c>
      <c r="H1776" s="40" t="s">
        <v>11419</v>
      </c>
    </row>
    <row r="1777">
      <c r="A1777" s="39">
        <f>IFERROR(__xludf.DUMMYFUNCTION("""COMPUTED_VALUE"""),45953.38892481482)</f>
        <v>45953.38892</v>
      </c>
      <c r="B1777" s="40" t="str">
        <f>IFERROR(__xludf.DUMMYFUNCTION("""COMPUTED_VALUE"""),"ASTUTI BELA WAWO")</f>
        <v>ASTUTI BELA WAWO</v>
      </c>
      <c r="C1777" s="40" t="str">
        <f>IFERROR(__xludf.DUMMYFUNCTION("""COMPUTED_VALUE"""),"Belum disetujui")</f>
        <v>Belum disetujui</v>
      </c>
      <c r="D1777" s="40"/>
      <c r="E1777" s="40" t="s">
        <v>11427</v>
      </c>
      <c r="F1777" s="40" t="s">
        <v>257</v>
      </c>
      <c r="G1777" s="40" t="s">
        <v>11428</v>
      </c>
      <c r="H1777" s="40" t="s">
        <v>11419</v>
      </c>
    </row>
    <row r="1778">
      <c r="A1778" s="39">
        <f>IFERROR(__xludf.DUMMYFUNCTION("""COMPUTED_VALUE"""),45953.40577670139)</f>
        <v>45953.40578</v>
      </c>
      <c r="B1778" s="40" t="str">
        <f>IFERROR(__xludf.DUMMYFUNCTION("""COMPUTED_VALUE"""),"SANTI MARIA LUKMINI NAHAK")</f>
        <v>SANTI MARIA LUKMINI NAHAK</v>
      </c>
      <c r="C1778" s="40" t="str">
        <f>IFERROR(__xludf.DUMMYFUNCTION("""COMPUTED_VALUE"""),"Belum disetujui")</f>
        <v>Belum disetujui</v>
      </c>
      <c r="D1778" s="40"/>
      <c r="E1778" s="40" t="s">
        <v>11460</v>
      </c>
      <c r="F1778" s="40" t="s">
        <v>871</v>
      </c>
      <c r="G1778" s="40" t="s">
        <v>11461</v>
      </c>
      <c r="H1778" s="40" t="s">
        <v>11424</v>
      </c>
    </row>
    <row r="1779">
      <c r="A1779" s="39">
        <f>IFERROR(__xludf.DUMMYFUNCTION("""COMPUTED_VALUE"""),45953.41381657407)</f>
        <v>45953.41382</v>
      </c>
      <c r="B1779" s="40" t="str">
        <f>IFERROR(__xludf.DUMMYFUNCTION("""COMPUTED_VALUE"""),"MARATHA MARLINDA FANGGIDAE")</f>
        <v>MARATHA MARLINDA FANGGIDAE</v>
      </c>
      <c r="C1779" s="40" t="str">
        <f>IFERROR(__xludf.DUMMYFUNCTION("""COMPUTED_VALUE"""),"Dapat limit tapi belum diproses")</f>
        <v>Dapat limit tapi belum diproses</v>
      </c>
      <c r="D1779" s="40" t="str">
        <f>IFERROR(__xludf.DUMMYFUNCTION("""COMPUTED_VALUE"""),"Y400 series")</f>
        <v>Y400 series</v>
      </c>
      <c r="E1779" s="40" t="s">
        <v>11435</v>
      </c>
      <c r="F1779" s="40" t="s">
        <v>215</v>
      </c>
      <c r="G1779" s="40" t="s">
        <v>11436</v>
      </c>
      <c r="H1779" s="40" t="s">
        <v>11424</v>
      </c>
    </row>
    <row r="1780">
      <c r="A1780" s="39">
        <f>IFERROR(__xludf.DUMMYFUNCTION("""COMPUTED_VALUE"""),45953.42161370371)</f>
        <v>45953.42161</v>
      </c>
      <c r="B1780" s="40" t="str">
        <f>IFERROR(__xludf.DUMMYFUNCTION("""COMPUTED_VALUE"""),"PUSPA ANGGREINI")</f>
        <v>PUSPA ANGGREINI</v>
      </c>
      <c r="C1780" s="40" t="str">
        <f>IFERROR(__xludf.DUMMYFUNCTION("""COMPUTED_VALUE"""),"Dapat limit tapi belum diproses")</f>
        <v>Dapat limit tapi belum diproses</v>
      </c>
      <c r="D1780" s="40" t="str">
        <f>IFERROR(__xludf.DUMMYFUNCTION("""COMPUTED_VALUE"""),"V60 series")</f>
        <v>V60 series</v>
      </c>
      <c r="E1780" s="40" t="s">
        <v>11427</v>
      </c>
      <c r="F1780" s="40" t="s">
        <v>257</v>
      </c>
      <c r="G1780" s="40" t="s">
        <v>11428</v>
      </c>
      <c r="H1780" s="40" t="s">
        <v>11419</v>
      </c>
    </row>
    <row r="1781">
      <c r="A1781" s="39">
        <f>IFERROR(__xludf.DUMMYFUNCTION("""COMPUTED_VALUE"""),45953.444239097225)</f>
        <v>45953.44424</v>
      </c>
      <c r="B1781" s="40" t="str">
        <f>IFERROR(__xludf.DUMMYFUNCTION("""COMPUTED_VALUE"""),"MARNITHA JUWIKE TIMORATI RUNESI")</f>
        <v>MARNITHA JUWIKE TIMORATI RUNESI</v>
      </c>
      <c r="C1781" s="40" t="str">
        <f>IFERROR(__xludf.DUMMYFUNCTION("""COMPUTED_VALUE"""),"Belum disetujui")</f>
        <v>Belum disetujui</v>
      </c>
      <c r="D1781" s="40"/>
      <c r="E1781" s="40" t="s">
        <v>11420</v>
      </c>
      <c r="F1781" s="40" t="s">
        <v>204</v>
      </c>
      <c r="G1781" s="40" t="s">
        <v>11421</v>
      </c>
      <c r="H1781" s="40" t="s">
        <v>11399</v>
      </c>
    </row>
    <row r="1782">
      <c r="A1782" s="39">
        <f>IFERROR(__xludf.DUMMYFUNCTION("""COMPUTED_VALUE"""),45953.44792467593)</f>
        <v>45953.44792</v>
      </c>
      <c r="B1782" s="40" t="str">
        <f>IFERROR(__xludf.DUMMYFUNCTION("""COMPUTED_VALUE"""),"NOVANTRY RUTHANIA NAFFIE")</f>
        <v>NOVANTRY RUTHANIA NAFFIE</v>
      </c>
      <c r="C1782" s="40" t="str">
        <f>IFERROR(__xludf.DUMMYFUNCTION("""COMPUTED_VALUE"""),"Belum disetujui")</f>
        <v>Belum disetujui</v>
      </c>
      <c r="D1782" s="40"/>
      <c r="E1782" s="40" t="s">
        <v>11397</v>
      </c>
      <c r="F1782" s="40" t="s">
        <v>220</v>
      </c>
      <c r="G1782" s="40" t="s">
        <v>11398</v>
      </c>
      <c r="H1782" s="40" t="s">
        <v>11399</v>
      </c>
    </row>
    <row r="1783">
      <c r="A1783" s="39">
        <f>IFERROR(__xludf.DUMMYFUNCTION("""COMPUTED_VALUE"""),45953.46646494213)</f>
        <v>45953.46646</v>
      </c>
      <c r="B1783" s="40" t="str">
        <f>IFERROR(__xludf.DUMMYFUNCTION("""COMPUTED_VALUE"""),"EMPI FRANGKI LIEM")</f>
        <v>EMPI FRANGKI LIEM</v>
      </c>
      <c r="C1783" s="40" t="str">
        <f>IFERROR(__xludf.DUMMYFUNCTION("""COMPUTED_VALUE"""),"Belum disetujui")</f>
        <v>Belum disetujui</v>
      </c>
      <c r="D1783" s="40"/>
      <c r="E1783" s="40" t="s">
        <v>11397</v>
      </c>
      <c r="F1783" s="40" t="s">
        <v>220</v>
      </c>
      <c r="G1783" s="40" t="s">
        <v>11398</v>
      </c>
      <c r="H1783" s="40" t="s">
        <v>11399</v>
      </c>
    </row>
    <row r="1784">
      <c r="A1784" s="39">
        <f>IFERROR(__xludf.DUMMYFUNCTION("""COMPUTED_VALUE"""),45953.46822065972)</f>
        <v>45953.46822</v>
      </c>
      <c r="B1784" s="40" t="str">
        <f>IFERROR(__xludf.DUMMYFUNCTION("""COMPUTED_VALUE"""),"EMPI FRANGKI LIEM")</f>
        <v>EMPI FRANGKI LIEM</v>
      </c>
      <c r="C1784" s="40" t="str">
        <f>IFERROR(__xludf.DUMMYFUNCTION("""COMPUTED_VALUE"""),"Belum disetujui")</f>
        <v>Belum disetujui</v>
      </c>
      <c r="D1784" s="40"/>
      <c r="E1784" s="40" t="s">
        <v>11397</v>
      </c>
      <c r="F1784" s="40" t="s">
        <v>220</v>
      </c>
      <c r="G1784" s="40" t="s">
        <v>11398</v>
      </c>
      <c r="H1784" s="40" t="s">
        <v>11399</v>
      </c>
    </row>
    <row r="1785">
      <c r="A1785" s="39">
        <f>IFERROR(__xludf.DUMMYFUNCTION("""COMPUTED_VALUE"""),45953.49501751158)</f>
        <v>45953.49502</v>
      </c>
      <c r="B1785" s="40" t="str">
        <f>IFERROR(__xludf.DUMMYFUNCTION("""COMPUTED_VALUE"""),"GRACELLA SARI HIVANA MANAFE")</f>
        <v>GRACELLA SARI HIVANA MANAFE</v>
      </c>
      <c r="C1785" s="40" t="str">
        <f>IFERROR(__xludf.DUMMYFUNCTION("""COMPUTED_VALUE"""),"Belum disetujui")</f>
        <v>Belum disetujui</v>
      </c>
      <c r="D1785" s="40"/>
      <c r="E1785" s="40" t="s">
        <v>11478</v>
      </c>
      <c r="F1785" s="40" t="s">
        <v>220</v>
      </c>
      <c r="G1785" s="40" t="s">
        <v>11479</v>
      </c>
      <c r="H1785" s="40" t="s">
        <v>11399</v>
      </c>
    </row>
    <row r="1786">
      <c r="A1786" s="39">
        <f>IFERROR(__xludf.DUMMYFUNCTION("""COMPUTED_VALUE"""),45953.49672258102)</f>
        <v>45953.49672</v>
      </c>
      <c r="B1786" s="40" t="str">
        <f>IFERROR(__xludf.DUMMYFUNCTION("""COMPUTED_VALUE"""),"PRETI SISILIA SILA")</f>
        <v>PRETI SISILIA SILA</v>
      </c>
      <c r="C1786" s="40" t="str">
        <f>IFERROR(__xludf.DUMMYFUNCTION("""COMPUTED_VALUE"""),"Belum disetujui")</f>
        <v>Belum disetujui</v>
      </c>
      <c r="D1786" s="40"/>
      <c r="E1786" s="40" t="s">
        <v>11456</v>
      </c>
      <c r="F1786" s="40" t="s">
        <v>667</v>
      </c>
      <c r="G1786" s="40" t="s">
        <v>11457</v>
      </c>
      <c r="H1786" s="40" t="s">
        <v>11424</v>
      </c>
    </row>
    <row r="1787">
      <c r="A1787" s="39">
        <f>IFERROR(__xludf.DUMMYFUNCTION("""COMPUTED_VALUE"""),45953.526539548606)</f>
        <v>45953.52654</v>
      </c>
      <c r="B1787" s="40" t="str">
        <f>IFERROR(__xludf.DUMMYFUNCTION("""COMPUTED_VALUE"""),"YOMELIANA MARIA MAGNO")</f>
        <v>YOMELIANA MARIA MAGNO</v>
      </c>
      <c r="C1787" s="40" t="str">
        <f>IFERROR(__xludf.DUMMYFUNCTION("""COMPUTED_VALUE"""),"Dapat limit tapi belum diproses")</f>
        <v>Dapat limit tapi belum diproses</v>
      </c>
      <c r="D1787" s="40" t="str">
        <f>IFERROR(__xludf.DUMMYFUNCTION("""COMPUTED_VALUE"""),"Y400 series")</f>
        <v>Y400 series</v>
      </c>
      <c r="E1787" s="40" t="s">
        <v>11460</v>
      </c>
      <c r="F1787" s="40" t="s">
        <v>871</v>
      </c>
      <c r="G1787" s="40" t="s">
        <v>11461</v>
      </c>
      <c r="H1787" s="40" t="s">
        <v>11424</v>
      </c>
    </row>
    <row r="1788">
      <c r="A1788" s="39">
        <f>IFERROR(__xludf.DUMMYFUNCTION("""COMPUTED_VALUE"""),45953.529432337964)</f>
        <v>45953.52943</v>
      </c>
      <c r="B1788" s="40" t="str">
        <f>IFERROR(__xludf.DUMMYFUNCTION("""COMPUTED_VALUE"""),"SELVINCE BAKO")</f>
        <v>SELVINCE BAKO</v>
      </c>
      <c r="C1788" s="40" t="str">
        <f>IFERROR(__xludf.DUMMYFUNCTION("""COMPUTED_VALUE"""),"Belum disetujui")</f>
        <v>Belum disetujui</v>
      </c>
      <c r="D1788" s="40"/>
      <c r="E1788" s="40" t="s">
        <v>11413</v>
      </c>
      <c r="F1788" s="40" t="s">
        <v>204</v>
      </c>
      <c r="G1788" s="40" t="s">
        <v>11414</v>
      </c>
      <c r="H1788" s="40" t="s">
        <v>11399</v>
      </c>
    </row>
    <row r="1789">
      <c r="A1789" s="39">
        <f>IFERROR(__xludf.DUMMYFUNCTION("""COMPUTED_VALUE"""),45953.529532939814)</f>
        <v>45953.52953</v>
      </c>
      <c r="B1789" s="40" t="str">
        <f>IFERROR(__xludf.DUMMYFUNCTION("""COMPUTED_VALUE"""),"GRACELLA SARI HIVANA MANAFE")</f>
        <v>GRACELLA SARI HIVANA MANAFE</v>
      </c>
      <c r="C1789" s="40" t="str">
        <f>IFERROR(__xludf.DUMMYFUNCTION("""COMPUTED_VALUE"""),"Belum disetujui")</f>
        <v>Belum disetujui</v>
      </c>
      <c r="D1789" s="40"/>
      <c r="E1789" s="40" t="s">
        <v>11478</v>
      </c>
      <c r="F1789" s="40" t="s">
        <v>220</v>
      </c>
      <c r="G1789" s="40" t="s">
        <v>11479</v>
      </c>
      <c r="H1789" s="40" t="s">
        <v>11399</v>
      </c>
    </row>
    <row r="1790">
      <c r="A1790" s="39">
        <f>IFERROR(__xludf.DUMMYFUNCTION("""COMPUTED_VALUE"""),45953.54727340278)</f>
        <v>45953.54727</v>
      </c>
      <c r="B1790" s="40" t="str">
        <f>IFERROR(__xludf.DUMMYFUNCTION("""COMPUTED_VALUE"""),"HERONIMUS NAMU WALI")</f>
        <v>HERONIMUS NAMU WALI</v>
      </c>
      <c r="C1790" s="40" t="str">
        <f>IFERROR(__xludf.DUMMYFUNCTION("""COMPUTED_VALUE"""),"Belum disetujui")</f>
        <v>Belum disetujui</v>
      </c>
      <c r="D1790" s="40"/>
      <c r="E1790" s="40" t="s">
        <v>11452</v>
      </c>
      <c r="F1790" s="40" t="s">
        <v>205</v>
      </c>
      <c r="G1790" s="40" t="s">
        <v>11453</v>
      </c>
      <c r="H1790" s="40" t="s">
        <v>11419</v>
      </c>
    </row>
    <row r="1791">
      <c r="A1791" s="39">
        <f>IFERROR(__xludf.DUMMYFUNCTION("""COMPUTED_VALUE"""),45953.548454490745)</f>
        <v>45953.54845</v>
      </c>
      <c r="B1791" s="40" t="str">
        <f>IFERROR(__xludf.DUMMYFUNCTION("""COMPUTED_VALUE"""),"NOVLIANA BARBALINA MISA")</f>
        <v>NOVLIANA BARBALINA MISA</v>
      </c>
      <c r="C1791" s="40" t="str">
        <f>IFERROR(__xludf.DUMMYFUNCTION("""COMPUTED_VALUE"""),"ACC")</f>
        <v>ACC</v>
      </c>
      <c r="D1791" s="40" t="str">
        <f>IFERROR(__xludf.DUMMYFUNCTION("""COMPUTED_VALUE"""),"V60 Lite series")</f>
        <v>V60 Lite series</v>
      </c>
      <c r="E1791" s="40" t="s">
        <v>11454</v>
      </c>
      <c r="F1791" s="40" t="s">
        <v>205</v>
      </c>
      <c r="G1791" s="40" t="s">
        <v>11455</v>
      </c>
      <c r="H1791" s="40" t="s">
        <v>11419</v>
      </c>
    </row>
    <row r="1792">
      <c r="A1792" s="39">
        <f>IFERROR(__xludf.DUMMYFUNCTION("""COMPUTED_VALUE"""),45953.56740712963)</f>
        <v>45953.56741</v>
      </c>
      <c r="B1792" s="40" t="str">
        <f>IFERROR(__xludf.DUMMYFUNCTION("""COMPUTED_VALUE"""),"AINI RAHMATINI NATALIA MOESTAKIM")</f>
        <v>AINI RAHMATINI NATALIA MOESTAKIM</v>
      </c>
      <c r="C1792" s="40" t="str">
        <f>IFERROR(__xludf.DUMMYFUNCTION("""COMPUTED_VALUE"""),"Belum disetujui")</f>
        <v>Belum disetujui</v>
      </c>
      <c r="D1792" s="40"/>
      <c r="E1792" s="40" t="s">
        <v>11409</v>
      </c>
      <c r="F1792" s="40" t="s">
        <v>204</v>
      </c>
      <c r="G1792" s="40" t="s">
        <v>11410</v>
      </c>
      <c r="H1792" s="40" t="s">
        <v>11399</v>
      </c>
    </row>
    <row r="1793">
      <c r="A1793" s="39">
        <f>IFERROR(__xludf.DUMMYFUNCTION("""COMPUTED_VALUE"""),45953.589149768515)</f>
        <v>45953.58915</v>
      </c>
      <c r="B1793" s="40" t="str">
        <f>IFERROR(__xludf.DUMMYFUNCTION("""COMPUTED_VALUE"""),"MARNITHA JUWIKE TIMORATI RUNESI")</f>
        <v>MARNITHA JUWIKE TIMORATI RUNESI</v>
      </c>
      <c r="C1793" s="40" t="str">
        <f>IFERROR(__xludf.DUMMYFUNCTION("""COMPUTED_VALUE"""),"Belum disetujui")</f>
        <v>Belum disetujui</v>
      </c>
      <c r="D1793" s="40"/>
      <c r="E1793" s="40" t="s">
        <v>11420</v>
      </c>
      <c r="F1793" s="40" t="s">
        <v>204</v>
      </c>
      <c r="G1793" s="40" t="s">
        <v>11421</v>
      </c>
      <c r="H1793" s="40" t="s">
        <v>11399</v>
      </c>
    </row>
    <row r="1794">
      <c r="A1794" s="39">
        <f>IFERROR(__xludf.DUMMYFUNCTION("""COMPUTED_VALUE"""),45953.59045071759)</f>
        <v>45953.59045</v>
      </c>
      <c r="B1794" s="40" t="str">
        <f>IFERROR(__xludf.DUMMYFUNCTION("""COMPUTED_VALUE"""),"ASRI NINGSI RAMBU ATA ENDI")</f>
        <v>ASRI NINGSI RAMBU ATA ENDI</v>
      </c>
      <c r="C1794" s="40" t="str">
        <f>IFERROR(__xludf.DUMMYFUNCTION("""COMPUTED_VALUE"""),"ACC")</f>
        <v>ACC</v>
      </c>
      <c r="D1794" s="40" t="str">
        <f>IFERROR(__xludf.DUMMYFUNCTION("""COMPUTED_VALUE"""),"Y400 series")</f>
        <v>Y400 series</v>
      </c>
      <c r="E1794" s="40" t="s">
        <v>11441</v>
      </c>
      <c r="F1794" s="40" t="s">
        <v>205</v>
      </c>
      <c r="G1794" s="40" t="s">
        <v>11442</v>
      </c>
      <c r="H1794" s="40" t="s">
        <v>11419</v>
      </c>
    </row>
    <row r="1795">
      <c r="A1795" s="39">
        <f>IFERROR(__xludf.DUMMYFUNCTION("""COMPUTED_VALUE"""),45953.60406326389)</f>
        <v>45953.60406</v>
      </c>
      <c r="B1795" s="40" t="str">
        <f>IFERROR(__xludf.DUMMYFUNCTION("""COMPUTED_VALUE"""),"MARIA MELAN ANANCE BILI")</f>
        <v>MARIA MELAN ANANCE BILI</v>
      </c>
      <c r="C1795" s="40" t="str">
        <f>IFERROR(__xludf.DUMMYFUNCTION("""COMPUTED_VALUE"""),"Belum disetujui")</f>
        <v>Belum disetujui</v>
      </c>
      <c r="D1795" s="40"/>
      <c r="E1795" s="40" t="s">
        <v>11466</v>
      </c>
      <c r="F1795" s="40" t="s">
        <v>257</v>
      </c>
      <c r="G1795" s="40" t="s">
        <v>11467</v>
      </c>
      <c r="H1795" s="40" t="s">
        <v>11419</v>
      </c>
    </row>
    <row r="1796">
      <c r="A1796" s="39">
        <f>IFERROR(__xludf.DUMMYFUNCTION("""COMPUTED_VALUE"""),45953.62160137732)</f>
        <v>45953.6216</v>
      </c>
      <c r="B1796" s="40" t="str">
        <f>IFERROR(__xludf.DUMMYFUNCTION("""COMPUTED_VALUE"""),"FEBRIANTHY ELISABET NA'U")</f>
        <v>FEBRIANTHY ELISABET NA'U</v>
      </c>
      <c r="C1796" s="40" t="str">
        <f>IFERROR(__xludf.DUMMYFUNCTION("""COMPUTED_VALUE"""),"Belum disetujui")</f>
        <v>Belum disetujui</v>
      </c>
      <c r="D1796" s="40"/>
      <c r="E1796" s="40" t="s">
        <v>11415</v>
      </c>
      <c r="F1796" s="40" t="s">
        <v>204</v>
      </c>
      <c r="G1796" s="40" t="s">
        <v>11416</v>
      </c>
      <c r="H1796" s="40" t="s">
        <v>11399</v>
      </c>
    </row>
    <row r="1797">
      <c r="A1797" s="39">
        <f>IFERROR(__xludf.DUMMYFUNCTION("""COMPUTED_VALUE"""),45953.66124923611)</f>
        <v>45953.66125</v>
      </c>
      <c r="B1797" s="40" t="str">
        <f>IFERROR(__xludf.DUMMYFUNCTION("""COMPUTED_VALUE"""),"NENY MERLIANTI NA'U")</f>
        <v>NENY MERLIANTI NA'U</v>
      </c>
      <c r="C1797" s="40" t="str">
        <f>IFERROR(__xludf.DUMMYFUNCTION("""COMPUTED_VALUE"""),"Belum disetujui")</f>
        <v>Belum disetujui</v>
      </c>
      <c r="D1797" s="40"/>
      <c r="E1797" s="40" t="s">
        <v>11476</v>
      </c>
      <c r="F1797" s="40" t="s">
        <v>204</v>
      </c>
      <c r="G1797" s="40" t="s">
        <v>11477</v>
      </c>
      <c r="H1797" s="40" t="s">
        <v>11399</v>
      </c>
    </row>
    <row r="1798">
      <c r="A1798" s="39">
        <f>IFERROR(__xludf.DUMMYFUNCTION("""COMPUTED_VALUE"""),45953.663540381945)</f>
        <v>45953.66354</v>
      </c>
      <c r="B1798" s="40" t="str">
        <f>IFERROR(__xludf.DUMMYFUNCTION("""COMPUTED_VALUE"""),"NENY MERLIANTI NA'U")</f>
        <v>NENY MERLIANTI NA'U</v>
      </c>
      <c r="C1798" s="40" t="str">
        <f>IFERROR(__xludf.DUMMYFUNCTION("""COMPUTED_VALUE"""),"Belum disetujui")</f>
        <v>Belum disetujui</v>
      </c>
      <c r="D1798" s="40"/>
      <c r="E1798" s="40" t="s">
        <v>11476</v>
      </c>
      <c r="F1798" s="40" t="s">
        <v>204</v>
      </c>
      <c r="G1798" s="40" t="s">
        <v>11477</v>
      </c>
      <c r="H1798" s="40" t="s">
        <v>11399</v>
      </c>
    </row>
    <row r="1799">
      <c r="A1799" s="39">
        <f>IFERROR(__xludf.DUMMYFUNCTION("""COMPUTED_VALUE"""),45953.67098971065)</f>
        <v>45953.67099</v>
      </c>
      <c r="B1799" s="40" t="str">
        <f>IFERROR(__xludf.DUMMYFUNCTION("""COMPUTED_VALUE"""),"EMPI FRANGKI LIEM")</f>
        <v>EMPI FRANGKI LIEM</v>
      </c>
      <c r="C1799" s="40" t="str">
        <f>IFERROR(__xludf.DUMMYFUNCTION("""COMPUTED_VALUE"""),"Dapat limit tapi belum diproses")</f>
        <v>Dapat limit tapi belum diproses</v>
      </c>
      <c r="D1799" s="40" t="str">
        <f>IFERROR(__xludf.DUMMYFUNCTION("""COMPUTED_VALUE"""),"Y400 series")</f>
        <v>Y400 series</v>
      </c>
      <c r="E1799" s="40" t="s">
        <v>11397</v>
      </c>
      <c r="F1799" s="40" t="s">
        <v>220</v>
      </c>
      <c r="G1799" s="40" t="s">
        <v>11398</v>
      </c>
      <c r="H1799" s="40" t="s">
        <v>11399</v>
      </c>
    </row>
    <row r="1800">
      <c r="A1800" s="39">
        <f>IFERROR(__xludf.DUMMYFUNCTION("""COMPUTED_VALUE"""),45953.67575012732)</f>
        <v>45953.67575</v>
      </c>
      <c r="B1800" s="40" t="str">
        <f>IFERROR(__xludf.DUMMYFUNCTION("""COMPUTED_VALUE"""),"SANTI MARIA LUKMINI NAHAK")</f>
        <v>SANTI MARIA LUKMINI NAHAK</v>
      </c>
      <c r="C1800" s="40" t="str">
        <f>IFERROR(__xludf.DUMMYFUNCTION("""COMPUTED_VALUE"""),"Belum disetujui")</f>
        <v>Belum disetujui</v>
      </c>
      <c r="D1800" s="40"/>
      <c r="E1800" s="40" t="s">
        <v>11460</v>
      </c>
      <c r="F1800" s="40" t="s">
        <v>871</v>
      </c>
      <c r="G1800" s="40" t="s">
        <v>11461</v>
      </c>
      <c r="H1800" s="40" t="s">
        <v>11424</v>
      </c>
    </row>
    <row r="1801">
      <c r="A1801" s="39">
        <f>IFERROR(__xludf.DUMMYFUNCTION("""COMPUTED_VALUE"""),45953.68678943287)</f>
        <v>45953.68679</v>
      </c>
      <c r="B1801" s="40" t="str">
        <f>IFERROR(__xludf.DUMMYFUNCTION("""COMPUTED_VALUE"""),"ASTUTI BELA WAWO")</f>
        <v>ASTUTI BELA WAWO</v>
      </c>
      <c r="C1801" s="40" t="str">
        <f>IFERROR(__xludf.DUMMYFUNCTION("""COMPUTED_VALUE"""),"Belum disetujui")</f>
        <v>Belum disetujui</v>
      </c>
      <c r="D1801" s="40"/>
      <c r="E1801" s="40" t="s">
        <v>11427</v>
      </c>
      <c r="F1801" s="40" t="s">
        <v>257</v>
      </c>
      <c r="G1801" s="40" t="s">
        <v>11428</v>
      </c>
      <c r="H1801" s="40" t="s">
        <v>11419</v>
      </c>
    </row>
    <row r="1802">
      <c r="A1802" s="39">
        <f>IFERROR(__xludf.DUMMYFUNCTION("""COMPUTED_VALUE"""),45953.69244179398)</f>
        <v>45953.69244</v>
      </c>
      <c r="B1802" s="40" t="str">
        <f>IFERROR(__xludf.DUMMYFUNCTION("""COMPUTED_VALUE"""),"SANTI MARIA LUKMINI NAHAK")</f>
        <v>SANTI MARIA LUKMINI NAHAK</v>
      </c>
      <c r="C1802" s="40" t="str">
        <f>IFERROR(__xludf.DUMMYFUNCTION("""COMPUTED_VALUE"""),"Dapat limit tapi belum diproses")</f>
        <v>Dapat limit tapi belum diproses</v>
      </c>
      <c r="D1802" s="40" t="str">
        <f>IFERROR(__xludf.DUMMYFUNCTION("""COMPUTED_VALUE"""),"Y400 series")</f>
        <v>Y400 series</v>
      </c>
      <c r="E1802" s="40" t="s">
        <v>11460</v>
      </c>
      <c r="F1802" s="40" t="s">
        <v>871</v>
      </c>
      <c r="G1802" s="40" t="s">
        <v>11461</v>
      </c>
      <c r="H1802" s="40" t="s">
        <v>11424</v>
      </c>
    </row>
    <row r="1803">
      <c r="A1803" s="39">
        <f>IFERROR(__xludf.DUMMYFUNCTION("""COMPUTED_VALUE"""),45953.70916626158)</f>
        <v>45953.70917</v>
      </c>
      <c r="B1803" s="40" t="str">
        <f>IFERROR(__xludf.DUMMYFUNCTION("""COMPUTED_VALUE"""),"MARIA MELAN ANANCE BILI")</f>
        <v>MARIA MELAN ANANCE BILI</v>
      </c>
      <c r="C1803" s="40" t="str">
        <f>IFERROR(__xludf.DUMMYFUNCTION("""COMPUTED_VALUE"""),"Belum disetujui")</f>
        <v>Belum disetujui</v>
      </c>
      <c r="D1803" s="40"/>
      <c r="E1803" s="40" t="s">
        <v>11466</v>
      </c>
      <c r="F1803" s="40" t="s">
        <v>257</v>
      </c>
      <c r="G1803" s="40" t="s">
        <v>11467</v>
      </c>
      <c r="H1803" s="40" t="s">
        <v>11419</v>
      </c>
    </row>
    <row r="1804">
      <c r="A1804" s="39">
        <f>IFERROR(__xludf.DUMMYFUNCTION("""COMPUTED_VALUE"""),45953.73508548611)</f>
        <v>45953.73509</v>
      </c>
      <c r="B1804" s="40" t="str">
        <f>IFERROR(__xludf.DUMMYFUNCTION("""COMPUTED_VALUE"""),"PRETI SISILIA SILA")</f>
        <v>PRETI SISILIA SILA</v>
      </c>
      <c r="C1804" s="40" t="str">
        <f>IFERROR(__xludf.DUMMYFUNCTION("""COMPUTED_VALUE"""),"Belum disetujui")</f>
        <v>Belum disetujui</v>
      </c>
      <c r="D1804" s="40"/>
      <c r="E1804" s="40" t="s">
        <v>11456</v>
      </c>
      <c r="F1804" s="40" t="s">
        <v>667</v>
      </c>
      <c r="G1804" s="40" t="s">
        <v>11457</v>
      </c>
      <c r="H1804" s="40" t="s">
        <v>11424</v>
      </c>
    </row>
    <row r="1805">
      <c r="A1805" s="39">
        <f>IFERROR(__xludf.DUMMYFUNCTION("""COMPUTED_VALUE"""),45953.73544603009)</f>
        <v>45953.73545</v>
      </c>
      <c r="B1805" s="40" t="str">
        <f>IFERROR(__xludf.DUMMYFUNCTION("""COMPUTED_VALUE"""),"PATRIANI MENGI ULY")</f>
        <v>PATRIANI MENGI ULY</v>
      </c>
      <c r="C1805" s="40" t="str">
        <f>IFERROR(__xludf.DUMMYFUNCTION("""COMPUTED_VALUE"""),"Dapat limit tapi belum diproses")</f>
        <v>Dapat limit tapi belum diproses</v>
      </c>
      <c r="D1805" s="40" t="str">
        <f>IFERROR(__xludf.DUMMYFUNCTION("""COMPUTED_VALUE"""),"V60 Lite series")</f>
        <v>V60 Lite series</v>
      </c>
      <c r="E1805" s="40" t="s">
        <v>11402</v>
      </c>
      <c r="F1805" s="40" t="s">
        <v>204</v>
      </c>
      <c r="G1805" s="40" t="s">
        <v>11403</v>
      </c>
      <c r="H1805" s="40" t="s">
        <v>11399</v>
      </c>
    </row>
    <row r="1806">
      <c r="A1806" s="39">
        <f>IFERROR(__xludf.DUMMYFUNCTION("""COMPUTED_VALUE"""),45953.75833990741)</f>
        <v>45953.75834</v>
      </c>
      <c r="B1806" s="40" t="str">
        <f>IFERROR(__xludf.DUMMYFUNCTION("""COMPUTED_VALUE"""),"AZ ZAHRA SITI ZAINAB")</f>
        <v>AZ ZAHRA SITI ZAINAB</v>
      </c>
      <c r="C1806" s="40" t="str">
        <f>IFERROR(__xludf.DUMMYFUNCTION("""COMPUTED_VALUE"""),"Belum disetujui")</f>
        <v>Belum disetujui</v>
      </c>
      <c r="D1806" s="40"/>
      <c r="E1806" s="40" t="s">
        <v>11462</v>
      </c>
      <c r="F1806" s="40" t="s">
        <v>257</v>
      </c>
      <c r="G1806" s="40" t="s">
        <v>11463</v>
      </c>
      <c r="H1806" s="40" t="s">
        <v>11419</v>
      </c>
    </row>
    <row r="1807">
      <c r="A1807" s="39">
        <f>IFERROR(__xludf.DUMMYFUNCTION("""COMPUTED_VALUE"""),45953.75845804398)</f>
        <v>45953.75846</v>
      </c>
      <c r="B1807" s="40" t="str">
        <f>IFERROR(__xludf.DUMMYFUNCTION("""COMPUTED_VALUE"""),"DWITNEY PRETY WANGGANDIMA")</f>
        <v>DWITNEY PRETY WANGGANDIMA</v>
      </c>
      <c r="C1807" s="40" t="str">
        <f>IFERROR(__xludf.DUMMYFUNCTION("""COMPUTED_VALUE"""),"Belum disetujui")</f>
        <v>Belum disetujui</v>
      </c>
      <c r="D1807" s="40"/>
      <c r="E1807" s="40" t="s">
        <v>11443</v>
      </c>
      <c r="F1807" s="40" t="s">
        <v>220</v>
      </c>
      <c r="G1807" s="40" t="s">
        <v>11444</v>
      </c>
      <c r="H1807" s="40" t="s">
        <v>11399</v>
      </c>
    </row>
    <row r="1808">
      <c r="A1808" s="39">
        <f>IFERROR(__xludf.DUMMYFUNCTION("""COMPUTED_VALUE"""),45953.75869519676)</f>
        <v>45953.7587</v>
      </c>
      <c r="B1808" s="40" t="str">
        <f>IFERROR(__xludf.DUMMYFUNCTION("""COMPUTED_VALUE"""),"YANA DANGU")</f>
        <v>YANA DANGU</v>
      </c>
      <c r="C1808" s="40" t="str">
        <f>IFERROR(__xludf.DUMMYFUNCTION("""COMPUTED_VALUE"""),"Belum disetujui")</f>
        <v>Belum disetujui</v>
      </c>
      <c r="D1808" s="40"/>
      <c r="E1808" s="40" t="s">
        <v>11397</v>
      </c>
      <c r="F1808" s="40" t="s">
        <v>220</v>
      </c>
      <c r="G1808" s="40" t="s">
        <v>11398</v>
      </c>
      <c r="H1808" s="40" t="s">
        <v>11399</v>
      </c>
    </row>
    <row r="1809">
      <c r="A1809" s="39">
        <f>IFERROR(__xludf.DUMMYFUNCTION("""COMPUTED_VALUE"""),45953.76104483797)</f>
        <v>45953.76104</v>
      </c>
      <c r="B1809" s="40" t="str">
        <f>IFERROR(__xludf.DUMMYFUNCTION("""COMPUTED_VALUE"""),"GRACELLA SARI HIVANA MANAFE")</f>
        <v>GRACELLA SARI HIVANA MANAFE</v>
      </c>
      <c r="C1809" s="40" t="str">
        <f>IFERROR(__xludf.DUMMYFUNCTION("""COMPUTED_VALUE"""),"Belum disetujui")</f>
        <v>Belum disetujui</v>
      </c>
      <c r="D1809" s="40"/>
      <c r="E1809" s="40" t="s">
        <v>11478</v>
      </c>
      <c r="F1809" s="40" t="s">
        <v>220</v>
      </c>
      <c r="G1809" s="40" t="s">
        <v>11479</v>
      </c>
      <c r="H1809" s="40" t="s">
        <v>11399</v>
      </c>
    </row>
    <row r="1810">
      <c r="A1810" s="39">
        <f>IFERROR(__xludf.DUMMYFUNCTION("""COMPUTED_VALUE"""),45953.763605844906)</f>
        <v>45953.76361</v>
      </c>
      <c r="B1810" s="40" t="str">
        <f>IFERROR(__xludf.DUMMYFUNCTION("""COMPUTED_VALUE"""),"ALDIANA WELIA PANIE")</f>
        <v>ALDIANA WELIA PANIE</v>
      </c>
      <c r="C1810" s="40" t="str">
        <f>IFERROR(__xludf.DUMMYFUNCTION("""COMPUTED_VALUE"""),"Belum disetujui")</f>
        <v>Belum disetujui</v>
      </c>
      <c r="D1810" s="40"/>
      <c r="E1810" s="40" t="s">
        <v>11422</v>
      </c>
      <c r="F1810" s="40" t="s">
        <v>215</v>
      </c>
      <c r="G1810" s="40" t="s">
        <v>11423</v>
      </c>
      <c r="H1810" s="40" t="s">
        <v>11424</v>
      </c>
    </row>
    <row r="1811">
      <c r="A1811" s="39">
        <f>IFERROR(__xludf.DUMMYFUNCTION("""COMPUTED_VALUE"""),45953.78748907407)</f>
        <v>45953.78749</v>
      </c>
      <c r="B1811" s="40" t="str">
        <f>IFERROR(__xludf.DUMMYFUNCTION("""COMPUTED_VALUE"""),"SKOLASTIKA B TAUNAES")</f>
        <v>SKOLASTIKA B TAUNAES</v>
      </c>
      <c r="C1811" s="40" t="str">
        <f>IFERROR(__xludf.DUMMYFUNCTION("""COMPUTED_VALUE"""),"Belum disetujui")</f>
        <v>Belum disetujui</v>
      </c>
      <c r="D1811" s="40"/>
      <c r="E1811" s="40" t="s">
        <v>11413</v>
      </c>
      <c r="F1811" s="40" t="s">
        <v>204</v>
      </c>
      <c r="G1811" s="40" t="s">
        <v>11414</v>
      </c>
      <c r="H1811" s="40" t="s">
        <v>11399</v>
      </c>
    </row>
    <row r="1812">
      <c r="A1812" s="39">
        <f>IFERROR(__xludf.DUMMYFUNCTION("""COMPUTED_VALUE"""),45953.80040517361)</f>
        <v>45953.80041</v>
      </c>
      <c r="B1812" s="40" t="str">
        <f>IFERROR(__xludf.DUMMYFUNCTION("""COMPUTED_VALUE"""),"ROS YANE KANA LUDJI")</f>
        <v>ROS YANE KANA LUDJI</v>
      </c>
      <c r="C1812" s="40" t="str">
        <f>IFERROR(__xludf.DUMMYFUNCTION("""COMPUTED_VALUE"""),"Dapat limit tapi belum diproses")</f>
        <v>Dapat limit tapi belum diproses</v>
      </c>
      <c r="D1812" s="40" t="str">
        <f>IFERROR(__xludf.DUMMYFUNCTION("""COMPUTED_VALUE"""),"V60 Lite series")</f>
        <v>V60 Lite series</v>
      </c>
      <c r="E1812" s="40" t="s">
        <v>11437</v>
      </c>
      <c r="F1812" s="40" t="s">
        <v>204</v>
      </c>
      <c r="G1812" s="40" t="s">
        <v>11438</v>
      </c>
      <c r="H1812" s="40" t="s">
        <v>11399</v>
      </c>
    </row>
    <row r="1813">
      <c r="A1813" s="39">
        <f>IFERROR(__xludf.DUMMYFUNCTION("""COMPUTED_VALUE"""),45953.808346631944)</f>
        <v>45953.80835</v>
      </c>
      <c r="B1813" s="40" t="str">
        <f>IFERROR(__xludf.DUMMYFUNCTION("""COMPUTED_VALUE"""),"YUNITA TAMELAB")</f>
        <v>YUNITA TAMELAB</v>
      </c>
      <c r="C1813" s="40" t="str">
        <f>IFERROR(__xludf.DUMMYFUNCTION("""COMPUTED_VALUE"""),"Belum disetujui")</f>
        <v>Belum disetujui</v>
      </c>
      <c r="D1813" s="40"/>
      <c r="E1813" s="40" t="s">
        <v>11472</v>
      </c>
      <c r="F1813" s="40" t="s">
        <v>667</v>
      </c>
      <c r="G1813" s="40" t="s">
        <v>11473</v>
      </c>
      <c r="H1813" s="40" t="s">
        <v>11424</v>
      </c>
    </row>
    <row r="1814">
      <c r="A1814" s="39">
        <f>IFERROR(__xludf.DUMMYFUNCTION("""COMPUTED_VALUE"""),45953.811221331016)</f>
        <v>45953.81122</v>
      </c>
      <c r="B1814" s="40" t="str">
        <f>IFERROR(__xludf.DUMMYFUNCTION("""COMPUTED_VALUE"""),"MEXY ALEXANDER HETMINA")</f>
        <v>MEXY ALEXANDER HETMINA</v>
      </c>
      <c r="C1814" s="40" t="str">
        <f>IFERROR(__xludf.DUMMYFUNCTION("""COMPUTED_VALUE"""),"ACC")</f>
        <v>ACC</v>
      </c>
      <c r="D1814" s="40" t="str">
        <f>IFERROR(__xludf.DUMMYFUNCTION("""COMPUTED_VALUE"""),"Y400 series")</f>
        <v>Y400 series</v>
      </c>
      <c r="E1814" s="40" t="s">
        <v>11413</v>
      </c>
      <c r="F1814" s="40" t="s">
        <v>204</v>
      </c>
      <c r="G1814" s="40" t="s">
        <v>11414</v>
      </c>
      <c r="H1814" s="40" t="s">
        <v>11399</v>
      </c>
    </row>
    <row r="1815">
      <c r="A1815" s="39">
        <f>IFERROR(__xludf.DUMMYFUNCTION("""COMPUTED_VALUE"""),45953.811242372685)</f>
        <v>45953.81124</v>
      </c>
      <c r="B1815" s="40" t="str">
        <f>IFERROR(__xludf.DUMMYFUNCTION("""COMPUTED_VALUE"""),"IRENE NOVALIA KADJU")</f>
        <v>IRENE NOVALIA KADJU</v>
      </c>
      <c r="C1815" s="40" t="str">
        <f>IFERROR(__xludf.DUMMYFUNCTION("""COMPUTED_VALUE"""),"Belum disetujui")</f>
        <v>Belum disetujui</v>
      </c>
      <c r="D1815" s="40"/>
      <c r="E1815" s="40" t="s">
        <v>11445</v>
      </c>
      <c r="F1815" s="40" t="s">
        <v>204</v>
      </c>
      <c r="G1815" s="40" t="s">
        <v>11446</v>
      </c>
      <c r="H1815" s="40" t="s">
        <v>11399</v>
      </c>
    </row>
    <row r="1816">
      <c r="A1816" s="39">
        <f>IFERROR(__xludf.DUMMYFUNCTION("""COMPUTED_VALUE"""),45953.813015231484)</f>
        <v>45953.81302</v>
      </c>
      <c r="B1816" s="40" t="str">
        <f>IFERROR(__xludf.DUMMYFUNCTION("""COMPUTED_VALUE"""),"ROS YANE KANA LUDJI")</f>
        <v>ROS YANE KANA LUDJI</v>
      </c>
      <c r="C1816" s="40" t="str">
        <f>IFERROR(__xludf.DUMMYFUNCTION("""COMPUTED_VALUE"""),"Belum disetujui")</f>
        <v>Belum disetujui</v>
      </c>
      <c r="D1816" s="40"/>
      <c r="E1816" s="40" t="s">
        <v>11437</v>
      </c>
      <c r="F1816" s="40" t="s">
        <v>204</v>
      </c>
      <c r="G1816" s="40" t="s">
        <v>11438</v>
      </c>
      <c r="H1816" s="40" t="s">
        <v>11399</v>
      </c>
    </row>
    <row r="1817">
      <c r="A1817" s="39">
        <f>IFERROR(__xludf.DUMMYFUNCTION("""COMPUTED_VALUE"""),45953.82411945602)</f>
        <v>45953.82412</v>
      </c>
      <c r="B1817" s="40" t="str">
        <f>IFERROR(__xludf.DUMMYFUNCTION("""COMPUTED_VALUE"""),"RESTIANY MARIA LUAN KALI")</f>
        <v>RESTIANY MARIA LUAN KALI</v>
      </c>
      <c r="C1817" s="40" t="str">
        <f>IFERROR(__xludf.DUMMYFUNCTION("""COMPUTED_VALUE"""),"Belum disetujui")</f>
        <v>Belum disetujui</v>
      </c>
      <c r="D1817" s="40"/>
      <c r="E1817" s="40" t="s">
        <v>11400</v>
      </c>
      <c r="F1817" s="40" t="s">
        <v>204</v>
      </c>
      <c r="G1817" s="40" t="s">
        <v>11401</v>
      </c>
      <c r="H1817" s="40" t="s">
        <v>11399</v>
      </c>
    </row>
    <row r="1818">
      <c r="A1818" s="39">
        <f>IFERROR(__xludf.DUMMYFUNCTION("""COMPUTED_VALUE"""),45953.83017692129)</f>
        <v>45953.83018</v>
      </c>
      <c r="B1818" s="40" t="str">
        <f>IFERROR(__xludf.DUMMYFUNCTION("""COMPUTED_VALUE"""),"PRETI SISILIA SILA")</f>
        <v>PRETI SISILIA SILA</v>
      </c>
      <c r="C1818" s="40" t="str">
        <f>IFERROR(__xludf.DUMMYFUNCTION("""COMPUTED_VALUE"""),"Belum disetujui")</f>
        <v>Belum disetujui</v>
      </c>
      <c r="D1818" s="40"/>
      <c r="E1818" s="40" t="s">
        <v>11456</v>
      </c>
      <c r="F1818" s="40" t="s">
        <v>667</v>
      </c>
      <c r="G1818" s="40" t="s">
        <v>11457</v>
      </c>
      <c r="H1818" s="40" t="s">
        <v>11424</v>
      </c>
    </row>
    <row r="1819">
      <c r="A1819" s="39">
        <f>IFERROR(__xludf.DUMMYFUNCTION("""COMPUTED_VALUE"""),45953.83117672453)</f>
        <v>45953.83118</v>
      </c>
      <c r="B1819" s="40" t="str">
        <f>IFERROR(__xludf.DUMMYFUNCTION("""COMPUTED_VALUE"""),"MARNITHA JUWIKE TIMORATI RUNESI")</f>
        <v>MARNITHA JUWIKE TIMORATI RUNESI</v>
      </c>
      <c r="C1819" s="40" t="str">
        <f>IFERROR(__xludf.DUMMYFUNCTION("""COMPUTED_VALUE"""),"Belum disetujui")</f>
        <v>Belum disetujui</v>
      </c>
      <c r="D1819" s="40"/>
      <c r="E1819" s="40" t="s">
        <v>11420</v>
      </c>
      <c r="F1819" s="40" t="s">
        <v>204</v>
      </c>
      <c r="G1819" s="40" t="s">
        <v>11421</v>
      </c>
      <c r="H1819" s="40" t="s">
        <v>11399</v>
      </c>
    </row>
    <row r="1820">
      <c r="A1820" s="39">
        <f>IFERROR(__xludf.DUMMYFUNCTION("""COMPUTED_VALUE"""),45953.83243634259)</f>
        <v>45953.83244</v>
      </c>
      <c r="B1820" s="40" t="str">
        <f>IFERROR(__xludf.DUMMYFUNCTION("""COMPUTED_VALUE"""),"MARNITHA JUWIKE TIMORATI RUNESI")</f>
        <v>MARNITHA JUWIKE TIMORATI RUNESI</v>
      </c>
      <c r="C1820" s="40" t="str">
        <f>IFERROR(__xludf.DUMMYFUNCTION("""COMPUTED_VALUE"""),"Dapat limit tapi belum diproses")</f>
        <v>Dapat limit tapi belum diproses</v>
      </c>
      <c r="D1820" s="40" t="str">
        <f>IFERROR(__xludf.DUMMYFUNCTION("""COMPUTED_VALUE"""),"Y400 series")</f>
        <v>Y400 series</v>
      </c>
      <c r="E1820" s="40" t="s">
        <v>11420</v>
      </c>
      <c r="F1820" s="40" t="s">
        <v>204</v>
      </c>
      <c r="G1820" s="40" t="s">
        <v>11421</v>
      </c>
      <c r="H1820" s="40" t="s">
        <v>11399</v>
      </c>
    </row>
    <row r="1821">
      <c r="A1821" s="39">
        <f>IFERROR(__xludf.DUMMYFUNCTION("""COMPUTED_VALUE"""),45953.83321994213)</f>
        <v>45953.83322</v>
      </c>
      <c r="B1821" s="40" t="str">
        <f>IFERROR(__xludf.DUMMYFUNCTION("""COMPUTED_VALUE"""),"MARNITHA JUWIKE TIMORATI RUNESI")</f>
        <v>MARNITHA JUWIKE TIMORATI RUNESI</v>
      </c>
      <c r="C1821" s="40" t="str">
        <f>IFERROR(__xludf.DUMMYFUNCTION("""COMPUTED_VALUE"""),"Belum disetujui")</f>
        <v>Belum disetujui</v>
      </c>
      <c r="D1821" s="40"/>
      <c r="E1821" s="40" t="s">
        <v>11420</v>
      </c>
      <c r="F1821" s="40" t="s">
        <v>204</v>
      </c>
      <c r="G1821" s="40" t="s">
        <v>11421</v>
      </c>
      <c r="H1821" s="40" t="s">
        <v>11399</v>
      </c>
    </row>
    <row r="1822">
      <c r="A1822" s="39">
        <f>IFERROR(__xludf.DUMMYFUNCTION("""COMPUTED_VALUE"""),45953.900340162036)</f>
        <v>45953.90034</v>
      </c>
      <c r="B1822" s="40" t="str">
        <f>IFERROR(__xludf.DUMMYFUNCTION("""COMPUTED_VALUE"""),"FERI ELI KURNIAWAN")</f>
        <v>FERI ELI KURNIAWAN</v>
      </c>
      <c r="C1822" s="40" t="str">
        <f>IFERROR(__xludf.DUMMYFUNCTION("""COMPUTED_VALUE"""),"Belum disetujui")</f>
        <v>Belum disetujui</v>
      </c>
      <c r="D1822" s="40"/>
      <c r="E1822" s="40" t="s">
        <v>11411</v>
      </c>
      <c r="F1822" s="40" t="s">
        <v>220</v>
      </c>
      <c r="G1822" s="40" t="s">
        <v>11412</v>
      </c>
      <c r="H1822" s="40" t="s">
        <v>11399</v>
      </c>
    </row>
    <row r="1823">
      <c r="A1823" s="39">
        <f>IFERROR(__xludf.DUMMYFUNCTION("""COMPUTED_VALUE"""),45954.44609171296)</f>
        <v>45954.44609</v>
      </c>
      <c r="B1823" s="40" t="str">
        <f>IFERROR(__xludf.DUMMYFUNCTION("""COMPUTED_VALUE"""),"YOMELIANA MARIA MAGNO")</f>
        <v>YOMELIANA MARIA MAGNO</v>
      </c>
      <c r="C1823" s="40" t="str">
        <f>IFERROR(__xludf.DUMMYFUNCTION("""COMPUTED_VALUE"""),"Belum disetujui")</f>
        <v>Belum disetujui</v>
      </c>
      <c r="D1823" s="40"/>
      <c r="E1823" s="40" t="s">
        <v>11460</v>
      </c>
      <c r="F1823" s="40" t="s">
        <v>871</v>
      </c>
      <c r="G1823" s="40" t="s">
        <v>11461</v>
      </c>
      <c r="H1823" s="40" t="s">
        <v>11424</v>
      </c>
    </row>
    <row r="1824">
      <c r="A1824" s="39">
        <f>IFERROR(__xludf.DUMMYFUNCTION("""COMPUTED_VALUE"""),45954.45029321759)</f>
        <v>45954.45029</v>
      </c>
      <c r="B1824" s="40" t="str">
        <f>IFERROR(__xludf.DUMMYFUNCTION("""COMPUTED_VALUE"""),"ASRI NINGSI RAMBU ATA ENDI")</f>
        <v>ASRI NINGSI RAMBU ATA ENDI</v>
      </c>
      <c r="C1824" s="40" t="str">
        <f>IFERROR(__xludf.DUMMYFUNCTION("""COMPUTED_VALUE"""),"Belum disetujui")</f>
        <v>Belum disetujui</v>
      </c>
      <c r="D1824" s="40"/>
      <c r="E1824" s="40" t="s">
        <v>11441</v>
      </c>
      <c r="F1824" s="40" t="s">
        <v>205</v>
      </c>
      <c r="G1824" s="40" t="s">
        <v>11442</v>
      </c>
      <c r="H1824" s="40" t="s">
        <v>11419</v>
      </c>
    </row>
    <row r="1825">
      <c r="A1825" s="39">
        <f>IFERROR(__xludf.DUMMYFUNCTION("""COMPUTED_VALUE"""),45954.45855483796)</f>
        <v>45954.45855</v>
      </c>
      <c r="B1825" s="40" t="str">
        <f>IFERROR(__xludf.DUMMYFUNCTION("""COMPUTED_VALUE"""),"YUNITA TAMELAB")</f>
        <v>YUNITA TAMELAB</v>
      </c>
      <c r="C1825" s="40" t="str">
        <f>IFERROR(__xludf.DUMMYFUNCTION("""COMPUTED_VALUE"""),"Belum disetujui")</f>
        <v>Belum disetujui</v>
      </c>
      <c r="D1825" s="40"/>
      <c r="E1825" s="40" t="s">
        <v>11472</v>
      </c>
      <c r="F1825" s="40" t="s">
        <v>667</v>
      </c>
      <c r="G1825" s="40" t="s">
        <v>11473</v>
      </c>
      <c r="H1825" s="40" t="s">
        <v>11424</v>
      </c>
    </row>
    <row r="1826">
      <c r="A1826" s="39">
        <f>IFERROR(__xludf.DUMMYFUNCTION("""COMPUTED_VALUE"""),45954.478131550924)</f>
        <v>45954.47813</v>
      </c>
      <c r="B1826" s="40" t="str">
        <f>IFERROR(__xludf.DUMMYFUNCTION("""COMPUTED_VALUE"""),"ANITA ANA AMAH")</f>
        <v>ANITA ANA AMAH</v>
      </c>
      <c r="C1826" s="40" t="str">
        <f>IFERROR(__xludf.DUMMYFUNCTION("""COMPUTED_VALUE"""),"Belum disetujui")</f>
        <v>Belum disetujui</v>
      </c>
      <c r="D1826" s="40"/>
      <c r="E1826" s="40" t="s">
        <v>11425</v>
      </c>
      <c r="F1826" s="40" t="s">
        <v>205</v>
      </c>
      <c r="G1826" s="40" t="s">
        <v>11426</v>
      </c>
      <c r="H1826" s="40" t="s">
        <v>11419</v>
      </c>
    </row>
    <row r="1827">
      <c r="A1827" s="39">
        <f>IFERROR(__xludf.DUMMYFUNCTION("""COMPUTED_VALUE"""),45954.49790107639)</f>
        <v>45954.4979</v>
      </c>
      <c r="B1827" s="40" t="str">
        <f>IFERROR(__xludf.DUMMYFUNCTION("""COMPUTED_VALUE"""),"NOVLIANA BARBALINA MISA")</f>
        <v>NOVLIANA BARBALINA MISA</v>
      </c>
      <c r="C1827" s="40" t="str">
        <f>IFERROR(__xludf.DUMMYFUNCTION("""COMPUTED_VALUE"""),"Belum disetujui")</f>
        <v>Belum disetujui</v>
      </c>
      <c r="D1827" s="40"/>
      <c r="E1827" s="40" t="s">
        <v>11454</v>
      </c>
      <c r="F1827" s="40" t="s">
        <v>205</v>
      </c>
      <c r="G1827" s="40" t="s">
        <v>11455</v>
      </c>
      <c r="H1827" s="40" t="s">
        <v>11419</v>
      </c>
    </row>
    <row r="1828">
      <c r="A1828" s="39">
        <f>IFERROR(__xludf.DUMMYFUNCTION("""COMPUTED_VALUE"""),45954.50871020833)</f>
        <v>45954.50871</v>
      </c>
      <c r="B1828" s="40" t="str">
        <f>IFERROR(__xludf.DUMMYFUNCTION("""COMPUTED_VALUE"""),"YASINTHA MBU")</f>
        <v>YASINTHA MBU</v>
      </c>
      <c r="C1828" s="40" t="str">
        <f>IFERROR(__xludf.DUMMYFUNCTION("""COMPUTED_VALUE"""),"Dapat limit tapi belum diproses")</f>
        <v>Dapat limit tapi belum diproses</v>
      </c>
      <c r="D1828" s="40" t="str">
        <f>IFERROR(__xludf.DUMMYFUNCTION("""COMPUTED_VALUE"""),"Y21d series")</f>
        <v>Y21d series</v>
      </c>
      <c r="E1828" s="40" t="s">
        <v>11407</v>
      </c>
      <c r="F1828" s="40" t="s">
        <v>220</v>
      </c>
      <c r="G1828" s="40" t="s">
        <v>11408</v>
      </c>
      <c r="H1828" s="40" t="s">
        <v>11399</v>
      </c>
    </row>
    <row r="1829">
      <c r="A1829" s="39">
        <f>IFERROR(__xludf.DUMMYFUNCTION("""COMPUTED_VALUE"""),45954.531280856485)</f>
        <v>45954.53128</v>
      </c>
      <c r="B1829" s="40" t="str">
        <f>IFERROR(__xludf.DUMMYFUNCTION("""COMPUTED_VALUE"""),"AMBU BAIQ JUMENAH")</f>
        <v>AMBU BAIQ JUMENAH</v>
      </c>
      <c r="C1829" s="40" t="str">
        <f>IFERROR(__xludf.DUMMYFUNCTION("""COMPUTED_VALUE"""),"Belum disetujui")</f>
        <v>Belum disetujui</v>
      </c>
      <c r="D1829" s="40"/>
      <c r="E1829" s="40" t="s">
        <v>11458</v>
      </c>
      <c r="F1829" s="40" t="s">
        <v>205</v>
      </c>
      <c r="G1829" s="40" t="s">
        <v>11459</v>
      </c>
      <c r="H1829" s="40" t="s">
        <v>11419</v>
      </c>
    </row>
    <row r="1830">
      <c r="A1830" s="39">
        <f>IFERROR(__xludf.DUMMYFUNCTION("""COMPUTED_VALUE"""),45954.53389399305)</f>
        <v>45954.53389</v>
      </c>
      <c r="B1830" s="40" t="str">
        <f>IFERROR(__xludf.DUMMYFUNCTION("""COMPUTED_VALUE"""),"ADRIANA")</f>
        <v>ADRIANA</v>
      </c>
      <c r="C1830" s="40" t="str">
        <f>IFERROR(__xludf.DUMMYFUNCTION("""COMPUTED_VALUE"""),"Belum disetujui")</f>
        <v>Belum disetujui</v>
      </c>
      <c r="D1830" s="40"/>
      <c r="E1830" s="40" t="s">
        <v>11433</v>
      </c>
      <c r="F1830" s="40" t="s">
        <v>313</v>
      </c>
      <c r="G1830" s="40" t="s">
        <v>11434</v>
      </c>
      <c r="H1830" s="40" t="s">
        <v>11424</v>
      </c>
    </row>
    <row r="1831">
      <c r="A1831" s="39">
        <f>IFERROR(__xludf.DUMMYFUNCTION("""COMPUTED_VALUE"""),45954.53734560185)</f>
        <v>45954.53735</v>
      </c>
      <c r="B1831" s="40" t="str">
        <f>IFERROR(__xludf.DUMMYFUNCTION("""COMPUTED_VALUE"""),"ARMINDA TEKU MANEK")</f>
        <v>ARMINDA TEKU MANEK</v>
      </c>
      <c r="C1831" s="40" t="str">
        <f>IFERROR(__xludf.DUMMYFUNCTION("""COMPUTED_VALUE"""),"Belum disetujui")</f>
        <v>Belum disetujui</v>
      </c>
      <c r="D1831" s="40"/>
      <c r="E1831" s="40" t="s">
        <v>11474</v>
      </c>
      <c r="F1831" s="40" t="s">
        <v>313</v>
      </c>
      <c r="G1831" s="40" t="s">
        <v>11475</v>
      </c>
      <c r="H1831" s="40" t="s">
        <v>11424</v>
      </c>
    </row>
    <row r="1832">
      <c r="A1832" s="39">
        <f>IFERROR(__xludf.DUMMYFUNCTION("""COMPUTED_VALUE"""),45954.57641459491)</f>
        <v>45954.57641</v>
      </c>
      <c r="B1832" s="40" t="str">
        <f>IFERROR(__xludf.DUMMYFUNCTION("""COMPUTED_VALUE"""),"YUNITA TAMELAB")</f>
        <v>YUNITA TAMELAB</v>
      </c>
      <c r="C1832" s="40" t="str">
        <f>IFERROR(__xludf.DUMMYFUNCTION("""COMPUTED_VALUE"""),"Belum disetujui")</f>
        <v>Belum disetujui</v>
      </c>
      <c r="D1832" s="40"/>
      <c r="E1832" s="40" t="s">
        <v>11472</v>
      </c>
      <c r="F1832" s="40" t="s">
        <v>667</v>
      </c>
      <c r="G1832" s="40" t="s">
        <v>11473</v>
      </c>
      <c r="H1832" s="40" t="s">
        <v>11424</v>
      </c>
    </row>
    <row r="1833">
      <c r="A1833" s="39">
        <f>IFERROR(__xludf.DUMMYFUNCTION("""COMPUTED_VALUE"""),45954.57968170139)</f>
        <v>45954.57968</v>
      </c>
      <c r="B1833" s="40" t="str">
        <f>IFERROR(__xludf.DUMMYFUNCTION("""COMPUTED_VALUE"""),"GRACELLA SARI HIVANA MANAFE")</f>
        <v>GRACELLA SARI HIVANA MANAFE</v>
      </c>
      <c r="C1833" s="40" t="str">
        <f>IFERROR(__xludf.DUMMYFUNCTION("""COMPUTED_VALUE"""),"Dapat limit tapi belum diproses")</f>
        <v>Dapat limit tapi belum diproses</v>
      </c>
      <c r="D1833" s="40" t="str">
        <f>IFERROR(__xludf.DUMMYFUNCTION("""COMPUTED_VALUE"""),"Y400 series")</f>
        <v>Y400 series</v>
      </c>
      <c r="E1833" s="40" t="s">
        <v>11478</v>
      </c>
      <c r="F1833" s="40" t="s">
        <v>220</v>
      </c>
      <c r="G1833" s="40" t="s">
        <v>11479</v>
      </c>
      <c r="H1833" s="40" t="s">
        <v>11399</v>
      </c>
    </row>
    <row r="1834">
      <c r="A1834" s="39">
        <f>IFERROR(__xludf.DUMMYFUNCTION("""COMPUTED_VALUE"""),45954.58239884259)</f>
        <v>45954.5824</v>
      </c>
      <c r="B1834" s="40" t="str">
        <f>IFERROR(__xludf.DUMMYFUNCTION("""COMPUTED_VALUE"""),"RESTIANY MARIA LUAN KALI")</f>
        <v>RESTIANY MARIA LUAN KALI</v>
      </c>
      <c r="C1834" s="40" t="str">
        <f>IFERROR(__xludf.DUMMYFUNCTION("""COMPUTED_VALUE"""),"Dapat limit tapi belum diproses")</f>
        <v>Dapat limit tapi belum diproses</v>
      </c>
      <c r="D1834" s="40" t="str">
        <f>IFERROR(__xludf.DUMMYFUNCTION("""COMPUTED_VALUE"""),"Y21d series")</f>
        <v>Y21d series</v>
      </c>
      <c r="E1834" s="40" t="s">
        <v>11400</v>
      </c>
      <c r="F1834" s="40" t="s">
        <v>204</v>
      </c>
      <c r="G1834" s="40" t="s">
        <v>11401</v>
      </c>
      <c r="H1834" s="40" t="s">
        <v>11399</v>
      </c>
    </row>
    <row r="1835">
      <c r="A1835" s="39">
        <f>IFERROR(__xludf.DUMMYFUNCTION("""COMPUTED_VALUE"""),45954.59247986111)</f>
        <v>45954.59248</v>
      </c>
      <c r="B1835" s="40" t="str">
        <f>IFERROR(__xludf.DUMMYFUNCTION("""COMPUTED_VALUE"""),"MARIA MELAN ANANCE BILI")</f>
        <v>MARIA MELAN ANANCE BILI</v>
      </c>
      <c r="C1835" s="40" t="str">
        <f>IFERROR(__xludf.DUMMYFUNCTION("""COMPUTED_VALUE"""),"ACC")</f>
        <v>ACC</v>
      </c>
      <c r="D1835" s="40" t="str">
        <f>IFERROR(__xludf.DUMMYFUNCTION("""COMPUTED_VALUE"""),"Y400 series")</f>
        <v>Y400 series</v>
      </c>
      <c r="E1835" s="40" t="s">
        <v>11466</v>
      </c>
      <c r="F1835" s="40" t="s">
        <v>257</v>
      </c>
      <c r="G1835" s="40" t="s">
        <v>11467</v>
      </c>
      <c r="H1835" s="40" t="s">
        <v>11419</v>
      </c>
    </row>
    <row r="1836">
      <c r="A1836" s="39">
        <f>IFERROR(__xludf.DUMMYFUNCTION("""COMPUTED_VALUE"""),45954.59590916667)</f>
        <v>45954.59591</v>
      </c>
      <c r="B1836" s="40" t="str">
        <f>IFERROR(__xludf.DUMMYFUNCTION("""COMPUTED_VALUE"""),"PRETI SISILIA SILA")</f>
        <v>PRETI SISILIA SILA</v>
      </c>
      <c r="C1836" s="40" t="str">
        <f>IFERROR(__xludf.DUMMYFUNCTION("""COMPUTED_VALUE"""),"Belum disetujui")</f>
        <v>Belum disetujui</v>
      </c>
      <c r="D1836" s="40"/>
      <c r="E1836" s="40" t="s">
        <v>11456</v>
      </c>
      <c r="F1836" s="40" t="s">
        <v>667</v>
      </c>
      <c r="G1836" s="40" t="s">
        <v>11457</v>
      </c>
      <c r="H1836" s="40" t="s">
        <v>11424</v>
      </c>
    </row>
    <row r="1837">
      <c r="A1837" s="39">
        <f>IFERROR(__xludf.DUMMYFUNCTION("""COMPUTED_VALUE"""),45954.59811460648)</f>
        <v>45954.59811</v>
      </c>
      <c r="B1837" s="40" t="str">
        <f>IFERROR(__xludf.DUMMYFUNCTION("""COMPUTED_VALUE"""),"ADRIANA")</f>
        <v>ADRIANA</v>
      </c>
      <c r="C1837" s="40" t="str">
        <f>IFERROR(__xludf.DUMMYFUNCTION("""COMPUTED_VALUE"""),"Belum disetujui")</f>
        <v>Belum disetujui</v>
      </c>
      <c r="D1837" s="40"/>
      <c r="E1837" s="40" t="s">
        <v>11433</v>
      </c>
      <c r="F1837" s="40" t="s">
        <v>313</v>
      </c>
      <c r="G1837" s="40" t="s">
        <v>11434</v>
      </c>
      <c r="H1837" s="40" t="s">
        <v>11424</v>
      </c>
    </row>
    <row r="1838">
      <c r="A1838" s="39">
        <f>IFERROR(__xludf.DUMMYFUNCTION("""COMPUTED_VALUE"""),45954.600827256945)</f>
        <v>45954.60083</v>
      </c>
      <c r="B1838" s="40" t="str">
        <f>IFERROR(__xludf.DUMMYFUNCTION("""COMPUTED_VALUE"""),"JULIA DESY CASANDRA DA SILVA FREITAS")</f>
        <v>JULIA DESY CASANDRA DA SILVA FREITAS</v>
      </c>
      <c r="C1838" s="40" t="str">
        <f>IFERROR(__xludf.DUMMYFUNCTION("""COMPUTED_VALUE"""),"Belum disetujui")</f>
        <v>Belum disetujui</v>
      </c>
      <c r="D1838" s="40"/>
      <c r="E1838" s="40" t="s">
        <v>11480</v>
      </c>
      <c r="F1838" s="40" t="s">
        <v>220</v>
      </c>
      <c r="G1838" s="40" t="s">
        <v>11481</v>
      </c>
      <c r="H1838" s="40" t="s">
        <v>11399</v>
      </c>
    </row>
    <row r="1839">
      <c r="A1839" s="39">
        <f>IFERROR(__xludf.DUMMYFUNCTION("""COMPUTED_VALUE"""),45954.640314965276)</f>
        <v>45954.64031</v>
      </c>
      <c r="B1839" s="40" t="str">
        <f>IFERROR(__xludf.DUMMYFUNCTION("""COMPUTED_VALUE"""),"BERGITHA NIA OLIN")</f>
        <v>BERGITHA NIA OLIN</v>
      </c>
      <c r="C1839" s="40" t="str">
        <f>IFERROR(__xludf.DUMMYFUNCTION("""COMPUTED_VALUE"""),"Belum disetujui")</f>
        <v>Belum disetujui</v>
      </c>
      <c r="D1839" s="40"/>
      <c r="E1839" s="40" t="s">
        <v>11431</v>
      </c>
      <c r="F1839" s="40" t="s">
        <v>313</v>
      </c>
      <c r="G1839" s="40" t="s">
        <v>11432</v>
      </c>
      <c r="H1839" s="40" t="s">
        <v>11424</v>
      </c>
    </row>
    <row r="1840">
      <c r="A1840" s="39">
        <f>IFERROR(__xludf.DUMMYFUNCTION("""COMPUTED_VALUE"""),45954.64577394676)</f>
        <v>45954.64577</v>
      </c>
      <c r="B1840" s="40" t="str">
        <f>IFERROR(__xludf.DUMMYFUNCTION("""COMPUTED_VALUE"""),"ASRI NINGSI RAMBU ATA ENDI")</f>
        <v>ASRI NINGSI RAMBU ATA ENDI</v>
      </c>
      <c r="C1840" s="40" t="str">
        <f>IFERROR(__xludf.DUMMYFUNCTION("""COMPUTED_VALUE"""),"Belum disetujui")</f>
        <v>Belum disetujui</v>
      </c>
      <c r="D1840" s="40"/>
      <c r="E1840" s="40" t="s">
        <v>11441</v>
      </c>
      <c r="F1840" s="40" t="s">
        <v>205</v>
      </c>
      <c r="G1840" s="40" t="s">
        <v>11442</v>
      </c>
      <c r="H1840" s="40" t="s">
        <v>11419</v>
      </c>
    </row>
    <row r="1841">
      <c r="A1841" s="39">
        <f>IFERROR(__xludf.DUMMYFUNCTION("""COMPUTED_VALUE"""),45954.6624881713)</f>
        <v>45954.66249</v>
      </c>
      <c r="B1841" s="40" t="str">
        <f>IFERROR(__xludf.DUMMYFUNCTION("""COMPUTED_VALUE"""),"BERGITHA NIA OLIN")</f>
        <v>BERGITHA NIA OLIN</v>
      </c>
      <c r="C1841" s="40" t="str">
        <f>IFERROR(__xludf.DUMMYFUNCTION("""COMPUTED_VALUE"""),"Dapat limit tapi belum diproses")</f>
        <v>Dapat limit tapi belum diproses</v>
      </c>
      <c r="D1841" s="40" t="str">
        <f>IFERROR(__xludf.DUMMYFUNCTION("""COMPUTED_VALUE"""),"Y400 series")</f>
        <v>Y400 series</v>
      </c>
      <c r="E1841" s="40" t="s">
        <v>11431</v>
      </c>
      <c r="F1841" s="40" t="s">
        <v>313</v>
      </c>
      <c r="G1841" s="40" t="s">
        <v>11432</v>
      </c>
      <c r="H1841" s="40" t="s">
        <v>11424</v>
      </c>
    </row>
    <row r="1842">
      <c r="A1842" s="39">
        <f>IFERROR(__xludf.DUMMYFUNCTION("""COMPUTED_VALUE"""),45954.66422229166)</f>
        <v>45954.66422</v>
      </c>
      <c r="B1842" s="40" t="str">
        <f>IFERROR(__xludf.DUMMYFUNCTION("""COMPUTED_VALUE"""),"KESIA NATALIA I. BENU")</f>
        <v>KESIA NATALIA I. BENU</v>
      </c>
      <c r="C1842" s="40" t="str">
        <f>IFERROR(__xludf.DUMMYFUNCTION("""COMPUTED_VALUE"""),"Belum disetujui")</f>
        <v>Belum disetujui</v>
      </c>
      <c r="D1842" s="40"/>
      <c r="E1842" s="40" t="s">
        <v>11417</v>
      </c>
      <c r="F1842" s="40" t="s">
        <v>257</v>
      </c>
      <c r="G1842" s="40" t="s">
        <v>11418</v>
      </c>
      <c r="H1842" s="40" t="s">
        <v>11419</v>
      </c>
    </row>
    <row r="1843">
      <c r="A1843" s="39">
        <f>IFERROR(__xludf.DUMMYFUNCTION("""COMPUTED_VALUE"""),45954.67294351852)</f>
        <v>45954.67294</v>
      </c>
      <c r="B1843" s="40" t="str">
        <f>IFERROR(__xludf.DUMMYFUNCTION("""COMPUTED_VALUE"""),"MARIA MELAN ANANCE BILI")</f>
        <v>MARIA MELAN ANANCE BILI</v>
      </c>
      <c r="C1843" s="40" t="str">
        <f>IFERROR(__xludf.DUMMYFUNCTION("""COMPUTED_VALUE"""),"Belum disetujui")</f>
        <v>Belum disetujui</v>
      </c>
      <c r="D1843" s="40"/>
      <c r="E1843" s="40" t="s">
        <v>11466</v>
      </c>
      <c r="F1843" s="40" t="s">
        <v>257</v>
      </c>
      <c r="G1843" s="40" t="s">
        <v>11467</v>
      </c>
      <c r="H1843" s="40" t="s">
        <v>11419</v>
      </c>
    </row>
    <row r="1844">
      <c r="A1844" s="39">
        <f>IFERROR(__xludf.DUMMYFUNCTION("""COMPUTED_VALUE"""),45954.68246146991)</f>
        <v>45954.68246</v>
      </c>
      <c r="B1844" s="40" t="str">
        <f>IFERROR(__xludf.DUMMYFUNCTION("""COMPUTED_VALUE"""),"IDMAL YUSDIRAN YUSUF")</f>
        <v>IDMAL YUSDIRAN YUSUF</v>
      </c>
      <c r="C1844" s="40" t="str">
        <f>IFERROR(__xludf.DUMMYFUNCTION("""COMPUTED_VALUE"""),"Dapat limit tapi belum diproses")</f>
        <v>Dapat limit tapi belum diproses</v>
      </c>
      <c r="D1844" s="40" t="str">
        <f>IFERROR(__xludf.DUMMYFUNCTION("""COMPUTED_VALUE"""),"Y400 series")</f>
        <v>Y400 series</v>
      </c>
      <c r="E1844" s="40" t="s">
        <v>11417</v>
      </c>
      <c r="F1844" s="40" t="s">
        <v>257</v>
      </c>
      <c r="G1844" s="40" t="s">
        <v>11418</v>
      </c>
      <c r="H1844" s="40" t="s">
        <v>11419</v>
      </c>
    </row>
    <row r="1845">
      <c r="A1845" s="39">
        <f>IFERROR(__xludf.DUMMYFUNCTION("""COMPUTED_VALUE"""),45954.689366018516)</f>
        <v>45954.68937</v>
      </c>
      <c r="B1845" s="40" t="str">
        <f>IFERROR(__xludf.DUMMYFUNCTION("""COMPUTED_VALUE"""),"ARMINDA TEKU MANEK")</f>
        <v>ARMINDA TEKU MANEK</v>
      </c>
      <c r="C1845" s="40" t="str">
        <f>IFERROR(__xludf.DUMMYFUNCTION("""COMPUTED_VALUE"""),"Dapat limit tapi belum diproses")</f>
        <v>Dapat limit tapi belum diproses</v>
      </c>
      <c r="D1845" s="40" t="str">
        <f>IFERROR(__xludf.DUMMYFUNCTION("""COMPUTED_VALUE"""),"Y400 series")</f>
        <v>Y400 series</v>
      </c>
      <c r="E1845" s="40" t="s">
        <v>11474</v>
      </c>
      <c r="F1845" s="40" t="s">
        <v>313</v>
      </c>
      <c r="G1845" s="40" t="s">
        <v>11475</v>
      </c>
      <c r="H1845" s="40" t="s">
        <v>11424</v>
      </c>
    </row>
    <row r="1846">
      <c r="A1846" s="39">
        <f>IFERROR(__xludf.DUMMYFUNCTION("""COMPUTED_VALUE"""),45954.71598840278)</f>
        <v>45954.71599</v>
      </c>
      <c r="B1846" s="40" t="str">
        <f>IFERROR(__xludf.DUMMYFUNCTION("""COMPUTED_VALUE"""),"ADRIANA")</f>
        <v>ADRIANA</v>
      </c>
      <c r="C1846" s="40" t="str">
        <f>IFERROR(__xludf.DUMMYFUNCTION("""COMPUTED_VALUE"""),"Belum disetujui")</f>
        <v>Belum disetujui</v>
      </c>
      <c r="D1846" s="40"/>
      <c r="E1846" s="40" t="s">
        <v>11433</v>
      </c>
      <c r="F1846" s="40" t="s">
        <v>313</v>
      </c>
      <c r="G1846" s="40" t="s">
        <v>11434</v>
      </c>
      <c r="H1846" s="40" t="s">
        <v>11424</v>
      </c>
    </row>
    <row r="1847">
      <c r="A1847" s="39">
        <f>IFERROR(__xludf.DUMMYFUNCTION("""COMPUTED_VALUE"""),45954.724530405096)</f>
        <v>45954.72453</v>
      </c>
      <c r="B1847" s="40" t="str">
        <f>IFERROR(__xludf.DUMMYFUNCTION("""COMPUTED_VALUE"""),"FERI ELI KURNIAWAN")</f>
        <v>FERI ELI KURNIAWAN</v>
      </c>
      <c r="C1847" s="40" t="str">
        <f>IFERROR(__xludf.DUMMYFUNCTION("""COMPUTED_VALUE"""),"Belum disetujui")</f>
        <v>Belum disetujui</v>
      </c>
      <c r="D1847" s="40"/>
      <c r="E1847" s="40" t="s">
        <v>11411</v>
      </c>
      <c r="F1847" s="40" t="s">
        <v>220</v>
      </c>
      <c r="G1847" s="40" t="s">
        <v>11412</v>
      </c>
      <c r="H1847" s="40" t="s">
        <v>11399</v>
      </c>
    </row>
    <row r="1848">
      <c r="A1848" s="39">
        <f>IFERROR(__xludf.DUMMYFUNCTION("""COMPUTED_VALUE"""),45954.72954465278)</f>
        <v>45954.72954</v>
      </c>
      <c r="B1848" s="40" t="str">
        <f>IFERROR(__xludf.DUMMYFUNCTION("""COMPUTED_VALUE"""),"ANDHIKA ULLY")</f>
        <v>ANDHIKA ULLY</v>
      </c>
      <c r="C1848" s="40" t="str">
        <f>IFERROR(__xludf.DUMMYFUNCTION("""COMPUTED_VALUE"""),"Belum disetujui")</f>
        <v>Belum disetujui</v>
      </c>
      <c r="D1848" s="40"/>
      <c r="E1848" s="40" t="s">
        <v>11482</v>
      </c>
      <c r="F1848" s="40" t="s">
        <v>220</v>
      </c>
      <c r="G1848" s="40" t="s">
        <v>11483</v>
      </c>
      <c r="H1848" s="40" t="s">
        <v>11399</v>
      </c>
    </row>
    <row r="1849">
      <c r="A1849" s="39">
        <f>IFERROR(__xludf.DUMMYFUNCTION("""COMPUTED_VALUE"""),45954.7388760301)</f>
        <v>45954.73888</v>
      </c>
      <c r="B1849" s="40" t="str">
        <f>IFERROR(__xludf.DUMMYFUNCTION("""COMPUTED_VALUE"""),"SULIS NURAINI INSYATUN")</f>
        <v>SULIS NURAINI INSYATUN</v>
      </c>
      <c r="C1849" s="40" t="str">
        <f>IFERROR(__xludf.DUMMYFUNCTION("""COMPUTED_VALUE"""),"Dapat limit tapi belum diproses")</f>
        <v>Dapat limit tapi belum diproses</v>
      </c>
      <c r="D1849" s="40" t="str">
        <f>IFERROR(__xludf.DUMMYFUNCTION("""COMPUTED_VALUE"""),"Y400 series")</f>
        <v>Y400 series</v>
      </c>
      <c r="E1849" s="40" t="s">
        <v>11429</v>
      </c>
      <c r="F1849" s="40" t="s">
        <v>257</v>
      </c>
      <c r="G1849" s="40" t="s">
        <v>11430</v>
      </c>
      <c r="H1849" s="40" t="s">
        <v>11419</v>
      </c>
    </row>
    <row r="1850">
      <c r="A1850" s="39">
        <f>IFERROR(__xludf.DUMMYFUNCTION("""COMPUTED_VALUE"""),45954.75258680555)</f>
        <v>45954.75259</v>
      </c>
      <c r="B1850" s="40" t="str">
        <f>IFERROR(__xludf.DUMMYFUNCTION("""COMPUTED_VALUE"""),"NENY MERLIANTI NA'U")</f>
        <v>NENY MERLIANTI NA'U</v>
      </c>
      <c r="C1850" s="40" t="str">
        <f>IFERROR(__xludf.DUMMYFUNCTION("""COMPUTED_VALUE"""),"Belum disetujui")</f>
        <v>Belum disetujui</v>
      </c>
      <c r="D1850" s="40"/>
      <c r="E1850" s="40" t="s">
        <v>11476</v>
      </c>
      <c r="F1850" s="40" t="s">
        <v>204</v>
      </c>
      <c r="G1850" s="40" t="s">
        <v>11477</v>
      </c>
      <c r="H1850" s="40" t="s">
        <v>11399</v>
      </c>
    </row>
    <row r="1851">
      <c r="A1851" s="39">
        <f>IFERROR(__xludf.DUMMYFUNCTION("""COMPUTED_VALUE"""),45954.75407984954)</f>
        <v>45954.75408</v>
      </c>
      <c r="B1851" s="40" t="str">
        <f>IFERROR(__xludf.DUMMYFUNCTION("""COMPUTED_VALUE"""),"ARMINDA TEKU MANEK")</f>
        <v>ARMINDA TEKU MANEK</v>
      </c>
      <c r="C1851" s="40" t="str">
        <f>IFERROR(__xludf.DUMMYFUNCTION("""COMPUTED_VALUE"""),"Belum disetujui")</f>
        <v>Belum disetujui</v>
      </c>
      <c r="D1851" s="40"/>
      <c r="E1851" s="40" t="s">
        <v>11474</v>
      </c>
      <c r="F1851" s="40" t="s">
        <v>313</v>
      </c>
      <c r="G1851" s="40" t="s">
        <v>11475</v>
      </c>
      <c r="H1851" s="40" t="s">
        <v>11424</v>
      </c>
    </row>
    <row r="1852">
      <c r="A1852" s="39">
        <f>IFERROR(__xludf.DUMMYFUNCTION("""COMPUTED_VALUE"""),45954.75463012732)</f>
        <v>45954.75463</v>
      </c>
      <c r="B1852" s="40" t="str">
        <f>IFERROR(__xludf.DUMMYFUNCTION("""COMPUTED_VALUE"""),"ANDHIKA ULLY")</f>
        <v>ANDHIKA ULLY</v>
      </c>
      <c r="C1852" s="40" t="str">
        <f>IFERROR(__xludf.DUMMYFUNCTION("""COMPUTED_VALUE"""),"Dapat limit tapi belum diproses")</f>
        <v>Dapat limit tapi belum diproses</v>
      </c>
      <c r="D1852" s="40" t="str">
        <f>IFERROR(__xludf.DUMMYFUNCTION("""COMPUTED_VALUE"""),"Y400 series")</f>
        <v>Y400 series</v>
      </c>
      <c r="E1852" s="40" t="s">
        <v>11482</v>
      </c>
      <c r="F1852" s="40" t="s">
        <v>220</v>
      </c>
      <c r="G1852" s="40" t="s">
        <v>11483</v>
      </c>
      <c r="H1852" s="40" t="s">
        <v>11399</v>
      </c>
    </row>
    <row r="1853">
      <c r="A1853" s="39">
        <f>IFERROR(__xludf.DUMMYFUNCTION("""COMPUTED_VALUE"""),45954.75578633102)</f>
        <v>45954.75579</v>
      </c>
      <c r="B1853" s="40" t="str">
        <f>IFERROR(__xludf.DUMMYFUNCTION("""COMPUTED_VALUE"""),"AINI RAHMATINI NATALIA MOESTAKIM")</f>
        <v>AINI RAHMATINI NATALIA MOESTAKIM</v>
      </c>
      <c r="C1853" s="40" t="str">
        <f>IFERROR(__xludf.DUMMYFUNCTION("""COMPUTED_VALUE"""),"Dapat limit tapi belum diproses")</f>
        <v>Dapat limit tapi belum diproses</v>
      </c>
      <c r="D1853" s="40" t="str">
        <f>IFERROR(__xludf.DUMMYFUNCTION("""COMPUTED_VALUE"""),"Y400 series")</f>
        <v>Y400 series</v>
      </c>
      <c r="E1853" s="40" t="s">
        <v>11409</v>
      </c>
      <c r="F1853" s="40" t="s">
        <v>204</v>
      </c>
      <c r="G1853" s="40" t="s">
        <v>11410</v>
      </c>
      <c r="H1853" s="40" t="s">
        <v>11399</v>
      </c>
    </row>
    <row r="1854">
      <c r="A1854" s="39">
        <f>IFERROR(__xludf.DUMMYFUNCTION("""COMPUTED_VALUE"""),45954.760604236115)</f>
        <v>45954.7606</v>
      </c>
      <c r="B1854" s="40" t="str">
        <f>IFERROR(__xludf.DUMMYFUNCTION("""COMPUTED_VALUE"""),"GRACELLA SARI HIVANA MANAFE")</f>
        <v>GRACELLA SARI HIVANA MANAFE</v>
      </c>
      <c r="C1854" s="40" t="str">
        <f>IFERROR(__xludf.DUMMYFUNCTION("""COMPUTED_VALUE"""),"Dapat limit tapi belum diproses")</f>
        <v>Dapat limit tapi belum diproses</v>
      </c>
      <c r="D1854" s="40" t="str">
        <f>IFERROR(__xludf.DUMMYFUNCTION("""COMPUTED_VALUE"""),"V60 series")</f>
        <v>V60 series</v>
      </c>
      <c r="E1854" s="40" t="s">
        <v>11478</v>
      </c>
      <c r="F1854" s="40" t="s">
        <v>220</v>
      </c>
      <c r="G1854" s="40" t="s">
        <v>11479</v>
      </c>
      <c r="H1854" s="40" t="s">
        <v>11399</v>
      </c>
    </row>
    <row r="1855">
      <c r="A1855" s="39">
        <f>IFERROR(__xludf.DUMMYFUNCTION("""COMPUTED_VALUE"""),45954.7681396412)</f>
        <v>45954.76814</v>
      </c>
      <c r="B1855" s="40" t="str">
        <f>IFERROR(__xludf.DUMMYFUNCTION("""COMPUTED_VALUE"""),"DWITNEY PRETY WANGGANDIMA")</f>
        <v>DWITNEY PRETY WANGGANDIMA</v>
      </c>
      <c r="C1855" s="40" t="str">
        <f>IFERROR(__xludf.DUMMYFUNCTION("""COMPUTED_VALUE"""),"Belum disetujui")</f>
        <v>Belum disetujui</v>
      </c>
      <c r="D1855" s="40"/>
      <c r="E1855" s="40" t="s">
        <v>11443</v>
      </c>
      <c r="F1855" s="40" t="s">
        <v>220</v>
      </c>
      <c r="G1855" s="40" t="s">
        <v>11444</v>
      </c>
      <c r="H1855" s="40" t="s">
        <v>11399</v>
      </c>
    </row>
    <row r="1856">
      <c r="A1856" s="39">
        <f>IFERROR(__xludf.DUMMYFUNCTION("""COMPUTED_VALUE"""),45954.76905831019)</f>
        <v>45954.76906</v>
      </c>
      <c r="B1856" s="40" t="str">
        <f>IFERROR(__xludf.DUMMYFUNCTION("""COMPUTED_VALUE"""),"MARIA MELAN ANANCE BILI")</f>
        <v>MARIA MELAN ANANCE BILI</v>
      </c>
      <c r="C1856" s="40" t="str">
        <f>IFERROR(__xludf.DUMMYFUNCTION("""COMPUTED_VALUE"""),"Dapat limit tapi belum diproses")</f>
        <v>Dapat limit tapi belum diproses</v>
      </c>
      <c r="D1856" s="40" t="str">
        <f>IFERROR(__xludf.DUMMYFUNCTION("""COMPUTED_VALUE"""),"Y400 series")</f>
        <v>Y400 series</v>
      </c>
      <c r="E1856" s="40" t="s">
        <v>11466</v>
      </c>
      <c r="F1856" s="40" t="s">
        <v>257</v>
      </c>
      <c r="G1856" s="40" t="s">
        <v>11467</v>
      </c>
      <c r="H1856" s="40" t="s">
        <v>11419</v>
      </c>
    </row>
    <row r="1857">
      <c r="A1857" s="39">
        <f>IFERROR(__xludf.DUMMYFUNCTION("""COMPUTED_VALUE"""),45954.77058872685)</f>
        <v>45954.77059</v>
      </c>
      <c r="B1857" s="40" t="str">
        <f>IFERROR(__xludf.DUMMYFUNCTION("""COMPUTED_VALUE"""),"AZ ZAHRA SITI ZAINAB")</f>
        <v>AZ ZAHRA SITI ZAINAB</v>
      </c>
      <c r="C1857" s="40" t="str">
        <f>IFERROR(__xludf.DUMMYFUNCTION("""COMPUTED_VALUE"""),"Dapat limit tapi belum diproses")</f>
        <v>Dapat limit tapi belum diproses</v>
      </c>
      <c r="D1857" s="40" t="str">
        <f>IFERROR(__xludf.DUMMYFUNCTION("""COMPUTED_VALUE"""),"Y400 series")</f>
        <v>Y400 series</v>
      </c>
      <c r="E1857" s="40" t="s">
        <v>11462</v>
      </c>
      <c r="F1857" s="40" t="s">
        <v>257</v>
      </c>
      <c r="G1857" s="40" t="s">
        <v>11463</v>
      </c>
      <c r="H1857" s="40" t="s">
        <v>11419</v>
      </c>
    </row>
    <row r="1858">
      <c r="A1858" s="39">
        <f>IFERROR(__xludf.DUMMYFUNCTION("""COMPUTED_VALUE"""),45954.7710693287)</f>
        <v>45954.77107</v>
      </c>
      <c r="B1858" s="40" t="str">
        <f>IFERROR(__xludf.DUMMYFUNCTION("""COMPUTED_VALUE"""),"WINDRI MANOE")</f>
        <v>WINDRI MANOE</v>
      </c>
      <c r="C1858" s="40" t="str">
        <f>IFERROR(__xludf.DUMMYFUNCTION("""COMPUTED_VALUE"""),"Dapat limit tapi belum diproses")</f>
        <v>Dapat limit tapi belum diproses</v>
      </c>
      <c r="D1858" s="40" t="str">
        <f>IFERROR(__xludf.DUMMYFUNCTION("""COMPUTED_VALUE"""),"V60 series")</f>
        <v>V60 series</v>
      </c>
      <c r="E1858" s="40" t="s">
        <v>11443</v>
      </c>
      <c r="F1858" s="40" t="s">
        <v>220</v>
      </c>
      <c r="G1858" s="40" t="s">
        <v>11444</v>
      </c>
      <c r="H1858" s="40" t="s">
        <v>11399</v>
      </c>
    </row>
    <row r="1859">
      <c r="A1859" s="39">
        <f>IFERROR(__xludf.DUMMYFUNCTION("""COMPUTED_VALUE"""),45954.78756040509)</f>
        <v>45954.78756</v>
      </c>
      <c r="B1859" s="40" t="str">
        <f>IFERROR(__xludf.DUMMYFUNCTION("""COMPUTED_VALUE"""),"ASTUTI BELA WAWO")</f>
        <v>ASTUTI BELA WAWO</v>
      </c>
      <c r="C1859" s="40" t="str">
        <f>IFERROR(__xludf.DUMMYFUNCTION("""COMPUTED_VALUE"""),"Belum disetujui")</f>
        <v>Belum disetujui</v>
      </c>
      <c r="D1859" s="40"/>
      <c r="E1859" s="40" t="s">
        <v>11427</v>
      </c>
      <c r="F1859" s="40" t="s">
        <v>257</v>
      </c>
      <c r="G1859" s="40" t="s">
        <v>11428</v>
      </c>
      <c r="H1859" s="40" t="s">
        <v>11419</v>
      </c>
    </row>
    <row r="1860">
      <c r="A1860" s="39">
        <f>IFERROR(__xludf.DUMMYFUNCTION("""COMPUTED_VALUE"""),45954.78976064815)</f>
        <v>45954.78976</v>
      </c>
      <c r="B1860" s="40" t="str">
        <f>IFERROR(__xludf.DUMMYFUNCTION("""COMPUTED_VALUE"""),"NOVANTRY RUTHANIA NAFFIE")</f>
        <v>NOVANTRY RUTHANIA NAFFIE</v>
      </c>
      <c r="C1860" s="40" t="str">
        <f>IFERROR(__xludf.DUMMYFUNCTION("""COMPUTED_VALUE"""),"Belum disetujui")</f>
        <v>Belum disetujui</v>
      </c>
      <c r="D1860" s="40"/>
      <c r="E1860" s="40" t="s">
        <v>11397</v>
      </c>
      <c r="F1860" s="40" t="s">
        <v>220</v>
      </c>
      <c r="G1860" s="40" t="s">
        <v>11398</v>
      </c>
      <c r="H1860" s="40" t="s">
        <v>11399</v>
      </c>
    </row>
    <row r="1861">
      <c r="A1861" s="39">
        <f>IFERROR(__xludf.DUMMYFUNCTION("""COMPUTED_VALUE"""),45954.799316585646)</f>
        <v>45954.79932</v>
      </c>
      <c r="B1861" s="40" t="str">
        <f>IFERROR(__xludf.DUMMYFUNCTION("""COMPUTED_VALUE"""),"FEBRIANTHY ELISABET NA'U")</f>
        <v>FEBRIANTHY ELISABET NA'U</v>
      </c>
      <c r="C1861" s="40" t="str">
        <f>IFERROR(__xludf.DUMMYFUNCTION("""COMPUTED_VALUE"""),"Dapat limit tapi belum diproses")</f>
        <v>Dapat limit tapi belum diproses</v>
      </c>
      <c r="D1861" s="40" t="str">
        <f>IFERROR(__xludf.DUMMYFUNCTION("""COMPUTED_VALUE"""),"Y400 series")</f>
        <v>Y400 series</v>
      </c>
      <c r="E1861" s="40" t="s">
        <v>11415</v>
      </c>
      <c r="F1861" s="40" t="s">
        <v>204</v>
      </c>
      <c r="G1861" s="40" t="s">
        <v>11416</v>
      </c>
      <c r="H1861" s="40" t="s">
        <v>11399</v>
      </c>
    </row>
    <row r="1862">
      <c r="A1862" s="39">
        <f>IFERROR(__xludf.DUMMYFUNCTION("""COMPUTED_VALUE"""),45954.80196553241)</f>
        <v>45954.80197</v>
      </c>
      <c r="B1862" s="40" t="str">
        <f>IFERROR(__xludf.DUMMYFUNCTION("""COMPUTED_VALUE"""),"AINI RAHMATINI NATALIA MOESTAKIM")</f>
        <v>AINI RAHMATINI NATALIA MOESTAKIM</v>
      </c>
      <c r="C1862" s="40" t="str">
        <f>IFERROR(__xludf.DUMMYFUNCTION("""COMPUTED_VALUE"""),"Belum disetujui")</f>
        <v>Belum disetujui</v>
      </c>
      <c r="D1862" s="40"/>
      <c r="E1862" s="40" t="s">
        <v>11409</v>
      </c>
      <c r="F1862" s="40" t="s">
        <v>204</v>
      </c>
      <c r="G1862" s="40" t="s">
        <v>11410</v>
      </c>
      <c r="H1862" s="40" t="s">
        <v>11399</v>
      </c>
    </row>
    <row r="1863">
      <c r="A1863" s="39">
        <f>IFERROR(__xludf.DUMMYFUNCTION("""COMPUTED_VALUE"""),45954.81418447917)</f>
        <v>45954.81418</v>
      </c>
      <c r="B1863" s="40" t="str">
        <f>IFERROR(__xludf.DUMMYFUNCTION("""COMPUTED_VALUE"""),"ALITA D PAU")</f>
        <v>ALITA D PAU</v>
      </c>
      <c r="C1863" s="40" t="str">
        <f>IFERROR(__xludf.DUMMYFUNCTION("""COMPUTED_VALUE"""),"Belum disetujui")</f>
        <v>Belum disetujui</v>
      </c>
      <c r="D1863" s="40"/>
      <c r="E1863" s="40" t="s">
        <v>11447</v>
      </c>
      <c r="F1863" s="40" t="s">
        <v>205</v>
      </c>
      <c r="G1863" s="40" t="s">
        <v>11448</v>
      </c>
      <c r="H1863" s="40" t="s">
        <v>11419</v>
      </c>
    </row>
    <row r="1864">
      <c r="A1864" s="39">
        <f>IFERROR(__xludf.DUMMYFUNCTION("""COMPUTED_VALUE"""),45954.85472627315)</f>
        <v>45954.85473</v>
      </c>
      <c r="B1864" s="40" t="str">
        <f>IFERROR(__xludf.DUMMYFUNCTION("""COMPUTED_VALUE"""),"ROS YANE KANA LUDJI")</f>
        <v>ROS YANE KANA LUDJI</v>
      </c>
      <c r="C1864" s="40" t="str">
        <f>IFERROR(__xludf.DUMMYFUNCTION("""COMPUTED_VALUE"""),"Belum disetujui")</f>
        <v>Belum disetujui</v>
      </c>
      <c r="D1864" s="40"/>
      <c r="E1864" s="40" t="s">
        <v>11437</v>
      </c>
      <c r="F1864" s="40" t="s">
        <v>204</v>
      </c>
      <c r="G1864" s="40" t="s">
        <v>11438</v>
      </c>
      <c r="H1864" s="40" t="s">
        <v>11399</v>
      </c>
    </row>
    <row r="1865">
      <c r="A1865" s="39">
        <f>IFERROR(__xludf.DUMMYFUNCTION("""COMPUTED_VALUE"""),45954.859864942126)</f>
        <v>45954.85986</v>
      </c>
      <c r="B1865" s="40" t="str">
        <f>IFERROR(__xludf.DUMMYFUNCTION("""COMPUTED_VALUE"""),"EMPI FRANGKI LIEM")</f>
        <v>EMPI FRANGKI LIEM</v>
      </c>
      <c r="C1865" s="40" t="str">
        <f>IFERROR(__xludf.DUMMYFUNCTION("""COMPUTED_VALUE"""),"Dapat limit tapi belum diproses")</f>
        <v>Dapat limit tapi belum diproses</v>
      </c>
      <c r="D1865" s="40" t="str">
        <f>IFERROR(__xludf.DUMMYFUNCTION("""COMPUTED_VALUE"""),"Y400 series")</f>
        <v>Y400 series</v>
      </c>
      <c r="E1865" s="40" t="s">
        <v>11397</v>
      </c>
      <c r="F1865" s="40" t="s">
        <v>220</v>
      </c>
      <c r="G1865" s="40" t="s">
        <v>11398</v>
      </c>
      <c r="H1865" s="40" t="s">
        <v>11399</v>
      </c>
    </row>
    <row r="1866">
      <c r="A1866" s="39">
        <f>IFERROR(__xludf.DUMMYFUNCTION("""COMPUTED_VALUE"""),45954.87105359954)</f>
        <v>45954.87105</v>
      </c>
      <c r="B1866" s="40" t="str">
        <f>IFERROR(__xludf.DUMMYFUNCTION("""COMPUTED_VALUE"""),"AINI RAHMATINI NATALIA MOESTAKIM")</f>
        <v>AINI RAHMATINI NATALIA MOESTAKIM</v>
      </c>
      <c r="C1866" s="40" t="str">
        <f>IFERROR(__xludf.DUMMYFUNCTION("""COMPUTED_VALUE"""),"Belum disetujui")</f>
        <v>Belum disetujui</v>
      </c>
      <c r="D1866" s="40"/>
      <c r="E1866" s="40" t="s">
        <v>11409</v>
      </c>
      <c r="F1866" s="40" t="s">
        <v>204</v>
      </c>
      <c r="G1866" s="40" t="s">
        <v>11410</v>
      </c>
      <c r="H1866" s="40" t="s">
        <v>11399</v>
      </c>
    </row>
    <row r="1867">
      <c r="A1867" s="39">
        <f>IFERROR(__xludf.DUMMYFUNCTION("""COMPUTED_VALUE"""),45954.87109438657)</f>
        <v>45954.87109</v>
      </c>
      <c r="B1867" s="40" t="str">
        <f>IFERROR(__xludf.DUMMYFUNCTION("""COMPUTED_VALUE"""),"FERI ELI KURNIAWAN")</f>
        <v>FERI ELI KURNIAWAN</v>
      </c>
      <c r="C1867" s="40" t="str">
        <f>IFERROR(__xludf.DUMMYFUNCTION("""COMPUTED_VALUE"""),"ACC")</f>
        <v>ACC</v>
      </c>
      <c r="D1867" s="40" t="str">
        <f>IFERROR(__xludf.DUMMYFUNCTION("""COMPUTED_VALUE"""),"V60 Lite series")</f>
        <v>V60 Lite series</v>
      </c>
      <c r="E1867" s="40" t="s">
        <v>11411</v>
      </c>
      <c r="F1867" s="40" t="s">
        <v>220</v>
      </c>
      <c r="G1867" s="40" t="s">
        <v>11412</v>
      </c>
      <c r="H1867" s="40" t="s">
        <v>11399</v>
      </c>
    </row>
    <row r="1868">
      <c r="A1868" s="39">
        <f>IFERROR(__xludf.DUMMYFUNCTION("""COMPUTED_VALUE"""),45954.88378105324)</f>
        <v>45954.88378</v>
      </c>
      <c r="B1868" s="40" t="str">
        <f>IFERROR(__xludf.DUMMYFUNCTION("""COMPUTED_VALUE"""),"YOHANA NOVIANA MARIANA GAA")</f>
        <v>YOHANA NOVIANA MARIANA GAA</v>
      </c>
      <c r="C1868" s="40" t="str">
        <f>IFERROR(__xludf.DUMMYFUNCTION("""COMPUTED_VALUE"""),"Belum disetujui")</f>
        <v>Belum disetujui</v>
      </c>
      <c r="D1868" s="40"/>
      <c r="E1868" s="40" t="s">
        <v>11400</v>
      </c>
      <c r="F1868" s="40" t="s">
        <v>204</v>
      </c>
      <c r="G1868" s="40" t="s">
        <v>11401</v>
      </c>
      <c r="H1868" s="40" t="s">
        <v>11399</v>
      </c>
    </row>
    <row r="1869">
      <c r="A1869" s="39">
        <f>IFERROR(__xludf.DUMMYFUNCTION("""COMPUTED_VALUE"""),45955.44614983796)</f>
        <v>45955.44615</v>
      </c>
      <c r="B1869" s="40" t="str">
        <f>IFERROR(__xludf.DUMMYFUNCTION("""COMPUTED_VALUE"""),"ANYARMITHA SOPHIA SUEK")</f>
        <v>ANYARMITHA SOPHIA SUEK</v>
      </c>
      <c r="C1869" s="40" t="str">
        <f>IFERROR(__xludf.DUMMYFUNCTION("""COMPUTED_VALUE"""),"Belum disetujui")</f>
        <v>Belum disetujui</v>
      </c>
      <c r="D1869" s="40"/>
      <c r="E1869" s="40" t="s">
        <v>11443</v>
      </c>
      <c r="F1869" s="40" t="s">
        <v>220</v>
      </c>
      <c r="G1869" s="40" t="s">
        <v>11444</v>
      </c>
      <c r="H1869" s="40" t="s">
        <v>11399</v>
      </c>
    </row>
    <row r="1870">
      <c r="A1870" s="39">
        <f>IFERROR(__xludf.DUMMYFUNCTION("""COMPUTED_VALUE"""),45955.44982711806)</f>
        <v>45955.44983</v>
      </c>
      <c r="B1870" s="40" t="str">
        <f>IFERROR(__xludf.DUMMYFUNCTION("""COMPUTED_VALUE"""),"MEXY ALEXANDER HETMINA")</f>
        <v>MEXY ALEXANDER HETMINA</v>
      </c>
      <c r="C1870" s="40" t="str">
        <f>IFERROR(__xludf.DUMMYFUNCTION("""COMPUTED_VALUE"""),"Belum disetujui")</f>
        <v>Belum disetujui</v>
      </c>
      <c r="D1870" s="40"/>
      <c r="E1870" s="40" t="s">
        <v>11413</v>
      </c>
      <c r="F1870" s="40" t="s">
        <v>204</v>
      </c>
      <c r="G1870" s="40" t="s">
        <v>11414</v>
      </c>
      <c r="H1870" s="40" t="s">
        <v>11399</v>
      </c>
    </row>
    <row r="1871">
      <c r="A1871" s="39">
        <f>IFERROR(__xludf.DUMMYFUNCTION("""COMPUTED_VALUE"""),45955.46784831018)</f>
        <v>45955.46785</v>
      </c>
      <c r="B1871" s="40" t="str">
        <f>IFERROR(__xludf.DUMMYFUNCTION("""COMPUTED_VALUE"""),"MERDA PUTRI BUNGSU KENAT")</f>
        <v>MERDA PUTRI BUNGSU KENAT</v>
      </c>
      <c r="C1871" s="40" t="str">
        <f>IFERROR(__xludf.DUMMYFUNCTION("""COMPUTED_VALUE"""),"Belum disetujui")</f>
        <v>Belum disetujui</v>
      </c>
      <c r="D1871" s="40"/>
      <c r="E1871" s="40" t="s">
        <v>11422</v>
      </c>
      <c r="F1871" s="40" t="s">
        <v>215</v>
      </c>
      <c r="G1871" s="40" t="s">
        <v>11423</v>
      </c>
      <c r="H1871" s="40" t="s">
        <v>11424</v>
      </c>
    </row>
    <row r="1872">
      <c r="A1872" s="39">
        <f>IFERROR(__xludf.DUMMYFUNCTION("""COMPUTED_VALUE"""),45955.4728699537)</f>
        <v>45955.47287</v>
      </c>
      <c r="B1872" s="40" t="str">
        <f>IFERROR(__xludf.DUMMYFUNCTION("""COMPUTED_VALUE"""),"TERSIANA KADJA PAU")</f>
        <v>TERSIANA KADJA PAU</v>
      </c>
      <c r="C1872" s="40" t="str">
        <f>IFERROR(__xludf.DUMMYFUNCTION("""COMPUTED_VALUE"""),"Belum disetujui")</f>
        <v>Belum disetujui</v>
      </c>
      <c r="D1872" s="40"/>
      <c r="E1872" s="40" t="s">
        <v>11411</v>
      </c>
      <c r="F1872" s="40" t="s">
        <v>220</v>
      </c>
      <c r="G1872" s="40" t="s">
        <v>11412</v>
      </c>
      <c r="H1872" s="40" t="s">
        <v>11399</v>
      </c>
    </row>
    <row r="1873">
      <c r="A1873" s="39">
        <f>IFERROR(__xludf.DUMMYFUNCTION("""COMPUTED_VALUE"""),45955.480301006945)</f>
        <v>45955.4803</v>
      </c>
      <c r="B1873" s="40" t="str">
        <f>IFERROR(__xludf.DUMMYFUNCTION("""COMPUTED_VALUE"""),"WARDIA")</f>
        <v>WARDIA</v>
      </c>
      <c r="C1873" s="40" t="str">
        <f>IFERROR(__xludf.DUMMYFUNCTION("""COMPUTED_VALUE"""),"Belum disetujui")</f>
        <v>Belum disetujui</v>
      </c>
      <c r="D1873" s="40"/>
      <c r="E1873" s="40" t="s">
        <v>11409</v>
      </c>
      <c r="F1873" s="40" t="s">
        <v>204</v>
      </c>
      <c r="G1873" s="40" t="s">
        <v>11410</v>
      </c>
      <c r="H1873" s="40" t="s">
        <v>11399</v>
      </c>
    </row>
    <row r="1874">
      <c r="A1874" s="39">
        <f>IFERROR(__xludf.DUMMYFUNCTION("""COMPUTED_VALUE"""),45955.495961875)</f>
        <v>45955.49596</v>
      </c>
      <c r="B1874" s="40" t="str">
        <f>IFERROR(__xludf.DUMMYFUNCTION("""COMPUTED_VALUE"""),"BERGITHA NIA OLIN")</f>
        <v>BERGITHA NIA OLIN</v>
      </c>
      <c r="C1874" s="40" t="str">
        <f>IFERROR(__xludf.DUMMYFUNCTION("""COMPUTED_VALUE"""),"Dapat limit tapi belum diproses")</f>
        <v>Dapat limit tapi belum diproses</v>
      </c>
      <c r="D1874" s="40" t="str">
        <f>IFERROR(__xludf.DUMMYFUNCTION("""COMPUTED_VALUE"""),"Y400 series")</f>
        <v>Y400 series</v>
      </c>
      <c r="E1874" s="40" t="s">
        <v>11431</v>
      </c>
      <c r="F1874" s="40" t="s">
        <v>313</v>
      </c>
      <c r="G1874" s="40" t="s">
        <v>11432</v>
      </c>
      <c r="H1874" s="40" t="s">
        <v>11424</v>
      </c>
    </row>
    <row r="1875">
      <c r="A1875" s="39">
        <f>IFERROR(__xludf.DUMMYFUNCTION("""COMPUTED_VALUE"""),45955.50299616898)</f>
        <v>45955.503</v>
      </c>
      <c r="B1875" s="40" t="str">
        <f>IFERROR(__xludf.DUMMYFUNCTION("""COMPUTED_VALUE"""),"ANITA ANA AMAH")</f>
        <v>ANITA ANA AMAH</v>
      </c>
      <c r="C1875" s="40" t="str">
        <f>IFERROR(__xludf.DUMMYFUNCTION("""COMPUTED_VALUE"""),"Belum disetujui")</f>
        <v>Belum disetujui</v>
      </c>
      <c r="D1875" s="40"/>
      <c r="E1875" s="40" t="s">
        <v>11425</v>
      </c>
      <c r="F1875" s="40" t="s">
        <v>205</v>
      </c>
      <c r="G1875" s="40" t="s">
        <v>11426</v>
      </c>
      <c r="H1875" s="40" t="s">
        <v>11419</v>
      </c>
    </row>
    <row r="1876">
      <c r="A1876" s="39">
        <f>IFERROR(__xludf.DUMMYFUNCTION("""COMPUTED_VALUE"""),45955.50694475695)</f>
        <v>45955.50694</v>
      </c>
      <c r="B1876" s="40" t="str">
        <f>IFERROR(__xludf.DUMMYFUNCTION("""COMPUTED_VALUE"""),"MARATHA MARLINDA FANGGIDAE")</f>
        <v>MARATHA MARLINDA FANGGIDAE</v>
      </c>
      <c r="C1876" s="40" t="str">
        <f>IFERROR(__xludf.DUMMYFUNCTION("""COMPUTED_VALUE"""),"Belum disetujui")</f>
        <v>Belum disetujui</v>
      </c>
      <c r="D1876" s="40"/>
      <c r="E1876" s="40" t="s">
        <v>11435</v>
      </c>
      <c r="F1876" s="40" t="s">
        <v>215</v>
      </c>
      <c r="G1876" s="40" t="s">
        <v>11436</v>
      </c>
      <c r="H1876" s="40" t="s">
        <v>11424</v>
      </c>
    </row>
    <row r="1877">
      <c r="A1877" s="39">
        <f>IFERROR(__xludf.DUMMYFUNCTION("""COMPUTED_VALUE"""),45955.51512866898)</f>
        <v>45955.51513</v>
      </c>
      <c r="B1877" s="40" t="str">
        <f>IFERROR(__xludf.DUMMYFUNCTION("""COMPUTED_VALUE"""),"IDMAL YUSDIRAN YUSUF")</f>
        <v>IDMAL YUSDIRAN YUSUF</v>
      </c>
      <c r="C1877" s="40" t="str">
        <f>IFERROR(__xludf.DUMMYFUNCTION("""COMPUTED_VALUE"""),"Belum disetujui")</f>
        <v>Belum disetujui</v>
      </c>
      <c r="D1877" s="40"/>
      <c r="E1877" s="40" t="s">
        <v>11417</v>
      </c>
      <c r="F1877" s="40" t="s">
        <v>257</v>
      </c>
      <c r="G1877" s="40" t="s">
        <v>11418</v>
      </c>
      <c r="H1877" s="40" t="s">
        <v>11419</v>
      </c>
    </row>
    <row r="1878">
      <c r="A1878" s="39">
        <f>IFERROR(__xludf.DUMMYFUNCTION("""COMPUTED_VALUE"""),45955.51674712963)</f>
        <v>45955.51675</v>
      </c>
      <c r="B1878" s="40" t="str">
        <f>IFERROR(__xludf.DUMMYFUNCTION("""COMPUTED_VALUE"""),"PRETI SISILIA SILA")</f>
        <v>PRETI SISILIA SILA</v>
      </c>
      <c r="C1878" s="40" t="str">
        <f>IFERROR(__xludf.DUMMYFUNCTION("""COMPUTED_VALUE"""),"Belum disetujui")</f>
        <v>Belum disetujui</v>
      </c>
      <c r="D1878" s="40"/>
      <c r="E1878" s="40" t="s">
        <v>11456</v>
      </c>
      <c r="F1878" s="40" t="s">
        <v>667</v>
      </c>
      <c r="G1878" s="40" t="s">
        <v>11457</v>
      </c>
      <c r="H1878" s="40" t="s">
        <v>11424</v>
      </c>
    </row>
    <row r="1879">
      <c r="A1879" s="39">
        <f>IFERROR(__xludf.DUMMYFUNCTION("""COMPUTED_VALUE"""),45955.52066178241)</f>
        <v>45955.52066</v>
      </c>
      <c r="B1879" s="40" t="str">
        <f>IFERROR(__xludf.DUMMYFUNCTION("""COMPUTED_VALUE"""),"BERGITHA NIA OLIN")</f>
        <v>BERGITHA NIA OLIN</v>
      </c>
      <c r="C1879" s="40" t="str">
        <f>IFERROR(__xludf.DUMMYFUNCTION("""COMPUTED_VALUE"""),"Belum disetujui")</f>
        <v>Belum disetujui</v>
      </c>
      <c r="D1879" s="40"/>
      <c r="E1879" s="40" t="s">
        <v>11431</v>
      </c>
      <c r="F1879" s="40" t="s">
        <v>313</v>
      </c>
      <c r="G1879" s="40" t="s">
        <v>11432</v>
      </c>
      <c r="H1879" s="40" t="s">
        <v>11424</v>
      </c>
    </row>
    <row r="1880">
      <c r="A1880" s="39">
        <f>IFERROR(__xludf.DUMMYFUNCTION("""COMPUTED_VALUE"""),45955.53005336805)</f>
        <v>45955.53005</v>
      </c>
      <c r="B1880" s="40" t="str">
        <f>IFERROR(__xludf.DUMMYFUNCTION("""COMPUTED_VALUE"""),"ANITA ANA AMAH")</f>
        <v>ANITA ANA AMAH</v>
      </c>
      <c r="C1880" s="40" t="str">
        <f>IFERROR(__xludf.DUMMYFUNCTION("""COMPUTED_VALUE"""),"Belum disetujui")</f>
        <v>Belum disetujui</v>
      </c>
      <c r="D1880" s="40"/>
      <c r="E1880" s="40" t="s">
        <v>11425</v>
      </c>
      <c r="F1880" s="40" t="s">
        <v>205</v>
      </c>
      <c r="G1880" s="40" t="s">
        <v>11426</v>
      </c>
      <c r="H1880" s="40" t="s">
        <v>11419</v>
      </c>
    </row>
    <row r="1881">
      <c r="A1881" s="39">
        <f>IFERROR(__xludf.DUMMYFUNCTION("""COMPUTED_VALUE"""),45955.54151369213)</f>
        <v>45955.54151</v>
      </c>
      <c r="B1881" s="40" t="str">
        <f>IFERROR(__xludf.DUMMYFUNCTION("""COMPUTED_VALUE"""),"ARMINDA TEKU MANEK")</f>
        <v>ARMINDA TEKU MANEK</v>
      </c>
      <c r="C1881" s="40" t="str">
        <f>IFERROR(__xludf.DUMMYFUNCTION("""COMPUTED_VALUE"""),"Belum disetujui")</f>
        <v>Belum disetujui</v>
      </c>
      <c r="D1881" s="40"/>
      <c r="E1881" s="40" t="s">
        <v>11474</v>
      </c>
      <c r="F1881" s="40" t="s">
        <v>313</v>
      </c>
      <c r="G1881" s="40" t="s">
        <v>11475</v>
      </c>
      <c r="H1881" s="40" t="s">
        <v>11424</v>
      </c>
    </row>
    <row r="1882">
      <c r="A1882" s="39">
        <f>IFERROR(__xludf.DUMMYFUNCTION("""COMPUTED_VALUE"""),45955.54459636574)</f>
        <v>45955.5446</v>
      </c>
      <c r="B1882" s="40" t="str">
        <f>IFERROR(__xludf.DUMMYFUNCTION("""COMPUTED_VALUE"""),"ASTUTI BELA WAWO")</f>
        <v>ASTUTI BELA WAWO</v>
      </c>
      <c r="C1882" s="40" t="str">
        <f>IFERROR(__xludf.DUMMYFUNCTION("""COMPUTED_VALUE"""),"Belum disetujui")</f>
        <v>Belum disetujui</v>
      </c>
      <c r="D1882" s="40"/>
      <c r="E1882" s="40" t="s">
        <v>11427</v>
      </c>
      <c r="F1882" s="40" t="s">
        <v>257</v>
      </c>
      <c r="G1882" s="40" t="s">
        <v>11428</v>
      </c>
      <c r="H1882" s="40" t="s">
        <v>11419</v>
      </c>
    </row>
    <row r="1883">
      <c r="A1883" s="39">
        <f>IFERROR(__xludf.DUMMYFUNCTION("""COMPUTED_VALUE"""),45955.56902555556)</f>
        <v>45955.56903</v>
      </c>
      <c r="B1883" s="40" t="str">
        <f>IFERROR(__xludf.DUMMYFUNCTION("""COMPUTED_VALUE"""),"ASTUTI BELA WAWO")</f>
        <v>ASTUTI BELA WAWO</v>
      </c>
      <c r="C1883" s="40" t="str">
        <f>IFERROR(__xludf.DUMMYFUNCTION("""COMPUTED_VALUE"""),"Dapat limit tapi belum diproses")</f>
        <v>Dapat limit tapi belum diproses</v>
      </c>
      <c r="D1883" s="40" t="str">
        <f>IFERROR(__xludf.DUMMYFUNCTION("""COMPUTED_VALUE"""),"Y400 series")</f>
        <v>Y400 series</v>
      </c>
      <c r="E1883" s="40" t="s">
        <v>11427</v>
      </c>
      <c r="F1883" s="40" t="s">
        <v>257</v>
      </c>
      <c r="G1883" s="40" t="s">
        <v>11428</v>
      </c>
      <c r="H1883" s="40" t="s">
        <v>11419</v>
      </c>
    </row>
    <row r="1884">
      <c r="A1884" s="39">
        <f>IFERROR(__xludf.DUMMYFUNCTION("""COMPUTED_VALUE"""),45955.57138056713)</f>
        <v>45955.57138</v>
      </c>
      <c r="B1884" s="40" t="str">
        <f>IFERROR(__xludf.DUMMYFUNCTION("""COMPUTED_VALUE"""),"GRACELLA SARI HIVANA MANAFE")</f>
        <v>GRACELLA SARI HIVANA MANAFE</v>
      </c>
      <c r="C1884" s="40" t="str">
        <f>IFERROR(__xludf.DUMMYFUNCTION("""COMPUTED_VALUE"""),"Dapat limit tapi belum diproses")</f>
        <v>Dapat limit tapi belum diproses</v>
      </c>
      <c r="D1884" s="40" t="str">
        <f>IFERROR(__xludf.DUMMYFUNCTION("""COMPUTED_VALUE"""),"V60 series")</f>
        <v>V60 series</v>
      </c>
      <c r="E1884" s="40" t="s">
        <v>11478</v>
      </c>
      <c r="F1884" s="40" t="s">
        <v>220</v>
      </c>
      <c r="G1884" s="40" t="s">
        <v>11479</v>
      </c>
      <c r="H1884" s="40" t="s">
        <v>11399</v>
      </c>
    </row>
    <row r="1885">
      <c r="A1885" s="39">
        <f>IFERROR(__xludf.DUMMYFUNCTION("""COMPUTED_VALUE"""),45955.60072770833)</f>
        <v>45955.60073</v>
      </c>
      <c r="B1885" s="40" t="str">
        <f>IFERROR(__xludf.DUMMYFUNCTION("""COMPUTED_VALUE"""),"BERGITHA NIA OLIN")</f>
        <v>BERGITHA NIA OLIN</v>
      </c>
      <c r="C1885" s="40" t="str">
        <f>IFERROR(__xludf.DUMMYFUNCTION("""COMPUTED_VALUE"""),"Belum disetujui")</f>
        <v>Belum disetujui</v>
      </c>
      <c r="D1885" s="40"/>
      <c r="E1885" s="40" t="s">
        <v>11431</v>
      </c>
      <c r="F1885" s="40" t="s">
        <v>313</v>
      </c>
      <c r="G1885" s="40" t="s">
        <v>11432</v>
      </c>
      <c r="H1885" s="40" t="s">
        <v>11424</v>
      </c>
    </row>
    <row r="1886">
      <c r="A1886" s="39">
        <f>IFERROR(__xludf.DUMMYFUNCTION("""COMPUTED_VALUE"""),45955.602432025466)</f>
        <v>45955.60243</v>
      </c>
      <c r="B1886" s="40" t="str">
        <f>IFERROR(__xludf.DUMMYFUNCTION("""COMPUTED_VALUE"""),"PRETI SISILIA SILA")</f>
        <v>PRETI SISILIA SILA</v>
      </c>
      <c r="C1886" s="40" t="str">
        <f>IFERROR(__xludf.DUMMYFUNCTION("""COMPUTED_VALUE"""),"Belum disetujui")</f>
        <v>Belum disetujui</v>
      </c>
      <c r="D1886" s="40"/>
      <c r="E1886" s="40" t="s">
        <v>11456</v>
      </c>
      <c r="F1886" s="40" t="s">
        <v>667</v>
      </c>
      <c r="G1886" s="40" t="s">
        <v>11457</v>
      </c>
      <c r="H1886" s="40" t="s">
        <v>11424</v>
      </c>
    </row>
    <row r="1887">
      <c r="A1887" s="39">
        <f>IFERROR(__xludf.DUMMYFUNCTION("""COMPUTED_VALUE"""),45955.62240329861)</f>
        <v>45955.6224</v>
      </c>
      <c r="B1887" s="40" t="str">
        <f>IFERROR(__xludf.DUMMYFUNCTION("""COMPUTED_VALUE"""),"TERSIANA KADJA PAU")</f>
        <v>TERSIANA KADJA PAU</v>
      </c>
      <c r="C1887" s="40" t="str">
        <f>IFERROR(__xludf.DUMMYFUNCTION("""COMPUTED_VALUE"""),"Belum disetujui")</f>
        <v>Belum disetujui</v>
      </c>
      <c r="D1887" s="40"/>
      <c r="E1887" s="40" t="s">
        <v>11411</v>
      </c>
      <c r="F1887" s="40" t="s">
        <v>220</v>
      </c>
      <c r="G1887" s="40" t="s">
        <v>11412</v>
      </c>
      <c r="H1887" s="40" t="s">
        <v>11399</v>
      </c>
    </row>
    <row r="1888">
      <c r="A1888" s="39">
        <f>IFERROR(__xludf.DUMMYFUNCTION("""COMPUTED_VALUE"""),45955.64310140046)</f>
        <v>45955.6431</v>
      </c>
      <c r="B1888" s="40" t="str">
        <f>IFERROR(__xludf.DUMMYFUNCTION("""COMPUTED_VALUE"""),"MARIA MELAN ANANCE BILI")</f>
        <v>MARIA MELAN ANANCE BILI</v>
      </c>
      <c r="C1888" s="40" t="str">
        <f>IFERROR(__xludf.DUMMYFUNCTION("""COMPUTED_VALUE"""),"Belum disetujui")</f>
        <v>Belum disetujui</v>
      </c>
      <c r="D1888" s="40"/>
      <c r="E1888" s="40" t="s">
        <v>11466</v>
      </c>
      <c r="F1888" s="40" t="s">
        <v>257</v>
      </c>
      <c r="G1888" s="40" t="s">
        <v>11467</v>
      </c>
      <c r="H1888" s="40" t="s">
        <v>11419</v>
      </c>
    </row>
    <row r="1889">
      <c r="A1889" s="39">
        <f>IFERROR(__xludf.DUMMYFUNCTION("""COMPUTED_VALUE"""),45955.69200957176)</f>
        <v>45955.69201</v>
      </c>
      <c r="B1889" s="40" t="str">
        <f>IFERROR(__xludf.DUMMYFUNCTION("""COMPUTED_VALUE"""),"MARIA MELAN ANANCE BILI")</f>
        <v>MARIA MELAN ANANCE BILI</v>
      </c>
      <c r="C1889" s="40" t="str">
        <f>IFERROR(__xludf.DUMMYFUNCTION("""COMPUTED_VALUE"""),"ACC")</f>
        <v>ACC</v>
      </c>
      <c r="D1889" s="40" t="str">
        <f>IFERROR(__xludf.DUMMYFUNCTION("""COMPUTED_VALUE"""),"Y400 series")</f>
        <v>Y400 series</v>
      </c>
      <c r="E1889" s="40" t="s">
        <v>11466</v>
      </c>
      <c r="F1889" s="40" t="s">
        <v>257</v>
      </c>
      <c r="G1889" s="40" t="s">
        <v>11467</v>
      </c>
      <c r="H1889" s="40" t="s">
        <v>11419</v>
      </c>
    </row>
    <row r="1890">
      <c r="A1890" s="39">
        <f>IFERROR(__xludf.DUMMYFUNCTION("""COMPUTED_VALUE"""),45955.70688637732)</f>
        <v>45955.70689</v>
      </c>
      <c r="B1890" s="40" t="str">
        <f>IFERROR(__xludf.DUMMYFUNCTION("""COMPUTED_VALUE"""),"KESIA NATALIA I. BENU")</f>
        <v>KESIA NATALIA I. BENU</v>
      </c>
      <c r="C1890" s="40" t="str">
        <f>IFERROR(__xludf.DUMMYFUNCTION("""COMPUTED_VALUE"""),"Belum disetujui")</f>
        <v>Belum disetujui</v>
      </c>
      <c r="D1890" s="40"/>
      <c r="E1890" s="40" t="s">
        <v>11417</v>
      </c>
      <c r="F1890" s="40" t="s">
        <v>257</v>
      </c>
      <c r="G1890" s="40" t="s">
        <v>11418</v>
      </c>
      <c r="H1890" s="40" t="s">
        <v>11419</v>
      </c>
    </row>
    <row r="1891">
      <c r="A1891" s="39">
        <f>IFERROR(__xludf.DUMMYFUNCTION("""COMPUTED_VALUE"""),45955.715208113426)</f>
        <v>45955.71521</v>
      </c>
      <c r="B1891" s="40" t="str">
        <f>IFERROR(__xludf.DUMMYFUNCTION("""COMPUTED_VALUE"""),"MARNITHA JUWIKE TIMORATI RUNESI")</f>
        <v>MARNITHA JUWIKE TIMORATI RUNESI</v>
      </c>
      <c r="C1891" s="40" t="str">
        <f>IFERROR(__xludf.DUMMYFUNCTION("""COMPUTED_VALUE"""),"Belum disetujui")</f>
        <v>Belum disetujui</v>
      </c>
      <c r="D1891" s="40"/>
      <c r="E1891" s="40" t="s">
        <v>11420</v>
      </c>
      <c r="F1891" s="40" t="s">
        <v>204</v>
      </c>
      <c r="G1891" s="40" t="s">
        <v>11421</v>
      </c>
      <c r="H1891" s="40" t="s">
        <v>11399</v>
      </c>
    </row>
    <row r="1892">
      <c r="A1892" s="39">
        <f>IFERROR(__xludf.DUMMYFUNCTION("""COMPUTED_VALUE"""),45955.72352207176)</f>
        <v>45955.72352</v>
      </c>
      <c r="B1892" s="40" t="str">
        <f>IFERROR(__xludf.DUMMYFUNCTION("""COMPUTED_VALUE"""),"ANDHIKA ULLY")</f>
        <v>ANDHIKA ULLY</v>
      </c>
      <c r="C1892" s="40" t="str">
        <f>IFERROR(__xludf.DUMMYFUNCTION("""COMPUTED_VALUE"""),"Dapat limit tapi belum diproses")</f>
        <v>Dapat limit tapi belum diproses</v>
      </c>
      <c r="D1892" s="40" t="str">
        <f>IFERROR(__xludf.DUMMYFUNCTION("""COMPUTED_VALUE"""),"V60 series")</f>
        <v>V60 series</v>
      </c>
      <c r="E1892" s="40" t="s">
        <v>11482</v>
      </c>
      <c r="F1892" s="40" t="s">
        <v>220</v>
      </c>
      <c r="G1892" s="40" t="s">
        <v>11483</v>
      </c>
      <c r="H1892" s="40" t="s">
        <v>11399</v>
      </c>
    </row>
    <row r="1893">
      <c r="A1893" s="39">
        <f>IFERROR(__xludf.DUMMYFUNCTION("""COMPUTED_VALUE"""),45955.72458412037)</f>
        <v>45955.72458</v>
      </c>
      <c r="B1893" s="40" t="str">
        <f>IFERROR(__xludf.DUMMYFUNCTION("""COMPUTED_VALUE"""),"ANYARMITHA SOPHIA SUEK")</f>
        <v>ANYARMITHA SOPHIA SUEK</v>
      </c>
      <c r="C1893" s="40" t="str">
        <f>IFERROR(__xludf.DUMMYFUNCTION("""COMPUTED_VALUE"""),"Belum disetujui")</f>
        <v>Belum disetujui</v>
      </c>
      <c r="D1893" s="40"/>
      <c r="E1893" s="40" t="s">
        <v>11443</v>
      </c>
      <c r="F1893" s="40" t="s">
        <v>220</v>
      </c>
      <c r="G1893" s="40" t="s">
        <v>11444</v>
      </c>
      <c r="H1893" s="40" t="s">
        <v>11399</v>
      </c>
    </row>
    <row r="1894">
      <c r="A1894" s="39">
        <f>IFERROR(__xludf.DUMMYFUNCTION("""COMPUTED_VALUE"""),45955.730138750005)</f>
        <v>45955.73014</v>
      </c>
      <c r="B1894" s="40" t="str">
        <f>IFERROR(__xludf.DUMMYFUNCTION("""COMPUTED_VALUE"""),"BERGITHA NIA OLIN")</f>
        <v>BERGITHA NIA OLIN</v>
      </c>
      <c r="C1894" s="40" t="str">
        <f>IFERROR(__xludf.DUMMYFUNCTION("""COMPUTED_VALUE"""),"Belum disetujui")</f>
        <v>Belum disetujui</v>
      </c>
      <c r="D1894" s="40"/>
      <c r="E1894" s="40" t="s">
        <v>11431</v>
      </c>
      <c r="F1894" s="40" t="s">
        <v>313</v>
      </c>
      <c r="G1894" s="40" t="s">
        <v>11432</v>
      </c>
      <c r="H1894" s="40" t="s">
        <v>11424</v>
      </c>
    </row>
    <row r="1895">
      <c r="A1895" s="39">
        <f>IFERROR(__xludf.DUMMYFUNCTION("""COMPUTED_VALUE"""),45955.74191737269)</f>
        <v>45955.74192</v>
      </c>
      <c r="B1895" s="40" t="str">
        <f>IFERROR(__xludf.DUMMYFUNCTION("""COMPUTED_VALUE"""),"YASINTHA MBU")</f>
        <v>YASINTHA MBU</v>
      </c>
      <c r="C1895" s="40" t="str">
        <f>IFERROR(__xludf.DUMMYFUNCTION("""COMPUTED_VALUE"""),"Dapat limit tapi belum diproses")</f>
        <v>Dapat limit tapi belum diproses</v>
      </c>
      <c r="D1895" s="40" t="str">
        <f>IFERROR(__xludf.DUMMYFUNCTION("""COMPUTED_VALUE"""),"Y400 series")</f>
        <v>Y400 series</v>
      </c>
      <c r="E1895" s="40" t="s">
        <v>11407</v>
      </c>
      <c r="F1895" s="40" t="s">
        <v>220</v>
      </c>
      <c r="G1895" s="40" t="s">
        <v>11408</v>
      </c>
      <c r="H1895" s="40" t="s">
        <v>11399</v>
      </c>
    </row>
    <row r="1896">
      <c r="A1896" s="39">
        <f>IFERROR(__xludf.DUMMYFUNCTION("""COMPUTED_VALUE"""),45955.74298509259)</f>
        <v>45955.74299</v>
      </c>
      <c r="B1896" s="40" t="str">
        <f>IFERROR(__xludf.DUMMYFUNCTION("""COMPUTED_VALUE"""),"IRENE NOVALIA KADJU")</f>
        <v>IRENE NOVALIA KADJU</v>
      </c>
      <c r="C1896" s="40" t="str">
        <f>IFERROR(__xludf.DUMMYFUNCTION("""COMPUTED_VALUE"""),"Belum disetujui")</f>
        <v>Belum disetujui</v>
      </c>
      <c r="D1896" s="40"/>
      <c r="E1896" s="40" t="s">
        <v>11445</v>
      </c>
      <c r="F1896" s="40" t="s">
        <v>204</v>
      </c>
      <c r="G1896" s="40" t="s">
        <v>11446</v>
      </c>
      <c r="H1896" s="40" t="s">
        <v>11399</v>
      </c>
    </row>
    <row r="1897">
      <c r="A1897" s="39">
        <f>IFERROR(__xludf.DUMMYFUNCTION("""COMPUTED_VALUE"""),45955.750138703705)</f>
        <v>45955.75014</v>
      </c>
      <c r="B1897" s="40" t="str">
        <f>IFERROR(__xludf.DUMMYFUNCTION("""COMPUTED_VALUE"""),"ADRIANA")</f>
        <v>ADRIANA</v>
      </c>
      <c r="C1897" s="40" t="str">
        <f>IFERROR(__xludf.DUMMYFUNCTION("""COMPUTED_VALUE"""),"Belum disetujui")</f>
        <v>Belum disetujui</v>
      </c>
      <c r="D1897" s="40"/>
      <c r="E1897" s="40" t="s">
        <v>11433</v>
      </c>
      <c r="F1897" s="40" t="s">
        <v>313</v>
      </c>
      <c r="G1897" s="40" t="s">
        <v>11434</v>
      </c>
      <c r="H1897" s="40" t="s">
        <v>11424</v>
      </c>
    </row>
    <row r="1898">
      <c r="A1898" s="39">
        <f>IFERROR(__xludf.DUMMYFUNCTION("""COMPUTED_VALUE"""),45955.75216217593)</f>
        <v>45955.75216</v>
      </c>
      <c r="B1898" s="40" t="str">
        <f>IFERROR(__xludf.DUMMYFUNCTION("""COMPUTED_VALUE"""),"ADRIANA")</f>
        <v>ADRIANA</v>
      </c>
      <c r="C1898" s="40" t="str">
        <f>IFERROR(__xludf.DUMMYFUNCTION("""COMPUTED_VALUE"""),"Dapat limit tapi belum diproses")</f>
        <v>Dapat limit tapi belum diproses</v>
      </c>
      <c r="D1898" s="40" t="str">
        <f>IFERROR(__xludf.DUMMYFUNCTION("""COMPUTED_VALUE"""),"V60 Lite series")</f>
        <v>V60 Lite series</v>
      </c>
      <c r="E1898" s="40" t="s">
        <v>11433</v>
      </c>
      <c r="F1898" s="40" t="s">
        <v>313</v>
      </c>
      <c r="G1898" s="40" t="s">
        <v>11434</v>
      </c>
      <c r="H1898" s="40" t="s">
        <v>11424</v>
      </c>
    </row>
    <row r="1899">
      <c r="A1899" s="39">
        <f>IFERROR(__xludf.DUMMYFUNCTION("""COMPUTED_VALUE"""),45955.75832405093)</f>
        <v>45955.75832</v>
      </c>
      <c r="B1899" s="40" t="str">
        <f>IFERROR(__xludf.DUMMYFUNCTION("""COMPUTED_VALUE"""),"NOVLIANA BARBALINA MISA")</f>
        <v>NOVLIANA BARBALINA MISA</v>
      </c>
      <c r="C1899" s="40" t="str">
        <f>IFERROR(__xludf.DUMMYFUNCTION("""COMPUTED_VALUE"""),"Belum disetujui")</f>
        <v>Belum disetujui</v>
      </c>
      <c r="D1899" s="40"/>
      <c r="E1899" s="40" t="s">
        <v>11454</v>
      </c>
      <c r="F1899" s="40" t="s">
        <v>205</v>
      </c>
      <c r="G1899" s="40" t="s">
        <v>11455</v>
      </c>
      <c r="H1899" s="40" t="s">
        <v>11419</v>
      </c>
    </row>
    <row r="1900">
      <c r="A1900" s="39">
        <f>IFERROR(__xludf.DUMMYFUNCTION("""COMPUTED_VALUE"""),45955.76606077546)</f>
        <v>45955.76606</v>
      </c>
      <c r="B1900" s="40" t="str">
        <f>IFERROR(__xludf.DUMMYFUNCTION("""COMPUTED_VALUE"""),"YASINTHA MBU")</f>
        <v>YASINTHA MBU</v>
      </c>
      <c r="C1900" s="40" t="str">
        <f>IFERROR(__xludf.DUMMYFUNCTION("""COMPUTED_VALUE"""),"ACC")</f>
        <v>ACC</v>
      </c>
      <c r="D1900" s="40" t="str">
        <f>IFERROR(__xludf.DUMMYFUNCTION("""COMPUTED_VALUE"""),"Y21d series")</f>
        <v>Y21d series</v>
      </c>
      <c r="E1900" s="40" t="s">
        <v>11407</v>
      </c>
      <c r="F1900" s="40" t="s">
        <v>220</v>
      </c>
      <c r="G1900" s="40" t="s">
        <v>11408</v>
      </c>
      <c r="H1900" s="40" t="s">
        <v>11399</v>
      </c>
    </row>
    <row r="1901">
      <c r="A1901" s="39">
        <f>IFERROR(__xludf.DUMMYFUNCTION("""COMPUTED_VALUE"""),45955.77197675926)</f>
        <v>45955.77198</v>
      </c>
      <c r="B1901" s="40" t="str">
        <f>IFERROR(__xludf.DUMMYFUNCTION("""COMPUTED_VALUE"""),"NOVANTRY RUTHANIA NAFFIE")</f>
        <v>NOVANTRY RUTHANIA NAFFIE</v>
      </c>
      <c r="C1901" s="40" t="str">
        <f>IFERROR(__xludf.DUMMYFUNCTION("""COMPUTED_VALUE"""),"ACC")</f>
        <v>ACC</v>
      </c>
      <c r="D1901" s="40" t="str">
        <f>IFERROR(__xludf.DUMMYFUNCTION("""COMPUTED_VALUE"""),"Y21d series")</f>
        <v>Y21d series</v>
      </c>
      <c r="E1901" s="40" t="s">
        <v>11397</v>
      </c>
      <c r="F1901" s="40" t="s">
        <v>220</v>
      </c>
      <c r="G1901" s="40" t="s">
        <v>11398</v>
      </c>
      <c r="H1901" s="40" t="s">
        <v>11399</v>
      </c>
    </row>
    <row r="1902">
      <c r="A1902" s="39">
        <f>IFERROR(__xludf.DUMMYFUNCTION("""COMPUTED_VALUE"""),45955.788891331016)</f>
        <v>45955.78889</v>
      </c>
      <c r="B1902" s="40" t="str">
        <f>IFERROR(__xludf.DUMMYFUNCTION("""COMPUTED_VALUE"""),"SELVINCE BAKO")</f>
        <v>SELVINCE BAKO</v>
      </c>
      <c r="C1902" s="40" t="str">
        <f>IFERROR(__xludf.DUMMYFUNCTION("""COMPUTED_VALUE"""),"Belum disetujui")</f>
        <v>Belum disetujui</v>
      </c>
      <c r="D1902" s="40"/>
      <c r="E1902" s="40" t="s">
        <v>11413</v>
      </c>
      <c r="F1902" s="40" t="s">
        <v>204</v>
      </c>
      <c r="G1902" s="40" t="s">
        <v>11414</v>
      </c>
      <c r="H1902" s="40" t="s">
        <v>11399</v>
      </c>
    </row>
    <row r="1903">
      <c r="A1903" s="39">
        <f>IFERROR(__xludf.DUMMYFUNCTION("""COMPUTED_VALUE"""),45955.79026680556)</f>
        <v>45955.79027</v>
      </c>
      <c r="B1903" s="40" t="str">
        <f>IFERROR(__xludf.DUMMYFUNCTION("""COMPUTED_VALUE"""),"SELVINCE BAKO")</f>
        <v>SELVINCE BAKO</v>
      </c>
      <c r="C1903" s="40" t="str">
        <f>IFERROR(__xludf.DUMMYFUNCTION("""COMPUTED_VALUE"""),"Belum disetujui")</f>
        <v>Belum disetujui</v>
      </c>
      <c r="D1903" s="40"/>
      <c r="E1903" s="40" t="s">
        <v>11413</v>
      </c>
      <c r="F1903" s="40" t="s">
        <v>204</v>
      </c>
      <c r="G1903" s="40" t="s">
        <v>11414</v>
      </c>
      <c r="H1903" s="40" t="s">
        <v>11399</v>
      </c>
    </row>
    <row r="1904">
      <c r="A1904" s="39">
        <f>IFERROR(__xludf.DUMMYFUNCTION("""COMPUTED_VALUE"""),45955.79898368055)</f>
        <v>45955.79898</v>
      </c>
      <c r="B1904" s="40" t="str">
        <f>IFERROR(__xludf.DUMMYFUNCTION("""COMPUTED_VALUE"""),"ASTUTI BELA WAWO")</f>
        <v>ASTUTI BELA WAWO</v>
      </c>
      <c r="C1904" s="40" t="str">
        <f>IFERROR(__xludf.DUMMYFUNCTION("""COMPUTED_VALUE"""),"Belum disetujui")</f>
        <v>Belum disetujui</v>
      </c>
      <c r="D1904" s="40"/>
      <c r="E1904" s="40" t="s">
        <v>11427</v>
      </c>
      <c r="F1904" s="40" t="s">
        <v>257</v>
      </c>
      <c r="G1904" s="40" t="s">
        <v>11428</v>
      </c>
      <c r="H1904" s="40" t="s">
        <v>11419</v>
      </c>
    </row>
    <row r="1905">
      <c r="A1905" s="39">
        <f>IFERROR(__xludf.DUMMYFUNCTION("""COMPUTED_VALUE"""),45955.82556619213)</f>
        <v>45955.82557</v>
      </c>
      <c r="B1905" s="40" t="str">
        <f>IFERROR(__xludf.DUMMYFUNCTION("""COMPUTED_VALUE"""),"ASRI NINGSI RAMBU ATA ENDI")</f>
        <v>ASRI NINGSI RAMBU ATA ENDI</v>
      </c>
      <c r="C1905" s="40" t="str">
        <f>IFERROR(__xludf.DUMMYFUNCTION("""COMPUTED_VALUE"""),"Dapat limit tapi belum diproses")</f>
        <v>Dapat limit tapi belum diproses</v>
      </c>
      <c r="D1905" s="40" t="str">
        <f>IFERROR(__xludf.DUMMYFUNCTION("""COMPUTED_VALUE"""),"Y400 series")</f>
        <v>Y400 series</v>
      </c>
      <c r="E1905" s="40" t="s">
        <v>11441</v>
      </c>
      <c r="F1905" s="40" t="s">
        <v>205</v>
      </c>
      <c r="G1905" s="40" t="s">
        <v>11442</v>
      </c>
      <c r="H1905" s="40" t="s">
        <v>11419</v>
      </c>
    </row>
    <row r="1906">
      <c r="A1906" s="39">
        <f>IFERROR(__xludf.DUMMYFUNCTION("""COMPUTED_VALUE"""),45955.845456944444)</f>
        <v>45955.84546</v>
      </c>
      <c r="B1906" s="40" t="str">
        <f>IFERROR(__xludf.DUMMYFUNCTION("""COMPUTED_VALUE"""),"ADRIANA")</f>
        <v>ADRIANA</v>
      </c>
      <c r="C1906" s="40" t="str">
        <f>IFERROR(__xludf.DUMMYFUNCTION("""COMPUTED_VALUE"""),"ACC")</f>
        <v>ACC</v>
      </c>
      <c r="D1906" s="40" t="str">
        <f>IFERROR(__xludf.DUMMYFUNCTION("""COMPUTED_VALUE"""),"Y400 series")</f>
        <v>Y400 series</v>
      </c>
      <c r="E1906" s="40" t="s">
        <v>11433</v>
      </c>
      <c r="F1906" s="40" t="s">
        <v>313</v>
      </c>
      <c r="G1906" s="40" t="s">
        <v>11434</v>
      </c>
      <c r="H1906" s="40" t="s">
        <v>11424</v>
      </c>
    </row>
    <row r="1907">
      <c r="A1907" s="39">
        <f>IFERROR(__xludf.DUMMYFUNCTION("""COMPUTED_VALUE"""),45955.91396283564)</f>
        <v>45955.91396</v>
      </c>
      <c r="B1907" s="40" t="str">
        <f>IFERROR(__xludf.DUMMYFUNCTION("""COMPUTED_VALUE"""),"WINDRI MANOE")</f>
        <v>WINDRI MANOE</v>
      </c>
      <c r="C1907" s="40" t="str">
        <f>IFERROR(__xludf.DUMMYFUNCTION("""COMPUTED_VALUE"""),"Belum disetujui")</f>
        <v>Belum disetujui</v>
      </c>
      <c r="D1907" s="40"/>
      <c r="E1907" s="40" t="s">
        <v>11443</v>
      </c>
      <c r="F1907" s="40" t="s">
        <v>220</v>
      </c>
      <c r="G1907" s="40" t="s">
        <v>11444</v>
      </c>
      <c r="H1907" s="40" t="s">
        <v>11399</v>
      </c>
    </row>
    <row r="1908">
      <c r="A1908" s="39">
        <f>IFERROR(__xludf.DUMMYFUNCTION("""COMPUTED_VALUE"""),45955.91514663194)</f>
        <v>45955.91515</v>
      </c>
      <c r="B1908" s="40" t="str">
        <f>IFERROR(__xludf.DUMMYFUNCTION("""COMPUTED_VALUE"""),"WINDRI MANOE")</f>
        <v>WINDRI MANOE</v>
      </c>
      <c r="C1908" s="40" t="str">
        <f>IFERROR(__xludf.DUMMYFUNCTION("""COMPUTED_VALUE"""),"Belum disetujui")</f>
        <v>Belum disetujui</v>
      </c>
      <c r="D1908" s="40"/>
      <c r="E1908" s="40" t="s">
        <v>11443</v>
      </c>
      <c r="F1908" s="40" t="s">
        <v>220</v>
      </c>
      <c r="G1908" s="40" t="s">
        <v>11444</v>
      </c>
      <c r="H1908" s="40" t="s">
        <v>11399</v>
      </c>
    </row>
    <row r="1909">
      <c r="A1909" s="39">
        <f>IFERROR(__xludf.DUMMYFUNCTION("""COMPUTED_VALUE"""),45956.47490368056)</f>
        <v>45956.4749</v>
      </c>
      <c r="B1909" s="40" t="str">
        <f>IFERROR(__xludf.DUMMYFUNCTION("""COMPUTED_VALUE"""),"TERSIANA KADJA PAU")</f>
        <v>TERSIANA KADJA PAU</v>
      </c>
      <c r="C1909" s="40" t="str">
        <f>IFERROR(__xludf.DUMMYFUNCTION("""COMPUTED_VALUE"""),"Belum disetujui")</f>
        <v>Belum disetujui</v>
      </c>
      <c r="D1909" s="40"/>
      <c r="E1909" s="40" t="s">
        <v>11411</v>
      </c>
      <c r="F1909" s="40" t="s">
        <v>220</v>
      </c>
      <c r="G1909" s="40" t="s">
        <v>11412</v>
      </c>
      <c r="H1909" s="40" t="s">
        <v>11399</v>
      </c>
    </row>
    <row r="1910">
      <c r="A1910" s="39">
        <f>IFERROR(__xludf.DUMMYFUNCTION("""COMPUTED_VALUE"""),45956.476890659724)</f>
        <v>45956.47689</v>
      </c>
      <c r="B1910" s="40" t="str">
        <f>IFERROR(__xludf.DUMMYFUNCTION("""COMPUTED_VALUE"""),"ARMINDA TEKU MANEK")</f>
        <v>ARMINDA TEKU MANEK</v>
      </c>
      <c r="C1910" s="40" t="str">
        <f>IFERROR(__xludf.DUMMYFUNCTION("""COMPUTED_VALUE"""),"Belum disetujui")</f>
        <v>Belum disetujui</v>
      </c>
      <c r="D1910" s="40"/>
      <c r="E1910" s="40" t="s">
        <v>11474</v>
      </c>
      <c r="F1910" s="40" t="s">
        <v>313</v>
      </c>
      <c r="G1910" s="40" t="s">
        <v>11475</v>
      </c>
      <c r="H1910" s="40" t="s">
        <v>11424</v>
      </c>
    </row>
    <row r="1911">
      <c r="A1911" s="39">
        <f>IFERROR(__xludf.DUMMYFUNCTION("""COMPUTED_VALUE"""),45956.54235648148)</f>
        <v>45956.54236</v>
      </c>
      <c r="B1911" s="40" t="str">
        <f>IFERROR(__xludf.DUMMYFUNCTION("""COMPUTED_VALUE"""),"SULIS NURAINI INSYATUN")</f>
        <v>SULIS NURAINI INSYATUN</v>
      </c>
      <c r="C1911" s="40" t="str">
        <f>IFERROR(__xludf.DUMMYFUNCTION("""COMPUTED_VALUE"""),"Dapat limit tapi belum diproses")</f>
        <v>Dapat limit tapi belum diproses</v>
      </c>
      <c r="D1911" s="40" t="str">
        <f>IFERROR(__xludf.DUMMYFUNCTION("""COMPUTED_VALUE"""),"Y21d series")</f>
        <v>Y21d series</v>
      </c>
      <c r="E1911" s="40" t="s">
        <v>11429</v>
      </c>
      <c r="F1911" s="40" t="s">
        <v>257</v>
      </c>
      <c r="G1911" s="40" t="s">
        <v>11430</v>
      </c>
      <c r="H1911" s="40" t="s">
        <v>11419</v>
      </c>
    </row>
    <row r="1912">
      <c r="A1912" s="39">
        <f>IFERROR(__xludf.DUMMYFUNCTION("""COMPUTED_VALUE"""),45956.56779880787)</f>
        <v>45956.5678</v>
      </c>
      <c r="B1912" s="40" t="str">
        <f>IFERROR(__xludf.DUMMYFUNCTION("""COMPUTED_VALUE"""),"ARMINDA TEKU MANEK")</f>
        <v>ARMINDA TEKU MANEK</v>
      </c>
      <c r="C1912" s="40" t="str">
        <f>IFERROR(__xludf.DUMMYFUNCTION("""COMPUTED_VALUE"""),"Belum disetujui")</f>
        <v>Belum disetujui</v>
      </c>
      <c r="D1912" s="40"/>
      <c r="E1912" s="40" t="s">
        <v>11474</v>
      </c>
      <c r="F1912" s="40" t="s">
        <v>313</v>
      </c>
      <c r="G1912" s="40" t="s">
        <v>11475</v>
      </c>
      <c r="H1912" s="40" t="s">
        <v>11424</v>
      </c>
    </row>
    <row r="1913">
      <c r="A1913" s="39">
        <f>IFERROR(__xludf.DUMMYFUNCTION("""COMPUTED_VALUE"""),45956.58817180555)</f>
        <v>45956.58817</v>
      </c>
      <c r="B1913" s="40" t="str">
        <f>IFERROR(__xludf.DUMMYFUNCTION("""COMPUTED_VALUE"""),"WINDRI MANOE")</f>
        <v>WINDRI MANOE</v>
      </c>
      <c r="C1913" s="40" t="str">
        <f>IFERROR(__xludf.DUMMYFUNCTION("""COMPUTED_VALUE"""),"Belum disetujui")</f>
        <v>Belum disetujui</v>
      </c>
      <c r="D1913" s="40"/>
      <c r="E1913" s="40" t="s">
        <v>11443</v>
      </c>
      <c r="F1913" s="40" t="s">
        <v>220</v>
      </c>
      <c r="G1913" s="40" t="s">
        <v>11444</v>
      </c>
      <c r="H1913" s="40" t="s">
        <v>11399</v>
      </c>
    </row>
    <row r="1914">
      <c r="A1914" s="39">
        <f>IFERROR(__xludf.DUMMYFUNCTION("""COMPUTED_VALUE"""),45956.61888699074)</f>
        <v>45956.61889</v>
      </c>
      <c r="B1914" s="40" t="str">
        <f>IFERROR(__xludf.DUMMYFUNCTION("""COMPUTED_VALUE"""),"TERSIANA KADJA PAU")</f>
        <v>TERSIANA KADJA PAU</v>
      </c>
      <c r="C1914" s="40" t="str">
        <f>IFERROR(__xludf.DUMMYFUNCTION("""COMPUTED_VALUE"""),"Belum disetujui")</f>
        <v>Belum disetujui</v>
      </c>
      <c r="D1914" s="40"/>
      <c r="E1914" s="40" t="s">
        <v>11411</v>
      </c>
      <c r="F1914" s="40" t="s">
        <v>220</v>
      </c>
      <c r="G1914" s="40" t="s">
        <v>11412</v>
      </c>
      <c r="H1914" s="40" t="s">
        <v>11399</v>
      </c>
    </row>
    <row r="1915">
      <c r="A1915" s="39">
        <f>IFERROR(__xludf.DUMMYFUNCTION("""COMPUTED_VALUE"""),45956.65441040509)</f>
        <v>45956.65441</v>
      </c>
      <c r="B1915" s="40" t="str">
        <f>IFERROR(__xludf.DUMMYFUNCTION("""COMPUTED_VALUE"""),"NOVLIANA BARBALINA MISA")</f>
        <v>NOVLIANA BARBALINA MISA</v>
      </c>
      <c r="C1915" s="40" t="str">
        <f>IFERROR(__xludf.DUMMYFUNCTION("""COMPUTED_VALUE"""),"Belum disetujui")</f>
        <v>Belum disetujui</v>
      </c>
      <c r="D1915" s="40"/>
      <c r="E1915" s="40" t="s">
        <v>11454</v>
      </c>
      <c r="F1915" s="40" t="s">
        <v>205</v>
      </c>
      <c r="G1915" s="40" t="s">
        <v>11455</v>
      </c>
      <c r="H1915" s="40" t="s">
        <v>11419</v>
      </c>
    </row>
    <row r="1916">
      <c r="A1916" s="39">
        <f>IFERROR(__xludf.DUMMYFUNCTION("""COMPUTED_VALUE"""),45956.659773611114)</f>
        <v>45956.65977</v>
      </c>
      <c r="B1916" s="40" t="str">
        <f>IFERROR(__xludf.DUMMYFUNCTION("""COMPUTED_VALUE"""),"ESTER LUDJI")</f>
        <v>ESTER LUDJI</v>
      </c>
      <c r="C1916" s="40" t="str">
        <f>IFERROR(__xludf.DUMMYFUNCTION("""COMPUTED_VALUE"""),"Belum disetujui")</f>
        <v>Belum disetujui</v>
      </c>
      <c r="D1916" s="40"/>
      <c r="E1916" s="40" t="s">
        <v>11441</v>
      </c>
      <c r="F1916" s="40" t="s">
        <v>205</v>
      </c>
      <c r="G1916" s="40" t="s">
        <v>11442</v>
      </c>
      <c r="H1916" s="40" t="s">
        <v>11419</v>
      </c>
    </row>
    <row r="1917">
      <c r="A1917" s="39">
        <f>IFERROR(__xludf.DUMMYFUNCTION("""COMPUTED_VALUE"""),45956.69307685185)</f>
        <v>45956.69308</v>
      </c>
      <c r="B1917" s="40" t="str">
        <f>IFERROR(__xludf.DUMMYFUNCTION("""COMPUTED_VALUE"""),"NOVLIANA BARBALINA MISA")</f>
        <v>NOVLIANA BARBALINA MISA</v>
      </c>
      <c r="C1917" s="40" t="str">
        <f>IFERROR(__xludf.DUMMYFUNCTION("""COMPUTED_VALUE"""),"Belum disetujui")</f>
        <v>Belum disetujui</v>
      </c>
      <c r="D1917" s="40"/>
      <c r="E1917" s="40" t="s">
        <v>11454</v>
      </c>
      <c r="F1917" s="40" t="s">
        <v>205</v>
      </c>
      <c r="G1917" s="40" t="s">
        <v>11455</v>
      </c>
      <c r="H1917" s="40" t="s">
        <v>11419</v>
      </c>
    </row>
    <row r="1918">
      <c r="A1918" s="39">
        <f>IFERROR(__xludf.DUMMYFUNCTION("""COMPUTED_VALUE"""),45956.696084340285)</f>
        <v>45956.69608</v>
      </c>
      <c r="B1918" s="40" t="str">
        <f>IFERROR(__xludf.DUMMYFUNCTION("""COMPUTED_VALUE"""),"ARMINDA TEKU MANEK")</f>
        <v>ARMINDA TEKU MANEK</v>
      </c>
      <c r="C1918" s="40" t="str">
        <f>IFERROR(__xludf.DUMMYFUNCTION("""COMPUTED_VALUE"""),"Dapat limit tapi belum diproses")</f>
        <v>Dapat limit tapi belum diproses</v>
      </c>
      <c r="D1918" s="40" t="str">
        <f>IFERROR(__xludf.DUMMYFUNCTION("""COMPUTED_VALUE"""),"Y400 series")</f>
        <v>Y400 series</v>
      </c>
      <c r="E1918" s="40" t="s">
        <v>11474</v>
      </c>
      <c r="F1918" s="40" t="s">
        <v>313</v>
      </c>
      <c r="G1918" s="40" t="s">
        <v>11475</v>
      </c>
      <c r="H1918" s="40" t="s">
        <v>11424</v>
      </c>
    </row>
    <row r="1919">
      <c r="A1919" s="39">
        <f>IFERROR(__xludf.DUMMYFUNCTION("""COMPUTED_VALUE"""),45956.75116450232)</f>
        <v>45956.75116</v>
      </c>
      <c r="B1919" s="40" t="str">
        <f>IFERROR(__xludf.DUMMYFUNCTION("""COMPUTED_VALUE"""),"SELVINCE BAKO")</f>
        <v>SELVINCE BAKO</v>
      </c>
      <c r="C1919" s="40" t="str">
        <f>IFERROR(__xludf.DUMMYFUNCTION("""COMPUTED_VALUE"""),"Belum disetujui")</f>
        <v>Belum disetujui</v>
      </c>
      <c r="D1919" s="40"/>
      <c r="E1919" s="40" t="s">
        <v>11413</v>
      </c>
      <c r="F1919" s="40" t="s">
        <v>204</v>
      </c>
      <c r="G1919" s="40" t="s">
        <v>11414</v>
      </c>
      <c r="H1919" s="40" t="s">
        <v>11399</v>
      </c>
    </row>
    <row r="1920">
      <c r="A1920" s="39">
        <f>IFERROR(__xludf.DUMMYFUNCTION("""COMPUTED_VALUE"""),45956.75273429398)</f>
        <v>45956.75273</v>
      </c>
      <c r="B1920" s="40" t="str">
        <f>IFERROR(__xludf.DUMMYFUNCTION("""COMPUTED_VALUE"""),"SELVINCE BAKO")</f>
        <v>SELVINCE BAKO</v>
      </c>
      <c r="C1920" s="40" t="str">
        <f>IFERROR(__xludf.DUMMYFUNCTION("""COMPUTED_VALUE"""),"Belum disetujui")</f>
        <v>Belum disetujui</v>
      </c>
      <c r="D1920" s="40"/>
      <c r="E1920" s="40" t="s">
        <v>11413</v>
      </c>
      <c r="F1920" s="40" t="s">
        <v>204</v>
      </c>
      <c r="G1920" s="40" t="s">
        <v>11414</v>
      </c>
      <c r="H1920" s="40" t="s">
        <v>11399</v>
      </c>
    </row>
    <row r="1921">
      <c r="A1921" s="39">
        <f>IFERROR(__xludf.DUMMYFUNCTION("""COMPUTED_VALUE"""),45956.783023460644)</f>
        <v>45956.78302</v>
      </c>
      <c r="B1921" s="40" t="str">
        <f>IFERROR(__xludf.DUMMYFUNCTION("""COMPUTED_VALUE"""),"MARNITHA JUWIKE TIMORATI RUNESI")</f>
        <v>MARNITHA JUWIKE TIMORATI RUNESI</v>
      </c>
      <c r="C1921" s="40" t="str">
        <f>IFERROR(__xludf.DUMMYFUNCTION("""COMPUTED_VALUE"""),"Belum disetujui")</f>
        <v>Belum disetujui</v>
      </c>
      <c r="D1921" s="40"/>
      <c r="E1921" s="40" t="s">
        <v>11420</v>
      </c>
      <c r="F1921" s="40" t="s">
        <v>204</v>
      </c>
      <c r="G1921" s="40" t="s">
        <v>11421</v>
      </c>
      <c r="H1921" s="40" t="s">
        <v>11399</v>
      </c>
    </row>
    <row r="1922">
      <c r="A1922" s="39">
        <f>IFERROR(__xludf.DUMMYFUNCTION("""COMPUTED_VALUE"""),45956.840566782404)</f>
        <v>45956.84057</v>
      </c>
      <c r="B1922" s="40" t="str">
        <f>IFERROR(__xludf.DUMMYFUNCTION("""COMPUTED_VALUE"""),"ASTUTI BELA WAWO")</f>
        <v>ASTUTI BELA WAWO</v>
      </c>
      <c r="C1922" s="40" t="str">
        <f>IFERROR(__xludf.DUMMYFUNCTION("""COMPUTED_VALUE"""),"ACC")</f>
        <v>ACC</v>
      </c>
      <c r="D1922" s="40" t="str">
        <f>IFERROR(__xludf.DUMMYFUNCTION("""COMPUTED_VALUE"""),"Y400 series")</f>
        <v>Y400 series</v>
      </c>
      <c r="E1922" s="40" t="s">
        <v>11427</v>
      </c>
      <c r="F1922" s="40" t="s">
        <v>257</v>
      </c>
      <c r="G1922" s="40" t="s">
        <v>11428</v>
      </c>
      <c r="H1922" s="40" t="s">
        <v>11419</v>
      </c>
    </row>
    <row r="1923">
      <c r="A1923" s="39">
        <f>IFERROR(__xludf.DUMMYFUNCTION("""COMPUTED_VALUE"""),45956.86986909722)</f>
        <v>45956.86987</v>
      </c>
      <c r="B1923" s="40" t="str">
        <f>IFERROR(__xludf.DUMMYFUNCTION("""COMPUTED_VALUE"""),"SELVINCE BAKO")</f>
        <v>SELVINCE BAKO</v>
      </c>
      <c r="C1923" s="40" t="str">
        <f>IFERROR(__xludf.DUMMYFUNCTION("""COMPUTED_VALUE"""),"Belum disetujui")</f>
        <v>Belum disetujui</v>
      </c>
      <c r="D1923" s="40"/>
      <c r="E1923" s="40" t="s">
        <v>11413</v>
      </c>
      <c r="F1923" s="40" t="s">
        <v>204</v>
      </c>
      <c r="G1923" s="40" t="s">
        <v>11414</v>
      </c>
      <c r="H1923" s="40" t="s">
        <v>11399</v>
      </c>
    </row>
    <row r="1924">
      <c r="A1924" s="39">
        <f>IFERROR(__xludf.DUMMYFUNCTION("""COMPUTED_VALUE"""),45956.87140888888)</f>
        <v>45956.87141</v>
      </c>
      <c r="B1924" s="40" t="str">
        <f>IFERROR(__xludf.DUMMYFUNCTION("""COMPUTED_VALUE"""),"SELVINCE BAKO")</f>
        <v>SELVINCE BAKO</v>
      </c>
      <c r="C1924" s="40" t="str">
        <f>IFERROR(__xludf.DUMMYFUNCTION("""COMPUTED_VALUE"""),"Belum disetujui")</f>
        <v>Belum disetujui</v>
      </c>
      <c r="D1924" s="40"/>
      <c r="E1924" s="40" t="s">
        <v>11413</v>
      </c>
      <c r="F1924" s="40" t="s">
        <v>204</v>
      </c>
      <c r="G1924" s="40" t="s">
        <v>11414</v>
      </c>
      <c r="H1924" s="40" t="s">
        <v>11399</v>
      </c>
    </row>
    <row r="1925">
      <c r="A1925" s="39">
        <f>IFERROR(__xludf.DUMMYFUNCTION("""COMPUTED_VALUE"""),45956.92771983796)</f>
        <v>45956.92772</v>
      </c>
      <c r="B1925" s="40" t="str">
        <f>IFERROR(__xludf.DUMMYFUNCTION("""COMPUTED_VALUE"""),"SELVINCE BAKO")</f>
        <v>SELVINCE BAKO</v>
      </c>
      <c r="C1925" s="40" t="str">
        <f>IFERROR(__xludf.DUMMYFUNCTION("""COMPUTED_VALUE"""),"Belum disetujui")</f>
        <v>Belum disetujui</v>
      </c>
      <c r="D1925" s="40"/>
      <c r="E1925" s="40" t="s">
        <v>11413</v>
      </c>
      <c r="F1925" s="40" t="s">
        <v>204</v>
      </c>
      <c r="G1925" s="40" t="s">
        <v>11414</v>
      </c>
      <c r="H1925" s="40" t="s">
        <v>11399</v>
      </c>
    </row>
    <row r="1926">
      <c r="A1926" s="39">
        <f>IFERROR(__xludf.DUMMYFUNCTION("""COMPUTED_VALUE"""),45956.95144202546)</f>
        <v>45956.95144</v>
      </c>
      <c r="B1926" s="40" t="str">
        <f>IFERROR(__xludf.DUMMYFUNCTION("""COMPUTED_VALUE"""),"SELVINCE BAKO")</f>
        <v>SELVINCE BAKO</v>
      </c>
      <c r="C1926" s="40" t="str">
        <f>IFERROR(__xludf.DUMMYFUNCTION("""COMPUTED_VALUE"""),"Belum disetujui")</f>
        <v>Belum disetujui</v>
      </c>
      <c r="D1926" s="40"/>
      <c r="E1926" s="40" t="s">
        <v>11413</v>
      </c>
      <c r="F1926" s="40" t="s">
        <v>204</v>
      </c>
      <c r="G1926" s="40" t="s">
        <v>11414</v>
      </c>
      <c r="H1926" s="40" t="s">
        <v>11399</v>
      </c>
    </row>
    <row r="1927">
      <c r="A1927" s="39">
        <f>IFERROR(__xludf.DUMMYFUNCTION("""COMPUTED_VALUE"""),45956.959246620376)</f>
        <v>45956.95925</v>
      </c>
      <c r="B1927" s="40" t="str">
        <f>IFERROR(__xludf.DUMMYFUNCTION("""COMPUTED_VALUE"""),"SELVINCE BAKO")</f>
        <v>SELVINCE BAKO</v>
      </c>
      <c r="C1927" s="40" t="str">
        <f>IFERROR(__xludf.DUMMYFUNCTION("""COMPUTED_VALUE"""),"Belum disetujui")</f>
        <v>Belum disetujui</v>
      </c>
      <c r="D1927" s="40"/>
      <c r="E1927" s="40" t="s">
        <v>11413</v>
      </c>
      <c r="F1927" s="40" t="s">
        <v>204</v>
      </c>
      <c r="G1927" s="40" t="s">
        <v>11414</v>
      </c>
      <c r="H1927" s="40" t="s">
        <v>11399</v>
      </c>
    </row>
    <row r="1928">
      <c r="A1928" s="39">
        <f>IFERROR(__xludf.DUMMYFUNCTION("""COMPUTED_VALUE"""),45957.403913483795)</f>
        <v>45957.40391</v>
      </c>
      <c r="B1928" s="40" t="str">
        <f>IFERROR(__xludf.DUMMYFUNCTION("""COMPUTED_VALUE"""),"YOVANDA KATRINA NAE")</f>
        <v>YOVANDA KATRINA NAE</v>
      </c>
      <c r="C1928" s="40" t="str">
        <f>IFERROR(__xludf.DUMMYFUNCTION("""COMPUTED_VALUE"""),"Belum disetujui")</f>
        <v>Belum disetujui</v>
      </c>
      <c r="D1928" s="40"/>
      <c r="E1928" s="40" t="s">
        <v>11425</v>
      </c>
      <c r="F1928" s="40" t="s">
        <v>205</v>
      </c>
      <c r="G1928" s="40" t="s">
        <v>11426</v>
      </c>
      <c r="H1928" s="40" t="s">
        <v>11419</v>
      </c>
    </row>
    <row r="1929">
      <c r="A1929" s="39">
        <f>IFERROR(__xludf.DUMMYFUNCTION("""COMPUTED_VALUE"""),45957.471182939815)</f>
        <v>45957.47118</v>
      </c>
      <c r="B1929" s="40" t="str">
        <f>IFERROR(__xludf.DUMMYFUNCTION("""COMPUTED_VALUE"""),"MARNITHA JUWIKE TIMORATI RUNESI")</f>
        <v>MARNITHA JUWIKE TIMORATI RUNESI</v>
      </c>
      <c r="C1929" s="40" t="str">
        <f>IFERROR(__xludf.DUMMYFUNCTION("""COMPUTED_VALUE"""),"Belum disetujui")</f>
        <v>Belum disetujui</v>
      </c>
      <c r="D1929" s="40"/>
      <c r="E1929" s="40" t="s">
        <v>11420</v>
      </c>
      <c r="F1929" s="40" t="s">
        <v>204</v>
      </c>
      <c r="G1929" s="40" t="s">
        <v>11421</v>
      </c>
      <c r="H1929" s="40" t="s">
        <v>11399</v>
      </c>
    </row>
    <row r="1930">
      <c r="A1930" s="39">
        <f>IFERROR(__xludf.DUMMYFUNCTION("""COMPUTED_VALUE"""),45957.500883726854)</f>
        <v>45957.50088</v>
      </c>
      <c r="B1930" s="40" t="str">
        <f>IFERROR(__xludf.DUMMYFUNCTION("""COMPUTED_VALUE"""),"BERGITHA NIA OLIN")</f>
        <v>BERGITHA NIA OLIN</v>
      </c>
      <c r="C1930" s="40" t="str">
        <f>IFERROR(__xludf.DUMMYFUNCTION("""COMPUTED_VALUE"""),"Belum disetujui")</f>
        <v>Belum disetujui</v>
      </c>
      <c r="D1930" s="40"/>
      <c r="E1930" s="40" t="s">
        <v>11431</v>
      </c>
      <c r="F1930" s="40" t="s">
        <v>313</v>
      </c>
      <c r="G1930" s="40" t="s">
        <v>11432</v>
      </c>
      <c r="H1930" s="40" t="s">
        <v>11424</v>
      </c>
    </row>
    <row r="1931">
      <c r="A1931" s="39">
        <f>IFERROR(__xludf.DUMMYFUNCTION("""COMPUTED_VALUE"""),45957.509579351856)</f>
        <v>45957.50958</v>
      </c>
      <c r="B1931" s="40" t="str">
        <f>IFERROR(__xludf.DUMMYFUNCTION("""COMPUTED_VALUE"""),"FERI ELI KURNIAWAN")</f>
        <v>FERI ELI KURNIAWAN</v>
      </c>
      <c r="C1931" s="40" t="str">
        <f>IFERROR(__xludf.DUMMYFUNCTION("""COMPUTED_VALUE"""),"ACC")</f>
        <v>ACC</v>
      </c>
      <c r="D1931" s="40" t="str">
        <f>IFERROR(__xludf.DUMMYFUNCTION("""COMPUTED_VALUE"""),"Y400 series")</f>
        <v>Y400 series</v>
      </c>
      <c r="E1931" s="40" t="s">
        <v>11411</v>
      </c>
      <c r="F1931" s="40" t="s">
        <v>220</v>
      </c>
      <c r="G1931" s="40" t="s">
        <v>11412</v>
      </c>
      <c r="H1931" s="40" t="s">
        <v>11399</v>
      </c>
    </row>
    <row r="1932">
      <c r="A1932" s="39">
        <f>IFERROR(__xludf.DUMMYFUNCTION("""COMPUTED_VALUE"""),45957.538429004635)</f>
        <v>45957.53843</v>
      </c>
      <c r="B1932" s="40" t="str">
        <f>IFERROR(__xludf.DUMMYFUNCTION("""COMPUTED_VALUE"""),"YOVANDA KATRINA NAE")</f>
        <v>YOVANDA KATRINA NAE</v>
      </c>
      <c r="C1932" s="40" t="str">
        <f>IFERROR(__xludf.DUMMYFUNCTION("""COMPUTED_VALUE"""),"ACC")</f>
        <v>ACC</v>
      </c>
      <c r="D1932" s="40" t="str">
        <f>IFERROR(__xludf.DUMMYFUNCTION("""COMPUTED_VALUE"""),"Y400 series")</f>
        <v>Y400 series</v>
      </c>
      <c r="E1932" s="40" t="s">
        <v>11425</v>
      </c>
      <c r="F1932" s="40" t="s">
        <v>205</v>
      </c>
      <c r="G1932" s="40" t="s">
        <v>11426</v>
      </c>
      <c r="H1932" s="40" t="s">
        <v>11419</v>
      </c>
    </row>
    <row r="1933">
      <c r="A1933" s="39">
        <f>IFERROR(__xludf.DUMMYFUNCTION("""COMPUTED_VALUE"""),45957.54271006944)</f>
        <v>45957.54271</v>
      </c>
      <c r="B1933" s="40" t="str">
        <f>IFERROR(__xludf.DUMMYFUNCTION("""COMPUTED_VALUE"""),"ESTER LUDJI")</f>
        <v>ESTER LUDJI</v>
      </c>
      <c r="C1933" s="40" t="str">
        <f>IFERROR(__xludf.DUMMYFUNCTION("""COMPUTED_VALUE"""),"Belum disetujui")</f>
        <v>Belum disetujui</v>
      </c>
      <c r="D1933" s="40"/>
      <c r="E1933" s="40" t="s">
        <v>11441</v>
      </c>
      <c r="F1933" s="40" t="s">
        <v>205</v>
      </c>
      <c r="G1933" s="40" t="s">
        <v>11442</v>
      </c>
      <c r="H1933" s="40" t="s">
        <v>11419</v>
      </c>
    </row>
    <row r="1934">
      <c r="A1934" s="39">
        <f>IFERROR(__xludf.DUMMYFUNCTION("""COMPUTED_VALUE"""),45957.548997060185)</f>
        <v>45957.549</v>
      </c>
      <c r="B1934" s="40" t="str">
        <f>IFERROR(__xludf.DUMMYFUNCTION("""COMPUTED_VALUE"""),"NENY MERLIANTI NA'U")</f>
        <v>NENY MERLIANTI NA'U</v>
      </c>
      <c r="C1934" s="40" t="str">
        <f>IFERROR(__xludf.DUMMYFUNCTION("""COMPUTED_VALUE"""),"Dapat limit tapi belum diproses")</f>
        <v>Dapat limit tapi belum diproses</v>
      </c>
      <c r="D1934" s="40" t="str">
        <f>IFERROR(__xludf.DUMMYFUNCTION("""COMPUTED_VALUE"""),"V60 series")</f>
        <v>V60 series</v>
      </c>
      <c r="E1934" s="40" t="s">
        <v>11476</v>
      </c>
      <c r="F1934" s="40" t="s">
        <v>204</v>
      </c>
      <c r="G1934" s="40" t="s">
        <v>11477</v>
      </c>
      <c r="H1934" s="40" t="s">
        <v>11399</v>
      </c>
    </row>
    <row r="1935">
      <c r="A1935" s="39">
        <f>IFERROR(__xludf.DUMMYFUNCTION("""COMPUTED_VALUE"""),45957.55167537037)</f>
        <v>45957.55168</v>
      </c>
      <c r="B1935" s="40" t="str">
        <f>IFERROR(__xludf.DUMMYFUNCTION("""COMPUTED_VALUE"""),"NENY MERLIANTI NA'U")</f>
        <v>NENY MERLIANTI NA'U</v>
      </c>
      <c r="C1935" s="40" t="str">
        <f>IFERROR(__xludf.DUMMYFUNCTION("""COMPUTED_VALUE"""),"Dapat limit tapi belum diproses")</f>
        <v>Dapat limit tapi belum diproses</v>
      </c>
      <c r="D1935" s="40" t="str">
        <f>IFERROR(__xludf.DUMMYFUNCTION("""COMPUTED_VALUE"""),"Y21d series")</f>
        <v>Y21d series</v>
      </c>
      <c r="E1935" s="40" t="s">
        <v>11476</v>
      </c>
      <c r="F1935" s="40" t="s">
        <v>204</v>
      </c>
      <c r="G1935" s="40" t="s">
        <v>11477</v>
      </c>
      <c r="H1935" s="40" t="s">
        <v>11399</v>
      </c>
    </row>
    <row r="1936">
      <c r="A1936" s="39">
        <f>IFERROR(__xludf.DUMMYFUNCTION("""COMPUTED_VALUE"""),45957.59705523148)</f>
        <v>45957.59706</v>
      </c>
      <c r="B1936" s="40" t="str">
        <f>IFERROR(__xludf.DUMMYFUNCTION("""COMPUTED_VALUE"""),"MERDA PUTRI BUNGSU KENAT")</f>
        <v>MERDA PUTRI BUNGSU KENAT</v>
      </c>
      <c r="C1936" s="40" t="str">
        <f>IFERROR(__xludf.DUMMYFUNCTION("""COMPUTED_VALUE"""),"ACC")</f>
        <v>ACC</v>
      </c>
      <c r="D1936" s="40" t="str">
        <f>IFERROR(__xludf.DUMMYFUNCTION("""COMPUTED_VALUE"""),"Y400 series")</f>
        <v>Y400 series</v>
      </c>
      <c r="E1936" s="40" t="s">
        <v>11422</v>
      </c>
      <c r="F1936" s="40" t="s">
        <v>215</v>
      </c>
      <c r="G1936" s="40" t="s">
        <v>11423</v>
      </c>
      <c r="H1936" s="40" t="s">
        <v>11424</v>
      </c>
    </row>
    <row r="1937">
      <c r="A1937" s="39">
        <f>IFERROR(__xludf.DUMMYFUNCTION("""COMPUTED_VALUE"""),45957.61622733797)</f>
        <v>45957.61623</v>
      </c>
      <c r="B1937" s="40" t="str">
        <f>IFERROR(__xludf.DUMMYFUNCTION("""COMPUTED_VALUE"""),"MARIA MELAN ANANCE BILI")</f>
        <v>MARIA MELAN ANANCE BILI</v>
      </c>
      <c r="C1937" s="40" t="str">
        <f>IFERROR(__xludf.DUMMYFUNCTION("""COMPUTED_VALUE"""),"Belum disetujui")</f>
        <v>Belum disetujui</v>
      </c>
      <c r="D1937" s="40"/>
      <c r="E1937" s="40" t="s">
        <v>11466</v>
      </c>
      <c r="F1937" s="40" t="s">
        <v>257</v>
      </c>
      <c r="G1937" s="40" t="s">
        <v>11467</v>
      </c>
      <c r="H1937" s="40" t="s">
        <v>11419</v>
      </c>
    </row>
    <row r="1938">
      <c r="A1938" s="39">
        <f>IFERROR(__xludf.DUMMYFUNCTION("""COMPUTED_VALUE"""),45957.62556461806)</f>
        <v>45957.62556</v>
      </c>
      <c r="B1938" s="40" t="str">
        <f>IFERROR(__xludf.DUMMYFUNCTION("""COMPUTED_VALUE"""),"BERGITHA NIA OLIN")</f>
        <v>BERGITHA NIA OLIN</v>
      </c>
      <c r="C1938" s="40" t="str">
        <f>IFERROR(__xludf.DUMMYFUNCTION("""COMPUTED_VALUE"""),"Dapat limit tapi belum diproses")</f>
        <v>Dapat limit tapi belum diproses</v>
      </c>
      <c r="D1938" s="40" t="str">
        <f>IFERROR(__xludf.DUMMYFUNCTION("""COMPUTED_VALUE"""),"Y21d series")</f>
        <v>Y21d series</v>
      </c>
      <c r="E1938" s="40" t="s">
        <v>11431</v>
      </c>
      <c r="F1938" s="40" t="s">
        <v>313</v>
      </c>
      <c r="G1938" s="40" t="s">
        <v>11432</v>
      </c>
      <c r="H1938" s="40" t="s">
        <v>11424</v>
      </c>
    </row>
    <row r="1939">
      <c r="A1939" s="39">
        <f>IFERROR(__xludf.DUMMYFUNCTION("""COMPUTED_VALUE"""),45957.639435104174)</f>
        <v>45957.63944</v>
      </c>
      <c r="B1939" s="40" t="str">
        <f>IFERROR(__xludf.DUMMYFUNCTION("""COMPUTED_VALUE"""),"MARNITHA JUWIKE TIMORATI RUNESI")</f>
        <v>MARNITHA JUWIKE TIMORATI RUNESI</v>
      </c>
      <c r="C1939" s="40" t="str">
        <f>IFERROR(__xludf.DUMMYFUNCTION("""COMPUTED_VALUE"""),"ACC")</f>
        <v>ACC</v>
      </c>
      <c r="D1939" s="40" t="str">
        <f>IFERROR(__xludf.DUMMYFUNCTION("""COMPUTED_VALUE"""),"Y400 series")</f>
        <v>Y400 series</v>
      </c>
      <c r="E1939" s="40" t="s">
        <v>11420</v>
      </c>
      <c r="F1939" s="40" t="s">
        <v>204</v>
      </c>
      <c r="G1939" s="40" t="s">
        <v>11421</v>
      </c>
      <c r="H1939" s="40" t="s">
        <v>11399</v>
      </c>
    </row>
    <row r="1940">
      <c r="A1940" s="39">
        <f>IFERROR(__xludf.DUMMYFUNCTION("""COMPUTED_VALUE"""),45957.656846956015)</f>
        <v>45957.65685</v>
      </c>
      <c r="B1940" s="40" t="str">
        <f>IFERROR(__xludf.DUMMYFUNCTION("""COMPUTED_VALUE"""),"PUSPA ANGGREINI")</f>
        <v>PUSPA ANGGREINI</v>
      </c>
      <c r="C1940" s="40" t="str">
        <f>IFERROR(__xludf.DUMMYFUNCTION("""COMPUTED_VALUE"""),"ACC")</f>
        <v>ACC</v>
      </c>
      <c r="D1940" s="40" t="str">
        <f>IFERROR(__xludf.DUMMYFUNCTION("""COMPUTED_VALUE"""),"Y400 series")</f>
        <v>Y400 series</v>
      </c>
      <c r="E1940" s="40" t="s">
        <v>11427</v>
      </c>
      <c r="F1940" s="40" t="s">
        <v>257</v>
      </c>
      <c r="G1940" s="40" t="s">
        <v>11428</v>
      </c>
      <c r="H1940" s="40" t="s">
        <v>11419</v>
      </c>
    </row>
    <row r="1941">
      <c r="A1941" s="39">
        <f>IFERROR(__xludf.DUMMYFUNCTION("""COMPUTED_VALUE"""),45957.68003960648)</f>
        <v>45957.68004</v>
      </c>
      <c r="B1941" s="40" t="str">
        <f>IFERROR(__xludf.DUMMYFUNCTION("""COMPUTED_VALUE"""),"SULIS NURAINI INSYATUN")</f>
        <v>SULIS NURAINI INSYATUN</v>
      </c>
      <c r="C1941" s="40" t="str">
        <f>IFERROR(__xludf.DUMMYFUNCTION("""COMPUTED_VALUE"""),"Belum disetujui")</f>
        <v>Belum disetujui</v>
      </c>
      <c r="D1941" s="40"/>
      <c r="E1941" s="40" t="s">
        <v>11429</v>
      </c>
      <c r="F1941" s="40" t="s">
        <v>257</v>
      </c>
      <c r="G1941" s="40" t="s">
        <v>11430</v>
      </c>
      <c r="H1941" s="40" t="s">
        <v>11419</v>
      </c>
    </row>
    <row r="1942">
      <c r="A1942" s="39">
        <f>IFERROR(__xludf.DUMMYFUNCTION("""COMPUTED_VALUE"""),45957.69235400463)</f>
        <v>45957.69235</v>
      </c>
      <c r="B1942" s="40" t="str">
        <f>IFERROR(__xludf.DUMMYFUNCTION("""COMPUTED_VALUE"""),"EMPI FRANGKI LIEM")</f>
        <v>EMPI FRANGKI LIEM</v>
      </c>
      <c r="C1942" s="40" t="str">
        <f>IFERROR(__xludf.DUMMYFUNCTION("""COMPUTED_VALUE"""),"Belum disetujui")</f>
        <v>Belum disetujui</v>
      </c>
      <c r="D1942" s="40"/>
      <c r="E1942" s="40" t="s">
        <v>11397</v>
      </c>
      <c r="F1942" s="40" t="s">
        <v>220</v>
      </c>
      <c r="G1942" s="40" t="s">
        <v>11398</v>
      </c>
      <c r="H1942" s="40" t="s">
        <v>11399</v>
      </c>
    </row>
    <row r="1943">
      <c r="A1943" s="39">
        <f>IFERROR(__xludf.DUMMYFUNCTION("""COMPUTED_VALUE"""),45957.72981543981)</f>
        <v>45957.72982</v>
      </c>
      <c r="B1943" s="40" t="str">
        <f>IFERROR(__xludf.DUMMYFUNCTION("""COMPUTED_VALUE"""),"MARNITHA JUWIKE TIMORATI RUNESI")</f>
        <v>MARNITHA JUWIKE TIMORATI RUNESI</v>
      </c>
      <c r="C1943" s="40" t="str">
        <f>IFERROR(__xludf.DUMMYFUNCTION("""COMPUTED_VALUE"""),"Belum disetujui")</f>
        <v>Belum disetujui</v>
      </c>
      <c r="D1943" s="40"/>
      <c r="E1943" s="40" t="s">
        <v>11420</v>
      </c>
      <c r="F1943" s="40" t="s">
        <v>204</v>
      </c>
      <c r="G1943" s="40" t="s">
        <v>11421</v>
      </c>
      <c r="H1943" s="40" t="s">
        <v>11399</v>
      </c>
    </row>
    <row r="1944">
      <c r="A1944" s="39">
        <f>IFERROR(__xludf.DUMMYFUNCTION("""COMPUTED_VALUE"""),45957.76937666667)</f>
        <v>45957.76938</v>
      </c>
      <c r="B1944" s="40" t="str">
        <f>IFERROR(__xludf.DUMMYFUNCTION("""COMPUTED_VALUE"""),"KESIA NATALIA I. BENU")</f>
        <v>KESIA NATALIA I. BENU</v>
      </c>
      <c r="C1944" s="40" t="str">
        <f>IFERROR(__xludf.DUMMYFUNCTION("""COMPUTED_VALUE"""),"ACC")</f>
        <v>ACC</v>
      </c>
      <c r="D1944" s="40" t="str">
        <f>IFERROR(__xludf.DUMMYFUNCTION("""COMPUTED_VALUE"""),"Y400 series")</f>
        <v>Y400 series</v>
      </c>
      <c r="E1944" s="40" t="s">
        <v>11417</v>
      </c>
      <c r="F1944" s="40" t="s">
        <v>257</v>
      </c>
      <c r="G1944" s="40" t="s">
        <v>11418</v>
      </c>
      <c r="H1944" s="40" t="s">
        <v>11419</v>
      </c>
    </row>
    <row r="1945">
      <c r="A1945" s="39">
        <f>IFERROR(__xludf.DUMMYFUNCTION("""COMPUTED_VALUE"""),45957.773901898145)</f>
        <v>45957.7739</v>
      </c>
      <c r="B1945" s="40" t="str">
        <f>IFERROR(__xludf.DUMMYFUNCTION("""COMPUTED_VALUE"""),"TERSIANA KADJA PAU")</f>
        <v>TERSIANA KADJA PAU</v>
      </c>
      <c r="C1945" s="40" t="str">
        <f>IFERROR(__xludf.DUMMYFUNCTION("""COMPUTED_VALUE"""),"Belum disetujui")</f>
        <v>Belum disetujui</v>
      </c>
      <c r="D1945" s="40"/>
      <c r="E1945" s="40" t="s">
        <v>11411</v>
      </c>
      <c r="F1945" s="40" t="s">
        <v>220</v>
      </c>
      <c r="G1945" s="40" t="s">
        <v>11412</v>
      </c>
      <c r="H1945" s="40" t="s">
        <v>11399</v>
      </c>
    </row>
    <row r="1946">
      <c r="A1946" s="39">
        <f>IFERROR(__xludf.DUMMYFUNCTION("""COMPUTED_VALUE"""),45957.79636890046)</f>
        <v>45957.79637</v>
      </c>
      <c r="B1946" s="40" t="str">
        <f>IFERROR(__xludf.DUMMYFUNCTION("""COMPUTED_VALUE"""),"MEXY ALEXANDER HETMINA")</f>
        <v>MEXY ALEXANDER HETMINA</v>
      </c>
      <c r="C1946" s="40" t="str">
        <f>IFERROR(__xludf.DUMMYFUNCTION("""COMPUTED_VALUE"""),"Dapat limit tapi belum diproses")</f>
        <v>Dapat limit tapi belum diproses</v>
      </c>
      <c r="D1946" s="40" t="str">
        <f>IFERROR(__xludf.DUMMYFUNCTION("""COMPUTED_VALUE"""),"V60 series")</f>
        <v>V60 series</v>
      </c>
      <c r="E1946" s="40" t="s">
        <v>11413</v>
      </c>
      <c r="F1946" s="40" t="s">
        <v>204</v>
      </c>
      <c r="G1946" s="40" t="s">
        <v>11414</v>
      </c>
      <c r="H1946" s="40" t="s">
        <v>11399</v>
      </c>
    </row>
    <row r="1947">
      <c r="A1947" s="39">
        <f>IFERROR(__xludf.DUMMYFUNCTION("""COMPUTED_VALUE"""),45957.79694561343)</f>
        <v>45957.79695</v>
      </c>
      <c r="B1947" s="40" t="str">
        <f>IFERROR(__xludf.DUMMYFUNCTION("""COMPUTED_VALUE"""),"NOVANTRY RUTHANIA NAFFIE")</f>
        <v>NOVANTRY RUTHANIA NAFFIE</v>
      </c>
      <c r="C1947" s="40" t="str">
        <f>IFERROR(__xludf.DUMMYFUNCTION("""COMPUTED_VALUE"""),"Belum disetujui")</f>
        <v>Belum disetujui</v>
      </c>
      <c r="D1947" s="40"/>
      <c r="E1947" s="40" t="s">
        <v>11397</v>
      </c>
      <c r="F1947" s="40" t="s">
        <v>220</v>
      </c>
      <c r="G1947" s="40" t="s">
        <v>11398</v>
      </c>
      <c r="H1947" s="40" t="s">
        <v>11399</v>
      </c>
    </row>
    <row r="1948">
      <c r="A1948" s="39">
        <f>IFERROR(__xludf.DUMMYFUNCTION("""COMPUTED_VALUE"""),45957.80086988425)</f>
        <v>45957.80087</v>
      </c>
      <c r="B1948" s="40" t="str">
        <f>IFERROR(__xludf.DUMMYFUNCTION("""COMPUTED_VALUE"""),"EMPI FRANGKI LIEM")</f>
        <v>EMPI FRANGKI LIEM</v>
      </c>
      <c r="C1948" s="40" t="str">
        <f>IFERROR(__xludf.DUMMYFUNCTION("""COMPUTED_VALUE"""),"Belum disetujui")</f>
        <v>Belum disetujui</v>
      </c>
      <c r="D1948" s="40"/>
      <c r="E1948" s="40" t="s">
        <v>11397</v>
      </c>
      <c r="F1948" s="40" t="s">
        <v>220</v>
      </c>
      <c r="G1948" s="40" t="s">
        <v>11398</v>
      </c>
      <c r="H1948" s="40" t="s">
        <v>11399</v>
      </c>
    </row>
    <row r="1949">
      <c r="A1949" s="39">
        <f>IFERROR(__xludf.DUMMYFUNCTION("""COMPUTED_VALUE"""),45957.80402034723)</f>
        <v>45957.80402</v>
      </c>
      <c r="B1949" s="40" t="str">
        <f>IFERROR(__xludf.DUMMYFUNCTION("""COMPUTED_VALUE"""),"MARATHA MARLINDA FANGGIDAE")</f>
        <v>MARATHA MARLINDA FANGGIDAE</v>
      </c>
      <c r="C1949" s="40" t="str">
        <f>IFERROR(__xludf.DUMMYFUNCTION("""COMPUTED_VALUE"""),"Belum disetujui")</f>
        <v>Belum disetujui</v>
      </c>
      <c r="D1949" s="40"/>
      <c r="E1949" s="40" t="s">
        <v>11435</v>
      </c>
      <c r="F1949" s="40" t="s">
        <v>215</v>
      </c>
      <c r="G1949" s="40" t="s">
        <v>11436</v>
      </c>
      <c r="H1949" s="40" t="s">
        <v>11424</v>
      </c>
    </row>
    <row r="1950">
      <c r="A1950" s="39">
        <f>IFERROR(__xludf.DUMMYFUNCTION("""COMPUTED_VALUE"""),45957.806113240746)</f>
        <v>45957.80611</v>
      </c>
      <c r="B1950" s="40" t="str">
        <f>IFERROR(__xludf.DUMMYFUNCTION("""COMPUTED_VALUE"""),"MARATHA MARLINDA FANGGIDAE")</f>
        <v>MARATHA MARLINDA FANGGIDAE</v>
      </c>
      <c r="C1950" s="40" t="str">
        <f>IFERROR(__xludf.DUMMYFUNCTION("""COMPUTED_VALUE"""),"Belum disetujui")</f>
        <v>Belum disetujui</v>
      </c>
      <c r="D1950" s="40"/>
      <c r="E1950" s="40" t="s">
        <v>11435</v>
      </c>
      <c r="F1950" s="40" t="s">
        <v>215</v>
      </c>
      <c r="G1950" s="40" t="s">
        <v>11436</v>
      </c>
      <c r="H1950" s="40" t="s">
        <v>11424</v>
      </c>
    </row>
    <row r="1951">
      <c r="A1951" s="39">
        <f>IFERROR(__xludf.DUMMYFUNCTION("""COMPUTED_VALUE"""),45957.807000636574)</f>
        <v>45957.807</v>
      </c>
      <c r="B1951" s="40" t="str">
        <f>IFERROR(__xludf.DUMMYFUNCTION("""COMPUTED_VALUE"""),"ANYARMITHA SOPHIA SUEK")</f>
        <v>ANYARMITHA SOPHIA SUEK</v>
      </c>
      <c r="C1951" s="40" t="str">
        <f>IFERROR(__xludf.DUMMYFUNCTION("""COMPUTED_VALUE"""),"Belum disetujui")</f>
        <v>Belum disetujui</v>
      </c>
      <c r="D1951" s="40"/>
      <c r="E1951" s="40" t="s">
        <v>11443</v>
      </c>
      <c r="F1951" s="40" t="s">
        <v>220</v>
      </c>
      <c r="G1951" s="40" t="s">
        <v>11444</v>
      </c>
      <c r="H1951" s="40" t="s">
        <v>11399</v>
      </c>
    </row>
    <row r="1952">
      <c r="A1952" s="39">
        <f>IFERROR(__xludf.DUMMYFUNCTION("""COMPUTED_VALUE"""),45957.81378304398)</f>
        <v>45957.81378</v>
      </c>
      <c r="B1952" s="40" t="str">
        <f>IFERROR(__xludf.DUMMYFUNCTION("""COMPUTED_VALUE"""),"IRENE NOVALIA KADJU")</f>
        <v>IRENE NOVALIA KADJU</v>
      </c>
      <c r="C1952" s="40" t="str">
        <f>IFERROR(__xludf.DUMMYFUNCTION("""COMPUTED_VALUE"""),"Belum disetujui")</f>
        <v>Belum disetujui</v>
      </c>
      <c r="D1952" s="40"/>
      <c r="E1952" s="40" t="s">
        <v>11445</v>
      </c>
      <c r="F1952" s="40" t="s">
        <v>204</v>
      </c>
      <c r="G1952" s="40" t="s">
        <v>11446</v>
      </c>
      <c r="H1952" s="40" t="s">
        <v>11399</v>
      </c>
    </row>
    <row r="1953">
      <c r="A1953" s="39">
        <f>IFERROR(__xludf.DUMMYFUNCTION("""COMPUTED_VALUE"""),45957.81890835649)</f>
        <v>45957.81891</v>
      </c>
      <c r="B1953" s="40" t="str">
        <f>IFERROR(__xludf.DUMMYFUNCTION("""COMPUTED_VALUE"""),"ROS YANE KANA LUDJI")</f>
        <v>ROS YANE KANA LUDJI</v>
      </c>
      <c r="C1953" s="40" t="str">
        <f>IFERROR(__xludf.DUMMYFUNCTION("""COMPUTED_VALUE"""),"Belum disetujui")</f>
        <v>Belum disetujui</v>
      </c>
      <c r="D1953" s="40"/>
      <c r="E1953" s="40" t="s">
        <v>11437</v>
      </c>
      <c r="F1953" s="40" t="s">
        <v>204</v>
      </c>
      <c r="G1953" s="40" t="s">
        <v>11438</v>
      </c>
      <c r="H1953" s="40" t="s">
        <v>11399</v>
      </c>
    </row>
    <row r="1954">
      <c r="A1954" s="39">
        <f>IFERROR(__xludf.DUMMYFUNCTION("""COMPUTED_VALUE"""),45957.8282764699)</f>
        <v>45957.82828</v>
      </c>
      <c r="B1954" s="40" t="str">
        <f>IFERROR(__xludf.DUMMYFUNCTION("""COMPUTED_VALUE"""),"JULIA DESY CASANDRA DA SILVA FREITAS")</f>
        <v>JULIA DESY CASANDRA DA SILVA FREITAS</v>
      </c>
      <c r="C1954" s="40" t="str">
        <f>IFERROR(__xludf.DUMMYFUNCTION("""COMPUTED_VALUE"""),"Belum disetujui")</f>
        <v>Belum disetujui</v>
      </c>
      <c r="D1954" s="40"/>
      <c r="E1954" s="40" t="s">
        <v>11480</v>
      </c>
      <c r="F1954" s="40" t="s">
        <v>220</v>
      </c>
      <c r="G1954" s="40" t="s">
        <v>11481</v>
      </c>
      <c r="H1954" s="40" t="s">
        <v>11399</v>
      </c>
    </row>
    <row r="1955">
      <c r="A1955" s="39">
        <f>IFERROR(__xludf.DUMMYFUNCTION("""COMPUTED_VALUE"""),45957.83043390046)</f>
        <v>45957.83043</v>
      </c>
      <c r="B1955" s="40" t="str">
        <f>IFERROR(__xludf.DUMMYFUNCTION("""COMPUTED_VALUE"""),"SKOLASTIKA B TAUNAES")</f>
        <v>SKOLASTIKA B TAUNAES</v>
      </c>
      <c r="C1955" s="40" t="str">
        <f>IFERROR(__xludf.DUMMYFUNCTION("""COMPUTED_VALUE"""),"Belum disetujui")</f>
        <v>Belum disetujui</v>
      </c>
      <c r="D1955" s="40"/>
      <c r="E1955" s="40" t="s">
        <v>11413</v>
      </c>
      <c r="F1955" s="40" t="s">
        <v>204</v>
      </c>
      <c r="G1955" s="40" t="s">
        <v>11414</v>
      </c>
      <c r="H1955" s="40" t="s">
        <v>11399</v>
      </c>
    </row>
    <row r="1956">
      <c r="A1956" s="39">
        <f>IFERROR(__xludf.DUMMYFUNCTION("""COMPUTED_VALUE"""),45957.84476841435)</f>
        <v>45957.84477</v>
      </c>
      <c r="B1956" s="40" t="str">
        <f>IFERROR(__xludf.DUMMYFUNCTION("""COMPUTED_VALUE"""),"ROS YANE KANA LUDJI")</f>
        <v>ROS YANE KANA LUDJI</v>
      </c>
      <c r="C1956" s="40" t="str">
        <f>IFERROR(__xludf.DUMMYFUNCTION("""COMPUTED_VALUE"""),"Belum disetujui")</f>
        <v>Belum disetujui</v>
      </c>
      <c r="D1956" s="40"/>
      <c r="E1956" s="40" t="s">
        <v>11437</v>
      </c>
      <c r="F1956" s="40" t="s">
        <v>204</v>
      </c>
      <c r="G1956" s="40" t="s">
        <v>11438</v>
      </c>
      <c r="H1956" s="40" t="s">
        <v>11399</v>
      </c>
    </row>
    <row r="1957">
      <c r="A1957" s="39">
        <f>IFERROR(__xludf.DUMMYFUNCTION("""COMPUTED_VALUE"""),45957.84659252315)</f>
        <v>45957.84659</v>
      </c>
      <c r="B1957" s="40" t="str">
        <f>IFERROR(__xludf.DUMMYFUNCTION("""COMPUTED_VALUE"""),"ROS YANE KANA LUDJI")</f>
        <v>ROS YANE KANA LUDJI</v>
      </c>
      <c r="C1957" s="40" t="str">
        <f>IFERROR(__xludf.DUMMYFUNCTION("""COMPUTED_VALUE"""),"Belum disetujui")</f>
        <v>Belum disetujui</v>
      </c>
      <c r="D1957" s="40"/>
      <c r="E1957" s="40" t="s">
        <v>11437</v>
      </c>
      <c r="F1957" s="40" t="s">
        <v>204</v>
      </c>
      <c r="G1957" s="40" t="s">
        <v>11438</v>
      </c>
      <c r="H1957" s="40" t="s">
        <v>11399</v>
      </c>
    </row>
    <row r="1958">
      <c r="A1958" s="39">
        <f>IFERROR(__xludf.DUMMYFUNCTION("""COMPUTED_VALUE"""),45957.84793865741)</f>
        <v>45957.84794</v>
      </c>
      <c r="B1958" s="40" t="str">
        <f>IFERROR(__xludf.DUMMYFUNCTION("""COMPUTED_VALUE"""),"ROS YANE KANA LUDJI")</f>
        <v>ROS YANE KANA LUDJI</v>
      </c>
      <c r="C1958" s="40" t="str">
        <f>IFERROR(__xludf.DUMMYFUNCTION("""COMPUTED_VALUE"""),"Belum disetujui")</f>
        <v>Belum disetujui</v>
      </c>
      <c r="D1958" s="40"/>
      <c r="E1958" s="40" t="s">
        <v>11437</v>
      </c>
      <c r="F1958" s="40" t="s">
        <v>204</v>
      </c>
      <c r="G1958" s="40" t="s">
        <v>11438</v>
      </c>
      <c r="H1958" s="40" t="s">
        <v>11399</v>
      </c>
    </row>
    <row r="1959">
      <c r="A1959" s="39">
        <f>IFERROR(__xludf.DUMMYFUNCTION("""COMPUTED_VALUE"""),45957.85140741898)</f>
        <v>45957.85141</v>
      </c>
      <c r="B1959" s="40" t="str">
        <f>IFERROR(__xludf.DUMMYFUNCTION("""COMPUTED_VALUE"""),"ROS YANE KANA LUDJI")</f>
        <v>ROS YANE KANA LUDJI</v>
      </c>
      <c r="C1959" s="40" t="str">
        <f>IFERROR(__xludf.DUMMYFUNCTION("""COMPUTED_VALUE"""),"Belum disetujui")</f>
        <v>Belum disetujui</v>
      </c>
      <c r="D1959" s="40"/>
      <c r="E1959" s="40" t="s">
        <v>11437</v>
      </c>
      <c r="F1959" s="40" t="s">
        <v>204</v>
      </c>
      <c r="G1959" s="40" t="s">
        <v>11438</v>
      </c>
      <c r="H1959" s="40" t="s">
        <v>11399</v>
      </c>
    </row>
    <row r="1960">
      <c r="A1960" s="39">
        <f>IFERROR(__xludf.DUMMYFUNCTION("""COMPUTED_VALUE"""),45957.86524487268)</f>
        <v>45957.86524</v>
      </c>
      <c r="B1960" s="40" t="str">
        <f>IFERROR(__xludf.DUMMYFUNCTION("""COMPUTED_VALUE"""),"ADRIANA")</f>
        <v>ADRIANA</v>
      </c>
      <c r="C1960" s="40" t="str">
        <f>IFERROR(__xludf.DUMMYFUNCTION("""COMPUTED_VALUE"""),"ACC")</f>
        <v>ACC</v>
      </c>
      <c r="D1960" s="40" t="str">
        <f>IFERROR(__xludf.DUMMYFUNCTION("""COMPUTED_VALUE"""),"Y21d series")</f>
        <v>Y21d series</v>
      </c>
      <c r="E1960" s="40" t="s">
        <v>11433</v>
      </c>
      <c r="F1960" s="40" t="s">
        <v>313</v>
      </c>
      <c r="G1960" s="40" t="s">
        <v>11434</v>
      </c>
      <c r="H1960" s="40" t="s">
        <v>11424</v>
      </c>
    </row>
    <row r="1961">
      <c r="A1961" s="39">
        <f>IFERROR(__xludf.DUMMYFUNCTION("""COMPUTED_VALUE"""),45958.38579506945)</f>
        <v>45958.3858</v>
      </c>
      <c r="B1961" s="40" t="str">
        <f>IFERROR(__xludf.DUMMYFUNCTION("""COMPUTED_VALUE"""),"ARMINDA TEKU MANEK")</f>
        <v>ARMINDA TEKU MANEK</v>
      </c>
      <c r="C1961" s="40" t="str">
        <f>IFERROR(__xludf.DUMMYFUNCTION("""COMPUTED_VALUE"""),"Belum disetujui")</f>
        <v>Belum disetujui</v>
      </c>
      <c r="D1961" s="40"/>
      <c r="E1961" s="40" t="s">
        <v>11474</v>
      </c>
      <c r="F1961" s="40" t="s">
        <v>313</v>
      </c>
      <c r="G1961" s="40" t="s">
        <v>11475</v>
      </c>
      <c r="H1961" s="40" t="s">
        <v>11424</v>
      </c>
    </row>
    <row r="1962">
      <c r="A1962" s="39">
        <f>IFERROR(__xludf.DUMMYFUNCTION("""COMPUTED_VALUE"""),45958.392263229165)</f>
        <v>45958.39226</v>
      </c>
      <c r="B1962" s="40" t="str">
        <f>IFERROR(__xludf.DUMMYFUNCTION("""COMPUTED_VALUE"""),"WARDIA")</f>
        <v>WARDIA</v>
      </c>
      <c r="C1962" s="40" t="str">
        <f>IFERROR(__xludf.DUMMYFUNCTION("""COMPUTED_VALUE"""),"Belum disetujui")</f>
        <v>Belum disetujui</v>
      </c>
      <c r="D1962" s="40"/>
      <c r="E1962" s="40" t="s">
        <v>11409</v>
      </c>
      <c r="F1962" s="40" t="s">
        <v>204</v>
      </c>
      <c r="G1962" s="40" t="s">
        <v>11410</v>
      </c>
      <c r="H1962" s="40" t="s">
        <v>11399</v>
      </c>
    </row>
    <row r="1963">
      <c r="A1963" s="39">
        <f>IFERROR(__xludf.DUMMYFUNCTION("""COMPUTED_VALUE"""),45958.40630393518)</f>
        <v>45958.4063</v>
      </c>
      <c r="B1963" s="40" t="str">
        <f>IFERROR(__xludf.DUMMYFUNCTION("""COMPUTED_VALUE"""),"KESIA NATALIA I. BENU")</f>
        <v>KESIA NATALIA I. BENU</v>
      </c>
      <c r="C1963" s="40" t="str">
        <f>IFERROR(__xludf.DUMMYFUNCTION("""COMPUTED_VALUE"""),"ACC")</f>
        <v>ACC</v>
      </c>
      <c r="D1963" s="40" t="str">
        <f>IFERROR(__xludf.DUMMYFUNCTION("""COMPUTED_VALUE"""),"Y21d series")</f>
        <v>Y21d series</v>
      </c>
      <c r="E1963" s="40" t="s">
        <v>11417</v>
      </c>
      <c r="F1963" s="40" t="s">
        <v>257</v>
      </c>
      <c r="G1963" s="40" t="s">
        <v>11418</v>
      </c>
      <c r="H1963" s="40" t="s">
        <v>11419</v>
      </c>
    </row>
    <row r="1964">
      <c r="A1964" s="39">
        <f>IFERROR(__xludf.DUMMYFUNCTION("""COMPUTED_VALUE"""),45958.42541592593)</f>
        <v>45958.42542</v>
      </c>
      <c r="B1964" s="40" t="str">
        <f>IFERROR(__xludf.DUMMYFUNCTION("""COMPUTED_VALUE"""),"ROS YANE KANA LUDJI")</f>
        <v>ROS YANE KANA LUDJI</v>
      </c>
      <c r="C1964" s="40" t="str">
        <f>IFERROR(__xludf.DUMMYFUNCTION("""COMPUTED_VALUE"""),"Dapat limit tapi belum diproses")</f>
        <v>Dapat limit tapi belum diproses</v>
      </c>
      <c r="D1964" s="40" t="str">
        <f>IFERROR(__xludf.DUMMYFUNCTION("""COMPUTED_VALUE"""),"V60 series")</f>
        <v>V60 series</v>
      </c>
      <c r="E1964" s="40" t="s">
        <v>11437</v>
      </c>
      <c r="F1964" s="40" t="s">
        <v>204</v>
      </c>
      <c r="G1964" s="40" t="s">
        <v>11438</v>
      </c>
      <c r="H1964" s="40" t="s">
        <v>11399</v>
      </c>
    </row>
    <row r="1965">
      <c r="A1965" s="39">
        <f>IFERROR(__xludf.DUMMYFUNCTION("""COMPUTED_VALUE"""),45958.43588149305)</f>
        <v>45958.43588</v>
      </c>
      <c r="B1965" s="40" t="str">
        <f>IFERROR(__xludf.DUMMYFUNCTION("""COMPUTED_VALUE"""),"WARDIA")</f>
        <v>WARDIA</v>
      </c>
      <c r="C1965" s="40" t="str">
        <f>IFERROR(__xludf.DUMMYFUNCTION("""COMPUTED_VALUE"""),"Dapat limit tapi belum diproses")</f>
        <v>Dapat limit tapi belum diproses</v>
      </c>
      <c r="D1965" s="40" t="str">
        <f>IFERROR(__xludf.DUMMYFUNCTION("""COMPUTED_VALUE"""),"Y400 series")</f>
        <v>Y400 series</v>
      </c>
      <c r="E1965" s="40" t="s">
        <v>11409</v>
      </c>
      <c r="F1965" s="40" t="s">
        <v>204</v>
      </c>
      <c r="G1965" s="40" t="s">
        <v>11410</v>
      </c>
      <c r="H1965" s="40" t="s">
        <v>11399</v>
      </c>
    </row>
    <row r="1966">
      <c r="A1966" s="39">
        <f>IFERROR(__xludf.DUMMYFUNCTION("""COMPUTED_VALUE"""),45958.4404797338)</f>
        <v>45958.44048</v>
      </c>
      <c r="B1966" s="40" t="str">
        <f>IFERROR(__xludf.DUMMYFUNCTION("""COMPUTED_VALUE"""),"YANA DANGU")</f>
        <v>YANA DANGU</v>
      </c>
      <c r="C1966" s="40" t="str">
        <f>IFERROR(__xludf.DUMMYFUNCTION("""COMPUTED_VALUE"""),"Dapat limit tapi belum diproses")</f>
        <v>Dapat limit tapi belum diproses</v>
      </c>
      <c r="D1966" s="40" t="str">
        <f>IFERROR(__xludf.DUMMYFUNCTION("""COMPUTED_VALUE"""),"Y21d series")</f>
        <v>Y21d series</v>
      </c>
      <c r="E1966" s="40" t="s">
        <v>11397</v>
      </c>
      <c r="F1966" s="40" t="s">
        <v>220</v>
      </c>
      <c r="G1966" s="40" t="s">
        <v>11398</v>
      </c>
      <c r="H1966" s="40" t="s">
        <v>11399</v>
      </c>
    </row>
    <row r="1967">
      <c r="A1967" s="39">
        <f>IFERROR(__xludf.DUMMYFUNCTION("""COMPUTED_VALUE"""),45958.45032672454)</f>
        <v>45958.45033</v>
      </c>
      <c r="B1967" s="40" t="str">
        <f>IFERROR(__xludf.DUMMYFUNCTION("""COMPUTED_VALUE"""),"NOVLIANA BARBALINA MISA")</f>
        <v>NOVLIANA BARBALINA MISA</v>
      </c>
      <c r="C1967" s="40" t="str">
        <f>IFERROR(__xludf.DUMMYFUNCTION("""COMPUTED_VALUE"""),"ACC")</f>
        <v>ACC</v>
      </c>
      <c r="D1967" s="40" t="str">
        <f>IFERROR(__xludf.DUMMYFUNCTION("""COMPUTED_VALUE"""),"Y400 series")</f>
        <v>Y400 series</v>
      </c>
      <c r="E1967" s="40" t="s">
        <v>11454</v>
      </c>
      <c r="F1967" s="40" t="s">
        <v>205</v>
      </c>
      <c r="G1967" s="40" t="s">
        <v>11455</v>
      </c>
      <c r="H1967" s="40" t="s">
        <v>11419</v>
      </c>
    </row>
    <row r="1968">
      <c r="A1968" s="39">
        <f>IFERROR(__xludf.DUMMYFUNCTION("""COMPUTED_VALUE"""),45958.461658506945)</f>
        <v>45958.46166</v>
      </c>
      <c r="B1968" s="40" t="str">
        <f>IFERROR(__xludf.DUMMYFUNCTION("""COMPUTED_VALUE"""),"MARIA MELAN ANANCE BILI")</f>
        <v>MARIA MELAN ANANCE BILI</v>
      </c>
      <c r="C1968" s="40" t="str">
        <f>IFERROR(__xludf.DUMMYFUNCTION("""COMPUTED_VALUE"""),"Belum disetujui")</f>
        <v>Belum disetujui</v>
      </c>
      <c r="D1968" s="40"/>
      <c r="E1968" s="40" t="s">
        <v>11466</v>
      </c>
      <c r="F1968" s="40" t="s">
        <v>257</v>
      </c>
      <c r="G1968" s="40" t="s">
        <v>11467</v>
      </c>
      <c r="H1968" s="40" t="s">
        <v>11419</v>
      </c>
    </row>
    <row r="1969">
      <c r="A1969" s="39">
        <f>IFERROR(__xludf.DUMMYFUNCTION("""COMPUTED_VALUE"""),45958.49077190972)</f>
        <v>45958.49077</v>
      </c>
      <c r="B1969" s="40" t="str">
        <f>IFERROR(__xludf.DUMMYFUNCTION("""COMPUTED_VALUE"""),"YUNITA TAMELAB")</f>
        <v>YUNITA TAMELAB</v>
      </c>
      <c r="C1969" s="40" t="str">
        <f>IFERROR(__xludf.DUMMYFUNCTION("""COMPUTED_VALUE"""),"Belum disetujui")</f>
        <v>Belum disetujui</v>
      </c>
      <c r="D1969" s="40"/>
      <c r="E1969" s="40" t="s">
        <v>11472</v>
      </c>
      <c r="F1969" s="40" t="s">
        <v>667</v>
      </c>
      <c r="G1969" s="40" t="s">
        <v>11473</v>
      </c>
      <c r="H1969" s="40" t="s">
        <v>11424</v>
      </c>
    </row>
    <row r="1970">
      <c r="A1970" s="39">
        <f>IFERROR(__xludf.DUMMYFUNCTION("""COMPUTED_VALUE"""),45958.49315833333)</f>
        <v>45958.49316</v>
      </c>
      <c r="B1970" s="40" t="str">
        <f>IFERROR(__xludf.DUMMYFUNCTION("""COMPUTED_VALUE"""),"AMBU BAIQ JUMENAH")</f>
        <v>AMBU BAIQ JUMENAH</v>
      </c>
      <c r="C1970" s="40" t="str">
        <f>IFERROR(__xludf.DUMMYFUNCTION("""COMPUTED_VALUE"""),"Belum disetujui")</f>
        <v>Belum disetujui</v>
      </c>
      <c r="D1970" s="40"/>
      <c r="E1970" s="40" t="s">
        <v>11458</v>
      </c>
      <c r="F1970" s="40" t="s">
        <v>205</v>
      </c>
      <c r="G1970" s="40" t="s">
        <v>11459</v>
      </c>
      <c r="H1970" s="40" t="s">
        <v>11419</v>
      </c>
    </row>
    <row r="1971">
      <c r="A1971" s="39">
        <f>IFERROR(__xludf.DUMMYFUNCTION("""COMPUTED_VALUE"""),45958.49346625)</f>
        <v>45958.49347</v>
      </c>
      <c r="B1971" s="40" t="str">
        <f>IFERROR(__xludf.DUMMYFUNCTION("""COMPUTED_VALUE"""),"ANITA ANA AMAH")</f>
        <v>ANITA ANA AMAH</v>
      </c>
      <c r="C1971" s="40" t="str">
        <f>IFERROR(__xludf.DUMMYFUNCTION("""COMPUTED_VALUE"""),"Belum disetujui")</f>
        <v>Belum disetujui</v>
      </c>
      <c r="D1971" s="40"/>
      <c r="E1971" s="40" t="s">
        <v>11425</v>
      </c>
      <c r="F1971" s="40" t="s">
        <v>205</v>
      </c>
      <c r="G1971" s="40" t="s">
        <v>11426</v>
      </c>
      <c r="H1971" s="40" t="s">
        <v>11419</v>
      </c>
    </row>
    <row r="1972">
      <c r="A1972" s="39">
        <f>IFERROR(__xludf.DUMMYFUNCTION("""COMPUTED_VALUE"""),45958.50294890047)</f>
        <v>45958.50295</v>
      </c>
      <c r="B1972" s="40" t="str">
        <f>IFERROR(__xludf.DUMMYFUNCTION("""COMPUTED_VALUE"""),"AZ ZAHRA SITI ZAINAB")</f>
        <v>AZ ZAHRA SITI ZAINAB</v>
      </c>
      <c r="C1972" s="40" t="str">
        <f>IFERROR(__xludf.DUMMYFUNCTION("""COMPUTED_VALUE"""),"Belum disetujui")</f>
        <v>Belum disetujui</v>
      </c>
      <c r="D1972" s="40"/>
      <c r="E1972" s="40" t="s">
        <v>11462</v>
      </c>
      <c r="F1972" s="40" t="s">
        <v>257</v>
      </c>
      <c r="G1972" s="40" t="s">
        <v>11463</v>
      </c>
      <c r="H1972" s="40" t="s">
        <v>11419</v>
      </c>
    </row>
    <row r="1973">
      <c r="A1973" s="39">
        <f>IFERROR(__xludf.DUMMYFUNCTION("""COMPUTED_VALUE"""),45958.511447893514)</f>
        <v>45958.51145</v>
      </c>
      <c r="B1973" s="40" t="str">
        <f>IFERROR(__xludf.DUMMYFUNCTION("""COMPUTED_VALUE"""),"MEXY ALEXANDER HETMINA")</f>
        <v>MEXY ALEXANDER HETMINA</v>
      </c>
      <c r="C1973" s="40" t="str">
        <f>IFERROR(__xludf.DUMMYFUNCTION("""COMPUTED_VALUE"""),"Belum disetujui")</f>
        <v>Belum disetujui</v>
      </c>
      <c r="D1973" s="40"/>
      <c r="E1973" s="40" t="s">
        <v>11413</v>
      </c>
      <c r="F1973" s="40" t="s">
        <v>204</v>
      </c>
      <c r="G1973" s="40" t="s">
        <v>11414</v>
      </c>
      <c r="H1973" s="40" t="s">
        <v>11399</v>
      </c>
    </row>
    <row r="1974">
      <c r="A1974" s="39">
        <f>IFERROR(__xludf.DUMMYFUNCTION("""COMPUTED_VALUE"""),45958.5221788426)</f>
        <v>45958.52218</v>
      </c>
      <c r="B1974" s="40" t="str">
        <f>IFERROR(__xludf.DUMMYFUNCTION("""COMPUTED_VALUE"""),"EMPI FRANGKI LIEM")</f>
        <v>EMPI FRANGKI LIEM</v>
      </c>
      <c r="C1974" s="40" t="str">
        <f>IFERROR(__xludf.DUMMYFUNCTION("""COMPUTED_VALUE"""),"Belum disetujui")</f>
        <v>Belum disetujui</v>
      </c>
      <c r="D1974" s="40"/>
      <c r="E1974" s="40" t="s">
        <v>11397</v>
      </c>
      <c r="F1974" s="40" t="s">
        <v>220</v>
      </c>
      <c r="G1974" s="40" t="s">
        <v>11398</v>
      </c>
      <c r="H1974" s="40" t="s">
        <v>11399</v>
      </c>
    </row>
    <row r="1975">
      <c r="A1975" s="39">
        <f>IFERROR(__xludf.DUMMYFUNCTION("""COMPUTED_VALUE"""),45958.52681674769)</f>
        <v>45958.52682</v>
      </c>
      <c r="B1975" s="40" t="str">
        <f>IFERROR(__xludf.DUMMYFUNCTION("""COMPUTED_VALUE"""),"GRACELLA SARI HIVANA MANAFE")</f>
        <v>GRACELLA SARI HIVANA MANAFE</v>
      </c>
      <c r="C1975" s="40" t="str">
        <f>IFERROR(__xludf.DUMMYFUNCTION("""COMPUTED_VALUE"""),"Dapat limit tapi belum diproses")</f>
        <v>Dapat limit tapi belum diproses</v>
      </c>
      <c r="D1975" s="40" t="str">
        <f>IFERROR(__xludf.DUMMYFUNCTION("""COMPUTED_VALUE"""),"Y21d series")</f>
        <v>Y21d series</v>
      </c>
      <c r="E1975" s="40" t="s">
        <v>11478</v>
      </c>
      <c r="F1975" s="40" t="s">
        <v>220</v>
      </c>
      <c r="G1975" s="40" t="s">
        <v>11479</v>
      </c>
      <c r="H1975" s="40" t="s">
        <v>11399</v>
      </c>
    </row>
    <row r="1976">
      <c r="A1976" s="39">
        <f>IFERROR(__xludf.DUMMYFUNCTION("""COMPUTED_VALUE"""),45958.53404240741)</f>
        <v>45958.53404</v>
      </c>
      <c r="B1976" s="40" t="str">
        <f>IFERROR(__xludf.DUMMYFUNCTION("""COMPUTED_VALUE"""),"ASRI NINGSI RAMBU ATA ENDI")</f>
        <v>ASRI NINGSI RAMBU ATA ENDI</v>
      </c>
      <c r="C1976" s="40" t="str">
        <f>IFERROR(__xludf.DUMMYFUNCTION("""COMPUTED_VALUE"""),"Belum disetujui")</f>
        <v>Belum disetujui</v>
      </c>
      <c r="D1976" s="40"/>
      <c r="E1976" s="40" t="s">
        <v>11441</v>
      </c>
      <c r="F1976" s="40" t="s">
        <v>205</v>
      </c>
      <c r="G1976" s="40" t="s">
        <v>11442</v>
      </c>
      <c r="H1976" s="40" t="s">
        <v>11419</v>
      </c>
    </row>
    <row r="1977">
      <c r="A1977" s="39">
        <f>IFERROR(__xludf.DUMMYFUNCTION("""COMPUTED_VALUE"""),45958.543657164344)</f>
        <v>45958.54366</v>
      </c>
      <c r="B1977" s="40" t="str">
        <f>IFERROR(__xludf.DUMMYFUNCTION("""COMPUTED_VALUE"""),"MARNITHA JUWIKE TIMORATI RUNESI")</f>
        <v>MARNITHA JUWIKE TIMORATI RUNESI</v>
      </c>
      <c r="C1977" s="40" t="str">
        <f>IFERROR(__xludf.DUMMYFUNCTION("""COMPUTED_VALUE"""),"ACC")</f>
        <v>ACC</v>
      </c>
      <c r="D1977" s="40" t="str">
        <f>IFERROR(__xludf.DUMMYFUNCTION("""COMPUTED_VALUE"""),"V60 Lite series")</f>
        <v>V60 Lite series</v>
      </c>
      <c r="E1977" s="40" t="s">
        <v>11420</v>
      </c>
      <c r="F1977" s="40" t="s">
        <v>204</v>
      </c>
      <c r="G1977" s="40" t="s">
        <v>11421</v>
      </c>
      <c r="H1977" s="40" t="s">
        <v>11399</v>
      </c>
    </row>
    <row r="1978">
      <c r="A1978" s="39">
        <f>IFERROR(__xludf.DUMMYFUNCTION("""COMPUTED_VALUE"""),45958.55217991898)</f>
        <v>45958.55218</v>
      </c>
      <c r="B1978" s="40" t="str">
        <f>IFERROR(__xludf.DUMMYFUNCTION("""COMPUTED_VALUE"""),"ARMINDA TEKU MANEK")</f>
        <v>ARMINDA TEKU MANEK</v>
      </c>
      <c r="C1978" s="40" t="str">
        <f>IFERROR(__xludf.DUMMYFUNCTION("""COMPUTED_VALUE"""),"Belum disetujui")</f>
        <v>Belum disetujui</v>
      </c>
      <c r="D1978" s="40"/>
      <c r="E1978" s="40" t="s">
        <v>11474</v>
      </c>
      <c r="F1978" s="40" t="s">
        <v>313</v>
      </c>
      <c r="G1978" s="40" t="s">
        <v>11475</v>
      </c>
      <c r="H1978" s="40" t="s">
        <v>11424</v>
      </c>
    </row>
    <row r="1979">
      <c r="A1979" s="39">
        <f>IFERROR(__xludf.DUMMYFUNCTION("""COMPUTED_VALUE"""),45958.554758495375)</f>
        <v>45958.55476</v>
      </c>
      <c r="B1979" s="40" t="str">
        <f>IFERROR(__xludf.DUMMYFUNCTION("""COMPUTED_VALUE"""),"ARMINDA TEKU MANEK")</f>
        <v>ARMINDA TEKU MANEK</v>
      </c>
      <c r="C1979" s="40" t="str">
        <f>IFERROR(__xludf.DUMMYFUNCTION("""COMPUTED_VALUE"""),"Belum disetujui")</f>
        <v>Belum disetujui</v>
      </c>
      <c r="D1979" s="40"/>
      <c r="E1979" s="40" t="s">
        <v>11474</v>
      </c>
      <c r="F1979" s="40" t="s">
        <v>313</v>
      </c>
      <c r="G1979" s="40" t="s">
        <v>11475</v>
      </c>
      <c r="H1979" s="40" t="s">
        <v>11424</v>
      </c>
    </row>
    <row r="1980">
      <c r="A1980" s="39">
        <f>IFERROR(__xludf.DUMMYFUNCTION("""COMPUTED_VALUE"""),45958.57595452546)</f>
        <v>45958.57595</v>
      </c>
      <c r="B1980" s="40" t="str">
        <f>IFERROR(__xludf.DUMMYFUNCTION("""COMPUTED_VALUE"""),"MERDA PUTRI BUNGSU KENAT")</f>
        <v>MERDA PUTRI BUNGSU KENAT</v>
      </c>
      <c r="C1980" s="40" t="str">
        <f>IFERROR(__xludf.DUMMYFUNCTION("""COMPUTED_VALUE"""),"Belum disetujui")</f>
        <v>Belum disetujui</v>
      </c>
      <c r="D1980" s="40"/>
      <c r="E1980" s="40" t="s">
        <v>11422</v>
      </c>
      <c r="F1980" s="40" t="s">
        <v>215</v>
      </c>
      <c r="G1980" s="40" t="s">
        <v>11423</v>
      </c>
      <c r="H1980" s="40" t="s">
        <v>11424</v>
      </c>
    </row>
    <row r="1981">
      <c r="A1981" s="39">
        <f>IFERROR(__xludf.DUMMYFUNCTION("""COMPUTED_VALUE"""),45958.58158475695)</f>
        <v>45958.58158</v>
      </c>
      <c r="B1981" s="40" t="str">
        <f>IFERROR(__xludf.DUMMYFUNCTION("""COMPUTED_VALUE"""),"IDMAL YUSDIRAN YUSUF")</f>
        <v>IDMAL YUSDIRAN YUSUF</v>
      </c>
      <c r="C1981" s="40" t="str">
        <f>IFERROR(__xludf.DUMMYFUNCTION("""COMPUTED_VALUE"""),"Dapat limit tapi belum diproses")</f>
        <v>Dapat limit tapi belum diproses</v>
      </c>
      <c r="D1981" s="40" t="str">
        <f>IFERROR(__xludf.DUMMYFUNCTION("""COMPUTED_VALUE"""),"Y400 series")</f>
        <v>Y400 series</v>
      </c>
      <c r="E1981" s="40" t="s">
        <v>11417</v>
      </c>
      <c r="F1981" s="40" t="s">
        <v>257</v>
      </c>
      <c r="G1981" s="40" t="s">
        <v>11418</v>
      </c>
      <c r="H1981" s="40" t="s">
        <v>11419</v>
      </c>
    </row>
    <row r="1982">
      <c r="A1982" s="39">
        <f>IFERROR(__xludf.DUMMYFUNCTION("""COMPUTED_VALUE"""),45958.62729193287)</f>
        <v>45958.62729</v>
      </c>
      <c r="B1982" s="40" t="str">
        <f>IFERROR(__xludf.DUMMYFUNCTION("""COMPUTED_VALUE"""),"PRETI SISILIA SILA")</f>
        <v>PRETI SISILIA SILA</v>
      </c>
      <c r="C1982" s="40" t="str">
        <f>IFERROR(__xludf.DUMMYFUNCTION("""COMPUTED_VALUE"""),"Dapat limit tapi belum diproses")</f>
        <v>Dapat limit tapi belum diproses</v>
      </c>
      <c r="D1982" s="40" t="str">
        <f>IFERROR(__xludf.DUMMYFUNCTION("""COMPUTED_VALUE"""),"Y400 series")</f>
        <v>Y400 series</v>
      </c>
      <c r="E1982" s="40" t="s">
        <v>11456</v>
      </c>
      <c r="F1982" s="40" t="s">
        <v>667</v>
      </c>
      <c r="G1982" s="40" t="s">
        <v>11457</v>
      </c>
      <c r="H1982" s="40" t="s">
        <v>11424</v>
      </c>
    </row>
    <row r="1983">
      <c r="A1983" s="39">
        <f>IFERROR(__xludf.DUMMYFUNCTION("""COMPUTED_VALUE"""),45958.66775945602)</f>
        <v>45958.66776</v>
      </c>
      <c r="B1983" s="40" t="str">
        <f>IFERROR(__xludf.DUMMYFUNCTION("""COMPUTED_VALUE"""),"MARIA MELAN ANANCE BILI")</f>
        <v>MARIA MELAN ANANCE BILI</v>
      </c>
      <c r="C1983" s="40" t="str">
        <f>IFERROR(__xludf.DUMMYFUNCTION("""COMPUTED_VALUE"""),"Dapat limit tapi belum diproses")</f>
        <v>Dapat limit tapi belum diproses</v>
      </c>
      <c r="D1983" s="40" t="str">
        <f>IFERROR(__xludf.DUMMYFUNCTION("""COMPUTED_VALUE"""),"V60 Lite series")</f>
        <v>V60 Lite series</v>
      </c>
      <c r="E1983" s="40" t="s">
        <v>11466</v>
      </c>
      <c r="F1983" s="40" t="s">
        <v>257</v>
      </c>
      <c r="G1983" s="40" t="s">
        <v>11467</v>
      </c>
      <c r="H1983" s="40" t="s">
        <v>11419</v>
      </c>
    </row>
    <row r="1984">
      <c r="A1984" s="39">
        <f>IFERROR(__xludf.DUMMYFUNCTION("""COMPUTED_VALUE"""),45958.70165077547)</f>
        <v>45958.70165</v>
      </c>
      <c r="B1984" s="40" t="str">
        <f>IFERROR(__xludf.DUMMYFUNCTION("""COMPUTED_VALUE"""),"ARMINDA TEKU MANEK")</f>
        <v>ARMINDA TEKU MANEK</v>
      </c>
      <c r="C1984" s="40" t="str">
        <f>IFERROR(__xludf.DUMMYFUNCTION("""COMPUTED_VALUE"""),"Belum disetujui")</f>
        <v>Belum disetujui</v>
      </c>
      <c r="D1984" s="40"/>
      <c r="E1984" s="40" t="s">
        <v>11474</v>
      </c>
      <c r="F1984" s="40" t="s">
        <v>313</v>
      </c>
      <c r="G1984" s="40" t="s">
        <v>11475</v>
      </c>
      <c r="H1984" s="40" t="s">
        <v>11424</v>
      </c>
    </row>
    <row r="1985">
      <c r="A1985" s="39">
        <f>IFERROR(__xludf.DUMMYFUNCTION("""COMPUTED_VALUE"""),45958.7277174537)</f>
        <v>45958.72772</v>
      </c>
      <c r="B1985" s="40" t="str">
        <f>IFERROR(__xludf.DUMMYFUNCTION("""COMPUTED_VALUE"""),"ROS YANE KANA LUDJI")</f>
        <v>ROS YANE KANA LUDJI</v>
      </c>
      <c r="C1985" s="40" t="str">
        <f>IFERROR(__xludf.DUMMYFUNCTION("""COMPUTED_VALUE"""),"Belum disetujui")</f>
        <v>Belum disetujui</v>
      </c>
      <c r="D1985" s="40"/>
      <c r="E1985" s="40" t="s">
        <v>11437</v>
      </c>
      <c r="F1985" s="40" t="s">
        <v>204</v>
      </c>
      <c r="G1985" s="40" t="s">
        <v>11438</v>
      </c>
      <c r="H1985" s="40" t="s">
        <v>11399</v>
      </c>
    </row>
    <row r="1986">
      <c r="A1986" s="39">
        <f>IFERROR(__xludf.DUMMYFUNCTION("""COMPUTED_VALUE"""),45958.73318789352)</f>
        <v>45958.73319</v>
      </c>
      <c r="B1986" s="40" t="str">
        <f>IFERROR(__xludf.DUMMYFUNCTION("""COMPUTED_VALUE"""),"NENY MERLIANTI NA'U")</f>
        <v>NENY MERLIANTI NA'U</v>
      </c>
      <c r="C1986" s="40" t="str">
        <f>IFERROR(__xludf.DUMMYFUNCTION("""COMPUTED_VALUE"""),"Belum disetujui")</f>
        <v>Belum disetujui</v>
      </c>
      <c r="D1986" s="40"/>
      <c r="E1986" s="40" t="s">
        <v>11476</v>
      </c>
      <c r="F1986" s="40" t="s">
        <v>204</v>
      </c>
      <c r="G1986" s="40" t="s">
        <v>11477</v>
      </c>
      <c r="H1986" s="40" t="s">
        <v>11399</v>
      </c>
    </row>
    <row r="1987">
      <c r="A1987" s="39">
        <f>IFERROR(__xludf.DUMMYFUNCTION("""COMPUTED_VALUE"""),45958.73320826388)</f>
        <v>45958.73321</v>
      </c>
      <c r="B1987" s="40" t="str">
        <f>IFERROR(__xludf.DUMMYFUNCTION("""COMPUTED_VALUE"""),"ADRIANA")</f>
        <v>ADRIANA</v>
      </c>
      <c r="C1987" s="40" t="str">
        <f>IFERROR(__xludf.DUMMYFUNCTION("""COMPUTED_VALUE"""),"Belum disetujui")</f>
        <v>Belum disetujui</v>
      </c>
      <c r="D1987" s="40"/>
      <c r="E1987" s="40" t="s">
        <v>11433</v>
      </c>
      <c r="F1987" s="40" t="s">
        <v>313</v>
      </c>
      <c r="G1987" s="40" t="s">
        <v>11434</v>
      </c>
      <c r="H1987" s="40" t="s">
        <v>11424</v>
      </c>
    </row>
    <row r="1988">
      <c r="A1988" s="39">
        <f>IFERROR(__xludf.DUMMYFUNCTION("""COMPUTED_VALUE"""),45958.755996886575)</f>
        <v>45958.756</v>
      </c>
      <c r="B1988" s="40" t="str">
        <f>IFERROR(__xludf.DUMMYFUNCTION("""COMPUTED_VALUE"""),"FERI ELI KURNIAWAN")</f>
        <v>FERI ELI KURNIAWAN</v>
      </c>
      <c r="C1988" s="40" t="str">
        <f>IFERROR(__xludf.DUMMYFUNCTION("""COMPUTED_VALUE"""),"Belum disetujui")</f>
        <v>Belum disetujui</v>
      </c>
      <c r="D1988" s="40"/>
      <c r="E1988" s="40" t="s">
        <v>11411</v>
      </c>
      <c r="F1988" s="40" t="s">
        <v>220</v>
      </c>
      <c r="G1988" s="40" t="s">
        <v>11412</v>
      </c>
      <c r="H1988" s="40" t="s">
        <v>11399</v>
      </c>
    </row>
    <row r="1989">
      <c r="A1989" s="39">
        <f>IFERROR(__xludf.DUMMYFUNCTION("""COMPUTED_VALUE"""),45958.756065648144)</f>
        <v>45958.75607</v>
      </c>
      <c r="B1989" s="40" t="str">
        <f>IFERROR(__xludf.DUMMYFUNCTION("""COMPUTED_VALUE"""),"ANITA ANA AMAH")</f>
        <v>ANITA ANA AMAH</v>
      </c>
      <c r="C1989" s="40" t="str">
        <f>IFERROR(__xludf.DUMMYFUNCTION("""COMPUTED_VALUE"""),"ACC")</f>
        <v>ACC</v>
      </c>
      <c r="D1989" s="40" t="str">
        <f>IFERROR(__xludf.DUMMYFUNCTION("""COMPUTED_VALUE"""),"Y400 series")</f>
        <v>Y400 series</v>
      </c>
      <c r="E1989" s="40" t="s">
        <v>11425</v>
      </c>
      <c r="F1989" s="40" t="s">
        <v>205</v>
      </c>
      <c r="G1989" s="40" t="s">
        <v>11426</v>
      </c>
      <c r="H1989" s="40" t="s">
        <v>11419</v>
      </c>
    </row>
    <row r="1990">
      <c r="A1990" s="39">
        <f>IFERROR(__xludf.DUMMYFUNCTION("""COMPUTED_VALUE"""),45958.75661861111)</f>
        <v>45958.75662</v>
      </c>
      <c r="B1990" s="40" t="str">
        <f>IFERROR(__xludf.DUMMYFUNCTION("""COMPUTED_VALUE"""),"ANDHIKA ULLY")</f>
        <v>ANDHIKA ULLY</v>
      </c>
      <c r="C1990" s="40" t="str">
        <f>IFERROR(__xludf.DUMMYFUNCTION("""COMPUTED_VALUE"""),"Belum disetujui")</f>
        <v>Belum disetujui</v>
      </c>
      <c r="D1990" s="40"/>
      <c r="E1990" s="40" t="s">
        <v>11482</v>
      </c>
      <c r="F1990" s="40" t="s">
        <v>220</v>
      </c>
      <c r="G1990" s="40" t="s">
        <v>11483</v>
      </c>
      <c r="H1990" s="40" t="s">
        <v>11399</v>
      </c>
    </row>
    <row r="1991">
      <c r="A1991" s="39">
        <f>IFERROR(__xludf.DUMMYFUNCTION("""COMPUTED_VALUE"""),45958.76371436343)</f>
        <v>45958.76371</v>
      </c>
      <c r="B1991" s="40" t="str">
        <f>IFERROR(__xludf.DUMMYFUNCTION("""COMPUTED_VALUE"""),"SULIS NURAINI INSYATUN")</f>
        <v>SULIS NURAINI INSYATUN</v>
      </c>
      <c r="C1991" s="40" t="str">
        <f>IFERROR(__xludf.DUMMYFUNCTION("""COMPUTED_VALUE"""),"Belum disetujui")</f>
        <v>Belum disetujui</v>
      </c>
      <c r="D1991" s="40"/>
      <c r="E1991" s="40" t="s">
        <v>11429</v>
      </c>
      <c r="F1991" s="40" t="s">
        <v>257</v>
      </c>
      <c r="G1991" s="40" t="s">
        <v>11430</v>
      </c>
      <c r="H1991" s="40" t="s">
        <v>11419</v>
      </c>
    </row>
    <row r="1992">
      <c r="A1992" s="39">
        <f>IFERROR(__xludf.DUMMYFUNCTION("""COMPUTED_VALUE"""),45958.764346435186)</f>
        <v>45958.76435</v>
      </c>
      <c r="B1992" s="40" t="str">
        <f>IFERROR(__xludf.DUMMYFUNCTION("""COMPUTED_VALUE"""),"MERDA PUTRI BUNGSU KENAT")</f>
        <v>MERDA PUTRI BUNGSU KENAT</v>
      </c>
      <c r="C1992" s="40" t="str">
        <f>IFERROR(__xludf.DUMMYFUNCTION("""COMPUTED_VALUE"""),"Belum disetujui")</f>
        <v>Belum disetujui</v>
      </c>
      <c r="D1992" s="40"/>
      <c r="E1992" s="40" t="s">
        <v>11422</v>
      </c>
      <c r="F1992" s="40" t="s">
        <v>215</v>
      </c>
      <c r="G1992" s="40" t="s">
        <v>11423</v>
      </c>
      <c r="H1992" s="40" t="s">
        <v>11424</v>
      </c>
    </row>
    <row r="1993">
      <c r="A1993" s="39">
        <f>IFERROR(__xludf.DUMMYFUNCTION("""COMPUTED_VALUE"""),45958.76572400463)</f>
        <v>45958.76572</v>
      </c>
      <c r="B1993" s="40" t="str">
        <f>IFERROR(__xludf.DUMMYFUNCTION("""COMPUTED_VALUE"""),"SULIS NURAINI INSYATUN")</f>
        <v>SULIS NURAINI INSYATUN</v>
      </c>
      <c r="C1993" s="40" t="str">
        <f>IFERROR(__xludf.DUMMYFUNCTION("""COMPUTED_VALUE"""),"Dapat limit tapi belum diproses")</f>
        <v>Dapat limit tapi belum diproses</v>
      </c>
      <c r="D1993" s="40" t="str">
        <f>IFERROR(__xludf.DUMMYFUNCTION("""COMPUTED_VALUE"""),"Y400 series")</f>
        <v>Y400 series</v>
      </c>
      <c r="E1993" s="40" t="s">
        <v>11429</v>
      </c>
      <c r="F1993" s="40" t="s">
        <v>257</v>
      </c>
      <c r="G1993" s="40" t="s">
        <v>11430</v>
      </c>
      <c r="H1993" s="40" t="s">
        <v>11419</v>
      </c>
    </row>
    <row r="1994">
      <c r="A1994" s="39">
        <f>IFERROR(__xludf.DUMMYFUNCTION("""COMPUTED_VALUE"""),45958.76741969908)</f>
        <v>45958.76742</v>
      </c>
      <c r="B1994" s="40" t="str">
        <f>IFERROR(__xludf.DUMMYFUNCTION("""COMPUTED_VALUE"""),"ALDIANA WELIA PANIE")</f>
        <v>ALDIANA WELIA PANIE</v>
      </c>
      <c r="C1994" s="40" t="str">
        <f>IFERROR(__xludf.DUMMYFUNCTION("""COMPUTED_VALUE"""),"Belum disetujui")</f>
        <v>Belum disetujui</v>
      </c>
      <c r="D1994" s="40"/>
      <c r="E1994" s="40" t="s">
        <v>11422</v>
      </c>
      <c r="F1994" s="40" t="s">
        <v>215</v>
      </c>
      <c r="G1994" s="40" t="s">
        <v>11423</v>
      </c>
      <c r="H1994" s="40" t="s">
        <v>11424</v>
      </c>
    </row>
    <row r="1995">
      <c r="A1995" s="39">
        <f>IFERROR(__xludf.DUMMYFUNCTION("""COMPUTED_VALUE"""),45958.78444181712)</f>
        <v>45958.78444</v>
      </c>
      <c r="B1995" s="40" t="str">
        <f>IFERROR(__xludf.DUMMYFUNCTION("""COMPUTED_VALUE"""),"AMBU BAIQ JUMENAH")</f>
        <v>AMBU BAIQ JUMENAH</v>
      </c>
      <c r="C1995" s="40" t="str">
        <f>IFERROR(__xludf.DUMMYFUNCTION("""COMPUTED_VALUE"""),"Dapat limit tapi belum diproses")</f>
        <v>Dapat limit tapi belum diproses</v>
      </c>
      <c r="D1995" s="40" t="str">
        <f>IFERROR(__xludf.DUMMYFUNCTION("""COMPUTED_VALUE"""),"Y400 series")</f>
        <v>Y400 series</v>
      </c>
      <c r="E1995" s="40" t="s">
        <v>11458</v>
      </c>
      <c r="F1995" s="40" t="s">
        <v>205</v>
      </c>
      <c r="G1995" s="40" t="s">
        <v>11459</v>
      </c>
      <c r="H1995" s="40" t="s">
        <v>11419</v>
      </c>
    </row>
    <row r="1996">
      <c r="A1996" s="39">
        <f>IFERROR(__xludf.DUMMYFUNCTION("""COMPUTED_VALUE"""),45958.79295020833)</f>
        <v>45958.79295</v>
      </c>
      <c r="B1996" s="40" t="str">
        <f>IFERROR(__xludf.DUMMYFUNCTION("""COMPUTED_VALUE"""),"PRETI SISILIA SILA")</f>
        <v>PRETI SISILIA SILA</v>
      </c>
      <c r="C1996" s="40" t="str">
        <f>IFERROR(__xludf.DUMMYFUNCTION("""COMPUTED_VALUE"""),"Belum disetujui")</f>
        <v>Belum disetujui</v>
      </c>
      <c r="D1996" s="40"/>
      <c r="E1996" s="40" t="s">
        <v>11456</v>
      </c>
      <c r="F1996" s="40" t="s">
        <v>667</v>
      </c>
      <c r="G1996" s="40" t="s">
        <v>11457</v>
      </c>
      <c r="H1996" s="40" t="s">
        <v>11424</v>
      </c>
    </row>
    <row r="1997">
      <c r="A1997" s="39">
        <f>IFERROR(__xludf.DUMMYFUNCTION("""COMPUTED_VALUE"""),45958.82203627315)</f>
        <v>45958.82204</v>
      </c>
      <c r="B1997" s="40" t="str">
        <f>IFERROR(__xludf.DUMMYFUNCTION("""COMPUTED_VALUE"""),"ASRI NINGSI RAMBU ATA ENDI")</f>
        <v>ASRI NINGSI RAMBU ATA ENDI</v>
      </c>
      <c r="C1997" s="40" t="str">
        <f>IFERROR(__xludf.DUMMYFUNCTION("""COMPUTED_VALUE"""),"ACC")</f>
        <v>ACC</v>
      </c>
      <c r="D1997" s="40" t="str">
        <f>IFERROR(__xludf.DUMMYFUNCTION("""COMPUTED_VALUE"""),"Y400 series")</f>
        <v>Y400 series</v>
      </c>
      <c r="E1997" s="40" t="s">
        <v>11441</v>
      </c>
      <c r="F1997" s="40" t="s">
        <v>205</v>
      </c>
      <c r="G1997" s="40" t="s">
        <v>11442</v>
      </c>
      <c r="H1997" s="40" t="s">
        <v>11419</v>
      </c>
    </row>
    <row r="1998">
      <c r="A1998" s="39">
        <f>IFERROR(__xludf.DUMMYFUNCTION("""COMPUTED_VALUE"""),45958.8300762963)</f>
        <v>45958.83008</v>
      </c>
      <c r="B1998" s="40" t="str">
        <f>IFERROR(__xludf.DUMMYFUNCTION("""COMPUTED_VALUE"""),"BERGITHA NIA OLIN")</f>
        <v>BERGITHA NIA OLIN</v>
      </c>
      <c r="C1998" s="40" t="str">
        <f>IFERROR(__xludf.DUMMYFUNCTION("""COMPUTED_VALUE"""),"Belum disetujui")</f>
        <v>Belum disetujui</v>
      </c>
      <c r="D1998" s="40"/>
      <c r="E1998" s="40" t="s">
        <v>11431</v>
      </c>
      <c r="F1998" s="40" t="s">
        <v>313</v>
      </c>
      <c r="G1998" s="40" t="s">
        <v>11432</v>
      </c>
      <c r="H1998" s="40" t="s">
        <v>11424</v>
      </c>
    </row>
    <row r="1999">
      <c r="A1999" s="39">
        <f>IFERROR(__xludf.DUMMYFUNCTION("""COMPUTED_VALUE"""),45958.85027620371)</f>
        <v>45958.85028</v>
      </c>
      <c r="B1999" s="40" t="str">
        <f>IFERROR(__xludf.DUMMYFUNCTION("""COMPUTED_VALUE"""),"NOVANTRY RUTHANIA NAFFIE")</f>
        <v>NOVANTRY RUTHANIA NAFFIE</v>
      </c>
      <c r="C1999" s="40" t="str">
        <f>IFERROR(__xludf.DUMMYFUNCTION("""COMPUTED_VALUE"""),"Belum disetujui")</f>
        <v>Belum disetujui</v>
      </c>
      <c r="D1999" s="40"/>
      <c r="E1999" s="40" t="s">
        <v>11397</v>
      </c>
      <c r="F1999" s="40" t="s">
        <v>220</v>
      </c>
      <c r="G1999" s="40" t="s">
        <v>11398</v>
      </c>
      <c r="H1999" s="40" t="s">
        <v>11399</v>
      </c>
    </row>
    <row r="2000">
      <c r="A2000" s="39">
        <f>IFERROR(__xludf.DUMMYFUNCTION("""COMPUTED_VALUE"""),45958.86118244213)</f>
        <v>45958.86118</v>
      </c>
      <c r="B2000" s="40" t="str">
        <f>IFERROR(__xludf.DUMMYFUNCTION("""COMPUTED_VALUE"""),"MERDA PUTRI BUNGSU KENAT")</f>
        <v>MERDA PUTRI BUNGSU KENAT</v>
      </c>
      <c r="C2000" s="40" t="str">
        <f>IFERROR(__xludf.DUMMYFUNCTION("""COMPUTED_VALUE"""),"ACC")</f>
        <v>ACC</v>
      </c>
      <c r="D2000" s="40" t="str">
        <f>IFERROR(__xludf.DUMMYFUNCTION("""COMPUTED_VALUE"""),"V60 Lite series")</f>
        <v>V60 Lite series</v>
      </c>
      <c r="E2000" s="40" t="s">
        <v>11422</v>
      </c>
      <c r="F2000" s="40" t="s">
        <v>215</v>
      </c>
      <c r="G2000" s="40" t="s">
        <v>11423</v>
      </c>
      <c r="H2000" s="40" t="s">
        <v>11424</v>
      </c>
    </row>
    <row r="2001">
      <c r="A2001" s="39">
        <f>IFERROR(__xludf.DUMMYFUNCTION("""COMPUTED_VALUE"""),45958.86387883101)</f>
        <v>45958.86388</v>
      </c>
      <c r="B2001" s="40" t="str">
        <f>IFERROR(__xludf.DUMMYFUNCTION("""COMPUTED_VALUE"""),"AMBU BAIQ JUMENAH")</f>
        <v>AMBU BAIQ JUMENAH</v>
      </c>
      <c r="C2001" s="40" t="str">
        <f>IFERROR(__xludf.DUMMYFUNCTION("""COMPUTED_VALUE"""),"Belum disetujui")</f>
        <v>Belum disetujui</v>
      </c>
      <c r="D2001" s="40"/>
      <c r="E2001" s="40" t="s">
        <v>11458</v>
      </c>
      <c r="F2001" s="40" t="s">
        <v>205</v>
      </c>
      <c r="G2001" s="40" t="s">
        <v>11459</v>
      </c>
      <c r="H2001" s="40" t="s">
        <v>11419</v>
      </c>
    </row>
    <row r="2002">
      <c r="A2002" s="39">
        <f>IFERROR(__xludf.DUMMYFUNCTION("""COMPUTED_VALUE"""),45958.91066979167)</f>
        <v>45958.91067</v>
      </c>
      <c r="B2002" s="40" t="str">
        <f>IFERROR(__xludf.DUMMYFUNCTION("""COMPUTED_VALUE"""),"BERGITHA NIA OLIN")</f>
        <v>BERGITHA NIA OLIN</v>
      </c>
      <c r="C2002" s="40" t="str">
        <f>IFERROR(__xludf.DUMMYFUNCTION("""COMPUTED_VALUE"""),"ACC")</f>
        <v>ACC</v>
      </c>
      <c r="D2002" s="40" t="str">
        <f>IFERROR(__xludf.DUMMYFUNCTION("""COMPUTED_VALUE"""),"V50 Lite series")</f>
        <v>V50 Lite series</v>
      </c>
      <c r="E2002" s="40" t="s">
        <v>11431</v>
      </c>
      <c r="F2002" s="40" t="s">
        <v>313</v>
      </c>
      <c r="G2002" s="40" t="s">
        <v>11432</v>
      </c>
      <c r="H2002" s="40" t="s">
        <v>11424</v>
      </c>
    </row>
    <row r="2003">
      <c r="A2003" s="39">
        <f>IFERROR(__xludf.DUMMYFUNCTION("""COMPUTED_VALUE"""),45959.424918101846)</f>
        <v>45959.42492</v>
      </c>
      <c r="B2003" s="40" t="str">
        <f>IFERROR(__xludf.DUMMYFUNCTION("""COMPUTED_VALUE"""),"SULIS NURAINI INSYATUN")</f>
        <v>SULIS NURAINI INSYATUN</v>
      </c>
      <c r="C2003" s="40" t="str">
        <f>IFERROR(__xludf.DUMMYFUNCTION("""COMPUTED_VALUE"""),"Belum disetujui")</f>
        <v>Belum disetujui</v>
      </c>
      <c r="D2003" s="40"/>
      <c r="E2003" s="40" t="s">
        <v>11429</v>
      </c>
      <c r="F2003" s="40" t="s">
        <v>257</v>
      </c>
      <c r="G2003" s="40" t="s">
        <v>11430</v>
      </c>
      <c r="H2003" s="40" t="s">
        <v>11419</v>
      </c>
    </row>
    <row r="2004">
      <c r="A2004" s="39">
        <f>IFERROR(__xludf.DUMMYFUNCTION("""COMPUTED_VALUE"""),45959.46330878472)</f>
        <v>45959.46331</v>
      </c>
      <c r="B2004" s="40" t="str">
        <f>IFERROR(__xludf.DUMMYFUNCTION("""COMPUTED_VALUE"""),"RESTIANY MARIA LUAN KALI")</f>
        <v>RESTIANY MARIA LUAN KALI</v>
      </c>
      <c r="C2004" s="40" t="str">
        <f>IFERROR(__xludf.DUMMYFUNCTION("""COMPUTED_VALUE"""),"Belum disetujui")</f>
        <v>Belum disetujui</v>
      </c>
      <c r="D2004" s="40"/>
      <c r="E2004" s="40" t="s">
        <v>11400</v>
      </c>
      <c r="F2004" s="40" t="s">
        <v>204</v>
      </c>
      <c r="G2004" s="40" t="s">
        <v>11401</v>
      </c>
      <c r="H2004" s="40" t="s">
        <v>11399</v>
      </c>
    </row>
    <row r="2005">
      <c r="A2005" s="39">
        <f>IFERROR(__xludf.DUMMYFUNCTION("""COMPUTED_VALUE"""),45959.47308506945)</f>
        <v>45959.47309</v>
      </c>
      <c r="B2005" s="40" t="str">
        <f>IFERROR(__xludf.DUMMYFUNCTION("""COMPUTED_VALUE"""),"MARIA MELAN ANANCE BILI")</f>
        <v>MARIA MELAN ANANCE BILI</v>
      </c>
      <c r="C2005" s="40" t="str">
        <f>IFERROR(__xludf.DUMMYFUNCTION("""COMPUTED_VALUE"""),"Belum disetujui")</f>
        <v>Belum disetujui</v>
      </c>
      <c r="D2005" s="40"/>
      <c r="E2005" s="40" t="s">
        <v>11466</v>
      </c>
      <c r="F2005" s="40" t="s">
        <v>257</v>
      </c>
      <c r="G2005" s="40" t="s">
        <v>11467</v>
      </c>
      <c r="H2005" s="40" t="s">
        <v>11419</v>
      </c>
    </row>
    <row r="2006">
      <c r="A2006" s="39">
        <f>IFERROR(__xludf.DUMMYFUNCTION("""COMPUTED_VALUE"""),45959.47441621528)</f>
        <v>45959.47442</v>
      </c>
      <c r="B2006" s="40" t="str">
        <f>IFERROR(__xludf.DUMMYFUNCTION("""COMPUTED_VALUE"""),"MARIA MELAN ANANCE BILI")</f>
        <v>MARIA MELAN ANANCE BILI</v>
      </c>
      <c r="C2006" s="40" t="str">
        <f>IFERROR(__xludf.DUMMYFUNCTION("""COMPUTED_VALUE"""),"Dapat limit tapi belum diproses")</f>
        <v>Dapat limit tapi belum diproses</v>
      </c>
      <c r="D2006" s="40" t="str">
        <f>IFERROR(__xludf.DUMMYFUNCTION("""COMPUTED_VALUE"""),"Y400 series")</f>
        <v>Y400 series</v>
      </c>
      <c r="E2006" s="40" t="s">
        <v>11466</v>
      </c>
      <c r="F2006" s="40" t="s">
        <v>257</v>
      </c>
      <c r="G2006" s="40" t="s">
        <v>11467</v>
      </c>
      <c r="H2006" s="40" t="s">
        <v>11419</v>
      </c>
    </row>
    <row r="2007">
      <c r="A2007" s="39">
        <f>IFERROR(__xludf.DUMMYFUNCTION("""COMPUTED_VALUE"""),45959.47445849537)</f>
        <v>45959.47446</v>
      </c>
      <c r="B2007" s="40" t="str">
        <f>IFERROR(__xludf.DUMMYFUNCTION("""COMPUTED_VALUE"""),"NABILA RAHMAWATI")</f>
        <v>NABILA RAHMAWATI</v>
      </c>
      <c r="C2007" s="40" t="str">
        <f>IFERROR(__xludf.DUMMYFUNCTION("""COMPUTED_VALUE"""),"Dapat limit tapi belum diproses")</f>
        <v>Dapat limit tapi belum diproses</v>
      </c>
      <c r="D2007" s="40" t="str">
        <f>IFERROR(__xludf.DUMMYFUNCTION("""COMPUTED_VALUE"""),"Y400 series")</f>
        <v>Y400 series</v>
      </c>
      <c r="E2007" s="40" t="s">
        <v>11464</v>
      </c>
      <c r="F2007" s="40" t="s">
        <v>257</v>
      </c>
      <c r="G2007" s="40" t="s">
        <v>11465</v>
      </c>
      <c r="H2007" s="40" t="s">
        <v>11419</v>
      </c>
    </row>
    <row r="2008">
      <c r="A2008" s="39">
        <f>IFERROR(__xludf.DUMMYFUNCTION("""COMPUTED_VALUE"""),45959.479289629635)</f>
        <v>45959.47929</v>
      </c>
      <c r="B2008" s="40" t="str">
        <f>IFERROR(__xludf.DUMMYFUNCTION("""COMPUTED_VALUE"""),"NUR FATIMAH MOLBANG")</f>
        <v>NUR FATIMAH MOLBANG</v>
      </c>
      <c r="C2008" s="40" t="str">
        <f>IFERROR(__xludf.DUMMYFUNCTION("""COMPUTED_VALUE"""),"ACC")</f>
        <v>ACC</v>
      </c>
      <c r="D2008" s="40" t="str">
        <f>IFERROR(__xludf.DUMMYFUNCTION("""COMPUTED_VALUE"""),"Y21d series")</f>
        <v>Y21d series</v>
      </c>
      <c r="E2008" s="40" t="s">
        <v>11439</v>
      </c>
      <c r="F2008" s="40" t="s">
        <v>313</v>
      </c>
      <c r="G2008" s="40" t="s">
        <v>11440</v>
      </c>
      <c r="H2008" s="40" t="s">
        <v>11424</v>
      </c>
    </row>
    <row r="2009">
      <c r="A2009" s="39">
        <f>IFERROR(__xludf.DUMMYFUNCTION("""COMPUTED_VALUE"""),45959.48766436342)</f>
        <v>45959.48766</v>
      </c>
      <c r="B2009" s="40" t="str">
        <f>IFERROR(__xludf.DUMMYFUNCTION("""COMPUTED_VALUE"""),"ALDIANA WELIA PANIE")</f>
        <v>ALDIANA WELIA PANIE</v>
      </c>
      <c r="C2009" s="40" t="str">
        <f>IFERROR(__xludf.DUMMYFUNCTION("""COMPUTED_VALUE"""),"Belum disetujui")</f>
        <v>Belum disetujui</v>
      </c>
      <c r="D2009" s="40"/>
      <c r="E2009" s="40" t="s">
        <v>11422</v>
      </c>
      <c r="F2009" s="40" t="s">
        <v>215</v>
      </c>
      <c r="G2009" s="40" t="s">
        <v>11423</v>
      </c>
      <c r="H2009" s="40" t="s">
        <v>11424</v>
      </c>
    </row>
    <row r="2010">
      <c r="A2010" s="39">
        <f>IFERROR(__xludf.DUMMYFUNCTION("""COMPUTED_VALUE"""),45959.49398680556)</f>
        <v>45959.49399</v>
      </c>
      <c r="B2010" s="40" t="str">
        <f>IFERROR(__xludf.DUMMYFUNCTION("""COMPUTED_VALUE"""),"YOMELIANA MARIA MAGNO")</f>
        <v>YOMELIANA MARIA MAGNO</v>
      </c>
      <c r="C2010" s="40" t="str">
        <f>IFERROR(__xludf.DUMMYFUNCTION("""COMPUTED_VALUE"""),"ACC")</f>
        <v>ACC</v>
      </c>
      <c r="D2010" s="40" t="str">
        <f>IFERROR(__xludf.DUMMYFUNCTION("""COMPUTED_VALUE"""),"V60 Lite series")</f>
        <v>V60 Lite series</v>
      </c>
      <c r="E2010" s="40" t="s">
        <v>11460</v>
      </c>
      <c r="F2010" s="40" t="s">
        <v>871</v>
      </c>
      <c r="G2010" s="40" t="s">
        <v>11461</v>
      </c>
      <c r="H2010" s="40" t="s">
        <v>11424</v>
      </c>
    </row>
    <row r="2011">
      <c r="A2011" s="39">
        <f>IFERROR(__xludf.DUMMYFUNCTION("""COMPUTED_VALUE"""),45959.499313113425)</f>
        <v>45959.49931</v>
      </c>
      <c r="B2011" s="40" t="str">
        <f>IFERROR(__xludf.DUMMYFUNCTION("""COMPUTED_VALUE"""),"ADRIANA")</f>
        <v>ADRIANA</v>
      </c>
      <c r="C2011" s="40" t="str">
        <f>IFERROR(__xludf.DUMMYFUNCTION("""COMPUTED_VALUE"""),"Belum disetujui")</f>
        <v>Belum disetujui</v>
      </c>
      <c r="D2011" s="40"/>
      <c r="E2011" s="40" t="s">
        <v>11433</v>
      </c>
      <c r="F2011" s="40" t="s">
        <v>313</v>
      </c>
      <c r="G2011" s="40" t="s">
        <v>11434</v>
      </c>
      <c r="H2011" s="40" t="s">
        <v>11424</v>
      </c>
    </row>
    <row r="2012">
      <c r="A2012" s="39">
        <f>IFERROR(__xludf.DUMMYFUNCTION("""COMPUTED_VALUE"""),45959.50989045139)</f>
        <v>45959.50989</v>
      </c>
      <c r="B2012" s="40" t="str">
        <f>IFERROR(__xludf.DUMMYFUNCTION("""COMPUTED_VALUE"""),"BERGITHA NIA OLIN")</f>
        <v>BERGITHA NIA OLIN</v>
      </c>
      <c r="C2012" s="40" t="str">
        <f>IFERROR(__xludf.DUMMYFUNCTION("""COMPUTED_VALUE"""),"Belum disetujui")</f>
        <v>Belum disetujui</v>
      </c>
      <c r="D2012" s="40"/>
      <c r="E2012" s="40" t="s">
        <v>11431</v>
      </c>
      <c r="F2012" s="40" t="s">
        <v>313</v>
      </c>
      <c r="G2012" s="40" t="s">
        <v>11432</v>
      </c>
      <c r="H2012" s="40" t="s">
        <v>11424</v>
      </c>
    </row>
    <row r="2013">
      <c r="A2013" s="39">
        <f>IFERROR(__xludf.DUMMYFUNCTION("""COMPUTED_VALUE"""),45959.51143796296)</f>
        <v>45959.51144</v>
      </c>
      <c r="B2013" s="40" t="str">
        <f>IFERROR(__xludf.DUMMYFUNCTION("""COMPUTED_VALUE"""),"NOVLIANA BARBALINA MISA")</f>
        <v>NOVLIANA BARBALINA MISA</v>
      </c>
      <c r="C2013" s="40" t="str">
        <f>IFERROR(__xludf.DUMMYFUNCTION("""COMPUTED_VALUE"""),"Belum disetujui")</f>
        <v>Belum disetujui</v>
      </c>
      <c r="D2013" s="40"/>
      <c r="E2013" s="40" t="s">
        <v>11454</v>
      </c>
      <c r="F2013" s="40" t="s">
        <v>205</v>
      </c>
      <c r="G2013" s="40" t="s">
        <v>11455</v>
      </c>
      <c r="H2013" s="40" t="s">
        <v>11419</v>
      </c>
    </row>
    <row r="2014">
      <c r="A2014" s="39">
        <f>IFERROR(__xludf.DUMMYFUNCTION("""COMPUTED_VALUE"""),45959.51762493056)</f>
        <v>45959.51762</v>
      </c>
      <c r="B2014" s="40" t="str">
        <f>IFERROR(__xludf.DUMMYFUNCTION("""COMPUTED_VALUE"""),"MARIA MELAN ANANCE BILI")</f>
        <v>MARIA MELAN ANANCE BILI</v>
      </c>
      <c r="C2014" s="40" t="str">
        <f>IFERROR(__xludf.DUMMYFUNCTION("""COMPUTED_VALUE"""),"Dapat limit tapi belum diproses")</f>
        <v>Dapat limit tapi belum diproses</v>
      </c>
      <c r="D2014" s="40" t="str">
        <f>IFERROR(__xludf.DUMMYFUNCTION("""COMPUTED_VALUE"""),"V60 Lite series")</f>
        <v>V60 Lite series</v>
      </c>
      <c r="E2014" s="40" t="s">
        <v>11466</v>
      </c>
      <c r="F2014" s="40" t="s">
        <v>257</v>
      </c>
      <c r="G2014" s="40" t="s">
        <v>11467</v>
      </c>
      <c r="H2014" s="40" t="s">
        <v>11419</v>
      </c>
    </row>
    <row r="2015">
      <c r="A2015" s="39">
        <f>IFERROR(__xludf.DUMMYFUNCTION("""COMPUTED_VALUE"""),45959.52083884259)</f>
        <v>45959.52084</v>
      </c>
      <c r="B2015" s="40" t="str">
        <f>IFERROR(__xludf.DUMMYFUNCTION("""COMPUTED_VALUE"""),"AINI RAHMATINI NATALIA MOESTAKIM")</f>
        <v>AINI RAHMATINI NATALIA MOESTAKIM</v>
      </c>
      <c r="C2015" s="40" t="str">
        <f>IFERROR(__xludf.DUMMYFUNCTION("""COMPUTED_VALUE"""),"Belum disetujui")</f>
        <v>Belum disetujui</v>
      </c>
      <c r="D2015" s="40"/>
      <c r="E2015" s="40" t="s">
        <v>11409</v>
      </c>
      <c r="F2015" s="40" t="s">
        <v>204</v>
      </c>
      <c r="G2015" s="40" t="s">
        <v>11410</v>
      </c>
      <c r="H2015" s="40" t="s">
        <v>11399</v>
      </c>
    </row>
    <row r="2016">
      <c r="A2016" s="39">
        <f>IFERROR(__xludf.DUMMYFUNCTION("""COMPUTED_VALUE"""),45959.53898234954)</f>
        <v>45959.53898</v>
      </c>
      <c r="B2016" s="40" t="str">
        <f>IFERROR(__xludf.DUMMYFUNCTION("""COMPUTED_VALUE"""),"AMBU BAIQ JUMENAH")</f>
        <v>AMBU BAIQ JUMENAH</v>
      </c>
      <c r="C2016" s="40" t="str">
        <f>IFERROR(__xludf.DUMMYFUNCTION("""COMPUTED_VALUE"""),"Belum disetujui")</f>
        <v>Belum disetujui</v>
      </c>
      <c r="D2016" s="40"/>
      <c r="E2016" s="40" t="s">
        <v>11458</v>
      </c>
      <c r="F2016" s="40" t="s">
        <v>205</v>
      </c>
      <c r="G2016" s="40" t="s">
        <v>11459</v>
      </c>
      <c r="H2016" s="40" t="s">
        <v>11419</v>
      </c>
    </row>
    <row r="2017">
      <c r="A2017" s="39">
        <f>IFERROR(__xludf.DUMMYFUNCTION("""COMPUTED_VALUE"""),45959.57799489583)</f>
        <v>45959.57799</v>
      </c>
      <c r="B2017" s="40" t="str">
        <f>IFERROR(__xludf.DUMMYFUNCTION("""COMPUTED_VALUE"""),"ADRIANA")</f>
        <v>ADRIANA</v>
      </c>
      <c r="C2017" s="40" t="str">
        <f>IFERROR(__xludf.DUMMYFUNCTION("""COMPUTED_VALUE"""),"Belum disetujui")</f>
        <v>Belum disetujui</v>
      </c>
      <c r="D2017" s="40"/>
      <c r="E2017" s="40" t="s">
        <v>11433</v>
      </c>
      <c r="F2017" s="40" t="s">
        <v>313</v>
      </c>
      <c r="G2017" s="40" t="s">
        <v>11434</v>
      </c>
      <c r="H2017" s="40" t="s">
        <v>11424</v>
      </c>
    </row>
    <row r="2018">
      <c r="A2018" s="39">
        <f>IFERROR(__xludf.DUMMYFUNCTION("""COMPUTED_VALUE"""),45959.5806347801)</f>
        <v>45959.58063</v>
      </c>
      <c r="B2018" s="40" t="str">
        <f>IFERROR(__xludf.DUMMYFUNCTION("""COMPUTED_VALUE"""),"MARATHA MARLINDA FANGGIDAE")</f>
        <v>MARATHA MARLINDA FANGGIDAE</v>
      </c>
      <c r="C2018" s="40" t="str">
        <f>IFERROR(__xludf.DUMMYFUNCTION("""COMPUTED_VALUE"""),"Belum disetujui")</f>
        <v>Belum disetujui</v>
      </c>
      <c r="D2018" s="40"/>
      <c r="E2018" s="40" t="s">
        <v>11435</v>
      </c>
      <c r="F2018" s="40" t="s">
        <v>215</v>
      </c>
      <c r="G2018" s="40" t="s">
        <v>11436</v>
      </c>
      <c r="H2018" s="40" t="s">
        <v>11424</v>
      </c>
    </row>
    <row r="2019">
      <c r="A2019" s="39">
        <f>IFERROR(__xludf.DUMMYFUNCTION("""COMPUTED_VALUE"""),45959.60639446759)</f>
        <v>45959.60639</v>
      </c>
      <c r="B2019" s="40" t="str">
        <f>IFERROR(__xludf.DUMMYFUNCTION("""COMPUTED_VALUE"""),"SANTI MARIA LUKMINI NAHAK")</f>
        <v>SANTI MARIA LUKMINI NAHAK</v>
      </c>
      <c r="C2019" s="40" t="str">
        <f>IFERROR(__xludf.DUMMYFUNCTION("""COMPUTED_VALUE"""),"Dapat limit tapi belum diproses")</f>
        <v>Dapat limit tapi belum diproses</v>
      </c>
      <c r="D2019" s="40" t="str">
        <f>IFERROR(__xludf.DUMMYFUNCTION("""COMPUTED_VALUE"""),"Y400 series")</f>
        <v>Y400 series</v>
      </c>
      <c r="E2019" s="40" t="s">
        <v>11460</v>
      </c>
      <c r="F2019" s="40" t="s">
        <v>871</v>
      </c>
      <c r="G2019" s="40" t="s">
        <v>11461</v>
      </c>
      <c r="H2019" s="40" t="s">
        <v>11424</v>
      </c>
    </row>
    <row r="2020">
      <c r="A2020" s="39">
        <f>IFERROR(__xludf.DUMMYFUNCTION("""COMPUTED_VALUE"""),45959.61637126158)</f>
        <v>45959.61637</v>
      </c>
      <c r="B2020" s="40" t="str">
        <f>IFERROR(__xludf.DUMMYFUNCTION("""COMPUTED_VALUE"""),"SULIS NURAINI INSYATUN")</f>
        <v>SULIS NURAINI INSYATUN</v>
      </c>
      <c r="C2020" s="40" t="str">
        <f>IFERROR(__xludf.DUMMYFUNCTION("""COMPUTED_VALUE"""),"Dapat limit tapi belum diproses")</f>
        <v>Dapat limit tapi belum diproses</v>
      </c>
      <c r="D2020" s="40" t="str">
        <f>IFERROR(__xludf.DUMMYFUNCTION("""COMPUTED_VALUE"""),"Y400 series")</f>
        <v>Y400 series</v>
      </c>
      <c r="E2020" s="40" t="s">
        <v>11429</v>
      </c>
      <c r="F2020" s="40" t="s">
        <v>257</v>
      </c>
      <c r="G2020" s="40" t="s">
        <v>11430</v>
      </c>
      <c r="H2020" s="40" t="s">
        <v>11419</v>
      </c>
    </row>
    <row r="2021">
      <c r="A2021" s="39">
        <f>IFERROR(__xludf.DUMMYFUNCTION("""COMPUTED_VALUE"""),45959.61860898148)</f>
        <v>45959.61861</v>
      </c>
      <c r="B2021" s="40" t="str">
        <f>IFERROR(__xludf.DUMMYFUNCTION("""COMPUTED_VALUE"""),"YASINTHA MBU")</f>
        <v>YASINTHA MBU</v>
      </c>
      <c r="C2021" s="40" t="str">
        <f>IFERROR(__xludf.DUMMYFUNCTION("""COMPUTED_VALUE"""),"Belum disetujui")</f>
        <v>Belum disetujui</v>
      </c>
      <c r="D2021" s="40"/>
      <c r="E2021" s="40" t="s">
        <v>11407</v>
      </c>
      <c r="F2021" s="40" t="s">
        <v>220</v>
      </c>
      <c r="G2021" s="40" t="s">
        <v>11408</v>
      </c>
      <c r="H2021" s="40" t="s">
        <v>11399</v>
      </c>
    </row>
    <row r="2022">
      <c r="A2022" s="39">
        <f>IFERROR(__xludf.DUMMYFUNCTION("""COMPUTED_VALUE"""),45959.629902928245)</f>
        <v>45959.6299</v>
      </c>
      <c r="B2022" s="40" t="str">
        <f>IFERROR(__xludf.DUMMYFUNCTION("""COMPUTED_VALUE"""),"NUR FATIMAH MOLBANG")</f>
        <v>NUR FATIMAH MOLBANG</v>
      </c>
      <c r="C2022" s="40" t="str">
        <f>IFERROR(__xludf.DUMMYFUNCTION("""COMPUTED_VALUE"""),"Belum disetujui")</f>
        <v>Belum disetujui</v>
      </c>
      <c r="D2022" s="40"/>
      <c r="E2022" s="40" t="s">
        <v>11439</v>
      </c>
      <c r="F2022" s="40" t="s">
        <v>313</v>
      </c>
      <c r="G2022" s="40" t="s">
        <v>11440</v>
      </c>
      <c r="H2022" s="40" t="s">
        <v>11424</v>
      </c>
    </row>
    <row r="2023">
      <c r="A2023" s="39">
        <f>IFERROR(__xludf.DUMMYFUNCTION("""COMPUTED_VALUE"""),45959.64179755787)</f>
        <v>45959.6418</v>
      </c>
      <c r="B2023" s="40" t="str">
        <f>IFERROR(__xludf.DUMMYFUNCTION("""COMPUTED_VALUE"""),"RESTIANY MARIA LUAN KALI")</f>
        <v>RESTIANY MARIA LUAN KALI</v>
      </c>
      <c r="C2023" s="40" t="str">
        <f>IFERROR(__xludf.DUMMYFUNCTION("""COMPUTED_VALUE"""),"Dapat limit tapi belum diproses")</f>
        <v>Dapat limit tapi belum diproses</v>
      </c>
      <c r="D2023" s="40" t="str">
        <f>IFERROR(__xludf.DUMMYFUNCTION("""COMPUTED_VALUE"""),"V60 Lite series")</f>
        <v>V60 Lite series</v>
      </c>
      <c r="E2023" s="40" t="s">
        <v>11400</v>
      </c>
      <c r="F2023" s="40" t="s">
        <v>204</v>
      </c>
      <c r="G2023" s="40" t="s">
        <v>11401</v>
      </c>
      <c r="H2023" s="40" t="s">
        <v>11399</v>
      </c>
    </row>
    <row r="2024">
      <c r="A2024" s="39">
        <f>IFERROR(__xludf.DUMMYFUNCTION("""COMPUTED_VALUE"""),45959.71676564815)</f>
        <v>45959.71677</v>
      </c>
      <c r="B2024" s="40" t="str">
        <f>IFERROR(__xludf.DUMMYFUNCTION("""COMPUTED_VALUE"""),"ARMINDA TEKU MANEK")</f>
        <v>ARMINDA TEKU MANEK</v>
      </c>
      <c r="C2024" s="40" t="str">
        <f>IFERROR(__xludf.DUMMYFUNCTION("""COMPUTED_VALUE"""),"Dapat limit tapi belum diproses")</f>
        <v>Dapat limit tapi belum diproses</v>
      </c>
      <c r="D2024" s="40" t="str">
        <f>IFERROR(__xludf.DUMMYFUNCTION("""COMPUTED_VALUE"""),"Y21d series")</f>
        <v>Y21d series</v>
      </c>
      <c r="E2024" s="40" t="s">
        <v>11474</v>
      </c>
      <c r="F2024" s="40" t="s">
        <v>313</v>
      </c>
      <c r="G2024" s="40" t="s">
        <v>11475</v>
      </c>
      <c r="H2024" s="40" t="s">
        <v>11424</v>
      </c>
    </row>
    <row r="2025">
      <c r="A2025" s="39">
        <f>IFERROR(__xludf.DUMMYFUNCTION("""COMPUTED_VALUE"""),45959.74048677084)</f>
        <v>45959.74049</v>
      </c>
      <c r="B2025" s="40" t="str">
        <f>IFERROR(__xludf.DUMMYFUNCTION("""COMPUTED_VALUE"""),"PATRIANI MENGI ULY")</f>
        <v>PATRIANI MENGI ULY</v>
      </c>
      <c r="C2025" s="40" t="str">
        <f>IFERROR(__xludf.DUMMYFUNCTION("""COMPUTED_VALUE"""),"Belum disetujui")</f>
        <v>Belum disetujui</v>
      </c>
      <c r="D2025" s="40"/>
      <c r="E2025" s="40" t="s">
        <v>11402</v>
      </c>
      <c r="F2025" s="40" t="s">
        <v>204</v>
      </c>
      <c r="G2025" s="40" t="s">
        <v>11403</v>
      </c>
      <c r="H2025" s="40" t="s">
        <v>11399</v>
      </c>
    </row>
    <row r="2026">
      <c r="A2026" s="39">
        <f>IFERROR(__xludf.DUMMYFUNCTION("""COMPUTED_VALUE"""),45959.75391856481)</f>
        <v>45959.75392</v>
      </c>
      <c r="B2026" s="40" t="str">
        <f>IFERROR(__xludf.DUMMYFUNCTION("""COMPUTED_VALUE"""),"LASTRIANA PALUS")</f>
        <v>LASTRIANA PALUS</v>
      </c>
      <c r="C2026" s="40" t="str">
        <f>IFERROR(__xludf.DUMMYFUNCTION("""COMPUTED_VALUE"""),"Belum disetujui")</f>
        <v>Belum disetujui</v>
      </c>
      <c r="D2026" s="40"/>
      <c r="E2026" s="40" t="s">
        <v>11468</v>
      </c>
      <c r="F2026" s="40" t="s">
        <v>257</v>
      </c>
      <c r="G2026" s="40" t="s">
        <v>11469</v>
      </c>
      <c r="H2026" s="40" t="s">
        <v>11419</v>
      </c>
    </row>
    <row r="2027">
      <c r="A2027" s="39">
        <f>IFERROR(__xludf.DUMMYFUNCTION("""COMPUTED_VALUE"""),45959.7554484838)</f>
        <v>45959.75545</v>
      </c>
      <c r="B2027" s="40" t="str">
        <f>IFERROR(__xludf.DUMMYFUNCTION("""COMPUTED_VALUE"""),"LASTRIANA PALUS")</f>
        <v>LASTRIANA PALUS</v>
      </c>
      <c r="C2027" s="40" t="str">
        <f>IFERROR(__xludf.DUMMYFUNCTION("""COMPUTED_VALUE"""),"Belum disetujui")</f>
        <v>Belum disetujui</v>
      </c>
      <c r="D2027" s="40"/>
      <c r="E2027" s="40" t="s">
        <v>11468</v>
      </c>
      <c r="F2027" s="40" t="s">
        <v>257</v>
      </c>
      <c r="G2027" s="40" t="s">
        <v>11469</v>
      </c>
      <c r="H2027" s="40" t="s">
        <v>11419</v>
      </c>
    </row>
    <row r="2028">
      <c r="A2028" s="39">
        <f>IFERROR(__xludf.DUMMYFUNCTION("""COMPUTED_VALUE"""),45959.773658356484)</f>
        <v>45959.77366</v>
      </c>
      <c r="B2028" s="40" t="str">
        <f>IFERROR(__xludf.DUMMYFUNCTION("""COMPUTED_VALUE"""),"PRETI SISILIA SILA")</f>
        <v>PRETI SISILIA SILA</v>
      </c>
      <c r="C2028" s="40" t="str">
        <f>IFERROR(__xludf.DUMMYFUNCTION("""COMPUTED_VALUE"""),"Dapat limit tapi belum diproses")</f>
        <v>Dapat limit tapi belum diproses</v>
      </c>
      <c r="D2028" s="40" t="str">
        <f>IFERROR(__xludf.DUMMYFUNCTION("""COMPUTED_VALUE"""),"V60 series")</f>
        <v>V60 series</v>
      </c>
      <c r="E2028" s="40" t="s">
        <v>11456</v>
      </c>
      <c r="F2028" s="40" t="s">
        <v>667</v>
      </c>
      <c r="G2028" s="40" t="s">
        <v>11457</v>
      </c>
      <c r="H2028" s="40" t="s">
        <v>11424</v>
      </c>
    </row>
    <row r="2029">
      <c r="A2029" s="39">
        <f>IFERROR(__xludf.DUMMYFUNCTION("""COMPUTED_VALUE"""),45959.77980096065)</f>
        <v>45959.7798</v>
      </c>
      <c r="B2029" s="40" t="str">
        <f>IFERROR(__xludf.DUMMYFUNCTION("""COMPUTED_VALUE"""),"YANA DANGU")</f>
        <v>YANA DANGU</v>
      </c>
      <c r="C2029" s="40" t="str">
        <f>IFERROR(__xludf.DUMMYFUNCTION("""COMPUTED_VALUE"""),"Belum disetujui")</f>
        <v>Belum disetujui</v>
      </c>
      <c r="D2029" s="40"/>
      <c r="E2029" s="40" t="s">
        <v>11397</v>
      </c>
      <c r="F2029" s="40" t="s">
        <v>220</v>
      </c>
      <c r="G2029" s="40" t="s">
        <v>11398</v>
      </c>
      <c r="H2029" s="40" t="s">
        <v>11399</v>
      </c>
    </row>
    <row r="2030">
      <c r="A2030" s="39">
        <f>IFERROR(__xludf.DUMMYFUNCTION("""COMPUTED_VALUE"""),45959.78935517361)</f>
        <v>45959.78936</v>
      </c>
      <c r="B2030" s="40" t="str">
        <f>IFERROR(__xludf.DUMMYFUNCTION("""COMPUTED_VALUE"""),"GRACELLA SARI HIVANA MANAFE")</f>
        <v>GRACELLA SARI HIVANA MANAFE</v>
      </c>
      <c r="C2030" s="40" t="str">
        <f>IFERROR(__xludf.DUMMYFUNCTION("""COMPUTED_VALUE"""),"Dapat limit tapi belum diproses")</f>
        <v>Dapat limit tapi belum diproses</v>
      </c>
      <c r="D2030" s="40" t="str">
        <f>IFERROR(__xludf.DUMMYFUNCTION("""COMPUTED_VALUE"""),"Y21d series")</f>
        <v>Y21d series</v>
      </c>
      <c r="E2030" s="40" t="s">
        <v>11478</v>
      </c>
      <c r="F2030" s="40" t="s">
        <v>220</v>
      </c>
      <c r="G2030" s="40" t="s">
        <v>11479</v>
      </c>
      <c r="H2030" s="40" t="s">
        <v>11399</v>
      </c>
    </row>
    <row r="2031">
      <c r="A2031" s="39">
        <f>IFERROR(__xludf.DUMMYFUNCTION("""COMPUTED_VALUE"""),45959.793796666665)</f>
        <v>45959.7938</v>
      </c>
      <c r="B2031" s="40" t="str">
        <f>IFERROR(__xludf.DUMMYFUNCTION("""COMPUTED_VALUE"""),"JULIA DESY CASANDRA DA SILVA FREITAS")</f>
        <v>JULIA DESY CASANDRA DA SILVA FREITAS</v>
      </c>
      <c r="C2031" s="40" t="str">
        <f>IFERROR(__xludf.DUMMYFUNCTION("""COMPUTED_VALUE"""),"Belum disetujui")</f>
        <v>Belum disetujui</v>
      </c>
      <c r="D2031" s="40"/>
      <c r="E2031" s="40" t="s">
        <v>11480</v>
      </c>
      <c r="F2031" s="40" t="s">
        <v>220</v>
      </c>
      <c r="G2031" s="40" t="s">
        <v>11481</v>
      </c>
      <c r="H2031" s="40" t="s">
        <v>11399</v>
      </c>
    </row>
    <row r="2032">
      <c r="A2032" s="39">
        <f>IFERROR(__xludf.DUMMYFUNCTION("""COMPUTED_VALUE"""),45959.805937743055)</f>
        <v>45959.80594</v>
      </c>
      <c r="B2032" s="40" t="str">
        <f>IFERROR(__xludf.DUMMYFUNCTION("""COMPUTED_VALUE"""),"YOVANDA KATRINA NAE")</f>
        <v>YOVANDA KATRINA NAE</v>
      </c>
      <c r="C2032" s="40" t="str">
        <f>IFERROR(__xludf.DUMMYFUNCTION("""COMPUTED_VALUE"""),"ACC")</f>
        <v>ACC</v>
      </c>
      <c r="D2032" s="40" t="str">
        <f>IFERROR(__xludf.DUMMYFUNCTION("""COMPUTED_VALUE"""),"Y400 series")</f>
        <v>Y400 series</v>
      </c>
      <c r="E2032" s="40" t="s">
        <v>11425</v>
      </c>
      <c r="F2032" s="40" t="s">
        <v>205</v>
      </c>
      <c r="G2032" s="40" t="s">
        <v>11426</v>
      </c>
      <c r="H2032" s="40" t="s">
        <v>11419</v>
      </c>
    </row>
    <row r="2033">
      <c r="A2033" s="39">
        <f>IFERROR(__xludf.DUMMYFUNCTION("""COMPUTED_VALUE"""),45959.80925229167)</f>
        <v>45959.80925</v>
      </c>
      <c r="B2033" s="40" t="str">
        <f>IFERROR(__xludf.DUMMYFUNCTION("""COMPUTED_VALUE"""),"YOVANDA KATRINA NAE")</f>
        <v>YOVANDA KATRINA NAE</v>
      </c>
      <c r="C2033" s="40" t="str">
        <f>IFERROR(__xludf.DUMMYFUNCTION("""COMPUTED_VALUE"""),"Dapat limit tapi belum diproses")</f>
        <v>Dapat limit tapi belum diproses</v>
      </c>
      <c r="D2033" s="40" t="str">
        <f>IFERROR(__xludf.DUMMYFUNCTION("""COMPUTED_VALUE"""),"Y21d series")</f>
        <v>Y21d series</v>
      </c>
      <c r="E2033" s="40" t="s">
        <v>11425</v>
      </c>
      <c r="F2033" s="40" t="s">
        <v>205</v>
      </c>
      <c r="G2033" s="40" t="s">
        <v>11426</v>
      </c>
      <c r="H2033" s="40" t="s">
        <v>11419</v>
      </c>
    </row>
    <row r="2034">
      <c r="A2034" s="39">
        <f>IFERROR(__xludf.DUMMYFUNCTION("""COMPUTED_VALUE"""),45959.81091211806)</f>
        <v>45959.81091</v>
      </c>
      <c r="B2034" s="40" t="str">
        <f>IFERROR(__xludf.DUMMYFUNCTION("""COMPUTED_VALUE"""),"DWITNEY PRETY WANGGANDIMA")</f>
        <v>DWITNEY PRETY WANGGANDIMA</v>
      </c>
      <c r="C2034" s="40" t="str">
        <f>IFERROR(__xludf.DUMMYFUNCTION("""COMPUTED_VALUE"""),"Dapat limit tapi belum diproses")</f>
        <v>Dapat limit tapi belum diproses</v>
      </c>
      <c r="D2034" s="40" t="str">
        <f>IFERROR(__xludf.DUMMYFUNCTION("""COMPUTED_VALUE"""),"Y21d series")</f>
        <v>Y21d series</v>
      </c>
      <c r="E2034" s="40" t="s">
        <v>11443</v>
      </c>
      <c r="F2034" s="40" t="s">
        <v>220</v>
      </c>
      <c r="G2034" s="40" t="s">
        <v>11444</v>
      </c>
      <c r="H2034" s="40" t="s">
        <v>11399</v>
      </c>
    </row>
    <row r="2035">
      <c r="A2035" s="39">
        <f>IFERROR(__xludf.DUMMYFUNCTION("""COMPUTED_VALUE"""),45959.8126999537)</f>
        <v>45959.8127</v>
      </c>
      <c r="B2035" s="40" t="str">
        <f>IFERROR(__xludf.DUMMYFUNCTION("""COMPUTED_VALUE"""),"ARMINDA TEKU MANEK")</f>
        <v>ARMINDA TEKU MANEK</v>
      </c>
      <c r="C2035" s="40" t="str">
        <f>IFERROR(__xludf.DUMMYFUNCTION("""COMPUTED_VALUE"""),"Dapat limit tapi belum diproses")</f>
        <v>Dapat limit tapi belum diproses</v>
      </c>
      <c r="D2035" s="40" t="str">
        <f>IFERROR(__xludf.DUMMYFUNCTION("""COMPUTED_VALUE"""),"Y21d series")</f>
        <v>Y21d series</v>
      </c>
      <c r="E2035" s="40" t="s">
        <v>11474</v>
      </c>
      <c r="F2035" s="40" t="s">
        <v>313</v>
      </c>
      <c r="G2035" s="40" t="s">
        <v>11475</v>
      </c>
      <c r="H2035" s="40" t="s">
        <v>11424</v>
      </c>
    </row>
    <row r="2036">
      <c r="A2036" s="39">
        <f>IFERROR(__xludf.DUMMYFUNCTION("""COMPUTED_VALUE"""),45959.831914120376)</f>
        <v>45959.83191</v>
      </c>
      <c r="B2036" s="40" t="str">
        <f>IFERROR(__xludf.DUMMYFUNCTION("""COMPUTED_VALUE"""),"WINDRI MANOE")</f>
        <v>WINDRI MANOE</v>
      </c>
      <c r="C2036" s="40" t="str">
        <f>IFERROR(__xludf.DUMMYFUNCTION("""COMPUTED_VALUE"""),"Belum disetujui")</f>
        <v>Belum disetujui</v>
      </c>
      <c r="D2036" s="40"/>
      <c r="E2036" s="40" t="s">
        <v>11443</v>
      </c>
      <c r="F2036" s="40" t="s">
        <v>220</v>
      </c>
      <c r="G2036" s="40" t="s">
        <v>11444</v>
      </c>
      <c r="H2036" s="40" t="s">
        <v>11399</v>
      </c>
    </row>
    <row r="2037">
      <c r="A2037" s="39">
        <f>IFERROR(__xludf.DUMMYFUNCTION("""COMPUTED_VALUE"""),45959.833312615745)</f>
        <v>45959.83331</v>
      </c>
      <c r="B2037" s="40" t="str">
        <f>IFERROR(__xludf.DUMMYFUNCTION("""COMPUTED_VALUE"""),"NOVANTRY RUTHANIA NAFFIE")</f>
        <v>NOVANTRY RUTHANIA NAFFIE</v>
      </c>
      <c r="C2037" s="40" t="str">
        <f>IFERROR(__xludf.DUMMYFUNCTION("""COMPUTED_VALUE"""),"Belum disetujui")</f>
        <v>Belum disetujui</v>
      </c>
      <c r="D2037" s="40"/>
      <c r="E2037" s="40" t="s">
        <v>11397</v>
      </c>
      <c r="F2037" s="40" t="s">
        <v>220</v>
      </c>
      <c r="G2037" s="40" t="s">
        <v>11398</v>
      </c>
      <c r="H2037" s="40" t="s">
        <v>11399</v>
      </c>
    </row>
    <row r="2038">
      <c r="A2038" s="39">
        <f>IFERROR(__xludf.DUMMYFUNCTION("""COMPUTED_VALUE"""),45959.83431490741)</f>
        <v>45959.83431</v>
      </c>
      <c r="B2038" s="40" t="str">
        <f>IFERROR(__xludf.DUMMYFUNCTION("""COMPUTED_VALUE"""),"ESTER LUDJI")</f>
        <v>ESTER LUDJI</v>
      </c>
      <c r="C2038" s="40" t="str">
        <f>IFERROR(__xludf.DUMMYFUNCTION("""COMPUTED_VALUE"""),"ACC")</f>
        <v>ACC</v>
      </c>
      <c r="D2038" s="40" t="str">
        <f>IFERROR(__xludf.DUMMYFUNCTION("""COMPUTED_VALUE"""),"Y400 series")</f>
        <v>Y400 series</v>
      </c>
      <c r="E2038" s="40" t="s">
        <v>11441</v>
      </c>
      <c r="F2038" s="40" t="s">
        <v>205</v>
      </c>
      <c r="G2038" s="40" t="s">
        <v>11442</v>
      </c>
      <c r="H2038" s="40" t="s">
        <v>11419</v>
      </c>
    </row>
    <row r="2039">
      <c r="A2039" s="39">
        <f>IFERROR(__xludf.DUMMYFUNCTION("""COMPUTED_VALUE"""),45959.84329840278)</f>
        <v>45959.8433</v>
      </c>
      <c r="B2039" s="40" t="str">
        <f>IFERROR(__xludf.DUMMYFUNCTION("""COMPUTED_VALUE"""),"TERSIANA KADJA PAU")</f>
        <v>TERSIANA KADJA PAU</v>
      </c>
      <c r="C2039" s="40" t="str">
        <f>IFERROR(__xludf.DUMMYFUNCTION("""COMPUTED_VALUE"""),"Belum disetujui")</f>
        <v>Belum disetujui</v>
      </c>
      <c r="D2039" s="40"/>
      <c r="E2039" s="40" t="s">
        <v>11411</v>
      </c>
      <c r="F2039" s="40" t="s">
        <v>220</v>
      </c>
      <c r="G2039" s="40" t="s">
        <v>11412</v>
      </c>
      <c r="H2039" s="40" t="s">
        <v>11399</v>
      </c>
    </row>
    <row r="2040">
      <c r="A2040" s="39">
        <f>IFERROR(__xludf.DUMMYFUNCTION("""COMPUTED_VALUE"""),45959.85195104166)</f>
        <v>45959.85195</v>
      </c>
      <c r="B2040" s="40" t="str">
        <f>IFERROR(__xludf.DUMMYFUNCTION("""COMPUTED_VALUE"""),"MEXY ALEXANDER HETMINA")</f>
        <v>MEXY ALEXANDER HETMINA</v>
      </c>
      <c r="C2040" s="40" t="str">
        <f>IFERROR(__xludf.DUMMYFUNCTION("""COMPUTED_VALUE"""),"Belum disetujui")</f>
        <v>Belum disetujui</v>
      </c>
      <c r="D2040" s="40"/>
      <c r="E2040" s="40" t="s">
        <v>11413</v>
      </c>
      <c r="F2040" s="40" t="s">
        <v>204</v>
      </c>
      <c r="G2040" s="40" t="s">
        <v>11414</v>
      </c>
      <c r="H2040" s="40" t="s">
        <v>11399</v>
      </c>
    </row>
    <row r="2041">
      <c r="A2041" s="39">
        <f>IFERROR(__xludf.DUMMYFUNCTION("""COMPUTED_VALUE"""),45959.85718499999)</f>
        <v>45959.85719</v>
      </c>
      <c r="B2041" s="40" t="str">
        <f>IFERROR(__xludf.DUMMYFUNCTION("""COMPUTED_VALUE"""),"FERI ELI KURNIAWAN")</f>
        <v>FERI ELI KURNIAWAN</v>
      </c>
      <c r="C2041" s="40" t="str">
        <f>IFERROR(__xludf.DUMMYFUNCTION("""COMPUTED_VALUE"""),"Belum disetujui")</f>
        <v>Belum disetujui</v>
      </c>
      <c r="D2041" s="40"/>
      <c r="E2041" s="40" t="s">
        <v>11411</v>
      </c>
      <c r="F2041" s="40" t="s">
        <v>220</v>
      </c>
      <c r="G2041" s="40" t="s">
        <v>11412</v>
      </c>
      <c r="H2041" s="40" t="s">
        <v>11399</v>
      </c>
    </row>
    <row r="2042">
      <c r="A2042" s="39">
        <f>IFERROR(__xludf.DUMMYFUNCTION("""COMPUTED_VALUE"""),45959.85778493056)</f>
        <v>45959.85778</v>
      </c>
      <c r="B2042" s="40" t="str">
        <f>IFERROR(__xludf.DUMMYFUNCTION("""COMPUTED_VALUE"""),"YANA DANGU")</f>
        <v>YANA DANGU</v>
      </c>
      <c r="C2042" s="40" t="str">
        <f>IFERROR(__xludf.DUMMYFUNCTION("""COMPUTED_VALUE"""),"Belum disetujui")</f>
        <v>Belum disetujui</v>
      </c>
      <c r="D2042" s="40"/>
      <c r="E2042" s="40" t="s">
        <v>11397</v>
      </c>
      <c r="F2042" s="40" t="s">
        <v>220</v>
      </c>
      <c r="G2042" s="40" t="s">
        <v>11398</v>
      </c>
      <c r="H2042" s="40" t="s">
        <v>11399</v>
      </c>
    </row>
    <row r="2043">
      <c r="A2043" s="39">
        <f>IFERROR(__xludf.DUMMYFUNCTION("""COMPUTED_VALUE"""),45959.858922824074)</f>
        <v>45959.85892</v>
      </c>
      <c r="B2043" s="40" t="str">
        <f>IFERROR(__xludf.DUMMYFUNCTION("""COMPUTED_VALUE"""),"IRENE NOVALIA KADJU")</f>
        <v>IRENE NOVALIA KADJU</v>
      </c>
      <c r="C2043" s="40" t="str">
        <f>IFERROR(__xludf.DUMMYFUNCTION("""COMPUTED_VALUE"""),"Belum disetujui")</f>
        <v>Belum disetujui</v>
      </c>
      <c r="D2043" s="40"/>
      <c r="E2043" s="40" t="s">
        <v>11445</v>
      </c>
      <c r="F2043" s="40" t="s">
        <v>204</v>
      </c>
      <c r="G2043" s="40" t="s">
        <v>11446</v>
      </c>
      <c r="H2043" s="40" t="s">
        <v>11399</v>
      </c>
    </row>
    <row r="2044">
      <c r="A2044" s="39">
        <f>IFERROR(__xludf.DUMMYFUNCTION("""COMPUTED_VALUE"""),45959.8628346412)</f>
        <v>45959.86283</v>
      </c>
      <c r="B2044" s="40" t="str">
        <f>IFERROR(__xludf.DUMMYFUNCTION("""COMPUTED_VALUE"""),"SELVINCE BAKO")</f>
        <v>SELVINCE BAKO</v>
      </c>
      <c r="C2044" s="40" t="str">
        <f>IFERROR(__xludf.DUMMYFUNCTION("""COMPUTED_VALUE"""),"Belum disetujui")</f>
        <v>Belum disetujui</v>
      </c>
      <c r="D2044" s="40"/>
      <c r="E2044" s="40" t="s">
        <v>11413</v>
      </c>
      <c r="F2044" s="40" t="s">
        <v>204</v>
      </c>
      <c r="G2044" s="40" t="s">
        <v>11414</v>
      </c>
      <c r="H2044" s="40" t="s">
        <v>11399</v>
      </c>
    </row>
    <row r="2045">
      <c r="A2045" s="39">
        <f>IFERROR(__xludf.DUMMYFUNCTION("""COMPUTED_VALUE"""),45959.86433724537)</f>
        <v>45959.86434</v>
      </c>
      <c r="B2045" s="40" t="str">
        <f>IFERROR(__xludf.DUMMYFUNCTION("""COMPUTED_VALUE"""),"SELVINCE BAKO")</f>
        <v>SELVINCE BAKO</v>
      </c>
      <c r="C2045" s="40" t="str">
        <f>IFERROR(__xludf.DUMMYFUNCTION("""COMPUTED_VALUE"""),"Belum disetujui")</f>
        <v>Belum disetujui</v>
      </c>
      <c r="D2045" s="40"/>
      <c r="E2045" s="40" t="s">
        <v>11413</v>
      </c>
      <c r="F2045" s="40" t="s">
        <v>204</v>
      </c>
      <c r="G2045" s="40" t="s">
        <v>11414</v>
      </c>
      <c r="H2045" s="40" t="s">
        <v>11399</v>
      </c>
    </row>
    <row r="2046">
      <c r="A2046" s="39">
        <f>IFERROR(__xludf.DUMMYFUNCTION("""COMPUTED_VALUE"""),45959.86751085648)</f>
        <v>45959.86751</v>
      </c>
      <c r="B2046" s="40" t="str">
        <f>IFERROR(__xludf.DUMMYFUNCTION("""COMPUTED_VALUE"""),"ANITA ANA AMAH")</f>
        <v>ANITA ANA AMAH</v>
      </c>
      <c r="C2046" s="40" t="str">
        <f>IFERROR(__xludf.DUMMYFUNCTION("""COMPUTED_VALUE"""),"Belum disetujui")</f>
        <v>Belum disetujui</v>
      </c>
      <c r="D2046" s="40"/>
      <c r="E2046" s="40" t="s">
        <v>11425</v>
      </c>
      <c r="F2046" s="40" t="s">
        <v>205</v>
      </c>
      <c r="G2046" s="40" t="s">
        <v>11426</v>
      </c>
      <c r="H2046" s="40" t="s">
        <v>11419</v>
      </c>
    </row>
    <row r="2047">
      <c r="A2047" s="39">
        <f>IFERROR(__xludf.DUMMYFUNCTION("""COMPUTED_VALUE"""),45959.895494930555)</f>
        <v>45959.89549</v>
      </c>
      <c r="B2047" s="40" t="str">
        <f>IFERROR(__xludf.DUMMYFUNCTION("""COMPUTED_VALUE"""),"PATRIANI MENGI ULY")</f>
        <v>PATRIANI MENGI ULY</v>
      </c>
      <c r="C2047" s="40" t="str">
        <f>IFERROR(__xludf.DUMMYFUNCTION("""COMPUTED_VALUE"""),"Belum disetujui")</f>
        <v>Belum disetujui</v>
      </c>
      <c r="D2047" s="40"/>
      <c r="E2047" s="40" t="s">
        <v>11402</v>
      </c>
      <c r="F2047" s="40" t="s">
        <v>204</v>
      </c>
      <c r="G2047" s="40" t="s">
        <v>11403</v>
      </c>
      <c r="H2047" s="40" t="s">
        <v>11399</v>
      </c>
    </row>
    <row r="2048">
      <c r="A2048" s="39">
        <f>IFERROR(__xludf.DUMMYFUNCTION("""COMPUTED_VALUE"""),45960.380259004625)</f>
        <v>45960.38026</v>
      </c>
      <c r="B2048" s="40" t="str">
        <f>IFERROR(__xludf.DUMMYFUNCTION("""COMPUTED_VALUE"""),"ANYARMITHA SOPHIA SUEK")</f>
        <v>ANYARMITHA SOPHIA SUEK</v>
      </c>
      <c r="C2048" s="40" t="str">
        <f>IFERROR(__xludf.DUMMYFUNCTION("""COMPUTED_VALUE"""),"Dapat limit tapi belum diproses")</f>
        <v>Dapat limit tapi belum diproses</v>
      </c>
      <c r="D2048" s="40" t="str">
        <f>IFERROR(__xludf.DUMMYFUNCTION("""COMPUTED_VALUE"""),"V60 Lite series")</f>
        <v>V60 Lite series</v>
      </c>
      <c r="E2048" s="40" t="s">
        <v>11443</v>
      </c>
      <c r="F2048" s="40" t="s">
        <v>220</v>
      </c>
      <c r="G2048" s="40" t="s">
        <v>11444</v>
      </c>
      <c r="H2048" s="40" t="s">
        <v>11399</v>
      </c>
    </row>
    <row r="2049">
      <c r="A2049" s="39">
        <f>IFERROR(__xludf.DUMMYFUNCTION("""COMPUTED_VALUE"""),45960.407991921296)</f>
        <v>45960.40799</v>
      </c>
      <c r="B2049" s="40" t="str">
        <f>IFERROR(__xludf.DUMMYFUNCTION("""COMPUTED_VALUE"""),"ESTER LUDJI")</f>
        <v>ESTER LUDJI</v>
      </c>
      <c r="C2049" s="40" t="str">
        <f>IFERROR(__xludf.DUMMYFUNCTION("""COMPUTED_VALUE"""),"Belum disetujui")</f>
        <v>Belum disetujui</v>
      </c>
      <c r="D2049" s="40"/>
      <c r="E2049" s="40" t="s">
        <v>11441</v>
      </c>
      <c r="F2049" s="40" t="s">
        <v>205</v>
      </c>
      <c r="G2049" s="40" t="s">
        <v>11442</v>
      </c>
      <c r="H2049" s="40" t="s">
        <v>11419</v>
      </c>
    </row>
    <row r="2050">
      <c r="A2050" s="39">
        <f>IFERROR(__xludf.DUMMYFUNCTION("""COMPUTED_VALUE"""),45960.42239140047)</f>
        <v>45960.42239</v>
      </c>
      <c r="B2050" s="40" t="str">
        <f>IFERROR(__xludf.DUMMYFUNCTION("""COMPUTED_VALUE"""),"AZ ZAHRA SITI ZAINAB")</f>
        <v>AZ ZAHRA SITI ZAINAB</v>
      </c>
      <c r="C2050" s="40" t="str">
        <f>IFERROR(__xludf.DUMMYFUNCTION("""COMPUTED_VALUE"""),"Belum disetujui")</f>
        <v>Belum disetujui</v>
      </c>
      <c r="D2050" s="40"/>
      <c r="E2050" s="40" t="s">
        <v>11462</v>
      </c>
      <c r="F2050" s="40" t="s">
        <v>257</v>
      </c>
      <c r="G2050" s="40" t="s">
        <v>11463</v>
      </c>
      <c r="H2050" s="40" t="s">
        <v>11419</v>
      </c>
    </row>
    <row r="2051">
      <c r="A2051" s="39">
        <f>IFERROR(__xludf.DUMMYFUNCTION("""COMPUTED_VALUE"""),45960.43947203704)</f>
        <v>45960.43947</v>
      </c>
      <c r="B2051" s="40" t="str">
        <f>IFERROR(__xludf.DUMMYFUNCTION("""COMPUTED_VALUE"""),"ANDHIKA ULLY")</f>
        <v>ANDHIKA ULLY</v>
      </c>
      <c r="C2051" s="40" t="str">
        <f>IFERROR(__xludf.DUMMYFUNCTION("""COMPUTED_VALUE"""),"Belum disetujui")</f>
        <v>Belum disetujui</v>
      </c>
      <c r="D2051" s="40"/>
      <c r="E2051" s="40" t="s">
        <v>11482</v>
      </c>
      <c r="F2051" s="40" t="s">
        <v>220</v>
      </c>
      <c r="G2051" s="40" t="s">
        <v>11483</v>
      </c>
      <c r="H2051" s="40" t="s">
        <v>11399</v>
      </c>
    </row>
    <row r="2052">
      <c r="A2052" s="39">
        <f>IFERROR(__xludf.DUMMYFUNCTION("""COMPUTED_VALUE"""),45960.44338802083)</f>
        <v>45960.44339</v>
      </c>
      <c r="B2052" s="40" t="str">
        <f>IFERROR(__xludf.DUMMYFUNCTION("""COMPUTED_VALUE"""),"MARNITHA JUWIKE TIMORATI RUNESI")</f>
        <v>MARNITHA JUWIKE TIMORATI RUNESI</v>
      </c>
      <c r="C2052" s="40" t="str">
        <f>IFERROR(__xludf.DUMMYFUNCTION("""COMPUTED_VALUE"""),"Dapat limit tapi belum diproses")</f>
        <v>Dapat limit tapi belum diproses</v>
      </c>
      <c r="D2052" s="40" t="str">
        <f>IFERROR(__xludf.DUMMYFUNCTION("""COMPUTED_VALUE"""),"Y400 series")</f>
        <v>Y400 series</v>
      </c>
      <c r="E2052" s="40" t="s">
        <v>11420</v>
      </c>
      <c r="F2052" s="40" t="s">
        <v>204</v>
      </c>
      <c r="G2052" s="40" t="s">
        <v>11421</v>
      </c>
      <c r="H2052" s="40" t="s">
        <v>11399</v>
      </c>
    </row>
    <row r="2053">
      <c r="A2053" s="39">
        <f>IFERROR(__xludf.DUMMYFUNCTION("""COMPUTED_VALUE"""),45960.447006608796)</f>
        <v>45960.44701</v>
      </c>
      <c r="B2053" s="40" t="str">
        <f>IFERROR(__xludf.DUMMYFUNCTION("""COMPUTED_VALUE"""),"MARIA MELAN ANANCE BILI")</f>
        <v>MARIA MELAN ANANCE BILI</v>
      </c>
      <c r="C2053" s="40" t="str">
        <f>IFERROR(__xludf.DUMMYFUNCTION("""COMPUTED_VALUE"""),"ACC")</f>
        <v>ACC</v>
      </c>
      <c r="D2053" s="40" t="str">
        <f>IFERROR(__xludf.DUMMYFUNCTION("""COMPUTED_VALUE"""),"Y400 series")</f>
        <v>Y400 series</v>
      </c>
      <c r="E2053" s="40" t="s">
        <v>11466</v>
      </c>
      <c r="F2053" s="40" t="s">
        <v>257</v>
      </c>
      <c r="G2053" s="40" t="s">
        <v>11467</v>
      </c>
      <c r="H2053" s="40" t="s">
        <v>11419</v>
      </c>
    </row>
    <row r="2054">
      <c r="A2054" s="39">
        <f>IFERROR(__xludf.DUMMYFUNCTION("""COMPUTED_VALUE"""),45960.454393807864)</f>
        <v>45960.45439</v>
      </c>
      <c r="B2054" s="40" t="str">
        <f>IFERROR(__xludf.DUMMYFUNCTION("""COMPUTED_VALUE"""),"PRETI SISILIA SILA")</f>
        <v>PRETI SISILIA SILA</v>
      </c>
      <c r="C2054" s="40" t="str">
        <f>IFERROR(__xludf.DUMMYFUNCTION("""COMPUTED_VALUE"""),"Belum disetujui")</f>
        <v>Belum disetujui</v>
      </c>
      <c r="D2054" s="40"/>
      <c r="E2054" s="40" t="s">
        <v>11456</v>
      </c>
      <c r="F2054" s="40" t="s">
        <v>667</v>
      </c>
      <c r="G2054" s="40" t="s">
        <v>11457</v>
      </c>
      <c r="H2054" s="40" t="s">
        <v>11424</v>
      </c>
    </row>
    <row r="2055">
      <c r="A2055" s="39">
        <f>IFERROR(__xludf.DUMMYFUNCTION("""COMPUTED_VALUE"""),45960.48895293981)</f>
        <v>45960.48895</v>
      </c>
      <c r="B2055" s="40" t="str">
        <f>IFERROR(__xludf.DUMMYFUNCTION("""COMPUTED_VALUE"""),"ESTER LUDJI")</f>
        <v>ESTER LUDJI</v>
      </c>
      <c r="C2055" s="40" t="str">
        <f>IFERROR(__xludf.DUMMYFUNCTION("""COMPUTED_VALUE"""),"ACC")</f>
        <v>ACC</v>
      </c>
      <c r="D2055" s="40" t="str">
        <f>IFERROR(__xludf.DUMMYFUNCTION("""COMPUTED_VALUE"""),"Y400 series")</f>
        <v>Y400 series</v>
      </c>
      <c r="E2055" s="40" t="s">
        <v>11441</v>
      </c>
      <c r="F2055" s="40" t="s">
        <v>205</v>
      </c>
      <c r="G2055" s="40" t="s">
        <v>11442</v>
      </c>
      <c r="H2055" s="40" t="s">
        <v>11419</v>
      </c>
    </row>
    <row r="2056">
      <c r="A2056" s="39">
        <f>IFERROR(__xludf.DUMMYFUNCTION("""COMPUTED_VALUE"""),45960.49041787037)</f>
        <v>45960.49042</v>
      </c>
      <c r="B2056" s="40" t="str">
        <f>IFERROR(__xludf.DUMMYFUNCTION("""COMPUTED_VALUE"""),"SANTI MARIA LUKMINI NAHAK")</f>
        <v>SANTI MARIA LUKMINI NAHAK</v>
      </c>
      <c r="C2056" s="40" t="str">
        <f>IFERROR(__xludf.DUMMYFUNCTION("""COMPUTED_VALUE"""),"Dapat limit tapi belum diproses")</f>
        <v>Dapat limit tapi belum diproses</v>
      </c>
      <c r="D2056" s="40" t="str">
        <f>IFERROR(__xludf.DUMMYFUNCTION("""COMPUTED_VALUE"""),"Y21d series")</f>
        <v>Y21d series</v>
      </c>
      <c r="E2056" s="40" t="s">
        <v>11460</v>
      </c>
      <c r="F2056" s="40" t="s">
        <v>871</v>
      </c>
      <c r="G2056" s="40" t="s">
        <v>11461</v>
      </c>
      <c r="H2056" s="40" t="s">
        <v>11424</v>
      </c>
    </row>
    <row r="2057">
      <c r="A2057" s="39">
        <f>IFERROR(__xludf.DUMMYFUNCTION("""COMPUTED_VALUE"""),45960.49476244213)</f>
        <v>45960.49476</v>
      </c>
      <c r="B2057" s="40" t="str">
        <f>IFERROR(__xludf.DUMMYFUNCTION("""COMPUTED_VALUE"""),"YUNITA TAMELAB")</f>
        <v>YUNITA TAMELAB</v>
      </c>
      <c r="C2057" s="40" t="str">
        <f>IFERROR(__xludf.DUMMYFUNCTION("""COMPUTED_VALUE"""),"Belum disetujui")</f>
        <v>Belum disetujui</v>
      </c>
      <c r="D2057" s="40"/>
      <c r="E2057" s="40" t="s">
        <v>11472</v>
      </c>
      <c r="F2057" s="40" t="s">
        <v>667</v>
      </c>
      <c r="G2057" s="40" t="s">
        <v>11473</v>
      </c>
      <c r="H2057" s="40" t="s">
        <v>11424</v>
      </c>
    </row>
    <row r="2058">
      <c r="A2058" s="39">
        <f>IFERROR(__xludf.DUMMYFUNCTION("""COMPUTED_VALUE"""),45960.49874013889)</f>
        <v>45960.49874</v>
      </c>
      <c r="B2058" s="40" t="str">
        <f>IFERROR(__xludf.DUMMYFUNCTION("""COMPUTED_VALUE"""),"GRACELLA SARI HIVANA MANAFE")</f>
        <v>GRACELLA SARI HIVANA MANAFE</v>
      </c>
      <c r="C2058" s="40" t="str">
        <f>IFERROR(__xludf.DUMMYFUNCTION("""COMPUTED_VALUE"""),"Dapat limit tapi belum diproses")</f>
        <v>Dapat limit tapi belum diproses</v>
      </c>
      <c r="D2058" s="40" t="str">
        <f>IFERROR(__xludf.DUMMYFUNCTION("""COMPUTED_VALUE"""),"Y21d series")</f>
        <v>Y21d series</v>
      </c>
      <c r="E2058" s="40" t="s">
        <v>11478</v>
      </c>
      <c r="F2058" s="40" t="s">
        <v>220</v>
      </c>
      <c r="G2058" s="40" t="s">
        <v>11479</v>
      </c>
      <c r="H2058" s="40" t="s">
        <v>11399</v>
      </c>
    </row>
    <row r="2059">
      <c r="A2059" s="39">
        <f>IFERROR(__xludf.DUMMYFUNCTION("""COMPUTED_VALUE"""),45960.50569697917)</f>
        <v>45960.5057</v>
      </c>
      <c r="B2059" s="40" t="str">
        <f>IFERROR(__xludf.DUMMYFUNCTION("""COMPUTED_VALUE"""),"ASTUTI BELA WAWO")</f>
        <v>ASTUTI BELA WAWO</v>
      </c>
      <c r="C2059" s="40" t="str">
        <f>IFERROR(__xludf.DUMMYFUNCTION("""COMPUTED_VALUE"""),"Belum disetujui")</f>
        <v>Belum disetujui</v>
      </c>
      <c r="D2059" s="40"/>
      <c r="E2059" s="40" t="s">
        <v>11427</v>
      </c>
      <c r="F2059" s="40" t="s">
        <v>257</v>
      </c>
      <c r="G2059" s="40" t="s">
        <v>11428</v>
      </c>
      <c r="H2059" s="40" t="s">
        <v>11419</v>
      </c>
    </row>
    <row r="2060">
      <c r="A2060" s="39">
        <f>IFERROR(__xludf.DUMMYFUNCTION("""COMPUTED_VALUE"""),45960.514156956015)</f>
        <v>45960.51416</v>
      </c>
      <c r="B2060" s="40" t="str">
        <f>IFERROR(__xludf.DUMMYFUNCTION("""COMPUTED_VALUE"""),"SANTI MARIA LUKMINI NAHAK")</f>
        <v>SANTI MARIA LUKMINI NAHAK</v>
      </c>
      <c r="C2060" s="40" t="str">
        <f>IFERROR(__xludf.DUMMYFUNCTION("""COMPUTED_VALUE"""),"Belum disetujui")</f>
        <v>Belum disetujui</v>
      </c>
      <c r="D2060" s="40"/>
      <c r="E2060" s="40" t="s">
        <v>11460</v>
      </c>
      <c r="F2060" s="40" t="s">
        <v>871</v>
      </c>
      <c r="G2060" s="40" t="s">
        <v>11461</v>
      </c>
      <c r="H2060" s="40" t="s">
        <v>11424</v>
      </c>
    </row>
    <row r="2061">
      <c r="A2061" s="39">
        <f>IFERROR(__xludf.DUMMYFUNCTION("""COMPUTED_VALUE"""),45960.53228262732)</f>
        <v>45960.53228</v>
      </c>
      <c r="B2061" s="40" t="str">
        <f>IFERROR(__xludf.DUMMYFUNCTION("""COMPUTED_VALUE"""),"HERONIMUS NAMU WALI")</f>
        <v>HERONIMUS NAMU WALI</v>
      </c>
      <c r="C2061" s="40" t="str">
        <f>IFERROR(__xludf.DUMMYFUNCTION("""COMPUTED_VALUE"""),"Belum disetujui")</f>
        <v>Belum disetujui</v>
      </c>
      <c r="D2061" s="40"/>
      <c r="E2061" s="40" t="s">
        <v>11452</v>
      </c>
      <c r="F2061" s="40" t="s">
        <v>205</v>
      </c>
      <c r="G2061" s="40" t="s">
        <v>11453</v>
      </c>
      <c r="H2061" s="40" t="s">
        <v>11419</v>
      </c>
    </row>
    <row r="2062">
      <c r="A2062" s="39">
        <f>IFERROR(__xludf.DUMMYFUNCTION("""COMPUTED_VALUE"""),45960.535948125)</f>
        <v>45960.53595</v>
      </c>
      <c r="B2062" s="40" t="str">
        <f>IFERROR(__xludf.DUMMYFUNCTION("""COMPUTED_VALUE"""),"AINI RAHMATINI NATALIA MOESTAKIM")</f>
        <v>AINI RAHMATINI NATALIA MOESTAKIM</v>
      </c>
      <c r="C2062" s="40" t="str">
        <f>IFERROR(__xludf.DUMMYFUNCTION("""COMPUTED_VALUE"""),"Belum disetujui")</f>
        <v>Belum disetujui</v>
      </c>
      <c r="D2062" s="40"/>
      <c r="E2062" s="40" t="s">
        <v>11409</v>
      </c>
      <c r="F2062" s="40" t="s">
        <v>204</v>
      </c>
      <c r="G2062" s="40" t="s">
        <v>11410</v>
      </c>
      <c r="H2062" s="40" t="s">
        <v>11399</v>
      </c>
    </row>
    <row r="2063">
      <c r="A2063" s="39">
        <f>IFERROR(__xludf.DUMMYFUNCTION("""COMPUTED_VALUE"""),45960.561782881945)</f>
        <v>45960.56178</v>
      </c>
      <c r="B2063" s="40" t="str">
        <f>IFERROR(__xludf.DUMMYFUNCTION("""COMPUTED_VALUE"""),"NENY MERLIANTI NA'U")</f>
        <v>NENY MERLIANTI NA'U</v>
      </c>
      <c r="C2063" s="40" t="str">
        <f>IFERROR(__xludf.DUMMYFUNCTION("""COMPUTED_VALUE"""),"Belum disetujui")</f>
        <v>Belum disetujui</v>
      </c>
      <c r="D2063" s="40"/>
      <c r="E2063" s="40" t="s">
        <v>11476</v>
      </c>
      <c r="F2063" s="40" t="s">
        <v>204</v>
      </c>
      <c r="G2063" s="40" t="s">
        <v>11477</v>
      </c>
      <c r="H2063" s="40" t="s">
        <v>11399</v>
      </c>
    </row>
    <row r="2064">
      <c r="A2064" s="39">
        <f>IFERROR(__xludf.DUMMYFUNCTION("""COMPUTED_VALUE"""),45960.57641861111)</f>
        <v>45960.57642</v>
      </c>
      <c r="B2064" s="40" t="str">
        <f>IFERROR(__xludf.DUMMYFUNCTION("""COMPUTED_VALUE"""),"LASTRIANA PALUS")</f>
        <v>LASTRIANA PALUS</v>
      </c>
      <c r="C2064" s="40" t="str">
        <f>IFERROR(__xludf.DUMMYFUNCTION("""COMPUTED_VALUE"""),"Dapat limit tapi belum diproses")</f>
        <v>Dapat limit tapi belum diproses</v>
      </c>
      <c r="D2064" s="40" t="str">
        <f>IFERROR(__xludf.DUMMYFUNCTION("""COMPUTED_VALUE"""),"Y21d series")</f>
        <v>Y21d series</v>
      </c>
      <c r="E2064" s="40" t="s">
        <v>11468</v>
      </c>
      <c r="F2064" s="40" t="s">
        <v>257</v>
      </c>
      <c r="G2064" s="40" t="s">
        <v>11469</v>
      </c>
      <c r="H2064" s="40" t="s">
        <v>11419</v>
      </c>
    </row>
    <row r="2065">
      <c r="A2065" s="39">
        <f>IFERROR(__xludf.DUMMYFUNCTION("""COMPUTED_VALUE"""),45960.58797482638)</f>
        <v>45960.58797</v>
      </c>
      <c r="B2065" s="40" t="str">
        <f>IFERROR(__xludf.DUMMYFUNCTION("""COMPUTED_VALUE"""),"AMBU BAIQ JUMENAH")</f>
        <v>AMBU BAIQ JUMENAH</v>
      </c>
      <c r="C2065" s="40" t="str">
        <f>IFERROR(__xludf.DUMMYFUNCTION("""COMPUTED_VALUE"""),"ACC")</f>
        <v>ACC</v>
      </c>
      <c r="D2065" s="40" t="str">
        <f>IFERROR(__xludf.DUMMYFUNCTION("""COMPUTED_VALUE"""),"Y21d series")</f>
        <v>Y21d series</v>
      </c>
      <c r="E2065" s="40" t="s">
        <v>11458</v>
      </c>
      <c r="F2065" s="40" t="s">
        <v>205</v>
      </c>
      <c r="G2065" s="40" t="s">
        <v>11459</v>
      </c>
      <c r="H2065" s="40" t="s">
        <v>11419</v>
      </c>
    </row>
    <row r="2066">
      <c r="A2066" s="39">
        <f>IFERROR(__xludf.DUMMYFUNCTION("""COMPUTED_VALUE"""),45960.600862453706)</f>
        <v>45960.60086</v>
      </c>
      <c r="B2066" s="40" t="str">
        <f>IFERROR(__xludf.DUMMYFUNCTION("""COMPUTED_VALUE"""),"DWITNEY PRETY WANGGANDIMA")</f>
        <v>DWITNEY PRETY WANGGANDIMA</v>
      </c>
      <c r="C2066" s="40" t="str">
        <f>IFERROR(__xludf.DUMMYFUNCTION("""COMPUTED_VALUE"""),"Belum disetujui")</f>
        <v>Belum disetujui</v>
      </c>
      <c r="D2066" s="40"/>
      <c r="E2066" s="40" t="s">
        <v>11443</v>
      </c>
      <c r="F2066" s="40" t="s">
        <v>220</v>
      </c>
      <c r="G2066" s="40" t="s">
        <v>11444</v>
      </c>
      <c r="H2066" s="40" t="s">
        <v>11399</v>
      </c>
    </row>
    <row r="2067">
      <c r="A2067" s="39">
        <f>IFERROR(__xludf.DUMMYFUNCTION("""COMPUTED_VALUE"""),45960.60605034722)</f>
        <v>45960.60605</v>
      </c>
      <c r="B2067" s="40" t="str">
        <f>IFERROR(__xludf.DUMMYFUNCTION("""COMPUTED_VALUE"""),"SANTI MARIA LUKMINI NAHAK")</f>
        <v>SANTI MARIA LUKMINI NAHAK</v>
      </c>
      <c r="C2067" s="40" t="str">
        <f>IFERROR(__xludf.DUMMYFUNCTION("""COMPUTED_VALUE"""),"Dapat limit tapi belum diproses")</f>
        <v>Dapat limit tapi belum diproses</v>
      </c>
      <c r="D2067" s="40" t="str">
        <f>IFERROR(__xludf.DUMMYFUNCTION("""COMPUTED_VALUE"""),"Y400 series")</f>
        <v>Y400 series</v>
      </c>
      <c r="E2067" s="40" t="s">
        <v>11460</v>
      </c>
      <c r="F2067" s="40" t="s">
        <v>871</v>
      </c>
      <c r="G2067" s="40" t="s">
        <v>11461</v>
      </c>
      <c r="H2067" s="40" t="s">
        <v>11424</v>
      </c>
    </row>
    <row r="2068">
      <c r="A2068" s="39">
        <f>IFERROR(__xludf.DUMMYFUNCTION("""COMPUTED_VALUE"""),45960.701695034724)</f>
        <v>45960.7017</v>
      </c>
      <c r="B2068" s="40" t="str">
        <f>IFERROR(__xludf.DUMMYFUNCTION("""COMPUTED_VALUE"""),"HERONIMUS NAMU WALI")</f>
        <v>HERONIMUS NAMU WALI</v>
      </c>
      <c r="C2068" s="40" t="str">
        <f>IFERROR(__xludf.DUMMYFUNCTION("""COMPUTED_VALUE"""),"Belum disetujui")</f>
        <v>Belum disetujui</v>
      </c>
      <c r="D2068" s="40"/>
      <c r="E2068" s="40" t="s">
        <v>11452</v>
      </c>
      <c r="F2068" s="40" t="s">
        <v>205</v>
      </c>
      <c r="G2068" s="40" t="s">
        <v>11453</v>
      </c>
      <c r="H2068" s="40" t="s">
        <v>11419</v>
      </c>
    </row>
    <row r="2069">
      <c r="A2069" s="39">
        <f>IFERROR(__xludf.DUMMYFUNCTION("""COMPUTED_VALUE"""),45960.70743587963)</f>
        <v>45960.70744</v>
      </c>
      <c r="B2069" s="40" t="str">
        <f>IFERROR(__xludf.DUMMYFUNCTION("""COMPUTED_VALUE"""),"GRACELLA SARI HIVANA MANAFE")</f>
        <v>GRACELLA SARI HIVANA MANAFE</v>
      </c>
      <c r="C2069" s="40" t="str">
        <f>IFERROR(__xludf.DUMMYFUNCTION("""COMPUTED_VALUE"""),"Belum disetujui")</f>
        <v>Belum disetujui</v>
      </c>
      <c r="D2069" s="40"/>
      <c r="E2069" s="40" t="s">
        <v>11478</v>
      </c>
      <c r="F2069" s="40" t="s">
        <v>220</v>
      </c>
      <c r="G2069" s="40" t="s">
        <v>11479</v>
      </c>
      <c r="H2069" s="40" t="s">
        <v>11399</v>
      </c>
    </row>
    <row r="2070">
      <c r="A2070" s="39">
        <f>IFERROR(__xludf.DUMMYFUNCTION("""COMPUTED_VALUE"""),45960.70868181713)</f>
        <v>45960.70868</v>
      </c>
      <c r="B2070" s="40" t="str">
        <f>IFERROR(__xludf.DUMMYFUNCTION("""COMPUTED_VALUE"""),"ANYARMITHA SOPHIA SUEK")</f>
        <v>ANYARMITHA SOPHIA SUEK</v>
      </c>
      <c r="C2070" s="40" t="str">
        <f>IFERROR(__xludf.DUMMYFUNCTION("""COMPUTED_VALUE"""),"Belum disetujui")</f>
        <v>Belum disetujui</v>
      </c>
      <c r="D2070" s="40"/>
      <c r="E2070" s="40" t="s">
        <v>11443</v>
      </c>
      <c r="F2070" s="40" t="s">
        <v>220</v>
      </c>
      <c r="G2070" s="40" t="s">
        <v>11444</v>
      </c>
      <c r="H2070" s="40" t="s">
        <v>11399</v>
      </c>
    </row>
    <row r="2071">
      <c r="A2071" s="39">
        <f>IFERROR(__xludf.DUMMYFUNCTION("""COMPUTED_VALUE"""),45960.718166122686)</f>
        <v>45960.71817</v>
      </c>
      <c r="B2071" s="40" t="str">
        <f>IFERROR(__xludf.DUMMYFUNCTION("""COMPUTED_VALUE"""),"FERI ELI KURNIAWAN")</f>
        <v>FERI ELI KURNIAWAN</v>
      </c>
      <c r="C2071" s="40" t="str">
        <f>IFERROR(__xludf.DUMMYFUNCTION("""COMPUTED_VALUE"""),"ACC")</f>
        <v>ACC</v>
      </c>
      <c r="D2071" s="40" t="str">
        <f>IFERROR(__xludf.DUMMYFUNCTION("""COMPUTED_VALUE"""),"V50 series")</f>
        <v>V50 series</v>
      </c>
      <c r="E2071" s="40" t="s">
        <v>11411</v>
      </c>
      <c r="F2071" s="40" t="s">
        <v>220</v>
      </c>
      <c r="G2071" s="40" t="s">
        <v>11412</v>
      </c>
      <c r="H2071" s="40" t="s">
        <v>11399</v>
      </c>
    </row>
    <row r="2072">
      <c r="A2072" s="39">
        <f>IFERROR(__xludf.DUMMYFUNCTION("""COMPUTED_VALUE"""),45960.73287952546)</f>
        <v>45960.73288</v>
      </c>
      <c r="B2072" s="40" t="str">
        <f>IFERROR(__xludf.DUMMYFUNCTION("""COMPUTED_VALUE"""),"SANTI MARIA LUKMINI NAHAK")</f>
        <v>SANTI MARIA LUKMINI NAHAK</v>
      </c>
      <c r="C2072" s="40" t="str">
        <f>IFERROR(__xludf.DUMMYFUNCTION("""COMPUTED_VALUE"""),"ACC")</f>
        <v>ACC</v>
      </c>
      <c r="D2072" s="40" t="str">
        <f>IFERROR(__xludf.DUMMYFUNCTION("""COMPUTED_VALUE"""),"Y400 series")</f>
        <v>Y400 series</v>
      </c>
      <c r="E2072" s="40" t="s">
        <v>11460</v>
      </c>
      <c r="F2072" s="40" t="s">
        <v>871</v>
      </c>
      <c r="G2072" s="40" t="s">
        <v>11461</v>
      </c>
      <c r="H2072" s="40" t="s">
        <v>11424</v>
      </c>
    </row>
    <row r="2073">
      <c r="A2073" s="39">
        <f>IFERROR(__xludf.DUMMYFUNCTION("""COMPUTED_VALUE"""),45960.73384224537)</f>
        <v>45960.73384</v>
      </c>
      <c r="B2073" s="40" t="str">
        <f>IFERROR(__xludf.DUMMYFUNCTION("""COMPUTED_VALUE"""),"PATRIANI MENGI ULY")</f>
        <v>PATRIANI MENGI ULY</v>
      </c>
      <c r="C2073" s="40" t="str">
        <f>IFERROR(__xludf.DUMMYFUNCTION("""COMPUTED_VALUE"""),"Belum disetujui")</f>
        <v>Belum disetujui</v>
      </c>
      <c r="D2073" s="40"/>
      <c r="E2073" s="40" t="s">
        <v>11402</v>
      </c>
      <c r="F2073" s="40" t="s">
        <v>204</v>
      </c>
      <c r="G2073" s="40" t="s">
        <v>11403</v>
      </c>
      <c r="H2073" s="40" t="s">
        <v>11399</v>
      </c>
    </row>
    <row r="2074">
      <c r="A2074" s="39">
        <f>IFERROR(__xludf.DUMMYFUNCTION("""COMPUTED_VALUE"""),45960.75465225695)</f>
        <v>45960.75465</v>
      </c>
      <c r="B2074" s="40" t="str">
        <f>IFERROR(__xludf.DUMMYFUNCTION("""COMPUTED_VALUE"""),"AINI RAHMATINI NATALIA MOESTAKIM")</f>
        <v>AINI RAHMATINI NATALIA MOESTAKIM</v>
      </c>
      <c r="C2074" s="40" t="str">
        <f>IFERROR(__xludf.DUMMYFUNCTION("""COMPUTED_VALUE"""),"ACC")</f>
        <v>ACC</v>
      </c>
      <c r="D2074" s="40" t="str">
        <f>IFERROR(__xludf.DUMMYFUNCTION("""COMPUTED_VALUE"""),"Y400 series")</f>
        <v>Y400 series</v>
      </c>
      <c r="E2074" s="40" t="s">
        <v>11409</v>
      </c>
      <c r="F2074" s="40" t="s">
        <v>204</v>
      </c>
      <c r="G2074" s="40" t="s">
        <v>11410</v>
      </c>
      <c r="H2074" s="40" t="s">
        <v>11399</v>
      </c>
    </row>
    <row r="2075">
      <c r="A2075" s="39">
        <f>IFERROR(__xludf.DUMMYFUNCTION("""COMPUTED_VALUE"""),45960.76371630787)</f>
        <v>45960.76372</v>
      </c>
      <c r="B2075" s="40" t="str">
        <f>IFERROR(__xludf.DUMMYFUNCTION("""COMPUTED_VALUE"""),"MARNITHA JUWIKE TIMORATI RUNESI")</f>
        <v>MARNITHA JUWIKE TIMORATI RUNESI</v>
      </c>
      <c r="C2075" s="40" t="str">
        <f>IFERROR(__xludf.DUMMYFUNCTION("""COMPUTED_VALUE"""),"Belum disetujui")</f>
        <v>Belum disetujui</v>
      </c>
      <c r="D2075" s="40"/>
      <c r="E2075" s="40" t="s">
        <v>11420</v>
      </c>
      <c r="F2075" s="40" t="s">
        <v>204</v>
      </c>
      <c r="G2075" s="40" t="s">
        <v>11421</v>
      </c>
      <c r="H2075" s="40" t="s">
        <v>11399</v>
      </c>
    </row>
    <row r="2076">
      <c r="A2076" s="39">
        <f>IFERROR(__xludf.DUMMYFUNCTION("""COMPUTED_VALUE"""),45960.7791728588)</f>
        <v>45960.77917</v>
      </c>
      <c r="B2076" s="40" t="str">
        <f>IFERROR(__xludf.DUMMYFUNCTION("""COMPUTED_VALUE"""),"AINI RAHMATINI NATALIA MOESTAKIM")</f>
        <v>AINI RAHMATINI NATALIA MOESTAKIM</v>
      </c>
      <c r="C2076" s="40" t="str">
        <f>IFERROR(__xludf.DUMMYFUNCTION("""COMPUTED_VALUE"""),"Belum disetujui")</f>
        <v>Belum disetujui</v>
      </c>
      <c r="D2076" s="40"/>
      <c r="E2076" s="40" t="s">
        <v>11409</v>
      </c>
      <c r="F2076" s="40" t="s">
        <v>204</v>
      </c>
      <c r="G2076" s="40" t="s">
        <v>11410</v>
      </c>
      <c r="H2076" s="40" t="s">
        <v>11399</v>
      </c>
    </row>
    <row r="2077">
      <c r="A2077" s="39">
        <f>IFERROR(__xludf.DUMMYFUNCTION("""COMPUTED_VALUE"""),45960.784570069445)</f>
        <v>45960.78457</v>
      </c>
      <c r="B2077" s="40" t="str">
        <f>IFERROR(__xludf.DUMMYFUNCTION("""COMPUTED_VALUE"""),"WINDRI MANOE")</f>
        <v>WINDRI MANOE</v>
      </c>
      <c r="C2077" s="40" t="str">
        <f>IFERROR(__xludf.DUMMYFUNCTION("""COMPUTED_VALUE"""),"Belum disetujui")</f>
        <v>Belum disetujui</v>
      </c>
      <c r="D2077" s="40"/>
      <c r="E2077" s="40" t="s">
        <v>11443</v>
      </c>
      <c r="F2077" s="40" t="s">
        <v>220</v>
      </c>
      <c r="G2077" s="40" t="s">
        <v>11444</v>
      </c>
      <c r="H2077" s="40" t="s">
        <v>11399</v>
      </c>
    </row>
    <row r="2078">
      <c r="A2078" s="39">
        <f>IFERROR(__xludf.DUMMYFUNCTION("""COMPUTED_VALUE"""),45960.82394938657)</f>
        <v>45960.82395</v>
      </c>
      <c r="B2078" s="40" t="str">
        <f>IFERROR(__xludf.DUMMYFUNCTION("""COMPUTED_VALUE"""),"MARIA MELAN ANANCE BILI")</f>
        <v>MARIA MELAN ANANCE BILI</v>
      </c>
      <c r="C2078" s="40" t="str">
        <f>IFERROR(__xludf.DUMMYFUNCTION("""COMPUTED_VALUE"""),"Belum disetujui")</f>
        <v>Belum disetujui</v>
      </c>
      <c r="D2078" s="40"/>
      <c r="E2078" s="40" t="s">
        <v>11466</v>
      </c>
      <c r="F2078" s="40" t="s">
        <v>257</v>
      </c>
      <c r="G2078" s="40" t="s">
        <v>11467</v>
      </c>
      <c r="H2078" s="40" t="s">
        <v>11419</v>
      </c>
    </row>
    <row r="2079">
      <c r="A2079" s="39">
        <f>IFERROR(__xludf.DUMMYFUNCTION("""COMPUTED_VALUE"""),45960.83705571759)</f>
        <v>45960.83706</v>
      </c>
      <c r="B2079" s="40" t="str">
        <f>IFERROR(__xludf.DUMMYFUNCTION("""COMPUTED_VALUE"""),"MARNITHA JUWIKE TIMORATI RUNESI")</f>
        <v>MARNITHA JUWIKE TIMORATI RUNESI</v>
      </c>
      <c r="C2079" s="40" t="str">
        <f>IFERROR(__xludf.DUMMYFUNCTION("""COMPUTED_VALUE"""),"ACC")</f>
        <v>ACC</v>
      </c>
      <c r="D2079" s="40" t="str">
        <f>IFERROR(__xludf.DUMMYFUNCTION("""COMPUTED_VALUE"""),"Y21d series")</f>
        <v>Y21d series</v>
      </c>
      <c r="E2079" s="40" t="s">
        <v>11420</v>
      </c>
      <c r="F2079" s="40" t="s">
        <v>204</v>
      </c>
      <c r="G2079" s="40" t="s">
        <v>11421</v>
      </c>
      <c r="H2079" s="40" t="s">
        <v>11399</v>
      </c>
    </row>
    <row r="2080">
      <c r="A2080" s="39">
        <f>IFERROR(__xludf.DUMMYFUNCTION("""COMPUTED_VALUE"""),45960.89492622685)</f>
        <v>45960.89493</v>
      </c>
      <c r="B2080" s="40" t="str">
        <f>IFERROR(__xludf.DUMMYFUNCTION("""COMPUTED_VALUE"""),"AINI RAHMATINI NATALIA MOESTAKIM")</f>
        <v>AINI RAHMATINI NATALIA MOESTAKIM</v>
      </c>
      <c r="C2080" s="40" t="str">
        <f>IFERROR(__xludf.DUMMYFUNCTION("""COMPUTED_VALUE"""),"ACC")</f>
        <v>ACC</v>
      </c>
      <c r="D2080" s="40" t="str">
        <f>IFERROR(__xludf.DUMMYFUNCTION("""COMPUTED_VALUE"""),"V60 series")</f>
        <v>V60 series</v>
      </c>
      <c r="E2080" s="40" t="s">
        <v>11409</v>
      </c>
      <c r="F2080" s="40" t="s">
        <v>204</v>
      </c>
      <c r="G2080" s="40" t="s">
        <v>11410</v>
      </c>
      <c r="H2080" s="40" t="s">
        <v>11399</v>
      </c>
    </row>
    <row r="2081">
      <c r="A2081" s="39">
        <f>IFERROR(__xludf.DUMMYFUNCTION("""COMPUTED_VALUE"""),45960.896436875)</f>
        <v>45960.89644</v>
      </c>
      <c r="B2081" s="40" t="str">
        <f>IFERROR(__xludf.DUMMYFUNCTION("""COMPUTED_VALUE"""),"AINI RAHMATINI NATALIA MOESTAKIM")</f>
        <v>AINI RAHMATINI NATALIA MOESTAKIM</v>
      </c>
      <c r="C2081" s="40" t="str">
        <f>IFERROR(__xludf.DUMMYFUNCTION("""COMPUTED_VALUE"""),"Dapat limit tapi belum diproses")</f>
        <v>Dapat limit tapi belum diproses</v>
      </c>
      <c r="D2081" s="40" t="str">
        <f>IFERROR(__xludf.DUMMYFUNCTION("""COMPUTED_VALUE"""),"V60 Lite series")</f>
        <v>V60 Lite series</v>
      </c>
      <c r="E2081" s="40" t="s">
        <v>11409</v>
      </c>
      <c r="F2081" s="40" t="s">
        <v>204</v>
      </c>
      <c r="G2081" s="40" t="s">
        <v>11410</v>
      </c>
      <c r="H2081" s="40" t="s">
        <v>11399</v>
      </c>
    </row>
    <row r="2082">
      <c r="A2082" s="39">
        <f>IFERROR(__xludf.DUMMYFUNCTION("""COMPUTED_VALUE"""),45960.898450717585)</f>
        <v>45960.89845</v>
      </c>
      <c r="B2082" s="40" t="str">
        <f>IFERROR(__xludf.DUMMYFUNCTION("""COMPUTED_VALUE"""),"ALITA D PAU")</f>
        <v>ALITA D PAU</v>
      </c>
      <c r="C2082" s="40" t="str">
        <f>IFERROR(__xludf.DUMMYFUNCTION("""COMPUTED_VALUE"""),"ACC")</f>
        <v>ACC</v>
      </c>
      <c r="D2082" s="40" t="str">
        <f>IFERROR(__xludf.DUMMYFUNCTION("""COMPUTED_VALUE"""),"Y400 series")</f>
        <v>Y400 series</v>
      </c>
      <c r="E2082" s="40" t="s">
        <v>11447</v>
      </c>
      <c r="F2082" s="40" t="s">
        <v>205</v>
      </c>
      <c r="G2082" s="40" t="s">
        <v>11448</v>
      </c>
      <c r="H2082" s="40" t="s">
        <v>11419</v>
      </c>
    </row>
    <row r="2083">
      <c r="A2083" s="39">
        <f>IFERROR(__xludf.DUMMYFUNCTION("""COMPUTED_VALUE"""),45961.431881192126)</f>
        <v>45961.43188</v>
      </c>
      <c r="B2083" s="40" t="str">
        <f>IFERROR(__xludf.DUMMYFUNCTION("""COMPUTED_VALUE"""),"BERGITHA NIA OLIN")</f>
        <v>BERGITHA NIA OLIN</v>
      </c>
      <c r="C2083" s="40" t="str">
        <f>IFERROR(__xludf.DUMMYFUNCTION("""COMPUTED_VALUE"""),"Belum disetujui")</f>
        <v>Belum disetujui</v>
      </c>
      <c r="D2083" s="40"/>
      <c r="E2083" s="40" t="s">
        <v>11431</v>
      </c>
      <c r="F2083" s="40" t="s">
        <v>313</v>
      </c>
      <c r="G2083" s="40" t="s">
        <v>11432</v>
      </c>
      <c r="H2083" s="40" t="s">
        <v>11424</v>
      </c>
    </row>
    <row r="2084">
      <c r="A2084" s="39">
        <f>IFERROR(__xludf.DUMMYFUNCTION("""COMPUTED_VALUE"""),45961.43716498843)</f>
        <v>45961.43716</v>
      </c>
      <c r="B2084" s="40" t="str">
        <f>IFERROR(__xludf.DUMMYFUNCTION("""COMPUTED_VALUE"""),"ARMINDA TEKU MANEK")</f>
        <v>ARMINDA TEKU MANEK</v>
      </c>
      <c r="C2084" s="40" t="str">
        <f>IFERROR(__xludf.DUMMYFUNCTION("""COMPUTED_VALUE"""),"Belum disetujui")</f>
        <v>Belum disetujui</v>
      </c>
      <c r="D2084" s="40"/>
      <c r="E2084" s="40" t="s">
        <v>11474</v>
      </c>
      <c r="F2084" s="40" t="s">
        <v>313</v>
      </c>
      <c r="G2084" s="40" t="s">
        <v>11475</v>
      </c>
      <c r="H2084" s="40" t="s">
        <v>11424</v>
      </c>
    </row>
    <row r="2085">
      <c r="A2085" s="39">
        <f>IFERROR(__xludf.DUMMYFUNCTION("""COMPUTED_VALUE"""),45961.46350111111)</f>
        <v>45961.4635</v>
      </c>
      <c r="B2085" s="40" t="str">
        <f>IFERROR(__xludf.DUMMYFUNCTION("""COMPUTED_VALUE"""),"SANTI MARIA LUKMINI NAHAK")</f>
        <v>SANTI MARIA LUKMINI NAHAK</v>
      </c>
      <c r="C2085" s="40" t="str">
        <f>IFERROR(__xludf.DUMMYFUNCTION("""COMPUTED_VALUE"""),"Belum disetujui")</f>
        <v>Belum disetujui</v>
      </c>
      <c r="D2085" s="40"/>
      <c r="E2085" s="40" t="s">
        <v>11460</v>
      </c>
      <c r="F2085" s="40" t="s">
        <v>871</v>
      </c>
      <c r="G2085" s="40" t="s">
        <v>11461</v>
      </c>
      <c r="H2085" s="40" t="s">
        <v>11424</v>
      </c>
    </row>
    <row r="2086">
      <c r="A2086" s="39">
        <f>IFERROR(__xludf.DUMMYFUNCTION("""COMPUTED_VALUE"""),45961.47452163194)</f>
        <v>45961.47452</v>
      </c>
      <c r="B2086" s="40" t="str">
        <f>IFERROR(__xludf.DUMMYFUNCTION("""COMPUTED_VALUE"""),"BERGITHA NIA OLIN")</f>
        <v>BERGITHA NIA OLIN</v>
      </c>
      <c r="C2086" s="40" t="str">
        <f>IFERROR(__xludf.DUMMYFUNCTION("""COMPUTED_VALUE"""),"Belum disetujui")</f>
        <v>Belum disetujui</v>
      </c>
      <c r="D2086" s="40"/>
      <c r="E2086" s="40" t="s">
        <v>11431</v>
      </c>
      <c r="F2086" s="40" t="s">
        <v>313</v>
      </c>
      <c r="G2086" s="40" t="s">
        <v>11432</v>
      </c>
      <c r="H2086" s="40" t="s">
        <v>11424</v>
      </c>
    </row>
    <row r="2087">
      <c r="A2087" s="39">
        <f>IFERROR(__xludf.DUMMYFUNCTION("""COMPUTED_VALUE"""),45961.48065074074)</f>
        <v>45961.48065</v>
      </c>
      <c r="B2087" s="40" t="str">
        <f>IFERROR(__xludf.DUMMYFUNCTION("""COMPUTED_VALUE"""),"NOVLIANA BARBALINA MISA")</f>
        <v>NOVLIANA BARBALINA MISA</v>
      </c>
      <c r="C2087" s="40" t="str">
        <f>IFERROR(__xludf.DUMMYFUNCTION("""COMPUTED_VALUE"""),"ACC")</f>
        <v>ACC</v>
      </c>
      <c r="D2087" s="40" t="str">
        <f>IFERROR(__xludf.DUMMYFUNCTION("""COMPUTED_VALUE"""),"Y400 series")</f>
        <v>Y400 series</v>
      </c>
      <c r="E2087" s="40" t="s">
        <v>11454</v>
      </c>
      <c r="F2087" s="40" t="s">
        <v>205</v>
      </c>
      <c r="G2087" s="40" t="s">
        <v>11455</v>
      </c>
      <c r="H2087" s="40" t="s">
        <v>11419</v>
      </c>
    </row>
    <row r="2088">
      <c r="A2088" s="39">
        <f>IFERROR(__xludf.DUMMYFUNCTION("""COMPUTED_VALUE"""),45961.48307188657)</f>
        <v>45961.48307</v>
      </c>
      <c r="B2088" s="40" t="str">
        <f>IFERROR(__xludf.DUMMYFUNCTION("""COMPUTED_VALUE"""),"ESTER LUDJI")</f>
        <v>ESTER LUDJI</v>
      </c>
      <c r="C2088" s="40" t="str">
        <f>IFERROR(__xludf.DUMMYFUNCTION("""COMPUTED_VALUE"""),"Belum disetujui")</f>
        <v>Belum disetujui</v>
      </c>
      <c r="D2088" s="40"/>
      <c r="E2088" s="40" t="s">
        <v>11441</v>
      </c>
      <c r="F2088" s="40" t="s">
        <v>205</v>
      </c>
      <c r="G2088" s="40" t="s">
        <v>11442</v>
      </c>
      <c r="H2088" s="40" t="s">
        <v>11419</v>
      </c>
    </row>
    <row r="2089">
      <c r="A2089" s="39">
        <f>IFERROR(__xludf.DUMMYFUNCTION("""COMPUTED_VALUE"""),45961.49320123842)</f>
        <v>45961.4932</v>
      </c>
      <c r="B2089" s="40" t="str">
        <f>IFERROR(__xludf.DUMMYFUNCTION("""COMPUTED_VALUE"""),"KESIA NATALIA I. BENU")</f>
        <v>KESIA NATALIA I. BENU</v>
      </c>
      <c r="C2089" s="40" t="str">
        <f>IFERROR(__xludf.DUMMYFUNCTION("""COMPUTED_VALUE"""),"ACC")</f>
        <v>ACC</v>
      </c>
      <c r="D2089" s="40" t="str">
        <f>IFERROR(__xludf.DUMMYFUNCTION("""COMPUTED_VALUE"""),"V50 Lite series")</f>
        <v>V50 Lite series</v>
      </c>
      <c r="E2089" s="40" t="s">
        <v>11417</v>
      </c>
      <c r="F2089" s="40" t="s">
        <v>257</v>
      </c>
      <c r="G2089" s="40" t="s">
        <v>11418</v>
      </c>
      <c r="H2089" s="40" t="s">
        <v>11419</v>
      </c>
    </row>
    <row r="2090">
      <c r="A2090" s="39">
        <f>IFERROR(__xludf.DUMMYFUNCTION("""COMPUTED_VALUE"""),45961.538194583336)</f>
        <v>45961.53819</v>
      </c>
      <c r="B2090" s="40" t="str">
        <f>IFERROR(__xludf.DUMMYFUNCTION("""COMPUTED_VALUE"""),"LASTRIANA PALUS")</f>
        <v>LASTRIANA PALUS</v>
      </c>
      <c r="C2090" s="40" t="str">
        <f>IFERROR(__xludf.DUMMYFUNCTION("""COMPUTED_VALUE"""),"Dapat limit tapi belum diproses")</f>
        <v>Dapat limit tapi belum diproses</v>
      </c>
      <c r="D2090" s="40" t="str">
        <f>IFERROR(__xludf.DUMMYFUNCTION("""COMPUTED_VALUE"""),"Y21d series")</f>
        <v>Y21d series</v>
      </c>
      <c r="E2090" s="40" t="s">
        <v>11468</v>
      </c>
      <c r="F2090" s="40" t="s">
        <v>257</v>
      </c>
      <c r="G2090" s="40" t="s">
        <v>11469</v>
      </c>
      <c r="H2090" s="40" t="s">
        <v>11419</v>
      </c>
    </row>
    <row r="2091">
      <c r="A2091" s="39">
        <f>IFERROR(__xludf.DUMMYFUNCTION("""COMPUTED_VALUE"""),45961.543070335654)</f>
        <v>45961.54307</v>
      </c>
      <c r="B2091" s="40" t="str">
        <f>IFERROR(__xludf.DUMMYFUNCTION("""COMPUTED_VALUE"""),"LASTRIANA PALUS")</f>
        <v>LASTRIANA PALUS</v>
      </c>
      <c r="C2091" s="40" t="str">
        <f>IFERROR(__xludf.DUMMYFUNCTION("""COMPUTED_VALUE"""),"ACC")</f>
        <v>ACC</v>
      </c>
      <c r="D2091" s="40" t="str">
        <f>IFERROR(__xludf.DUMMYFUNCTION("""COMPUTED_VALUE"""),"Y21d series")</f>
        <v>Y21d series</v>
      </c>
      <c r="E2091" s="40" t="s">
        <v>11468</v>
      </c>
      <c r="F2091" s="40" t="s">
        <v>257</v>
      </c>
      <c r="G2091" s="40" t="s">
        <v>11469</v>
      </c>
      <c r="H2091" s="40" t="s">
        <v>11419</v>
      </c>
    </row>
    <row r="2092">
      <c r="A2092" s="39">
        <f>IFERROR(__xludf.DUMMYFUNCTION("""COMPUTED_VALUE"""),45961.573398657405)</f>
        <v>45961.5734</v>
      </c>
      <c r="B2092" s="40" t="str">
        <f>IFERROR(__xludf.DUMMYFUNCTION("""COMPUTED_VALUE"""),"ASTUTI BELA WAWO")</f>
        <v>ASTUTI BELA WAWO</v>
      </c>
      <c r="C2092" s="40" t="str">
        <f>IFERROR(__xludf.DUMMYFUNCTION("""COMPUTED_VALUE"""),"Dapat limit tapi belum diproses")</f>
        <v>Dapat limit tapi belum diproses</v>
      </c>
      <c r="D2092" s="40" t="str">
        <f>IFERROR(__xludf.DUMMYFUNCTION("""COMPUTED_VALUE"""),"Y400 series")</f>
        <v>Y400 series</v>
      </c>
      <c r="E2092" s="40" t="s">
        <v>11427</v>
      </c>
      <c r="F2092" s="40" t="s">
        <v>257</v>
      </c>
      <c r="G2092" s="40" t="s">
        <v>11428</v>
      </c>
      <c r="H2092" s="40" t="s">
        <v>11419</v>
      </c>
    </row>
    <row r="2093">
      <c r="A2093" s="39">
        <f>IFERROR(__xludf.DUMMYFUNCTION("""COMPUTED_VALUE"""),45961.57943341435)</f>
        <v>45961.57943</v>
      </c>
      <c r="B2093" s="40" t="str">
        <f>IFERROR(__xludf.DUMMYFUNCTION("""COMPUTED_VALUE"""),"AMBU BAIQ JUMENAH")</f>
        <v>AMBU BAIQ JUMENAH</v>
      </c>
      <c r="C2093" s="40" t="str">
        <f>IFERROR(__xludf.DUMMYFUNCTION("""COMPUTED_VALUE"""),"Dapat limit tapi belum diproses")</f>
        <v>Dapat limit tapi belum diproses</v>
      </c>
      <c r="D2093" s="40" t="str">
        <f>IFERROR(__xludf.DUMMYFUNCTION("""COMPUTED_VALUE"""),"Y400 series")</f>
        <v>Y400 series</v>
      </c>
      <c r="E2093" s="40" t="s">
        <v>11458</v>
      </c>
      <c r="F2093" s="40" t="s">
        <v>205</v>
      </c>
      <c r="G2093" s="40" t="s">
        <v>11459</v>
      </c>
      <c r="H2093" s="40" t="s">
        <v>11419</v>
      </c>
    </row>
    <row r="2094">
      <c r="A2094" s="39">
        <f>IFERROR(__xludf.DUMMYFUNCTION("""COMPUTED_VALUE"""),45961.59215056712)</f>
        <v>45961.59215</v>
      </c>
      <c r="B2094" s="40" t="str">
        <f>IFERROR(__xludf.DUMMYFUNCTION("""COMPUTED_VALUE"""),"BERGITHA NIA OLIN")</f>
        <v>BERGITHA NIA OLIN</v>
      </c>
      <c r="C2094" s="40" t="str">
        <f>IFERROR(__xludf.DUMMYFUNCTION("""COMPUTED_VALUE"""),"Belum disetujui")</f>
        <v>Belum disetujui</v>
      </c>
      <c r="D2094" s="40"/>
      <c r="E2094" s="40" t="s">
        <v>11431</v>
      </c>
      <c r="F2094" s="40" t="s">
        <v>313</v>
      </c>
      <c r="G2094" s="40" t="s">
        <v>11432</v>
      </c>
      <c r="H2094" s="40" t="s">
        <v>11424</v>
      </c>
    </row>
    <row r="2095">
      <c r="A2095" s="39">
        <f>IFERROR(__xludf.DUMMYFUNCTION("""COMPUTED_VALUE"""),45961.59257212963)</f>
        <v>45961.59257</v>
      </c>
      <c r="B2095" s="40" t="str">
        <f>IFERROR(__xludf.DUMMYFUNCTION("""COMPUTED_VALUE"""),"ADRIANA")</f>
        <v>ADRIANA</v>
      </c>
      <c r="C2095" s="40" t="str">
        <f>IFERROR(__xludf.DUMMYFUNCTION("""COMPUTED_VALUE"""),"Belum disetujui")</f>
        <v>Belum disetujui</v>
      </c>
      <c r="D2095" s="40"/>
      <c r="E2095" s="40" t="s">
        <v>11433</v>
      </c>
      <c r="F2095" s="40" t="s">
        <v>313</v>
      </c>
      <c r="G2095" s="40" t="s">
        <v>11434</v>
      </c>
      <c r="H2095" s="40" t="s">
        <v>11424</v>
      </c>
    </row>
    <row r="2096">
      <c r="A2096" s="39">
        <f>IFERROR(__xludf.DUMMYFUNCTION("""COMPUTED_VALUE"""),45961.594870567125)</f>
        <v>45961.59487</v>
      </c>
      <c r="B2096" s="40" t="str">
        <f>IFERROR(__xludf.DUMMYFUNCTION("""COMPUTED_VALUE"""),"ADRIANA")</f>
        <v>ADRIANA</v>
      </c>
      <c r="C2096" s="40" t="str">
        <f>IFERROR(__xludf.DUMMYFUNCTION("""COMPUTED_VALUE"""),"Dapat limit tapi belum diproses")</f>
        <v>Dapat limit tapi belum diproses</v>
      </c>
      <c r="D2096" s="40" t="str">
        <f>IFERROR(__xludf.DUMMYFUNCTION("""COMPUTED_VALUE"""),"Y21d series")</f>
        <v>Y21d series</v>
      </c>
      <c r="E2096" s="40" t="s">
        <v>11433</v>
      </c>
      <c r="F2096" s="40" t="s">
        <v>313</v>
      </c>
      <c r="G2096" s="40" t="s">
        <v>11434</v>
      </c>
      <c r="H2096" s="40" t="s">
        <v>11424</v>
      </c>
    </row>
    <row r="2097">
      <c r="A2097" s="39">
        <f>IFERROR(__xludf.DUMMYFUNCTION("""COMPUTED_VALUE"""),45961.610824537034)</f>
        <v>45961.61082</v>
      </c>
      <c r="B2097" s="40" t="str">
        <f>IFERROR(__xludf.DUMMYFUNCTION("""COMPUTED_VALUE"""),"ASTUTI BELA WAWO")</f>
        <v>ASTUTI BELA WAWO</v>
      </c>
      <c r="C2097" s="40" t="str">
        <f>IFERROR(__xludf.DUMMYFUNCTION("""COMPUTED_VALUE"""),"Belum disetujui")</f>
        <v>Belum disetujui</v>
      </c>
      <c r="D2097" s="40"/>
      <c r="E2097" s="40" t="s">
        <v>11427</v>
      </c>
      <c r="F2097" s="40" t="s">
        <v>257</v>
      </c>
      <c r="G2097" s="40" t="s">
        <v>11428</v>
      </c>
      <c r="H2097" s="40" t="s">
        <v>11419</v>
      </c>
    </row>
    <row r="2098">
      <c r="A2098" s="39">
        <f>IFERROR(__xludf.DUMMYFUNCTION("""COMPUTED_VALUE"""),45961.76098878472)</f>
        <v>45961.76099</v>
      </c>
      <c r="B2098" s="40" t="str">
        <f>IFERROR(__xludf.DUMMYFUNCTION("""COMPUTED_VALUE"""),"GRACELLA SARI HIVANA MANAFE")</f>
        <v>GRACELLA SARI HIVANA MANAFE</v>
      </c>
      <c r="C2098" s="40" t="str">
        <f>IFERROR(__xludf.DUMMYFUNCTION("""COMPUTED_VALUE"""),"Belum disetujui")</f>
        <v>Belum disetujui</v>
      </c>
      <c r="D2098" s="40"/>
      <c r="E2098" s="40" t="s">
        <v>11478</v>
      </c>
      <c r="F2098" s="40" t="s">
        <v>220</v>
      </c>
      <c r="G2098" s="40" t="s">
        <v>11479</v>
      </c>
      <c r="H2098" s="40" t="s">
        <v>11399</v>
      </c>
    </row>
    <row r="2099">
      <c r="A2099" s="39">
        <f>IFERROR(__xludf.DUMMYFUNCTION("""COMPUTED_VALUE"""),45961.77177670139)</f>
        <v>45961.77178</v>
      </c>
      <c r="B2099" s="40" t="str">
        <f>IFERROR(__xludf.DUMMYFUNCTION("""COMPUTED_VALUE"""),"ESTER LUDJI")</f>
        <v>ESTER LUDJI</v>
      </c>
      <c r="C2099" s="40" t="str">
        <f>IFERROR(__xludf.DUMMYFUNCTION("""COMPUTED_VALUE"""),"ACC")</f>
        <v>ACC</v>
      </c>
      <c r="D2099" s="40" t="str">
        <f>IFERROR(__xludf.DUMMYFUNCTION("""COMPUTED_VALUE"""),"Y400 series")</f>
        <v>Y400 series</v>
      </c>
      <c r="E2099" s="40" t="s">
        <v>11441</v>
      </c>
      <c r="F2099" s="40" t="s">
        <v>205</v>
      </c>
      <c r="G2099" s="40" t="s">
        <v>11442</v>
      </c>
      <c r="H2099" s="40" t="s">
        <v>11419</v>
      </c>
    </row>
    <row r="2100">
      <c r="A2100" s="39">
        <f>IFERROR(__xludf.DUMMYFUNCTION("""COMPUTED_VALUE"""),45961.777387835646)</f>
        <v>45961.77739</v>
      </c>
      <c r="B2100" s="40" t="str">
        <f>IFERROR(__xludf.DUMMYFUNCTION("""COMPUTED_VALUE"""),"ASTUTI BELA WAWO")</f>
        <v>ASTUTI BELA WAWO</v>
      </c>
      <c r="C2100" s="40" t="str">
        <f>IFERROR(__xludf.DUMMYFUNCTION("""COMPUTED_VALUE"""),"ACC")</f>
        <v>ACC</v>
      </c>
      <c r="D2100" s="40" t="str">
        <f>IFERROR(__xludf.DUMMYFUNCTION("""COMPUTED_VALUE"""),"Y400 series")</f>
        <v>Y400 series</v>
      </c>
      <c r="E2100" s="40" t="s">
        <v>11427</v>
      </c>
      <c r="F2100" s="40" t="s">
        <v>257</v>
      </c>
      <c r="G2100" s="40" t="s">
        <v>11428</v>
      </c>
      <c r="H2100" s="40" t="s">
        <v>11419</v>
      </c>
    </row>
    <row r="2101">
      <c r="A2101" s="39">
        <f>IFERROR(__xludf.DUMMYFUNCTION("""COMPUTED_VALUE"""),45961.81886586806)</f>
        <v>45961.81887</v>
      </c>
      <c r="B2101" s="40" t="str">
        <f>IFERROR(__xludf.DUMMYFUNCTION("""COMPUTED_VALUE"""),"PRETI SISILIA SILA")</f>
        <v>PRETI SISILIA SILA</v>
      </c>
      <c r="C2101" s="40" t="str">
        <f>IFERROR(__xludf.DUMMYFUNCTION("""COMPUTED_VALUE"""),"Dapat limit tapi belum diproses")</f>
        <v>Dapat limit tapi belum diproses</v>
      </c>
      <c r="D2101" s="40" t="str">
        <f>IFERROR(__xludf.DUMMYFUNCTION("""COMPUTED_VALUE"""),"V60 series")</f>
        <v>V60 series</v>
      </c>
      <c r="E2101" s="40" t="s">
        <v>11456</v>
      </c>
      <c r="F2101" s="40" t="s">
        <v>667</v>
      </c>
      <c r="G2101" s="40" t="s">
        <v>11457</v>
      </c>
      <c r="H2101" s="40" t="s">
        <v>11424</v>
      </c>
    </row>
    <row r="2102">
      <c r="A2102" s="39">
        <f>IFERROR(__xludf.DUMMYFUNCTION("""COMPUTED_VALUE"""),45961.8214559838)</f>
        <v>45961.82146</v>
      </c>
      <c r="B2102" s="40" t="str">
        <f>IFERROR(__xludf.DUMMYFUNCTION("""COMPUTED_VALUE"""),"IRENE NOVALIA KADJU")</f>
        <v>IRENE NOVALIA KADJU</v>
      </c>
      <c r="C2102" s="40" t="str">
        <f>IFERROR(__xludf.DUMMYFUNCTION("""COMPUTED_VALUE"""),"Belum disetujui")</f>
        <v>Belum disetujui</v>
      </c>
      <c r="D2102" s="40"/>
      <c r="E2102" s="40" t="s">
        <v>11445</v>
      </c>
      <c r="F2102" s="40" t="s">
        <v>204</v>
      </c>
      <c r="G2102" s="40" t="s">
        <v>11446</v>
      </c>
      <c r="H2102" s="40" t="s">
        <v>11399</v>
      </c>
    </row>
    <row r="2103">
      <c r="A2103" s="39">
        <f>IFERROR(__xludf.DUMMYFUNCTION("""COMPUTED_VALUE"""),45962.403202291665)</f>
        <v>45962.4032</v>
      </c>
      <c r="B2103" s="40" t="str">
        <f>IFERROR(__xludf.DUMMYFUNCTION("""COMPUTED_VALUE"""),"SANTI MARIA LUKMINI NAHAK")</f>
        <v>SANTI MARIA LUKMINI NAHAK</v>
      </c>
      <c r="C2103" s="40" t="str">
        <f>IFERROR(__xludf.DUMMYFUNCTION("""COMPUTED_VALUE"""),"Belum disetujui")</f>
        <v>Belum disetujui</v>
      </c>
      <c r="D2103" s="40"/>
      <c r="E2103" s="40" t="s">
        <v>11460</v>
      </c>
      <c r="F2103" s="40" t="s">
        <v>871</v>
      </c>
      <c r="G2103" s="40" t="s">
        <v>11461</v>
      </c>
      <c r="H2103" s="40" t="s">
        <v>11424</v>
      </c>
    </row>
    <row r="2104">
      <c r="A2104" s="39">
        <f>IFERROR(__xludf.DUMMYFUNCTION("""COMPUTED_VALUE"""),45962.432680335645)</f>
        <v>45962.43268</v>
      </c>
      <c r="B2104" s="40" t="str">
        <f>IFERROR(__xludf.DUMMYFUNCTION("""COMPUTED_VALUE"""),"KESIA NATALIA I. BENU")</f>
        <v>KESIA NATALIA I. BENU</v>
      </c>
      <c r="C2104" s="40" t="str">
        <f>IFERROR(__xludf.DUMMYFUNCTION("""COMPUTED_VALUE"""),"Belum disetujui")</f>
        <v>Belum disetujui</v>
      </c>
      <c r="D2104" s="40"/>
      <c r="E2104" s="40" t="s">
        <v>11417</v>
      </c>
      <c r="F2104" s="40" t="s">
        <v>257</v>
      </c>
      <c r="G2104" s="40" t="s">
        <v>11418</v>
      </c>
      <c r="H2104" s="40" t="s">
        <v>11419</v>
      </c>
    </row>
    <row r="2105">
      <c r="A2105" s="39">
        <f>IFERROR(__xludf.DUMMYFUNCTION("""COMPUTED_VALUE"""),45962.456269282404)</f>
        <v>45962.45627</v>
      </c>
      <c r="B2105" s="40" t="str">
        <f>IFERROR(__xludf.DUMMYFUNCTION("""COMPUTED_VALUE"""),"LASTRIANA PALUS")</f>
        <v>LASTRIANA PALUS</v>
      </c>
      <c r="C2105" s="40" t="str">
        <f>IFERROR(__xludf.DUMMYFUNCTION("""COMPUTED_VALUE"""),"Belum disetujui")</f>
        <v>Belum disetujui</v>
      </c>
      <c r="D2105" s="40"/>
      <c r="E2105" s="40" t="s">
        <v>11468</v>
      </c>
      <c r="F2105" s="40" t="s">
        <v>257</v>
      </c>
      <c r="G2105" s="40" t="s">
        <v>11469</v>
      </c>
      <c r="H2105" s="40" t="s">
        <v>11419</v>
      </c>
    </row>
    <row r="2106">
      <c r="A2106" s="39">
        <f>IFERROR(__xludf.DUMMYFUNCTION("""COMPUTED_VALUE"""),45962.46723284722)</f>
        <v>45962.46723</v>
      </c>
      <c r="B2106" s="40" t="str">
        <f>IFERROR(__xludf.DUMMYFUNCTION("""COMPUTED_VALUE"""),"PRETI SISILIA SILA")</f>
        <v>PRETI SISILIA SILA</v>
      </c>
      <c r="C2106" s="40" t="str">
        <f>IFERROR(__xludf.DUMMYFUNCTION("""COMPUTED_VALUE"""),"Belum disetujui")</f>
        <v>Belum disetujui</v>
      </c>
      <c r="D2106" s="40"/>
      <c r="E2106" s="40" t="s">
        <v>11456</v>
      </c>
      <c r="F2106" s="40" t="s">
        <v>667</v>
      </c>
      <c r="G2106" s="40" t="s">
        <v>11457</v>
      </c>
      <c r="H2106" s="40" t="s">
        <v>11424</v>
      </c>
    </row>
    <row r="2107">
      <c r="A2107" s="39">
        <f>IFERROR(__xludf.DUMMYFUNCTION("""COMPUTED_VALUE"""),45962.469545173604)</f>
        <v>45962.46955</v>
      </c>
      <c r="B2107" s="40" t="str">
        <f>IFERROR(__xludf.DUMMYFUNCTION("""COMPUTED_VALUE"""),"PRETI SISILIA SILA")</f>
        <v>PRETI SISILIA SILA</v>
      </c>
      <c r="C2107" s="40" t="str">
        <f>IFERROR(__xludf.DUMMYFUNCTION("""COMPUTED_VALUE"""),"Belum disetujui")</f>
        <v>Belum disetujui</v>
      </c>
      <c r="D2107" s="40"/>
      <c r="E2107" s="40" t="s">
        <v>11456</v>
      </c>
      <c r="F2107" s="40" t="s">
        <v>667</v>
      </c>
      <c r="G2107" s="40" t="s">
        <v>11457</v>
      </c>
      <c r="H2107" s="40" t="s">
        <v>11424</v>
      </c>
    </row>
    <row r="2108">
      <c r="A2108" s="39">
        <f>IFERROR(__xludf.DUMMYFUNCTION("""COMPUTED_VALUE"""),45962.47254043982)</f>
        <v>45962.47254</v>
      </c>
      <c r="B2108" s="40" t="str">
        <f>IFERROR(__xludf.DUMMYFUNCTION("""COMPUTED_VALUE"""),"HERONIMUS NAMU WALI")</f>
        <v>HERONIMUS NAMU WALI</v>
      </c>
      <c r="C2108" s="40" t="str">
        <f>IFERROR(__xludf.DUMMYFUNCTION("""COMPUTED_VALUE"""),"ACC")</f>
        <v>ACC</v>
      </c>
      <c r="D2108" s="40" t="str">
        <f>IFERROR(__xludf.DUMMYFUNCTION("""COMPUTED_VALUE"""),"Y21d series")</f>
        <v>Y21d series</v>
      </c>
      <c r="E2108" s="40" t="s">
        <v>11452</v>
      </c>
      <c r="F2108" s="40" t="s">
        <v>205</v>
      </c>
      <c r="G2108" s="40" t="s">
        <v>11453</v>
      </c>
      <c r="H2108" s="40" t="s">
        <v>11419</v>
      </c>
    </row>
    <row r="2109">
      <c r="A2109" s="39">
        <f>IFERROR(__xludf.DUMMYFUNCTION("""COMPUTED_VALUE"""),45962.4972406713)</f>
        <v>45962.49724</v>
      </c>
      <c r="B2109" s="40" t="str">
        <f>IFERROR(__xludf.DUMMYFUNCTION("""COMPUTED_VALUE"""),"ADRIANA")</f>
        <v>ADRIANA</v>
      </c>
      <c r="C2109" s="40" t="str">
        <f>IFERROR(__xludf.DUMMYFUNCTION("""COMPUTED_VALUE"""),"ACC")</f>
        <v>ACC</v>
      </c>
      <c r="D2109" s="40" t="str">
        <f>IFERROR(__xludf.DUMMYFUNCTION("""COMPUTED_VALUE"""),"Y21d series")</f>
        <v>Y21d series</v>
      </c>
      <c r="E2109" s="40" t="s">
        <v>11433</v>
      </c>
      <c r="F2109" s="40" t="s">
        <v>313</v>
      </c>
      <c r="G2109" s="40" t="s">
        <v>11434</v>
      </c>
      <c r="H2109" s="40" t="s">
        <v>11424</v>
      </c>
    </row>
    <row r="2110">
      <c r="A2110" s="39">
        <f>IFERROR(__xludf.DUMMYFUNCTION("""COMPUTED_VALUE"""),45962.51758224537)</f>
        <v>45962.51758</v>
      </c>
      <c r="B2110" s="40" t="str">
        <f>IFERROR(__xludf.DUMMYFUNCTION("""COMPUTED_VALUE"""),"SELVINCE BAKO")</f>
        <v>SELVINCE BAKO</v>
      </c>
      <c r="C2110" s="40" t="str">
        <f>IFERROR(__xludf.DUMMYFUNCTION("""COMPUTED_VALUE"""),"Belum disetujui")</f>
        <v>Belum disetujui</v>
      </c>
      <c r="D2110" s="40"/>
      <c r="E2110" s="40" t="s">
        <v>11413</v>
      </c>
      <c r="F2110" s="40" t="s">
        <v>204</v>
      </c>
      <c r="G2110" s="40" t="s">
        <v>11414</v>
      </c>
      <c r="H2110" s="40" t="s">
        <v>11399</v>
      </c>
    </row>
    <row r="2111">
      <c r="A2111" s="39">
        <f>IFERROR(__xludf.DUMMYFUNCTION("""COMPUTED_VALUE"""),45962.55073215278)</f>
        <v>45962.55073</v>
      </c>
      <c r="B2111" s="40" t="str">
        <f>IFERROR(__xludf.DUMMYFUNCTION("""COMPUTED_VALUE"""),"FERI ELI KURNIAWAN")</f>
        <v>FERI ELI KURNIAWAN</v>
      </c>
      <c r="C2111" s="40" t="str">
        <f>IFERROR(__xludf.DUMMYFUNCTION("""COMPUTED_VALUE"""),"ACC")</f>
        <v>ACC</v>
      </c>
      <c r="D2111" s="40" t="str">
        <f>IFERROR(__xludf.DUMMYFUNCTION("""COMPUTED_VALUE"""),"Y21d series")</f>
        <v>Y21d series</v>
      </c>
      <c r="E2111" s="40" t="s">
        <v>11411</v>
      </c>
      <c r="F2111" s="40" t="s">
        <v>220</v>
      </c>
      <c r="G2111" s="40" t="s">
        <v>11412</v>
      </c>
      <c r="H2111" s="40" t="s">
        <v>11399</v>
      </c>
    </row>
    <row r="2112">
      <c r="A2112" s="39">
        <f>IFERROR(__xludf.DUMMYFUNCTION("""COMPUTED_VALUE"""),45962.55551482638)</f>
        <v>45962.55551</v>
      </c>
      <c r="B2112" s="40" t="str">
        <f>IFERROR(__xludf.DUMMYFUNCTION("""COMPUTED_VALUE"""),"LASTRIANA PALUS")</f>
        <v>LASTRIANA PALUS</v>
      </c>
      <c r="C2112" s="40" t="str">
        <f>IFERROR(__xludf.DUMMYFUNCTION("""COMPUTED_VALUE"""),"Belum disetujui")</f>
        <v>Belum disetujui</v>
      </c>
      <c r="D2112" s="40"/>
      <c r="E2112" s="40" t="s">
        <v>11468</v>
      </c>
      <c r="F2112" s="40" t="s">
        <v>257</v>
      </c>
      <c r="G2112" s="40" t="s">
        <v>11469</v>
      </c>
      <c r="H2112" s="40" t="s">
        <v>11419</v>
      </c>
    </row>
    <row r="2113">
      <c r="A2113" s="39">
        <f>IFERROR(__xludf.DUMMYFUNCTION("""COMPUTED_VALUE"""),45962.581648252315)</f>
        <v>45962.58165</v>
      </c>
      <c r="B2113" s="40" t="str">
        <f>IFERROR(__xludf.DUMMYFUNCTION("""COMPUTED_VALUE"""),"PUSPA ANGGREINI")</f>
        <v>PUSPA ANGGREINI</v>
      </c>
      <c r="C2113" s="40" t="str">
        <f>IFERROR(__xludf.DUMMYFUNCTION("""COMPUTED_VALUE"""),"ACC")</f>
        <v>ACC</v>
      </c>
      <c r="D2113" s="40" t="str">
        <f>IFERROR(__xludf.DUMMYFUNCTION("""COMPUTED_VALUE"""),"Y400 series")</f>
        <v>Y400 series</v>
      </c>
      <c r="E2113" s="40" t="s">
        <v>11427</v>
      </c>
      <c r="F2113" s="40" t="s">
        <v>257</v>
      </c>
      <c r="G2113" s="40" t="s">
        <v>11428</v>
      </c>
      <c r="H2113" s="40" t="s">
        <v>11419</v>
      </c>
    </row>
    <row r="2114">
      <c r="A2114" s="39">
        <f>IFERROR(__xludf.DUMMYFUNCTION("""COMPUTED_VALUE"""),45962.58507849537)</f>
        <v>45962.58508</v>
      </c>
      <c r="B2114" s="40" t="str">
        <f>IFERROR(__xludf.DUMMYFUNCTION("""COMPUTED_VALUE"""),"PUSPA ANGGREINI")</f>
        <v>PUSPA ANGGREINI</v>
      </c>
      <c r="C2114" s="40" t="str">
        <f>IFERROR(__xludf.DUMMYFUNCTION("""COMPUTED_VALUE"""),"Belum disetujui")</f>
        <v>Belum disetujui</v>
      </c>
      <c r="D2114" s="40"/>
      <c r="E2114" s="40" t="s">
        <v>11427</v>
      </c>
      <c r="F2114" s="40" t="s">
        <v>257</v>
      </c>
      <c r="G2114" s="40" t="s">
        <v>11428</v>
      </c>
      <c r="H2114" s="40" t="s">
        <v>11419</v>
      </c>
    </row>
    <row r="2115">
      <c r="A2115" s="39">
        <f>IFERROR(__xludf.DUMMYFUNCTION("""COMPUTED_VALUE"""),45962.606887546295)</f>
        <v>45962.60689</v>
      </c>
      <c r="B2115" s="40" t="str">
        <f>IFERROR(__xludf.DUMMYFUNCTION("""COMPUTED_VALUE"""),"KESIA NATALIA I. BENU")</f>
        <v>KESIA NATALIA I. BENU</v>
      </c>
      <c r="C2115" s="40" t="str">
        <f>IFERROR(__xludf.DUMMYFUNCTION("""COMPUTED_VALUE"""),"Belum disetujui")</f>
        <v>Belum disetujui</v>
      </c>
      <c r="D2115" s="40"/>
      <c r="E2115" s="40" t="s">
        <v>11417</v>
      </c>
      <c r="F2115" s="40" t="s">
        <v>257</v>
      </c>
      <c r="G2115" s="40" t="s">
        <v>11418</v>
      </c>
      <c r="H2115" s="40" t="s">
        <v>11419</v>
      </c>
    </row>
    <row r="2116">
      <c r="A2116" s="39">
        <f>IFERROR(__xludf.DUMMYFUNCTION("""COMPUTED_VALUE"""),45962.626148634256)</f>
        <v>45962.62615</v>
      </c>
      <c r="B2116" s="40" t="str">
        <f>IFERROR(__xludf.DUMMYFUNCTION("""COMPUTED_VALUE"""),"ASRI NINGSI RAMBU ATA ENDI")</f>
        <v>ASRI NINGSI RAMBU ATA ENDI</v>
      </c>
      <c r="C2116" s="40" t="str">
        <f>IFERROR(__xludf.DUMMYFUNCTION("""COMPUTED_VALUE"""),"Belum disetujui")</f>
        <v>Belum disetujui</v>
      </c>
      <c r="D2116" s="40"/>
      <c r="E2116" s="40" t="s">
        <v>11441</v>
      </c>
      <c r="F2116" s="40" t="s">
        <v>205</v>
      </c>
      <c r="G2116" s="40" t="s">
        <v>11442</v>
      </c>
      <c r="H2116" s="40" t="s">
        <v>11419</v>
      </c>
    </row>
    <row r="2117">
      <c r="A2117" s="39">
        <f>IFERROR(__xludf.DUMMYFUNCTION("""COMPUTED_VALUE"""),45962.67470299769)</f>
        <v>45962.6747</v>
      </c>
      <c r="B2117" s="40" t="str">
        <f>IFERROR(__xludf.DUMMYFUNCTION("""COMPUTED_VALUE"""),"MARNITHA JUWIKE TIMORATI RUNESI")</f>
        <v>MARNITHA JUWIKE TIMORATI RUNESI</v>
      </c>
      <c r="C2117" s="40" t="str">
        <f>IFERROR(__xludf.DUMMYFUNCTION("""COMPUTED_VALUE"""),"ACC")</f>
        <v>ACC</v>
      </c>
      <c r="D2117" s="40" t="str">
        <f>IFERROR(__xludf.DUMMYFUNCTION("""COMPUTED_VALUE"""),"V60 Lite series")</f>
        <v>V60 Lite series</v>
      </c>
      <c r="E2117" s="40" t="s">
        <v>11420</v>
      </c>
      <c r="F2117" s="40" t="s">
        <v>204</v>
      </c>
      <c r="G2117" s="40" t="s">
        <v>11421</v>
      </c>
      <c r="H2117" s="40" t="s">
        <v>11399</v>
      </c>
    </row>
    <row r="2118">
      <c r="A2118" s="39">
        <f>IFERROR(__xludf.DUMMYFUNCTION("""COMPUTED_VALUE"""),45962.67557131944)</f>
        <v>45962.67557</v>
      </c>
      <c r="B2118" s="40" t="str">
        <f>IFERROR(__xludf.DUMMYFUNCTION("""COMPUTED_VALUE"""),"MARNITHA JUWIKE TIMORATI RUNESI")</f>
        <v>MARNITHA JUWIKE TIMORATI RUNESI</v>
      </c>
      <c r="C2118" s="40" t="str">
        <f>IFERROR(__xludf.DUMMYFUNCTION("""COMPUTED_VALUE"""),"Belum disetujui")</f>
        <v>Belum disetujui</v>
      </c>
      <c r="D2118" s="40"/>
      <c r="E2118" s="40" t="s">
        <v>11420</v>
      </c>
      <c r="F2118" s="40" t="s">
        <v>204</v>
      </c>
      <c r="G2118" s="40" t="s">
        <v>11421</v>
      </c>
      <c r="H2118" s="40" t="s">
        <v>11399</v>
      </c>
    </row>
    <row r="2119">
      <c r="A2119" s="39">
        <f>IFERROR(__xludf.DUMMYFUNCTION("""COMPUTED_VALUE"""),45962.696468368056)</f>
        <v>45962.69647</v>
      </c>
      <c r="B2119" s="40" t="str">
        <f>IFERROR(__xludf.DUMMYFUNCTION("""COMPUTED_VALUE"""),"IDMAL YUSDIRAN YUSUF")</f>
        <v>IDMAL YUSDIRAN YUSUF</v>
      </c>
      <c r="C2119" s="40" t="str">
        <f>IFERROR(__xludf.DUMMYFUNCTION("""COMPUTED_VALUE"""),"Belum disetujui")</f>
        <v>Belum disetujui</v>
      </c>
      <c r="D2119" s="40"/>
      <c r="E2119" s="40" t="s">
        <v>11417</v>
      </c>
      <c r="F2119" s="40" t="s">
        <v>257</v>
      </c>
      <c r="G2119" s="40" t="s">
        <v>11418</v>
      </c>
      <c r="H2119" s="40" t="s">
        <v>11419</v>
      </c>
    </row>
    <row r="2120">
      <c r="A2120" s="39">
        <f>IFERROR(__xludf.DUMMYFUNCTION("""COMPUTED_VALUE"""),45962.69875018518)</f>
        <v>45962.69875</v>
      </c>
      <c r="B2120" s="40" t="str">
        <f>IFERROR(__xludf.DUMMYFUNCTION("""COMPUTED_VALUE"""),"GRACELLA SARI HIVANA MANAFE")</f>
        <v>GRACELLA SARI HIVANA MANAFE</v>
      </c>
      <c r="C2120" s="40" t="str">
        <f>IFERROR(__xludf.DUMMYFUNCTION("""COMPUTED_VALUE"""),"Belum disetujui")</f>
        <v>Belum disetujui</v>
      </c>
      <c r="D2120" s="40"/>
      <c r="E2120" s="40" t="s">
        <v>11478</v>
      </c>
      <c r="F2120" s="40" t="s">
        <v>220</v>
      </c>
      <c r="G2120" s="40" t="s">
        <v>11479</v>
      </c>
      <c r="H2120" s="40" t="s">
        <v>11399</v>
      </c>
    </row>
    <row r="2121">
      <c r="A2121" s="39">
        <f>IFERROR(__xludf.DUMMYFUNCTION("""COMPUTED_VALUE"""),45962.710480625)</f>
        <v>45962.71048</v>
      </c>
      <c r="B2121" s="40" t="str">
        <f>IFERROR(__xludf.DUMMYFUNCTION("""COMPUTED_VALUE"""),"ASRI NINGSI RAMBU ATA ENDI")</f>
        <v>ASRI NINGSI RAMBU ATA ENDI</v>
      </c>
      <c r="C2121" s="40" t="str">
        <f>IFERROR(__xludf.DUMMYFUNCTION("""COMPUTED_VALUE"""),"Belum disetujui")</f>
        <v>Belum disetujui</v>
      </c>
      <c r="D2121" s="40"/>
      <c r="E2121" s="40" t="s">
        <v>11441</v>
      </c>
      <c r="F2121" s="40" t="s">
        <v>205</v>
      </c>
      <c r="G2121" s="40" t="s">
        <v>11442</v>
      </c>
      <c r="H2121" s="40" t="s">
        <v>11419</v>
      </c>
    </row>
    <row r="2122">
      <c r="A2122" s="39">
        <f>IFERROR(__xludf.DUMMYFUNCTION("""COMPUTED_VALUE"""),45962.71946320601)</f>
        <v>45962.71946</v>
      </c>
      <c r="B2122" s="40" t="str">
        <f>IFERROR(__xludf.DUMMYFUNCTION("""COMPUTED_VALUE"""),"LASTRIANA PALUS")</f>
        <v>LASTRIANA PALUS</v>
      </c>
      <c r="C2122" s="40" t="str">
        <f>IFERROR(__xludf.DUMMYFUNCTION("""COMPUTED_VALUE"""),"ACC")</f>
        <v>ACC</v>
      </c>
      <c r="D2122" s="40" t="str">
        <f>IFERROR(__xludf.DUMMYFUNCTION("""COMPUTED_VALUE"""),"Y21d series")</f>
        <v>Y21d series</v>
      </c>
      <c r="E2122" s="40" t="s">
        <v>11468</v>
      </c>
      <c r="F2122" s="40" t="s">
        <v>257</v>
      </c>
      <c r="G2122" s="40" t="s">
        <v>11469</v>
      </c>
      <c r="H2122" s="40" t="s">
        <v>11419</v>
      </c>
    </row>
    <row r="2123">
      <c r="A2123" s="39">
        <f>IFERROR(__xludf.DUMMYFUNCTION("""COMPUTED_VALUE"""),45962.72535465278)</f>
        <v>45962.72535</v>
      </c>
      <c r="B2123" s="40" t="str">
        <f>IFERROR(__xludf.DUMMYFUNCTION("""COMPUTED_VALUE"""),"ASTUTI BELA WAWO")</f>
        <v>ASTUTI BELA WAWO</v>
      </c>
      <c r="C2123" s="40" t="str">
        <f>IFERROR(__xludf.DUMMYFUNCTION("""COMPUTED_VALUE"""),"Dapat limit tapi belum diproses")</f>
        <v>Dapat limit tapi belum diproses</v>
      </c>
      <c r="D2123" s="40" t="str">
        <f>IFERROR(__xludf.DUMMYFUNCTION("""COMPUTED_VALUE"""),"Y21d series")</f>
        <v>Y21d series</v>
      </c>
      <c r="E2123" s="40" t="s">
        <v>11427</v>
      </c>
      <c r="F2123" s="40" t="s">
        <v>257</v>
      </c>
      <c r="G2123" s="40" t="s">
        <v>11428</v>
      </c>
      <c r="H2123" s="40" t="s">
        <v>11419</v>
      </c>
    </row>
    <row r="2124">
      <c r="A2124" s="39">
        <f>IFERROR(__xludf.DUMMYFUNCTION("""COMPUTED_VALUE"""),45962.72631381945)</f>
        <v>45962.72631</v>
      </c>
      <c r="B2124" s="40" t="str">
        <f>IFERROR(__xludf.DUMMYFUNCTION("""COMPUTED_VALUE"""),"KESIA NATALIA I. BENU")</f>
        <v>KESIA NATALIA I. BENU</v>
      </c>
      <c r="C2124" s="40" t="str">
        <f>IFERROR(__xludf.DUMMYFUNCTION("""COMPUTED_VALUE"""),"Dapat limit tapi belum diproses")</f>
        <v>Dapat limit tapi belum diproses</v>
      </c>
      <c r="D2124" s="40" t="str">
        <f>IFERROR(__xludf.DUMMYFUNCTION("""COMPUTED_VALUE"""),"Y400 series")</f>
        <v>Y400 series</v>
      </c>
      <c r="E2124" s="40" t="s">
        <v>11417</v>
      </c>
      <c r="F2124" s="40" t="s">
        <v>257</v>
      </c>
      <c r="G2124" s="40" t="s">
        <v>11418</v>
      </c>
      <c r="H2124" s="40" t="s">
        <v>11419</v>
      </c>
    </row>
    <row r="2125">
      <c r="A2125" s="39">
        <f>IFERROR(__xludf.DUMMYFUNCTION("""COMPUTED_VALUE"""),45962.74283657407)</f>
        <v>45962.74284</v>
      </c>
      <c r="B2125" s="40" t="str">
        <f>IFERROR(__xludf.DUMMYFUNCTION("""COMPUTED_VALUE"""),"MERDA PUTRI BUNGSU KENAT")</f>
        <v>MERDA PUTRI BUNGSU KENAT</v>
      </c>
      <c r="C2125" s="40" t="str">
        <f>IFERROR(__xludf.DUMMYFUNCTION("""COMPUTED_VALUE"""),"ACC")</f>
        <v>ACC</v>
      </c>
      <c r="D2125" s="40" t="str">
        <f>IFERROR(__xludf.DUMMYFUNCTION("""COMPUTED_VALUE"""),"Y400 series")</f>
        <v>Y400 series</v>
      </c>
      <c r="E2125" s="40" t="s">
        <v>11422</v>
      </c>
      <c r="F2125" s="40" t="s">
        <v>215</v>
      </c>
      <c r="G2125" s="40" t="s">
        <v>11423</v>
      </c>
      <c r="H2125" s="40" t="s">
        <v>11424</v>
      </c>
    </row>
    <row r="2126">
      <c r="A2126" s="39">
        <f>IFERROR(__xludf.DUMMYFUNCTION("""COMPUTED_VALUE"""),45962.75344777777)</f>
        <v>45962.75345</v>
      </c>
      <c r="B2126" s="40" t="str">
        <f>IFERROR(__xludf.DUMMYFUNCTION("""COMPUTED_VALUE"""),"BERGITHA NIA OLIN")</f>
        <v>BERGITHA NIA OLIN</v>
      </c>
      <c r="C2126" s="40" t="str">
        <f>IFERROR(__xludf.DUMMYFUNCTION("""COMPUTED_VALUE"""),"Belum disetujui")</f>
        <v>Belum disetujui</v>
      </c>
      <c r="D2126" s="40"/>
      <c r="E2126" s="40" t="s">
        <v>11431</v>
      </c>
      <c r="F2126" s="40" t="s">
        <v>313</v>
      </c>
      <c r="G2126" s="40" t="s">
        <v>11432</v>
      </c>
      <c r="H2126" s="40" t="s">
        <v>11424</v>
      </c>
    </row>
    <row r="2127">
      <c r="A2127" s="39">
        <f>IFERROR(__xludf.DUMMYFUNCTION("""COMPUTED_VALUE"""),45962.766466932866)</f>
        <v>45962.76647</v>
      </c>
      <c r="B2127" s="40" t="str">
        <f>IFERROR(__xludf.DUMMYFUNCTION("""COMPUTED_VALUE"""),"KESIA NATALIA I. BENU")</f>
        <v>KESIA NATALIA I. BENU</v>
      </c>
      <c r="C2127" s="40" t="str">
        <f>IFERROR(__xludf.DUMMYFUNCTION("""COMPUTED_VALUE"""),"ACC")</f>
        <v>ACC</v>
      </c>
      <c r="D2127" s="40" t="str">
        <f>IFERROR(__xludf.DUMMYFUNCTION("""COMPUTED_VALUE"""),"Y21d series")</f>
        <v>Y21d series</v>
      </c>
      <c r="E2127" s="40" t="s">
        <v>11417</v>
      </c>
      <c r="F2127" s="40" t="s">
        <v>257</v>
      </c>
      <c r="G2127" s="40" t="s">
        <v>11418</v>
      </c>
      <c r="H2127" s="40" t="s">
        <v>11419</v>
      </c>
    </row>
    <row r="2128">
      <c r="A2128" s="39">
        <f>IFERROR(__xludf.DUMMYFUNCTION("""COMPUTED_VALUE"""),45962.768873761575)</f>
        <v>45962.76887</v>
      </c>
      <c r="B2128" s="40" t="str">
        <f>IFERROR(__xludf.DUMMYFUNCTION("""COMPUTED_VALUE"""),"KESIA NATALIA I. BENU")</f>
        <v>KESIA NATALIA I. BENU</v>
      </c>
      <c r="C2128" s="40" t="str">
        <f>IFERROR(__xludf.DUMMYFUNCTION("""COMPUTED_VALUE"""),"Belum disetujui")</f>
        <v>Belum disetujui</v>
      </c>
      <c r="D2128" s="40"/>
      <c r="E2128" s="40" t="s">
        <v>11417</v>
      </c>
      <c r="F2128" s="40" t="s">
        <v>257</v>
      </c>
      <c r="G2128" s="40" t="s">
        <v>11418</v>
      </c>
      <c r="H2128" s="40" t="s">
        <v>11419</v>
      </c>
    </row>
    <row r="2129">
      <c r="A2129" s="39">
        <f>IFERROR(__xludf.DUMMYFUNCTION("""COMPUTED_VALUE"""),45962.769127060186)</f>
        <v>45962.76913</v>
      </c>
      <c r="B2129" s="40" t="str">
        <f>IFERROR(__xludf.DUMMYFUNCTION("""COMPUTED_VALUE"""),"MEXY ALEXANDER HETMINA")</f>
        <v>MEXY ALEXANDER HETMINA</v>
      </c>
      <c r="C2129" s="40" t="str">
        <f>IFERROR(__xludf.DUMMYFUNCTION("""COMPUTED_VALUE"""),"Belum disetujui")</f>
        <v>Belum disetujui</v>
      </c>
      <c r="D2129" s="40"/>
      <c r="E2129" s="40" t="s">
        <v>11413</v>
      </c>
      <c r="F2129" s="40" t="s">
        <v>204</v>
      </c>
      <c r="G2129" s="40" t="s">
        <v>11414</v>
      </c>
      <c r="H2129" s="40" t="s">
        <v>11399</v>
      </c>
    </row>
    <row r="2130">
      <c r="A2130" s="39">
        <f>IFERROR(__xludf.DUMMYFUNCTION("""COMPUTED_VALUE"""),45962.77869497685)</f>
        <v>45962.77869</v>
      </c>
      <c r="B2130" s="40" t="str">
        <f>IFERROR(__xludf.DUMMYFUNCTION("""COMPUTED_VALUE"""),"WARDIA")</f>
        <v>WARDIA</v>
      </c>
      <c r="C2130" s="40" t="str">
        <f>IFERROR(__xludf.DUMMYFUNCTION("""COMPUTED_VALUE"""),"Dapat limit tapi belum diproses")</f>
        <v>Dapat limit tapi belum diproses</v>
      </c>
      <c r="D2130" s="40" t="str">
        <f>IFERROR(__xludf.DUMMYFUNCTION("""COMPUTED_VALUE"""),"Y21d series")</f>
        <v>Y21d series</v>
      </c>
      <c r="E2130" s="40" t="s">
        <v>11409</v>
      </c>
      <c r="F2130" s="40" t="s">
        <v>204</v>
      </c>
      <c r="G2130" s="40" t="s">
        <v>11410</v>
      </c>
      <c r="H2130" s="40" t="s">
        <v>11399</v>
      </c>
    </row>
    <row r="2131">
      <c r="A2131" s="39">
        <f>IFERROR(__xludf.DUMMYFUNCTION("""COMPUTED_VALUE"""),45962.78035731481)</f>
        <v>45962.78036</v>
      </c>
      <c r="B2131" s="40" t="str">
        <f>IFERROR(__xludf.DUMMYFUNCTION("""COMPUTED_VALUE"""),"DWITNEY PRETY WANGGANDIMA")</f>
        <v>DWITNEY PRETY WANGGANDIMA</v>
      </c>
      <c r="C2131" s="40" t="str">
        <f>IFERROR(__xludf.DUMMYFUNCTION("""COMPUTED_VALUE"""),"Belum disetujui")</f>
        <v>Belum disetujui</v>
      </c>
      <c r="D2131" s="40"/>
      <c r="E2131" s="40" t="s">
        <v>11443</v>
      </c>
      <c r="F2131" s="40" t="s">
        <v>220</v>
      </c>
      <c r="G2131" s="40" t="s">
        <v>11444</v>
      </c>
      <c r="H2131" s="40" t="s">
        <v>11399</v>
      </c>
    </row>
    <row r="2132">
      <c r="A2132" s="39">
        <f>IFERROR(__xludf.DUMMYFUNCTION("""COMPUTED_VALUE"""),45962.80468600695)</f>
        <v>45962.80469</v>
      </c>
      <c r="B2132" s="40" t="str">
        <f>IFERROR(__xludf.DUMMYFUNCTION("""COMPUTED_VALUE"""),"SANTI MARIA LUKMINI NAHAK")</f>
        <v>SANTI MARIA LUKMINI NAHAK</v>
      </c>
      <c r="C2132" s="40" t="str">
        <f>IFERROR(__xludf.DUMMYFUNCTION("""COMPUTED_VALUE"""),"Dapat limit tapi belum diproses")</f>
        <v>Dapat limit tapi belum diproses</v>
      </c>
      <c r="D2132" s="40" t="str">
        <f>IFERROR(__xludf.DUMMYFUNCTION("""COMPUTED_VALUE"""),"V60 Lite series")</f>
        <v>V60 Lite series</v>
      </c>
      <c r="E2132" s="40" t="s">
        <v>11460</v>
      </c>
      <c r="F2132" s="40" t="s">
        <v>871</v>
      </c>
      <c r="G2132" s="40" t="s">
        <v>11461</v>
      </c>
      <c r="H2132" s="40" t="s">
        <v>11424</v>
      </c>
    </row>
    <row r="2133">
      <c r="A2133" s="39">
        <f>IFERROR(__xludf.DUMMYFUNCTION("""COMPUTED_VALUE"""),45962.80729429398)</f>
        <v>45962.80729</v>
      </c>
      <c r="B2133" s="40" t="str">
        <f>IFERROR(__xludf.DUMMYFUNCTION("""COMPUTED_VALUE"""),"MARNITHA JUWIKE TIMORATI RUNESI")</f>
        <v>MARNITHA JUWIKE TIMORATI RUNESI</v>
      </c>
      <c r="C2133" s="40" t="str">
        <f>IFERROR(__xludf.DUMMYFUNCTION("""COMPUTED_VALUE"""),"ACC")</f>
        <v>ACC</v>
      </c>
      <c r="D2133" s="40" t="str">
        <f>IFERROR(__xludf.DUMMYFUNCTION("""COMPUTED_VALUE"""),"Y21d series")</f>
        <v>Y21d series</v>
      </c>
      <c r="E2133" s="40" t="s">
        <v>11420</v>
      </c>
      <c r="F2133" s="40" t="s">
        <v>204</v>
      </c>
      <c r="G2133" s="40" t="s">
        <v>11421</v>
      </c>
      <c r="H2133" s="40" t="s">
        <v>11399</v>
      </c>
    </row>
    <row r="2134">
      <c r="A2134" s="39">
        <f>IFERROR(__xludf.DUMMYFUNCTION("""COMPUTED_VALUE"""),45962.817140231484)</f>
        <v>45962.81714</v>
      </c>
      <c r="B2134" s="40" t="str">
        <f>IFERROR(__xludf.DUMMYFUNCTION("""COMPUTED_VALUE"""),"NENY MERLIANTI NA'U")</f>
        <v>NENY MERLIANTI NA'U</v>
      </c>
      <c r="C2134" s="40" t="str">
        <f>IFERROR(__xludf.DUMMYFUNCTION("""COMPUTED_VALUE"""),"Belum disetujui")</f>
        <v>Belum disetujui</v>
      </c>
      <c r="D2134" s="40"/>
      <c r="E2134" s="40" t="s">
        <v>11476</v>
      </c>
      <c r="F2134" s="40" t="s">
        <v>204</v>
      </c>
      <c r="G2134" s="40" t="s">
        <v>11477</v>
      </c>
      <c r="H2134" s="40" t="s">
        <v>11399</v>
      </c>
    </row>
    <row r="2135">
      <c r="A2135" s="39">
        <f>IFERROR(__xludf.DUMMYFUNCTION("""COMPUTED_VALUE"""),45962.854178912035)</f>
        <v>45962.85418</v>
      </c>
      <c r="B2135" s="40" t="str">
        <f>IFERROR(__xludf.DUMMYFUNCTION("""COMPUTED_VALUE"""),"YOHANIS TIPNONI")</f>
        <v>YOHANIS TIPNONI</v>
      </c>
      <c r="C2135" s="40" t="str">
        <f>IFERROR(__xludf.DUMMYFUNCTION("""COMPUTED_VALUE"""),"Belum disetujui")</f>
        <v>Belum disetujui</v>
      </c>
      <c r="D2135" s="40"/>
      <c r="E2135" s="40" t="s">
        <v>11405</v>
      </c>
      <c r="F2135" s="40" t="s">
        <v>220</v>
      </c>
      <c r="G2135" s="40" t="s">
        <v>11406</v>
      </c>
      <c r="H2135" s="40" t="s">
        <v>11399</v>
      </c>
    </row>
    <row r="2136">
      <c r="A2136" s="39">
        <f>IFERROR(__xludf.DUMMYFUNCTION("""COMPUTED_VALUE"""),45962.856573125006)</f>
        <v>45962.85657</v>
      </c>
      <c r="B2136" s="40" t="str">
        <f>IFERROR(__xludf.DUMMYFUNCTION("""COMPUTED_VALUE"""),"YOHANIS TIPNONI")</f>
        <v>YOHANIS TIPNONI</v>
      </c>
      <c r="C2136" s="40" t="str">
        <f>IFERROR(__xludf.DUMMYFUNCTION("""COMPUTED_VALUE"""),"Belum disetujui")</f>
        <v>Belum disetujui</v>
      </c>
      <c r="D2136" s="40"/>
      <c r="E2136" s="40" t="s">
        <v>11405</v>
      </c>
      <c r="F2136" s="40" t="s">
        <v>220</v>
      </c>
      <c r="G2136" s="40" t="s">
        <v>11406</v>
      </c>
      <c r="H2136" s="40" t="s">
        <v>11399</v>
      </c>
    </row>
    <row r="2137">
      <c r="A2137" s="39">
        <f>IFERROR(__xludf.DUMMYFUNCTION("""COMPUTED_VALUE"""),45962.86047810185)</f>
        <v>45962.86048</v>
      </c>
      <c r="B2137" s="40" t="str">
        <f>IFERROR(__xludf.DUMMYFUNCTION("""COMPUTED_VALUE"""),"YOHANIS TIPNONI")</f>
        <v>YOHANIS TIPNONI</v>
      </c>
      <c r="C2137" s="40" t="str">
        <f>IFERROR(__xludf.DUMMYFUNCTION("""COMPUTED_VALUE"""),"ACC")</f>
        <v>ACC</v>
      </c>
      <c r="D2137" s="40" t="str">
        <f>IFERROR(__xludf.DUMMYFUNCTION("""COMPUTED_VALUE"""),"V60 Lite series")</f>
        <v>V60 Lite series</v>
      </c>
      <c r="E2137" s="40" t="s">
        <v>11405</v>
      </c>
      <c r="F2137" s="40" t="s">
        <v>220</v>
      </c>
      <c r="G2137" s="40" t="s">
        <v>11406</v>
      </c>
      <c r="H2137" s="40" t="s">
        <v>11399</v>
      </c>
    </row>
    <row r="2138">
      <c r="A2138" s="39">
        <f>IFERROR(__xludf.DUMMYFUNCTION("""COMPUTED_VALUE"""),45962.886052349546)</f>
        <v>45962.88605</v>
      </c>
      <c r="B2138" s="40" t="str">
        <f>IFERROR(__xludf.DUMMYFUNCTION("""COMPUTED_VALUE"""),"ESTER LUDJI")</f>
        <v>ESTER LUDJI</v>
      </c>
      <c r="C2138" s="40" t="str">
        <f>IFERROR(__xludf.DUMMYFUNCTION("""COMPUTED_VALUE"""),"Belum disetujui")</f>
        <v>Belum disetujui</v>
      </c>
      <c r="D2138" s="40"/>
      <c r="E2138" s="40" t="s">
        <v>11441</v>
      </c>
      <c r="F2138" s="40" t="s">
        <v>205</v>
      </c>
      <c r="G2138" s="40" t="s">
        <v>11442</v>
      </c>
      <c r="H2138" s="40" t="s">
        <v>11419</v>
      </c>
    </row>
    <row r="2139">
      <c r="A2139" s="39">
        <f>IFERROR(__xludf.DUMMYFUNCTION("""COMPUTED_VALUE"""),45962.888050127316)</f>
        <v>45962.88805</v>
      </c>
      <c r="B2139" s="40" t="str">
        <f>IFERROR(__xludf.DUMMYFUNCTION("""COMPUTED_VALUE"""),"ASRI NINGSI RAMBU ATA ENDI")</f>
        <v>ASRI NINGSI RAMBU ATA ENDI</v>
      </c>
      <c r="C2139" s="40" t="str">
        <f>IFERROR(__xludf.DUMMYFUNCTION("""COMPUTED_VALUE"""),"Belum disetujui")</f>
        <v>Belum disetujui</v>
      </c>
      <c r="D2139" s="40"/>
      <c r="E2139" s="40" t="s">
        <v>11441</v>
      </c>
      <c r="F2139" s="40" t="s">
        <v>205</v>
      </c>
      <c r="G2139" s="40" t="s">
        <v>11442</v>
      </c>
      <c r="H2139" s="40" t="s">
        <v>11419</v>
      </c>
    </row>
    <row r="2140">
      <c r="A2140" s="39">
        <f>IFERROR(__xludf.DUMMYFUNCTION("""COMPUTED_VALUE"""),45963.59287017361)</f>
        <v>45963.59287</v>
      </c>
      <c r="B2140" s="40" t="str">
        <f>IFERROR(__xludf.DUMMYFUNCTION("""COMPUTED_VALUE"""),"WARDIA")</f>
        <v>WARDIA</v>
      </c>
      <c r="C2140" s="40" t="str">
        <f>IFERROR(__xludf.DUMMYFUNCTION("""COMPUTED_VALUE"""),"Belum disetujui")</f>
        <v>Belum disetujui</v>
      </c>
      <c r="D2140" s="40"/>
      <c r="E2140" s="40" t="s">
        <v>11409</v>
      </c>
      <c r="F2140" s="40" t="s">
        <v>204</v>
      </c>
      <c r="G2140" s="40" t="s">
        <v>11410</v>
      </c>
      <c r="H2140" s="40" t="s">
        <v>11399</v>
      </c>
    </row>
    <row r="2141">
      <c r="A2141" s="39">
        <f>IFERROR(__xludf.DUMMYFUNCTION("""COMPUTED_VALUE"""),45963.71067513889)</f>
        <v>45963.71068</v>
      </c>
      <c r="B2141" s="40" t="str">
        <f>IFERROR(__xludf.DUMMYFUNCTION("""COMPUTED_VALUE"""),"WARDIA")</f>
        <v>WARDIA</v>
      </c>
      <c r="C2141" s="40" t="str">
        <f>IFERROR(__xludf.DUMMYFUNCTION("""COMPUTED_VALUE"""),"Belum disetujui")</f>
        <v>Belum disetujui</v>
      </c>
      <c r="D2141" s="40"/>
      <c r="E2141" s="40" t="s">
        <v>11409</v>
      </c>
      <c r="F2141" s="40" t="s">
        <v>204</v>
      </c>
      <c r="G2141" s="40" t="s">
        <v>11410</v>
      </c>
      <c r="H2141" s="40" t="s">
        <v>11399</v>
      </c>
    </row>
    <row r="2142">
      <c r="A2142" s="39">
        <f>IFERROR(__xludf.DUMMYFUNCTION("""COMPUTED_VALUE"""),45963.71256234954)</f>
        <v>45963.71256</v>
      </c>
      <c r="B2142" s="40" t="str">
        <f>IFERROR(__xludf.DUMMYFUNCTION("""COMPUTED_VALUE"""),"WARDIA")</f>
        <v>WARDIA</v>
      </c>
      <c r="C2142" s="40" t="str">
        <f>IFERROR(__xludf.DUMMYFUNCTION("""COMPUTED_VALUE"""),"Belum disetujui")</f>
        <v>Belum disetujui</v>
      </c>
      <c r="D2142" s="40"/>
      <c r="E2142" s="40" t="s">
        <v>11409</v>
      </c>
      <c r="F2142" s="40" t="s">
        <v>204</v>
      </c>
      <c r="G2142" s="40" t="s">
        <v>11410</v>
      </c>
      <c r="H2142" s="40" t="s">
        <v>11399</v>
      </c>
    </row>
    <row r="2143">
      <c r="A2143" s="39">
        <f>IFERROR(__xludf.DUMMYFUNCTION("""COMPUTED_VALUE"""),45963.713496006945)</f>
        <v>45963.7135</v>
      </c>
      <c r="B2143" s="40" t="str">
        <f>IFERROR(__xludf.DUMMYFUNCTION("""COMPUTED_VALUE"""),"WARDIA")</f>
        <v>WARDIA</v>
      </c>
      <c r="C2143" s="40" t="str">
        <f>IFERROR(__xludf.DUMMYFUNCTION("""COMPUTED_VALUE"""),"Belum disetujui")</f>
        <v>Belum disetujui</v>
      </c>
      <c r="D2143" s="40"/>
      <c r="E2143" s="40" t="s">
        <v>11409</v>
      </c>
      <c r="F2143" s="40" t="s">
        <v>204</v>
      </c>
      <c r="G2143" s="40" t="s">
        <v>11410</v>
      </c>
      <c r="H2143" s="40" t="s">
        <v>11399</v>
      </c>
    </row>
    <row r="2144">
      <c r="A2144" s="39">
        <f>IFERROR(__xludf.DUMMYFUNCTION("""COMPUTED_VALUE"""),45963.714349895825)</f>
        <v>45963.71435</v>
      </c>
      <c r="B2144" s="40" t="str">
        <f>IFERROR(__xludf.DUMMYFUNCTION("""COMPUTED_VALUE"""),"WARDIA")</f>
        <v>WARDIA</v>
      </c>
      <c r="C2144" s="40" t="str">
        <f>IFERROR(__xludf.DUMMYFUNCTION("""COMPUTED_VALUE"""),"Belum disetujui")</f>
        <v>Belum disetujui</v>
      </c>
      <c r="D2144" s="40"/>
      <c r="E2144" s="40" t="s">
        <v>11409</v>
      </c>
      <c r="F2144" s="40" t="s">
        <v>204</v>
      </c>
      <c r="G2144" s="40" t="s">
        <v>11410</v>
      </c>
      <c r="H2144" s="40" t="s">
        <v>11399</v>
      </c>
    </row>
    <row r="2145">
      <c r="A2145" s="39">
        <f>IFERROR(__xludf.DUMMYFUNCTION("""COMPUTED_VALUE"""),45963.73729524305)</f>
        <v>45963.7373</v>
      </c>
      <c r="B2145" s="40" t="str">
        <f>IFERROR(__xludf.DUMMYFUNCTION("""COMPUTED_VALUE"""),"SULIS NURAINI INSYATUN")</f>
        <v>SULIS NURAINI INSYATUN</v>
      </c>
      <c r="C2145" s="40" t="str">
        <f>IFERROR(__xludf.DUMMYFUNCTION("""COMPUTED_VALUE"""),"Belum disetujui")</f>
        <v>Belum disetujui</v>
      </c>
      <c r="D2145" s="40"/>
      <c r="E2145" s="40" t="s">
        <v>11429</v>
      </c>
      <c r="F2145" s="40" t="s">
        <v>257</v>
      </c>
      <c r="G2145" s="40" t="s">
        <v>11430</v>
      </c>
      <c r="H2145" s="40" t="s">
        <v>11419</v>
      </c>
    </row>
    <row r="2146">
      <c r="A2146" s="39">
        <f>IFERROR(__xludf.DUMMYFUNCTION("""COMPUTED_VALUE"""),45963.73993322917)</f>
        <v>45963.73993</v>
      </c>
      <c r="B2146" s="40" t="str">
        <f>IFERROR(__xludf.DUMMYFUNCTION("""COMPUTED_VALUE"""),"AZ ZAHRA SITI ZAINAB")</f>
        <v>AZ ZAHRA SITI ZAINAB</v>
      </c>
      <c r="C2146" s="40" t="str">
        <f>IFERROR(__xludf.DUMMYFUNCTION("""COMPUTED_VALUE"""),"Dapat limit tapi belum diproses")</f>
        <v>Dapat limit tapi belum diproses</v>
      </c>
      <c r="D2146" s="40" t="str">
        <f>IFERROR(__xludf.DUMMYFUNCTION("""COMPUTED_VALUE"""),"Y400 series")</f>
        <v>Y400 series</v>
      </c>
      <c r="E2146" s="40" t="s">
        <v>11462</v>
      </c>
      <c r="F2146" s="40" t="s">
        <v>257</v>
      </c>
      <c r="G2146" s="40" t="s">
        <v>11463</v>
      </c>
      <c r="H2146" s="40" t="s">
        <v>11419</v>
      </c>
    </row>
    <row r="2147">
      <c r="A2147" s="39">
        <f>IFERROR(__xludf.DUMMYFUNCTION("""COMPUTED_VALUE"""),45963.7732587037)</f>
        <v>45963.77326</v>
      </c>
      <c r="B2147" s="40" t="str">
        <f>IFERROR(__xludf.DUMMYFUNCTION("""COMPUTED_VALUE"""),"TERSIANA KADJA PAU")</f>
        <v>TERSIANA KADJA PAU</v>
      </c>
      <c r="C2147" s="40" t="str">
        <f>IFERROR(__xludf.DUMMYFUNCTION("""COMPUTED_VALUE"""),"Belum disetujui")</f>
        <v>Belum disetujui</v>
      </c>
      <c r="D2147" s="40"/>
      <c r="E2147" s="40" t="s">
        <v>11411</v>
      </c>
      <c r="F2147" s="40" t="s">
        <v>220</v>
      </c>
      <c r="G2147" s="40" t="s">
        <v>11412</v>
      </c>
      <c r="H2147" s="40" t="s">
        <v>11399</v>
      </c>
    </row>
    <row r="2148">
      <c r="A2148" s="39">
        <f>IFERROR(__xludf.DUMMYFUNCTION("""COMPUTED_VALUE"""),45963.83717228009)</f>
        <v>45963.83717</v>
      </c>
      <c r="B2148" s="40" t="str">
        <f>IFERROR(__xludf.DUMMYFUNCTION("""COMPUTED_VALUE"""),"ASRI NINGSI RAMBU ATA ENDI")</f>
        <v>ASRI NINGSI RAMBU ATA ENDI</v>
      </c>
      <c r="C2148" s="40" t="str">
        <f>IFERROR(__xludf.DUMMYFUNCTION("""COMPUTED_VALUE"""),"Belum disetujui")</f>
        <v>Belum disetujui</v>
      </c>
      <c r="D2148" s="40"/>
      <c r="E2148" s="40" t="s">
        <v>11441</v>
      </c>
      <c r="F2148" s="40" t="s">
        <v>205</v>
      </c>
      <c r="G2148" s="40" t="s">
        <v>11442</v>
      </c>
      <c r="H2148" s="40" t="s">
        <v>11419</v>
      </c>
    </row>
    <row r="2149">
      <c r="A2149" s="39">
        <f>IFERROR(__xludf.DUMMYFUNCTION("""COMPUTED_VALUE"""),45963.839164363424)</f>
        <v>45963.83916</v>
      </c>
      <c r="B2149" s="40" t="str">
        <f>IFERROR(__xludf.DUMMYFUNCTION("""COMPUTED_VALUE"""),"ASRI NINGSI RAMBU ATA ENDI")</f>
        <v>ASRI NINGSI RAMBU ATA ENDI</v>
      </c>
      <c r="C2149" s="40" t="str">
        <f>IFERROR(__xludf.DUMMYFUNCTION("""COMPUTED_VALUE"""),"Belum disetujui")</f>
        <v>Belum disetujui</v>
      </c>
      <c r="D2149" s="40"/>
      <c r="E2149" s="40" t="s">
        <v>11441</v>
      </c>
      <c r="F2149" s="40" t="s">
        <v>205</v>
      </c>
      <c r="G2149" s="40" t="s">
        <v>11442</v>
      </c>
      <c r="H2149" s="40" t="s">
        <v>11419</v>
      </c>
    </row>
    <row r="2150">
      <c r="A2150" s="39">
        <f>IFERROR(__xludf.DUMMYFUNCTION("""COMPUTED_VALUE"""),45964.40868457176)</f>
        <v>45964.40868</v>
      </c>
      <c r="B2150" s="40" t="str">
        <f>IFERROR(__xludf.DUMMYFUNCTION("""COMPUTED_VALUE"""),"MERDA PUTRI BUNGSU KENAT")</f>
        <v>MERDA PUTRI BUNGSU KENAT</v>
      </c>
      <c r="C2150" s="40" t="str">
        <f>IFERROR(__xludf.DUMMYFUNCTION("""COMPUTED_VALUE"""),"Belum disetujui")</f>
        <v>Belum disetujui</v>
      </c>
      <c r="D2150" s="40"/>
      <c r="E2150" s="40" t="s">
        <v>11422</v>
      </c>
      <c r="F2150" s="40" t="s">
        <v>215</v>
      </c>
      <c r="G2150" s="40" t="s">
        <v>11423</v>
      </c>
      <c r="H2150" s="40" t="s">
        <v>11424</v>
      </c>
    </row>
    <row r="2151">
      <c r="A2151" s="39">
        <f>IFERROR(__xludf.DUMMYFUNCTION("""COMPUTED_VALUE"""),45964.44333016204)</f>
        <v>45964.44333</v>
      </c>
      <c r="B2151" s="40" t="str">
        <f>IFERROR(__xludf.DUMMYFUNCTION("""COMPUTED_VALUE"""),"WINDRI MANOE")</f>
        <v>WINDRI MANOE</v>
      </c>
      <c r="C2151" s="40" t="str">
        <f>IFERROR(__xludf.DUMMYFUNCTION("""COMPUTED_VALUE"""),"Belum disetujui")</f>
        <v>Belum disetujui</v>
      </c>
      <c r="D2151" s="40"/>
      <c r="E2151" s="40" t="s">
        <v>11443</v>
      </c>
      <c r="F2151" s="40" t="s">
        <v>220</v>
      </c>
      <c r="G2151" s="40" t="s">
        <v>11444</v>
      </c>
      <c r="H2151" s="40" t="s">
        <v>11399</v>
      </c>
    </row>
    <row r="2152">
      <c r="A2152" s="39">
        <f>IFERROR(__xludf.DUMMYFUNCTION("""COMPUTED_VALUE"""),45964.44773175926)</f>
        <v>45964.44773</v>
      </c>
      <c r="B2152" s="40" t="str">
        <f>IFERROR(__xludf.DUMMYFUNCTION("""COMPUTED_VALUE"""),"KESIA NATALIA I. BENU")</f>
        <v>KESIA NATALIA I. BENU</v>
      </c>
      <c r="C2152" s="40" t="str">
        <f>IFERROR(__xludf.DUMMYFUNCTION("""COMPUTED_VALUE"""),"ACC")</f>
        <v>ACC</v>
      </c>
      <c r="D2152" s="40" t="str">
        <f>IFERROR(__xludf.DUMMYFUNCTION("""COMPUTED_VALUE"""),"Y400 series")</f>
        <v>Y400 series</v>
      </c>
      <c r="E2152" s="40" t="s">
        <v>11417</v>
      </c>
      <c r="F2152" s="40" t="s">
        <v>257</v>
      </c>
      <c r="G2152" s="40" t="s">
        <v>11418</v>
      </c>
      <c r="H2152" s="40" t="s">
        <v>11419</v>
      </c>
    </row>
    <row r="2153">
      <c r="A2153" s="39">
        <f>IFERROR(__xludf.DUMMYFUNCTION("""COMPUTED_VALUE"""),45964.47762967593)</f>
        <v>45964.47763</v>
      </c>
      <c r="B2153" s="40" t="str">
        <f>IFERROR(__xludf.DUMMYFUNCTION("""COMPUTED_VALUE"""),"ANDHIKA ULLY")</f>
        <v>ANDHIKA ULLY</v>
      </c>
      <c r="C2153" s="40" t="str">
        <f>IFERROR(__xludf.DUMMYFUNCTION("""COMPUTED_VALUE"""),"Belum disetujui")</f>
        <v>Belum disetujui</v>
      </c>
      <c r="D2153" s="40"/>
      <c r="E2153" s="40" t="s">
        <v>11482</v>
      </c>
      <c r="F2153" s="40" t="s">
        <v>220</v>
      </c>
      <c r="G2153" s="40" t="s">
        <v>11483</v>
      </c>
      <c r="H2153" s="40" t="s">
        <v>11399</v>
      </c>
    </row>
    <row r="2154">
      <c r="A2154" s="39">
        <f>IFERROR(__xludf.DUMMYFUNCTION("""COMPUTED_VALUE"""),45964.48806957176)</f>
        <v>45964.48807</v>
      </c>
      <c r="B2154" s="40" t="str">
        <f>IFERROR(__xludf.DUMMYFUNCTION("""COMPUTED_VALUE"""),"NOVANTRY RUTHANIA NAFFIE")</f>
        <v>NOVANTRY RUTHANIA NAFFIE</v>
      </c>
      <c r="C2154" s="40" t="str">
        <f>IFERROR(__xludf.DUMMYFUNCTION("""COMPUTED_VALUE"""),"Belum disetujui")</f>
        <v>Belum disetujui</v>
      </c>
      <c r="D2154" s="40"/>
      <c r="E2154" s="40" t="s">
        <v>11397</v>
      </c>
      <c r="F2154" s="40" t="s">
        <v>220</v>
      </c>
      <c r="G2154" s="40" t="s">
        <v>11398</v>
      </c>
      <c r="H2154" s="40" t="s">
        <v>11399</v>
      </c>
    </row>
    <row r="2155">
      <c r="A2155" s="39">
        <f>IFERROR(__xludf.DUMMYFUNCTION("""COMPUTED_VALUE"""),45964.491015)</f>
        <v>45964.49102</v>
      </c>
      <c r="B2155" s="40" t="str">
        <f>IFERROR(__xludf.DUMMYFUNCTION("""COMPUTED_VALUE"""),"ARMINDA TEKU MANEK")</f>
        <v>ARMINDA TEKU MANEK</v>
      </c>
      <c r="C2155" s="40" t="str">
        <f>IFERROR(__xludf.DUMMYFUNCTION("""COMPUTED_VALUE"""),"Belum disetujui")</f>
        <v>Belum disetujui</v>
      </c>
      <c r="D2155" s="40"/>
      <c r="E2155" s="40" t="s">
        <v>11474</v>
      </c>
      <c r="F2155" s="40" t="s">
        <v>313</v>
      </c>
      <c r="G2155" s="40" t="s">
        <v>11475</v>
      </c>
      <c r="H2155" s="40" t="s">
        <v>11424</v>
      </c>
    </row>
    <row r="2156">
      <c r="A2156" s="39">
        <f>IFERROR(__xludf.DUMMYFUNCTION("""COMPUTED_VALUE"""),45964.49631402778)</f>
        <v>45964.49631</v>
      </c>
      <c r="B2156" s="40" t="str">
        <f>IFERROR(__xludf.DUMMYFUNCTION("""COMPUTED_VALUE"""),"SULIS NURAINI INSYATUN")</f>
        <v>SULIS NURAINI INSYATUN</v>
      </c>
      <c r="C2156" s="40" t="str">
        <f>IFERROR(__xludf.DUMMYFUNCTION("""COMPUTED_VALUE"""),"Dapat limit tapi belum diproses")</f>
        <v>Dapat limit tapi belum diproses</v>
      </c>
      <c r="D2156" s="40" t="str">
        <f>IFERROR(__xludf.DUMMYFUNCTION("""COMPUTED_VALUE"""),"Y21d series")</f>
        <v>Y21d series</v>
      </c>
      <c r="E2156" s="40" t="s">
        <v>11429</v>
      </c>
      <c r="F2156" s="40" t="s">
        <v>257</v>
      </c>
      <c r="G2156" s="40" t="s">
        <v>11430</v>
      </c>
      <c r="H2156" s="40" t="s">
        <v>11419</v>
      </c>
    </row>
    <row r="2157">
      <c r="A2157" s="39">
        <f>IFERROR(__xludf.DUMMYFUNCTION("""COMPUTED_VALUE"""),45964.501337256945)</f>
        <v>45964.50134</v>
      </c>
      <c r="B2157" s="40" t="str">
        <f>IFERROR(__xludf.DUMMYFUNCTION("""COMPUTED_VALUE"""),"ESTER LUDJI")</f>
        <v>ESTER LUDJI</v>
      </c>
      <c r="C2157" s="40" t="str">
        <f>IFERROR(__xludf.DUMMYFUNCTION("""COMPUTED_VALUE"""),"Belum disetujui")</f>
        <v>Belum disetujui</v>
      </c>
      <c r="D2157" s="40"/>
      <c r="E2157" s="40" t="s">
        <v>11441</v>
      </c>
      <c r="F2157" s="40" t="s">
        <v>205</v>
      </c>
      <c r="G2157" s="40" t="s">
        <v>11442</v>
      </c>
      <c r="H2157" s="40" t="s">
        <v>11419</v>
      </c>
    </row>
    <row r="2158">
      <c r="A2158" s="39">
        <f>IFERROR(__xludf.DUMMYFUNCTION("""COMPUTED_VALUE"""),45964.521335150464)</f>
        <v>45964.52134</v>
      </c>
      <c r="B2158" s="40" t="str">
        <f>IFERROR(__xludf.DUMMYFUNCTION("""COMPUTED_VALUE"""),"MEXY ALEXANDER HETMINA")</f>
        <v>MEXY ALEXANDER HETMINA</v>
      </c>
      <c r="C2158" s="40" t="str">
        <f>IFERROR(__xludf.DUMMYFUNCTION("""COMPUTED_VALUE"""),"Belum disetujui")</f>
        <v>Belum disetujui</v>
      </c>
      <c r="D2158" s="40"/>
      <c r="E2158" s="40" t="s">
        <v>11413</v>
      </c>
      <c r="F2158" s="40" t="s">
        <v>204</v>
      </c>
      <c r="G2158" s="40" t="s">
        <v>11414</v>
      </c>
      <c r="H2158" s="40" t="s">
        <v>11399</v>
      </c>
    </row>
    <row r="2159">
      <c r="A2159" s="39">
        <f>IFERROR(__xludf.DUMMYFUNCTION("""COMPUTED_VALUE"""),45964.5253562963)</f>
        <v>45964.52536</v>
      </c>
      <c r="B2159" s="40" t="str">
        <f>IFERROR(__xludf.DUMMYFUNCTION("""COMPUTED_VALUE"""),"LASTRIANA PALUS")</f>
        <v>LASTRIANA PALUS</v>
      </c>
      <c r="C2159" s="40" t="str">
        <f>IFERROR(__xludf.DUMMYFUNCTION("""COMPUTED_VALUE"""),"Belum disetujui")</f>
        <v>Belum disetujui</v>
      </c>
      <c r="D2159" s="40"/>
      <c r="E2159" s="40" t="s">
        <v>11468</v>
      </c>
      <c r="F2159" s="40" t="s">
        <v>257</v>
      </c>
      <c r="G2159" s="40" t="s">
        <v>11469</v>
      </c>
      <c r="H2159" s="40" t="s">
        <v>11419</v>
      </c>
    </row>
    <row r="2160">
      <c r="A2160" s="39">
        <f>IFERROR(__xludf.DUMMYFUNCTION("""COMPUTED_VALUE"""),45964.52728928241)</f>
        <v>45964.52729</v>
      </c>
      <c r="B2160" s="40" t="str">
        <f>IFERROR(__xludf.DUMMYFUNCTION("""COMPUTED_VALUE"""),"ANNA RAHMATIA JUFRI")</f>
        <v>ANNA RAHMATIA JUFRI</v>
      </c>
      <c r="C2160" s="40" t="str">
        <f>IFERROR(__xludf.DUMMYFUNCTION("""COMPUTED_VALUE"""),"Belum disetujui")</f>
        <v>Belum disetujui</v>
      </c>
      <c r="D2160" s="40"/>
      <c r="E2160" s="40" t="s">
        <v>11484</v>
      </c>
      <c r="F2160" s="40" t="s">
        <v>11450</v>
      </c>
      <c r="G2160" s="40" t="s">
        <v>11485</v>
      </c>
      <c r="H2160" s="40" t="s">
        <v>11424</v>
      </c>
    </row>
    <row r="2161">
      <c r="A2161" s="39">
        <f>IFERROR(__xludf.DUMMYFUNCTION("""COMPUTED_VALUE"""),45964.52754159722)</f>
        <v>45964.52754</v>
      </c>
      <c r="B2161" s="40" t="str">
        <f>IFERROR(__xludf.DUMMYFUNCTION("""COMPUTED_VALUE"""),"SELVINCE BAKO")</f>
        <v>SELVINCE BAKO</v>
      </c>
      <c r="C2161" s="40" t="str">
        <f>IFERROR(__xludf.DUMMYFUNCTION("""COMPUTED_VALUE"""),"Belum disetujui")</f>
        <v>Belum disetujui</v>
      </c>
      <c r="D2161" s="40"/>
      <c r="E2161" s="40" t="s">
        <v>11413</v>
      </c>
      <c r="F2161" s="40" t="s">
        <v>204</v>
      </c>
      <c r="G2161" s="40" t="s">
        <v>11414</v>
      </c>
      <c r="H2161" s="40" t="s">
        <v>11399</v>
      </c>
    </row>
    <row r="2162">
      <c r="A2162" s="39">
        <f>IFERROR(__xludf.DUMMYFUNCTION("""COMPUTED_VALUE"""),45964.58143657407)</f>
        <v>45964.58144</v>
      </c>
      <c r="B2162" s="40" t="str">
        <f>IFERROR(__xludf.DUMMYFUNCTION("""COMPUTED_VALUE"""),"ADRIANA")</f>
        <v>ADRIANA</v>
      </c>
      <c r="C2162" s="40" t="str">
        <f>IFERROR(__xludf.DUMMYFUNCTION("""COMPUTED_VALUE"""),"ACC")</f>
        <v>ACC</v>
      </c>
      <c r="D2162" s="40" t="str">
        <f>IFERROR(__xludf.DUMMYFUNCTION("""COMPUTED_VALUE"""),"Y21d series")</f>
        <v>Y21d series</v>
      </c>
      <c r="E2162" s="40" t="s">
        <v>11433</v>
      </c>
      <c r="F2162" s="40" t="s">
        <v>313</v>
      </c>
      <c r="G2162" s="40" t="s">
        <v>11434</v>
      </c>
      <c r="H2162" s="40" t="s">
        <v>11424</v>
      </c>
    </row>
    <row r="2163">
      <c r="A2163" s="39">
        <f>IFERROR(__xludf.DUMMYFUNCTION("""COMPUTED_VALUE"""),45964.582872418985)</f>
        <v>45964.58287</v>
      </c>
      <c r="B2163" s="40" t="str">
        <f>IFERROR(__xludf.DUMMYFUNCTION("""COMPUTED_VALUE"""),"ADRIANA")</f>
        <v>ADRIANA</v>
      </c>
      <c r="C2163" s="40" t="str">
        <f>IFERROR(__xludf.DUMMYFUNCTION("""COMPUTED_VALUE"""),"Belum disetujui")</f>
        <v>Belum disetujui</v>
      </c>
      <c r="D2163" s="40"/>
      <c r="E2163" s="40" t="s">
        <v>11433</v>
      </c>
      <c r="F2163" s="40" t="s">
        <v>313</v>
      </c>
      <c r="G2163" s="40" t="s">
        <v>11434</v>
      </c>
      <c r="H2163" s="40" t="s">
        <v>11424</v>
      </c>
    </row>
    <row r="2164">
      <c r="A2164" s="39">
        <f>IFERROR(__xludf.DUMMYFUNCTION("""COMPUTED_VALUE"""),45964.58538989584)</f>
        <v>45964.58539</v>
      </c>
      <c r="B2164" s="40" t="str">
        <f>IFERROR(__xludf.DUMMYFUNCTION("""COMPUTED_VALUE"""),"YANA DANGU")</f>
        <v>YANA DANGU</v>
      </c>
      <c r="C2164" s="40" t="str">
        <f>IFERROR(__xludf.DUMMYFUNCTION("""COMPUTED_VALUE"""),"Belum disetujui")</f>
        <v>Belum disetujui</v>
      </c>
      <c r="D2164" s="40"/>
      <c r="E2164" s="40" t="s">
        <v>11397</v>
      </c>
      <c r="F2164" s="40" t="s">
        <v>220</v>
      </c>
      <c r="G2164" s="40" t="s">
        <v>11398</v>
      </c>
      <c r="H2164" s="40" t="s">
        <v>11399</v>
      </c>
    </row>
    <row r="2165">
      <c r="A2165" s="39">
        <f>IFERROR(__xludf.DUMMYFUNCTION("""COMPUTED_VALUE"""),45964.586272395834)</f>
        <v>45964.58627</v>
      </c>
      <c r="B2165" s="40" t="str">
        <f>IFERROR(__xludf.DUMMYFUNCTION("""COMPUTED_VALUE"""),"PRETI SISILIA SILA")</f>
        <v>PRETI SISILIA SILA</v>
      </c>
      <c r="C2165" s="40" t="str">
        <f>IFERROR(__xludf.DUMMYFUNCTION("""COMPUTED_VALUE"""),"Belum disetujui")</f>
        <v>Belum disetujui</v>
      </c>
      <c r="D2165" s="40"/>
      <c r="E2165" s="40" t="s">
        <v>11456</v>
      </c>
      <c r="F2165" s="40" t="s">
        <v>667</v>
      </c>
      <c r="G2165" s="40" t="s">
        <v>11457</v>
      </c>
      <c r="H2165" s="40" t="s">
        <v>11424</v>
      </c>
    </row>
    <row r="2166">
      <c r="A2166" s="39">
        <f>IFERROR(__xludf.DUMMYFUNCTION("""COMPUTED_VALUE"""),45964.60742863426)</f>
        <v>45964.60743</v>
      </c>
      <c r="B2166" s="40" t="str">
        <f>IFERROR(__xludf.DUMMYFUNCTION("""COMPUTED_VALUE"""),"NOVLIANA BARBALINA MISA")</f>
        <v>NOVLIANA BARBALINA MISA</v>
      </c>
      <c r="C2166" s="40" t="str">
        <f>IFERROR(__xludf.DUMMYFUNCTION("""COMPUTED_VALUE"""),"ACC")</f>
        <v>ACC</v>
      </c>
      <c r="D2166" s="40" t="str">
        <f>IFERROR(__xludf.DUMMYFUNCTION("""COMPUTED_VALUE"""),"V60 Lite series")</f>
        <v>V60 Lite series</v>
      </c>
      <c r="E2166" s="40" t="s">
        <v>11454</v>
      </c>
      <c r="F2166" s="40" t="s">
        <v>205</v>
      </c>
      <c r="G2166" s="40" t="s">
        <v>11455</v>
      </c>
      <c r="H2166" s="40" t="s">
        <v>11419</v>
      </c>
    </row>
    <row r="2167">
      <c r="A2167" s="39">
        <f>IFERROR(__xludf.DUMMYFUNCTION("""COMPUTED_VALUE"""),45964.63014903935)</f>
        <v>45964.63015</v>
      </c>
      <c r="B2167" s="40" t="str">
        <f>IFERROR(__xludf.DUMMYFUNCTION("""COMPUTED_VALUE"""),"IDMAL YUSDIRAN YUSUF")</f>
        <v>IDMAL YUSDIRAN YUSUF</v>
      </c>
      <c r="C2167" s="40" t="str">
        <f>IFERROR(__xludf.DUMMYFUNCTION("""COMPUTED_VALUE"""),"Dapat limit tapi belum diproses")</f>
        <v>Dapat limit tapi belum diproses</v>
      </c>
      <c r="D2167" s="40" t="str">
        <f>IFERROR(__xludf.DUMMYFUNCTION("""COMPUTED_VALUE"""),"Y21d series")</f>
        <v>Y21d series</v>
      </c>
      <c r="E2167" s="40" t="s">
        <v>11417</v>
      </c>
      <c r="F2167" s="40" t="s">
        <v>257</v>
      </c>
      <c r="G2167" s="40" t="s">
        <v>11418</v>
      </c>
      <c r="H2167" s="40" t="s">
        <v>11419</v>
      </c>
    </row>
    <row r="2168">
      <c r="A2168" s="39">
        <f>IFERROR(__xludf.DUMMYFUNCTION("""COMPUTED_VALUE"""),45964.651368611114)</f>
        <v>45964.65137</v>
      </c>
      <c r="B2168" s="40" t="str">
        <f>IFERROR(__xludf.DUMMYFUNCTION("""COMPUTED_VALUE"""),"PRETI SISILIA SILA")</f>
        <v>PRETI SISILIA SILA</v>
      </c>
      <c r="C2168" s="40" t="str">
        <f>IFERROR(__xludf.DUMMYFUNCTION("""COMPUTED_VALUE"""),"ACC")</f>
        <v>ACC</v>
      </c>
      <c r="D2168" s="40" t="str">
        <f>IFERROR(__xludf.DUMMYFUNCTION("""COMPUTED_VALUE"""),"Y21d series")</f>
        <v>Y21d series</v>
      </c>
      <c r="E2168" s="40" t="s">
        <v>11456</v>
      </c>
      <c r="F2168" s="40" t="s">
        <v>667</v>
      </c>
      <c r="G2168" s="40" t="s">
        <v>11457</v>
      </c>
      <c r="H2168" s="40" t="s">
        <v>11424</v>
      </c>
    </row>
    <row r="2169">
      <c r="A2169" s="39">
        <f>IFERROR(__xludf.DUMMYFUNCTION("""COMPUTED_VALUE"""),45964.6751358912)</f>
        <v>45964.67514</v>
      </c>
      <c r="B2169" s="40" t="str">
        <f>IFERROR(__xludf.DUMMYFUNCTION("""COMPUTED_VALUE"""),"EMPI FRANGKI LIEM")</f>
        <v>EMPI FRANGKI LIEM</v>
      </c>
      <c r="C2169" s="40" t="str">
        <f>IFERROR(__xludf.DUMMYFUNCTION("""COMPUTED_VALUE"""),"Belum disetujui")</f>
        <v>Belum disetujui</v>
      </c>
      <c r="D2169" s="40"/>
      <c r="E2169" s="40" t="s">
        <v>11397</v>
      </c>
      <c r="F2169" s="40" t="s">
        <v>220</v>
      </c>
      <c r="G2169" s="40" t="s">
        <v>11398</v>
      </c>
      <c r="H2169" s="40" t="s">
        <v>11399</v>
      </c>
    </row>
    <row r="2170">
      <c r="A2170" s="39">
        <f>IFERROR(__xludf.DUMMYFUNCTION("""COMPUTED_VALUE"""),45964.692053784725)</f>
        <v>45964.69205</v>
      </c>
      <c r="B2170" s="40" t="str">
        <f>IFERROR(__xludf.DUMMYFUNCTION("""COMPUTED_VALUE"""),"IRENE NOVALIA KADJU")</f>
        <v>IRENE NOVALIA KADJU</v>
      </c>
      <c r="C2170" s="40" t="str">
        <f>IFERROR(__xludf.DUMMYFUNCTION("""COMPUTED_VALUE"""),"ACC")</f>
        <v>ACC</v>
      </c>
      <c r="D2170" s="40" t="str">
        <f>IFERROR(__xludf.DUMMYFUNCTION("""COMPUTED_VALUE"""),"Y21d series")</f>
        <v>Y21d series</v>
      </c>
      <c r="E2170" s="40" t="s">
        <v>11445</v>
      </c>
      <c r="F2170" s="40" t="s">
        <v>204</v>
      </c>
      <c r="G2170" s="40" t="s">
        <v>11446</v>
      </c>
      <c r="H2170" s="40" t="s">
        <v>11399</v>
      </c>
    </row>
    <row r="2171">
      <c r="A2171" s="39">
        <f>IFERROR(__xludf.DUMMYFUNCTION("""COMPUTED_VALUE"""),45964.69655436342)</f>
        <v>45964.69655</v>
      </c>
      <c r="B2171" s="40" t="str">
        <f>IFERROR(__xludf.DUMMYFUNCTION("""COMPUTED_VALUE"""),"YANA DANGU")</f>
        <v>YANA DANGU</v>
      </c>
      <c r="C2171" s="40" t="str">
        <f>IFERROR(__xludf.DUMMYFUNCTION("""COMPUTED_VALUE"""),"Belum disetujui")</f>
        <v>Belum disetujui</v>
      </c>
      <c r="D2171" s="40"/>
      <c r="E2171" s="40" t="s">
        <v>11397</v>
      </c>
      <c r="F2171" s="40" t="s">
        <v>220</v>
      </c>
      <c r="G2171" s="40" t="s">
        <v>11398</v>
      </c>
      <c r="H2171" s="40" t="s">
        <v>11399</v>
      </c>
    </row>
    <row r="2172">
      <c r="A2172" s="39">
        <f>IFERROR(__xludf.DUMMYFUNCTION("""COMPUTED_VALUE"""),45964.698137164356)</f>
        <v>45964.69814</v>
      </c>
      <c r="B2172" s="40" t="str">
        <f>IFERROR(__xludf.DUMMYFUNCTION("""COMPUTED_VALUE"""),"YOMELIANA MARIA MAGNO")</f>
        <v>YOMELIANA MARIA MAGNO</v>
      </c>
      <c r="C2172" s="40" t="str">
        <f>IFERROR(__xludf.DUMMYFUNCTION("""COMPUTED_VALUE"""),"Belum disetujui")</f>
        <v>Belum disetujui</v>
      </c>
      <c r="D2172" s="40"/>
      <c r="E2172" s="40" t="s">
        <v>11460</v>
      </c>
      <c r="F2172" s="40" t="s">
        <v>871</v>
      </c>
      <c r="G2172" s="40" t="s">
        <v>11461</v>
      </c>
      <c r="H2172" s="40" t="s">
        <v>11424</v>
      </c>
    </row>
    <row r="2173">
      <c r="A2173" s="39">
        <f>IFERROR(__xludf.DUMMYFUNCTION("""COMPUTED_VALUE"""),45964.69968164352)</f>
        <v>45964.69968</v>
      </c>
      <c r="B2173" s="40" t="str">
        <f>IFERROR(__xludf.DUMMYFUNCTION("""COMPUTED_VALUE"""),"SANTI MARIA LUKMINI NAHAK")</f>
        <v>SANTI MARIA LUKMINI NAHAK</v>
      </c>
      <c r="C2173" s="40" t="str">
        <f>IFERROR(__xludf.DUMMYFUNCTION("""COMPUTED_VALUE"""),"Dapat limit tapi belum diproses")</f>
        <v>Dapat limit tapi belum diproses</v>
      </c>
      <c r="D2173" s="40" t="str">
        <f>IFERROR(__xludf.DUMMYFUNCTION("""COMPUTED_VALUE"""),"Y21d series")</f>
        <v>Y21d series</v>
      </c>
      <c r="E2173" s="40" t="s">
        <v>11460</v>
      </c>
      <c r="F2173" s="40" t="s">
        <v>871</v>
      </c>
      <c r="G2173" s="40" t="s">
        <v>11461</v>
      </c>
      <c r="H2173" s="40" t="s">
        <v>11424</v>
      </c>
    </row>
    <row r="2174">
      <c r="A2174" s="39">
        <f>IFERROR(__xludf.DUMMYFUNCTION("""COMPUTED_VALUE"""),45964.71353168981)</f>
        <v>45964.71353</v>
      </c>
      <c r="B2174" s="40" t="str">
        <f>IFERROR(__xludf.DUMMYFUNCTION("""COMPUTED_VALUE"""),"ASTUTI BELA WAWO")</f>
        <v>ASTUTI BELA WAWO</v>
      </c>
      <c r="C2174" s="40" t="str">
        <f>IFERROR(__xludf.DUMMYFUNCTION("""COMPUTED_VALUE"""),"Belum disetujui")</f>
        <v>Belum disetujui</v>
      </c>
      <c r="D2174" s="40"/>
      <c r="E2174" s="40" t="s">
        <v>11427</v>
      </c>
      <c r="F2174" s="40" t="s">
        <v>257</v>
      </c>
      <c r="G2174" s="40" t="s">
        <v>11428</v>
      </c>
      <c r="H2174" s="40" t="s">
        <v>11419</v>
      </c>
    </row>
    <row r="2175">
      <c r="A2175" s="39">
        <f>IFERROR(__xludf.DUMMYFUNCTION("""COMPUTED_VALUE"""),45964.71544806713)</f>
        <v>45964.71545</v>
      </c>
      <c r="B2175" s="40" t="str">
        <f>IFERROR(__xludf.DUMMYFUNCTION("""COMPUTED_VALUE"""),"ADRIANA")</f>
        <v>ADRIANA</v>
      </c>
      <c r="C2175" s="40" t="str">
        <f>IFERROR(__xludf.DUMMYFUNCTION("""COMPUTED_VALUE"""),"Belum disetujui")</f>
        <v>Belum disetujui</v>
      </c>
      <c r="D2175" s="40"/>
      <c r="E2175" s="40" t="s">
        <v>11433</v>
      </c>
      <c r="F2175" s="40" t="s">
        <v>313</v>
      </c>
      <c r="G2175" s="40" t="s">
        <v>11434</v>
      </c>
      <c r="H2175" s="40" t="s">
        <v>11424</v>
      </c>
    </row>
    <row r="2176">
      <c r="A2176" s="39">
        <f>IFERROR(__xludf.DUMMYFUNCTION("""COMPUTED_VALUE"""),45964.71670885417)</f>
        <v>45964.71671</v>
      </c>
      <c r="B2176" s="40" t="str">
        <f>IFERROR(__xludf.DUMMYFUNCTION("""COMPUTED_VALUE"""),"SELVINCE BAKO")</f>
        <v>SELVINCE BAKO</v>
      </c>
      <c r="C2176" s="40" t="str">
        <f>IFERROR(__xludf.DUMMYFUNCTION("""COMPUTED_VALUE"""),"Belum disetujui")</f>
        <v>Belum disetujui</v>
      </c>
      <c r="D2176" s="40"/>
      <c r="E2176" s="40" t="s">
        <v>11413</v>
      </c>
      <c r="F2176" s="40" t="s">
        <v>204</v>
      </c>
      <c r="G2176" s="40" t="s">
        <v>11414</v>
      </c>
      <c r="H2176" s="40" t="s">
        <v>11399</v>
      </c>
    </row>
    <row r="2177">
      <c r="A2177" s="39">
        <f>IFERROR(__xludf.DUMMYFUNCTION("""COMPUTED_VALUE"""),45964.72183425926)</f>
        <v>45964.72183</v>
      </c>
      <c r="B2177" s="40" t="str">
        <f>IFERROR(__xludf.DUMMYFUNCTION("""COMPUTED_VALUE"""),"MARIA MELAN ANANCE BILI")</f>
        <v>MARIA MELAN ANANCE BILI</v>
      </c>
      <c r="C2177" s="40" t="str">
        <f>IFERROR(__xludf.DUMMYFUNCTION("""COMPUTED_VALUE"""),"Belum disetujui")</f>
        <v>Belum disetujui</v>
      </c>
      <c r="D2177" s="40"/>
      <c r="E2177" s="40" t="s">
        <v>11466</v>
      </c>
      <c r="F2177" s="40" t="s">
        <v>257</v>
      </c>
      <c r="G2177" s="40" t="s">
        <v>11467</v>
      </c>
      <c r="H2177" s="40" t="s">
        <v>11419</v>
      </c>
    </row>
    <row r="2178">
      <c r="A2178" s="39">
        <f>IFERROR(__xludf.DUMMYFUNCTION("""COMPUTED_VALUE"""),45964.73480494213)</f>
        <v>45964.7348</v>
      </c>
      <c r="B2178" s="40" t="str">
        <f>IFERROR(__xludf.DUMMYFUNCTION("""COMPUTED_VALUE"""),"PRETI SISILIA SILA")</f>
        <v>PRETI SISILIA SILA</v>
      </c>
      <c r="C2178" s="40" t="str">
        <f>IFERROR(__xludf.DUMMYFUNCTION("""COMPUTED_VALUE"""),"Dapat limit tapi belum diproses")</f>
        <v>Dapat limit tapi belum diproses</v>
      </c>
      <c r="D2178" s="40" t="str">
        <f>IFERROR(__xludf.DUMMYFUNCTION("""COMPUTED_VALUE"""),"V60 series")</f>
        <v>V60 series</v>
      </c>
      <c r="E2178" s="40" t="s">
        <v>11456</v>
      </c>
      <c r="F2178" s="40" t="s">
        <v>667</v>
      </c>
      <c r="G2178" s="40" t="s">
        <v>11457</v>
      </c>
      <c r="H2178" s="40" t="s">
        <v>11424</v>
      </c>
    </row>
    <row r="2179">
      <c r="A2179" s="39">
        <f>IFERROR(__xludf.DUMMYFUNCTION("""COMPUTED_VALUE"""),45964.73852943287)</f>
        <v>45964.73853</v>
      </c>
      <c r="B2179" s="40" t="str">
        <f>IFERROR(__xludf.DUMMYFUNCTION("""COMPUTED_VALUE"""),"MARIA MELAN ANANCE BILI")</f>
        <v>MARIA MELAN ANANCE BILI</v>
      </c>
      <c r="C2179" s="40" t="str">
        <f>IFERROR(__xludf.DUMMYFUNCTION("""COMPUTED_VALUE"""),"Belum disetujui")</f>
        <v>Belum disetujui</v>
      </c>
      <c r="D2179" s="40"/>
      <c r="E2179" s="40" t="s">
        <v>11466</v>
      </c>
      <c r="F2179" s="40" t="s">
        <v>257</v>
      </c>
      <c r="G2179" s="40" t="s">
        <v>11467</v>
      </c>
      <c r="H2179" s="40" t="s">
        <v>11419</v>
      </c>
    </row>
    <row r="2180">
      <c r="A2180" s="39">
        <f>IFERROR(__xludf.DUMMYFUNCTION("""COMPUTED_VALUE"""),45964.740532523145)</f>
        <v>45964.74053</v>
      </c>
      <c r="B2180" s="40" t="str">
        <f>IFERROR(__xludf.DUMMYFUNCTION("""COMPUTED_VALUE"""),"ARMINDA TEKU MANEK")</f>
        <v>ARMINDA TEKU MANEK</v>
      </c>
      <c r="C2180" s="40" t="str">
        <f>IFERROR(__xludf.DUMMYFUNCTION("""COMPUTED_VALUE"""),"Belum disetujui")</f>
        <v>Belum disetujui</v>
      </c>
      <c r="D2180" s="40"/>
      <c r="E2180" s="40" t="s">
        <v>11474</v>
      </c>
      <c r="F2180" s="40" t="s">
        <v>313</v>
      </c>
      <c r="G2180" s="40" t="s">
        <v>11475</v>
      </c>
      <c r="H2180" s="40" t="s">
        <v>11424</v>
      </c>
    </row>
    <row r="2181">
      <c r="A2181" s="39">
        <f>IFERROR(__xludf.DUMMYFUNCTION("""COMPUTED_VALUE"""),45964.75491329861)</f>
        <v>45964.75491</v>
      </c>
      <c r="B2181" s="40" t="str">
        <f>IFERROR(__xludf.DUMMYFUNCTION("""COMPUTED_VALUE"""),"MARNITHA JUWIKE TIMORATI RUNESI")</f>
        <v>MARNITHA JUWIKE TIMORATI RUNESI</v>
      </c>
      <c r="C2181" s="40" t="str">
        <f>IFERROR(__xludf.DUMMYFUNCTION("""COMPUTED_VALUE"""),"Belum disetujui")</f>
        <v>Belum disetujui</v>
      </c>
      <c r="D2181" s="40"/>
      <c r="E2181" s="40" t="s">
        <v>11420</v>
      </c>
      <c r="F2181" s="40" t="s">
        <v>204</v>
      </c>
      <c r="G2181" s="40" t="s">
        <v>11421</v>
      </c>
      <c r="H2181" s="40" t="s">
        <v>11399</v>
      </c>
    </row>
    <row r="2182">
      <c r="A2182" s="39">
        <f>IFERROR(__xludf.DUMMYFUNCTION("""COMPUTED_VALUE"""),45964.75616185185)</f>
        <v>45964.75616</v>
      </c>
      <c r="B2182" s="40" t="str">
        <f>IFERROR(__xludf.DUMMYFUNCTION("""COMPUTED_VALUE"""),"MARNITHA JUWIKE TIMORATI RUNESI")</f>
        <v>MARNITHA JUWIKE TIMORATI RUNESI</v>
      </c>
      <c r="C2182" s="40" t="str">
        <f>IFERROR(__xludf.DUMMYFUNCTION("""COMPUTED_VALUE"""),"Belum disetujui")</f>
        <v>Belum disetujui</v>
      </c>
      <c r="D2182" s="40"/>
      <c r="E2182" s="40" t="s">
        <v>11420</v>
      </c>
      <c r="F2182" s="40" t="s">
        <v>204</v>
      </c>
      <c r="G2182" s="40" t="s">
        <v>11421</v>
      </c>
      <c r="H2182" s="40" t="s">
        <v>11399</v>
      </c>
    </row>
    <row r="2183">
      <c r="A2183" s="39">
        <f>IFERROR(__xludf.DUMMYFUNCTION("""COMPUTED_VALUE"""),45964.75757761574)</f>
        <v>45964.75758</v>
      </c>
      <c r="B2183" s="40" t="str">
        <f>IFERROR(__xludf.DUMMYFUNCTION("""COMPUTED_VALUE"""),"MARNITHA JUWIKE TIMORATI RUNESI")</f>
        <v>MARNITHA JUWIKE TIMORATI RUNESI</v>
      </c>
      <c r="C2183" s="40" t="str">
        <f>IFERROR(__xludf.DUMMYFUNCTION("""COMPUTED_VALUE"""),"Belum disetujui")</f>
        <v>Belum disetujui</v>
      </c>
      <c r="D2183" s="40"/>
      <c r="E2183" s="40" t="s">
        <v>11420</v>
      </c>
      <c r="F2183" s="40" t="s">
        <v>204</v>
      </c>
      <c r="G2183" s="40" t="s">
        <v>11421</v>
      </c>
      <c r="H2183" s="40" t="s">
        <v>11399</v>
      </c>
    </row>
    <row r="2184">
      <c r="A2184" s="39">
        <f>IFERROR(__xludf.DUMMYFUNCTION("""COMPUTED_VALUE"""),45964.759118379625)</f>
        <v>45964.75912</v>
      </c>
      <c r="B2184" s="40" t="str">
        <f>IFERROR(__xludf.DUMMYFUNCTION("""COMPUTED_VALUE"""),"MARNITHA JUWIKE TIMORATI RUNESI")</f>
        <v>MARNITHA JUWIKE TIMORATI RUNESI</v>
      </c>
      <c r="C2184" s="40" t="str">
        <f>IFERROR(__xludf.DUMMYFUNCTION("""COMPUTED_VALUE"""),"Belum disetujui")</f>
        <v>Belum disetujui</v>
      </c>
      <c r="D2184" s="40"/>
      <c r="E2184" s="40" t="s">
        <v>11420</v>
      </c>
      <c r="F2184" s="40" t="s">
        <v>204</v>
      </c>
      <c r="G2184" s="40" t="s">
        <v>11421</v>
      </c>
      <c r="H2184" s="40" t="s">
        <v>11399</v>
      </c>
    </row>
    <row r="2185">
      <c r="A2185" s="39">
        <f>IFERROR(__xludf.DUMMYFUNCTION("""COMPUTED_VALUE"""),45964.75980555556)</f>
        <v>45964.75981</v>
      </c>
      <c r="B2185" s="40" t="str">
        <f>IFERROR(__xludf.DUMMYFUNCTION("""COMPUTED_VALUE"""),"SULIS NURAINI INSYATUN")</f>
        <v>SULIS NURAINI INSYATUN</v>
      </c>
      <c r="C2185" s="40" t="str">
        <f>IFERROR(__xludf.DUMMYFUNCTION("""COMPUTED_VALUE"""),"Belum disetujui")</f>
        <v>Belum disetujui</v>
      </c>
      <c r="D2185" s="40"/>
      <c r="E2185" s="40" t="s">
        <v>11429</v>
      </c>
      <c r="F2185" s="40" t="s">
        <v>257</v>
      </c>
      <c r="G2185" s="40" t="s">
        <v>11430</v>
      </c>
      <c r="H2185" s="40" t="s">
        <v>11419</v>
      </c>
    </row>
    <row r="2186">
      <c r="A2186" s="39">
        <f>IFERROR(__xludf.DUMMYFUNCTION("""COMPUTED_VALUE"""),45964.76009783565)</f>
        <v>45964.7601</v>
      </c>
      <c r="B2186" s="40" t="str">
        <f>IFERROR(__xludf.DUMMYFUNCTION("""COMPUTED_VALUE"""),"MARNITHA JUWIKE TIMORATI RUNESI")</f>
        <v>MARNITHA JUWIKE TIMORATI RUNESI</v>
      </c>
      <c r="C2186" s="40" t="str">
        <f>IFERROR(__xludf.DUMMYFUNCTION("""COMPUTED_VALUE"""),"Belum disetujui")</f>
        <v>Belum disetujui</v>
      </c>
      <c r="D2186" s="40"/>
      <c r="E2186" s="40" t="s">
        <v>11420</v>
      </c>
      <c r="F2186" s="40" t="s">
        <v>204</v>
      </c>
      <c r="G2186" s="40" t="s">
        <v>11421</v>
      </c>
      <c r="H2186" s="40" t="s">
        <v>11399</v>
      </c>
    </row>
    <row r="2187">
      <c r="A2187" s="39">
        <f>IFERROR(__xludf.DUMMYFUNCTION("""COMPUTED_VALUE"""),45964.76149898148)</f>
        <v>45964.7615</v>
      </c>
      <c r="B2187" s="40" t="str">
        <f>IFERROR(__xludf.DUMMYFUNCTION("""COMPUTED_VALUE"""),"MARNITHA JUWIKE TIMORATI RUNESI")</f>
        <v>MARNITHA JUWIKE TIMORATI RUNESI</v>
      </c>
      <c r="C2187" s="40" t="str">
        <f>IFERROR(__xludf.DUMMYFUNCTION("""COMPUTED_VALUE"""),"Belum disetujui")</f>
        <v>Belum disetujui</v>
      </c>
      <c r="D2187" s="40"/>
      <c r="E2187" s="40" t="s">
        <v>11420</v>
      </c>
      <c r="F2187" s="40" t="s">
        <v>204</v>
      </c>
      <c r="G2187" s="40" t="s">
        <v>11421</v>
      </c>
      <c r="H2187" s="40" t="s">
        <v>11399</v>
      </c>
    </row>
    <row r="2188">
      <c r="A2188" s="39">
        <f>IFERROR(__xludf.DUMMYFUNCTION("""COMPUTED_VALUE"""),45964.77568215277)</f>
        <v>45964.77568</v>
      </c>
      <c r="B2188" s="40" t="str">
        <f>IFERROR(__xludf.DUMMYFUNCTION("""COMPUTED_VALUE"""),"ARMINDA TEKU MANEK")</f>
        <v>ARMINDA TEKU MANEK</v>
      </c>
      <c r="C2188" s="40" t="str">
        <f>IFERROR(__xludf.DUMMYFUNCTION("""COMPUTED_VALUE"""),"Dapat limit tapi belum diproses")</f>
        <v>Dapat limit tapi belum diproses</v>
      </c>
      <c r="D2188" s="40" t="str">
        <f>IFERROR(__xludf.DUMMYFUNCTION("""COMPUTED_VALUE"""),"V60 Lite series")</f>
        <v>V60 Lite series</v>
      </c>
      <c r="E2188" s="40" t="s">
        <v>11474</v>
      </c>
      <c r="F2188" s="40" t="s">
        <v>313</v>
      </c>
      <c r="G2188" s="40" t="s">
        <v>11475</v>
      </c>
      <c r="H2188" s="40" t="s">
        <v>11424</v>
      </c>
    </row>
    <row r="2189">
      <c r="A2189" s="39">
        <f>IFERROR(__xludf.DUMMYFUNCTION("""COMPUTED_VALUE"""),45964.810995011576)</f>
        <v>45964.811</v>
      </c>
      <c r="B2189" s="40" t="str">
        <f>IFERROR(__xludf.DUMMYFUNCTION("""COMPUTED_VALUE"""),"FEBRIANTHY ELISABET NA'U")</f>
        <v>FEBRIANTHY ELISABET NA'U</v>
      </c>
      <c r="C2189" s="40" t="str">
        <f>IFERROR(__xludf.DUMMYFUNCTION("""COMPUTED_VALUE"""),"Belum disetujui")</f>
        <v>Belum disetujui</v>
      </c>
      <c r="D2189" s="40"/>
      <c r="E2189" s="40" t="s">
        <v>11415</v>
      </c>
      <c r="F2189" s="40" t="s">
        <v>204</v>
      </c>
      <c r="G2189" s="40" t="s">
        <v>11416</v>
      </c>
      <c r="H2189" s="40" t="s">
        <v>11399</v>
      </c>
    </row>
    <row r="2190">
      <c r="A2190" s="39">
        <f>IFERROR(__xludf.DUMMYFUNCTION("""COMPUTED_VALUE"""),45964.81895365741)</f>
        <v>45964.81895</v>
      </c>
      <c r="B2190" s="40" t="str">
        <f>IFERROR(__xludf.DUMMYFUNCTION("""COMPUTED_VALUE"""),"PATRIANI MENGI ULY")</f>
        <v>PATRIANI MENGI ULY</v>
      </c>
      <c r="C2190" s="40" t="str">
        <f>IFERROR(__xludf.DUMMYFUNCTION("""COMPUTED_VALUE"""),"Belum disetujui")</f>
        <v>Belum disetujui</v>
      </c>
      <c r="D2190" s="40"/>
      <c r="E2190" s="40" t="s">
        <v>11402</v>
      </c>
      <c r="F2190" s="40" t="s">
        <v>204</v>
      </c>
      <c r="G2190" s="40" t="s">
        <v>11403</v>
      </c>
      <c r="H2190" s="40" t="s">
        <v>11399</v>
      </c>
    </row>
    <row r="2191">
      <c r="A2191" s="39">
        <f>IFERROR(__xludf.DUMMYFUNCTION("""COMPUTED_VALUE"""),45964.82994774305)</f>
        <v>45964.82995</v>
      </c>
      <c r="B2191" s="40" t="str">
        <f>IFERROR(__xludf.DUMMYFUNCTION("""COMPUTED_VALUE"""),"ADRIANA")</f>
        <v>ADRIANA</v>
      </c>
      <c r="C2191" s="40" t="str">
        <f>IFERROR(__xludf.DUMMYFUNCTION("""COMPUTED_VALUE"""),"ACC")</f>
        <v>ACC</v>
      </c>
      <c r="D2191" s="40" t="str">
        <f>IFERROR(__xludf.DUMMYFUNCTION("""COMPUTED_VALUE"""),"Y400 series")</f>
        <v>Y400 series</v>
      </c>
      <c r="E2191" s="40" t="s">
        <v>11433</v>
      </c>
      <c r="F2191" s="40" t="s">
        <v>313</v>
      </c>
      <c r="G2191" s="40" t="s">
        <v>11434</v>
      </c>
      <c r="H2191" s="40" t="s">
        <v>11424</v>
      </c>
    </row>
    <row r="2192">
      <c r="A2192" s="39">
        <f>IFERROR(__xludf.DUMMYFUNCTION("""COMPUTED_VALUE"""),45964.84974686343)</f>
        <v>45964.84975</v>
      </c>
      <c r="B2192" s="40" t="str">
        <f>IFERROR(__xludf.DUMMYFUNCTION("""COMPUTED_VALUE"""),"GRACELLA SARI HIVANA MANAFE")</f>
        <v>GRACELLA SARI HIVANA MANAFE</v>
      </c>
      <c r="C2192" s="40" t="str">
        <f>IFERROR(__xludf.DUMMYFUNCTION("""COMPUTED_VALUE"""),"Dapat limit tapi belum diproses")</f>
        <v>Dapat limit tapi belum diproses</v>
      </c>
      <c r="D2192" s="40" t="str">
        <f>IFERROR(__xludf.DUMMYFUNCTION("""COMPUTED_VALUE"""),"V60 series")</f>
        <v>V60 series</v>
      </c>
      <c r="E2192" s="40" t="s">
        <v>11478</v>
      </c>
      <c r="F2192" s="40" t="s">
        <v>220</v>
      </c>
      <c r="G2192" s="40" t="s">
        <v>11479</v>
      </c>
      <c r="H2192" s="40" t="s">
        <v>11399</v>
      </c>
    </row>
    <row r="2193">
      <c r="A2193" s="39">
        <f>IFERROR(__xludf.DUMMYFUNCTION("""COMPUTED_VALUE"""),45964.86028262731)</f>
        <v>45964.86028</v>
      </c>
      <c r="B2193" s="40" t="str">
        <f>IFERROR(__xludf.DUMMYFUNCTION("""COMPUTED_VALUE"""),"MARATHA MARLINDA FANGGIDAE")</f>
        <v>MARATHA MARLINDA FANGGIDAE</v>
      </c>
      <c r="C2193" s="40" t="str">
        <f>IFERROR(__xludf.DUMMYFUNCTION("""COMPUTED_VALUE"""),"Belum disetujui")</f>
        <v>Belum disetujui</v>
      </c>
      <c r="D2193" s="40"/>
      <c r="E2193" s="40" t="s">
        <v>11435</v>
      </c>
      <c r="F2193" s="40" t="s">
        <v>215</v>
      </c>
      <c r="G2193" s="40" t="s">
        <v>11436</v>
      </c>
      <c r="H2193" s="40" t="s">
        <v>11424</v>
      </c>
    </row>
    <row r="2194">
      <c r="A2194" s="39">
        <f>IFERROR(__xludf.DUMMYFUNCTION("""COMPUTED_VALUE"""),45964.869587326386)</f>
        <v>45964.86959</v>
      </c>
      <c r="B2194" s="40" t="str">
        <f>IFERROR(__xludf.DUMMYFUNCTION("""COMPUTED_VALUE"""),"WARDIA")</f>
        <v>WARDIA</v>
      </c>
      <c r="C2194" s="40" t="str">
        <f>IFERROR(__xludf.DUMMYFUNCTION("""COMPUTED_VALUE"""),"Belum disetujui")</f>
        <v>Belum disetujui</v>
      </c>
      <c r="D2194" s="40"/>
      <c r="E2194" s="40" t="s">
        <v>11409</v>
      </c>
      <c r="F2194" s="40" t="s">
        <v>204</v>
      </c>
      <c r="G2194" s="40" t="s">
        <v>11410</v>
      </c>
      <c r="H2194" s="40" t="s">
        <v>11399</v>
      </c>
    </row>
    <row r="2195">
      <c r="A2195" s="39">
        <f>IFERROR(__xludf.DUMMYFUNCTION("""COMPUTED_VALUE"""),45965.42528438657)</f>
        <v>45965.42528</v>
      </c>
      <c r="B2195" s="40" t="str">
        <f>IFERROR(__xludf.DUMMYFUNCTION("""COMPUTED_VALUE"""),"SKOLASTIKA B TAUNAES")</f>
        <v>SKOLASTIKA B TAUNAES</v>
      </c>
      <c r="C2195" s="40" t="str">
        <f>IFERROR(__xludf.DUMMYFUNCTION("""COMPUTED_VALUE"""),"Dapat limit tapi belum diproses")</f>
        <v>Dapat limit tapi belum diproses</v>
      </c>
      <c r="D2195" s="40" t="str">
        <f>IFERROR(__xludf.DUMMYFUNCTION("""COMPUTED_VALUE"""),"V60 series")</f>
        <v>V60 series</v>
      </c>
      <c r="E2195" s="40" t="s">
        <v>11413</v>
      </c>
      <c r="F2195" s="40" t="s">
        <v>204</v>
      </c>
      <c r="G2195" s="40" t="s">
        <v>11414</v>
      </c>
      <c r="H2195" s="40" t="s">
        <v>11399</v>
      </c>
    </row>
    <row r="2196">
      <c r="A2196" s="39">
        <f>IFERROR(__xludf.DUMMYFUNCTION("""COMPUTED_VALUE"""),45965.438526979175)</f>
        <v>45965.43853</v>
      </c>
      <c r="B2196" s="40" t="str">
        <f>IFERROR(__xludf.DUMMYFUNCTION("""COMPUTED_VALUE"""),"BERGITHA NIA OLIN")</f>
        <v>BERGITHA NIA OLIN</v>
      </c>
      <c r="C2196" s="40" t="str">
        <f>IFERROR(__xludf.DUMMYFUNCTION("""COMPUTED_VALUE"""),"Dapat limit tapi belum diproses")</f>
        <v>Dapat limit tapi belum diproses</v>
      </c>
      <c r="D2196" s="40" t="str">
        <f>IFERROR(__xludf.DUMMYFUNCTION("""COMPUTED_VALUE"""),"Y21d series")</f>
        <v>Y21d series</v>
      </c>
      <c r="E2196" s="40" t="s">
        <v>11431</v>
      </c>
      <c r="F2196" s="40" t="s">
        <v>313</v>
      </c>
      <c r="G2196" s="40" t="s">
        <v>11432</v>
      </c>
      <c r="H2196" s="40" t="s">
        <v>11424</v>
      </c>
    </row>
    <row r="2197">
      <c r="A2197" s="39">
        <f>IFERROR(__xludf.DUMMYFUNCTION("""COMPUTED_VALUE"""),45965.4387237037)</f>
        <v>45965.43872</v>
      </c>
      <c r="B2197" s="40" t="str">
        <f>IFERROR(__xludf.DUMMYFUNCTION("""COMPUTED_VALUE"""),"NUR FATIMAH MOLBANG")</f>
        <v>NUR FATIMAH MOLBANG</v>
      </c>
      <c r="C2197" s="40" t="str">
        <f>IFERROR(__xludf.DUMMYFUNCTION("""COMPUTED_VALUE"""),"Belum disetujui")</f>
        <v>Belum disetujui</v>
      </c>
      <c r="D2197" s="40"/>
      <c r="E2197" s="40" t="s">
        <v>11439</v>
      </c>
      <c r="F2197" s="40" t="s">
        <v>313</v>
      </c>
      <c r="G2197" s="40" t="s">
        <v>11440</v>
      </c>
      <c r="H2197" s="40" t="s">
        <v>11424</v>
      </c>
    </row>
    <row r="2198">
      <c r="A2198" s="39">
        <f>IFERROR(__xludf.DUMMYFUNCTION("""COMPUTED_VALUE"""),45965.44199179398)</f>
        <v>45965.44199</v>
      </c>
      <c r="B2198" s="40" t="str">
        <f>IFERROR(__xludf.DUMMYFUNCTION("""COMPUTED_VALUE"""),"YUNITA TAMELAB")</f>
        <v>YUNITA TAMELAB</v>
      </c>
      <c r="C2198" s="40" t="str">
        <f>IFERROR(__xludf.DUMMYFUNCTION("""COMPUTED_VALUE"""),"Belum disetujui")</f>
        <v>Belum disetujui</v>
      </c>
      <c r="D2198" s="40"/>
      <c r="E2198" s="40" t="s">
        <v>11472</v>
      </c>
      <c r="F2198" s="40" t="s">
        <v>667</v>
      </c>
      <c r="G2198" s="40" t="s">
        <v>11473</v>
      </c>
      <c r="H2198" s="40" t="s">
        <v>11424</v>
      </c>
    </row>
    <row r="2199">
      <c r="A2199" s="39">
        <f>IFERROR(__xludf.DUMMYFUNCTION("""COMPUTED_VALUE"""),45965.44269386574)</f>
        <v>45965.44269</v>
      </c>
      <c r="B2199" s="40" t="str">
        <f>IFERROR(__xludf.DUMMYFUNCTION("""COMPUTED_VALUE"""),"NOVANTRY RUTHANIA NAFFIE")</f>
        <v>NOVANTRY RUTHANIA NAFFIE</v>
      </c>
      <c r="C2199" s="40" t="str">
        <f>IFERROR(__xludf.DUMMYFUNCTION("""COMPUTED_VALUE"""),"Dapat limit tapi belum diproses")</f>
        <v>Dapat limit tapi belum diproses</v>
      </c>
      <c r="D2199" s="40" t="str">
        <f>IFERROR(__xludf.DUMMYFUNCTION("""COMPUTED_VALUE"""),"Y400 series")</f>
        <v>Y400 series</v>
      </c>
      <c r="E2199" s="40" t="s">
        <v>11397</v>
      </c>
      <c r="F2199" s="40" t="s">
        <v>220</v>
      </c>
      <c r="G2199" s="40" t="s">
        <v>11398</v>
      </c>
      <c r="H2199" s="40" t="s">
        <v>11399</v>
      </c>
    </row>
    <row r="2200">
      <c r="A2200" s="39">
        <f>IFERROR(__xludf.DUMMYFUNCTION("""COMPUTED_VALUE"""),45965.45459361111)</f>
        <v>45965.45459</v>
      </c>
      <c r="B2200" s="40" t="str">
        <f>IFERROR(__xludf.DUMMYFUNCTION("""COMPUTED_VALUE"""),"LASTRIANA PALUS")</f>
        <v>LASTRIANA PALUS</v>
      </c>
      <c r="C2200" s="40" t="str">
        <f>IFERROR(__xludf.DUMMYFUNCTION("""COMPUTED_VALUE"""),"Belum disetujui")</f>
        <v>Belum disetujui</v>
      </c>
      <c r="D2200" s="40"/>
      <c r="E2200" s="40" t="s">
        <v>11468</v>
      </c>
      <c r="F2200" s="40" t="s">
        <v>257</v>
      </c>
      <c r="G2200" s="40" t="s">
        <v>11469</v>
      </c>
      <c r="H2200" s="40" t="s">
        <v>11419</v>
      </c>
    </row>
    <row r="2201">
      <c r="A2201" s="39">
        <f>IFERROR(__xludf.DUMMYFUNCTION("""COMPUTED_VALUE"""),45965.476451574075)</f>
        <v>45965.47645</v>
      </c>
      <c r="B2201" s="40" t="str">
        <f>IFERROR(__xludf.DUMMYFUNCTION("""COMPUTED_VALUE"""),"NENY MERLIANTI NA'U")</f>
        <v>NENY MERLIANTI NA'U</v>
      </c>
      <c r="C2201" s="40" t="str">
        <f>IFERROR(__xludf.DUMMYFUNCTION("""COMPUTED_VALUE"""),"Belum disetujui")</f>
        <v>Belum disetujui</v>
      </c>
      <c r="D2201" s="40"/>
      <c r="E2201" s="40" t="s">
        <v>11476</v>
      </c>
      <c r="F2201" s="40" t="s">
        <v>204</v>
      </c>
      <c r="G2201" s="40" t="s">
        <v>11477</v>
      </c>
      <c r="H2201" s="40" t="s">
        <v>11399</v>
      </c>
    </row>
    <row r="2202">
      <c r="A2202" s="39">
        <f>IFERROR(__xludf.DUMMYFUNCTION("""COMPUTED_VALUE"""),45965.493572870364)</f>
        <v>45965.49357</v>
      </c>
      <c r="B2202" s="40" t="str">
        <f>IFERROR(__xludf.DUMMYFUNCTION("""COMPUTED_VALUE"""),"BERGITHA NIA OLIN")</f>
        <v>BERGITHA NIA OLIN</v>
      </c>
      <c r="C2202" s="40" t="str">
        <f>IFERROR(__xludf.DUMMYFUNCTION("""COMPUTED_VALUE"""),"ACC")</f>
        <v>ACC</v>
      </c>
      <c r="D2202" s="40" t="str">
        <f>IFERROR(__xludf.DUMMYFUNCTION("""COMPUTED_VALUE"""),"Y21d series")</f>
        <v>Y21d series</v>
      </c>
      <c r="E2202" s="40" t="s">
        <v>11431</v>
      </c>
      <c r="F2202" s="40" t="s">
        <v>313</v>
      </c>
      <c r="G2202" s="40" t="s">
        <v>11432</v>
      </c>
      <c r="H2202" s="40" t="s">
        <v>11424</v>
      </c>
    </row>
    <row r="2203">
      <c r="A2203" s="39">
        <f>IFERROR(__xludf.DUMMYFUNCTION("""COMPUTED_VALUE"""),45965.497637141205)</f>
        <v>45965.49764</v>
      </c>
      <c r="B2203" s="40" t="str">
        <f>IFERROR(__xludf.DUMMYFUNCTION("""COMPUTED_VALUE"""),"ADRIANA")</f>
        <v>ADRIANA</v>
      </c>
      <c r="C2203" s="40" t="str">
        <f>IFERROR(__xludf.DUMMYFUNCTION("""COMPUTED_VALUE"""),"Belum disetujui")</f>
        <v>Belum disetujui</v>
      </c>
      <c r="D2203" s="40"/>
      <c r="E2203" s="40" t="s">
        <v>11433</v>
      </c>
      <c r="F2203" s="40" t="s">
        <v>313</v>
      </c>
      <c r="G2203" s="40" t="s">
        <v>11434</v>
      </c>
      <c r="H2203" s="40" t="s">
        <v>11424</v>
      </c>
    </row>
    <row r="2204">
      <c r="A2204" s="39">
        <f>IFERROR(__xludf.DUMMYFUNCTION("""COMPUTED_VALUE"""),45965.49888263889)</f>
        <v>45965.49888</v>
      </c>
      <c r="B2204" s="40" t="str">
        <f>IFERROR(__xludf.DUMMYFUNCTION("""COMPUTED_VALUE"""),"ADRIANA")</f>
        <v>ADRIANA</v>
      </c>
      <c r="C2204" s="40" t="str">
        <f>IFERROR(__xludf.DUMMYFUNCTION("""COMPUTED_VALUE"""),"Belum disetujui")</f>
        <v>Belum disetujui</v>
      </c>
      <c r="D2204" s="40"/>
      <c r="E2204" s="40" t="s">
        <v>11433</v>
      </c>
      <c r="F2204" s="40" t="s">
        <v>313</v>
      </c>
      <c r="G2204" s="40" t="s">
        <v>11434</v>
      </c>
      <c r="H2204" s="40" t="s">
        <v>11424</v>
      </c>
    </row>
    <row r="2205">
      <c r="A2205" s="39">
        <f>IFERROR(__xludf.DUMMYFUNCTION("""COMPUTED_VALUE"""),45965.50241364583)</f>
        <v>45965.50241</v>
      </c>
      <c r="B2205" s="40" t="str">
        <f>IFERROR(__xludf.DUMMYFUNCTION("""COMPUTED_VALUE"""),"NENY MERLIANTI NA'U")</f>
        <v>NENY MERLIANTI NA'U</v>
      </c>
      <c r="C2205" s="40" t="str">
        <f>IFERROR(__xludf.DUMMYFUNCTION("""COMPUTED_VALUE"""),"Belum disetujui")</f>
        <v>Belum disetujui</v>
      </c>
      <c r="D2205" s="40"/>
      <c r="E2205" s="40" t="s">
        <v>11476</v>
      </c>
      <c r="F2205" s="40" t="s">
        <v>204</v>
      </c>
      <c r="G2205" s="40" t="s">
        <v>11477</v>
      </c>
      <c r="H2205" s="40" t="s">
        <v>11399</v>
      </c>
    </row>
    <row r="2206">
      <c r="A2206" s="39">
        <f>IFERROR(__xludf.DUMMYFUNCTION("""COMPUTED_VALUE"""),45965.504675219905)</f>
        <v>45965.50468</v>
      </c>
      <c r="B2206" s="40" t="str">
        <f>IFERROR(__xludf.DUMMYFUNCTION("""COMPUTED_VALUE"""),"MARNITHA JUWIKE TIMORATI RUNESI")</f>
        <v>MARNITHA JUWIKE TIMORATI RUNESI</v>
      </c>
      <c r="C2206" s="40" t="str">
        <f>IFERROR(__xludf.DUMMYFUNCTION("""COMPUTED_VALUE"""),"Belum disetujui")</f>
        <v>Belum disetujui</v>
      </c>
      <c r="D2206" s="40"/>
      <c r="E2206" s="40" t="s">
        <v>11420</v>
      </c>
      <c r="F2206" s="40" t="s">
        <v>204</v>
      </c>
      <c r="G2206" s="40" t="s">
        <v>11421</v>
      </c>
      <c r="H2206" s="40" t="s">
        <v>11399</v>
      </c>
    </row>
    <row r="2207">
      <c r="A2207" s="39">
        <f>IFERROR(__xludf.DUMMYFUNCTION("""COMPUTED_VALUE"""),45965.50578716435)</f>
        <v>45965.50579</v>
      </c>
      <c r="B2207" s="40" t="str">
        <f>IFERROR(__xludf.DUMMYFUNCTION("""COMPUTED_VALUE"""),"MARNITHA JUWIKE TIMORATI RUNESI")</f>
        <v>MARNITHA JUWIKE TIMORATI RUNESI</v>
      </c>
      <c r="C2207" s="40" t="str">
        <f>IFERROR(__xludf.DUMMYFUNCTION("""COMPUTED_VALUE"""),"Dapat limit tapi belum diproses")</f>
        <v>Dapat limit tapi belum diproses</v>
      </c>
      <c r="D2207" s="40" t="str">
        <f>IFERROR(__xludf.DUMMYFUNCTION("""COMPUTED_VALUE"""),"V60 Lite series")</f>
        <v>V60 Lite series</v>
      </c>
      <c r="E2207" s="40" t="s">
        <v>11420</v>
      </c>
      <c r="F2207" s="40" t="s">
        <v>204</v>
      </c>
      <c r="G2207" s="40" t="s">
        <v>11421</v>
      </c>
      <c r="H2207" s="40" t="s">
        <v>11399</v>
      </c>
    </row>
    <row r="2208">
      <c r="A2208" s="39">
        <f>IFERROR(__xludf.DUMMYFUNCTION("""COMPUTED_VALUE"""),45965.5114153125)</f>
        <v>45965.51142</v>
      </c>
      <c r="B2208" s="40" t="str">
        <f>IFERROR(__xludf.DUMMYFUNCTION("""COMPUTED_VALUE"""),"ARMINDA TEKU MANEK")</f>
        <v>ARMINDA TEKU MANEK</v>
      </c>
      <c r="C2208" s="40" t="str">
        <f>IFERROR(__xludf.DUMMYFUNCTION("""COMPUTED_VALUE"""),"Belum disetujui")</f>
        <v>Belum disetujui</v>
      </c>
      <c r="D2208" s="40"/>
      <c r="E2208" s="40" t="s">
        <v>11474</v>
      </c>
      <c r="F2208" s="40" t="s">
        <v>313</v>
      </c>
      <c r="G2208" s="40" t="s">
        <v>11475</v>
      </c>
      <c r="H2208" s="40" t="s">
        <v>11424</v>
      </c>
    </row>
    <row r="2209">
      <c r="A2209" s="39">
        <f>IFERROR(__xludf.DUMMYFUNCTION("""COMPUTED_VALUE"""),45965.52236739584)</f>
        <v>45965.52237</v>
      </c>
      <c r="B2209" s="40" t="str">
        <f>IFERROR(__xludf.DUMMYFUNCTION("""COMPUTED_VALUE"""),"MERDA PUTRI BUNGSU KENAT")</f>
        <v>MERDA PUTRI BUNGSU KENAT</v>
      </c>
      <c r="C2209" s="40" t="str">
        <f>IFERROR(__xludf.DUMMYFUNCTION("""COMPUTED_VALUE"""),"Belum disetujui")</f>
        <v>Belum disetujui</v>
      </c>
      <c r="D2209" s="40"/>
      <c r="E2209" s="40" t="s">
        <v>11422</v>
      </c>
      <c r="F2209" s="40" t="s">
        <v>215</v>
      </c>
      <c r="G2209" s="40" t="s">
        <v>11423</v>
      </c>
      <c r="H2209" s="40" t="s">
        <v>11424</v>
      </c>
    </row>
    <row r="2210">
      <c r="A2210" s="39">
        <f>IFERROR(__xludf.DUMMYFUNCTION("""COMPUTED_VALUE"""),45965.527001215276)</f>
        <v>45965.527</v>
      </c>
      <c r="B2210" s="40" t="str">
        <f>IFERROR(__xludf.DUMMYFUNCTION("""COMPUTED_VALUE"""),"PRETI SISILIA SILA")</f>
        <v>PRETI SISILIA SILA</v>
      </c>
      <c r="C2210" s="40" t="str">
        <f>IFERROR(__xludf.DUMMYFUNCTION("""COMPUTED_VALUE"""),"Belum disetujui")</f>
        <v>Belum disetujui</v>
      </c>
      <c r="D2210" s="40"/>
      <c r="E2210" s="40" t="s">
        <v>11456</v>
      </c>
      <c r="F2210" s="40" t="s">
        <v>667</v>
      </c>
      <c r="G2210" s="40" t="s">
        <v>11457</v>
      </c>
      <c r="H2210" s="40" t="s">
        <v>11424</v>
      </c>
    </row>
    <row r="2211">
      <c r="A2211" s="39">
        <f>IFERROR(__xludf.DUMMYFUNCTION("""COMPUTED_VALUE"""),45965.554245775464)</f>
        <v>45965.55425</v>
      </c>
      <c r="B2211" s="40" t="str">
        <f>IFERROR(__xludf.DUMMYFUNCTION("""COMPUTED_VALUE"""),"DWITNEY PRETY WANGGANDIMA")</f>
        <v>DWITNEY PRETY WANGGANDIMA</v>
      </c>
      <c r="C2211" s="40" t="str">
        <f>IFERROR(__xludf.DUMMYFUNCTION("""COMPUTED_VALUE"""),"Belum disetujui")</f>
        <v>Belum disetujui</v>
      </c>
      <c r="D2211" s="40"/>
      <c r="E2211" s="40" t="s">
        <v>11443</v>
      </c>
      <c r="F2211" s="40" t="s">
        <v>220</v>
      </c>
      <c r="G2211" s="40" t="s">
        <v>11444</v>
      </c>
      <c r="H2211" s="40" t="s">
        <v>11399</v>
      </c>
    </row>
    <row r="2212">
      <c r="A2212" s="39">
        <f>IFERROR(__xludf.DUMMYFUNCTION("""COMPUTED_VALUE"""),45965.60164850694)</f>
        <v>45965.60165</v>
      </c>
      <c r="B2212" s="40" t="str">
        <f>IFERROR(__xludf.DUMMYFUNCTION("""COMPUTED_VALUE"""),"IDMAL YUSDIRAN YUSUF")</f>
        <v>IDMAL YUSDIRAN YUSUF</v>
      </c>
      <c r="C2212" s="40" t="str">
        <f>IFERROR(__xludf.DUMMYFUNCTION("""COMPUTED_VALUE"""),"Belum disetujui")</f>
        <v>Belum disetujui</v>
      </c>
      <c r="D2212" s="40"/>
      <c r="E2212" s="40" t="s">
        <v>11417</v>
      </c>
      <c r="F2212" s="40" t="s">
        <v>257</v>
      </c>
      <c r="G2212" s="40" t="s">
        <v>11418</v>
      </c>
      <c r="H2212" s="40" t="s">
        <v>11419</v>
      </c>
    </row>
    <row r="2213">
      <c r="A2213" s="39">
        <f>IFERROR(__xludf.DUMMYFUNCTION("""COMPUTED_VALUE"""),45965.60501699074)</f>
        <v>45965.60502</v>
      </c>
      <c r="B2213" s="40" t="str">
        <f>IFERROR(__xludf.DUMMYFUNCTION("""COMPUTED_VALUE"""),"KESIA NATALIA I. BENU")</f>
        <v>KESIA NATALIA I. BENU</v>
      </c>
      <c r="C2213" s="40" t="str">
        <f>IFERROR(__xludf.DUMMYFUNCTION("""COMPUTED_VALUE"""),"ACC")</f>
        <v>ACC</v>
      </c>
      <c r="D2213" s="40" t="str">
        <f>IFERROR(__xludf.DUMMYFUNCTION("""COMPUTED_VALUE"""),"Y21d series")</f>
        <v>Y21d series</v>
      </c>
      <c r="E2213" s="40" t="s">
        <v>11417</v>
      </c>
      <c r="F2213" s="40" t="s">
        <v>257</v>
      </c>
      <c r="G2213" s="40" t="s">
        <v>11418</v>
      </c>
      <c r="H2213" s="40" t="s">
        <v>11419</v>
      </c>
    </row>
    <row r="2214">
      <c r="A2214" s="39">
        <f>IFERROR(__xludf.DUMMYFUNCTION("""COMPUTED_VALUE"""),45965.60659438657)</f>
        <v>45965.60659</v>
      </c>
      <c r="B2214" s="40" t="str">
        <f>IFERROR(__xludf.DUMMYFUNCTION("""COMPUTED_VALUE"""),"ANNA RAHMATIA JUFRI")</f>
        <v>ANNA RAHMATIA JUFRI</v>
      </c>
      <c r="C2214" s="40" t="str">
        <f>IFERROR(__xludf.DUMMYFUNCTION("""COMPUTED_VALUE"""),"Belum disetujui")</f>
        <v>Belum disetujui</v>
      </c>
      <c r="D2214" s="40"/>
      <c r="E2214" s="40" t="s">
        <v>11484</v>
      </c>
      <c r="F2214" s="40" t="s">
        <v>11450</v>
      </c>
      <c r="G2214" s="40" t="s">
        <v>11485</v>
      </c>
      <c r="H2214" s="40" t="s">
        <v>11424</v>
      </c>
    </row>
    <row r="2215">
      <c r="A2215" s="39">
        <f>IFERROR(__xludf.DUMMYFUNCTION("""COMPUTED_VALUE"""),45965.607617951384)</f>
        <v>45965.60762</v>
      </c>
      <c r="B2215" s="40" t="str">
        <f>IFERROR(__xludf.DUMMYFUNCTION("""COMPUTED_VALUE"""),"AZ ZAHRA SITI ZAINAB")</f>
        <v>AZ ZAHRA SITI ZAINAB</v>
      </c>
      <c r="C2215" s="40" t="str">
        <f>IFERROR(__xludf.DUMMYFUNCTION("""COMPUTED_VALUE"""),"ACC")</f>
        <v>ACC</v>
      </c>
      <c r="D2215" s="40" t="str">
        <f>IFERROR(__xludf.DUMMYFUNCTION("""COMPUTED_VALUE"""),"Y21d series")</f>
        <v>Y21d series</v>
      </c>
      <c r="E2215" s="40" t="s">
        <v>11462</v>
      </c>
      <c r="F2215" s="40" t="s">
        <v>257</v>
      </c>
      <c r="G2215" s="40" t="s">
        <v>11463</v>
      </c>
      <c r="H2215" s="40" t="s">
        <v>11419</v>
      </c>
    </row>
    <row r="2216">
      <c r="A2216" s="39">
        <f>IFERROR(__xludf.DUMMYFUNCTION("""COMPUTED_VALUE"""),45965.66906694445)</f>
        <v>45965.66907</v>
      </c>
      <c r="B2216" s="40" t="str">
        <f>IFERROR(__xludf.DUMMYFUNCTION("""COMPUTED_VALUE"""),"ADRIANA")</f>
        <v>ADRIANA</v>
      </c>
      <c r="C2216" s="40" t="str">
        <f>IFERROR(__xludf.DUMMYFUNCTION("""COMPUTED_VALUE"""),"Belum disetujui")</f>
        <v>Belum disetujui</v>
      </c>
      <c r="D2216" s="40"/>
      <c r="E2216" s="40" t="s">
        <v>11433</v>
      </c>
      <c r="F2216" s="40" t="s">
        <v>313</v>
      </c>
      <c r="G2216" s="40" t="s">
        <v>11434</v>
      </c>
      <c r="H2216" s="40" t="s">
        <v>11424</v>
      </c>
    </row>
    <row r="2217">
      <c r="A2217" s="39">
        <f>IFERROR(__xludf.DUMMYFUNCTION("""COMPUTED_VALUE"""),45965.67602594908)</f>
        <v>45965.67603</v>
      </c>
      <c r="B2217" s="40" t="str">
        <f>IFERROR(__xludf.DUMMYFUNCTION("""COMPUTED_VALUE"""),"SANTI MARIA LUKMINI NAHAK")</f>
        <v>SANTI MARIA LUKMINI NAHAK</v>
      </c>
      <c r="C2217" s="40" t="str">
        <f>IFERROR(__xludf.DUMMYFUNCTION("""COMPUTED_VALUE"""),"Belum disetujui")</f>
        <v>Belum disetujui</v>
      </c>
      <c r="D2217" s="40"/>
      <c r="E2217" s="40" t="s">
        <v>11460</v>
      </c>
      <c r="F2217" s="40" t="s">
        <v>871</v>
      </c>
      <c r="G2217" s="40" t="s">
        <v>11461</v>
      </c>
      <c r="H2217" s="40" t="s">
        <v>11424</v>
      </c>
    </row>
    <row r="2218">
      <c r="A2218" s="39">
        <f>IFERROR(__xludf.DUMMYFUNCTION("""COMPUTED_VALUE"""),45965.68639472222)</f>
        <v>45965.68639</v>
      </c>
      <c r="B2218" s="40" t="str">
        <f>IFERROR(__xludf.DUMMYFUNCTION("""COMPUTED_VALUE"""),"MARIA MELAN ANANCE BILI")</f>
        <v>MARIA MELAN ANANCE BILI</v>
      </c>
      <c r="C2218" s="40" t="str">
        <f>IFERROR(__xludf.DUMMYFUNCTION("""COMPUTED_VALUE"""),"Belum disetujui")</f>
        <v>Belum disetujui</v>
      </c>
      <c r="D2218" s="40"/>
      <c r="E2218" s="40" t="s">
        <v>11466</v>
      </c>
      <c r="F2218" s="40" t="s">
        <v>257</v>
      </c>
      <c r="G2218" s="40" t="s">
        <v>11467</v>
      </c>
      <c r="H2218" s="40" t="s">
        <v>11419</v>
      </c>
    </row>
    <row r="2219">
      <c r="A2219" s="39">
        <f>IFERROR(__xludf.DUMMYFUNCTION("""COMPUTED_VALUE"""),45965.68780186342)</f>
        <v>45965.6878</v>
      </c>
      <c r="B2219" s="40" t="str">
        <f>IFERROR(__xludf.DUMMYFUNCTION("""COMPUTED_VALUE"""),"MARIA MELAN ANANCE BILI")</f>
        <v>MARIA MELAN ANANCE BILI</v>
      </c>
      <c r="C2219" s="40" t="str">
        <f>IFERROR(__xludf.DUMMYFUNCTION("""COMPUTED_VALUE"""),"Belum disetujui")</f>
        <v>Belum disetujui</v>
      </c>
      <c r="D2219" s="40"/>
      <c r="E2219" s="40" t="s">
        <v>11466</v>
      </c>
      <c r="F2219" s="40" t="s">
        <v>257</v>
      </c>
      <c r="G2219" s="40" t="s">
        <v>11467</v>
      </c>
      <c r="H2219" s="40" t="s">
        <v>11419</v>
      </c>
    </row>
    <row r="2220">
      <c r="A2220" s="39">
        <f>IFERROR(__xludf.DUMMYFUNCTION("""COMPUTED_VALUE"""),45965.6887085301)</f>
        <v>45965.68871</v>
      </c>
      <c r="B2220" s="40" t="str">
        <f>IFERROR(__xludf.DUMMYFUNCTION("""COMPUTED_VALUE"""),"WARDIA")</f>
        <v>WARDIA</v>
      </c>
      <c r="C2220" s="40" t="str">
        <f>IFERROR(__xludf.DUMMYFUNCTION("""COMPUTED_VALUE"""),"Belum disetujui")</f>
        <v>Belum disetujui</v>
      </c>
      <c r="D2220" s="40"/>
      <c r="E2220" s="40" t="s">
        <v>11409</v>
      </c>
      <c r="F2220" s="40" t="s">
        <v>204</v>
      </c>
      <c r="G2220" s="40" t="s">
        <v>11410</v>
      </c>
      <c r="H2220" s="40" t="s">
        <v>11399</v>
      </c>
    </row>
    <row r="2221">
      <c r="A2221" s="39">
        <f>IFERROR(__xludf.DUMMYFUNCTION("""COMPUTED_VALUE"""),45965.69811188658)</f>
        <v>45965.69811</v>
      </c>
      <c r="B2221" s="40" t="str">
        <f>IFERROR(__xludf.DUMMYFUNCTION("""COMPUTED_VALUE"""),"SULIS NURAINI INSYATUN")</f>
        <v>SULIS NURAINI INSYATUN</v>
      </c>
      <c r="C2221" s="40" t="str">
        <f>IFERROR(__xludf.DUMMYFUNCTION("""COMPUTED_VALUE"""),"ACC")</f>
        <v>ACC</v>
      </c>
      <c r="D2221" s="40" t="str">
        <f>IFERROR(__xludf.DUMMYFUNCTION("""COMPUTED_VALUE"""),"V60 Lite series")</f>
        <v>V60 Lite series</v>
      </c>
      <c r="E2221" s="40" t="s">
        <v>11429</v>
      </c>
      <c r="F2221" s="40" t="s">
        <v>257</v>
      </c>
      <c r="G2221" s="40" t="s">
        <v>11430</v>
      </c>
      <c r="H2221" s="40" t="s">
        <v>11419</v>
      </c>
    </row>
    <row r="2222">
      <c r="A2222" s="39">
        <f>IFERROR(__xludf.DUMMYFUNCTION("""COMPUTED_VALUE"""),45965.70254846064)</f>
        <v>45965.70255</v>
      </c>
      <c r="B2222" s="40" t="str">
        <f>IFERROR(__xludf.DUMMYFUNCTION("""COMPUTED_VALUE"""),"LASTRIANA PALUS")</f>
        <v>LASTRIANA PALUS</v>
      </c>
      <c r="C2222" s="40" t="str">
        <f>IFERROR(__xludf.DUMMYFUNCTION("""COMPUTED_VALUE"""),"Belum disetujui")</f>
        <v>Belum disetujui</v>
      </c>
      <c r="D2222" s="40"/>
      <c r="E2222" s="40" t="s">
        <v>11468</v>
      </c>
      <c r="F2222" s="40" t="s">
        <v>257</v>
      </c>
      <c r="G2222" s="40" t="s">
        <v>11469</v>
      </c>
      <c r="H2222" s="40" t="s">
        <v>11419</v>
      </c>
    </row>
    <row r="2223">
      <c r="A2223" s="39">
        <f>IFERROR(__xludf.DUMMYFUNCTION("""COMPUTED_VALUE"""),45965.70830987269)</f>
        <v>45965.70831</v>
      </c>
      <c r="B2223" s="40" t="str">
        <f>IFERROR(__xludf.DUMMYFUNCTION("""COMPUTED_VALUE"""),"AZ ZAHRA SITI ZAINAB")</f>
        <v>AZ ZAHRA SITI ZAINAB</v>
      </c>
      <c r="C2223" s="40" t="str">
        <f>IFERROR(__xludf.DUMMYFUNCTION("""COMPUTED_VALUE"""),"Belum disetujui")</f>
        <v>Belum disetujui</v>
      </c>
      <c r="D2223" s="40"/>
      <c r="E2223" s="40" t="s">
        <v>11462</v>
      </c>
      <c r="F2223" s="40" t="s">
        <v>257</v>
      </c>
      <c r="G2223" s="40" t="s">
        <v>11463</v>
      </c>
      <c r="H2223" s="40" t="s">
        <v>11419</v>
      </c>
    </row>
    <row r="2224">
      <c r="A2224" s="39">
        <f>IFERROR(__xludf.DUMMYFUNCTION("""COMPUTED_VALUE"""),45965.71571696759)</f>
        <v>45965.71572</v>
      </c>
      <c r="B2224" s="40" t="str">
        <f>IFERROR(__xludf.DUMMYFUNCTION("""COMPUTED_VALUE"""),"AINI RAHMATINI NATALIA MOESTAKIM")</f>
        <v>AINI RAHMATINI NATALIA MOESTAKIM</v>
      </c>
      <c r="C2224" s="40" t="str">
        <f>IFERROR(__xludf.DUMMYFUNCTION("""COMPUTED_VALUE"""),"Dapat limit tapi belum diproses")</f>
        <v>Dapat limit tapi belum diproses</v>
      </c>
      <c r="D2224" s="40" t="str">
        <f>IFERROR(__xludf.DUMMYFUNCTION("""COMPUTED_VALUE"""),"V60 series")</f>
        <v>V60 series</v>
      </c>
      <c r="E2224" s="40" t="s">
        <v>11409</v>
      </c>
      <c r="F2224" s="40" t="s">
        <v>204</v>
      </c>
      <c r="G2224" s="40" t="s">
        <v>11410</v>
      </c>
      <c r="H2224" s="40" t="s">
        <v>11399</v>
      </c>
    </row>
    <row r="2225">
      <c r="A2225" s="39">
        <f>IFERROR(__xludf.DUMMYFUNCTION("""COMPUTED_VALUE"""),45965.779350219906)</f>
        <v>45965.77935</v>
      </c>
      <c r="B2225" s="40" t="str">
        <f>IFERROR(__xludf.DUMMYFUNCTION("""COMPUTED_VALUE"""),"ARMINDA TEKU MANEK")</f>
        <v>ARMINDA TEKU MANEK</v>
      </c>
      <c r="C2225" s="40" t="str">
        <f>IFERROR(__xludf.DUMMYFUNCTION("""COMPUTED_VALUE"""),"Belum disetujui")</f>
        <v>Belum disetujui</v>
      </c>
      <c r="D2225" s="40"/>
      <c r="E2225" s="40" t="s">
        <v>11474</v>
      </c>
      <c r="F2225" s="40" t="s">
        <v>313</v>
      </c>
      <c r="G2225" s="40" t="s">
        <v>11475</v>
      </c>
      <c r="H2225" s="40" t="s">
        <v>11424</v>
      </c>
    </row>
    <row r="2226">
      <c r="A2226" s="39">
        <f>IFERROR(__xludf.DUMMYFUNCTION("""COMPUTED_VALUE"""),45965.788292592595)</f>
        <v>45965.78829</v>
      </c>
      <c r="B2226" s="40" t="str">
        <f>IFERROR(__xludf.DUMMYFUNCTION("""COMPUTED_VALUE"""),"AINI RAHMATINI NATALIA MOESTAKIM")</f>
        <v>AINI RAHMATINI NATALIA MOESTAKIM</v>
      </c>
      <c r="C2226" s="40" t="str">
        <f>IFERROR(__xludf.DUMMYFUNCTION("""COMPUTED_VALUE"""),"Belum disetujui")</f>
        <v>Belum disetujui</v>
      </c>
      <c r="D2226" s="40"/>
      <c r="E2226" s="40" t="s">
        <v>11409</v>
      </c>
      <c r="F2226" s="40" t="s">
        <v>204</v>
      </c>
      <c r="G2226" s="40" t="s">
        <v>11410</v>
      </c>
      <c r="H2226" s="40" t="s">
        <v>11399</v>
      </c>
    </row>
    <row r="2227">
      <c r="A2227" s="39">
        <f>IFERROR(__xludf.DUMMYFUNCTION("""COMPUTED_VALUE"""),45965.79870658564)</f>
        <v>45965.79871</v>
      </c>
      <c r="B2227" s="40" t="str">
        <f>IFERROR(__xludf.DUMMYFUNCTION("""COMPUTED_VALUE"""),"YANA DANGU")</f>
        <v>YANA DANGU</v>
      </c>
      <c r="C2227" s="40" t="str">
        <f>IFERROR(__xludf.DUMMYFUNCTION("""COMPUTED_VALUE"""),"Belum disetujui")</f>
        <v>Belum disetujui</v>
      </c>
      <c r="D2227" s="40"/>
      <c r="E2227" s="40" t="s">
        <v>11397</v>
      </c>
      <c r="F2227" s="40" t="s">
        <v>220</v>
      </c>
      <c r="G2227" s="40" t="s">
        <v>11398</v>
      </c>
      <c r="H2227" s="40" t="s">
        <v>11399</v>
      </c>
    </row>
    <row r="2228">
      <c r="A2228" s="39">
        <f>IFERROR(__xludf.DUMMYFUNCTION("""COMPUTED_VALUE"""),45965.87134799769)</f>
        <v>45965.87135</v>
      </c>
      <c r="B2228" s="40" t="str">
        <f>IFERROR(__xludf.DUMMYFUNCTION("""COMPUTED_VALUE"""),"ADRIANA")</f>
        <v>ADRIANA</v>
      </c>
      <c r="C2228" s="40" t="str">
        <f>IFERROR(__xludf.DUMMYFUNCTION("""COMPUTED_VALUE"""),"Belum disetujui")</f>
        <v>Belum disetujui</v>
      </c>
      <c r="D2228" s="40"/>
      <c r="E2228" s="40" t="s">
        <v>11433</v>
      </c>
      <c r="F2228" s="40" t="s">
        <v>313</v>
      </c>
      <c r="G2228" s="40" t="s">
        <v>11434</v>
      </c>
      <c r="H2228" s="40" t="s">
        <v>11424</v>
      </c>
    </row>
    <row r="2229">
      <c r="A2229" s="39">
        <f>IFERROR(__xludf.DUMMYFUNCTION("""COMPUTED_VALUE"""),45965.89113510417)</f>
        <v>45965.89114</v>
      </c>
      <c r="B2229" s="40" t="str">
        <f>IFERROR(__xludf.DUMMYFUNCTION("""COMPUTED_VALUE"""),"GRACELLA SARI HIVANA MANAFE")</f>
        <v>GRACELLA SARI HIVANA MANAFE</v>
      </c>
      <c r="C2229" s="40" t="str">
        <f>IFERROR(__xludf.DUMMYFUNCTION("""COMPUTED_VALUE"""),"Belum disetujui")</f>
        <v>Belum disetujui</v>
      </c>
      <c r="D2229" s="40"/>
      <c r="E2229" s="40" t="s">
        <v>11478</v>
      </c>
      <c r="F2229" s="40" t="s">
        <v>220</v>
      </c>
      <c r="G2229" s="40" t="s">
        <v>11479</v>
      </c>
      <c r="H2229" s="40" t="s">
        <v>11399</v>
      </c>
    </row>
    <row r="2230">
      <c r="A2230" s="39">
        <f>IFERROR(__xludf.DUMMYFUNCTION("""COMPUTED_VALUE"""),45965.9005459375)</f>
        <v>45965.90055</v>
      </c>
      <c r="B2230" s="40" t="str">
        <f>IFERROR(__xludf.DUMMYFUNCTION("""COMPUTED_VALUE"""),"WARDIA")</f>
        <v>WARDIA</v>
      </c>
      <c r="C2230" s="40" t="str">
        <f>IFERROR(__xludf.DUMMYFUNCTION("""COMPUTED_VALUE"""),"ACC")</f>
        <v>ACC</v>
      </c>
      <c r="D2230" s="40" t="str">
        <f>IFERROR(__xludf.DUMMYFUNCTION("""COMPUTED_VALUE"""),"Y400 series")</f>
        <v>Y400 series</v>
      </c>
      <c r="E2230" s="40" t="s">
        <v>11409</v>
      </c>
      <c r="F2230" s="40" t="s">
        <v>204</v>
      </c>
      <c r="G2230" s="40" t="s">
        <v>11410</v>
      </c>
      <c r="H2230" s="40" t="s">
        <v>11399</v>
      </c>
    </row>
    <row r="2231">
      <c r="A2231" s="39">
        <f>IFERROR(__xludf.DUMMYFUNCTION("""COMPUTED_VALUE"""),45965.90452809027)</f>
        <v>45965.90453</v>
      </c>
      <c r="B2231" s="40" t="str">
        <f>IFERROR(__xludf.DUMMYFUNCTION("""COMPUTED_VALUE"""),"YOHANIS TIPNONI")</f>
        <v>YOHANIS TIPNONI</v>
      </c>
      <c r="C2231" s="40" t="str">
        <f>IFERROR(__xludf.DUMMYFUNCTION("""COMPUTED_VALUE"""),"Belum disetujui")</f>
        <v>Belum disetujui</v>
      </c>
      <c r="D2231" s="40"/>
      <c r="E2231" s="40" t="s">
        <v>11405</v>
      </c>
      <c r="F2231" s="40" t="s">
        <v>220</v>
      </c>
      <c r="G2231" s="40" t="s">
        <v>11406</v>
      </c>
      <c r="H2231" s="40" t="s">
        <v>11399</v>
      </c>
    </row>
    <row r="2232">
      <c r="A2232" s="39">
        <f>IFERROR(__xludf.DUMMYFUNCTION("""COMPUTED_VALUE"""),45965.909922893516)</f>
        <v>45965.90992</v>
      </c>
      <c r="B2232" s="40" t="str">
        <f>IFERROR(__xludf.DUMMYFUNCTION("""COMPUTED_VALUE"""),"YOHANA NOVIANA MARIANA GAA")</f>
        <v>YOHANA NOVIANA MARIANA GAA</v>
      </c>
      <c r="C2232" s="40" t="str">
        <f>IFERROR(__xludf.DUMMYFUNCTION("""COMPUTED_VALUE"""),"Belum disetujui")</f>
        <v>Belum disetujui</v>
      </c>
      <c r="D2232" s="40"/>
      <c r="E2232" s="40" t="s">
        <v>11400</v>
      </c>
      <c r="F2232" s="40" t="s">
        <v>204</v>
      </c>
      <c r="G2232" s="40" t="s">
        <v>11401</v>
      </c>
      <c r="H2232" s="40" t="s">
        <v>11399</v>
      </c>
    </row>
    <row r="2233">
      <c r="A2233" s="39">
        <f>IFERROR(__xludf.DUMMYFUNCTION("""COMPUTED_VALUE"""),45965.964637453704)</f>
        <v>45965.96464</v>
      </c>
      <c r="B2233" s="40" t="str">
        <f>IFERROR(__xludf.DUMMYFUNCTION("""COMPUTED_VALUE"""),"YEREMIAS MBAWA KANJAPI")</f>
        <v>YEREMIAS MBAWA KANJAPI</v>
      </c>
      <c r="C2233" s="40" t="str">
        <f>IFERROR(__xludf.DUMMYFUNCTION("""COMPUTED_VALUE"""),"Dapat limit tapi belum diproses")</f>
        <v>Dapat limit tapi belum diproses</v>
      </c>
      <c r="D2233" s="40" t="str">
        <f>IFERROR(__xludf.DUMMYFUNCTION("""COMPUTED_VALUE"""),"Y400 series")</f>
        <v>Y400 series</v>
      </c>
      <c r="E2233" s="40" t="s">
        <v>11447</v>
      </c>
      <c r="F2233" s="40" t="s">
        <v>205</v>
      </c>
      <c r="G2233" s="40" t="s">
        <v>11448</v>
      </c>
      <c r="H2233" s="40" t="s">
        <v>11419</v>
      </c>
    </row>
    <row r="2234">
      <c r="A2234" s="39">
        <f>IFERROR(__xludf.DUMMYFUNCTION("""COMPUTED_VALUE"""),45966.42295922453)</f>
        <v>45966.42296</v>
      </c>
      <c r="B2234" s="40" t="str">
        <f>IFERROR(__xludf.DUMMYFUNCTION("""COMPUTED_VALUE"""),"ASRI NINGSI RAMBU ATA ENDI")</f>
        <v>ASRI NINGSI RAMBU ATA ENDI</v>
      </c>
      <c r="C2234" s="40" t="str">
        <f>IFERROR(__xludf.DUMMYFUNCTION("""COMPUTED_VALUE"""),"Belum disetujui")</f>
        <v>Belum disetujui</v>
      </c>
      <c r="D2234" s="40"/>
      <c r="E2234" s="40" t="s">
        <v>11441</v>
      </c>
      <c r="F2234" s="40" t="s">
        <v>205</v>
      </c>
      <c r="G2234" s="40" t="s">
        <v>11442</v>
      </c>
      <c r="H2234" s="40" t="s">
        <v>11419</v>
      </c>
    </row>
    <row r="2235">
      <c r="A2235" s="39">
        <f>IFERROR(__xludf.DUMMYFUNCTION("""COMPUTED_VALUE"""),45966.44038702546)</f>
        <v>45966.44039</v>
      </c>
      <c r="B2235" s="40" t="str">
        <f>IFERROR(__xludf.DUMMYFUNCTION("""COMPUTED_VALUE"""),"AZ ZAHRA SITI ZAINAB")</f>
        <v>AZ ZAHRA SITI ZAINAB</v>
      </c>
      <c r="C2235" s="40" t="str">
        <f>IFERROR(__xludf.DUMMYFUNCTION("""COMPUTED_VALUE"""),"Belum disetujui")</f>
        <v>Belum disetujui</v>
      </c>
      <c r="D2235" s="40"/>
      <c r="E2235" s="40" t="s">
        <v>11462</v>
      </c>
      <c r="F2235" s="40" t="s">
        <v>257</v>
      </c>
      <c r="G2235" s="40" t="s">
        <v>11463</v>
      </c>
      <c r="H2235" s="40" t="s">
        <v>11419</v>
      </c>
    </row>
    <row r="2236">
      <c r="A2236" s="39">
        <f>IFERROR(__xludf.DUMMYFUNCTION("""COMPUTED_VALUE"""),45966.449517037036)</f>
        <v>45966.44952</v>
      </c>
      <c r="B2236" s="40" t="str">
        <f>IFERROR(__xludf.DUMMYFUNCTION("""COMPUTED_VALUE"""),"GRACELLA SARI HIVANA MANAFE")</f>
        <v>GRACELLA SARI HIVANA MANAFE</v>
      </c>
      <c r="C2236" s="40" t="str">
        <f>IFERROR(__xludf.DUMMYFUNCTION("""COMPUTED_VALUE"""),"Belum disetujui")</f>
        <v>Belum disetujui</v>
      </c>
      <c r="D2236" s="40"/>
      <c r="E2236" s="40" t="s">
        <v>11478</v>
      </c>
      <c r="F2236" s="40" t="s">
        <v>220</v>
      </c>
      <c r="G2236" s="40" t="s">
        <v>11479</v>
      </c>
      <c r="H2236" s="40" t="s">
        <v>11399</v>
      </c>
    </row>
    <row r="2237">
      <c r="A2237" s="39">
        <f>IFERROR(__xludf.DUMMYFUNCTION("""COMPUTED_VALUE"""),45966.45188628472)</f>
        <v>45966.45189</v>
      </c>
      <c r="B2237" s="40" t="str">
        <f>IFERROR(__xludf.DUMMYFUNCTION("""COMPUTED_VALUE"""),"EMPI FRANGKI LIEM")</f>
        <v>EMPI FRANGKI LIEM</v>
      </c>
      <c r="C2237" s="40" t="str">
        <f>IFERROR(__xludf.DUMMYFUNCTION("""COMPUTED_VALUE"""),"Belum disetujui")</f>
        <v>Belum disetujui</v>
      </c>
      <c r="D2237" s="40"/>
      <c r="E2237" s="40" t="s">
        <v>11397</v>
      </c>
      <c r="F2237" s="40" t="s">
        <v>220</v>
      </c>
      <c r="G2237" s="40" t="s">
        <v>11398</v>
      </c>
      <c r="H2237" s="40" t="s">
        <v>11399</v>
      </c>
    </row>
    <row r="2238">
      <c r="A2238" s="39">
        <f>IFERROR(__xludf.DUMMYFUNCTION("""COMPUTED_VALUE"""),45966.454640034724)</f>
        <v>45966.45464</v>
      </c>
      <c r="B2238" s="40" t="str">
        <f>IFERROR(__xludf.DUMMYFUNCTION("""COMPUTED_VALUE"""),"FEBRIANTHY ELISABET NA'U")</f>
        <v>FEBRIANTHY ELISABET NA'U</v>
      </c>
      <c r="C2238" s="40" t="str">
        <f>IFERROR(__xludf.DUMMYFUNCTION("""COMPUTED_VALUE"""),"Dapat limit tapi belum diproses")</f>
        <v>Dapat limit tapi belum diproses</v>
      </c>
      <c r="D2238" s="40" t="str">
        <f>IFERROR(__xludf.DUMMYFUNCTION("""COMPUTED_VALUE"""),"Y21d series")</f>
        <v>Y21d series</v>
      </c>
      <c r="E2238" s="40" t="s">
        <v>11415</v>
      </c>
      <c r="F2238" s="40" t="s">
        <v>204</v>
      </c>
      <c r="G2238" s="40" t="s">
        <v>11416</v>
      </c>
      <c r="H2238" s="40" t="s">
        <v>11399</v>
      </c>
    </row>
    <row r="2239">
      <c r="A2239" s="39">
        <f>IFERROR(__xludf.DUMMYFUNCTION("""COMPUTED_VALUE"""),45966.48398636573)</f>
        <v>45966.48399</v>
      </c>
      <c r="B2239" s="40" t="str">
        <f>IFERROR(__xludf.DUMMYFUNCTION("""COMPUTED_VALUE"""),"NUR FATIMAH MOLBANG")</f>
        <v>NUR FATIMAH MOLBANG</v>
      </c>
      <c r="C2239" s="40" t="str">
        <f>IFERROR(__xludf.DUMMYFUNCTION("""COMPUTED_VALUE"""),"Belum disetujui")</f>
        <v>Belum disetujui</v>
      </c>
      <c r="D2239" s="40"/>
      <c r="E2239" s="40" t="s">
        <v>11439</v>
      </c>
      <c r="F2239" s="40" t="s">
        <v>313</v>
      </c>
      <c r="G2239" s="40" t="s">
        <v>11440</v>
      </c>
      <c r="H2239" s="40" t="s">
        <v>11424</v>
      </c>
    </row>
    <row r="2240">
      <c r="A2240" s="39">
        <f>IFERROR(__xludf.DUMMYFUNCTION("""COMPUTED_VALUE"""),45966.48555859954)</f>
        <v>45966.48556</v>
      </c>
      <c r="B2240" s="40" t="str">
        <f>IFERROR(__xludf.DUMMYFUNCTION("""COMPUTED_VALUE"""),"PRETI SISILIA SILA")</f>
        <v>PRETI SISILIA SILA</v>
      </c>
      <c r="C2240" s="40" t="str">
        <f>IFERROR(__xludf.DUMMYFUNCTION("""COMPUTED_VALUE"""),"Belum disetujui")</f>
        <v>Belum disetujui</v>
      </c>
      <c r="D2240" s="40"/>
      <c r="E2240" s="40" t="s">
        <v>11456</v>
      </c>
      <c r="F2240" s="40" t="s">
        <v>667</v>
      </c>
      <c r="G2240" s="40" t="s">
        <v>11457</v>
      </c>
      <c r="H2240" s="40" t="s">
        <v>11424</v>
      </c>
    </row>
    <row r="2241">
      <c r="A2241" s="39">
        <f>IFERROR(__xludf.DUMMYFUNCTION("""COMPUTED_VALUE"""),45966.490136712964)</f>
        <v>45966.49014</v>
      </c>
      <c r="B2241" s="40" t="str">
        <f>IFERROR(__xludf.DUMMYFUNCTION("""COMPUTED_VALUE"""),"ASTUTI BELA WAWO")</f>
        <v>ASTUTI BELA WAWO</v>
      </c>
      <c r="C2241" s="40" t="str">
        <f>IFERROR(__xludf.DUMMYFUNCTION("""COMPUTED_VALUE"""),"ACC")</f>
        <v>ACC</v>
      </c>
      <c r="D2241" s="40" t="str">
        <f>IFERROR(__xludf.DUMMYFUNCTION("""COMPUTED_VALUE"""),"Y21d series")</f>
        <v>Y21d series</v>
      </c>
      <c r="E2241" s="40" t="s">
        <v>11427</v>
      </c>
      <c r="F2241" s="40" t="s">
        <v>257</v>
      </c>
      <c r="G2241" s="40" t="s">
        <v>11428</v>
      </c>
      <c r="H2241" s="40" t="s">
        <v>11419</v>
      </c>
    </row>
    <row r="2242">
      <c r="A2242" s="39">
        <f>IFERROR(__xludf.DUMMYFUNCTION("""COMPUTED_VALUE"""),45966.49791482639)</f>
        <v>45966.49791</v>
      </c>
      <c r="B2242" s="40" t="str">
        <f>IFERROR(__xludf.DUMMYFUNCTION("""COMPUTED_VALUE"""),"YUNITA TAMELAB")</f>
        <v>YUNITA TAMELAB</v>
      </c>
      <c r="C2242" s="40" t="str">
        <f>IFERROR(__xludf.DUMMYFUNCTION("""COMPUTED_VALUE"""),"Belum disetujui")</f>
        <v>Belum disetujui</v>
      </c>
      <c r="D2242" s="40"/>
      <c r="E2242" s="40" t="s">
        <v>11472</v>
      </c>
      <c r="F2242" s="40" t="s">
        <v>667</v>
      </c>
      <c r="G2242" s="40" t="s">
        <v>11473</v>
      </c>
      <c r="H2242" s="40" t="s">
        <v>11424</v>
      </c>
    </row>
    <row r="2243">
      <c r="A2243" s="39">
        <f>IFERROR(__xludf.DUMMYFUNCTION("""COMPUTED_VALUE"""),45966.49846076388)</f>
        <v>45966.49846</v>
      </c>
      <c r="B2243" s="40" t="str">
        <f>IFERROR(__xludf.DUMMYFUNCTION("""COMPUTED_VALUE"""),"KESIA NATALIA I. BENU")</f>
        <v>KESIA NATALIA I. BENU</v>
      </c>
      <c r="C2243" s="40" t="str">
        <f>IFERROR(__xludf.DUMMYFUNCTION("""COMPUTED_VALUE"""),"ACC")</f>
        <v>ACC</v>
      </c>
      <c r="D2243" s="40" t="str">
        <f>IFERROR(__xludf.DUMMYFUNCTION("""COMPUTED_VALUE"""),"Y21d series")</f>
        <v>Y21d series</v>
      </c>
      <c r="E2243" s="40" t="s">
        <v>11417</v>
      </c>
      <c r="F2243" s="40" t="s">
        <v>257</v>
      </c>
      <c r="G2243" s="40" t="s">
        <v>11418</v>
      </c>
      <c r="H2243" s="40" t="s">
        <v>11419</v>
      </c>
    </row>
    <row r="2244">
      <c r="A2244" s="39">
        <f>IFERROR(__xludf.DUMMYFUNCTION("""COMPUTED_VALUE"""),45966.547450150465)</f>
        <v>45966.54745</v>
      </c>
      <c r="B2244" s="40" t="str">
        <f>IFERROR(__xludf.DUMMYFUNCTION("""COMPUTED_VALUE"""),"MERDA PUTRI BUNGSU KENAT")</f>
        <v>MERDA PUTRI BUNGSU KENAT</v>
      </c>
      <c r="C2244" s="40" t="str">
        <f>IFERROR(__xludf.DUMMYFUNCTION("""COMPUTED_VALUE"""),"Belum disetujui")</f>
        <v>Belum disetujui</v>
      </c>
      <c r="D2244" s="40"/>
      <c r="E2244" s="40" t="s">
        <v>11422</v>
      </c>
      <c r="F2244" s="40" t="s">
        <v>215</v>
      </c>
      <c r="G2244" s="40" t="s">
        <v>11423</v>
      </c>
      <c r="H2244" s="40" t="s">
        <v>11424</v>
      </c>
    </row>
    <row r="2245">
      <c r="A2245" s="39">
        <f>IFERROR(__xludf.DUMMYFUNCTION("""COMPUTED_VALUE"""),45966.56277878472)</f>
        <v>45966.56278</v>
      </c>
      <c r="B2245" s="40" t="str">
        <f>IFERROR(__xludf.DUMMYFUNCTION("""COMPUTED_VALUE"""),"NENY MERLIANTI NA'U")</f>
        <v>NENY MERLIANTI NA'U</v>
      </c>
      <c r="C2245" s="40" t="str">
        <f>IFERROR(__xludf.DUMMYFUNCTION("""COMPUTED_VALUE"""),"Belum disetujui")</f>
        <v>Belum disetujui</v>
      </c>
      <c r="D2245" s="40"/>
      <c r="E2245" s="40" t="s">
        <v>11476</v>
      </c>
      <c r="F2245" s="40" t="s">
        <v>204</v>
      </c>
      <c r="G2245" s="40" t="s">
        <v>11477</v>
      </c>
      <c r="H2245" s="40" t="s">
        <v>11399</v>
      </c>
    </row>
    <row r="2246">
      <c r="A2246" s="39">
        <f>IFERROR(__xludf.DUMMYFUNCTION("""COMPUTED_VALUE"""),45966.56444508102)</f>
        <v>45966.56445</v>
      </c>
      <c r="B2246" s="40" t="str">
        <f>IFERROR(__xludf.DUMMYFUNCTION("""COMPUTED_VALUE"""),"YOMELIANA MARIA MAGNO")</f>
        <v>YOMELIANA MARIA MAGNO</v>
      </c>
      <c r="C2246" s="40" t="str">
        <f>IFERROR(__xludf.DUMMYFUNCTION("""COMPUTED_VALUE"""),"Dapat limit tapi belum diproses")</f>
        <v>Dapat limit tapi belum diproses</v>
      </c>
      <c r="D2246" s="40" t="str">
        <f>IFERROR(__xludf.DUMMYFUNCTION("""COMPUTED_VALUE"""),"Y21d series")</f>
        <v>Y21d series</v>
      </c>
      <c r="E2246" s="40" t="s">
        <v>11460</v>
      </c>
      <c r="F2246" s="40" t="s">
        <v>871</v>
      </c>
      <c r="G2246" s="40" t="s">
        <v>11461</v>
      </c>
      <c r="H2246" s="40" t="s">
        <v>11424</v>
      </c>
    </row>
    <row r="2247">
      <c r="A2247" s="39">
        <f>IFERROR(__xludf.DUMMYFUNCTION("""COMPUTED_VALUE"""),45966.56552965278)</f>
        <v>45966.56553</v>
      </c>
      <c r="B2247" s="40" t="str">
        <f>IFERROR(__xludf.DUMMYFUNCTION("""COMPUTED_VALUE"""),"NENY MERLIANTI NA'U")</f>
        <v>NENY MERLIANTI NA'U</v>
      </c>
      <c r="C2247" s="40" t="str">
        <f>IFERROR(__xludf.DUMMYFUNCTION("""COMPUTED_VALUE"""),"Dapat limit tapi belum diproses")</f>
        <v>Dapat limit tapi belum diproses</v>
      </c>
      <c r="D2247" s="40" t="str">
        <f>IFERROR(__xludf.DUMMYFUNCTION("""COMPUTED_VALUE"""),"V60 Lite series")</f>
        <v>V60 Lite series</v>
      </c>
      <c r="E2247" s="40" t="s">
        <v>11476</v>
      </c>
      <c r="F2247" s="40" t="s">
        <v>204</v>
      </c>
      <c r="G2247" s="40" t="s">
        <v>11477</v>
      </c>
      <c r="H2247" s="40" t="s">
        <v>11399</v>
      </c>
    </row>
    <row r="2248">
      <c r="A2248" s="39">
        <f>IFERROR(__xludf.DUMMYFUNCTION("""COMPUTED_VALUE"""),45966.58079869213)</f>
        <v>45966.5808</v>
      </c>
      <c r="B2248" s="40" t="str">
        <f>IFERROR(__xludf.DUMMYFUNCTION("""COMPUTED_VALUE"""),"IDMAL YUSDIRAN YUSUF")</f>
        <v>IDMAL YUSDIRAN YUSUF</v>
      </c>
      <c r="C2248" s="40" t="str">
        <f>IFERROR(__xludf.DUMMYFUNCTION("""COMPUTED_VALUE"""),"Belum disetujui")</f>
        <v>Belum disetujui</v>
      </c>
      <c r="D2248" s="40"/>
      <c r="E2248" s="40" t="s">
        <v>11417</v>
      </c>
      <c r="F2248" s="40" t="s">
        <v>257</v>
      </c>
      <c r="G2248" s="40" t="s">
        <v>11418</v>
      </c>
      <c r="H2248" s="40" t="s">
        <v>11419</v>
      </c>
    </row>
    <row r="2249">
      <c r="A2249" s="39">
        <f>IFERROR(__xludf.DUMMYFUNCTION("""COMPUTED_VALUE"""),45966.582470775465)</f>
        <v>45966.58247</v>
      </c>
      <c r="B2249" s="40" t="str">
        <f>IFERROR(__xludf.DUMMYFUNCTION("""COMPUTED_VALUE"""),"ASTUTI BELA WAWO")</f>
        <v>ASTUTI BELA WAWO</v>
      </c>
      <c r="C2249" s="40" t="str">
        <f>IFERROR(__xludf.DUMMYFUNCTION("""COMPUTED_VALUE"""),"ACC")</f>
        <v>ACC</v>
      </c>
      <c r="D2249" s="40" t="str">
        <f>IFERROR(__xludf.DUMMYFUNCTION("""COMPUTED_VALUE"""),"Y21d series")</f>
        <v>Y21d series</v>
      </c>
      <c r="E2249" s="40" t="s">
        <v>11427</v>
      </c>
      <c r="F2249" s="40" t="s">
        <v>257</v>
      </c>
      <c r="G2249" s="40" t="s">
        <v>11428</v>
      </c>
      <c r="H2249" s="40" t="s">
        <v>11419</v>
      </c>
    </row>
    <row r="2250">
      <c r="A2250" s="39">
        <f>IFERROR(__xludf.DUMMYFUNCTION("""COMPUTED_VALUE"""),45966.59269194445)</f>
        <v>45966.59269</v>
      </c>
      <c r="B2250" s="40" t="str">
        <f>IFERROR(__xludf.DUMMYFUNCTION("""COMPUTED_VALUE"""),"DEWI RAHMAN")</f>
        <v>DEWI RAHMAN</v>
      </c>
      <c r="C2250" s="40" t="str">
        <f>IFERROR(__xludf.DUMMYFUNCTION("""COMPUTED_VALUE"""),"Belum disetujui")</f>
        <v>Belum disetujui</v>
      </c>
      <c r="D2250" s="40"/>
      <c r="E2250" s="40" t="s">
        <v>11449</v>
      </c>
      <c r="F2250" s="40" t="s">
        <v>11450</v>
      </c>
      <c r="G2250" s="40" t="s">
        <v>11451</v>
      </c>
      <c r="H2250" s="40" t="s">
        <v>11424</v>
      </c>
    </row>
    <row r="2251">
      <c r="A2251" s="39">
        <f>IFERROR(__xludf.DUMMYFUNCTION("""COMPUTED_VALUE"""),45966.60742289352)</f>
        <v>45966.60742</v>
      </c>
      <c r="B2251" s="40" t="str">
        <f>IFERROR(__xludf.DUMMYFUNCTION("""COMPUTED_VALUE"""),"DEWI RAHMAN")</f>
        <v>DEWI RAHMAN</v>
      </c>
      <c r="C2251" s="40" t="str">
        <f>IFERROR(__xludf.DUMMYFUNCTION("""COMPUTED_VALUE"""),"Belum disetujui")</f>
        <v>Belum disetujui</v>
      </c>
      <c r="D2251" s="40"/>
      <c r="E2251" s="40" t="s">
        <v>11449</v>
      </c>
      <c r="F2251" s="40" t="s">
        <v>11450</v>
      </c>
      <c r="G2251" s="40" t="s">
        <v>11451</v>
      </c>
      <c r="H2251" s="40" t="s">
        <v>11424</v>
      </c>
    </row>
    <row r="2252">
      <c r="A2252" s="39">
        <f>IFERROR(__xludf.DUMMYFUNCTION("""COMPUTED_VALUE"""),45966.612457222225)</f>
        <v>45966.61246</v>
      </c>
      <c r="B2252" s="40" t="str">
        <f>IFERROR(__xludf.DUMMYFUNCTION("""COMPUTED_VALUE"""),"NUR FATIMAH MOLBANG")</f>
        <v>NUR FATIMAH MOLBANG</v>
      </c>
      <c r="C2252" s="40" t="str">
        <f>IFERROR(__xludf.DUMMYFUNCTION("""COMPUTED_VALUE"""),"Belum disetujui")</f>
        <v>Belum disetujui</v>
      </c>
      <c r="D2252" s="40"/>
      <c r="E2252" s="40" t="s">
        <v>11439</v>
      </c>
      <c r="F2252" s="40" t="s">
        <v>313</v>
      </c>
      <c r="G2252" s="40" t="s">
        <v>11440</v>
      </c>
      <c r="H2252" s="40" t="s">
        <v>11424</v>
      </c>
    </row>
    <row r="2253">
      <c r="A2253" s="39">
        <f>IFERROR(__xludf.DUMMYFUNCTION("""COMPUTED_VALUE"""),45966.61906149305)</f>
        <v>45966.61906</v>
      </c>
      <c r="B2253" s="40" t="str">
        <f>IFERROR(__xludf.DUMMYFUNCTION("""COMPUTED_VALUE"""),"EMPI FRANGKI LIEM")</f>
        <v>EMPI FRANGKI LIEM</v>
      </c>
      <c r="C2253" s="40" t="str">
        <f>IFERROR(__xludf.DUMMYFUNCTION("""COMPUTED_VALUE"""),"Dapat limit tapi belum diproses")</f>
        <v>Dapat limit tapi belum diproses</v>
      </c>
      <c r="D2253" s="40" t="str">
        <f>IFERROR(__xludf.DUMMYFUNCTION("""COMPUTED_VALUE"""),"Y21d series")</f>
        <v>Y21d series</v>
      </c>
      <c r="E2253" s="40" t="s">
        <v>11397</v>
      </c>
      <c r="F2253" s="40" t="s">
        <v>220</v>
      </c>
      <c r="G2253" s="40" t="s">
        <v>11398</v>
      </c>
      <c r="H2253" s="40" t="s">
        <v>11399</v>
      </c>
    </row>
    <row r="2254">
      <c r="A2254" s="39">
        <f>IFERROR(__xludf.DUMMYFUNCTION("""COMPUTED_VALUE"""),45966.62649293981)</f>
        <v>45966.62649</v>
      </c>
      <c r="B2254" s="40" t="str">
        <f>IFERROR(__xludf.DUMMYFUNCTION("""COMPUTED_VALUE"""),"ESTER LUDJI")</f>
        <v>ESTER LUDJI</v>
      </c>
      <c r="C2254" s="40" t="str">
        <f>IFERROR(__xludf.DUMMYFUNCTION("""COMPUTED_VALUE"""),"Belum disetujui")</f>
        <v>Belum disetujui</v>
      </c>
      <c r="D2254" s="40"/>
      <c r="E2254" s="40" t="s">
        <v>11441</v>
      </c>
      <c r="F2254" s="40" t="s">
        <v>205</v>
      </c>
      <c r="G2254" s="40" t="s">
        <v>11442</v>
      </c>
      <c r="H2254" s="40" t="s">
        <v>11419</v>
      </c>
    </row>
    <row r="2255">
      <c r="A2255" s="39">
        <f>IFERROR(__xludf.DUMMYFUNCTION("""COMPUTED_VALUE"""),45966.64496585648)</f>
        <v>45966.64497</v>
      </c>
      <c r="B2255" s="40" t="str">
        <f>IFERROR(__xludf.DUMMYFUNCTION("""COMPUTED_VALUE"""),"MARIA MELAN ANANCE BILI")</f>
        <v>MARIA MELAN ANANCE BILI</v>
      </c>
      <c r="C2255" s="40" t="str">
        <f>IFERROR(__xludf.DUMMYFUNCTION("""COMPUTED_VALUE"""),"Dapat limit tapi belum diproses")</f>
        <v>Dapat limit tapi belum diproses</v>
      </c>
      <c r="D2255" s="40" t="str">
        <f>IFERROR(__xludf.DUMMYFUNCTION("""COMPUTED_VALUE"""),"Y21d series")</f>
        <v>Y21d series</v>
      </c>
      <c r="E2255" s="40" t="s">
        <v>11466</v>
      </c>
      <c r="F2255" s="40" t="s">
        <v>257</v>
      </c>
      <c r="G2255" s="40" t="s">
        <v>11467</v>
      </c>
      <c r="H2255" s="40" t="s">
        <v>11419</v>
      </c>
    </row>
    <row r="2256">
      <c r="A2256" s="39">
        <f>IFERROR(__xludf.DUMMYFUNCTION("""COMPUTED_VALUE"""),45966.64757944445)</f>
        <v>45966.64758</v>
      </c>
      <c r="B2256" s="40" t="str">
        <f>IFERROR(__xludf.DUMMYFUNCTION("""COMPUTED_VALUE"""),"SULIS NURAINI INSYATUN")</f>
        <v>SULIS NURAINI INSYATUN</v>
      </c>
      <c r="C2256" s="40" t="str">
        <f>IFERROR(__xludf.DUMMYFUNCTION("""COMPUTED_VALUE"""),"Belum disetujui")</f>
        <v>Belum disetujui</v>
      </c>
      <c r="D2256" s="40"/>
      <c r="E2256" s="40" t="s">
        <v>11429</v>
      </c>
      <c r="F2256" s="40" t="s">
        <v>257</v>
      </c>
      <c r="G2256" s="40" t="s">
        <v>11430</v>
      </c>
      <c r="H2256" s="40" t="s">
        <v>11419</v>
      </c>
    </row>
    <row r="2257">
      <c r="A2257" s="39">
        <f>IFERROR(__xludf.DUMMYFUNCTION("""COMPUTED_VALUE"""),45966.651862384264)</f>
        <v>45966.65186</v>
      </c>
      <c r="B2257" s="40" t="str">
        <f>IFERROR(__xludf.DUMMYFUNCTION("""COMPUTED_VALUE"""),"LASTRIANA PALUS")</f>
        <v>LASTRIANA PALUS</v>
      </c>
      <c r="C2257" s="40" t="str">
        <f>IFERROR(__xludf.DUMMYFUNCTION("""COMPUTED_VALUE"""),"Belum disetujui")</f>
        <v>Belum disetujui</v>
      </c>
      <c r="D2257" s="40"/>
      <c r="E2257" s="40" t="s">
        <v>11468</v>
      </c>
      <c r="F2257" s="40" t="s">
        <v>257</v>
      </c>
      <c r="G2257" s="40" t="s">
        <v>11469</v>
      </c>
      <c r="H2257" s="40" t="s">
        <v>11419</v>
      </c>
    </row>
    <row r="2258">
      <c r="A2258" s="39">
        <f>IFERROR(__xludf.DUMMYFUNCTION("""COMPUTED_VALUE"""),45966.67967532407)</f>
        <v>45966.67968</v>
      </c>
      <c r="B2258" s="40" t="str">
        <f>IFERROR(__xludf.DUMMYFUNCTION("""COMPUTED_VALUE"""),"ARMINDA TEKU MANEK")</f>
        <v>ARMINDA TEKU MANEK</v>
      </c>
      <c r="C2258" s="40" t="str">
        <f>IFERROR(__xludf.DUMMYFUNCTION("""COMPUTED_VALUE"""),"Belum disetujui")</f>
        <v>Belum disetujui</v>
      </c>
      <c r="D2258" s="40"/>
      <c r="E2258" s="40" t="s">
        <v>11474</v>
      </c>
      <c r="F2258" s="40" t="s">
        <v>313</v>
      </c>
      <c r="G2258" s="40" t="s">
        <v>11475</v>
      </c>
      <c r="H2258" s="40" t="s">
        <v>11424</v>
      </c>
    </row>
    <row r="2259">
      <c r="A2259" s="39">
        <f>IFERROR(__xludf.DUMMYFUNCTION("""COMPUTED_VALUE"""),45966.702260150465)</f>
        <v>45966.70226</v>
      </c>
      <c r="B2259" s="40" t="str">
        <f>IFERROR(__xludf.DUMMYFUNCTION("""COMPUTED_VALUE"""),"IDMAL YUSDIRAN YUSUF")</f>
        <v>IDMAL YUSDIRAN YUSUF</v>
      </c>
      <c r="C2259" s="40" t="str">
        <f>IFERROR(__xludf.DUMMYFUNCTION("""COMPUTED_VALUE"""),"Belum disetujui")</f>
        <v>Belum disetujui</v>
      </c>
      <c r="D2259" s="40"/>
      <c r="E2259" s="40" t="s">
        <v>11417</v>
      </c>
      <c r="F2259" s="40" t="s">
        <v>257</v>
      </c>
      <c r="G2259" s="40" t="s">
        <v>11418</v>
      </c>
      <c r="H2259" s="40" t="s">
        <v>11419</v>
      </c>
    </row>
    <row r="2260">
      <c r="A2260" s="39">
        <f>IFERROR(__xludf.DUMMYFUNCTION("""COMPUTED_VALUE"""),45966.70925528935)</f>
        <v>45966.70926</v>
      </c>
      <c r="B2260" s="40" t="str">
        <f>IFERROR(__xludf.DUMMYFUNCTION("""COMPUTED_VALUE"""),"ASTUTI BELA WAWO")</f>
        <v>ASTUTI BELA WAWO</v>
      </c>
      <c r="C2260" s="40" t="str">
        <f>IFERROR(__xludf.DUMMYFUNCTION("""COMPUTED_VALUE"""),"Dapat limit tapi belum diproses")</f>
        <v>Dapat limit tapi belum diproses</v>
      </c>
      <c r="D2260" s="40" t="str">
        <f>IFERROR(__xludf.DUMMYFUNCTION("""COMPUTED_VALUE"""),"V60 Lite series")</f>
        <v>V60 Lite series</v>
      </c>
      <c r="E2260" s="40" t="s">
        <v>11427</v>
      </c>
      <c r="F2260" s="40" t="s">
        <v>257</v>
      </c>
      <c r="G2260" s="40" t="s">
        <v>11428</v>
      </c>
      <c r="H2260" s="40" t="s">
        <v>11419</v>
      </c>
    </row>
    <row r="2261">
      <c r="A2261" s="39">
        <f>IFERROR(__xludf.DUMMYFUNCTION("""COMPUTED_VALUE"""),45966.71067672454)</f>
        <v>45966.71068</v>
      </c>
      <c r="B2261" s="40" t="str">
        <f>IFERROR(__xludf.DUMMYFUNCTION("""COMPUTED_VALUE"""),"SULIS NURAINI INSYATUN")</f>
        <v>SULIS NURAINI INSYATUN</v>
      </c>
      <c r="C2261" s="40" t="str">
        <f>IFERROR(__xludf.DUMMYFUNCTION("""COMPUTED_VALUE"""),"Belum disetujui")</f>
        <v>Belum disetujui</v>
      </c>
      <c r="D2261" s="40"/>
      <c r="E2261" s="40" t="s">
        <v>11429</v>
      </c>
      <c r="F2261" s="40" t="s">
        <v>257</v>
      </c>
      <c r="G2261" s="40" t="s">
        <v>11430</v>
      </c>
      <c r="H2261" s="40" t="s">
        <v>11419</v>
      </c>
    </row>
    <row r="2262">
      <c r="A2262" s="39">
        <f>IFERROR(__xludf.DUMMYFUNCTION("""COMPUTED_VALUE"""),45966.71208170139)</f>
        <v>45966.71208</v>
      </c>
      <c r="B2262" s="40" t="str">
        <f>IFERROR(__xludf.DUMMYFUNCTION("""COMPUTED_VALUE"""),"AINI RAHMATINI NATALIA MOESTAKIM")</f>
        <v>AINI RAHMATINI NATALIA MOESTAKIM</v>
      </c>
      <c r="C2262" s="40" t="str">
        <f>IFERROR(__xludf.DUMMYFUNCTION("""COMPUTED_VALUE"""),"Belum disetujui")</f>
        <v>Belum disetujui</v>
      </c>
      <c r="D2262" s="40"/>
      <c r="E2262" s="40" t="s">
        <v>11409</v>
      </c>
      <c r="F2262" s="40" t="s">
        <v>204</v>
      </c>
      <c r="G2262" s="40" t="s">
        <v>11410</v>
      </c>
      <c r="H2262" s="40" t="s">
        <v>11399</v>
      </c>
    </row>
    <row r="2263">
      <c r="A2263" s="39">
        <f>IFERROR(__xludf.DUMMYFUNCTION("""COMPUTED_VALUE"""),45966.716901192136)</f>
        <v>45966.7169</v>
      </c>
      <c r="B2263" s="40" t="str">
        <f>IFERROR(__xludf.DUMMYFUNCTION("""COMPUTED_VALUE"""),"CHOIRUNISA ILHAM")</f>
        <v>CHOIRUNISA ILHAM</v>
      </c>
      <c r="C2263" s="40" t="str">
        <f>IFERROR(__xludf.DUMMYFUNCTION("""COMPUTED_VALUE"""),"Belum disetujui")</f>
        <v>Belum disetujui</v>
      </c>
      <c r="D2263" s="40"/>
      <c r="E2263" s="40" t="s">
        <v>11404</v>
      </c>
      <c r="F2263" s="40" t="s">
        <v>11404</v>
      </c>
      <c r="G2263" s="40" t="s">
        <v>11404</v>
      </c>
      <c r="H2263" s="40" t="s">
        <v>11404</v>
      </c>
    </row>
    <row r="2264">
      <c r="A2264" s="39">
        <f>IFERROR(__xludf.DUMMYFUNCTION("""COMPUTED_VALUE"""),45966.73006981481)</f>
        <v>45966.73007</v>
      </c>
      <c r="B2264" s="40" t="str">
        <f>IFERROR(__xludf.DUMMYFUNCTION("""COMPUTED_VALUE"""),"SULIS NURAINI INSYATUN")</f>
        <v>SULIS NURAINI INSYATUN</v>
      </c>
      <c r="C2264" s="40" t="str">
        <f>IFERROR(__xludf.DUMMYFUNCTION("""COMPUTED_VALUE"""),"Belum disetujui")</f>
        <v>Belum disetujui</v>
      </c>
      <c r="D2264" s="40"/>
      <c r="E2264" s="40" t="s">
        <v>11429</v>
      </c>
      <c r="F2264" s="40" t="s">
        <v>257</v>
      </c>
      <c r="G2264" s="40" t="s">
        <v>11430</v>
      </c>
      <c r="H2264" s="40" t="s">
        <v>11419</v>
      </c>
    </row>
    <row r="2265">
      <c r="A2265" s="39">
        <f>IFERROR(__xludf.DUMMYFUNCTION("""COMPUTED_VALUE"""),45966.73182202546)</f>
        <v>45966.73182</v>
      </c>
      <c r="B2265" s="40" t="str">
        <f>IFERROR(__xludf.DUMMYFUNCTION("""COMPUTED_VALUE"""),"MEXY ALEXANDER HETMINA")</f>
        <v>MEXY ALEXANDER HETMINA</v>
      </c>
      <c r="C2265" s="40" t="str">
        <f>IFERROR(__xludf.DUMMYFUNCTION("""COMPUTED_VALUE"""),"Dapat limit tapi belum diproses")</f>
        <v>Dapat limit tapi belum diproses</v>
      </c>
      <c r="D2265" s="40" t="str">
        <f>IFERROR(__xludf.DUMMYFUNCTION("""COMPUTED_VALUE"""),"Y400 series")</f>
        <v>Y400 series</v>
      </c>
      <c r="E2265" s="40" t="s">
        <v>11413</v>
      </c>
      <c r="F2265" s="40" t="s">
        <v>204</v>
      </c>
      <c r="G2265" s="40" t="s">
        <v>11414</v>
      </c>
      <c r="H2265" s="40" t="s">
        <v>11399</v>
      </c>
    </row>
    <row r="2266">
      <c r="A2266" s="39">
        <f>IFERROR(__xludf.DUMMYFUNCTION("""COMPUTED_VALUE"""),45966.73489423611)</f>
        <v>45966.73489</v>
      </c>
      <c r="B2266" s="40" t="str">
        <f>IFERROR(__xludf.DUMMYFUNCTION("""COMPUTED_VALUE"""),"PUSPA ANGGREINI")</f>
        <v>PUSPA ANGGREINI</v>
      </c>
      <c r="C2266" s="40" t="str">
        <f>IFERROR(__xludf.DUMMYFUNCTION("""COMPUTED_VALUE"""),"Belum disetujui")</f>
        <v>Belum disetujui</v>
      </c>
      <c r="D2266" s="40"/>
      <c r="E2266" s="40" t="s">
        <v>11427</v>
      </c>
      <c r="F2266" s="40" t="s">
        <v>257</v>
      </c>
      <c r="G2266" s="40" t="s">
        <v>11428</v>
      </c>
      <c r="H2266" s="40" t="s">
        <v>11419</v>
      </c>
    </row>
    <row r="2267">
      <c r="A2267" s="39">
        <f>IFERROR(__xludf.DUMMYFUNCTION("""COMPUTED_VALUE"""),45966.73796388888)</f>
        <v>45966.73796</v>
      </c>
      <c r="B2267" s="40" t="str">
        <f>IFERROR(__xludf.DUMMYFUNCTION("""COMPUTED_VALUE"""),"PRETI SISILIA SILA")</f>
        <v>PRETI SISILIA SILA</v>
      </c>
      <c r="C2267" s="40" t="str">
        <f>IFERROR(__xludf.DUMMYFUNCTION("""COMPUTED_VALUE"""),"Belum disetujui")</f>
        <v>Belum disetujui</v>
      </c>
      <c r="D2267" s="40"/>
      <c r="E2267" s="40" t="s">
        <v>11456</v>
      </c>
      <c r="F2267" s="40" t="s">
        <v>667</v>
      </c>
      <c r="G2267" s="40" t="s">
        <v>11457</v>
      </c>
      <c r="H2267" s="40" t="s">
        <v>11424</v>
      </c>
    </row>
    <row r="2268">
      <c r="A2268" s="39">
        <f>IFERROR(__xludf.DUMMYFUNCTION("""COMPUTED_VALUE"""),45966.76709903935)</f>
        <v>45966.7671</v>
      </c>
      <c r="B2268" s="40" t="str">
        <f>IFERROR(__xludf.DUMMYFUNCTION("""COMPUTED_VALUE"""),"PRETI SISILIA SILA")</f>
        <v>PRETI SISILIA SILA</v>
      </c>
      <c r="C2268" s="40" t="str">
        <f>IFERROR(__xludf.DUMMYFUNCTION("""COMPUTED_VALUE"""),"Belum disetujui")</f>
        <v>Belum disetujui</v>
      </c>
      <c r="D2268" s="40"/>
      <c r="E2268" s="40" t="s">
        <v>11456</v>
      </c>
      <c r="F2268" s="40" t="s">
        <v>667</v>
      </c>
      <c r="G2268" s="40" t="s">
        <v>11457</v>
      </c>
      <c r="H2268" s="40" t="s">
        <v>11424</v>
      </c>
    </row>
    <row r="2269">
      <c r="A2269" s="39">
        <f>IFERROR(__xludf.DUMMYFUNCTION("""COMPUTED_VALUE"""),45966.78258800926)</f>
        <v>45966.78259</v>
      </c>
      <c r="B2269" s="40" t="str">
        <f>IFERROR(__xludf.DUMMYFUNCTION("""COMPUTED_VALUE"""),"IDMAL YUSDIRAN YUSUF")</f>
        <v>IDMAL YUSDIRAN YUSUF</v>
      </c>
      <c r="C2269" s="40" t="str">
        <f>IFERROR(__xludf.DUMMYFUNCTION("""COMPUTED_VALUE"""),"Belum disetujui")</f>
        <v>Belum disetujui</v>
      </c>
      <c r="D2269" s="40"/>
      <c r="E2269" s="40" t="s">
        <v>11417</v>
      </c>
      <c r="F2269" s="40" t="s">
        <v>257</v>
      </c>
      <c r="G2269" s="40" t="s">
        <v>11418</v>
      </c>
      <c r="H2269" s="40" t="s">
        <v>11419</v>
      </c>
    </row>
    <row r="2270">
      <c r="A2270" s="39">
        <f>IFERROR(__xludf.DUMMYFUNCTION("""COMPUTED_VALUE"""),45966.78648763889)</f>
        <v>45966.78649</v>
      </c>
      <c r="B2270" s="40" t="str">
        <f>IFERROR(__xludf.DUMMYFUNCTION("""COMPUTED_VALUE"""),"PRETI SISILIA SILA")</f>
        <v>PRETI SISILIA SILA</v>
      </c>
      <c r="C2270" s="40" t="str">
        <f>IFERROR(__xludf.DUMMYFUNCTION("""COMPUTED_VALUE"""),"Belum disetujui")</f>
        <v>Belum disetujui</v>
      </c>
      <c r="D2270" s="40"/>
      <c r="E2270" s="40" t="s">
        <v>11456</v>
      </c>
      <c r="F2270" s="40" t="s">
        <v>667</v>
      </c>
      <c r="G2270" s="40" t="s">
        <v>11457</v>
      </c>
      <c r="H2270" s="40" t="s">
        <v>11424</v>
      </c>
    </row>
    <row r="2271">
      <c r="A2271" s="39">
        <f>IFERROR(__xludf.DUMMYFUNCTION("""COMPUTED_VALUE"""),45966.81395684028)</f>
        <v>45966.81396</v>
      </c>
      <c r="B2271" s="40" t="str">
        <f>IFERROR(__xludf.DUMMYFUNCTION("""COMPUTED_VALUE"""),"YOVANDA KATRINA NAE")</f>
        <v>YOVANDA KATRINA NAE</v>
      </c>
      <c r="C2271" s="40" t="str">
        <f>IFERROR(__xludf.DUMMYFUNCTION("""COMPUTED_VALUE"""),"ACC")</f>
        <v>ACC</v>
      </c>
      <c r="D2271" s="40" t="str">
        <f>IFERROR(__xludf.DUMMYFUNCTION("""COMPUTED_VALUE"""),"Y21d series")</f>
        <v>Y21d series</v>
      </c>
      <c r="E2271" s="40" t="s">
        <v>11425</v>
      </c>
      <c r="F2271" s="40" t="s">
        <v>205</v>
      </c>
      <c r="G2271" s="40" t="s">
        <v>11426</v>
      </c>
      <c r="H2271" s="40" t="s">
        <v>11419</v>
      </c>
    </row>
    <row r="2272">
      <c r="A2272" s="39">
        <f>IFERROR(__xludf.DUMMYFUNCTION("""COMPUTED_VALUE"""),45966.8173899537)</f>
        <v>45966.81739</v>
      </c>
      <c r="B2272" s="40" t="str">
        <f>IFERROR(__xludf.DUMMYFUNCTION("""COMPUTED_VALUE"""),"ADRIANA")</f>
        <v>ADRIANA</v>
      </c>
      <c r="C2272" s="40" t="str">
        <f>IFERROR(__xludf.DUMMYFUNCTION("""COMPUTED_VALUE"""),"Belum disetujui")</f>
        <v>Belum disetujui</v>
      </c>
      <c r="D2272" s="40"/>
      <c r="E2272" s="40" t="s">
        <v>11433</v>
      </c>
      <c r="F2272" s="40" t="s">
        <v>313</v>
      </c>
      <c r="G2272" s="40" t="s">
        <v>11434</v>
      </c>
      <c r="H2272" s="40" t="s">
        <v>11424</v>
      </c>
    </row>
    <row r="2273">
      <c r="A2273" s="39">
        <f>IFERROR(__xludf.DUMMYFUNCTION("""COMPUTED_VALUE"""),45966.8216983912)</f>
        <v>45966.8217</v>
      </c>
      <c r="B2273" s="40" t="str">
        <f>IFERROR(__xludf.DUMMYFUNCTION("""COMPUTED_VALUE"""),"JULIA DESY CASANDRA DA SILVA FREITAS")</f>
        <v>JULIA DESY CASANDRA DA SILVA FREITAS</v>
      </c>
      <c r="C2273" s="40" t="str">
        <f>IFERROR(__xludf.DUMMYFUNCTION("""COMPUTED_VALUE"""),"Dapat limit tapi belum diproses")</f>
        <v>Dapat limit tapi belum diproses</v>
      </c>
      <c r="D2273" s="40" t="str">
        <f>IFERROR(__xludf.DUMMYFUNCTION("""COMPUTED_VALUE"""),"Y400 series")</f>
        <v>Y400 series</v>
      </c>
      <c r="E2273" s="40" t="s">
        <v>11480</v>
      </c>
      <c r="F2273" s="40" t="s">
        <v>220</v>
      </c>
      <c r="G2273" s="40" t="s">
        <v>11481</v>
      </c>
      <c r="H2273" s="40" t="s">
        <v>11399</v>
      </c>
    </row>
    <row r="2274">
      <c r="A2274" s="39">
        <f>IFERROR(__xludf.DUMMYFUNCTION("""COMPUTED_VALUE"""),45966.823227673616)</f>
        <v>45966.82323</v>
      </c>
      <c r="B2274" s="40" t="str">
        <f>IFERROR(__xludf.DUMMYFUNCTION("""COMPUTED_VALUE"""),"ROS YANE KANA LUDJI")</f>
        <v>ROS YANE KANA LUDJI</v>
      </c>
      <c r="C2274" s="40" t="str">
        <f>IFERROR(__xludf.DUMMYFUNCTION("""COMPUTED_VALUE"""),"Belum disetujui")</f>
        <v>Belum disetujui</v>
      </c>
      <c r="D2274" s="40"/>
      <c r="E2274" s="40" t="s">
        <v>11437</v>
      </c>
      <c r="F2274" s="40" t="s">
        <v>204</v>
      </c>
      <c r="G2274" s="40" t="s">
        <v>11438</v>
      </c>
      <c r="H2274" s="40" t="s">
        <v>11399</v>
      </c>
    </row>
    <row r="2275">
      <c r="A2275" s="39">
        <f>IFERROR(__xludf.DUMMYFUNCTION("""COMPUTED_VALUE"""),45966.82456548611)</f>
        <v>45966.82457</v>
      </c>
      <c r="B2275" s="40" t="str">
        <f>IFERROR(__xludf.DUMMYFUNCTION("""COMPUTED_VALUE"""),"ROS YANE KANA LUDJI")</f>
        <v>ROS YANE KANA LUDJI</v>
      </c>
      <c r="C2275" s="40" t="str">
        <f>IFERROR(__xludf.DUMMYFUNCTION("""COMPUTED_VALUE"""),"Belum disetujui")</f>
        <v>Belum disetujui</v>
      </c>
      <c r="D2275" s="40"/>
      <c r="E2275" s="40" t="s">
        <v>11437</v>
      </c>
      <c r="F2275" s="40" t="s">
        <v>204</v>
      </c>
      <c r="G2275" s="40" t="s">
        <v>11438</v>
      </c>
      <c r="H2275" s="40" t="s">
        <v>11399</v>
      </c>
    </row>
    <row r="2276">
      <c r="A2276" s="39">
        <f>IFERROR(__xludf.DUMMYFUNCTION("""COMPUTED_VALUE"""),45966.84380170138)</f>
        <v>45966.8438</v>
      </c>
      <c r="B2276" s="40" t="str">
        <f>IFERROR(__xludf.DUMMYFUNCTION("""COMPUTED_VALUE"""),"ASRI NINGSI RAMBU ATA ENDI")</f>
        <v>ASRI NINGSI RAMBU ATA ENDI</v>
      </c>
      <c r="C2276" s="40" t="str">
        <f>IFERROR(__xludf.DUMMYFUNCTION("""COMPUTED_VALUE"""),"Dapat limit tapi belum diproses")</f>
        <v>Dapat limit tapi belum diproses</v>
      </c>
      <c r="D2276" s="40" t="str">
        <f>IFERROR(__xludf.DUMMYFUNCTION("""COMPUTED_VALUE"""),"Y400 series")</f>
        <v>Y400 series</v>
      </c>
      <c r="E2276" s="40" t="s">
        <v>11441</v>
      </c>
      <c r="F2276" s="40" t="s">
        <v>205</v>
      </c>
      <c r="G2276" s="40" t="s">
        <v>11442</v>
      </c>
      <c r="H2276" s="40" t="s">
        <v>11419</v>
      </c>
    </row>
    <row r="2277">
      <c r="A2277" s="39">
        <f>IFERROR(__xludf.DUMMYFUNCTION("""COMPUTED_VALUE"""),45966.847613171296)</f>
        <v>45966.84761</v>
      </c>
      <c r="B2277" s="40" t="str">
        <f>IFERROR(__xludf.DUMMYFUNCTION("""COMPUTED_VALUE"""),"ASRI NINGSI RAMBU ATA ENDI")</f>
        <v>ASRI NINGSI RAMBU ATA ENDI</v>
      </c>
      <c r="C2277" s="40" t="str">
        <f>IFERROR(__xludf.DUMMYFUNCTION("""COMPUTED_VALUE"""),"Belum disetujui")</f>
        <v>Belum disetujui</v>
      </c>
      <c r="D2277" s="40"/>
      <c r="E2277" s="40" t="s">
        <v>11441</v>
      </c>
      <c r="F2277" s="40" t="s">
        <v>205</v>
      </c>
      <c r="G2277" s="40" t="s">
        <v>11442</v>
      </c>
      <c r="H2277" s="40" t="s">
        <v>11419</v>
      </c>
    </row>
    <row r="2278">
      <c r="A2278" s="39">
        <f>IFERROR(__xludf.DUMMYFUNCTION("""COMPUTED_VALUE"""),45966.85385064815)</f>
        <v>45966.85385</v>
      </c>
      <c r="B2278" s="40" t="str">
        <f>IFERROR(__xludf.DUMMYFUNCTION("""COMPUTED_VALUE"""),"MARNITHA JUWIKE TIMORATI RUNESI")</f>
        <v>MARNITHA JUWIKE TIMORATI RUNESI</v>
      </c>
      <c r="C2278" s="40" t="str">
        <f>IFERROR(__xludf.DUMMYFUNCTION("""COMPUTED_VALUE"""),"Belum disetujui")</f>
        <v>Belum disetujui</v>
      </c>
      <c r="D2278" s="40"/>
      <c r="E2278" s="40" t="s">
        <v>11420</v>
      </c>
      <c r="F2278" s="40" t="s">
        <v>204</v>
      </c>
      <c r="G2278" s="40" t="s">
        <v>11421</v>
      </c>
      <c r="H2278" s="40" t="s">
        <v>11399</v>
      </c>
    </row>
    <row r="2279">
      <c r="A2279" s="39">
        <f>IFERROR(__xludf.DUMMYFUNCTION("""COMPUTED_VALUE"""),45966.86153363426)</f>
        <v>45966.86153</v>
      </c>
      <c r="B2279" s="40" t="str">
        <f>IFERROR(__xludf.DUMMYFUNCTION("""COMPUTED_VALUE"""),"ASRI NINGSI RAMBU ATA ENDI")</f>
        <v>ASRI NINGSI RAMBU ATA ENDI</v>
      </c>
      <c r="C2279" s="40" t="str">
        <f>IFERROR(__xludf.DUMMYFUNCTION("""COMPUTED_VALUE"""),"ACC")</f>
        <v>ACC</v>
      </c>
      <c r="D2279" s="40" t="str">
        <f>IFERROR(__xludf.DUMMYFUNCTION("""COMPUTED_VALUE"""),"Y400 series")</f>
        <v>Y400 series</v>
      </c>
      <c r="E2279" s="40" t="s">
        <v>11441</v>
      </c>
      <c r="F2279" s="40" t="s">
        <v>205</v>
      </c>
      <c r="G2279" s="40" t="s">
        <v>11442</v>
      </c>
      <c r="H2279" s="40" t="s">
        <v>11419</v>
      </c>
    </row>
    <row r="2280">
      <c r="A2280" s="39">
        <f>IFERROR(__xludf.DUMMYFUNCTION("""COMPUTED_VALUE"""),45966.869166041666)</f>
        <v>45966.86917</v>
      </c>
      <c r="B2280" s="40" t="str">
        <f>IFERROR(__xludf.DUMMYFUNCTION("""COMPUTED_VALUE"""),"SULIS NURAINI INSYATUN")</f>
        <v>SULIS NURAINI INSYATUN</v>
      </c>
      <c r="C2280" s="40" t="str">
        <f>IFERROR(__xludf.DUMMYFUNCTION("""COMPUTED_VALUE"""),"ACC")</f>
        <v>ACC</v>
      </c>
      <c r="D2280" s="40" t="str">
        <f>IFERROR(__xludf.DUMMYFUNCTION("""COMPUTED_VALUE"""),"Y21d series")</f>
        <v>Y21d series</v>
      </c>
      <c r="E2280" s="40" t="s">
        <v>11429</v>
      </c>
      <c r="F2280" s="40" t="s">
        <v>257</v>
      </c>
      <c r="G2280" s="40" t="s">
        <v>11430</v>
      </c>
      <c r="H2280" s="40" t="s">
        <v>11419</v>
      </c>
    </row>
    <row r="2281">
      <c r="A2281" s="39">
        <f>IFERROR(__xludf.DUMMYFUNCTION("""COMPUTED_VALUE"""),45966.87606041667)</f>
        <v>45966.87606</v>
      </c>
      <c r="B2281" s="40" t="str">
        <f>IFERROR(__xludf.DUMMYFUNCTION("""COMPUTED_VALUE"""),"HERONIMUS NAMU WALI")</f>
        <v>HERONIMUS NAMU WALI</v>
      </c>
      <c r="C2281" s="40" t="str">
        <f>IFERROR(__xludf.DUMMYFUNCTION("""COMPUTED_VALUE"""),"Belum disetujui")</f>
        <v>Belum disetujui</v>
      </c>
      <c r="D2281" s="40"/>
      <c r="E2281" s="40" t="s">
        <v>11452</v>
      </c>
      <c r="F2281" s="40" t="s">
        <v>205</v>
      </c>
      <c r="G2281" s="40" t="s">
        <v>11453</v>
      </c>
      <c r="H2281" s="40" t="s">
        <v>11419</v>
      </c>
    </row>
    <row r="2282">
      <c r="A2282" s="39">
        <f>IFERROR(__xludf.DUMMYFUNCTION("""COMPUTED_VALUE"""),45966.891830486114)</f>
        <v>45966.89183</v>
      </c>
      <c r="B2282" s="40" t="str">
        <f>IFERROR(__xludf.DUMMYFUNCTION("""COMPUTED_VALUE"""),"AINI RAHMATINI NATALIA MOESTAKIM")</f>
        <v>AINI RAHMATINI NATALIA MOESTAKIM</v>
      </c>
      <c r="C2282" s="40" t="str">
        <f>IFERROR(__xludf.DUMMYFUNCTION("""COMPUTED_VALUE"""),"Belum disetujui")</f>
        <v>Belum disetujui</v>
      </c>
      <c r="D2282" s="40"/>
      <c r="E2282" s="40" t="s">
        <v>11409</v>
      </c>
      <c r="F2282" s="40" t="s">
        <v>204</v>
      </c>
      <c r="G2282" s="40" t="s">
        <v>11410</v>
      </c>
      <c r="H2282" s="40" t="s">
        <v>11399</v>
      </c>
    </row>
    <row r="2283">
      <c r="A2283" s="39">
        <f>IFERROR(__xludf.DUMMYFUNCTION("""COMPUTED_VALUE"""),45966.92203857639)</f>
        <v>45966.92204</v>
      </c>
      <c r="B2283" s="40" t="str">
        <f>IFERROR(__xludf.DUMMYFUNCTION("""COMPUTED_VALUE"""),"MARNITHA JUWIKE TIMORATI RUNESI")</f>
        <v>MARNITHA JUWIKE TIMORATI RUNESI</v>
      </c>
      <c r="C2283" s="40" t="str">
        <f>IFERROR(__xludf.DUMMYFUNCTION("""COMPUTED_VALUE"""),"Belum disetujui")</f>
        <v>Belum disetujui</v>
      </c>
      <c r="D2283" s="40"/>
      <c r="E2283" s="40" t="s">
        <v>11420</v>
      </c>
      <c r="F2283" s="40" t="s">
        <v>204</v>
      </c>
      <c r="G2283" s="40" t="s">
        <v>11421</v>
      </c>
      <c r="H2283" s="40" t="s">
        <v>11399</v>
      </c>
    </row>
    <row r="2284">
      <c r="A2284" s="39">
        <f>IFERROR(__xludf.DUMMYFUNCTION("""COMPUTED_VALUE"""),45966.95815619212)</f>
        <v>45966.95816</v>
      </c>
      <c r="B2284" s="40" t="str">
        <f>IFERROR(__xludf.DUMMYFUNCTION("""COMPUTED_VALUE"""),"MARNITHA JUWIKE TIMORATI RUNESI")</f>
        <v>MARNITHA JUWIKE TIMORATI RUNESI</v>
      </c>
      <c r="C2284" s="40" t="str">
        <f>IFERROR(__xludf.DUMMYFUNCTION("""COMPUTED_VALUE"""),"Dapat limit tapi belum diproses")</f>
        <v>Dapat limit tapi belum diproses</v>
      </c>
      <c r="D2284" s="40" t="str">
        <f>IFERROR(__xludf.DUMMYFUNCTION("""COMPUTED_VALUE"""),"Y21d series")</f>
        <v>Y21d series</v>
      </c>
      <c r="E2284" s="40" t="s">
        <v>11420</v>
      </c>
      <c r="F2284" s="40" t="s">
        <v>204</v>
      </c>
      <c r="G2284" s="40" t="s">
        <v>11421</v>
      </c>
      <c r="H2284" s="40" t="s">
        <v>11399</v>
      </c>
    </row>
    <row r="2285">
      <c r="A2285" s="39">
        <f>IFERROR(__xludf.DUMMYFUNCTION("""COMPUTED_VALUE"""),45967.389225914354)</f>
        <v>45967.38923</v>
      </c>
      <c r="B2285" s="40" t="str">
        <f>IFERROR(__xludf.DUMMYFUNCTION("""COMPUTED_VALUE"""),"LASTRIANA PALUS")</f>
        <v>LASTRIANA PALUS</v>
      </c>
      <c r="C2285" s="40" t="str">
        <f>IFERROR(__xludf.DUMMYFUNCTION("""COMPUTED_VALUE"""),"Belum disetujui")</f>
        <v>Belum disetujui</v>
      </c>
      <c r="D2285" s="40"/>
      <c r="E2285" s="40" t="s">
        <v>11468</v>
      </c>
      <c r="F2285" s="40" t="s">
        <v>257</v>
      </c>
      <c r="G2285" s="40" t="s">
        <v>11469</v>
      </c>
      <c r="H2285" s="40" t="s">
        <v>11419</v>
      </c>
    </row>
    <row r="2286">
      <c r="A2286" s="39">
        <f>IFERROR(__xludf.DUMMYFUNCTION("""COMPUTED_VALUE"""),45967.407427812504)</f>
        <v>45967.40743</v>
      </c>
      <c r="B2286" s="40" t="str">
        <f>IFERROR(__xludf.DUMMYFUNCTION("""COMPUTED_VALUE"""),"LASTRIANA PALUS")</f>
        <v>LASTRIANA PALUS</v>
      </c>
      <c r="C2286" s="40" t="str">
        <f>IFERROR(__xludf.DUMMYFUNCTION("""COMPUTED_VALUE"""),"Belum disetujui")</f>
        <v>Belum disetujui</v>
      </c>
      <c r="D2286" s="40"/>
      <c r="E2286" s="40" t="s">
        <v>11468</v>
      </c>
      <c r="F2286" s="40" t="s">
        <v>257</v>
      </c>
      <c r="G2286" s="40" t="s">
        <v>11469</v>
      </c>
      <c r="H2286" s="40" t="s">
        <v>11419</v>
      </c>
    </row>
    <row r="2287">
      <c r="A2287" s="39">
        <f>IFERROR(__xludf.DUMMYFUNCTION("""COMPUTED_VALUE"""),45967.4150904051)</f>
        <v>45967.41509</v>
      </c>
      <c r="B2287" s="40" t="str">
        <f>IFERROR(__xludf.DUMMYFUNCTION("""COMPUTED_VALUE"""),"MARIA MELAN ANANCE BILI")</f>
        <v>MARIA MELAN ANANCE BILI</v>
      </c>
      <c r="C2287" s="40" t="str">
        <f>IFERROR(__xludf.DUMMYFUNCTION("""COMPUTED_VALUE"""),"Belum disetujui")</f>
        <v>Belum disetujui</v>
      </c>
      <c r="D2287" s="40"/>
      <c r="E2287" s="40" t="s">
        <v>11466</v>
      </c>
      <c r="F2287" s="40" t="s">
        <v>257</v>
      </c>
      <c r="G2287" s="40" t="s">
        <v>11467</v>
      </c>
      <c r="H2287" s="40" t="s">
        <v>11419</v>
      </c>
    </row>
    <row r="2288">
      <c r="A2288" s="39">
        <f>IFERROR(__xludf.DUMMYFUNCTION("""COMPUTED_VALUE"""),45967.45862831018)</f>
        <v>45967.45863</v>
      </c>
      <c r="B2288" s="40" t="str">
        <f>IFERROR(__xludf.DUMMYFUNCTION("""COMPUTED_VALUE"""),"GRACELLA SARI HIVANA MANAFE")</f>
        <v>GRACELLA SARI HIVANA MANAFE</v>
      </c>
      <c r="C2288" s="40" t="str">
        <f>IFERROR(__xludf.DUMMYFUNCTION("""COMPUTED_VALUE"""),"Belum disetujui")</f>
        <v>Belum disetujui</v>
      </c>
      <c r="D2288" s="40"/>
      <c r="E2288" s="40" t="s">
        <v>11478</v>
      </c>
      <c r="F2288" s="40" t="s">
        <v>220</v>
      </c>
      <c r="G2288" s="40" t="s">
        <v>11479</v>
      </c>
      <c r="H2288" s="40" t="s">
        <v>11399</v>
      </c>
    </row>
    <row r="2289">
      <c r="A2289" s="39">
        <f>IFERROR(__xludf.DUMMYFUNCTION("""COMPUTED_VALUE"""),45967.46016303241)</f>
        <v>45967.46016</v>
      </c>
      <c r="B2289" s="40" t="str">
        <f>IFERROR(__xludf.DUMMYFUNCTION("""COMPUTED_VALUE"""),"BERGITHA NIA OLIN")</f>
        <v>BERGITHA NIA OLIN</v>
      </c>
      <c r="C2289" s="40" t="str">
        <f>IFERROR(__xludf.DUMMYFUNCTION("""COMPUTED_VALUE"""),"Dapat limit tapi belum diproses")</f>
        <v>Dapat limit tapi belum diproses</v>
      </c>
      <c r="D2289" s="40" t="str">
        <f>IFERROR(__xludf.DUMMYFUNCTION("""COMPUTED_VALUE"""),"Y21d series")</f>
        <v>Y21d series</v>
      </c>
      <c r="E2289" s="40" t="s">
        <v>11431</v>
      </c>
      <c r="F2289" s="40" t="s">
        <v>313</v>
      </c>
      <c r="G2289" s="40" t="s">
        <v>11432</v>
      </c>
      <c r="H2289" s="40" t="s">
        <v>11424</v>
      </c>
    </row>
    <row r="2290">
      <c r="A2290" s="39">
        <f>IFERROR(__xludf.DUMMYFUNCTION("""COMPUTED_VALUE"""),45967.48564324074)</f>
        <v>45967.48564</v>
      </c>
      <c r="B2290" s="40" t="str">
        <f>IFERROR(__xludf.DUMMYFUNCTION("""COMPUTED_VALUE"""),"SANTI MARIA LUKMINI NAHAK")</f>
        <v>SANTI MARIA LUKMINI NAHAK</v>
      </c>
      <c r="C2290" s="40" t="str">
        <f>IFERROR(__xludf.DUMMYFUNCTION("""COMPUTED_VALUE"""),"Belum disetujui")</f>
        <v>Belum disetujui</v>
      </c>
      <c r="D2290" s="40"/>
      <c r="E2290" s="40" t="s">
        <v>11460</v>
      </c>
      <c r="F2290" s="40" t="s">
        <v>871</v>
      </c>
      <c r="G2290" s="40" t="s">
        <v>11461</v>
      </c>
      <c r="H2290" s="40" t="s">
        <v>11424</v>
      </c>
    </row>
    <row r="2291">
      <c r="A2291" s="39">
        <f>IFERROR(__xludf.DUMMYFUNCTION("""COMPUTED_VALUE"""),45967.49276383102)</f>
        <v>45967.49276</v>
      </c>
      <c r="B2291" s="40" t="str">
        <f>IFERROR(__xludf.DUMMYFUNCTION("""COMPUTED_VALUE"""),"AMBU BAIQ JUMENAH")</f>
        <v>AMBU BAIQ JUMENAH</v>
      </c>
      <c r="C2291" s="40" t="str">
        <f>IFERROR(__xludf.DUMMYFUNCTION("""COMPUTED_VALUE"""),"Belum disetujui")</f>
        <v>Belum disetujui</v>
      </c>
      <c r="D2291" s="40"/>
      <c r="E2291" s="40" t="s">
        <v>11458</v>
      </c>
      <c r="F2291" s="40" t="s">
        <v>205</v>
      </c>
      <c r="G2291" s="40" t="s">
        <v>11459</v>
      </c>
      <c r="H2291" s="40" t="s">
        <v>11419</v>
      </c>
    </row>
    <row r="2292">
      <c r="A2292" s="39">
        <f>IFERROR(__xludf.DUMMYFUNCTION("""COMPUTED_VALUE"""),45967.50881846065)</f>
        <v>45967.50882</v>
      </c>
      <c r="B2292" s="40" t="str">
        <f>IFERROR(__xludf.DUMMYFUNCTION("""COMPUTED_VALUE"""),"MERDA PUTRI BUNGSU KENAT")</f>
        <v>MERDA PUTRI BUNGSU KENAT</v>
      </c>
      <c r="C2292" s="40" t="str">
        <f>IFERROR(__xludf.DUMMYFUNCTION("""COMPUTED_VALUE"""),"Belum disetujui")</f>
        <v>Belum disetujui</v>
      </c>
      <c r="D2292" s="40"/>
      <c r="E2292" s="40" t="s">
        <v>11422</v>
      </c>
      <c r="F2292" s="40" t="s">
        <v>215</v>
      </c>
      <c r="G2292" s="40" t="s">
        <v>11423</v>
      </c>
      <c r="H2292" s="40" t="s">
        <v>11424</v>
      </c>
    </row>
    <row r="2293">
      <c r="A2293" s="39">
        <f>IFERROR(__xludf.DUMMYFUNCTION("""COMPUTED_VALUE"""),45967.5126699074)</f>
        <v>45967.51267</v>
      </c>
      <c r="B2293" s="40" t="str">
        <f>IFERROR(__xludf.DUMMYFUNCTION("""COMPUTED_VALUE"""),"WARDIA")</f>
        <v>WARDIA</v>
      </c>
      <c r="C2293" s="40" t="str">
        <f>IFERROR(__xludf.DUMMYFUNCTION("""COMPUTED_VALUE"""),"ACC")</f>
        <v>ACC</v>
      </c>
      <c r="D2293" s="40" t="str">
        <f>IFERROR(__xludf.DUMMYFUNCTION("""COMPUTED_VALUE"""),"Y21d series")</f>
        <v>Y21d series</v>
      </c>
      <c r="E2293" s="40" t="s">
        <v>11409</v>
      </c>
      <c r="F2293" s="40" t="s">
        <v>204</v>
      </c>
      <c r="G2293" s="40" t="s">
        <v>11410</v>
      </c>
      <c r="H2293" s="40" t="s">
        <v>11399</v>
      </c>
    </row>
    <row r="2294">
      <c r="A2294" s="39">
        <f>IFERROR(__xludf.DUMMYFUNCTION("""COMPUTED_VALUE"""),45967.51497420139)</f>
        <v>45967.51497</v>
      </c>
      <c r="B2294" s="40" t="str">
        <f>IFERROR(__xludf.DUMMYFUNCTION("""COMPUTED_VALUE"""),"WARDIA")</f>
        <v>WARDIA</v>
      </c>
      <c r="C2294" s="40" t="str">
        <f>IFERROR(__xludf.DUMMYFUNCTION("""COMPUTED_VALUE"""),"Belum disetujui")</f>
        <v>Belum disetujui</v>
      </c>
      <c r="D2294" s="40"/>
      <c r="E2294" s="40" t="s">
        <v>11409</v>
      </c>
      <c r="F2294" s="40" t="s">
        <v>204</v>
      </c>
      <c r="G2294" s="40" t="s">
        <v>11410</v>
      </c>
      <c r="H2294" s="40" t="s">
        <v>11399</v>
      </c>
    </row>
    <row r="2295">
      <c r="A2295" s="39">
        <f>IFERROR(__xludf.DUMMYFUNCTION("""COMPUTED_VALUE"""),45967.517895474535)</f>
        <v>45967.5179</v>
      </c>
      <c r="B2295" s="40" t="str">
        <f>IFERROR(__xludf.DUMMYFUNCTION("""COMPUTED_VALUE"""),"SANTI MARIA LUKMINI NAHAK")</f>
        <v>SANTI MARIA LUKMINI NAHAK</v>
      </c>
      <c r="C2295" s="40" t="str">
        <f>IFERROR(__xludf.DUMMYFUNCTION("""COMPUTED_VALUE"""),"Belum disetujui")</f>
        <v>Belum disetujui</v>
      </c>
      <c r="D2295" s="40"/>
      <c r="E2295" s="40" t="s">
        <v>11460</v>
      </c>
      <c r="F2295" s="40" t="s">
        <v>871</v>
      </c>
      <c r="G2295" s="40" t="s">
        <v>11461</v>
      </c>
      <c r="H2295" s="40" t="s">
        <v>11424</v>
      </c>
    </row>
    <row r="2296">
      <c r="A2296" s="39">
        <f>IFERROR(__xludf.DUMMYFUNCTION("""COMPUTED_VALUE"""),45967.544140983795)</f>
        <v>45967.54414</v>
      </c>
      <c r="B2296" s="40" t="str">
        <f>IFERROR(__xludf.DUMMYFUNCTION("""COMPUTED_VALUE"""),"MERDA PUTRI BUNGSU KENAT")</f>
        <v>MERDA PUTRI BUNGSU KENAT</v>
      </c>
      <c r="C2296" s="40" t="str">
        <f>IFERROR(__xludf.DUMMYFUNCTION("""COMPUTED_VALUE"""),"Belum disetujui")</f>
        <v>Belum disetujui</v>
      </c>
      <c r="D2296" s="40"/>
      <c r="E2296" s="40" t="s">
        <v>11422</v>
      </c>
      <c r="F2296" s="40" t="s">
        <v>215</v>
      </c>
      <c r="G2296" s="40" t="s">
        <v>11423</v>
      </c>
      <c r="H2296" s="40" t="s">
        <v>11424</v>
      </c>
    </row>
    <row r="2297">
      <c r="A2297" s="39">
        <f>IFERROR(__xludf.DUMMYFUNCTION("""COMPUTED_VALUE"""),45967.54417025463)</f>
        <v>45967.54417</v>
      </c>
      <c r="B2297" s="40" t="str">
        <f>IFERROR(__xludf.DUMMYFUNCTION("""COMPUTED_VALUE"""),"FEBRIANTHY ELISABET NA'U")</f>
        <v>FEBRIANTHY ELISABET NA'U</v>
      </c>
      <c r="C2297" s="40" t="str">
        <f>IFERROR(__xludf.DUMMYFUNCTION("""COMPUTED_VALUE"""),"Dapat limit tapi belum diproses")</f>
        <v>Dapat limit tapi belum diproses</v>
      </c>
      <c r="D2297" s="40" t="str">
        <f>IFERROR(__xludf.DUMMYFUNCTION("""COMPUTED_VALUE"""),"Y400 series")</f>
        <v>Y400 series</v>
      </c>
      <c r="E2297" s="40" t="s">
        <v>11415</v>
      </c>
      <c r="F2297" s="40" t="s">
        <v>204</v>
      </c>
      <c r="G2297" s="40" t="s">
        <v>11416</v>
      </c>
      <c r="H2297" s="40" t="s">
        <v>11399</v>
      </c>
    </row>
    <row r="2298">
      <c r="A2298" s="39">
        <f>IFERROR(__xludf.DUMMYFUNCTION("""COMPUTED_VALUE"""),45967.54822680556)</f>
        <v>45967.54823</v>
      </c>
      <c r="B2298" s="40" t="str">
        <f>IFERROR(__xludf.DUMMYFUNCTION("""COMPUTED_VALUE"""),"DEWI RAHMAN")</f>
        <v>DEWI RAHMAN</v>
      </c>
      <c r="C2298" s="40" t="str">
        <f>IFERROR(__xludf.DUMMYFUNCTION("""COMPUTED_VALUE"""),"Belum disetujui")</f>
        <v>Belum disetujui</v>
      </c>
      <c r="D2298" s="40"/>
      <c r="E2298" s="40" t="s">
        <v>11449</v>
      </c>
      <c r="F2298" s="40" t="s">
        <v>11450</v>
      </c>
      <c r="G2298" s="40" t="s">
        <v>11451</v>
      </c>
      <c r="H2298" s="40" t="s">
        <v>11424</v>
      </c>
    </row>
    <row r="2299">
      <c r="A2299" s="39">
        <f>IFERROR(__xludf.DUMMYFUNCTION("""COMPUTED_VALUE"""),45967.558137326385)</f>
        <v>45967.55814</v>
      </c>
      <c r="B2299" s="40" t="str">
        <f>IFERROR(__xludf.DUMMYFUNCTION("""COMPUTED_VALUE"""),"YUNITA TAMELAB")</f>
        <v>YUNITA TAMELAB</v>
      </c>
      <c r="C2299" s="40" t="str">
        <f>IFERROR(__xludf.DUMMYFUNCTION("""COMPUTED_VALUE"""),"Dapat limit tapi belum diproses")</f>
        <v>Dapat limit tapi belum diproses</v>
      </c>
      <c r="D2299" s="40" t="str">
        <f>IFERROR(__xludf.DUMMYFUNCTION("""COMPUTED_VALUE"""),"Y21d series")</f>
        <v>Y21d series</v>
      </c>
      <c r="E2299" s="40" t="s">
        <v>11472</v>
      </c>
      <c r="F2299" s="40" t="s">
        <v>667</v>
      </c>
      <c r="G2299" s="40" t="s">
        <v>11473</v>
      </c>
      <c r="H2299" s="40" t="s">
        <v>11424</v>
      </c>
    </row>
    <row r="2300">
      <c r="A2300" s="39">
        <f>IFERROR(__xludf.DUMMYFUNCTION("""COMPUTED_VALUE"""),45967.5626877662)</f>
        <v>45967.56269</v>
      </c>
      <c r="B2300" s="40" t="str">
        <f>IFERROR(__xludf.DUMMYFUNCTION("""COMPUTED_VALUE"""),"SELVINCE BAKO")</f>
        <v>SELVINCE BAKO</v>
      </c>
      <c r="C2300" s="40" t="str">
        <f>IFERROR(__xludf.DUMMYFUNCTION("""COMPUTED_VALUE"""),"Belum disetujui")</f>
        <v>Belum disetujui</v>
      </c>
      <c r="D2300" s="40"/>
      <c r="E2300" s="40" t="s">
        <v>11413</v>
      </c>
      <c r="F2300" s="40" t="s">
        <v>204</v>
      </c>
      <c r="G2300" s="40" t="s">
        <v>11414</v>
      </c>
      <c r="H2300" s="40" t="s">
        <v>11399</v>
      </c>
    </row>
    <row r="2301">
      <c r="A2301" s="39">
        <f>IFERROR(__xludf.DUMMYFUNCTION("""COMPUTED_VALUE"""),45967.5679859838)</f>
        <v>45967.56799</v>
      </c>
      <c r="B2301" s="40" t="str">
        <f>IFERROR(__xludf.DUMMYFUNCTION("""COMPUTED_VALUE"""),"DWITNEY PRETY WANGGANDIMA")</f>
        <v>DWITNEY PRETY WANGGANDIMA</v>
      </c>
      <c r="C2301" s="40" t="str">
        <f>IFERROR(__xludf.DUMMYFUNCTION("""COMPUTED_VALUE"""),"Belum disetujui")</f>
        <v>Belum disetujui</v>
      </c>
      <c r="D2301" s="40"/>
      <c r="E2301" s="40" t="s">
        <v>11443</v>
      </c>
      <c r="F2301" s="40" t="s">
        <v>220</v>
      </c>
      <c r="G2301" s="40" t="s">
        <v>11444</v>
      </c>
      <c r="H2301" s="40" t="s">
        <v>11399</v>
      </c>
    </row>
    <row r="2302">
      <c r="A2302" s="39">
        <f>IFERROR(__xludf.DUMMYFUNCTION("""COMPUTED_VALUE"""),45967.57102650463)</f>
        <v>45967.57103</v>
      </c>
      <c r="B2302" s="40" t="str">
        <f>IFERROR(__xludf.DUMMYFUNCTION("""COMPUTED_VALUE"""),"YUNITA TAMELAB")</f>
        <v>YUNITA TAMELAB</v>
      </c>
      <c r="C2302" s="40" t="str">
        <f>IFERROR(__xludf.DUMMYFUNCTION("""COMPUTED_VALUE"""),"Belum disetujui")</f>
        <v>Belum disetujui</v>
      </c>
      <c r="D2302" s="40"/>
      <c r="E2302" s="40" t="s">
        <v>11472</v>
      </c>
      <c r="F2302" s="40" t="s">
        <v>667</v>
      </c>
      <c r="G2302" s="40" t="s">
        <v>11473</v>
      </c>
      <c r="H2302" s="40" t="s">
        <v>11424</v>
      </c>
    </row>
    <row r="2303">
      <c r="A2303" s="39">
        <f>IFERROR(__xludf.DUMMYFUNCTION("""COMPUTED_VALUE"""),45967.57692496527)</f>
        <v>45967.57692</v>
      </c>
      <c r="B2303" s="40" t="str">
        <f>IFERROR(__xludf.DUMMYFUNCTION("""COMPUTED_VALUE"""),"ADRIANA")</f>
        <v>ADRIANA</v>
      </c>
      <c r="C2303" s="40" t="str">
        <f>IFERROR(__xludf.DUMMYFUNCTION("""COMPUTED_VALUE"""),"Belum disetujui")</f>
        <v>Belum disetujui</v>
      </c>
      <c r="D2303" s="40"/>
      <c r="E2303" s="40" t="s">
        <v>11433</v>
      </c>
      <c r="F2303" s="40" t="s">
        <v>313</v>
      </c>
      <c r="G2303" s="40" t="s">
        <v>11434</v>
      </c>
      <c r="H2303" s="40" t="s">
        <v>11424</v>
      </c>
    </row>
    <row r="2304">
      <c r="A2304" s="39">
        <f>IFERROR(__xludf.DUMMYFUNCTION("""COMPUTED_VALUE"""),45967.58731335648)</f>
        <v>45967.58731</v>
      </c>
      <c r="B2304" s="40" t="str">
        <f>IFERROR(__xludf.DUMMYFUNCTION("""COMPUTED_VALUE"""),"ESTER LUDJI")</f>
        <v>ESTER LUDJI</v>
      </c>
      <c r="C2304" s="40" t="str">
        <f>IFERROR(__xludf.DUMMYFUNCTION("""COMPUTED_VALUE"""),"Belum disetujui")</f>
        <v>Belum disetujui</v>
      </c>
      <c r="D2304" s="40"/>
      <c r="E2304" s="40" t="s">
        <v>11441</v>
      </c>
      <c r="F2304" s="40" t="s">
        <v>205</v>
      </c>
      <c r="G2304" s="40" t="s">
        <v>11442</v>
      </c>
      <c r="H2304" s="40" t="s">
        <v>11419</v>
      </c>
    </row>
    <row r="2305">
      <c r="A2305" s="39">
        <f>IFERROR(__xludf.DUMMYFUNCTION("""COMPUTED_VALUE"""),45967.60014059027)</f>
        <v>45967.60014</v>
      </c>
      <c r="B2305" s="40" t="str">
        <f>IFERROR(__xludf.DUMMYFUNCTION("""COMPUTED_VALUE"""),"AZ ZAHRA SITI ZAINAB")</f>
        <v>AZ ZAHRA SITI ZAINAB</v>
      </c>
      <c r="C2305" s="40" t="str">
        <f>IFERROR(__xludf.DUMMYFUNCTION("""COMPUTED_VALUE"""),"ACC")</f>
        <v>ACC</v>
      </c>
      <c r="D2305" s="40" t="str">
        <f>IFERROR(__xludf.DUMMYFUNCTION("""COMPUTED_VALUE"""),"Y400 series")</f>
        <v>Y400 series</v>
      </c>
      <c r="E2305" s="40" t="s">
        <v>11462</v>
      </c>
      <c r="F2305" s="40" t="s">
        <v>257</v>
      </c>
      <c r="G2305" s="40" t="s">
        <v>11463</v>
      </c>
      <c r="H2305" s="40" t="s">
        <v>11419</v>
      </c>
    </row>
    <row r="2306">
      <c r="A2306" s="39">
        <f>IFERROR(__xludf.DUMMYFUNCTION("""COMPUTED_VALUE"""),45967.63075726852)</f>
        <v>45967.63076</v>
      </c>
      <c r="B2306" s="40" t="str">
        <f>IFERROR(__xludf.DUMMYFUNCTION("""COMPUTED_VALUE"""),"SULIS NURAINI INSYATUN")</f>
        <v>SULIS NURAINI INSYATUN</v>
      </c>
      <c r="C2306" s="40" t="str">
        <f>IFERROR(__xludf.DUMMYFUNCTION("""COMPUTED_VALUE"""),"ACC")</f>
        <v>ACC</v>
      </c>
      <c r="D2306" s="40" t="str">
        <f>IFERROR(__xludf.DUMMYFUNCTION("""COMPUTED_VALUE"""),"V60 Lite series")</f>
        <v>V60 Lite series</v>
      </c>
      <c r="E2306" s="40" t="s">
        <v>11429</v>
      </c>
      <c r="F2306" s="40" t="s">
        <v>257</v>
      </c>
      <c r="G2306" s="40" t="s">
        <v>11430</v>
      </c>
      <c r="H2306" s="40" t="s">
        <v>11419</v>
      </c>
    </row>
    <row r="2307">
      <c r="A2307" s="39">
        <f>IFERROR(__xludf.DUMMYFUNCTION("""COMPUTED_VALUE"""),45967.631211423606)</f>
        <v>45967.63121</v>
      </c>
      <c r="B2307" s="40" t="str">
        <f>IFERROR(__xludf.DUMMYFUNCTION("""COMPUTED_VALUE"""),"ASTUTI BELA WAWO")</f>
        <v>ASTUTI BELA WAWO</v>
      </c>
      <c r="C2307" s="40" t="str">
        <f>IFERROR(__xludf.DUMMYFUNCTION("""COMPUTED_VALUE"""),"ACC")</f>
        <v>ACC</v>
      </c>
      <c r="D2307" s="40" t="str">
        <f>IFERROR(__xludf.DUMMYFUNCTION("""COMPUTED_VALUE"""),"Y21d series")</f>
        <v>Y21d series</v>
      </c>
      <c r="E2307" s="40" t="s">
        <v>11427</v>
      </c>
      <c r="F2307" s="40" t="s">
        <v>257</v>
      </c>
      <c r="G2307" s="40" t="s">
        <v>11428</v>
      </c>
      <c r="H2307" s="40" t="s">
        <v>11419</v>
      </c>
    </row>
    <row r="2308">
      <c r="A2308" s="39">
        <f>IFERROR(__xludf.DUMMYFUNCTION("""COMPUTED_VALUE"""),45967.63414199074)</f>
        <v>45967.63414</v>
      </c>
      <c r="B2308" s="40" t="str">
        <f>IFERROR(__xludf.DUMMYFUNCTION("""COMPUTED_VALUE"""),"LASTRIANA PALUS")</f>
        <v>LASTRIANA PALUS</v>
      </c>
      <c r="C2308" s="40" t="str">
        <f>IFERROR(__xludf.DUMMYFUNCTION("""COMPUTED_VALUE"""),"Dapat limit tapi belum diproses")</f>
        <v>Dapat limit tapi belum diproses</v>
      </c>
      <c r="D2308" s="40" t="str">
        <f>IFERROR(__xludf.DUMMYFUNCTION("""COMPUTED_VALUE"""),"Y21d series")</f>
        <v>Y21d series</v>
      </c>
      <c r="E2308" s="40" t="s">
        <v>11468</v>
      </c>
      <c r="F2308" s="40" t="s">
        <v>257</v>
      </c>
      <c r="G2308" s="40" t="s">
        <v>11469</v>
      </c>
      <c r="H2308" s="40" t="s">
        <v>11419</v>
      </c>
    </row>
    <row r="2309">
      <c r="A2309" s="39">
        <f>IFERROR(__xludf.DUMMYFUNCTION("""COMPUTED_VALUE"""),45967.63580409722)</f>
        <v>45967.6358</v>
      </c>
      <c r="B2309" s="40" t="str">
        <f>IFERROR(__xludf.DUMMYFUNCTION("""COMPUTED_VALUE"""),"LASTRIANA PALUS")</f>
        <v>LASTRIANA PALUS</v>
      </c>
      <c r="C2309" s="40" t="str">
        <f>IFERROR(__xludf.DUMMYFUNCTION("""COMPUTED_VALUE"""),"Belum disetujui")</f>
        <v>Belum disetujui</v>
      </c>
      <c r="D2309" s="40"/>
      <c r="E2309" s="40" t="s">
        <v>11468</v>
      </c>
      <c r="F2309" s="40" t="s">
        <v>257</v>
      </c>
      <c r="G2309" s="40" t="s">
        <v>11469</v>
      </c>
      <c r="H2309" s="40" t="s">
        <v>11419</v>
      </c>
    </row>
    <row r="2310">
      <c r="A2310" s="39">
        <f>IFERROR(__xludf.DUMMYFUNCTION("""COMPUTED_VALUE"""),45967.66067510417)</f>
        <v>45967.66068</v>
      </c>
      <c r="B2310" s="40" t="str">
        <f>IFERROR(__xludf.DUMMYFUNCTION("""COMPUTED_VALUE"""),"ANNA RAHMATIA JUFRI")</f>
        <v>ANNA RAHMATIA JUFRI</v>
      </c>
      <c r="C2310" s="40" t="str">
        <f>IFERROR(__xludf.DUMMYFUNCTION("""COMPUTED_VALUE"""),"Belum disetujui")</f>
        <v>Belum disetujui</v>
      </c>
      <c r="D2310" s="40"/>
      <c r="E2310" s="40" t="s">
        <v>11484</v>
      </c>
      <c r="F2310" s="40" t="s">
        <v>11450</v>
      </c>
      <c r="G2310" s="40" t="s">
        <v>11485</v>
      </c>
      <c r="H2310" s="40" t="s">
        <v>11424</v>
      </c>
    </row>
    <row r="2311">
      <c r="A2311" s="39">
        <f>IFERROR(__xludf.DUMMYFUNCTION("""COMPUTED_VALUE"""),45967.68077982639)</f>
        <v>45967.68078</v>
      </c>
      <c r="B2311" s="40" t="str">
        <f>IFERROR(__xludf.DUMMYFUNCTION("""COMPUTED_VALUE"""),"MARNITHA JUWIKE TIMORATI RUNESI")</f>
        <v>MARNITHA JUWIKE TIMORATI RUNESI</v>
      </c>
      <c r="C2311" s="40" t="str">
        <f>IFERROR(__xludf.DUMMYFUNCTION("""COMPUTED_VALUE"""),"Belum disetujui")</f>
        <v>Belum disetujui</v>
      </c>
      <c r="D2311" s="40"/>
      <c r="E2311" s="40" t="s">
        <v>11420</v>
      </c>
      <c r="F2311" s="40" t="s">
        <v>204</v>
      </c>
      <c r="G2311" s="40" t="s">
        <v>11421</v>
      </c>
      <c r="H2311" s="40" t="s">
        <v>11399</v>
      </c>
    </row>
    <row r="2312">
      <c r="A2312" s="39">
        <f>IFERROR(__xludf.DUMMYFUNCTION("""COMPUTED_VALUE"""),45967.69837101852)</f>
        <v>45967.69837</v>
      </c>
      <c r="B2312" s="40" t="str">
        <f>IFERROR(__xludf.DUMMYFUNCTION("""COMPUTED_VALUE"""),"ARMINDA TEKU MANEK")</f>
        <v>ARMINDA TEKU MANEK</v>
      </c>
      <c r="C2312" s="40" t="str">
        <f>IFERROR(__xludf.DUMMYFUNCTION("""COMPUTED_VALUE"""),"ACC")</f>
        <v>ACC</v>
      </c>
      <c r="D2312" s="40" t="str">
        <f>IFERROR(__xludf.DUMMYFUNCTION("""COMPUTED_VALUE"""),"Y21d series")</f>
        <v>Y21d series</v>
      </c>
      <c r="E2312" s="40" t="s">
        <v>11474</v>
      </c>
      <c r="F2312" s="40" t="s">
        <v>313</v>
      </c>
      <c r="G2312" s="40" t="s">
        <v>11475</v>
      </c>
      <c r="H2312" s="40" t="s">
        <v>11424</v>
      </c>
    </row>
    <row r="2313">
      <c r="A2313" s="39">
        <f>IFERROR(__xludf.DUMMYFUNCTION("""COMPUTED_VALUE"""),45967.707172118055)</f>
        <v>45967.70717</v>
      </c>
      <c r="B2313" s="40" t="str">
        <f>IFERROR(__xludf.DUMMYFUNCTION("""COMPUTED_VALUE"""),"ADRIANA")</f>
        <v>ADRIANA</v>
      </c>
      <c r="C2313" s="40" t="str">
        <f>IFERROR(__xludf.DUMMYFUNCTION("""COMPUTED_VALUE"""),"Belum disetujui")</f>
        <v>Belum disetujui</v>
      </c>
      <c r="D2313" s="40"/>
      <c r="E2313" s="40" t="s">
        <v>11433</v>
      </c>
      <c r="F2313" s="40" t="s">
        <v>313</v>
      </c>
      <c r="G2313" s="40" t="s">
        <v>11434</v>
      </c>
      <c r="H2313" s="40" t="s">
        <v>11424</v>
      </c>
    </row>
    <row r="2314">
      <c r="A2314" s="39">
        <f>IFERROR(__xludf.DUMMYFUNCTION("""COMPUTED_VALUE"""),45967.73038846065)</f>
        <v>45967.73039</v>
      </c>
      <c r="B2314" s="40" t="str">
        <f>IFERROR(__xludf.DUMMYFUNCTION("""COMPUTED_VALUE"""),"MARATHA MARLINDA FANGGIDAE")</f>
        <v>MARATHA MARLINDA FANGGIDAE</v>
      </c>
      <c r="C2314" s="40" t="str">
        <f>IFERROR(__xludf.DUMMYFUNCTION("""COMPUTED_VALUE"""),"Belum disetujui")</f>
        <v>Belum disetujui</v>
      </c>
      <c r="D2314" s="40"/>
      <c r="E2314" s="40" t="s">
        <v>11435</v>
      </c>
      <c r="F2314" s="40" t="s">
        <v>215</v>
      </c>
      <c r="G2314" s="40" t="s">
        <v>11436</v>
      </c>
      <c r="H2314" s="40" t="s">
        <v>11424</v>
      </c>
    </row>
    <row r="2315">
      <c r="A2315" s="39">
        <f>IFERROR(__xludf.DUMMYFUNCTION("""COMPUTED_VALUE"""),45967.74163935185)</f>
        <v>45967.74164</v>
      </c>
      <c r="B2315" s="40" t="str">
        <f>IFERROR(__xludf.DUMMYFUNCTION("""COMPUTED_VALUE"""),"IDMAL YUSDIRAN YUSUF")</f>
        <v>IDMAL YUSDIRAN YUSUF</v>
      </c>
      <c r="C2315" s="40" t="str">
        <f>IFERROR(__xludf.DUMMYFUNCTION("""COMPUTED_VALUE"""),"Dapat limit tapi belum diproses")</f>
        <v>Dapat limit tapi belum diproses</v>
      </c>
      <c r="D2315" s="40" t="str">
        <f>IFERROR(__xludf.DUMMYFUNCTION("""COMPUTED_VALUE"""),"Y400 series")</f>
        <v>Y400 series</v>
      </c>
      <c r="E2315" s="40" t="s">
        <v>11417</v>
      </c>
      <c r="F2315" s="40" t="s">
        <v>257</v>
      </c>
      <c r="G2315" s="40" t="s">
        <v>11418</v>
      </c>
      <c r="H2315" s="40" t="s">
        <v>11419</v>
      </c>
    </row>
    <row r="2316">
      <c r="A2316" s="39">
        <f>IFERROR(__xludf.DUMMYFUNCTION("""COMPUTED_VALUE"""),45967.7447165625)</f>
        <v>45967.74472</v>
      </c>
      <c r="B2316" s="40" t="str">
        <f>IFERROR(__xludf.DUMMYFUNCTION("""COMPUTED_VALUE"""),"AZ ZAHRA SITI ZAINAB")</f>
        <v>AZ ZAHRA SITI ZAINAB</v>
      </c>
      <c r="C2316" s="40" t="str">
        <f>IFERROR(__xludf.DUMMYFUNCTION("""COMPUTED_VALUE"""),"Dapat limit tapi belum diproses")</f>
        <v>Dapat limit tapi belum diproses</v>
      </c>
      <c r="D2316" s="40" t="str">
        <f>IFERROR(__xludf.DUMMYFUNCTION("""COMPUTED_VALUE"""),"Y400 series")</f>
        <v>Y400 series</v>
      </c>
      <c r="E2316" s="40" t="s">
        <v>11462</v>
      </c>
      <c r="F2316" s="40" t="s">
        <v>257</v>
      </c>
      <c r="G2316" s="40" t="s">
        <v>11463</v>
      </c>
      <c r="H2316" s="40" t="s">
        <v>11419</v>
      </c>
    </row>
    <row r="2317">
      <c r="A2317" s="39">
        <f>IFERROR(__xludf.DUMMYFUNCTION("""COMPUTED_VALUE"""),45967.75183597222)</f>
        <v>45967.75184</v>
      </c>
      <c r="B2317" s="40" t="str">
        <f>IFERROR(__xludf.DUMMYFUNCTION("""COMPUTED_VALUE"""),"HERONIMUS NAMU WALI")</f>
        <v>HERONIMUS NAMU WALI</v>
      </c>
      <c r="C2317" s="40" t="str">
        <f>IFERROR(__xludf.DUMMYFUNCTION("""COMPUTED_VALUE"""),"Belum disetujui")</f>
        <v>Belum disetujui</v>
      </c>
      <c r="D2317" s="40"/>
      <c r="E2317" s="40" t="s">
        <v>11452</v>
      </c>
      <c r="F2317" s="40" t="s">
        <v>205</v>
      </c>
      <c r="G2317" s="40" t="s">
        <v>11453</v>
      </c>
      <c r="H2317" s="40" t="s">
        <v>11419</v>
      </c>
    </row>
    <row r="2318">
      <c r="A2318" s="39">
        <f>IFERROR(__xludf.DUMMYFUNCTION("""COMPUTED_VALUE"""),45967.753314560185)</f>
        <v>45967.75331</v>
      </c>
      <c r="B2318" s="40" t="str">
        <f>IFERROR(__xludf.DUMMYFUNCTION("""COMPUTED_VALUE"""),"SKOLASTIKA B TAUNAES")</f>
        <v>SKOLASTIKA B TAUNAES</v>
      </c>
      <c r="C2318" s="40" t="str">
        <f>IFERROR(__xludf.DUMMYFUNCTION("""COMPUTED_VALUE"""),"Belum disetujui")</f>
        <v>Belum disetujui</v>
      </c>
      <c r="D2318" s="40"/>
      <c r="E2318" s="40" t="s">
        <v>11413</v>
      </c>
      <c r="F2318" s="40" t="s">
        <v>204</v>
      </c>
      <c r="G2318" s="40" t="s">
        <v>11414</v>
      </c>
      <c r="H2318" s="40" t="s">
        <v>11399</v>
      </c>
    </row>
    <row r="2319">
      <c r="A2319" s="39">
        <f>IFERROR(__xludf.DUMMYFUNCTION("""COMPUTED_VALUE"""),45967.7560334838)</f>
        <v>45967.75603</v>
      </c>
      <c r="B2319" s="40" t="str">
        <f>IFERROR(__xludf.DUMMYFUNCTION("""COMPUTED_VALUE"""),"SKOLASTIKA B TAUNAES")</f>
        <v>SKOLASTIKA B TAUNAES</v>
      </c>
      <c r="C2319" s="40" t="str">
        <f>IFERROR(__xludf.DUMMYFUNCTION("""COMPUTED_VALUE"""),"Dapat limit tapi belum diproses")</f>
        <v>Dapat limit tapi belum diproses</v>
      </c>
      <c r="D2319" s="40" t="str">
        <f>IFERROR(__xludf.DUMMYFUNCTION("""COMPUTED_VALUE"""),"Y21d series")</f>
        <v>Y21d series</v>
      </c>
      <c r="E2319" s="40" t="s">
        <v>11413</v>
      </c>
      <c r="F2319" s="40" t="s">
        <v>204</v>
      </c>
      <c r="G2319" s="40" t="s">
        <v>11414</v>
      </c>
      <c r="H2319" s="40" t="s">
        <v>11399</v>
      </c>
    </row>
    <row r="2320">
      <c r="A2320" s="39">
        <f>IFERROR(__xludf.DUMMYFUNCTION("""COMPUTED_VALUE"""),45967.756421087965)</f>
        <v>45967.75642</v>
      </c>
      <c r="B2320" s="40" t="str">
        <f>IFERROR(__xludf.DUMMYFUNCTION("""COMPUTED_VALUE"""),"WINDRI MANOE")</f>
        <v>WINDRI MANOE</v>
      </c>
      <c r="C2320" s="40" t="str">
        <f>IFERROR(__xludf.DUMMYFUNCTION("""COMPUTED_VALUE"""),"Belum disetujui")</f>
        <v>Belum disetujui</v>
      </c>
      <c r="D2320" s="40"/>
      <c r="E2320" s="40" t="s">
        <v>11443</v>
      </c>
      <c r="F2320" s="40" t="s">
        <v>220</v>
      </c>
      <c r="G2320" s="40" t="s">
        <v>11444</v>
      </c>
      <c r="H2320" s="40" t="s">
        <v>11399</v>
      </c>
    </row>
    <row r="2321">
      <c r="A2321" s="39">
        <f>IFERROR(__xludf.DUMMYFUNCTION("""COMPUTED_VALUE"""),45967.7639208912)</f>
        <v>45967.76392</v>
      </c>
      <c r="B2321" s="40" t="str">
        <f>IFERROR(__xludf.DUMMYFUNCTION("""COMPUTED_VALUE"""),"NENY MERLIANTI NA'U")</f>
        <v>NENY MERLIANTI NA'U</v>
      </c>
      <c r="C2321" s="40" t="str">
        <f>IFERROR(__xludf.DUMMYFUNCTION("""COMPUTED_VALUE"""),"Belum disetujui")</f>
        <v>Belum disetujui</v>
      </c>
      <c r="D2321" s="40"/>
      <c r="E2321" s="40" t="s">
        <v>11476</v>
      </c>
      <c r="F2321" s="40" t="s">
        <v>204</v>
      </c>
      <c r="G2321" s="40" t="s">
        <v>11477</v>
      </c>
      <c r="H2321" s="40" t="s">
        <v>11399</v>
      </c>
    </row>
    <row r="2322">
      <c r="A2322" s="39">
        <f>IFERROR(__xludf.DUMMYFUNCTION("""COMPUTED_VALUE"""),45967.773286840275)</f>
        <v>45967.77329</v>
      </c>
      <c r="B2322" s="40" t="str">
        <f>IFERROR(__xludf.DUMMYFUNCTION("""COMPUTED_VALUE"""),"MARATHA MARLINDA FANGGIDAE")</f>
        <v>MARATHA MARLINDA FANGGIDAE</v>
      </c>
      <c r="C2322" s="40" t="str">
        <f>IFERROR(__xludf.DUMMYFUNCTION("""COMPUTED_VALUE"""),"Belum disetujui")</f>
        <v>Belum disetujui</v>
      </c>
      <c r="D2322" s="40"/>
      <c r="E2322" s="40" t="s">
        <v>11435</v>
      </c>
      <c r="F2322" s="40" t="s">
        <v>215</v>
      </c>
      <c r="G2322" s="40" t="s">
        <v>11436</v>
      </c>
      <c r="H2322" s="40" t="s">
        <v>11424</v>
      </c>
    </row>
    <row r="2323">
      <c r="A2323" s="39">
        <f>IFERROR(__xludf.DUMMYFUNCTION("""COMPUTED_VALUE"""),45967.77495133102)</f>
        <v>45967.77495</v>
      </c>
      <c r="B2323" s="40" t="str">
        <f>IFERROR(__xludf.DUMMYFUNCTION("""COMPUTED_VALUE"""),"ARMINDA TEKU MANEK")</f>
        <v>ARMINDA TEKU MANEK</v>
      </c>
      <c r="C2323" s="40" t="str">
        <f>IFERROR(__xludf.DUMMYFUNCTION("""COMPUTED_VALUE"""),"Belum disetujui")</f>
        <v>Belum disetujui</v>
      </c>
      <c r="D2323" s="40"/>
      <c r="E2323" s="40" t="s">
        <v>11474</v>
      </c>
      <c r="F2323" s="40" t="s">
        <v>313</v>
      </c>
      <c r="G2323" s="40" t="s">
        <v>11475</v>
      </c>
      <c r="H2323" s="40" t="s">
        <v>11424</v>
      </c>
    </row>
    <row r="2324">
      <c r="A2324" s="39">
        <f>IFERROR(__xludf.DUMMYFUNCTION("""COMPUTED_VALUE"""),45967.77772092592)</f>
        <v>45967.77772</v>
      </c>
      <c r="B2324" s="40" t="str">
        <f>IFERROR(__xludf.DUMMYFUNCTION("""COMPUTED_VALUE"""),"ALDIANA WELIA PANIE")</f>
        <v>ALDIANA WELIA PANIE</v>
      </c>
      <c r="C2324" s="40" t="str">
        <f>IFERROR(__xludf.DUMMYFUNCTION("""COMPUTED_VALUE"""),"Dapat limit tapi belum diproses")</f>
        <v>Dapat limit tapi belum diproses</v>
      </c>
      <c r="D2324" s="40" t="str">
        <f>IFERROR(__xludf.DUMMYFUNCTION("""COMPUTED_VALUE"""),"Y21d series")</f>
        <v>Y21d series</v>
      </c>
      <c r="E2324" s="40" t="s">
        <v>11422</v>
      </c>
      <c r="F2324" s="40" t="s">
        <v>215</v>
      </c>
      <c r="G2324" s="40" t="s">
        <v>11423</v>
      </c>
      <c r="H2324" s="40" t="s">
        <v>11424</v>
      </c>
    </row>
    <row r="2325">
      <c r="A2325" s="39">
        <f>IFERROR(__xludf.DUMMYFUNCTION("""COMPUTED_VALUE"""),45967.83100663195)</f>
        <v>45967.83101</v>
      </c>
      <c r="B2325" s="40" t="str">
        <f>IFERROR(__xludf.DUMMYFUNCTION("""COMPUTED_VALUE"""),"NOVANTRY RUTHANIA NAFFIE")</f>
        <v>NOVANTRY RUTHANIA NAFFIE</v>
      </c>
      <c r="C2325" s="40" t="str">
        <f>IFERROR(__xludf.DUMMYFUNCTION("""COMPUTED_VALUE"""),"Belum disetujui")</f>
        <v>Belum disetujui</v>
      </c>
      <c r="D2325" s="40"/>
      <c r="E2325" s="40" t="s">
        <v>11397</v>
      </c>
      <c r="F2325" s="40" t="s">
        <v>220</v>
      </c>
      <c r="G2325" s="40" t="s">
        <v>11398</v>
      </c>
      <c r="H2325" s="40" t="s">
        <v>11399</v>
      </c>
    </row>
    <row r="2326">
      <c r="A2326" s="39">
        <f>IFERROR(__xludf.DUMMYFUNCTION("""COMPUTED_VALUE"""),45967.833334456016)</f>
        <v>45967.83333</v>
      </c>
      <c r="B2326" s="40" t="str">
        <f>IFERROR(__xludf.DUMMYFUNCTION("""COMPUTED_VALUE"""),"NOVANTRY RUTHANIA NAFFIE")</f>
        <v>NOVANTRY RUTHANIA NAFFIE</v>
      </c>
      <c r="C2326" s="40" t="str">
        <f>IFERROR(__xludf.DUMMYFUNCTION("""COMPUTED_VALUE"""),"Belum disetujui")</f>
        <v>Belum disetujui</v>
      </c>
      <c r="D2326" s="40"/>
      <c r="E2326" s="40" t="s">
        <v>11397</v>
      </c>
      <c r="F2326" s="40" t="s">
        <v>220</v>
      </c>
      <c r="G2326" s="40" t="s">
        <v>11398</v>
      </c>
      <c r="H2326" s="40" t="s">
        <v>11399</v>
      </c>
    </row>
    <row r="2327">
      <c r="A2327" s="39">
        <f>IFERROR(__xludf.DUMMYFUNCTION("""COMPUTED_VALUE"""),45967.850936284725)</f>
        <v>45967.85094</v>
      </c>
      <c r="B2327" s="40" t="str">
        <f>IFERROR(__xludf.DUMMYFUNCTION("""COMPUTED_VALUE"""),"PRETI SISILIA SILA")</f>
        <v>PRETI SISILIA SILA</v>
      </c>
      <c r="C2327" s="40" t="str">
        <f>IFERROR(__xludf.DUMMYFUNCTION("""COMPUTED_VALUE"""),"Belum disetujui")</f>
        <v>Belum disetujui</v>
      </c>
      <c r="D2327" s="40"/>
      <c r="E2327" s="40" t="s">
        <v>11456</v>
      </c>
      <c r="F2327" s="40" t="s">
        <v>667</v>
      </c>
      <c r="G2327" s="40" t="s">
        <v>11457</v>
      </c>
      <c r="H2327" s="40" t="s">
        <v>11424</v>
      </c>
    </row>
    <row r="2328">
      <c r="A2328" s="39">
        <f>IFERROR(__xludf.DUMMYFUNCTION("""COMPUTED_VALUE"""),45967.85765081018)</f>
        <v>45967.85765</v>
      </c>
      <c r="B2328" s="40" t="str">
        <f>IFERROR(__xludf.DUMMYFUNCTION("""COMPUTED_VALUE"""),"AINI RAHMATINI NATALIA MOESTAKIM")</f>
        <v>AINI RAHMATINI NATALIA MOESTAKIM</v>
      </c>
      <c r="C2328" s="40" t="str">
        <f>IFERROR(__xludf.DUMMYFUNCTION("""COMPUTED_VALUE"""),"Belum disetujui")</f>
        <v>Belum disetujui</v>
      </c>
      <c r="D2328" s="40"/>
      <c r="E2328" s="40" t="s">
        <v>11409</v>
      </c>
      <c r="F2328" s="40" t="s">
        <v>204</v>
      </c>
      <c r="G2328" s="40" t="s">
        <v>11410</v>
      </c>
      <c r="H2328" s="40" t="s">
        <v>11399</v>
      </c>
    </row>
    <row r="2329">
      <c r="A2329" s="39">
        <f>IFERROR(__xludf.DUMMYFUNCTION("""COMPUTED_VALUE"""),45967.866624571754)</f>
        <v>45967.86662</v>
      </c>
      <c r="B2329" s="40" t="str">
        <f>IFERROR(__xludf.DUMMYFUNCTION("""COMPUTED_VALUE"""),"WARDIA")</f>
        <v>WARDIA</v>
      </c>
      <c r="C2329" s="40" t="str">
        <f>IFERROR(__xludf.DUMMYFUNCTION("""COMPUTED_VALUE"""),"Belum disetujui")</f>
        <v>Belum disetujui</v>
      </c>
      <c r="D2329" s="40"/>
      <c r="E2329" s="40" t="s">
        <v>11409</v>
      </c>
      <c r="F2329" s="40" t="s">
        <v>204</v>
      </c>
      <c r="G2329" s="40" t="s">
        <v>11410</v>
      </c>
      <c r="H2329" s="40" t="s">
        <v>11399</v>
      </c>
    </row>
    <row r="2330">
      <c r="A2330" s="39">
        <f>IFERROR(__xludf.DUMMYFUNCTION("""COMPUTED_VALUE"""),45968.42624695602)</f>
        <v>45968.42625</v>
      </c>
      <c r="B2330" s="40" t="str">
        <f>IFERROR(__xludf.DUMMYFUNCTION("""COMPUTED_VALUE"""),"MARNITHA JUWIKE TIMORATI RUNESI")</f>
        <v>MARNITHA JUWIKE TIMORATI RUNESI</v>
      </c>
      <c r="C2330" s="40" t="str">
        <f>IFERROR(__xludf.DUMMYFUNCTION("""COMPUTED_VALUE"""),"Belum disetujui")</f>
        <v>Belum disetujui</v>
      </c>
      <c r="D2330" s="40"/>
      <c r="E2330" s="40" t="s">
        <v>11420</v>
      </c>
      <c r="F2330" s="40" t="s">
        <v>204</v>
      </c>
      <c r="G2330" s="40" t="s">
        <v>11421</v>
      </c>
      <c r="H2330" s="40" t="s">
        <v>11399</v>
      </c>
    </row>
    <row r="2331">
      <c r="A2331" s="39">
        <f>IFERROR(__xludf.DUMMYFUNCTION("""COMPUTED_VALUE"""),45968.42724474537)</f>
        <v>45968.42724</v>
      </c>
      <c r="B2331" s="40" t="str">
        <f>IFERROR(__xludf.DUMMYFUNCTION("""COMPUTED_VALUE"""),"KESIA NATALIA I. BENU")</f>
        <v>KESIA NATALIA I. BENU</v>
      </c>
      <c r="C2331" s="40" t="str">
        <f>IFERROR(__xludf.DUMMYFUNCTION("""COMPUTED_VALUE"""),"Belum disetujui")</f>
        <v>Belum disetujui</v>
      </c>
      <c r="D2331" s="40"/>
      <c r="E2331" s="40" t="s">
        <v>11417</v>
      </c>
      <c r="F2331" s="40" t="s">
        <v>257</v>
      </c>
      <c r="G2331" s="40" t="s">
        <v>11418</v>
      </c>
      <c r="H2331" s="40" t="s">
        <v>11419</v>
      </c>
    </row>
    <row r="2332">
      <c r="A2332" s="39">
        <f>IFERROR(__xludf.DUMMYFUNCTION("""COMPUTED_VALUE"""),45968.42747505788)</f>
        <v>45968.42748</v>
      </c>
      <c r="B2332" s="40" t="str">
        <f>IFERROR(__xludf.DUMMYFUNCTION("""COMPUTED_VALUE"""),"AZ ZAHRA SITI ZAINAB")</f>
        <v>AZ ZAHRA SITI ZAINAB</v>
      </c>
      <c r="C2332" s="40" t="str">
        <f>IFERROR(__xludf.DUMMYFUNCTION("""COMPUTED_VALUE"""),"Dapat limit tapi belum diproses")</f>
        <v>Dapat limit tapi belum diproses</v>
      </c>
      <c r="D2332" s="40" t="str">
        <f>IFERROR(__xludf.DUMMYFUNCTION("""COMPUTED_VALUE"""),"Y400 series")</f>
        <v>Y400 series</v>
      </c>
      <c r="E2332" s="40" t="s">
        <v>11462</v>
      </c>
      <c r="F2332" s="40" t="s">
        <v>257</v>
      </c>
      <c r="G2332" s="40" t="s">
        <v>11463</v>
      </c>
      <c r="H2332" s="40" t="s">
        <v>11419</v>
      </c>
    </row>
    <row r="2333">
      <c r="A2333" s="39">
        <f>IFERROR(__xludf.DUMMYFUNCTION("""COMPUTED_VALUE"""),45968.43273349537)</f>
        <v>45968.43273</v>
      </c>
      <c r="B2333" s="40" t="str">
        <f>IFERROR(__xludf.DUMMYFUNCTION("""COMPUTED_VALUE"""),"NOVLIANA BARBALINA MISA")</f>
        <v>NOVLIANA BARBALINA MISA</v>
      </c>
      <c r="C2333" s="40" t="str">
        <f>IFERROR(__xludf.DUMMYFUNCTION("""COMPUTED_VALUE"""),"Belum disetujui")</f>
        <v>Belum disetujui</v>
      </c>
      <c r="D2333" s="40"/>
      <c r="E2333" s="40" t="s">
        <v>11454</v>
      </c>
      <c r="F2333" s="40" t="s">
        <v>205</v>
      </c>
      <c r="G2333" s="40" t="s">
        <v>11455</v>
      </c>
      <c r="H2333" s="40" t="s">
        <v>11419</v>
      </c>
    </row>
    <row r="2334">
      <c r="A2334" s="39">
        <f>IFERROR(__xludf.DUMMYFUNCTION("""COMPUTED_VALUE"""),45968.46612078704)</f>
        <v>45968.46612</v>
      </c>
      <c r="B2334" s="40" t="str">
        <f>IFERROR(__xludf.DUMMYFUNCTION("""COMPUTED_VALUE"""),"ASTUTI BELA WAWO")</f>
        <v>ASTUTI BELA WAWO</v>
      </c>
      <c r="C2334" s="40" t="str">
        <f>IFERROR(__xludf.DUMMYFUNCTION("""COMPUTED_VALUE"""),"Belum disetujui")</f>
        <v>Belum disetujui</v>
      </c>
      <c r="D2334" s="40"/>
      <c r="E2334" s="40" t="s">
        <v>11427</v>
      </c>
      <c r="F2334" s="40" t="s">
        <v>257</v>
      </c>
      <c r="G2334" s="40" t="s">
        <v>11428</v>
      </c>
      <c r="H2334" s="40" t="s">
        <v>11419</v>
      </c>
    </row>
    <row r="2335">
      <c r="A2335" s="39">
        <f>IFERROR(__xludf.DUMMYFUNCTION("""COMPUTED_VALUE"""),45968.493131296294)</f>
        <v>45968.49313</v>
      </c>
      <c r="B2335" s="40" t="str">
        <f>IFERROR(__xludf.DUMMYFUNCTION("""COMPUTED_VALUE"""),"MARNITHA JUWIKE TIMORATI RUNESI")</f>
        <v>MARNITHA JUWIKE TIMORATI RUNESI</v>
      </c>
      <c r="C2335" s="40" t="str">
        <f>IFERROR(__xludf.DUMMYFUNCTION("""COMPUTED_VALUE"""),"ACC")</f>
        <v>ACC</v>
      </c>
      <c r="D2335" s="40" t="str">
        <f>IFERROR(__xludf.DUMMYFUNCTION("""COMPUTED_VALUE"""),"Y21d series")</f>
        <v>Y21d series</v>
      </c>
      <c r="E2335" s="40" t="s">
        <v>11420</v>
      </c>
      <c r="F2335" s="40" t="s">
        <v>204</v>
      </c>
      <c r="G2335" s="40" t="s">
        <v>11421</v>
      </c>
      <c r="H2335" s="40" t="s">
        <v>11399</v>
      </c>
    </row>
    <row r="2336">
      <c r="A2336" s="39">
        <f>IFERROR(__xludf.DUMMYFUNCTION("""COMPUTED_VALUE"""),45968.509607638895)</f>
        <v>45968.50961</v>
      </c>
      <c r="B2336" s="40" t="str">
        <f>IFERROR(__xludf.DUMMYFUNCTION("""COMPUTED_VALUE"""),"MARIA MELAN ANANCE BILI")</f>
        <v>MARIA MELAN ANANCE BILI</v>
      </c>
      <c r="C2336" s="40" t="str">
        <f>IFERROR(__xludf.DUMMYFUNCTION("""COMPUTED_VALUE"""),"Dapat limit tapi belum diproses")</f>
        <v>Dapat limit tapi belum diproses</v>
      </c>
      <c r="D2336" s="40" t="str">
        <f>IFERROR(__xludf.DUMMYFUNCTION("""COMPUTED_VALUE"""),"Y400 series")</f>
        <v>Y400 series</v>
      </c>
      <c r="E2336" s="40" t="s">
        <v>11466</v>
      </c>
      <c r="F2336" s="40" t="s">
        <v>257</v>
      </c>
      <c r="G2336" s="40" t="s">
        <v>11467</v>
      </c>
      <c r="H2336" s="40" t="s">
        <v>11419</v>
      </c>
    </row>
    <row r="2337">
      <c r="A2337" s="39">
        <f>IFERROR(__xludf.DUMMYFUNCTION("""COMPUTED_VALUE"""),45968.52976133102)</f>
        <v>45968.52976</v>
      </c>
      <c r="B2337" s="40" t="str">
        <f>IFERROR(__xludf.DUMMYFUNCTION("""COMPUTED_VALUE"""),"BERGITHA NIA OLIN")</f>
        <v>BERGITHA NIA OLIN</v>
      </c>
      <c r="C2337" s="40" t="str">
        <f>IFERROR(__xludf.DUMMYFUNCTION("""COMPUTED_VALUE"""),"ACC")</f>
        <v>ACC</v>
      </c>
      <c r="D2337" s="40" t="str">
        <f>IFERROR(__xludf.DUMMYFUNCTION("""COMPUTED_VALUE"""),"Y21d series")</f>
        <v>Y21d series</v>
      </c>
      <c r="E2337" s="40" t="s">
        <v>11431</v>
      </c>
      <c r="F2337" s="40" t="s">
        <v>313</v>
      </c>
      <c r="G2337" s="40" t="s">
        <v>11432</v>
      </c>
      <c r="H2337" s="40" t="s">
        <v>11424</v>
      </c>
    </row>
    <row r="2338">
      <c r="A2338" s="39">
        <f>IFERROR(__xludf.DUMMYFUNCTION("""COMPUTED_VALUE"""),45968.536530694444)</f>
        <v>45968.53653</v>
      </c>
      <c r="B2338" s="40" t="str">
        <f>IFERROR(__xludf.DUMMYFUNCTION("""COMPUTED_VALUE"""),"PRETI SISILIA SILA")</f>
        <v>PRETI SISILIA SILA</v>
      </c>
      <c r="C2338" s="40" t="str">
        <f>IFERROR(__xludf.DUMMYFUNCTION("""COMPUTED_VALUE"""),"Belum disetujui")</f>
        <v>Belum disetujui</v>
      </c>
      <c r="D2338" s="40"/>
      <c r="E2338" s="40" t="s">
        <v>11456</v>
      </c>
      <c r="F2338" s="40" t="s">
        <v>667</v>
      </c>
      <c r="G2338" s="40" t="s">
        <v>11457</v>
      </c>
      <c r="H2338" s="40" t="s">
        <v>11424</v>
      </c>
    </row>
    <row r="2339">
      <c r="A2339" s="39">
        <f>IFERROR(__xludf.DUMMYFUNCTION("""COMPUTED_VALUE"""),45968.546748877314)</f>
        <v>45968.54675</v>
      </c>
      <c r="B2339" s="40" t="str">
        <f>IFERROR(__xludf.DUMMYFUNCTION("""COMPUTED_VALUE"""),"ROS YANE KANA LUDJI")</f>
        <v>ROS YANE KANA LUDJI</v>
      </c>
      <c r="C2339" s="40" t="str">
        <f>IFERROR(__xludf.DUMMYFUNCTION("""COMPUTED_VALUE"""),"Belum disetujui")</f>
        <v>Belum disetujui</v>
      </c>
      <c r="D2339" s="40"/>
      <c r="E2339" s="40" t="s">
        <v>11437</v>
      </c>
      <c r="F2339" s="40" t="s">
        <v>204</v>
      </c>
      <c r="G2339" s="40" t="s">
        <v>11438</v>
      </c>
      <c r="H2339" s="40" t="s">
        <v>11399</v>
      </c>
    </row>
    <row r="2340">
      <c r="A2340" s="39">
        <f>IFERROR(__xludf.DUMMYFUNCTION("""COMPUTED_VALUE"""),45968.54740040509)</f>
        <v>45968.5474</v>
      </c>
      <c r="B2340" s="40" t="str">
        <f>IFERROR(__xludf.DUMMYFUNCTION("""COMPUTED_VALUE"""),"ANNA RAHMATIA JUFRI")</f>
        <v>ANNA RAHMATIA JUFRI</v>
      </c>
      <c r="C2340" s="40" t="str">
        <f>IFERROR(__xludf.DUMMYFUNCTION("""COMPUTED_VALUE"""),"Belum disetujui")</f>
        <v>Belum disetujui</v>
      </c>
      <c r="D2340" s="40"/>
      <c r="E2340" s="40" t="s">
        <v>11484</v>
      </c>
      <c r="F2340" s="40" t="s">
        <v>11450</v>
      </c>
      <c r="G2340" s="40" t="s">
        <v>11485</v>
      </c>
      <c r="H2340" s="40" t="s">
        <v>11424</v>
      </c>
    </row>
    <row r="2341">
      <c r="A2341" s="39">
        <f>IFERROR(__xludf.DUMMYFUNCTION("""COMPUTED_VALUE"""),45968.55111089121)</f>
        <v>45968.55111</v>
      </c>
      <c r="B2341" s="40" t="str">
        <f>IFERROR(__xludf.DUMMYFUNCTION("""COMPUTED_VALUE"""),"SULIS NURAINI INSYATUN")</f>
        <v>SULIS NURAINI INSYATUN</v>
      </c>
      <c r="C2341" s="40" t="str">
        <f>IFERROR(__xludf.DUMMYFUNCTION("""COMPUTED_VALUE"""),"Dapat limit tapi belum diproses")</f>
        <v>Dapat limit tapi belum diproses</v>
      </c>
      <c r="D2341" s="40" t="str">
        <f>IFERROR(__xludf.DUMMYFUNCTION("""COMPUTED_VALUE"""),"Y21d series")</f>
        <v>Y21d series</v>
      </c>
      <c r="E2341" s="40" t="s">
        <v>11429</v>
      </c>
      <c r="F2341" s="40" t="s">
        <v>257</v>
      </c>
      <c r="G2341" s="40" t="s">
        <v>11430</v>
      </c>
      <c r="H2341" s="40" t="s">
        <v>11419</v>
      </c>
    </row>
    <row r="2342">
      <c r="A2342" s="39">
        <f>IFERROR(__xludf.DUMMYFUNCTION("""COMPUTED_VALUE"""),45968.56737906249)</f>
        <v>45968.56738</v>
      </c>
      <c r="B2342" s="40" t="str">
        <f>IFERROR(__xludf.DUMMYFUNCTION("""COMPUTED_VALUE"""),"BERGITHA NIA OLIN")</f>
        <v>BERGITHA NIA OLIN</v>
      </c>
      <c r="C2342" s="40" t="str">
        <f>IFERROR(__xludf.DUMMYFUNCTION("""COMPUTED_VALUE"""),"Belum disetujui")</f>
        <v>Belum disetujui</v>
      </c>
      <c r="D2342" s="40"/>
      <c r="E2342" s="40" t="s">
        <v>11431</v>
      </c>
      <c r="F2342" s="40" t="s">
        <v>313</v>
      </c>
      <c r="G2342" s="40" t="s">
        <v>11432</v>
      </c>
      <c r="H2342" s="40" t="s">
        <v>11424</v>
      </c>
    </row>
    <row r="2343">
      <c r="A2343" s="39">
        <f>IFERROR(__xludf.DUMMYFUNCTION("""COMPUTED_VALUE"""),45968.58496202546)</f>
        <v>45968.58496</v>
      </c>
      <c r="B2343" s="40" t="str">
        <f>IFERROR(__xludf.DUMMYFUNCTION("""COMPUTED_VALUE"""),"BERGITHA NIA OLIN")</f>
        <v>BERGITHA NIA OLIN</v>
      </c>
      <c r="C2343" s="40" t="str">
        <f>IFERROR(__xludf.DUMMYFUNCTION("""COMPUTED_VALUE"""),"Belum disetujui")</f>
        <v>Belum disetujui</v>
      </c>
      <c r="D2343" s="40"/>
      <c r="E2343" s="40" t="s">
        <v>11431</v>
      </c>
      <c r="F2343" s="40" t="s">
        <v>313</v>
      </c>
      <c r="G2343" s="40" t="s">
        <v>11432</v>
      </c>
      <c r="H2343" s="40" t="s">
        <v>11424</v>
      </c>
    </row>
    <row r="2344">
      <c r="A2344" s="39">
        <f>IFERROR(__xludf.DUMMYFUNCTION("""COMPUTED_VALUE"""),45968.596977835645)</f>
        <v>45968.59698</v>
      </c>
      <c r="B2344" s="40" t="str">
        <f>IFERROR(__xludf.DUMMYFUNCTION("""COMPUTED_VALUE"""),"MARIA MELAN ANANCE BILI")</f>
        <v>MARIA MELAN ANANCE BILI</v>
      </c>
      <c r="C2344" s="40" t="str">
        <f>IFERROR(__xludf.DUMMYFUNCTION("""COMPUTED_VALUE"""),"Belum disetujui")</f>
        <v>Belum disetujui</v>
      </c>
      <c r="D2344" s="40"/>
      <c r="E2344" s="40" t="s">
        <v>11466</v>
      </c>
      <c r="F2344" s="40" t="s">
        <v>257</v>
      </c>
      <c r="G2344" s="40" t="s">
        <v>11467</v>
      </c>
      <c r="H2344" s="40" t="s">
        <v>11419</v>
      </c>
    </row>
    <row r="2345">
      <c r="A2345" s="39">
        <f>IFERROR(__xludf.DUMMYFUNCTION("""COMPUTED_VALUE"""),45968.60698361111)</f>
        <v>45968.60698</v>
      </c>
      <c r="B2345" s="40" t="str">
        <f>IFERROR(__xludf.DUMMYFUNCTION("""COMPUTED_VALUE"""),"NOVLIANA BARBALINA MISA")</f>
        <v>NOVLIANA BARBALINA MISA</v>
      </c>
      <c r="C2345" s="40" t="str">
        <f>IFERROR(__xludf.DUMMYFUNCTION("""COMPUTED_VALUE"""),"Belum disetujui")</f>
        <v>Belum disetujui</v>
      </c>
      <c r="D2345" s="40"/>
      <c r="E2345" s="40" t="s">
        <v>11454</v>
      </c>
      <c r="F2345" s="40" t="s">
        <v>205</v>
      </c>
      <c r="G2345" s="40" t="s">
        <v>11455</v>
      </c>
      <c r="H2345" s="40" t="s">
        <v>11419</v>
      </c>
    </row>
    <row r="2346">
      <c r="A2346" s="39">
        <f>IFERROR(__xludf.DUMMYFUNCTION("""COMPUTED_VALUE"""),45968.64262097222)</f>
        <v>45968.64262</v>
      </c>
      <c r="B2346" s="40" t="str">
        <f>IFERROR(__xludf.DUMMYFUNCTION("""COMPUTED_VALUE"""),"ROS YANE KANA LUDJI")</f>
        <v>ROS YANE KANA LUDJI</v>
      </c>
      <c r="C2346" s="40" t="str">
        <f>IFERROR(__xludf.DUMMYFUNCTION("""COMPUTED_VALUE"""),"Belum disetujui")</f>
        <v>Belum disetujui</v>
      </c>
      <c r="D2346" s="40"/>
      <c r="E2346" s="40" t="s">
        <v>11437</v>
      </c>
      <c r="F2346" s="40" t="s">
        <v>204</v>
      </c>
      <c r="G2346" s="40" t="s">
        <v>11438</v>
      </c>
      <c r="H2346" s="40" t="s">
        <v>11399</v>
      </c>
    </row>
    <row r="2347">
      <c r="A2347" s="39">
        <f>IFERROR(__xludf.DUMMYFUNCTION("""COMPUTED_VALUE"""),45968.65152310185)</f>
        <v>45968.65152</v>
      </c>
      <c r="B2347" s="40" t="str">
        <f>IFERROR(__xludf.DUMMYFUNCTION("""COMPUTED_VALUE"""),"MARNITHA JUWIKE TIMORATI RUNESI")</f>
        <v>MARNITHA JUWIKE TIMORATI RUNESI</v>
      </c>
      <c r="C2347" s="40" t="str">
        <f>IFERROR(__xludf.DUMMYFUNCTION("""COMPUTED_VALUE"""),"Belum disetujui")</f>
        <v>Belum disetujui</v>
      </c>
      <c r="D2347" s="40"/>
      <c r="E2347" s="40" t="s">
        <v>11420</v>
      </c>
      <c r="F2347" s="40" t="s">
        <v>204</v>
      </c>
      <c r="G2347" s="40" t="s">
        <v>11421</v>
      </c>
      <c r="H2347" s="40" t="s">
        <v>11399</v>
      </c>
    </row>
    <row r="2348">
      <c r="A2348" s="39">
        <f>IFERROR(__xludf.DUMMYFUNCTION("""COMPUTED_VALUE"""),45968.65237436343)</f>
        <v>45968.65237</v>
      </c>
      <c r="B2348" s="40" t="str">
        <f>IFERROR(__xludf.DUMMYFUNCTION("""COMPUTED_VALUE"""),"MARNITHA JUWIKE TIMORATI RUNESI")</f>
        <v>MARNITHA JUWIKE TIMORATI RUNESI</v>
      </c>
      <c r="C2348" s="40" t="str">
        <f>IFERROR(__xludf.DUMMYFUNCTION("""COMPUTED_VALUE"""),"Belum disetujui")</f>
        <v>Belum disetujui</v>
      </c>
      <c r="D2348" s="40"/>
      <c r="E2348" s="40" t="s">
        <v>11420</v>
      </c>
      <c r="F2348" s="40" t="s">
        <v>204</v>
      </c>
      <c r="G2348" s="40" t="s">
        <v>11421</v>
      </c>
      <c r="H2348" s="40" t="s">
        <v>11399</v>
      </c>
    </row>
    <row r="2349">
      <c r="A2349" s="39">
        <f>IFERROR(__xludf.DUMMYFUNCTION("""COMPUTED_VALUE"""),45968.655133437496)</f>
        <v>45968.65513</v>
      </c>
      <c r="B2349" s="40" t="str">
        <f>IFERROR(__xludf.DUMMYFUNCTION("""COMPUTED_VALUE"""),"AZ ZAHRA SITI ZAINAB")</f>
        <v>AZ ZAHRA SITI ZAINAB</v>
      </c>
      <c r="C2349" s="40" t="str">
        <f>IFERROR(__xludf.DUMMYFUNCTION("""COMPUTED_VALUE"""),"ACC")</f>
        <v>ACC</v>
      </c>
      <c r="D2349" s="40" t="str">
        <f>IFERROR(__xludf.DUMMYFUNCTION("""COMPUTED_VALUE"""),"Y400 series")</f>
        <v>Y400 series</v>
      </c>
      <c r="E2349" s="40" t="s">
        <v>11462</v>
      </c>
      <c r="F2349" s="40" t="s">
        <v>257</v>
      </c>
      <c r="G2349" s="40" t="s">
        <v>11463</v>
      </c>
      <c r="H2349" s="40" t="s">
        <v>11419</v>
      </c>
    </row>
    <row r="2350">
      <c r="A2350" s="39">
        <f>IFERROR(__xludf.DUMMYFUNCTION("""COMPUTED_VALUE"""),45968.662013761576)</f>
        <v>45968.66201</v>
      </c>
      <c r="B2350" s="40" t="str">
        <f>IFERROR(__xludf.DUMMYFUNCTION("""COMPUTED_VALUE"""),"SULIS NURAINI INSYATUN")</f>
        <v>SULIS NURAINI INSYATUN</v>
      </c>
      <c r="C2350" s="40" t="str">
        <f>IFERROR(__xludf.DUMMYFUNCTION("""COMPUTED_VALUE"""),"Dapat limit tapi belum diproses")</f>
        <v>Dapat limit tapi belum diproses</v>
      </c>
      <c r="D2350" s="40" t="str">
        <f>IFERROR(__xludf.DUMMYFUNCTION("""COMPUTED_VALUE"""),"Y21d series")</f>
        <v>Y21d series</v>
      </c>
      <c r="E2350" s="40" t="s">
        <v>11429</v>
      </c>
      <c r="F2350" s="40" t="s">
        <v>257</v>
      </c>
      <c r="G2350" s="40" t="s">
        <v>11430</v>
      </c>
      <c r="H2350" s="40" t="s">
        <v>11419</v>
      </c>
    </row>
    <row r="2351">
      <c r="A2351" s="39">
        <f>IFERROR(__xludf.DUMMYFUNCTION("""COMPUTED_VALUE"""),45968.685718865745)</f>
        <v>45968.68572</v>
      </c>
      <c r="B2351" s="40" t="str">
        <f>IFERROR(__xludf.DUMMYFUNCTION("""COMPUTED_VALUE"""),"YOVANDA KATRINA NAE")</f>
        <v>YOVANDA KATRINA NAE</v>
      </c>
      <c r="C2351" s="40" t="str">
        <f>IFERROR(__xludf.DUMMYFUNCTION("""COMPUTED_VALUE"""),"Belum disetujui")</f>
        <v>Belum disetujui</v>
      </c>
      <c r="D2351" s="40"/>
      <c r="E2351" s="40" t="s">
        <v>11425</v>
      </c>
      <c r="F2351" s="40" t="s">
        <v>205</v>
      </c>
      <c r="G2351" s="40" t="s">
        <v>11426</v>
      </c>
      <c r="H2351" s="40" t="s">
        <v>11419</v>
      </c>
    </row>
    <row r="2352">
      <c r="A2352" s="39">
        <f>IFERROR(__xludf.DUMMYFUNCTION("""COMPUTED_VALUE"""),45968.69237791666)</f>
        <v>45968.69238</v>
      </c>
      <c r="B2352" s="40" t="str">
        <f>IFERROR(__xludf.DUMMYFUNCTION("""COMPUTED_VALUE"""),"LASTRIANA PALUS")</f>
        <v>LASTRIANA PALUS</v>
      </c>
      <c r="C2352" s="40" t="str">
        <f>IFERROR(__xludf.DUMMYFUNCTION("""COMPUTED_VALUE"""),"Belum disetujui")</f>
        <v>Belum disetujui</v>
      </c>
      <c r="D2352" s="40"/>
      <c r="E2352" s="40" t="s">
        <v>11468</v>
      </c>
      <c r="F2352" s="40" t="s">
        <v>257</v>
      </c>
      <c r="G2352" s="40" t="s">
        <v>11469</v>
      </c>
      <c r="H2352" s="40" t="s">
        <v>11419</v>
      </c>
    </row>
    <row r="2353">
      <c r="A2353" s="39">
        <f>IFERROR(__xludf.DUMMYFUNCTION("""COMPUTED_VALUE"""),45968.706044259256)</f>
        <v>45968.70604</v>
      </c>
      <c r="B2353" s="40" t="str">
        <f>IFERROR(__xludf.DUMMYFUNCTION("""COMPUTED_VALUE"""),"EMPI FRANGKI LIEM")</f>
        <v>EMPI FRANGKI LIEM</v>
      </c>
      <c r="C2353" s="40" t="str">
        <f>IFERROR(__xludf.DUMMYFUNCTION("""COMPUTED_VALUE"""),"ACC")</f>
        <v>ACC</v>
      </c>
      <c r="D2353" s="40" t="str">
        <f>IFERROR(__xludf.DUMMYFUNCTION("""COMPUTED_VALUE"""),"Y21d series")</f>
        <v>Y21d series</v>
      </c>
      <c r="E2353" s="40" t="s">
        <v>11397</v>
      </c>
      <c r="F2353" s="40" t="s">
        <v>220</v>
      </c>
      <c r="G2353" s="40" t="s">
        <v>11398</v>
      </c>
      <c r="H2353" s="40" t="s">
        <v>11399</v>
      </c>
    </row>
    <row r="2354">
      <c r="A2354" s="39">
        <f>IFERROR(__xludf.DUMMYFUNCTION("""COMPUTED_VALUE"""),45968.70770503472)</f>
        <v>45968.70771</v>
      </c>
      <c r="B2354" s="40" t="str">
        <f>IFERROR(__xludf.DUMMYFUNCTION("""COMPUTED_VALUE"""),"EMPI FRANGKI LIEM")</f>
        <v>EMPI FRANGKI LIEM</v>
      </c>
      <c r="C2354" s="40" t="str">
        <f>IFERROR(__xludf.DUMMYFUNCTION("""COMPUTED_VALUE"""),"Dapat limit tapi belum diproses")</f>
        <v>Dapat limit tapi belum diproses</v>
      </c>
      <c r="D2354" s="40" t="str">
        <f>IFERROR(__xludf.DUMMYFUNCTION("""COMPUTED_VALUE"""),"V60 series")</f>
        <v>V60 series</v>
      </c>
      <c r="E2354" s="40" t="s">
        <v>11397</v>
      </c>
      <c r="F2354" s="40" t="s">
        <v>220</v>
      </c>
      <c r="G2354" s="40" t="s">
        <v>11398</v>
      </c>
      <c r="H2354" s="40" t="s">
        <v>11399</v>
      </c>
    </row>
    <row r="2355">
      <c r="A2355" s="39">
        <f>IFERROR(__xludf.DUMMYFUNCTION("""COMPUTED_VALUE"""),45968.71503546296)</f>
        <v>45968.71504</v>
      </c>
      <c r="B2355" s="40" t="str">
        <f>IFERROR(__xludf.DUMMYFUNCTION("""COMPUTED_VALUE"""),"SELVINCE BAKO")</f>
        <v>SELVINCE BAKO</v>
      </c>
      <c r="C2355" s="40" t="str">
        <f>IFERROR(__xludf.DUMMYFUNCTION("""COMPUTED_VALUE"""),"Belum disetujui")</f>
        <v>Belum disetujui</v>
      </c>
      <c r="D2355" s="40"/>
      <c r="E2355" s="40" t="s">
        <v>11413</v>
      </c>
      <c r="F2355" s="40" t="s">
        <v>204</v>
      </c>
      <c r="G2355" s="40" t="s">
        <v>11414</v>
      </c>
      <c r="H2355" s="40" t="s">
        <v>11399</v>
      </c>
    </row>
    <row r="2356">
      <c r="A2356" s="39">
        <f>IFERROR(__xludf.DUMMYFUNCTION("""COMPUTED_VALUE"""),45968.71663086805)</f>
        <v>45968.71663</v>
      </c>
      <c r="B2356" s="40" t="str">
        <f>IFERROR(__xludf.DUMMYFUNCTION("""COMPUTED_VALUE"""),"SELVINCE BAKO")</f>
        <v>SELVINCE BAKO</v>
      </c>
      <c r="C2356" s="40" t="str">
        <f>IFERROR(__xludf.DUMMYFUNCTION("""COMPUTED_VALUE"""),"Belum disetujui")</f>
        <v>Belum disetujui</v>
      </c>
      <c r="D2356" s="40"/>
      <c r="E2356" s="40" t="s">
        <v>11413</v>
      </c>
      <c r="F2356" s="40" t="s">
        <v>204</v>
      </c>
      <c r="G2356" s="40" t="s">
        <v>11414</v>
      </c>
      <c r="H2356" s="40" t="s">
        <v>11399</v>
      </c>
    </row>
    <row r="2357">
      <c r="A2357" s="39">
        <f>IFERROR(__xludf.DUMMYFUNCTION("""COMPUTED_VALUE"""),45968.740697789355)</f>
        <v>45968.7407</v>
      </c>
      <c r="B2357" s="40" t="str">
        <f>IFERROR(__xludf.DUMMYFUNCTION("""COMPUTED_VALUE"""),"WINDRI MANOE")</f>
        <v>WINDRI MANOE</v>
      </c>
      <c r="C2357" s="40" t="str">
        <f>IFERROR(__xludf.DUMMYFUNCTION("""COMPUTED_VALUE"""),"Belum disetujui")</f>
        <v>Belum disetujui</v>
      </c>
      <c r="D2357" s="40"/>
      <c r="E2357" s="40" t="s">
        <v>11443</v>
      </c>
      <c r="F2357" s="40" t="s">
        <v>220</v>
      </c>
      <c r="G2357" s="40" t="s">
        <v>11444</v>
      </c>
      <c r="H2357" s="40" t="s">
        <v>11399</v>
      </c>
    </row>
    <row r="2358">
      <c r="A2358" s="39">
        <f>IFERROR(__xludf.DUMMYFUNCTION("""COMPUTED_VALUE"""),45968.7428153125)</f>
        <v>45968.74282</v>
      </c>
      <c r="B2358" s="40" t="str">
        <f>IFERROR(__xludf.DUMMYFUNCTION("""COMPUTED_VALUE"""),"NOVLIANA BARBALINA MISA")</f>
        <v>NOVLIANA BARBALINA MISA</v>
      </c>
      <c r="C2358" s="40" t="str">
        <f>IFERROR(__xludf.DUMMYFUNCTION("""COMPUTED_VALUE"""),"ACC")</f>
        <v>ACC</v>
      </c>
      <c r="D2358" s="40" t="str">
        <f>IFERROR(__xludf.DUMMYFUNCTION("""COMPUTED_VALUE"""),"V60 Lite series")</f>
        <v>V60 Lite series</v>
      </c>
      <c r="E2358" s="40" t="s">
        <v>11454</v>
      </c>
      <c r="F2358" s="40" t="s">
        <v>205</v>
      </c>
      <c r="G2358" s="40" t="s">
        <v>11455</v>
      </c>
      <c r="H2358" s="40" t="s">
        <v>11419</v>
      </c>
    </row>
    <row r="2359">
      <c r="A2359" s="39">
        <f>IFERROR(__xludf.DUMMYFUNCTION("""COMPUTED_VALUE"""),45968.74683866898)</f>
        <v>45968.74684</v>
      </c>
      <c r="B2359" s="40" t="str">
        <f>IFERROR(__xludf.DUMMYFUNCTION("""COMPUTED_VALUE"""),"MARNITHA JUWIKE TIMORATI RUNESI")</f>
        <v>MARNITHA JUWIKE TIMORATI RUNESI</v>
      </c>
      <c r="C2359" s="40" t="str">
        <f>IFERROR(__xludf.DUMMYFUNCTION("""COMPUTED_VALUE"""),"Dapat limit tapi belum diproses")</f>
        <v>Dapat limit tapi belum diproses</v>
      </c>
      <c r="D2359" s="40" t="str">
        <f>IFERROR(__xludf.DUMMYFUNCTION("""COMPUTED_VALUE"""),"Y400 series")</f>
        <v>Y400 series</v>
      </c>
      <c r="E2359" s="40" t="s">
        <v>11420</v>
      </c>
      <c r="F2359" s="40" t="s">
        <v>204</v>
      </c>
      <c r="G2359" s="40" t="s">
        <v>11421</v>
      </c>
      <c r="H2359" s="40" t="s">
        <v>11399</v>
      </c>
    </row>
    <row r="2360">
      <c r="A2360" s="39">
        <f>IFERROR(__xludf.DUMMYFUNCTION("""COMPUTED_VALUE"""),45968.75282934029)</f>
        <v>45968.75283</v>
      </c>
      <c r="B2360" s="40" t="str">
        <f>IFERROR(__xludf.DUMMYFUNCTION("""COMPUTED_VALUE"""),"MERDA PUTRI BUNGSU KENAT")</f>
        <v>MERDA PUTRI BUNGSU KENAT</v>
      </c>
      <c r="C2360" s="40" t="str">
        <f>IFERROR(__xludf.DUMMYFUNCTION("""COMPUTED_VALUE"""),"Belum disetujui")</f>
        <v>Belum disetujui</v>
      </c>
      <c r="D2360" s="40"/>
      <c r="E2360" s="40" t="s">
        <v>11422</v>
      </c>
      <c r="F2360" s="40" t="s">
        <v>215</v>
      </c>
      <c r="G2360" s="40" t="s">
        <v>11423</v>
      </c>
      <c r="H2360" s="40" t="s">
        <v>11424</v>
      </c>
    </row>
    <row r="2361">
      <c r="A2361" s="39">
        <f>IFERROR(__xludf.DUMMYFUNCTION("""COMPUTED_VALUE"""),45968.763238506945)</f>
        <v>45968.76324</v>
      </c>
      <c r="B2361" s="40" t="str">
        <f>IFERROR(__xludf.DUMMYFUNCTION("""COMPUTED_VALUE"""),"YASINTHA MBU")</f>
        <v>YASINTHA MBU</v>
      </c>
      <c r="C2361" s="40" t="str">
        <f>IFERROR(__xludf.DUMMYFUNCTION("""COMPUTED_VALUE"""),"Dapat limit tapi belum diproses")</f>
        <v>Dapat limit tapi belum diproses</v>
      </c>
      <c r="D2361" s="40" t="str">
        <f>IFERROR(__xludf.DUMMYFUNCTION("""COMPUTED_VALUE"""),"V60 Lite series")</f>
        <v>V60 Lite series</v>
      </c>
      <c r="E2361" s="40" t="s">
        <v>11407</v>
      </c>
      <c r="F2361" s="40" t="s">
        <v>220</v>
      </c>
      <c r="G2361" s="40" t="s">
        <v>11408</v>
      </c>
      <c r="H2361" s="40" t="s">
        <v>11399</v>
      </c>
    </row>
    <row r="2362">
      <c r="A2362" s="39">
        <f>IFERROR(__xludf.DUMMYFUNCTION("""COMPUTED_VALUE"""),45968.80887390047)</f>
        <v>45968.80887</v>
      </c>
      <c r="B2362" s="40" t="str">
        <f>IFERROR(__xludf.DUMMYFUNCTION("""COMPUTED_VALUE"""),"GRACELLA SARI HIVANA MANAFE")</f>
        <v>GRACELLA SARI HIVANA MANAFE</v>
      </c>
      <c r="C2362" s="40" t="str">
        <f>IFERROR(__xludf.DUMMYFUNCTION("""COMPUTED_VALUE"""),"Belum disetujui")</f>
        <v>Belum disetujui</v>
      </c>
      <c r="D2362" s="40"/>
      <c r="E2362" s="40" t="s">
        <v>11478</v>
      </c>
      <c r="F2362" s="40" t="s">
        <v>220</v>
      </c>
      <c r="G2362" s="40" t="s">
        <v>11479</v>
      </c>
      <c r="H2362" s="40" t="s">
        <v>11399</v>
      </c>
    </row>
    <row r="2363">
      <c r="A2363" s="39">
        <f>IFERROR(__xludf.DUMMYFUNCTION("""COMPUTED_VALUE"""),45968.84591118056)</f>
        <v>45968.84591</v>
      </c>
      <c r="B2363" s="40" t="str">
        <f>IFERROR(__xludf.DUMMYFUNCTION("""COMPUTED_VALUE"""),"ESTER LUDJI")</f>
        <v>ESTER LUDJI</v>
      </c>
      <c r="C2363" s="40" t="str">
        <f>IFERROR(__xludf.DUMMYFUNCTION("""COMPUTED_VALUE"""),"Belum disetujui")</f>
        <v>Belum disetujui</v>
      </c>
      <c r="D2363" s="40"/>
      <c r="E2363" s="40" t="s">
        <v>11441</v>
      </c>
      <c r="F2363" s="40" t="s">
        <v>205</v>
      </c>
      <c r="G2363" s="40" t="s">
        <v>11442</v>
      </c>
      <c r="H2363" s="40" t="s">
        <v>11419</v>
      </c>
    </row>
    <row r="2364">
      <c r="A2364" s="39">
        <f>IFERROR(__xludf.DUMMYFUNCTION("""COMPUTED_VALUE"""),45968.85016729167)</f>
        <v>45968.85017</v>
      </c>
      <c r="B2364" s="40" t="str">
        <f>IFERROR(__xludf.DUMMYFUNCTION("""COMPUTED_VALUE"""),"YOVANDA KATRINA NAE")</f>
        <v>YOVANDA KATRINA NAE</v>
      </c>
      <c r="C2364" s="40" t="str">
        <f>IFERROR(__xludf.DUMMYFUNCTION("""COMPUTED_VALUE"""),"ACC")</f>
        <v>ACC</v>
      </c>
      <c r="D2364" s="40" t="str">
        <f>IFERROR(__xludf.DUMMYFUNCTION("""COMPUTED_VALUE"""),"Y400 series")</f>
        <v>Y400 series</v>
      </c>
      <c r="E2364" s="40" t="s">
        <v>11425</v>
      </c>
      <c r="F2364" s="40" t="s">
        <v>205</v>
      </c>
      <c r="G2364" s="40" t="s">
        <v>11426</v>
      </c>
      <c r="H2364" s="40" t="s">
        <v>11419</v>
      </c>
    </row>
    <row r="2365">
      <c r="A2365" s="39">
        <f>IFERROR(__xludf.DUMMYFUNCTION("""COMPUTED_VALUE"""),45968.87044199074)</f>
        <v>45968.87044</v>
      </c>
      <c r="B2365" s="40" t="str">
        <f>IFERROR(__xludf.DUMMYFUNCTION("""COMPUTED_VALUE"""),"DEWI RAHMAN")</f>
        <v>DEWI RAHMAN</v>
      </c>
      <c r="C2365" s="40" t="str">
        <f>IFERROR(__xludf.DUMMYFUNCTION("""COMPUTED_VALUE"""),"Belum disetujui")</f>
        <v>Belum disetujui</v>
      </c>
      <c r="D2365" s="40"/>
      <c r="E2365" s="40" t="s">
        <v>11449</v>
      </c>
      <c r="F2365" s="40" t="s">
        <v>11450</v>
      </c>
      <c r="G2365" s="40" t="s">
        <v>11451</v>
      </c>
      <c r="H2365" s="40" t="s">
        <v>11424</v>
      </c>
    </row>
    <row r="2366">
      <c r="A2366" s="39">
        <f>IFERROR(__xludf.DUMMYFUNCTION("""COMPUTED_VALUE"""),45968.87657905093)</f>
        <v>45968.87658</v>
      </c>
      <c r="B2366" s="40" t="str">
        <f>IFERROR(__xludf.DUMMYFUNCTION("""COMPUTED_VALUE"""),"EMPI FRANGKI LIEM")</f>
        <v>EMPI FRANGKI LIEM</v>
      </c>
      <c r="C2366" s="40" t="str">
        <f>IFERROR(__xludf.DUMMYFUNCTION("""COMPUTED_VALUE"""),"Dapat limit tapi belum diproses")</f>
        <v>Dapat limit tapi belum diproses</v>
      </c>
      <c r="D2366" s="40" t="str">
        <f>IFERROR(__xludf.DUMMYFUNCTION("""COMPUTED_VALUE"""),"Y21d series")</f>
        <v>Y21d series</v>
      </c>
      <c r="E2366" s="40" t="s">
        <v>11397</v>
      </c>
      <c r="F2366" s="40" t="s">
        <v>220</v>
      </c>
      <c r="G2366" s="40" t="s">
        <v>11398</v>
      </c>
      <c r="H2366" s="40" t="s">
        <v>11399</v>
      </c>
    </row>
    <row r="2367">
      <c r="A2367" s="39">
        <f>IFERROR(__xludf.DUMMYFUNCTION("""COMPUTED_VALUE"""),45969.321343275464)</f>
        <v>45969.32134</v>
      </c>
      <c r="B2367" s="40" t="str">
        <f>IFERROR(__xludf.DUMMYFUNCTION("""COMPUTED_VALUE"""),"WINDRI MANOE")</f>
        <v>WINDRI MANOE</v>
      </c>
      <c r="C2367" s="40" t="str">
        <f>IFERROR(__xludf.DUMMYFUNCTION("""COMPUTED_VALUE"""),"Belum disetujui")</f>
        <v>Belum disetujui</v>
      </c>
      <c r="D2367" s="40"/>
      <c r="E2367" s="40" t="s">
        <v>11443</v>
      </c>
      <c r="F2367" s="40" t="s">
        <v>220</v>
      </c>
      <c r="G2367" s="40" t="s">
        <v>11444</v>
      </c>
      <c r="H2367" s="40" t="s">
        <v>11399</v>
      </c>
    </row>
    <row r="2368">
      <c r="A2368" s="39">
        <f>IFERROR(__xludf.DUMMYFUNCTION("""COMPUTED_VALUE"""),45969.33166236112)</f>
        <v>45969.33166</v>
      </c>
      <c r="B2368" s="40" t="str">
        <f>IFERROR(__xludf.DUMMYFUNCTION("""COMPUTED_VALUE"""),"WINDRI MANOE")</f>
        <v>WINDRI MANOE</v>
      </c>
      <c r="C2368" s="40" t="str">
        <f>IFERROR(__xludf.DUMMYFUNCTION("""COMPUTED_VALUE"""),"Belum disetujui")</f>
        <v>Belum disetujui</v>
      </c>
      <c r="D2368" s="40"/>
      <c r="E2368" s="40" t="s">
        <v>11443</v>
      </c>
      <c r="F2368" s="40" t="s">
        <v>220</v>
      </c>
      <c r="G2368" s="40" t="s">
        <v>11444</v>
      </c>
      <c r="H2368" s="40" t="s">
        <v>11399</v>
      </c>
    </row>
    <row r="2369">
      <c r="A2369" s="39">
        <f>IFERROR(__xludf.DUMMYFUNCTION("""COMPUTED_VALUE"""),45969.41040320602)</f>
        <v>45969.4104</v>
      </c>
      <c r="B2369" s="40" t="str">
        <f>IFERROR(__xludf.DUMMYFUNCTION("""COMPUTED_VALUE"""),"ARMINDA TEKU MANEK")</f>
        <v>ARMINDA TEKU MANEK</v>
      </c>
      <c r="C2369" s="40" t="str">
        <f>IFERROR(__xludf.DUMMYFUNCTION("""COMPUTED_VALUE"""),"Belum disetujui")</f>
        <v>Belum disetujui</v>
      </c>
      <c r="D2369" s="40"/>
      <c r="E2369" s="40" t="s">
        <v>11474</v>
      </c>
      <c r="F2369" s="40" t="s">
        <v>313</v>
      </c>
      <c r="G2369" s="40" t="s">
        <v>11475</v>
      </c>
      <c r="H2369" s="40" t="s">
        <v>11424</v>
      </c>
    </row>
    <row r="2370">
      <c r="A2370" s="39">
        <f>IFERROR(__xludf.DUMMYFUNCTION("""COMPUTED_VALUE"""),45969.411446076396)</f>
        <v>45969.41145</v>
      </c>
      <c r="B2370" s="40" t="str">
        <f>IFERROR(__xludf.DUMMYFUNCTION("""COMPUTED_VALUE"""),"ARMINDA TEKU MANEK")</f>
        <v>ARMINDA TEKU MANEK</v>
      </c>
      <c r="C2370" s="40" t="str">
        <f>IFERROR(__xludf.DUMMYFUNCTION("""COMPUTED_VALUE"""),"Belum disetujui")</f>
        <v>Belum disetujui</v>
      </c>
      <c r="D2370" s="40"/>
      <c r="E2370" s="40" t="s">
        <v>11474</v>
      </c>
      <c r="F2370" s="40" t="s">
        <v>313</v>
      </c>
      <c r="G2370" s="40" t="s">
        <v>11475</v>
      </c>
      <c r="H2370" s="40" t="s">
        <v>11424</v>
      </c>
    </row>
    <row r="2371">
      <c r="A2371" s="39">
        <f>IFERROR(__xludf.DUMMYFUNCTION("""COMPUTED_VALUE"""),45969.415740833334)</f>
        <v>45969.41574</v>
      </c>
      <c r="B2371" s="40" t="str">
        <f>IFERROR(__xludf.DUMMYFUNCTION("""COMPUTED_VALUE"""),"ANNA RAHMATIA JUFRI")</f>
        <v>ANNA RAHMATIA JUFRI</v>
      </c>
      <c r="C2371" s="40" t="str">
        <f>IFERROR(__xludf.DUMMYFUNCTION("""COMPUTED_VALUE"""),"Belum disetujui")</f>
        <v>Belum disetujui</v>
      </c>
      <c r="D2371" s="40"/>
      <c r="E2371" s="40" t="s">
        <v>11484</v>
      </c>
      <c r="F2371" s="40" t="s">
        <v>11450</v>
      </c>
      <c r="G2371" s="40" t="s">
        <v>11485</v>
      </c>
      <c r="H2371" s="40" t="s">
        <v>11424</v>
      </c>
    </row>
    <row r="2372">
      <c r="A2372" s="39">
        <f>IFERROR(__xludf.DUMMYFUNCTION("""COMPUTED_VALUE"""),45969.42978888889)</f>
        <v>45969.42979</v>
      </c>
      <c r="B2372" s="40" t="str">
        <f>IFERROR(__xludf.DUMMYFUNCTION("""COMPUTED_VALUE"""),"ASRI NINGSI RAMBU ATA ENDI")</f>
        <v>ASRI NINGSI RAMBU ATA ENDI</v>
      </c>
      <c r="C2372" s="40" t="str">
        <f>IFERROR(__xludf.DUMMYFUNCTION("""COMPUTED_VALUE"""),"Belum disetujui")</f>
        <v>Belum disetujui</v>
      </c>
      <c r="D2372" s="40"/>
      <c r="E2372" s="40" t="s">
        <v>11441</v>
      </c>
      <c r="F2372" s="40" t="s">
        <v>205</v>
      </c>
      <c r="G2372" s="40" t="s">
        <v>11442</v>
      </c>
      <c r="H2372" s="40" t="s">
        <v>11419</v>
      </c>
    </row>
    <row r="2373">
      <c r="A2373" s="39">
        <f>IFERROR(__xludf.DUMMYFUNCTION("""COMPUTED_VALUE"""),45969.44752231482)</f>
        <v>45969.44752</v>
      </c>
      <c r="B2373" s="40" t="str">
        <f>IFERROR(__xludf.DUMMYFUNCTION("""COMPUTED_VALUE"""),"DWITNEY PRETY WANGGANDIMA")</f>
        <v>DWITNEY PRETY WANGGANDIMA</v>
      </c>
      <c r="C2373" s="40" t="str">
        <f>IFERROR(__xludf.DUMMYFUNCTION("""COMPUTED_VALUE"""),"ACC")</f>
        <v>ACC</v>
      </c>
      <c r="D2373" s="40" t="str">
        <f>IFERROR(__xludf.DUMMYFUNCTION("""COMPUTED_VALUE"""),"Y21d series")</f>
        <v>Y21d series</v>
      </c>
      <c r="E2373" s="40" t="s">
        <v>11443</v>
      </c>
      <c r="F2373" s="40" t="s">
        <v>220</v>
      </c>
      <c r="G2373" s="40" t="s">
        <v>11444</v>
      </c>
      <c r="H2373" s="40" t="s">
        <v>11399</v>
      </c>
    </row>
    <row r="2374">
      <c r="A2374" s="39">
        <f>IFERROR(__xludf.DUMMYFUNCTION("""COMPUTED_VALUE"""),45969.47512432871)</f>
        <v>45969.47512</v>
      </c>
      <c r="B2374" s="40" t="str">
        <f>IFERROR(__xludf.DUMMYFUNCTION("""COMPUTED_VALUE"""),"YASINTHA MBU")</f>
        <v>YASINTHA MBU</v>
      </c>
      <c r="C2374" s="40" t="str">
        <f>IFERROR(__xludf.DUMMYFUNCTION("""COMPUTED_VALUE"""),"Belum disetujui")</f>
        <v>Belum disetujui</v>
      </c>
      <c r="D2374" s="40"/>
      <c r="E2374" s="40" t="s">
        <v>11407</v>
      </c>
      <c r="F2374" s="40" t="s">
        <v>220</v>
      </c>
      <c r="G2374" s="40" t="s">
        <v>11408</v>
      </c>
      <c r="H2374" s="40" t="s">
        <v>11399</v>
      </c>
    </row>
    <row r="2375">
      <c r="A2375" s="39">
        <f>IFERROR(__xludf.DUMMYFUNCTION("""COMPUTED_VALUE"""),45969.48393815972)</f>
        <v>45969.48394</v>
      </c>
      <c r="B2375" s="40" t="str">
        <f>IFERROR(__xludf.DUMMYFUNCTION("""COMPUTED_VALUE"""),"ANNA RAHMATIA JUFRI")</f>
        <v>ANNA RAHMATIA JUFRI</v>
      </c>
      <c r="C2375" s="40" t="str">
        <f>IFERROR(__xludf.DUMMYFUNCTION("""COMPUTED_VALUE"""),"Belum disetujui")</f>
        <v>Belum disetujui</v>
      </c>
      <c r="D2375" s="40"/>
      <c r="E2375" s="40" t="s">
        <v>11484</v>
      </c>
      <c r="F2375" s="40" t="s">
        <v>11450</v>
      </c>
      <c r="G2375" s="40" t="s">
        <v>11485</v>
      </c>
      <c r="H2375" s="40" t="s">
        <v>11424</v>
      </c>
    </row>
    <row r="2376">
      <c r="A2376" s="39">
        <f>IFERROR(__xludf.DUMMYFUNCTION("""COMPUTED_VALUE"""),45969.49711951389)</f>
        <v>45969.49712</v>
      </c>
      <c r="B2376" s="40" t="str">
        <f>IFERROR(__xludf.DUMMYFUNCTION("""COMPUTED_VALUE"""),"SULIS NURAINI INSYATUN")</f>
        <v>SULIS NURAINI INSYATUN</v>
      </c>
      <c r="C2376" s="40" t="str">
        <f>IFERROR(__xludf.DUMMYFUNCTION("""COMPUTED_VALUE"""),"Dapat limit tapi belum diproses")</f>
        <v>Dapat limit tapi belum diproses</v>
      </c>
      <c r="D2376" s="40" t="str">
        <f>IFERROR(__xludf.DUMMYFUNCTION("""COMPUTED_VALUE"""),"V60 series")</f>
        <v>V60 series</v>
      </c>
      <c r="E2376" s="40" t="s">
        <v>11429</v>
      </c>
      <c r="F2376" s="40" t="s">
        <v>257</v>
      </c>
      <c r="G2376" s="40" t="s">
        <v>11430</v>
      </c>
      <c r="H2376" s="40" t="s">
        <v>11419</v>
      </c>
    </row>
    <row r="2377">
      <c r="A2377" s="39">
        <f>IFERROR(__xludf.DUMMYFUNCTION("""COMPUTED_VALUE"""),45969.49811020833)</f>
        <v>45969.49811</v>
      </c>
      <c r="B2377" s="40" t="str">
        <f>IFERROR(__xludf.DUMMYFUNCTION("""COMPUTED_VALUE"""),"MARNITHA JUWIKE TIMORATI RUNESI")</f>
        <v>MARNITHA JUWIKE TIMORATI RUNESI</v>
      </c>
      <c r="C2377" s="40" t="str">
        <f>IFERROR(__xludf.DUMMYFUNCTION("""COMPUTED_VALUE"""),"Belum disetujui")</f>
        <v>Belum disetujui</v>
      </c>
      <c r="D2377" s="40"/>
      <c r="E2377" s="40" t="s">
        <v>11420</v>
      </c>
      <c r="F2377" s="40" t="s">
        <v>204</v>
      </c>
      <c r="G2377" s="40" t="s">
        <v>11421</v>
      </c>
      <c r="H2377" s="40" t="s">
        <v>11399</v>
      </c>
    </row>
    <row r="2378">
      <c r="A2378" s="39">
        <f>IFERROR(__xludf.DUMMYFUNCTION("""COMPUTED_VALUE"""),45969.5036771875)</f>
        <v>45969.50368</v>
      </c>
      <c r="B2378" s="40" t="str">
        <f>IFERROR(__xludf.DUMMYFUNCTION("""COMPUTED_VALUE"""),"AMBU BAIQ JUMENAH")</f>
        <v>AMBU BAIQ JUMENAH</v>
      </c>
      <c r="C2378" s="40" t="str">
        <f>IFERROR(__xludf.DUMMYFUNCTION("""COMPUTED_VALUE"""),"ACC")</f>
        <v>ACC</v>
      </c>
      <c r="D2378" s="40" t="str">
        <f>IFERROR(__xludf.DUMMYFUNCTION("""COMPUTED_VALUE"""),"Y400 series")</f>
        <v>Y400 series</v>
      </c>
      <c r="E2378" s="40" t="s">
        <v>11458</v>
      </c>
      <c r="F2378" s="40" t="s">
        <v>205</v>
      </c>
      <c r="G2378" s="40" t="s">
        <v>11459</v>
      </c>
      <c r="H2378" s="40" t="s">
        <v>11419</v>
      </c>
    </row>
    <row r="2379">
      <c r="A2379" s="39">
        <f>IFERROR(__xludf.DUMMYFUNCTION("""COMPUTED_VALUE"""),45969.505703194445)</f>
        <v>45969.5057</v>
      </c>
      <c r="B2379" s="40" t="str">
        <f>IFERROR(__xludf.DUMMYFUNCTION("""COMPUTED_VALUE"""),"HERONIMUS NAMU WALI")</f>
        <v>HERONIMUS NAMU WALI</v>
      </c>
      <c r="C2379" s="40" t="str">
        <f>IFERROR(__xludf.DUMMYFUNCTION("""COMPUTED_VALUE"""),"Belum disetujui")</f>
        <v>Belum disetujui</v>
      </c>
      <c r="D2379" s="40"/>
      <c r="E2379" s="40" t="s">
        <v>11452</v>
      </c>
      <c r="F2379" s="40" t="s">
        <v>205</v>
      </c>
      <c r="G2379" s="40" t="s">
        <v>11453</v>
      </c>
      <c r="H2379" s="40" t="s">
        <v>11419</v>
      </c>
    </row>
    <row r="2380">
      <c r="A2380" s="39">
        <f>IFERROR(__xludf.DUMMYFUNCTION("""COMPUTED_VALUE"""),45969.51162547453)</f>
        <v>45969.51163</v>
      </c>
      <c r="B2380" s="40" t="str">
        <f>IFERROR(__xludf.DUMMYFUNCTION("""COMPUTED_VALUE"""),"ASRI NINGSI RAMBU ATA ENDI")</f>
        <v>ASRI NINGSI RAMBU ATA ENDI</v>
      </c>
      <c r="C2380" s="40" t="str">
        <f>IFERROR(__xludf.DUMMYFUNCTION("""COMPUTED_VALUE"""),"Belum disetujui")</f>
        <v>Belum disetujui</v>
      </c>
      <c r="D2380" s="40"/>
      <c r="E2380" s="40" t="s">
        <v>11441</v>
      </c>
      <c r="F2380" s="40" t="s">
        <v>205</v>
      </c>
      <c r="G2380" s="40" t="s">
        <v>11442</v>
      </c>
      <c r="H2380" s="40" t="s">
        <v>11419</v>
      </c>
    </row>
    <row r="2381">
      <c r="A2381" s="39">
        <f>IFERROR(__xludf.DUMMYFUNCTION("""COMPUTED_VALUE"""),45969.51467119213)</f>
        <v>45969.51467</v>
      </c>
      <c r="B2381" s="40" t="str">
        <f>IFERROR(__xludf.DUMMYFUNCTION("""COMPUTED_VALUE"""),"PUSPA ANGGREINI")</f>
        <v>PUSPA ANGGREINI</v>
      </c>
      <c r="C2381" s="40" t="str">
        <f>IFERROR(__xludf.DUMMYFUNCTION("""COMPUTED_VALUE"""),"Belum disetujui")</f>
        <v>Belum disetujui</v>
      </c>
      <c r="D2381" s="40"/>
      <c r="E2381" s="40" t="s">
        <v>11427</v>
      </c>
      <c r="F2381" s="40" t="s">
        <v>257</v>
      </c>
      <c r="G2381" s="40" t="s">
        <v>11428</v>
      </c>
      <c r="H2381" s="40" t="s">
        <v>11419</v>
      </c>
    </row>
    <row r="2382">
      <c r="A2382" s="39">
        <f>IFERROR(__xludf.DUMMYFUNCTION("""COMPUTED_VALUE"""),45969.553549525466)</f>
        <v>45969.55355</v>
      </c>
      <c r="B2382" s="40" t="str">
        <f>IFERROR(__xludf.DUMMYFUNCTION("""COMPUTED_VALUE"""),"SANTI MARIA LUKMINI NAHAK")</f>
        <v>SANTI MARIA LUKMINI NAHAK</v>
      </c>
      <c r="C2382" s="40" t="str">
        <f>IFERROR(__xludf.DUMMYFUNCTION("""COMPUTED_VALUE"""),"Belum disetujui")</f>
        <v>Belum disetujui</v>
      </c>
      <c r="D2382" s="40"/>
      <c r="E2382" s="40" t="s">
        <v>11460</v>
      </c>
      <c r="F2382" s="40" t="s">
        <v>871</v>
      </c>
      <c r="G2382" s="40" t="s">
        <v>11461</v>
      </c>
      <c r="H2382" s="40" t="s">
        <v>11424</v>
      </c>
    </row>
    <row r="2383">
      <c r="A2383" s="39">
        <f>IFERROR(__xludf.DUMMYFUNCTION("""COMPUTED_VALUE"""),45969.56587518519)</f>
        <v>45969.56588</v>
      </c>
      <c r="B2383" s="40" t="str">
        <f>IFERROR(__xludf.DUMMYFUNCTION("""COMPUTED_VALUE"""),"NOVLIANA BARBALINA MISA")</f>
        <v>NOVLIANA BARBALINA MISA</v>
      </c>
      <c r="C2383" s="40" t="str">
        <f>IFERROR(__xludf.DUMMYFUNCTION("""COMPUTED_VALUE"""),"Dapat limit tapi belum diproses")</f>
        <v>Dapat limit tapi belum diproses</v>
      </c>
      <c r="D2383" s="40" t="str">
        <f>IFERROR(__xludf.DUMMYFUNCTION("""COMPUTED_VALUE"""),"Y21d series")</f>
        <v>Y21d series</v>
      </c>
      <c r="E2383" s="40" t="s">
        <v>11454</v>
      </c>
      <c r="F2383" s="40" t="s">
        <v>205</v>
      </c>
      <c r="G2383" s="40" t="s">
        <v>11455</v>
      </c>
      <c r="H2383" s="40" t="s">
        <v>11419</v>
      </c>
    </row>
    <row r="2384">
      <c r="A2384" s="39">
        <f>IFERROR(__xludf.DUMMYFUNCTION("""COMPUTED_VALUE"""),45969.585054375006)</f>
        <v>45969.58505</v>
      </c>
      <c r="B2384" s="40" t="str">
        <f>IFERROR(__xludf.DUMMYFUNCTION("""COMPUTED_VALUE"""),"MARIA MELAN ANANCE BILI")</f>
        <v>MARIA MELAN ANANCE BILI</v>
      </c>
      <c r="C2384" s="40" t="str">
        <f>IFERROR(__xludf.DUMMYFUNCTION("""COMPUTED_VALUE"""),"Belum disetujui")</f>
        <v>Belum disetujui</v>
      </c>
      <c r="D2384" s="40"/>
      <c r="E2384" s="40" t="s">
        <v>11466</v>
      </c>
      <c r="F2384" s="40" t="s">
        <v>257</v>
      </c>
      <c r="G2384" s="40" t="s">
        <v>11467</v>
      </c>
      <c r="H2384" s="40" t="s">
        <v>11419</v>
      </c>
    </row>
    <row r="2385">
      <c r="A2385" s="39">
        <f>IFERROR(__xludf.DUMMYFUNCTION("""COMPUTED_VALUE"""),45969.5936874074)</f>
        <v>45969.59369</v>
      </c>
      <c r="B2385" s="40" t="str">
        <f>IFERROR(__xludf.DUMMYFUNCTION("""COMPUTED_VALUE"""),"YANA DANGU")</f>
        <v>YANA DANGU</v>
      </c>
      <c r="C2385" s="40" t="str">
        <f>IFERROR(__xludf.DUMMYFUNCTION("""COMPUTED_VALUE"""),"Belum disetujui")</f>
        <v>Belum disetujui</v>
      </c>
      <c r="D2385" s="40"/>
      <c r="E2385" s="40" t="s">
        <v>11397</v>
      </c>
      <c r="F2385" s="40" t="s">
        <v>220</v>
      </c>
      <c r="G2385" s="40" t="s">
        <v>11398</v>
      </c>
      <c r="H2385" s="40" t="s">
        <v>11399</v>
      </c>
    </row>
    <row r="2386">
      <c r="A2386" s="39">
        <f>IFERROR(__xludf.DUMMYFUNCTION("""COMPUTED_VALUE"""),45969.59409028935)</f>
        <v>45969.59409</v>
      </c>
      <c r="B2386" s="40" t="str">
        <f>IFERROR(__xludf.DUMMYFUNCTION("""COMPUTED_VALUE"""),"SANTI MARIA LUKMINI NAHAK")</f>
        <v>SANTI MARIA LUKMINI NAHAK</v>
      </c>
      <c r="C2386" s="40" t="str">
        <f>IFERROR(__xludf.DUMMYFUNCTION("""COMPUTED_VALUE"""),"Dapat limit tapi belum diproses")</f>
        <v>Dapat limit tapi belum diproses</v>
      </c>
      <c r="D2386" s="40" t="str">
        <f>IFERROR(__xludf.DUMMYFUNCTION("""COMPUTED_VALUE"""),"Y21d series")</f>
        <v>Y21d series</v>
      </c>
      <c r="E2386" s="40" t="s">
        <v>11460</v>
      </c>
      <c r="F2386" s="40" t="s">
        <v>871</v>
      </c>
      <c r="G2386" s="40" t="s">
        <v>11461</v>
      </c>
      <c r="H2386" s="40" t="s">
        <v>11424</v>
      </c>
    </row>
    <row r="2387">
      <c r="A2387" s="39">
        <f>IFERROR(__xludf.DUMMYFUNCTION("""COMPUTED_VALUE"""),45969.59672586806)</f>
        <v>45969.59673</v>
      </c>
      <c r="B2387" s="40" t="str">
        <f>IFERROR(__xludf.DUMMYFUNCTION("""COMPUTED_VALUE"""),"ASTUTI BELA WAWO")</f>
        <v>ASTUTI BELA WAWO</v>
      </c>
      <c r="C2387" s="40" t="str">
        <f>IFERROR(__xludf.DUMMYFUNCTION("""COMPUTED_VALUE"""),"ACC")</f>
        <v>ACC</v>
      </c>
      <c r="D2387" s="40" t="str">
        <f>IFERROR(__xludf.DUMMYFUNCTION("""COMPUTED_VALUE"""),"Y21d series")</f>
        <v>Y21d series</v>
      </c>
      <c r="E2387" s="40" t="s">
        <v>11427</v>
      </c>
      <c r="F2387" s="40" t="s">
        <v>257</v>
      </c>
      <c r="G2387" s="40" t="s">
        <v>11428</v>
      </c>
      <c r="H2387" s="40" t="s">
        <v>11419</v>
      </c>
    </row>
    <row r="2388">
      <c r="A2388" s="39">
        <f>IFERROR(__xludf.DUMMYFUNCTION("""COMPUTED_VALUE"""),45969.59856422453)</f>
        <v>45969.59856</v>
      </c>
      <c r="B2388" s="40" t="str">
        <f>IFERROR(__xludf.DUMMYFUNCTION("""COMPUTED_VALUE"""),"YOMELIANA MARIA MAGNO")</f>
        <v>YOMELIANA MARIA MAGNO</v>
      </c>
      <c r="C2388" s="40" t="str">
        <f>IFERROR(__xludf.DUMMYFUNCTION("""COMPUTED_VALUE"""),"Belum disetujui")</f>
        <v>Belum disetujui</v>
      </c>
      <c r="D2388" s="40"/>
      <c r="E2388" s="40" t="s">
        <v>11460</v>
      </c>
      <c r="F2388" s="40" t="s">
        <v>871</v>
      </c>
      <c r="G2388" s="40" t="s">
        <v>11461</v>
      </c>
      <c r="H2388" s="40" t="s">
        <v>11424</v>
      </c>
    </row>
    <row r="2389">
      <c r="A2389" s="39">
        <f>IFERROR(__xludf.DUMMYFUNCTION("""COMPUTED_VALUE"""),45969.60175969907)</f>
        <v>45969.60176</v>
      </c>
      <c r="B2389" s="40" t="str">
        <f>IFERROR(__xludf.DUMMYFUNCTION("""COMPUTED_VALUE"""),"SANTI MARIA LUKMINI NAHAK")</f>
        <v>SANTI MARIA LUKMINI NAHAK</v>
      </c>
      <c r="C2389" s="40" t="str">
        <f>IFERROR(__xludf.DUMMYFUNCTION("""COMPUTED_VALUE"""),"Belum disetujui")</f>
        <v>Belum disetujui</v>
      </c>
      <c r="D2389" s="40"/>
      <c r="E2389" s="40" t="s">
        <v>11460</v>
      </c>
      <c r="F2389" s="40" t="s">
        <v>871</v>
      </c>
      <c r="G2389" s="40" t="s">
        <v>11461</v>
      </c>
      <c r="H2389" s="40" t="s">
        <v>11424</v>
      </c>
    </row>
    <row r="2390">
      <c r="A2390" s="39">
        <f>IFERROR(__xludf.DUMMYFUNCTION("""COMPUTED_VALUE"""),45969.63403851852)</f>
        <v>45969.63404</v>
      </c>
      <c r="B2390" s="40" t="str">
        <f>IFERROR(__xludf.DUMMYFUNCTION("""COMPUTED_VALUE"""),"ASTUTI BELA WAWO")</f>
        <v>ASTUTI BELA WAWO</v>
      </c>
      <c r="C2390" s="40" t="str">
        <f>IFERROR(__xludf.DUMMYFUNCTION("""COMPUTED_VALUE"""),"Belum disetujui")</f>
        <v>Belum disetujui</v>
      </c>
      <c r="D2390" s="40"/>
      <c r="E2390" s="40" t="s">
        <v>11427</v>
      </c>
      <c r="F2390" s="40" t="s">
        <v>257</v>
      </c>
      <c r="G2390" s="40" t="s">
        <v>11428</v>
      </c>
      <c r="H2390" s="40" t="s">
        <v>11419</v>
      </c>
    </row>
    <row r="2391">
      <c r="A2391" s="39">
        <f>IFERROR(__xludf.DUMMYFUNCTION("""COMPUTED_VALUE"""),45969.65483388888)</f>
        <v>45969.65483</v>
      </c>
      <c r="B2391" s="40" t="str">
        <f>IFERROR(__xludf.DUMMYFUNCTION("""COMPUTED_VALUE"""),"PRETI SISILIA SILA")</f>
        <v>PRETI SISILIA SILA</v>
      </c>
      <c r="C2391" s="40" t="str">
        <f>IFERROR(__xludf.DUMMYFUNCTION("""COMPUTED_VALUE"""),"Belum disetujui")</f>
        <v>Belum disetujui</v>
      </c>
      <c r="D2391" s="40"/>
      <c r="E2391" s="40" t="s">
        <v>11456</v>
      </c>
      <c r="F2391" s="40" t="s">
        <v>667</v>
      </c>
      <c r="G2391" s="40" t="s">
        <v>11457</v>
      </c>
      <c r="H2391" s="40" t="s">
        <v>11424</v>
      </c>
    </row>
    <row r="2392">
      <c r="A2392" s="39">
        <f>IFERROR(__xludf.DUMMYFUNCTION("""COMPUTED_VALUE"""),45969.67121104167)</f>
        <v>45969.67121</v>
      </c>
      <c r="B2392" s="40" t="str">
        <f>IFERROR(__xludf.DUMMYFUNCTION("""COMPUTED_VALUE"""),"YUNITA TAMELAB")</f>
        <v>YUNITA TAMELAB</v>
      </c>
      <c r="C2392" s="40" t="str">
        <f>IFERROR(__xludf.DUMMYFUNCTION("""COMPUTED_VALUE"""),"Dapat limit tapi belum diproses")</f>
        <v>Dapat limit tapi belum diproses</v>
      </c>
      <c r="D2392" s="40" t="str">
        <f>IFERROR(__xludf.DUMMYFUNCTION("""COMPUTED_VALUE"""),"Y21d series")</f>
        <v>Y21d series</v>
      </c>
      <c r="E2392" s="40" t="s">
        <v>11472</v>
      </c>
      <c r="F2392" s="40" t="s">
        <v>667</v>
      </c>
      <c r="G2392" s="40" t="s">
        <v>11473</v>
      </c>
      <c r="H2392" s="40" t="s">
        <v>11424</v>
      </c>
    </row>
    <row r="2393">
      <c r="A2393" s="39">
        <f>IFERROR(__xludf.DUMMYFUNCTION("""COMPUTED_VALUE"""),45969.721215150465)</f>
        <v>45969.72122</v>
      </c>
      <c r="B2393" s="40" t="str">
        <f>IFERROR(__xludf.DUMMYFUNCTION("""COMPUTED_VALUE"""),"MERDA PUTRI BUNGSU KENAT")</f>
        <v>MERDA PUTRI BUNGSU KENAT</v>
      </c>
      <c r="C2393" s="40" t="str">
        <f>IFERROR(__xludf.DUMMYFUNCTION("""COMPUTED_VALUE"""),"Belum disetujui")</f>
        <v>Belum disetujui</v>
      </c>
      <c r="D2393" s="40"/>
      <c r="E2393" s="40" t="s">
        <v>11422</v>
      </c>
      <c r="F2393" s="40" t="s">
        <v>215</v>
      </c>
      <c r="G2393" s="40" t="s">
        <v>11423</v>
      </c>
      <c r="H2393" s="40" t="s">
        <v>11424</v>
      </c>
    </row>
    <row r="2394">
      <c r="A2394" s="39">
        <f>IFERROR(__xludf.DUMMYFUNCTION("""COMPUTED_VALUE"""),45969.73633435185)</f>
        <v>45969.73633</v>
      </c>
      <c r="B2394" s="40" t="str">
        <f>IFERROR(__xludf.DUMMYFUNCTION("""COMPUTED_VALUE"""),"MARNITHA JUWIKE TIMORATI RUNESI")</f>
        <v>MARNITHA JUWIKE TIMORATI RUNESI</v>
      </c>
      <c r="C2394" s="40" t="str">
        <f>IFERROR(__xludf.DUMMYFUNCTION("""COMPUTED_VALUE"""),"Belum disetujui")</f>
        <v>Belum disetujui</v>
      </c>
      <c r="D2394" s="40"/>
      <c r="E2394" s="40" t="s">
        <v>11420</v>
      </c>
      <c r="F2394" s="40" t="s">
        <v>204</v>
      </c>
      <c r="G2394" s="40" t="s">
        <v>11421</v>
      </c>
      <c r="H2394" s="40" t="s">
        <v>11399</v>
      </c>
    </row>
    <row r="2395">
      <c r="A2395" s="39">
        <f>IFERROR(__xludf.DUMMYFUNCTION("""COMPUTED_VALUE"""),45969.73715789352)</f>
        <v>45969.73716</v>
      </c>
      <c r="B2395" s="40" t="str">
        <f>IFERROR(__xludf.DUMMYFUNCTION("""COMPUTED_VALUE"""),"MARNITHA JUWIKE TIMORATI RUNESI")</f>
        <v>MARNITHA JUWIKE TIMORATI RUNESI</v>
      </c>
      <c r="C2395" s="40" t="str">
        <f>IFERROR(__xludf.DUMMYFUNCTION("""COMPUTED_VALUE"""),"Belum disetujui")</f>
        <v>Belum disetujui</v>
      </c>
      <c r="D2395" s="40"/>
      <c r="E2395" s="40" t="s">
        <v>11420</v>
      </c>
      <c r="F2395" s="40" t="s">
        <v>204</v>
      </c>
      <c r="G2395" s="40" t="s">
        <v>11421</v>
      </c>
      <c r="H2395" s="40" t="s">
        <v>11399</v>
      </c>
    </row>
    <row r="2396">
      <c r="A2396" s="39">
        <f>IFERROR(__xludf.DUMMYFUNCTION("""COMPUTED_VALUE"""),45969.74011327546)</f>
        <v>45969.74011</v>
      </c>
      <c r="B2396" s="40" t="str">
        <f>IFERROR(__xludf.DUMMYFUNCTION("""COMPUTED_VALUE"""),"AZ ZAHRA SITI ZAINAB")</f>
        <v>AZ ZAHRA SITI ZAINAB</v>
      </c>
      <c r="C2396" s="40" t="str">
        <f>IFERROR(__xludf.DUMMYFUNCTION("""COMPUTED_VALUE"""),"ACC")</f>
        <v>ACC</v>
      </c>
      <c r="D2396" s="40" t="str">
        <f>IFERROR(__xludf.DUMMYFUNCTION("""COMPUTED_VALUE"""),"Y21d series")</f>
        <v>Y21d series</v>
      </c>
      <c r="E2396" s="40" t="s">
        <v>11462</v>
      </c>
      <c r="F2396" s="40" t="s">
        <v>257</v>
      </c>
      <c r="G2396" s="40" t="s">
        <v>11463</v>
      </c>
      <c r="H2396" s="40" t="s">
        <v>11419</v>
      </c>
    </row>
    <row r="2397">
      <c r="A2397" s="39">
        <f>IFERROR(__xludf.DUMMYFUNCTION("""COMPUTED_VALUE"""),45969.74086957175)</f>
        <v>45969.74087</v>
      </c>
      <c r="B2397" s="40" t="str">
        <f>IFERROR(__xludf.DUMMYFUNCTION("""COMPUTED_VALUE"""),"NOVANTRY RUTHANIA NAFFIE")</f>
        <v>NOVANTRY RUTHANIA NAFFIE</v>
      </c>
      <c r="C2397" s="40" t="str">
        <f>IFERROR(__xludf.DUMMYFUNCTION("""COMPUTED_VALUE"""),"Belum disetujui")</f>
        <v>Belum disetujui</v>
      </c>
      <c r="D2397" s="40"/>
      <c r="E2397" s="40" t="s">
        <v>11397</v>
      </c>
      <c r="F2397" s="40" t="s">
        <v>220</v>
      </c>
      <c r="G2397" s="40" t="s">
        <v>11398</v>
      </c>
      <c r="H2397" s="40" t="s">
        <v>11399</v>
      </c>
    </row>
    <row r="2398">
      <c r="A2398" s="39">
        <f>IFERROR(__xludf.DUMMYFUNCTION("""COMPUTED_VALUE"""),45969.74271788194)</f>
        <v>45969.74272</v>
      </c>
      <c r="B2398" s="40" t="str">
        <f>IFERROR(__xludf.DUMMYFUNCTION("""COMPUTED_VALUE"""),"MEXY ALEXANDER HETMINA")</f>
        <v>MEXY ALEXANDER HETMINA</v>
      </c>
      <c r="C2398" s="40" t="str">
        <f>IFERROR(__xludf.DUMMYFUNCTION("""COMPUTED_VALUE"""),"Belum disetujui")</f>
        <v>Belum disetujui</v>
      </c>
      <c r="D2398" s="40"/>
      <c r="E2398" s="40" t="s">
        <v>11413</v>
      </c>
      <c r="F2398" s="40" t="s">
        <v>204</v>
      </c>
      <c r="G2398" s="40" t="s">
        <v>11414</v>
      </c>
      <c r="H2398" s="40" t="s">
        <v>11399</v>
      </c>
    </row>
    <row r="2399">
      <c r="A2399" s="39">
        <f>IFERROR(__xludf.DUMMYFUNCTION("""COMPUTED_VALUE"""),45969.742785358794)</f>
        <v>45969.74279</v>
      </c>
      <c r="B2399" s="40" t="str">
        <f>IFERROR(__xludf.DUMMYFUNCTION("""COMPUTED_VALUE"""),"NOVANTRY RUTHANIA NAFFIE")</f>
        <v>NOVANTRY RUTHANIA NAFFIE</v>
      </c>
      <c r="C2399" s="40" t="str">
        <f>IFERROR(__xludf.DUMMYFUNCTION("""COMPUTED_VALUE"""),"Belum disetujui")</f>
        <v>Belum disetujui</v>
      </c>
      <c r="D2399" s="40"/>
      <c r="E2399" s="40" t="s">
        <v>11397</v>
      </c>
      <c r="F2399" s="40" t="s">
        <v>220</v>
      </c>
      <c r="G2399" s="40" t="s">
        <v>11398</v>
      </c>
      <c r="H2399" s="40" t="s">
        <v>11399</v>
      </c>
    </row>
    <row r="2400">
      <c r="A2400" s="39">
        <f>IFERROR(__xludf.DUMMYFUNCTION("""COMPUTED_VALUE"""),45969.7437234375)</f>
        <v>45969.74372</v>
      </c>
      <c r="B2400" s="40" t="str">
        <f>IFERROR(__xludf.DUMMYFUNCTION("""COMPUTED_VALUE"""),"YOVANDA KATRINA NAE")</f>
        <v>YOVANDA KATRINA NAE</v>
      </c>
      <c r="C2400" s="40" t="str">
        <f>IFERROR(__xludf.DUMMYFUNCTION("""COMPUTED_VALUE"""),"Belum disetujui")</f>
        <v>Belum disetujui</v>
      </c>
      <c r="D2400" s="40"/>
      <c r="E2400" s="40" t="s">
        <v>11425</v>
      </c>
      <c r="F2400" s="40" t="s">
        <v>205</v>
      </c>
      <c r="G2400" s="40" t="s">
        <v>11426</v>
      </c>
      <c r="H2400" s="40" t="s">
        <v>11419</v>
      </c>
    </row>
    <row r="2401">
      <c r="A2401" s="39">
        <f>IFERROR(__xludf.DUMMYFUNCTION("""COMPUTED_VALUE"""),45969.745428738424)</f>
        <v>45969.74543</v>
      </c>
      <c r="B2401" s="40" t="str">
        <f>IFERROR(__xludf.DUMMYFUNCTION("""COMPUTED_VALUE"""),"AINI RAHMATINI NATALIA MOESTAKIM")</f>
        <v>AINI RAHMATINI NATALIA MOESTAKIM</v>
      </c>
      <c r="C2401" s="40" t="str">
        <f>IFERROR(__xludf.DUMMYFUNCTION("""COMPUTED_VALUE"""),"Dapat limit tapi belum diproses")</f>
        <v>Dapat limit tapi belum diproses</v>
      </c>
      <c r="D2401" s="40" t="str">
        <f>IFERROR(__xludf.DUMMYFUNCTION("""COMPUTED_VALUE"""),"Y21d series")</f>
        <v>Y21d series</v>
      </c>
      <c r="E2401" s="40" t="s">
        <v>11409</v>
      </c>
      <c r="F2401" s="40" t="s">
        <v>204</v>
      </c>
      <c r="G2401" s="40" t="s">
        <v>11410</v>
      </c>
      <c r="H2401" s="40" t="s">
        <v>11399</v>
      </c>
    </row>
    <row r="2402">
      <c r="A2402" s="39">
        <f>IFERROR(__xludf.DUMMYFUNCTION("""COMPUTED_VALUE"""),45969.75359188657)</f>
        <v>45969.75359</v>
      </c>
      <c r="B2402" s="40" t="str">
        <f>IFERROR(__xludf.DUMMYFUNCTION("""COMPUTED_VALUE"""),"WARDIA")</f>
        <v>WARDIA</v>
      </c>
      <c r="C2402" s="40" t="str">
        <f>IFERROR(__xludf.DUMMYFUNCTION("""COMPUTED_VALUE"""),"Belum disetujui")</f>
        <v>Belum disetujui</v>
      </c>
      <c r="D2402" s="40"/>
      <c r="E2402" s="40" t="s">
        <v>11409</v>
      </c>
      <c r="F2402" s="40" t="s">
        <v>204</v>
      </c>
      <c r="G2402" s="40" t="s">
        <v>11410</v>
      </c>
      <c r="H2402" s="40" t="s">
        <v>11399</v>
      </c>
    </row>
    <row r="2403">
      <c r="A2403" s="39">
        <f>IFERROR(__xludf.DUMMYFUNCTION("""COMPUTED_VALUE"""),45969.77585155092)</f>
        <v>45969.77585</v>
      </c>
      <c r="B2403" s="40" t="str">
        <f>IFERROR(__xludf.DUMMYFUNCTION("""COMPUTED_VALUE"""),"NOVLIANA BARBALINA MISA")</f>
        <v>NOVLIANA BARBALINA MISA</v>
      </c>
      <c r="C2403" s="40" t="str">
        <f>IFERROR(__xludf.DUMMYFUNCTION("""COMPUTED_VALUE"""),"Dapat limit tapi belum diproses")</f>
        <v>Dapat limit tapi belum diproses</v>
      </c>
      <c r="D2403" s="40" t="str">
        <f>IFERROR(__xludf.DUMMYFUNCTION("""COMPUTED_VALUE"""),"V60 series")</f>
        <v>V60 series</v>
      </c>
      <c r="E2403" s="40" t="s">
        <v>11454</v>
      </c>
      <c r="F2403" s="40" t="s">
        <v>205</v>
      </c>
      <c r="G2403" s="40" t="s">
        <v>11455</v>
      </c>
      <c r="H2403" s="40" t="s">
        <v>11419</v>
      </c>
    </row>
    <row r="2404">
      <c r="A2404" s="39">
        <f>IFERROR(__xludf.DUMMYFUNCTION("""COMPUTED_VALUE"""),45969.78279186343)</f>
        <v>45969.78279</v>
      </c>
      <c r="B2404" s="40" t="str">
        <f>IFERROR(__xludf.DUMMYFUNCTION("""COMPUTED_VALUE"""),"TERSIANA KADJA PAU")</f>
        <v>TERSIANA KADJA PAU</v>
      </c>
      <c r="C2404" s="40" t="str">
        <f>IFERROR(__xludf.DUMMYFUNCTION("""COMPUTED_VALUE"""),"Belum disetujui")</f>
        <v>Belum disetujui</v>
      </c>
      <c r="D2404" s="40"/>
      <c r="E2404" s="40" t="s">
        <v>11411</v>
      </c>
      <c r="F2404" s="40" t="s">
        <v>220</v>
      </c>
      <c r="G2404" s="40" t="s">
        <v>11412</v>
      </c>
      <c r="H2404" s="40" t="s">
        <v>11399</v>
      </c>
    </row>
    <row r="2405">
      <c r="A2405" s="39">
        <f>IFERROR(__xludf.DUMMYFUNCTION("""COMPUTED_VALUE"""),45969.78831142361)</f>
        <v>45969.78831</v>
      </c>
      <c r="B2405" s="40" t="str">
        <f>IFERROR(__xludf.DUMMYFUNCTION("""COMPUTED_VALUE"""),"MERDA PUTRI BUNGSU KENAT")</f>
        <v>MERDA PUTRI BUNGSU KENAT</v>
      </c>
      <c r="C2405" s="40" t="str">
        <f>IFERROR(__xludf.DUMMYFUNCTION("""COMPUTED_VALUE"""),"Dapat limit tapi belum diproses")</f>
        <v>Dapat limit tapi belum diproses</v>
      </c>
      <c r="D2405" s="40" t="str">
        <f>IFERROR(__xludf.DUMMYFUNCTION("""COMPUTED_VALUE"""),"V60 Lite series")</f>
        <v>V60 Lite series</v>
      </c>
      <c r="E2405" s="40" t="s">
        <v>11422</v>
      </c>
      <c r="F2405" s="40" t="s">
        <v>215</v>
      </c>
      <c r="G2405" s="40" t="s">
        <v>11423</v>
      </c>
      <c r="H2405" s="40" t="s">
        <v>11424</v>
      </c>
    </row>
    <row r="2406">
      <c r="A2406" s="39">
        <f>IFERROR(__xludf.DUMMYFUNCTION("""COMPUTED_VALUE"""),45969.7970875)</f>
        <v>45969.79709</v>
      </c>
      <c r="B2406" s="40" t="str">
        <f>IFERROR(__xludf.DUMMYFUNCTION("""COMPUTED_VALUE"""),"ASRI NINGSI RAMBU ATA ENDI")</f>
        <v>ASRI NINGSI RAMBU ATA ENDI</v>
      </c>
      <c r="C2406" s="40" t="str">
        <f>IFERROR(__xludf.DUMMYFUNCTION("""COMPUTED_VALUE"""),"Belum disetujui")</f>
        <v>Belum disetujui</v>
      </c>
      <c r="D2406" s="40"/>
      <c r="E2406" s="40" t="s">
        <v>11441</v>
      </c>
      <c r="F2406" s="40" t="s">
        <v>205</v>
      </c>
      <c r="G2406" s="40" t="s">
        <v>11442</v>
      </c>
      <c r="H2406" s="40" t="s">
        <v>11419</v>
      </c>
    </row>
    <row r="2407">
      <c r="A2407" s="39">
        <f>IFERROR(__xludf.DUMMYFUNCTION("""COMPUTED_VALUE"""),45969.808237916666)</f>
        <v>45969.80824</v>
      </c>
      <c r="B2407" s="40" t="str">
        <f>IFERROR(__xludf.DUMMYFUNCTION("""COMPUTED_VALUE"""),"SANTI MARIA LUKMINI NAHAK")</f>
        <v>SANTI MARIA LUKMINI NAHAK</v>
      </c>
      <c r="C2407" s="40" t="str">
        <f>IFERROR(__xludf.DUMMYFUNCTION("""COMPUTED_VALUE"""),"Belum disetujui")</f>
        <v>Belum disetujui</v>
      </c>
      <c r="D2407" s="40"/>
      <c r="E2407" s="40" t="s">
        <v>11460</v>
      </c>
      <c r="F2407" s="40" t="s">
        <v>871</v>
      </c>
      <c r="G2407" s="40" t="s">
        <v>11461</v>
      </c>
      <c r="H2407" s="40" t="s">
        <v>11424</v>
      </c>
    </row>
    <row r="2408">
      <c r="A2408" s="39">
        <f>IFERROR(__xludf.DUMMYFUNCTION("""COMPUTED_VALUE"""),45969.82295542824)</f>
        <v>45969.82296</v>
      </c>
      <c r="B2408" s="40" t="str">
        <f>IFERROR(__xludf.DUMMYFUNCTION("""COMPUTED_VALUE"""),"ARMINDA TEKU MANEK")</f>
        <v>ARMINDA TEKU MANEK</v>
      </c>
      <c r="C2408" s="40" t="str">
        <f>IFERROR(__xludf.DUMMYFUNCTION("""COMPUTED_VALUE"""),"Belum disetujui")</f>
        <v>Belum disetujui</v>
      </c>
      <c r="D2408" s="40"/>
      <c r="E2408" s="40" t="s">
        <v>11474</v>
      </c>
      <c r="F2408" s="40" t="s">
        <v>313</v>
      </c>
      <c r="G2408" s="40" t="s">
        <v>11475</v>
      </c>
      <c r="H2408" s="40" t="s">
        <v>11424</v>
      </c>
    </row>
    <row r="2409">
      <c r="A2409" s="39">
        <f>IFERROR(__xludf.DUMMYFUNCTION("""COMPUTED_VALUE"""),45969.8383903125)</f>
        <v>45969.83839</v>
      </c>
      <c r="B2409" s="40" t="str">
        <f>IFERROR(__xludf.DUMMYFUNCTION("""COMPUTED_VALUE"""),"YASINTHA MBU")</f>
        <v>YASINTHA MBU</v>
      </c>
      <c r="C2409" s="40" t="str">
        <f>IFERROR(__xludf.DUMMYFUNCTION("""COMPUTED_VALUE"""),"Belum disetujui")</f>
        <v>Belum disetujui</v>
      </c>
      <c r="D2409" s="40"/>
      <c r="E2409" s="40" t="s">
        <v>11407</v>
      </c>
      <c r="F2409" s="40" t="s">
        <v>220</v>
      </c>
      <c r="G2409" s="40" t="s">
        <v>11408</v>
      </c>
      <c r="H2409" s="40" t="s">
        <v>11399</v>
      </c>
    </row>
    <row r="2410">
      <c r="A2410" s="39">
        <f>IFERROR(__xludf.DUMMYFUNCTION("""COMPUTED_VALUE"""),45969.84068149306)</f>
        <v>45969.84068</v>
      </c>
      <c r="B2410" s="40" t="str">
        <f>IFERROR(__xludf.DUMMYFUNCTION("""COMPUTED_VALUE"""),"ANITA ANA AMAH")</f>
        <v>ANITA ANA AMAH</v>
      </c>
      <c r="C2410" s="40" t="str">
        <f>IFERROR(__xludf.DUMMYFUNCTION("""COMPUTED_VALUE"""),"Belum disetujui")</f>
        <v>Belum disetujui</v>
      </c>
      <c r="D2410" s="40"/>
      <c r="E2410" s="40" t="s">
        <v>11425</v>
      </c>
      <c r="F2410" s="40" t="s">
        <v>205</v>
      </c>
      <c r="G2410" s="40" t="s">
        <v>11426</v>
      </c>
      <c r="H2410" s="40" t="s">
        <v>11419</v>
      </c>
    </row>
    <row r="2411">
      <c r="A2411" s="39">
        <f>IFERROR(__xludf.DUMMYFUNCTION("""COMPUTED_VALUE"""),45969.845712905095)</f>
        <v>45969.84571</v>
      </c>
      <c r="B2411" s="40" t="str">
        <f>IFERROR(__xludf.DUMMYFUNCTION("""COMPUTED_VALUE"""),"DWITNEY PRETY WANGGANDIMA")</f>
        <v>DWITNEY PRETY WANGGANDIMA</v>
      </c>
      <c r="C2411" s="40" t="str">
        <f>IFERROR(__xludf.DUMMYFUNCTION("""COMPUTED_VALUE"""),"Belum disetujui")</f>
        <v>Belum disetujui</v>
      </c>
      <c r="D2411" s="40"/>
      <c r="E2411" s="40" t="s">
        <v>11443</v>
      </c>
      <c r="F2411" s="40" t="s">
        <v>220</v>
      </c>
      <c r="G2411" s="40" t="s">
        <v>11444</v>
      </c>
      <c r="H2411" s="40" t="s">
        <v>11399</v>
      </c>
    </row>
    <row r="2412">
      <c r="A2412" s="39">
        <f>IFERROR(__xludf.DUMMYFUNCTION("""COMPUTED_VALUE"""),45969.84960109954)</f>
        <v>45969.8496</v>
      </c>
      <c r="B2412" s="40" t="str">
        <f>IFERROR(__xludf.DUMMYFUNCTION("""COMPUTED_VALUE"""),"YOHANIS TIPNONI")</f>
        <v>YOHANIS TIPNONI</v>
      </c>
      <c r="C2412" s="40" t="str">
        <f>IFERROR(__xludf.DUMMYFUNCTION("""COMPUTED_VALUE"""),"ACC")</f>
        <v>ACC</v>
      </c>
      <c r="D2412" s="40" t="str">
        <f>IFERROR(__xludf.DUMMYFUNCTION("""COMPUTED_VALUE"""),"Y21d series")</f>
        <v>Y21d series</v>
      </c>
      <c r="E2412" s="40" t="s">
        <v>11405</v>
      </c>
      <c r="F2412" s="40" t="s">
        <v>220</v>
      </c>
      <c r="G2412" s="40" t="s">
        <v>11406</v>
      </c>
      <c r="H2412" s="40" t="s">
        <v>11399</v>
      </c>
    </row>
    <row r="2413">
      <c r="A2413" s="39">
        <f>IFERROR(__xludf.DUMMYFUNCTION("""COMPUTED_VALUE"""),45969.91021326389)</f>
        <v>45969.91021</v>
      </c>
      <c r="B2413" s="40" t="str">
        <f>IFERROR(__xludf.DUMMYFUNCTION("""COMPUTED_VALUE"""),"WINDRI MANOE")</f>
        <v>WINDRI MANOE</v>
      </c>
      <c r="C2413" s="40" t="str">
        <f>IFERROR(__xludf.DUMMYFUNCTION("""COMPUTED_VALUE"""),"Belum disetujui")</f>
        <v>Belum disetujui</v>
      </c>
      <c r="D2413" s="40"/>
      <c r="E2413" s="40" t="s">
        <v>11443</v>
      </c>
      <c r="F2413" s="40" t="s">
        <v>220</v>
      </c>
      <c r="G2413" s="40" t="s">
        <v>11444</v>
      </c>
      <c r="H2413" s="40" t="s">
        <v>11399</v>
      </c>
    </row>
    <row r="2414">
      <c r="A2414" s="39">
        <f>IFERROR(__xludf.DUMMYFUNCTION("""COMPUTED_VALUE"""),45970.57092047453)</f>
        <v>45970.57092</v>
      </c>
      <c r="B2414" s="40" t="str">
        <f>IFERROR(__xludf.DUMMYFUNCTION("""COMPUTED_VALUE"""),"WARDIA")</f>
        <v>WARDIA</v>
      </c>
      <c r="C2414" s="40" t="str">
        <f>IFERROR(__xludf.DUMMYFUNCTION("""COMPUTED_VALUE"""),"Belum disetujui")</f>
        <v>Belum disetujui</v>
      </c>
      <c r="D2414" s="40"/>
      <c r="E2414" s="40" t="s">
        <v>11409</v>
      </c>
      <c r="F2414" s="40" t="s">
        <v>204</v>
      </c>
      <c r="G2414" s="40" t="s">
        <v>11410</v>
      </c>
      <c r="H2414" s="40" t="s">
        <v>11399</v>
      </c>
    </row>
    <row r="2415">
      <c r="A2415" s="39">
        <f>IFERROR(__xludf.DUMMYFUNCTION("""COMPUTED_VALUE"""),45970.571875740745)</f>
        <v>45970.57188</v>
      </c>
      <c r="B2415" s="40" t="str">
        <f>IFERROR(__xludf.DUMMYFUNCTION("""COMPUTED_VALUE"""),"AZ ZAHRA SITI ZAINAB")</f>
        <v>AZ ZAHRA SITI ZAINAB</v>
      </c>
      <c r="C2415" s="40" t="str">
        <f>IFERROR(__xludf.DUMMYFUNCTION("""COMPUTED_VALUE"""),"Belum disetujui")</f>
        <v>Belum disetujui</v>
      </c>
      <c r="D2415" s="40"/>
      <c r="E2415" s="40" t="s">
        <v>11462</v>
      </c>
      <c r="F2415" s="40" t="s">
        <v>257</v>
      </c>
      <c r="G2415" s="40" t="s">
        <v>11463</v>
      </c>
      <c r="H2415" s="40" t="s">
        <v>11419</v>
      </c>
    </row>
    <row r="2416">
      <c r="A2416" s="39">
        <f>IFERROR(__xludf.DUMMYFUNCTION("""COMPUTED_VALUE"""),45970.58738608796)</f>
        <v>45970.58739</v>
      </c>
      <c r="B2416" s="40" t="str">
        <f>IFERROR(__xludf.DUMMYFUNCTION("""COMPUTED_VALUE"""),"NABILA RAHMAWATI")</f>
        <v>NABILA RAHMAWATI</v>
      </c>
      <c r="C2416" s="40" t="str">
        <f>IFERROR(__xludf.DUMMYFUNCTION("""COMPUTED_VALUE"""),"Belum disetujui")</f>
        <v>Belum disetujui</v>
      </c>
      <c r="D2416" s="40"/>
      <c r="E2416" s="40" t="s">
        <v>11464</v>
      </c>
      <c r="F2416" s="40" t="s">
        <v>257</v>
      </c>
      <c r="G2416" s="40" t="s">
        <v>11465</v>
      </c>
      <c r="H2416" s="40" t="s">
        <v>11419</v>
      </c>
    </row>
    <row r="2417">
      <c r="A2417" s="39">
        <f>IFERROR(__xludf.DUMMYFUNCTION("""COMPUTED_VALUE"""),45970.593192719905)</f>
        <v>45970.59319</v>
      </c>
      <c r="B2417" s="40" t="str">
        <f>IFERROR(__xludf.DUMMYFUNCTION("""COMPUTED_VALUE"""),"ADRIANA")</f>
        <v>ADRIANA</v>
      </c>
      <c r="C2417" s="40" t="str">
        <f>IFERROR(__xludf.DUMMYFUNCTION("""COMPUTED_VALUE"""),"Belum disetujui")</f>
        <v>Belum disetujui</v>
      </c>
      <c r="D2417" s="40"/>
      <c r="E2417" s="40" t="s">
        <v>11433</v>
      </c>
      <c r="F2417" s="40" t="s">
        <v>313</v>
      </c>
      <c r="G2417" s="40" t="s">
        <v>11434</v>
      </c>
      <c r="H2417" s="40" t="s">
        <v>11424</v>
      </c>
    </row>
    <row r="2418">
      <c r="A2418" s="39">
        <f>IFERROR(__xludf.DUMMYFUNCTION("""COMPUTED_VALUE"""),45970.63602762731)</f>
        <v>45970.63603</v>
      </c>
      <c r="B2418" s="40" t="str">
        <f>IFERROR(__xludf.DUMMYFUNCTION("""COMPUTED_VALUE"""),"MARNITHA JUWIKE TIMORATI RUNESI")</f>
        <v>MARNITHA JUWIKE TIMORATI RUNESI</v>
      </c>
      <c r="C2418" s="40" t="str">
        <f>IFERROR(__xludf.DUMMYFUNCTION("""COMPUTED_VALUE"""),"Belum disetujui")</f>
        <v>Belum disetujui</v>
      </c>
      <c r="D2418" s="40"/>
      <c r="E2418" s="40" t="s">
        <v>11420</v>
      </c>
      <c r="F2418" s="40" t="s">
        <v>204</v>
      </c>
      <c r="G2418" s="40" t="s">
        <v>11421</v>
      </c>
      <c r="H2418" s="40" t="s">
        <v>11399</v>
      </c>
    </row>
    <row r="2419">
      <c r="A2419" s="39">
        <f>IFERROR(__xludf.DUMMYFUNCTION("""COMPUTED_VALUE"""),45970.638704375)</f>
        <v>45970.6387</v>
      </c>
      <c r="B2419" s="40" t="str">
        <f>IFERROR(__xludf.DUMMYFUNCTION("""COMPUTED_VALUE"""),"MARNITHA JUWIKE TIMORATI RUNESI")</f>
        <v>MARNITHA JUWIKE TIMORATI RUNESI</v>
      </c>
      <c r="C2419" s="40" t="str">
        <f>IFERROR(__xludf.DUMMYFUNCTION("""COMPUTED_VALUE"""),"Belum disetujui")</f>
        <v>Belum disetujui</v>
      </c>
      <c r="D2419" s="40"/>
      <c r="E2419" s="40" t="s">
        <v>11420</v>
      </c>
      <c r="F2419" s="40" t="s">
        <v>204</v>
      </c>
      <c r="G2419" s="40" t="s">
        <v>11421</v>
      </c>
      <c r="H2419" s="40" t="s">
        <v>11399</v>
      </c>
    </row>
    <row r="2420">
      <c r="A2420" s="39">
        <f>IFERROR(__xludf.DUMMYFUNCTION("""COMPUTED_VALUE"""),45970.710027615736)</f>
        <v>45970.71003</v>
      </c>
      <c r="B2420" s="40" t="str">
        <f>IFERROR(__xludf.DUMMYFUNCTION("""COMPUTED_VALUE"""),"WARDIA")</f>
        <v>WARDIA</v>
      </c>
      <c r="C2420" s="40" t="str">
        <f>IFERROR(__xludf.DUMMYFUNCTION("""COMPUTED_VALUE"""),"Belum disetujui")</f>
        <v>Belum disetujui</v>
      </c>
      <c r="D2420" s="40"/>
      <c r="E2420" s="40" t="s">
        <v>11409</v>
      </c>
      <c r="F2420" s="40" t="s">
        <v>204</v>
      </c>
      <c r="G2420" s="40" t="s">
        <v>11410</v>
      </c>
      <c r="H2420" s="40" t="s">
        <v>11399</v>
      </c>
    </row>
    <row r="2421">
      <c r="A2421" s="39">
        <f>IFERROR(__xludf.DUMMYFUNCTION("""COMPUTED_VALUE"""),45970.73080350694)</f>
        <v>45970.7308</v>
      </c>
      <c r="B2421" s="40" t="str">
        <f>IFERROR(__xludf.DUMMYFUNCTION("""COMPUTED_VALUE"""),"MERDA PUTRI BUNGSU KENAT")</f>
        <v>MERDA PUTRI BUNGSU KENAT</v>
      </c>
      <c r="C2421" s="40" t="str">
        <f>IFERROR(__xludf.DUMMYFUNCTION("""COMPUTED_VALUE"""),"Belum disetujui")</f>
        <v>Belum disetujui</v>
      </c>
      <c r="D2421" s="40"/>
      <c r="E2421" s="40" t="s">
        <v>11422</v>
      </c>
      <c r="F2421" s="40" t="s">
        <v>215</v>
      </c>
      <c r="G2421" s="40" t="s">
        <v>11423</v>
      </c>
      <c r="H2421" s="40" t="s">
        <v>11424</v>
      </c>
    </row>
    <row r="2422">
      <c r="A2422" s="39">
        <f>IFERROR(__xludf.DUMMYFUNCTION("""COMPUTED_VALUE"""),45970.745461956016)</f>
        <v>45970.74546</v>
      </c>
      <c r="B2422" s="40" t="str">
        <f>IFERROR(__xludf.DUMMYFUNCTION("""COMPUTED_VALUE"""),"SULIS NURAINI INSYATUN")</f>
        <v>SULIS NURAINI INSYATUN</v>
      </c>
      <c r="C2422" s="40" t="str">
        <f>IFERROR(__xludf.DUMMYFUNCTION("""COMPUTED_VALUE"""),"Belum disetujui")</f>
        <v>Belum disetujui</v>
      </c>
      <c r="D2422" s="40"/>
      <c r="E2422" s="40" t="s">
        <v>11429</v>
      </c>
      <c r="F2422" s="40" t="s">
        <v>257</v>
      </c>
      <c r="G2422" s="40" t="s">
        <v>11430</v>
      </c>
      <c r="H2422" s="40" t="s">
        <v>11419</v>
      </c>
    </row>
    <row r="2423">
      <c r="A2423" s="39">
        <f>IFERROR(__xludf.DUMMYFUNCTION("""COMPUTED_VALUE"""),45970.76018521991)</f>
        <v>45970.76019</v>
      </c>
      <c r="B2423" s="40" t="str">
        <f>IFERROR(__xludf.DUMMYFUNCTION("""COMPUTED_VALUE"""),"MERDA PUTRI BUNGSU KENAT")</f>
        <v>MERDA PUTRI BUNGSU KENAT</v>
      </c>
      <c r="C2423" s="40" t="str">
        <f>IFERROR(__xludf.DUMMYFUNCTION("""COMPUTED_VALUE"""),"Belum disetujui")</f>
        <v>Belum disetujui</v>
      </c>
      <c r="D2423" s="40"/>
      <c r="E2423" s="40" t="s">
        <v>11422</v>
      </c>
      <c r="F2423" s="40" t="s">
        <v>215</v>
      </c>
      <c r="G2423" s="40" t="s">
        <v>11423</v>
      </c>
      <c r="H2423" s="40" t="s">
        <v>11424</v>
      </c>
    </row>
    <row r="2424">
      <c r="A2424" s="39">
        <f>IFERROR(__xludf.DUMMYFUNCTION("""COMPUTED_VALUE"""),45970.76162077546)</f>
        <v>45970.76162</v>
      </c>
      <c r="B2424" s="40" t="str">
        <f>IFERROR(__xludf.DUMMYFUNCTION("""COMPUTED_VALUE"""),"MERDA PUTRI BUNGSU KENAT")</f>
        <v>MERDA PUTRI BUNGSU KENAT</v>
      </c>
      <c r="C2424" s="40" t="str">
        <f>IFERROR(__xludf.DUMMYFUNCTION("""COMPUTED_VALUE"""),"Belum disetujui")</f>
        <v>Belum disetujui</v>
      </c>
      <c r="D2424" s="40"/>
      <c r="E2424" s="40" t="s">
        <v>11422</v>
      </c>
      <c r="F2424" s="40" t="s">
        <v>215</v>
      </c>
      <c r="G2424" s="40" t="s">
        <v>11423</v>
      </c>
      <c r="H2424" s="40" t="s">
        <v>11424</v>
      </c>
    </row>
    <row r="2425">
      <c r="A2425" s="39">
        <f>IFERROR(__xludf.DUMMYFUNCTION("""COMPUTED_VALUE"""),45970.76228592592)</f>
        <v>45970.76229</v>
      </c>
      <c r="B2425" s="40" t="str">
        <f>IFERROR(__xludf.DUMMYFUNCTION("""COMPUTED_VALUE"""),"WARDIA")</f>
        <v>WARDIA</v>
      </c>
      <c r="C2425" s="40" t="str">
        <f>IFERROR(__xludf.DUMMYFUNCTION("""COMPUTED_VALUE"""),"Belum disetujui")</f>
        <v>Belum disetujui</v>
      </c>
      <c r="D2425" s="40"/>
      <c r="E2425" s="40" t="s">
        <v>11409</v>
      </c>
      <c r="F2425" s="40" t="s">
        <v>204</v>
      </c>
      <c r="G2425" s="40" t="s">
        <v>11410</v>
      </c>
      <c r="H2425" s="40" t="s">
        <v>11399</v>
      </c>
    </row>
    <row r="2426">
      <c r="A2426" s="39">
        <f>IFERROR(__xludf.DUMMYFUNCTION("""COMPUTED_VALUE"""),45970.85021525463)</f>
        <v>45970.85022</v>
      </c>
      <c r="B2426" s="40" t="str">
        <f>IFERROR(__xludf.DUMMYFUNCTION("""COMPUTED_VALUE"""),"MERDA PUTRI BUNGSU KENAT")</f>
        <v>MERDA PUTRI BUNGSU KENAT</v>
      </c>
      <c r="C2426" s="40" t="str">
        <f>IFERROR(__xludf.DUMMYFUNCTION("""COMPUTED_VALUE"""),"ACC")</f>
        <v>ACC</v>
      </c>
      <c r="D2426" s="40" t="str">
        <f>IFERROR(__xludf.DUMMYFUNCTION("""COMPUTED_VALUE"""),"Y21d series")</f>
        <v>Y21d series</v>
      </c>
      <c r="E2426" s="40" t="s">
        <v>11422</v>
      </c>
      <c r="F2426" s="40" t="s">
        <v>215</v>
      </c>
      <c r="G2426" s="40" t="s">
        <v>11423</v>
      </c>
      <c r="H2426" s="40" t="s">
        <v>11424</v>
      </c>
    </row>
    <row r="2427">
      <c r="A2427" s="39">
        <f>IFERROR(__xludf.DUMMYFUNCTION("""COMPUTED_VALUE"""),45970.87113075232)</f>
        <v>45970.87113</v>
      </c>
      <c r="B2427" s="40" t="str">
        <f>IFERROR(__xludf.DUMMYFUNCTION("""COMPUTED_VALUE"""),"WARDIA")</f>
        <v>WARDIA</v>
      </c>
      <c r="C2427" s="40" t="str">
        <f>IFERROR(__xludf.DUMMYFUNCTION("""COMPUTED_VALUE"""),"ACC")</f>
        <v>ACC</v>
      </c>
      <c r="D2427" s="40" t="str">
        <f>IFERROR(__xludf.DUMMYFUNCTION("""COMPUTED_VALUE"""),"Y21d series")</f>
        <v>Y21d series</v>
      </c>
      <c r="E2427" s="40" t="s">
        <v>11409</v>
      </c>
      <c r="F2427" s="40" t="s">
        <v>204</v>
      </c>
      <c r="G2427" s="40" t="s">
        <v>11410</v>
      </c>
      <c r="H2427" s="40" t="s">
        <v>11399</v>
      </c>
    </row>
    <row r="2428">
      <c r="A2428" s="39">
        <f>IFERROR(__xludf.DUMMYFUNCTION("""COMPUTED_VALUE"""),45970.878548009256)</f>
        <v>45970.87855</v>
      </c>
      <c r="B2428" s="40" t="str">
        <f>IFERROR(__xludf.DUMMYFUNCTION("""COMPUTED_VALUE"""),"YASINTHA MBU")</f>
        <v>YASINTHA MBU</v>
      </c>
      <c r="C2428" s="40" t="str">
        <f>IFERROR(__xludf.DUMMYFUNCTION("""COMPUTED_VALUE"""),"Belum disetujui")</f>
        <v>Belum disetujui</v>
      </c>
      <c r="D2428" s="40"/>
      <c r="E2428" s="40" t="s">
        <v>11407</v>
      </c>
      <c r="F2428" s="40" t="s">
        <v>220</v>
      </c>
      <c r="G2428" s="40" t="s">
        <v>11408</v>
      </c>
      <c r="H2428" s="40" t="s">
        <v>11399</v>
      </c>
    </row>
    <row r="2429">
      <c r="A2429" s="39">
        <f>IFERROR(__xludf.DUMMYFUNCTION("""COMPUTED_VALUE"""),45970.95090356482)</f>
        <v>45970.9509</v>
      </c>
      <c r="B2429" s="40" t="str">
        <f>IFERROR(__xludf.DUMMYFUNCTION("""COMPUTED_VALUE"""),"ADRIANA")</f>
        <v>ADRIANA</v>
      </c>
      <c r="C2429" s="40" t="str">
        <f>IFERROR(__xludf.DUMMYFUNCTION("""COMPUTED_VALUE"""),"Dapat limit tapi belum diproses")</f>
        <v>Dapat limit tapi belum diproses</v>
      </c>
      <c r="D2429" s="40" t="str">
        <f>IFERROR(__xludf.DUMMYFUNCTION("""COMPUTED_VALUE"""),"Y21d series")</f>
        <v>Y21d series</v>
      </c>
      <c r="E2429" s="40" t="s">
        <v>11433</v>
      </c>
      <c r="F2429" s="40" t="s">
        <v>313</v>
      </c>
      <c r="G2429" s="40" t="s">
        <v>11434</v>
      </c>
      <c r="H2429" s="40" t="s">
        <v>11424</v>
      </c>
    </row>
    <row r="2430">
      <c r="A2430" s="39">
        <f>IFERROR(__xludf.DUMMYFUNCTION("""COMPUTED_VALUE"""),45971.40634148148)</f>
        <v>45971.40634</v>
      </c>
      <c r="B2430" s="40" t="str">
        <f>IFERROR(__xludf.DUMMYFUNCTION("""COMPUTED_VALUE"""),"SULIS NURAINI INSYATUN")</f>
        <v>SULIS NURAINI INSYATUN</v>
      </c>
      <c r="C2430" s="40" t="str">
        <f>IFERROR(__xludf.DUMMYFUNCTION("""COMPUTED_VALUE"""),"Belum disetujui")</f>
        <v>Belum disetujui</v>
      </c>
      <c r="D2430" s="40"/>
      <c r="E2430" s="40" t="s">
        <v>11429</v>
      </c>
      <c r="F2430" s="40" t="s">
        <v>257</v>
      </c>
      <c r="G2430" s="40" t="s">
        <v>11430</v>
      </c>
      <c r="H2430" s="40" t="s">
        <v>11419</v>
      </c>
    </row>
    <row r="2431">
      <c r="A2431" s="39">
        <f>IFERROR(__xludf.DUMMYFUNCTION("""COMPUTED_VALUE"""),45971.4089162037)</f>
        <v>45971.40892</v>
      </c>
      <c r="B2431" s="40" t="str">
        <f>IFERROR(__xludf.DUMMYFUNCTION("""COMPUTED_VALUE"""),"SANTI MARIA LUKMINI NAHAK")</f>
        <v>SANTI MARIA LUKMINI NAHAK</v>
      </c>
      <c r="C2431" s="40" t="str">
        <f>IFERROR(__xludf.DUMMYFUNCTION("""COMPUTED_VALUE"""),"Belum disetujui")</f>
        <v>Belum disetujui</v>
      </c>
      <c r="D2431" s="40"/>
      <c r="E2431" s="40" t="s">
        <v>11460</v>
      </c>
      <c r="F2431" s="40" t="s">
        <v>871</v>
      </c>
      <c r="G2431" s="40" t="s">
        <v>11461</v>
      </c>
      <c r="H2431" s="40" t="s">
        <v>11424</v>
      </c>
    </row>
    <row r="2432">
      <c r="A2432" s="39">
        <f>IFERROR(__xludf.DUMMYFUNCTION("""COMPUTED_VALUE"""),45971.41075285879)</f>
        <v>45971.41075</v>
      </c>
      <c r="B2432" s="40" t="str">
        <f>IFERROR(__xludf.DUMMYFUNCTION("""COMPUTED_VALUE"""),"SANTI MARIA LUKMINI NAHAK")</f>
        <v>SANTI MARIA LUKMINI NAHAK</v>
      </c>
      <c r="C2432" s="40" t="str">
        <f>IFERROR(__xludf.DUMMYFUNCTION("""COMPUTED_VALUE"""),"Belum disetujui")</f>
        <v>Belum disetujui</v>
      </c>
      <c r="D2432" s="40"/>
      <c r="E2432" s="40" t="s">
        <v>11460</v>
      </c>
      <c r="F2432" s="40" t="s">
        <v>871</v>
      </c>
      <c r="G2432" s="40" t="s">
        <v>11461</v>
      </c>
      <c r="H2432" s="40" t="s">
        <v>11424</v>
      </c>
    </row>
    <row r="2433">
      <c r="A2433" s="39">
        <f>IFERROR(__xludf.DUMMYFUNCTION("""COMPUTED_VALUE"""),45971.41489046296)</f>
        <v>45971.41489</v>
      </c>
      <c r="B2433" s="40" t="str">
        <f>IFERROR(__xludf.DUMMYFUNCTION("""COMPUTED_VALUE"""),"DEWI RAHMAN")</f>
        <v>DEWI RAHMAN</v>
      </c>
      <c r="C2433" s="40" t="str">
        <f>IFERROR(__xludf.DUMMYFUNCTION("""COMPUTED_VALUE"""),"Belum disetujui")</f>
        <v>Belum disetujui</v>
      </c>
      <c r="D2433" s="40"/>
      <c r="E2433" s="40" t="s">
        <v>11449</v>
      </c>
      <c r="F2433" s="40" t="s">
        <v>11450</v>
      </c>
      <c r="G2433" s="40" t="s">
        <v>11451</v>
      </c>
      <c r="H2433" s="40" t="s">
        <v>11424</v>
      </c>
    </row>
    <row r="2434">
      <c r="A2434" s="39">
        <f>IFERROR(__xludf.DUMMYFUNCTION("""COMPUTED_VALUE"""),45971.41773248842)</f>
        <v>45971.41773</v>
      </c>
      <c r="B2434" s="40" t="str">
        <f>IFERROR(__xludf.DUMMYFUNCTION("""COMPUTED_VALUE"""),"MERDA PUTRI BUNGSU KENAT")</f>
        <v>MERDA PUTRI BUNGSU KENAT</v>
      </c>
      <c r="C2434" s="40" t="str">
        <f>IFERROR(__xludf.DUMMYFUNCTION("""COMPUTED_VALUE"""),"Belum disetujui")</f>
        <v>Belum disetujui</v>
      </c>
      <c r="D2434" s="40"/>
      <c r="E2434" s="40" t="s">
        <v>11422</v>
      </c>
      <c r="F2434" s="40" t="s">
        <v>215</v>
      </c>
      <c r="G2434" s="40" t="s">
        <v>11423</v>
      </c>
      <c r="H2434" s="40" t="s">
        <v>11424</v>
      </c>
    </row>
    <row r="2435">
      <c r="A2435" s="39">
        <f>IFERROR(__xludf.DUMMYFUNCTION("""COMPUTED_VALUE"""),45971.436216319446)</f>
        <v>45971.43622</v>
      </c>
      <c r="B2435" s="40" t="str">
        <f>IFERROR(__xludf.DUMMYFUNCTION("""COMPUTED_VALUE"""),"YOMELIANA MARIA MAGNO")</f>
        <v>YOMELIANA MARIA MAGNO</v>
      </c>
      <c r="C2435" s="40" t="str">
        <f>IFERROR(__xludf.DUMMYFUNCTION("""COMPUTED_VALUE"""),"Dapat limit tapi belum diproses")</f>
        <v>Dapat limit tapi belum diproses</v>
      </c>
      <c r="D2435" s="40" t="str">
        <f>IFERROR(__xludf.DUMMYFUNCTION("""COMPUTED_VALUE"""),"Y21d series")</f>
        <v>Y21d series</v>
      </c>
      <c r="E2435" s="40" t="s">
        <v>11460</v>
      </c>
      <c r="F2435" s="40" t="s">
        <v>871</v>
      </c>
      <c r="G2435" s="40" t="s">
        <v>11461</v>
      </c>
      <c r="H2435" s="40" t="s">
        <v>11424</v>
      </c>
    </row>
    <row r="2436">
      <c r="A2436" s="39">
        <f>IFERROR(__xludf.DUMMYFUNCTION("""COMPUTED_VALUE"""),45971.44729991899)</f>
        <v>45971.4473</v>
      </c>
      <c r="B2436" s="40" t="str">
        <f>IFERROR(__xludf.DUMMYFUNCTION("""COMPUTED_VALUE"""),"ESTER LUDJI")</f>
        <v>ESTER LUDJI</v>
      </c>
      <c r="C2436" s="40" t="str">
        <f>IFERROR(__xludf.DUMMYFUNCTION("""COMPUTED_VALUE"""),"ACC")</f>
        <v>ACC</v>
      </c>
      <c r="D2436" s="40" t="str">
        <f>IFERROR(__xludf.DUMMYFUNCTION("""COMPUTED_VALUE"""),"Y21d series")</f>
        <v>Y21d series</v>
      </c>
      <c r="E2436" s="40" t="s">
        <v>11441</v>
      </c>
      <c r="F2436" s="40" t="s">
        <v>205</v>
      </c>
      <c r="G2436" s="40" t="s">
        <v>11442</v>
      </c>
      <c r="H2436" s="40" t="s">
        <v>11419</v>
      </c>
    </row>
    <row r="2437">
      <c r="A2437" s="39">
        <f>IFERROR(__xludf.DUMMYFUNCTION("""COMPUTED_VALUE"""),45971.44787375)</f>
        <v>45971.44787</v>
      </c>
      <c r="B2437" s="40" t="str">
        <f>IFERROR(__xludf.DUMMYFUNCTION("""COMPUTED_VALUE"""),"YUNITA TAMELAB")</f>
        <v>YUNITA TAMELAB</v>
      </c>
      <c r="C2437" s="40" t="str">
        <f>IFERROR(__xludf.DUMMYFUNCTION("""COMPUTED_VALUE"""),"Belum disetujui")</f>
        <v>Belum disetujui</v>
      </c>
      <c r="D2437" s="40"/>
      <c r="E2437" s="40" t="s">
        <v>11472</v>
      </c>
      <c r="F2437" s="40" t="s">
        <v>667</v>
      </c>
      <c r="G2437" s="40" t="s">
        <v>11473</v>
      </c>
      <c r="H2437" s="40" t="s">
        <v>11424</v>
      </c>
    </row>
    <row r="2438">
      <c r="A2438" s="39">
        <f>IFERROR(__xludf.DUMMYFUNCTION("""COMPUTED_VALUE"""),45971.45108357639)</f>
        <v>45971.45108</v>
      </c>
      <c r="B2438" s="40" t="str">
        <f>IFERROR(__xludf.DUMMYFUNCTION("""COMPUTED_VALUE"""),"YUNITA TAMELAB")</f>
        <v>YUNITA TAMELAB</v>
      </c>
      <c r="C2438" s="40" t="str">
        <f>IFERROR(__xludf.DUMMYFUNCTION("""COMPUTED_VALUE"""),"Belum disetujui")</f>
        <v>Belum disetujui</v>
      </c>
      <c r="D2438" s="40"/>
      <c r="E2438" s="40" t="s">
        <v>11472</v>
      </c>
      <c r="F2438" s="40" t="s">
        <v>667</v>
      </c>
      <c r="G2438" s="40" t="s">
        <v>11473</v>
      </c>
      <c r="H2438" s="40" t="s">
        <v>11424</v>
      </c>
    </row>
    <row r="2439">
      <c r="A2439" s="39">
        <f>IFERROR(__xludf.DUMMYFUNCTION("""COMPUTED_VALUE"""),45971.48088079861)</f>
        <v>45971.48088</v>
      </c>
      <c r="B2439" s="40" t="str">
        <f>IFERROR(__xludf.DUMMYFUNCTION("""COMPUTED_VALUE"""),"CHOIRUNISA ILHAM")</f>
        <v>CHOIRUNISA ILHAM</v>
      </c>
      <c r="C2439" s="40" t="str">
        <f>IFERROR(__xludf.DUMMYFUNCTION("""COMPUTED_VALUE"""),"ACC")</f>
        <v>ACC</v>
      </c>
      <c r="D2439" s="40" t="str">
        <f>IFERROR(__xludf.DUMMYFUNCTION("""COMPUTED_VALUE"""),"Y21d series")</f>
        <v>Y21d series</v>
      </c>
      <c r="E2439" s="40" t="s">
        <v>11404</v>
      </c>
      <c r="F2439" s="40" t="s">
        <v>11404</v>
      </c>
      <c r="G2439" s="40" t="s">
        <v>11404</v>
      </c>
      <c r="H2439" s="40" t="s">
        <v>11404</v>
      </c>
    </row>
    <row r="2440">
      <c r="A2440" s="39">
        <f>IFERROR(__xludf.DUMMYFUNCTION("""COMPUTED_VALUE"""),45971.489798055554)</f>
        <v>45971.4898</v>
      </c>
      <c r="B2440" s="40" t="str">
        <f>IFERROR(__xludf.DUMMYFUNCTION("""COMPUTED_VALUE"""),"ANNA RAHMATIA JUFRI")</f>
        <v>ANNA RAHMATIA JUFRI</v>
      </c>
      <c r="C2440" s="40" t="str">
        <f>IFERROR(__xludf.DUMMYFUNCTION("""COMPUTED_VALUE"""),"ACC")</f>
        <v>ACC</v>
      </c>
      <c r="D2440" s="40" t="str">
        <f>IFERROR(__xludf.DUMMYFUNCTION("""COMPUTED_VALUE"""),"Y400 series")</f>
        <v>Y400 series</v>
      </c>
      <c r="E2440" s="40" t="s">
        <v>11484</v>
      </c>
      <c r="F2440" s="40" t="s">
        <v>11450</v>
      </c>
      <c r="G2440" s="40" t="s">
        <v>11485</v>
      </c>
      <c r="H2440" s="40" t="s">
        <v>11424</v>
      </c>
    </row>
    <row r="2441">
      <c r="A2441" s="39">
        <f>IFERROR(__xludf.DUMMYFUNCTION("""COMPUTED_VALUE"""),45971.49133609954)</f>
        <v>45971.49134</v>
      </c>
      <c r="B2441" s="40" t="str">
        <f>IFERROR(__xludf.DUMMYFUNCTION("""COMPUTED_VALUE"""),"SANTI MARIA LUKMINI NAHAK")</f>
        <v>SANTI MARIA LUKMINI NAHAK</v>
      </c>
      <c r="C2441" s="40" t="str">
        <f>IFERROR(__xludf.DUMMYFUNCTION("""COMPUTED_VALUE"""),"ACC")</f>
        <v>ACC</v>
      </c>
      <c r="D2441" s="40" t="str">
        <f>IFERROR(__xludf.DUMMYFUNCTION("""COMPUTED_VALUE"""),"Y21d series")</f>
        <v>Y21d series</v>
      </c>
      <c r="E2441" s="40" t="s">
        <v>11460</v>
      </c>
      <c r="F2441" s="40" t="s">
        <v>871</v>
      </c>
      <c r="G2441" s="40" t="s">
        <v>11461</v>
      </c>
      <c r="H2441" s="40" t="s">
        <v>11424</v>
      </c>
    </row>
    <row r="2442">
      <c r="A2442" s="39">
        <f>IFERROR(__xludf.DUMMYFUNCTION("""COMPUTED_VALUE"""),45971.49348900463)</f>
        <v>45971.49349</v>
      </c>
      <c r="B2442" s="40" t="str">
        <f>IFERROR(__xludf.DUMMYFUNCTION("""COMPUTED_VALUE"""),"MARNITHA JUWIKE TIMORATI RUNESI")</f>
        <v>MARNITHA JUWIKE TIMORATI RUNESI</v>
      </c>
      <c r="C2442" s="40" t="str">
        <f>IFERROR(__xludf.DUMMYFUNCTION("""COMPUTED_VALUE"""),"Belum disetujui")</f>
        <v>Belum disetujui</v>
      </c>
      <c r="D2442" s="40"/>
      <c r="E2442" s="40" t="s">
        <v>11420</v>
      </c>
      <c r="F2442" s="40" t="s">
        <v>204</v>
      </c>
      <c r="G2442" s="40" t="s">
        <v>11421</v>
      </c>
      <c r="H2442" s="40" t="s">
        <v>11399</v>
      </c>
    </row>
    <row r="2443">
      <c r="A2443" s="39">
        <f>IFERROR(__xludf.DUMMYFUNCTION("""COMPUTED_VALUE"""),45971.49371224537)</f>
        <v>45971.49371</v>
      </c>
      <c r="B2443" s="40" t="str">
        <f>IFERROR(__xludf.DUMMYFUNCTION("""COMPUTED_VALUE"""),"NENY MERLIANTI NA'U")</f>
        <v>NENY MERLIANTI NA'U</v>
      </c>
      <c r="C2443" s="40" t="str">
        <f>IFERROR(__xludf.DUMMYFUNCTION("""COMPUTED_VALUE"""),"Belum disetujui")</f>
        <v>Belum disetujui</v>
      </c>
      <c r="D2443" s="40"/>
      <c r="E2443" s="40" t="s">
        <v>11476</v>
      </c>
      <c r="F2443" s="40" t="s">
        <v>204</v>
      </c>
      <c r="G2443" s="40" t="s">
        <v>11477</v>
      </c>
      <c r="H2443" s="40" t="s">
        <v>11399</v>
      </c>
    </row>
    <row r="2444">
      <c r="A2444" s="39">
        <f>IFERROR(__xludf.DUMMYFUNCTION("""COMPUTED_VALUE"""),45971.494735555556)</f>
        <v>45971.49474</v>
      </c>
      <c r="B2444" s="40" t="str">
        <f>IFERROR(__xludf.DUMMYFUNCTION("""COMPUTED_VALUE"""),"MARNITHA JUWIKE TIMORATI RUNESI")</f>
        <v>MARNITHA JUWIKE TIMORATI RUNESI</v>
      </c>
      <c r="C2444" s="40" t="str">
        <f>IFERROR(__xludf.DUMMYFUNCTION("""COMPUTED_VALUE"""),"Dapat limit tapi belum diproses")</f>
        <v>Dapat limit tapi belum diproses</v>
      </c>
      <c r="D2444" s="40" t="str">
        <f>IFERROR(__xludf.DUMMYFUNCTION("""COMPUTED_VALUE"""),"Y400 series")</f>
        <v>Y400 series</v>
      </c>
      <c r="E2444" s="40" t="s">
        <v>11420</v>
      </c>
      <c r="F2444" s="40" t="s">
        <v>204</v>
      </c>
      <c r="G2444" s="40" t="s">
        <v>11421</v>
      </c>
      <c r="H2444" s="40" t="s">
        <v>11399</v>
      </c>
    </row>
    <row r="2445">
      <c r="A2445" s="39">
        <f>IFERROR(__xludf.DUMMYFUNCTION("""COMPUTED_VALUE"""),45971.49532765046)</f>
        <v>45971.49533</v>
      </c>
      <c r="B2445" s="40" t="str">
        <f>IFERROR(__xludf.DUMMYFUNCTION("""COMPUTED_VALUE"""),"CHOIRUNISA ILHAM")</f>
        <v>CHOIRUNISA ILHAM</v>
      </c>
      <c r="C2445" s="40" t="str">
        <f>IFERROR(__xludf.DUMMYFUNCTION("""COMPUTED_VALUE"""),"Belum disetujui")</f>
        <v>Belum disetujui</v>
      </c>
      <c r="D2445" s="40"/>
      <c r="E2445" s="40" t="s">
        <v>11404</v>
      </c>
      <c r="F2445" s="40" t="s">
        <v>11404</v>
      </c>
      <c r="G2445" s="40" t="s">
        <v>11404</v>
      </c>
      <c r="H2445" s="40" t="s">
        <v>11404</v>
      </c>
    </row>
    <row r="2446">
      <c r="A2446" s="39">
        <f>IFERROR(__xludf.DUMMYFUNCTION("""COMPUTED_VALUE"""),45971.49826763889)</f>
        <v>45971.49827</v>
      </c>
      <c r="B2446" s="40" t="str">
        <f>IFERROR(__xludf.DUMMYFUNCTION("""COMPUTED_VALUE"""),"SANDRA LAU")</f>
        <v>SANDRA LAU</v>
      </c>
      <c r="C2446" s="40" t="str">
        <f>IFERROR(__xludf.DUMMYFUNCTION("""COMPUTED_VALUE"""),"Belum disetujui")</f>
        <v>Belum disetujui</v>
      </c>
      <c r="D2446" s="40"/>
      <c r="E2446" s="40" t="s">
        <v>11460</v>
      </c>
      <c r="F2446" s="40" t="s">
        <v>871</v>
      </c>
      <c r="G2446" s="40" t="s">
        <v>11461</v>
      </c>
      <c r="H2446" s="40" t="s">
        <v>11424</v>
      </c>
    </row>
    <row r="2447">
      <c r="A2447" s="39">
        <f>IFERROR(__xludf.DUMMYFUNCTION("""COMPUTED_VALUE"""),45971.50386133102)</f>
        <v>45971.50386</v>
      </c>
      <c r="B2447" s="40" t="str">
        <f>IFERROR(__xludf.DUMMYFUNCTION("""COMPUTED_VALUE"""),"SANDRA LAU")</f>
        <v>SANDRA LAU</v>
      </c>
      <c r="C2447" s="40" t="str">
        <f>IFERROR(__xludf.DUMMYFUNCTION("""COMPUTED_VALUE"""),"Belum disetujui")</f>
        <v>Belum disetujui</v>
      </c>
      <c r="D2447" s="40"/>
      <c r="E2447" s="40" t="s">
        <v>11460</v>
      </c>
      <c r="F2447" s="40" t="s">
        <v>871</v>
      </c>
      <c r="G2447" s="40" t="s">
        <v>11461</v>
      </c>
      <c r="H2447" s="40" t="s">
        <v>11424</v>
      </c>
    </row>
    <row r="2448">
      <c r="A2448" s="39">
        <f>IFERROR(__xludf.DUMMYFUNCTION("""COMPUTED_VALUE"""),45971.50451917824)</f>
        <v>45971.50452</v>
      </c>
      <c r="B2448" s="40" t="str">
        <f>IFERROR(__xludf.DUMMYFUNCTION("""COMPUTED_VALUE"""),"NUR FATIMAH MOLBANG")</f>
        <v>NUR FATIMAH MOLBANG</v>
      </c>
      <c r="C2448" s="40" t="str">
        <f>IFERROR(__xludf.DUMMYFUNCTION("""COMPUTED_VALUE"""),"Belum disetujui")</f>
        <v>Belum disetujui</v>
      </c>
      <c r="D2448" s="40"/>
      <c r="E2448" s="40" t="s">
        <v>11439</v>
      </c>
      <c r="F2448" s="40" t="s">
        <v>313</v>
      </c>
      <c r="G2448" s="40" t="s">
        <v>11440</v>
      </c>
      <c r="H2448" s="40" t="s">
        <v>11424</v>
      </c>
    </row>
    <row r="2449">
      <c r="A2449" s="39">
        <f>IFERROR(__xludf.DUMMYFUNCTION("""COMPUTED_VALUE"""),45971.508876238426)</f>
        <v>45971.50888</v>
      </c>
      <c r="B2449" s="40" t="str">
        <f>IFERROR(__xludf.DUMMYFUNCTION("""COMPUTED_VALUE"""),"NUR FATIMAH MOLBANG")</f>
        <v>NUR FATIMAH MOLBANG</v>
      </c>
      <c r="C2449" s="40" t="str">
        <f>IFERROR(__xludf.DUMMYFUNCTION("""COMPUTED_VALUE"""),"Belum disetujui")</f>
        <v>Belum disetujui</v>
      </c>
      <c r="D2449" s="40"/>
      <c r="E2449" s="40" t="s">
        <v>11439</v>
      </c>
      <c r="F2449" s="40" t="s">
        <v>313</v>
      </c>
      <c r="G2449" s="40" t="s">
        <v>11440</v>
      </c>
      <c r="H2449" s="40" t="s">
        <v>11424</v>
      </c>
    </row>
    <row r="2450">
      <c r="A2450" s="39">
        <f>IFERROR(__xludf.DUMMYFUNCTION("""COMPUTED_VALUE"""),45971.50971518519)</f>
        <v>45971.50972</v>
      </c>
      <c r="B2450" s="40" t="str">
        <f>IFERROR(__xludf.DUMMYFUNCTION("""COMPUTED_VALUE"""),"KESIA NATALIA I. BENU")</f>
        <v>KESIA NATALIA I. BENU</v>
      </c>
      <c r="C2450" s="40" t="str">
        <f>IFERROR(__xludf.DUMMYFUNCTION("""COMPUTED_VALUE"""),"Belum disetujui")</f>
        <v>Belum disetujui</v>
      </c>
      <c r="D2450" s="40"/>
      <c r="E2450" s="40" t="s">
        <v>11417</v>
      </c>
      <c r="F2450" s="40" t="s">
        <v>257</v>
      </c>
      <c r="G2450" s="40" t="s">
        <v>11418</v>
      </c>
      <c r="H2450" s="40" t="s">
        <v>11419</v>
      </c>
    </row>
    <row r="2451">
      <c r="A2451" s="39">
        <f>IFERROR(__xludf.DUMMYFUNCTION("""COMPUTED_VALUE"""),45971.511027650464)</f>
        <v>45971.51103</v>
      </c>
      <c r="B2451" s="40" t="str">
        <f>IFERROR(__xludf.DUMMYFUNCTION("""COMPUTED_VALUE"""),"BERGITHA NIA OLIN")</f>
        <v>BERGITHA NIA OLIN</v>
      </c>
      <c r="C2451" s="40" t="str">
        <f>IFERROR(__xludf.DUMMYFUNCTION("""COMPUTED_VALUE"""),"ACC")</f>
        <v>ACC</v>
      </c>
      <c r="D2451" s="40" t="str">
        <f>IFERROR(__xludf.DUMMYFUNCTION("""COMPUTED_VALUE"""),"Y400 series")</f>
        <v>Y400 series</v>
      </c>
      <c r="E2451" s="40" t="s">
        <v>11431</v>
      </c>
      <c r="F2451" s="40" t="s">
        <v>313</v>
      </c>
      <c r="G2451" s="40" t="s">
        <v>11432</v>
      </c>
      <c r="H2451" s="40" t="s">
        <v>11424</v>
      </c>
    </row>
    <row r="2452">
      <c r="A2452" s="39">
        <f>IFERROR(__xludf.DUMMYFUNCTION("""COMPUTED_VALUE"""),45971.51359612269)</f>
        <v>45971.5136</v>
      </c>
      <c r="B2452" s="40" t="str">
        <f>IFERROR(__xludf.DUMMYFUNCTION("""COMPUTED_VALUE"""),"IRENE NOVALIA KADJU")</f>
        <v>IRENE NOVALIA KADJU</v>
      </c>
      <c r="C2452" s="40" t="str">
        <f>IFERROR(__xludf.DUMMYFUNCTION("""COMPUTED_VALUE"""),"Dapat limit tapi belum diproses")</f>
        <v>Dapat limit tapi belum diproses</v>
      </c>
      <c r="D2452" s="40" t="str">
        <f>IFERROR(__xludf.DUMMYFUNCTION("""COMPUTED_VALUE"""),"V60 Lite series")</f>
        <v>V60 Lite series</v>
      </c>
      <c r="E2452" s="40" t="s">
        <v>11445</v>
      </c>
      <c r="F2452" s="40" t="s">
        <v>204</v>
      </c>
      <c r="G2452" s="40" t="s">
        <v>11446</v>
      </c>
      <c r="H2452" s="40" t="s">
        <v>11399</v>
      </c>
    </row>
    <row r="2453">
      <c r="A2453" s="39">
        <f>IFERROR(__xludf.DUMMYFUNCTION("""COMPUTED_VALUE"""),45971.51544068287)</f>
        <v>45971.51544</v>
      </c>
      <c r="B2453" s="40" t="str">
        <f>IFERROR(__xludf.DUMMYFUNCTION("""COMPUTED_VALUE"""),"AINI RAHMATINI NATALIA MOESTAKIM")</f>
        <v>AINI RAHMATINI NATALIA MOESTAKIM</v>
      </c>
      <c r="C2453" s="40" t="str">
        <f>IFERROR(__xludf.DUMMYFUNCTION("""COMPUTED_VALUE"""),"Belum disetujui")</f>
        <v>Belum disetujui</v>
      </c>
      <c r="D2453" s="40"/>
      <c r="E2453" s="40" t="s">
        <v>11409</v>
      </c>
      <c r="F2453" s="40" t="s">
        <v>204</v>
      </c>
      <c r="G2453" s="40" t="s">
        <v>11410</v>
      </c>
      <c r="H2453" s="40" t="s">
        <v>11399</v>
      </c>
    </row>
    <row r="2454">
      <c r="A2454" s="39">
        <f>IFERROR(__xludf.DUMMYFUNCTION("""COMPUTED_VALUE"""),45971.523154999995)</f>
        <v>45971.52316</v>
      </c>
      <c r="B2454" s="40" t="str">
        <f>IFERROR(__xludf.DUMMYFUNCTION("""COMPUTED_VALUE"""),"EMPI FRANGKI LIEM")</f>
        <v>EMPI FRANGKI LIEM</v>
      </c>
      <c r="C2454" s="40" t="str">
        <f>IFERROR(__xludf.DUMMYFUNCTION("""COMPUTED_VALUE"""),"Belum disetujui")</f>
        <v>Belum disetujui</v>
      </c>
      <c r="D2454" s="40"/>
      <c r="E2454" s="40" t="s">
        <v>11397</v>
      </c>
      <c r="F2454" s="40" t="s">
        <v>220</v>
      </c>
      <c r="G2454" s="40" t="s">
        <v>11398</v>
      </c>
      <c r="H2454" s="40" t="s">
        <v>11399</v>
      </c>
    </row>
    <row r="2455">
      <c r="A2455" s="39">
        <f>IFERROR(__xludf.DUMMYFUNCTION("""COMPUTED_VALUE"""),45971.52937685185)</f>
        <v>45971.52938</v>
      </c>
      <c r="B2455" s="40" t="str">
        <f>IFERROR(__xludf.DUMMYFUNCTION("""COMPUTED_VALUE"""),"TERSIANA KADJA PAU")</f>
        <v>TERSIANA KADJA PAU</v>
      </c>
      <c r="C2455" s="40" t="str">
        <f>IFERROR(__xludf.DUMMYFUNCTION("""COMPUTED_VALUE"""),"Belum disetujui")</f>
        <v>Belum disetujui</v>
      </c>
      <c r="D2455" s="40"/>
      <c r="E2455" s="40" t="s">
        <v>11411</v>
      </c>
      <c r="F2455" s="40" t="s">
        <v>220</v>
      </c>
      <c r="G2455" s="40" t="s">
        <v>11412</v>
      </c>
      <c r="H2455" s="40" t="s">
        <v>11399</v>
      </c>
    </row>
    <row r="2456">
      <c r="A2456" s="39">
        <f>IFERROR(__xludf.DUMMYFUNCTION("""COMPUTED_VALUE"""),45971.554418078704)</f>
        <v>45971.55442</v>
      </c>
      <c r="B2456" s="40" t="str">
        <f>IFERROR(__xludf.DUMMYFUNCTION("""COMPUTED_VALUE"""),"CHOIRUNISA ILHAM")</f>
        <v>CHOIRUNISA ILHAM</v>
      </c>
      <c r="C2456" s="40" t="str">
        <f>IFERROR(__xludf.DUMMYFUNCTION("""COMPUTED_VALUE"""),"Belum disetujui")</f>
        <v>Belum disetujui</v>
      </c>
      <c r="D2456" s="40"/>
      <c r="E2456" s="40" t="s">
        <v>11404</v>
      </c>
      <c r="F2456" s="40" t="s">
        <v>11404</v>
      </c>
      <c r="G2456" s="40" t="s">
        <v>11404</v>
      </c>
      <c r="H2456" s="40" t="s">
        <v>11404</v>
      </c>
    </row>
    <row r="2457">
      <c r="A2457" s="39">
        <f>IFERROR(__xludf.DUMMYFUNCTION("""COMPUTED_VALUE"""),45971.56844180555)</f>
        <v>45971.56844</v>
      </c>
      <c r="B2457" s="40" t="str">
        <f>IFERROR(__xludf.DUMMYFUNCTION("""COMPUTED_VALUE"""),"BERGITHA NIA OLIN")</f>
        <v>BERGITHA NIA OLIN</v>
      </c>
      <c r="C2457" s="40" t="str">
        <f>IFERROR(__xludf.DUMMYFUNCTION("""COMPUTED_VALUE"""),"Belum disetujui")</f>
        <v>Belum disetujui</v>
      </c>
      <c r="D2457" s="40"/>
      <c r="E2457" s="40" t="s">
        <v>11431</v>
      </c>
      <c r="F2457" s="40" t="s">
        <v>313</v>
      </c>
      <c r="G2457" s="40" t="s">
        <v>11432</v>
      </c>
      <c r="H2457" s="40" t="s">
        <v>11424</v>
      </c>
    </row>
    <row r="2458">
      <c r="A2458" s="39">
        <f>IFERROR(__xludf.DUMMYFUNCTION("""COMPUTED_VALUE"""),45971.57885725695)</f>
        <v>45971.57886</v>
      </c>
      <c r="B2458" s="40" t="str">
        <f>IFERROR(__xludf.DUMMYFUNCTION("""COMPUTED_VALUE"""),"YOVANDA KATRINA NAE")</f>
        <v>YOVANDA KATRINA NAE</v>
      </c>
      <c r="C2458" s="40" t="str">
        <f>IFERROR(__xludf.DUMMYFUNCTION("""COMPUTED_VALUE"""),"ACC")</f>
        <v>ACC</v>
      </c>
      <c r="D2458" s="40" t="str">
        <f>IFERROR(__xludf.DUMMYFUNCTION("""COMPUTED_VALUE"""),"Y21d series")</f>
        <v>Y21d series</v>
      </c>
      <c r="E2458" s="40" t="s">
        <v>11425</v>
      </c>
      <c r="F2458" s="40" t="s">
        <v>205</v>
      </c>
      <c r="G2458" s="40" t="s">
        <v>11426</v>
      </c>
      <c r="H2458" s="40" t="s">
        <v>11419</v>
      </c>
    </row>
    <row r="2459">
      <c r="A2459" s="39">
        <f>IFERROR(__xludf.DUMMYFUNCTION("""COMPUTED_VALUE"""),45971.583056678246)</f>
        <v>45971.58306</v>
      </c>
      <c r="B2459" s="40" t="str">
        <f>IFERROR(__xludf.DUMMYFUNCTION("""COMPUTED_VALUE"""),"SANTI MARIA LUKMINI NAHAK")</f>
        <v>SANTI MARIA LUKMINI NAHAK</v>
      </c>
      <c r="C2459" s="40" t="str">
        <f>IFERROR(__xludf.DUMMYFUNCTION("""COMPUTED_VALUE"""),"Belum disetujui")</f>
        <v>Belum disetujui</v>
      </c>
      <c r="D2459" s="40"/>
      <c r="E2459" s="40" t="s">
        <v>11460</v>
      </c>
      <c r="F2459" s="40" t="s">
        <v>871</v>
      </c>
      <c r="G2459" s="40" t="s">
        <v>11461</v>
      </c>
      <c r="H2459" s="40" t="s">
        <v>11424</v>
      </c>
    </row>
    <row r="2460">
      <c r="A2460" s="39">
        <f>IFERROR(__xludf.DUMMYFUNCTION("""COMPUTED_VALUE"""),45971.60702978009)</f>
        <v>45971.60703</v>
      </c>
      <c r="B2460" s="40" t="str">
        <f>IFERROR(__xludf.DUMMYFUNCTION("""COMPUTED_VALUE"""),"MERDA PUTRI BUNGSU KENAT")</f>
        <v>MERDA PUTRI BUNGSU KENAT</v>
      </c>
      <c r="C2460" s="40" t="str">
        <f>IFERROR(__xludf.DUMMYFUNCTION("""COMPUTED_VALUE"""),"Belum disetujui")</f>
        <v>Belum disetujui</v>
      </c>
      <c r="D2460" s="40"/>
      <c r="E2460" s="40" t="s">
        <v>11422</v>
      </c>
      <c r="F2460" s="40" t="s">
        <v>215</v>
      </c>
      <c r="G2460" s="40" t="s">
        <v>11423</v>
      </c>
      <c r="H2460" s="40" t="s">
        <v>11424</v>
      </c>
    </row>
    <row r="2461">
      <c r="A2461" s="39">
        <f>IFERROR(__xludf.DUMMYFUNCTION("""COMPUTED_VALUE"""),45971.67179818287)</f>
        <v>45971.6718</v>
      </c>
      <c r="B2461" s="40" t="str">
        <f>IFERROR(__xludf.DUMMYFUNCTION("""COMPUTED_VALUE"""),"MARNITHA JUWIKE TIMORATI RUNESI")</f>
        <v>MARNITHA JUWIKE TIMORATI RUNESI</v>
      </c>
      <c r="C2461" s="40" t="str">
        <f>IFERROR(__xludf.DUMMYFUNCTION("""COMPUTED_VALUE"""),"Belum disetujui")</f>
        <v>Belum disetujui</v>
      </c>
      <c r="D2461" s="40"/>
      <c r="E2461" s="40" t="s">
        <v>11420</v>
      </c>
      <c r="F2461" s="40" t="s">
        <v>204</v>
      </c>
      <c r="G2461" s="40" t="s">
        <v>11421</v>
      </c>
      <c r="H2461" s="40" t="s">
        <v>11399</v>
      </c>
    </row>
    <row r="2462">
      <c r="A2462" s="39">
        <f>IFERROR(__xludf.DUMMYFUNCTION("""COMPUTED_VALUE"""),45971.68461091435)</f>
        <v>45971.68461</v>
      </c>
      <c r="B2462" s="40" t="str">
        <f>IFERROR(__xludf.DUMMYFUNCTION("""COMPUTED_VALUE"""),"ARMINDA TEKU MANEK")</f>
        <v>ARMINDA TEKU MANEK</v>
      </c>
      <c r="C2462" s="40" t="str">
        <f>IFERROR(__xludf.DUMMYFUNCTION("""COMPUTED_VALUE"""),"Dapat limit tapi belum diproses")</f>
        <v>Dapat limit tapi belum diproses</v>
      </c>
      <c r="D2462" s="40" t="str">
        <f>IFERROR(__xludf.DUMMYFUNCTION("""COMPUTED_VALUE"""),"Y21d series")</f>
        <v>Y21d series</v>
      </c>
      <c r="E2462" s="40" t="s">
        <v>11474</v>
      </c>
      <c r="F2462" s="40" t="s">
        <v>313</v>
      </c>
      <c r="G2462" s="40" t="s">
        <v>11475</v>
      </c>
      <c r="H2462" s="40" t="s">
        <v>11424</v>
      </c>
    </row>
    <row r="2463">
      <c r="A2463" s="39">
        <f>IFERROR(__xludf.DUMMYFUNCTION("""COMPUTED_VALUE"""),45971.68634313657)</f>
        <v>45971.68634</v>
      </c>
      <c r="B2463" s="40" t="str">
        <f>IFERROR(__xludf.DUMMYFUNCTION("""COMPUTED_VALUE"""),"WARDIA")</f>
        <v>WARDIA</v>
      </c>
      <c r="C2463" s="40" t="str">
        <f>IFERROR(__xludf.DUMMYFUNCTION("""COMPUTED_VALUE"""),"Dapat limit tapi belum diproses")</f>
        <v>Dapat limit tapi belum diproses</v>
      </c>
      <c r="D2463" s="40" t="str">
        <f>IFERROR(__xludf.DUMMYFUNCTION("""COMPUTED_VALUE"""),"Y21d series")</f>
        <v>Y21d series</v>
      </c>
      <c r="E2463" s="40" t="s">
        <v>11409</v>
      </c>
      <c r="F2463" s="40" t="s">
        <v>204</v>
      </c>
      <c r="G2463" s="40" t="s">
        <v>11410</v>
      </c>
      <c r="H2463" s="40" t="s">
        <v>11399</v>
      </c>
    </row>
    <row r="2464">
      <c r="A2464" s="39">
        <f>IFERROR(__xludf.DUMMYFUNCTION("""COMPUTED_VALUE"""),45971.690294652784)</f>
        <v>45971.69029</v>
      </c>
      <c r="B2464" s="40" t="str">
        <f>IFERROR(__xludf.DUMMYFUNCTION("""COMPUTED_VALUE"""),"NOVLIANA BARBALINA MISA")</f>
        <v>NOVLIANA BARBALINA MISA</v>
      </c>
      <c r="C2464" s="40" t="str">
        <f>IFERROR(__xludf.DUMMYFUNCTION("""COMPUTED_VALUE"""),"Belum disetujui")</f>
        <v>Belum disetujui</v>
      </c>
      <c r="D2464" s="40"/>
      <c r="E2464" s="40" t="s">
        <v>11454</v>
      </c>
      <c r="F2464" s="40" t="s">
        <v>205</v>
      </c>
      <c r="G2464" s="40" t="s">
        <v>11455</v>
      </c>
      <c r="H2464" s="40" t="s">
        <v>11419</v>
      </c>
    </row>
    <row r="2465">
      <c r="A2465" s="39">
        <f>IFERROR(__xludf.DUMMYFUNCTION("""COMPUTED_VALUE"""),45971.70262111111)</f>
        <v>45971.70262</v>
      </c>
      <c r="B2465" s="40" t="str">
        <f>IFERROR(__xludf.DUMMYFUNCTION("""COMPUTED_VALUE"""),"ALDIANA WELIA PANIE")</f>
        <v>ALDIANA WELIA PANIE</v>
      </c>
      <c r="C2465" s="40" t="str">
        <f>IFERROR(__xludf.DUMMYFUNCTION("""COMPUTED_VALUE"""),"ACC")</f>
        <v>ACC</v>
      </c>
      <c r="D2465" s="40" t="str">
        <f>IFERROR(__xludf.DUMMYFUNCTION("""COMPUTED_VALUE"""),"Y21d series")</f>
        <v>Y21d series</v>
      </c>
      <c r="E2465" s="40" t="s">
        <v>11422</v>
      </c>
      <c r="F2465" s="40" t="s">
        <v>215</v>
      </c>
      <c r="G2465" s="40" t="s">
        <v>11423</v>
      </c>
      <c r="H2465" s="40" t="s">
        <v>11424</v>
      </c>
    </row>
    <row r="2466">
      <c r="A2466" s="39">
        <f>IFERROR(__xludf.DUMMYFUNCTION("""COMPUTED_VALUE"""),45971.711316898145)</f>
        <v>45971.71132</v>
      </c>
      <c r="B2466" s="40" t="str">
        <f>IFERROR(__xludf.DUMMYFUNCTION("""COMPUTED_VALUE"""),"EMPI FRANGKI LIEM")</f>
        <v>EMPI FRANGKI LIEM</v>
      </c>
      <c r="C2466" s="40" t="str">
        <f>IFERROR(__xludf.DUMMYFUNCTION("""COMPUTED_VALUE"""),"Dapat limit tapi belum diproses")</f>
        <v>Dapat limit tapi belum diproses</v>
      </c>
      <c r="D2466" s="40" t="str">
        <f>IFERROR(__xludf.DUMMYFUNCTION("""COMPUTED_VALUE"""),"Y21d series")</f>
        <v>Y21d series</v>
      </c>
      <c r="E2466" s="40" t="s">
        <v>11397</v>
      </c>
      <c r="F2466" s="40" t="s">
        <v>220</v>
      </c>
      <c r="G2466" s="40" t="s">
        <v>11398</v>
      </c>
      <c r="H2466" s="40" t="s">
        <v>11399</v>
      </c>
    </row>
    <row r="2467">
      <c r="A2467" s="39">
        <f>IFERROR(__xludf.DUMMYFUNCTION("""COMPUTED_VALUE"""),45971.72154157408)</f>
        <v>45971.72154</v>
      </c>
      <c r="B2467" s="40" t="str">
        <f>IFERROR(__xludf.DUMMYFUNCTION("""COMPUTED_VALUE"""),"YUNITA TAMELAB")</f>
        <v>YUNITA TAMELAB</v>
      </c>
      <c r="C2467" s="40" t="str">
        <f>IFERROR(__xludf.DUMMYFUNCTION("""COMPUTED_VALUE"""),"ACC")</f>
        <v>ACC</v>
      </c>
      <c r="D2467" s="40" t="str">
        <f>IFERROR(__xludf.DUMMYFUNCTION("""COMPUTED_VALUE"""),"Y21d series")</f>
        <v>Y21d series</v>
      </c>
      <c r="E2467" s="40" t="s">
        <v>11472</v>
      </c>
      <c r="F2467" s="40" t="s">
        <v>667</v>
      </c>
      <c r="G2467" s="40" t="s">
        <v>11473</v>
      </c>
      <c r="H2467" s="40" t="s">
        <v>11424</v>
      </c>
    </row>
    <row r="2468">
      <c r="A2468" s="39">
        <f>IFERROR(__xludf.DUMMYFUNCTION("""COMPUTED_VALUE"""),45971.745096122686)</f>
        <v>45971.7451</v>
      </c>
      <c r="B2468" s="40" t="str">
        <f>IFERROR(__xludf.DUMMYFUNCTION("""COMPUTED_VALUE"""),"BERGITHA NIA OLIN")</f>
        <v>BERGITHA NIA OLIN</v>
      </c>
      <c r="C2468" s="40" t="str">
        <f>IFERROR(__xludf.DUMMYFUNCTION("""COMPUTED_VALUE"""),"Dapat limit tapi belum diproses")</f>
        <v>Dapat limit tapi belum diproses</v>
      </c>
      <c r="D2468" s="40" t="str">
        <f>IFERROR(__xludf.DUMMYFUNCTION("""COMPUTED_VALUE"""),"Y21d series")</f>
        <v>Y21d series</v>
      </c>
      <c r="E2468" s="40" t="s">
        <v>11431</v>
      </c>
      <c r="F2468" s="40" t="s">
        <v>313</v>
      </c>
      <c r="G2468" s="40" t="s">
        <v>11432</v>
      </c>
      <c r="H2468" s="40" t="s">
        <v>11424</v>
      </c>
    </row>
    <row r="2469">
      <c r="A2469" s="39">
        <f>IFERROR(__xludf.DUMMYFUNCTION("""COMPUTED_VALUE"""),45971.74758430555)</f>
        <v>45971.74758</v>
      </c>
      <c r="B2469" s="40" t="str">
        <f>IFERROR(__xludf.DUMMYFUNCTION("""COMPUTED_VALUE"""),"ADRIANA")</f>
        <v>ADRIANA</v>
      </c>
      <c r="C2469" s="40" t="str">
        <f>IFERROR(__xludf.DUMMYFUNCTION("""COMPUTED_VALUE"""),"Belum disetujui")</f>
        <v>Belum disetujui</v>
      </c>
      <c r="D2469" s="40"/>
      <c r="E2469" s="40" t="s">
        <v>11433</v>
      </c>
      <c r="F2469" s="40" t="s">
        <v>313</v>
      </c>
      <c r="G2469" s="40" t="s">
        <v>11434</v>
      </c>
      <c r="H2469" s="40" t="s">
        <v>11424</v>
      </c>
    </row>
    <row r="2470">
      <c r="A2470" s="39">
        <f>IFERROR(__xludf.DUMMYFUNCTION("""COMPUTED_VALUE"""),45971.74906537037)</f>
        <v>45971.74907</v>
      </c>
      <c r="B2470" s="40" t="str">
        <f>IFERROR(__xludf.DUMMYFUNCTION("""COMPUTED_VALUE"""),"ARMINDA TEKU MANEK")</f>
        <v>ARMINDA TEKU MANEK</v>
      </c>
      <c r="C2470" s="40" t="str">
        <f>IFERROR(__xludf.DUMMYFUNCTION("""COMPUTED_VALUE"""),"Belum disetujui")</f>
        <v>Belum disetujui</v>
      </c>
      <c r="D2470" s="40"/>
      <c r="E2470" s="40" t="s">
        <v>11474</v>
      </c>
      <c r="F2470" s="40" t="s">
        <v>313</v>
      </c>
      <c r="G2470" s="40" t="s">
        <v>11475</v>
      </c>
      <c r="H2470" s="40" t="s">
        <v>11424</v>
      </c>
    </row>
    <row r="2471">
      <c r="A2471" s="39">
        <f>IFERROR(__xludf.DUMMYFUNCTION("""COMPUTED_VALUE"""),45971.74996710648)</f>
        <v>45971.74997</v>
      </c>
      <c r="B2471" s="40" t="str">
        <f>IFERROR(__xludf.DUMMYFUNCTION("""COMPUTED_VALUE"""),"NUR FATIMAH MOLBANG")</f>
        <v>NUR FATIMAH MOLBANG</v>
      </c>
      <c r="C2471" s="40" t="str">
        <f>IFERROR(__xludf.DUMMYFUNCTION("""COMPUTED_VALUE"""),"Belum disetujui")</f>
        <v>Belum disetujui</v>
      </c>
      <c r="D2471" s="40"/>
      <c r="E2471" s="40" t="s">
        <v>11439</v>
      </c>
      <c r="F2471" s="40" t="s">
        <v>313</v>
      </c>
      <c r="G2471" s="40" t="s">
        <v>11440</v>
      </c>
      <c r="H2471" s="40" t="s">
        <v>11424</v>
      </c>
    </row>
    <row r="2472">
      <c r="A2472" s="39">
        <f>IFERROR(__xludf.DUMMYFUNCTION("""COMPUTED_VALUE"""),45971.76376126157)</f>
        <v>45971.76376</v>
      </c>
      <c r="B2472" s="40" t="str">
        <f>IFERROR(__xludf.DUMMYFUNCTION("""COMPUTED_VALUE"""),"IRENE NOVALIA KADJU")</f>
        <v>IRENE NOVALIA KADJU</v>
      </c>
      <c r="C2472" s="40" t="str">
        <f>IFERROR(__xludf.DUMMYFUNCTION("""COMPUTED_VALUE"""),"Belum disetujui")</f>
        <v>Belum disetujui</v>
      </c>
      <c r="D2472" s="40"/>
      <c r="E2472" s="40" t="s">
        <v>11445</v>
      </c>
      <c r="F2472" s="40" t="s">
        <v>204</v>
      </c>
      <c r="G2472" s="40" t="s">
        <v>11446</v>
      </c>
      <c r="H2472" s="40" t="s">
        <v>11399</v>
      </c>
    </row>
    <row r="2473">
      <c r="A2473" s="39">
        <f>IFERROR(__xludf.DUMMYFUNCTION("""COMPUTED_VALUE"""),45971.76550534722)</f>
        <v>45971.76551</v>
      </c>
      <c r="B2473" s="40" t="str">
        <f>IFERROR(__xludf.DUMMYFUNCTION("""COMPUTED_VALUE"""),"GRACELLA SARI HIVANA MANAFE")</f>
        <v>GRACELLA SARI HIVANA MANAFE</v>
      </c>
      <c r="C2473" s="40" t="str">
        <f>IFERROR(__xludf.DUMMYFUNCTION("""COMPUTED_VALUE"""),"Belum disetujui")</f>
        <v>Belum disetujui</v>
      </c>
      <c r="D2473" s="40"/>
      <c r="E2473" s="40" t="s">
        <v>11478</v>
      </c>
      <c r="F2473" s="40" t="s">
        <v>220</v>
      </c>
      <c r="G2473" s="40" t="s">
        <v>11479</v>
      </c>
      <c r="H2473" s="40" t="s">
        <v>11399</v>
      </c>
    </row>
    <row r="2474">
      <c r="A2474" s="39">
        <f>IFERROR(__xludf.DUMMYFUNCTION("""COMPUTED_VALUE"""),45971.765767187506)</f>
        <v>45971.76577</v>
      </c>
      <c r="B2474" s="40" t="str">
        <f>IFERROR(__xludf.DUMMYFUNCTION("""COMPUTED_VALUE"""),"IRENE NOVALIA KADJU")</f>
        <v>IRENE NOVALIA KADJU</v>
      </c>
      <c r="C2474" s="40" t="str">
        <f>IFERROR(__xludf.DUMMYFUNCTION("""COMPUTED_VALUE"""),"Belum disetujui")</f>
        <v>Belum disetujui</v>
      </c>
      <c r="D2474" s="40"/>
      <c r="E2474" s="40" t="s">
        <v>11445</v>
      </c>
      <c r="F2474" s="40" t="s">
        <v>204</v>
      </c>
      <c r="G2474" s="40" t="s">
        <v>11446</v>
      </c>
      <c r="H2474" s="40" t="s">
        <v>11399</v>
      </c>
    </row>
    <row r="2475">
      <c r="A2475" s="39">
        <f>IFERROR(__xludf.DUMMYFUNCTION("""COMPUTED_VALUE"""),45971.7784374537)</f>
        <v>45971.77844</v>
      </c>
      <c r="B2475" s="40" t="str">
        <f>IFERROR(__xludf.DUMMYFUNCTION("""COMPUTED_VALUE"""),"GRACELLA SARI HIVANA MANAFE")</f>
        <v>GRACELLA SARI HIVANA MANAFE</v>
      </c>
      <c r="C2475" s="40" t="str">
        <f>IFERROR(__xludf.DUMMYFUNCTION("""COMPUTED_VALUE"""),"Belum disetujui")</f>
        <v>Belum disetujui</v>
      </c>
      <c r="D2475" s="40"/>
      <c r="E2475" s="40" t="s">
        <v>11478</v>
      </c>
      <c r="F2475" s="40" t="s">
        <v>220</v>
      </c>
      <c r="G2475" s="40" t="s">
        <v>11479</v>
      </c>
      <c r="H2475" s="40" t="s">
        <v>11399</v>
      </c>
    </row>
    <row r="2476">
      <c r="A2476" s="39">
        <f>IFERROR(__xludf.DUMMYFUNCTION("""COMPUTED_VALUE"""),45971.78245747686)</f>
        <v>45971.78246</v>
      </c>
      <c r="B2476" s="40" t="str">
        <f>IFERROR(__xludf.DUMMYFUNCTION("""COMPUTED_VALUE"""),"AINI RAHMATINI NATALIA MOESTAKIM")</f>
        <v>AINI RAHMATINI NATALIA MOESTAKIM</v>
      </c>
      <c r="C2476" s="40" t="str">
        <f>IFERROR(__xludf.DUMMYFUNCTION("""COMPUTED_VALUE"""),"Belum disetujui")</f>
        <v>Belum disetujui</v>
      </c>
      <c r="D2476" s="40"/>
      <c r="E2476" s="40" t="s">
        <v>11409</v>
      </c>
      <c r="F2476" s="40" t="s">
        <v>204</v>
      </c>
      <c r="G2476" s="40" t="s">
        <v>11410</v>
      </c>
      <c r="H2476" s="40" t="s">
        <v>11399</v>
      </c>
    </row>
    <row r="2477">
      <c r="A2477" s="39">
        <f>IFERROR(__xludf.DUMMYFUNCTION("""COMPUTED_VALUE"""),45971.79873876157)</f>
        <v>45971.79874</v>
      </c>
      <c r="B2477" s="40" t="str">
        <f>IFERROR(__xludf.DUMMYFUNCTION("""COMPUTED_VALUE"""),"YASINTHA MBU")</f>
        <v>YASINTHA MBU</v>
      </c>
      <c r="C2477" s="40" t="str">
        <f>IFERROR(__xludf.DUMMYFUNCTION("""COMPUTED_VALUE"""),"ACC")</f>
        <v>ACC</v>
      </c>
      <c r="D2477" s="40" t="str">
        <f>IFERROR(__xludf.DUMMYFUNCTION("""COMPUTED_VALUE"""),"Y400 series")</f>
        <v>Y400 series</v>
      </c>
      <c r="E2477" s="40" t="s">
        <v>11407</v>
      </c>
      <c r="F2477" s="40" t="s">
        <v>220</v>
      </c>
      <c r="G2477" s="40" t="s">
        <v>11408</v>
      </c>
      <c r="H2477" s="40" t="s">
        <v>11399</v>
      </c>
    </row>
    <row r="2478">
      <c r="A2478" s="39">
        <f>IFERROR(__xludf.DUMMYFUNCTION("""COMPUTED_VALUE"""),45971.80506170139)</f>
        <v>45971.80506</v>
      </c>
      <c r="B2478" s="40" t="str">
        <f>IFERROR(__xludf.DUMMYFUNCTION("""COMPUTED_VALUE"""),"ESTER LUDJI")</f>
        <v>ESTER LUDJI</v>
      </c>
      <c r="C2478" s="40" t="str">
        <f>IFERROR(__xludf.DUMMYFUNCTION("""COMPUTED_VALUE"""),"Belum disetujui")</f>
        <v>Belum disetujui</v>
      </c>
      <c r="D2478" s="40"/>
      <c r="E2478" s="40" t="s">
        <v>11441</v>
      </c>
      <c r="F2478" s="40" t="s">
        <v>205</v>
      </c>
      <c r="G2478" s="40" t="s">
        <v>11442</v>
      </c>
      <c r="H2478" s="40" t="s">
        <v>11419</v>
      </c>
    </row>
    <row r="2479">
      <c r="A2479" s="39">
        <f>IFERROR(__xludf.DUMMYFUNCTION("""COMPUTED_VALUE"""),45971.813191898145)</f>
        <v>45971.81319</v>
      </c>
      <c r="B2479" s="40" t="str">
        <f>IFERROR(__xludf.DUMMYFUNCTION("""COMPUTED_VALUE"""),"NABILA RAHMAWATI")</f>
        <v>NABILA RAHMAWATI</v>
      </c>
      <c r="C2479" s="40" t="str">
        <f>IFERROR(__xludf.DUMMYFUNCTION("""COMPUTED_VALUE"""),"Belum disetujui")</f>
        <v>Belum disetujui</v>
      </c>
      <c r="D2479" s="40"/>
      <c r="E2479" s="40" t="s">
        <v>11464</v>
      </c>
      <c r="F2479" s="40" t="s">
        <v>257</v>
      </c>
      <c r="G2479" s="40" t="s">
        <v>11465</v>
      </c>
      <c r="H2479" s="40" t="s">
        <v>11419</v>
      </c>
    </row>
    <row r="2480">
      <c r="A2480" s="39">
        <f>IFERROR(__xludf.DUMMYFUNCTION("""COMPUTED_VALUE"""),45971.82263052084)</f>
        <v>45971.82263</v>
      </c>
      <c r="B2480" s="40" t="str">
        <f>IFERROR(__xludf.DUMMYFUNCTION("""COMPUTED_VALUE"""),"DEWI RAHMAN")</f>
        <v>DEWI RAHMAN</v>
      </c>
      <c r="C2480" s="40" t="str">
        <f>IFERROR(__xludf.DUMMYFUNCTION("""COMPUTED_VALUE"""),"ACC")</f>
        <v>ACC</v>
      </c>
      <c r="D2480" s="40" t="str">
        <f>IFERROR(__xludf.DUMMYFUNCTION("""COMPUTED_VALUE"""),"Y21d series")</f>
        <v>Y21d series</v>
      </c>
      <c r="E2480" s="40" t="s">
        <v>11449</v>
      </c>
      <c r="F2480" s="40" t="s">
        <v>11450</v>
      </c>
      <c r="G2480" s="40" t="s">
        <v>11451</v>
      </c>
      <c r="H2480" s="40" t="s">
        <v>11424</v>
      </c>
    </row>
    <row r="2481">
      <c r="A2481" s="39">
        <f>IFERROR(__xludf.DUMMYFUNCTION("""COMPUTED_VALUE"""),45971.82349675925)</f>
        <v>45971.8235</v>
      </c>
      <c r="B2481" s="40" t="str">
        <f>IFERROR(__xludf.DUMMYFUNCTION("""COMPUTED_VALUE"""),"ADRIANA")</f>
        <v>ADRIANA</v>
      </c>
      <c r="C2481" s="40" t="str">
        <f>IFERROR(__xludf.DUMMYFUNCTION("""COMPUTED_VALUE"""),"ACC")</f>
        <v>ACC</v>
      </c>
      <c r="D2481" s="40" t="str">
        <f>IFERROR(__xludf.DUMMYFUNCTION("""COMPUTED_VALUE"""),"Y21d series")</f>
        <v>Y21d series</v>
      </c>
      <c r="E2481" s="40" t="s">
        <v>11433</v>
      </c>
      <c r="F2481" s="40" t="s">
        <v>313</v>
      </c>
      <c r="G2481" s="40" t="s">
        <v>11434</v>
      </c>
      <c r="H2481" s="40" t="s">
        <v>11424</v>
      </c>
    </row>
    <row r="2482">
      <c r="A2482" s="39">
        <f>IFERROR(__xludf.DUMMYFUNCTION("""COMPUTED_VALUE"""),45971.85598471065)</f>
        <v>45971.85598</v>
      </c>
      <c r="B2482" s="40" t="str">
        <f>IFERROR(__xludf.DUMMYFUNCTION("""COMPUTED_VALUE"""),"MEXY ALEXANDER HETMINA")</f>
        <v>MEXY ALEXANDER HETMINA</v>
      </c>
      <c r="C2482" s="40" t="str">
        <f>IFERROR(__xludf.DUMMYFUNCTION("""COMPUTED_VALUE"""),"Dapat limit tapi belum diproses")</f>
        <v>Dapat limit tapi belum diproses</v>
      </c>
      <c r="D2482" s="40" t="str">
        <f>IFERROR(__xludf.DUMMYFUNCTION("""COMPUTED_VALUE"""),"V60 series")</f>
        <v>V60 series</v>
      </c>
      <c r="E2482" s="40" t="s">
        <v>11413</v>
      </c>
      <c r="F2482" s="40" t="s">
        <v>204</v>
      </c>
      <c r="G2482" s="40" t="s">
        <v>11414</v>
      </c>
      <c r="H2482" s="40" t="s">
        <v>11399</v>
      </c>
    </row>
    <row r="2483">
      <c r="A2483" s="39">
        <f>IFERROR(__xludf.DUMMYFUNCTION("""COMPUTED_VALUE"""),45971.85602326389)</f>
        <v>45971.85602</v>
      </c>
      <c r="B2483" s="40" t="str">
        <f>IFERROR(__xludf.DUMMYFUNCTION("""COMPUTED_VALUE"""),"IRENE NOVALIA KADJU")</f>
        <v>IRENE NOVALIA KADJU</v>
      </c>
      <c r="C2483" s="40" t="str">
        <f>IFERROR(__xludf.DUMMYFUNCTION("""COMPUTED_VALUE"""),"Belum disetujui")</f>
        <v>Belum disetujui</v>
      </c>
      <c r="D2483" s="40"/>
      <c r="E2483" s="40" t="s">
        <v>11445</v>
      </c>
      <c r="F2483" s="40" t="s">
        <v>204</v>
      </c>
      <c r="G2483" s="40" t="s">
        <v>11446</v>
      </c>
      <c r="H2483" s="40" t="s">
        <v>11399</v>
      </c>
    </row>
    <row r="2484">
      <c r="A2484" s="39">
        <f>IFERROR(__xludf.DUMMYFUNCTION("""COMPUTED_VALUE"""),45971.859279930555)</f>
        <v>45971.85928</v>
      </c>
      <c r="B2484" s="40" t="str">
        <f>IFERROR(__xludf.DUMMYFUNCTION("""COMPUTED_VALUE"""),"YOVANDA KATRINA NAE")</f>
        <v>YOVANDA KATRINA NAE</v>
      </c>
      <c r="C2484" s="40" t="str">
        <f>IFERROR(__xludf.DUMMYFUNCTION("""COMPUTED_VALUE"""),"ACC")</f>
        <v>ACC</v>
      </c>
      <c r="D2484" s="40" t="str">
        <f>IFERROR(__xludf.DUMMYFUNCTION("""COMPUTED_VALUE"""),"Y21d series")</f>
        <v>Y21d series</v>
      </c>
      <c r="E2484" s="40" t="s">
        <v>11425</v>
      </c>
      <c r="F2484" s="40" t="s">
        <v>205</v>
      </c>
      <c r="G2484" s="40" t="s">
        <v>11426</v>
      </c>
      <c r="H2484" s="40" t="s">
        <v>11419</v>
      </c>
    </row>
    <row r="2485">
      <c r="A2485" s="39">
        <f>IFERROR(__xludf.DUMMYFUNCTION("""COMPUTED_VALUE"""),45971.96218954861)</f>
        <v>45971.96219</v>
      </c>
      <c r="B2485" s="40" t="str">
        <f>IFERROR(__xludf.DUMMYFUNCTION("""COMPUTED_VALUE"""),"ANGELA BOUKA BERI")</f>
        <v>ANGELA BOUKA BERI</v>
      </c>
      <c r="C2485" s="40" t="str">
        <f>IFERROR(__xludf.DUMMYFUNCTION("""COMPUTED_VALUE"""),"Belum disetujui")</f>
        <v>Belum disetujui</v>
      </c>
      <c r="D2485" s="40"/>
      <c r="E2485" s="40" t="s">
        <v>11486</v>
      </c>
      <c r="F2485" s="40" t="s">
        <v>11450</v>
      </c>
      <c r="G2485" s="40" t="s">
        <v>11487</v>
      </c>
      <c r="H2485" s="40" t="s">
        <v>11424</v>
      </c>
    </row>
    <row r="2486">
      <c r="A2486" s="39">
        <f>IFERROR(__xludf.DUMMYFUNCTION("""COMPUTED_VALUE"""),45971.96445407407)</f>
        <v>45971.96445</v>
      </c>
      <c r="B2486" s="40" t="str">
        <f>IFERROR(__xludf.DUMMYFUNCTION("""COMPUTED_VALUE"""),"ANGELA BOUKA BERI")</f>
        <v>ANGELA BOUKA BERI</v>
      </c>
      <c r="C2486" s="40" t="str">
        <f>IFERROR(__xludf.DUMMYFUNCTION("""COMPUTED_VALUE"""),"Belum disetujui")</f>
        <v>Belum disetujui</v>
      </c>
      <c r="D2486" s="40"/>
      <c r="E2486" s="40" t="s">
        <v>11486</v>
      </c>
      <c r="F2486" s="40" t="s">
        <v>11450</v>
      </c>
      <c r="G2486" s="40" t="s">
        <v>11487</v>
      </c>
      <c r="H2486" s="40" t="s">
        <v>11424</v>
      </c>
    </row>
    <row r="2487">
      <c r="A2487" s="39">
        <f>IFERROR(__xludf.DUMMYFUNCTION("""COMPUTED_VALUE"""),45971.969281875)</f>
        <v>45971.96928</v>
      </c>
      <c r="B2487" s="40" t="str">
        <f>IFERROR(__xludf.DUMMYFUNCTION("""COMPUTED_VALUE"""),"ANGELA BOUKA BERI")</f>
        <v>ANGELA BOUKA BERI</v>
      </c>
      <c r="C2487" s="40" t="str">
        <f>IFERROR(__xludf.DUMMYFUNCTION("""COMPUTED_VALUE"""),"ACC")</f>
        <v>ACC</v>
      </c>
      <c r="D2487" s="40" t="str">
        <f>IFERROR(__xludf.DUMMYFUNCTION("""COMPUTED_VALUE"""),"Y21d series")</f>
        <v>Y21d series</v>
      </c>
      <c r="E2487" s="40" t="s">
        <v>11486</v>
      </c>
      <c r="F2487" s="40" t="s">
        <v>11450</v>
      </c>
      <c r="G2487" s="40" t="s">
        <v>11487</v>
      </c>
      <c r="H2487" s="40" t="s">
        <v>11424</v>
      </c>
    </row>
    <row r="2488">
      <c r="A2488" s="39">
        <f>IFERROR(__xludf.DUMMYFUNCTION("""COMPUTED_VALUE"""),45971.97130788195)</f>
        <v>45971.97131</v>
      </c>
      <c r="B2488" s="40" t="str">
        <f>IFERROR(__xludf.DUMMYFUNCTION("""COMPUTED_VALUE"""),"ANGELA BOUKA BERI")</f>
        <v>ANGELA BOUKA BERI</v>
      </c>
      <c r="C2488" s="40" t="str">
        <f>IFERROR(__xludf.DUMMYFUNCTION("""COMPUTED_VALUE"""),"Belum disetujui")</f>
        <v>Belum disetujui</v>
      </c>
      <c r="D2488" s="40"/>
      <c r="E2488" s="40" t="s">
        <v>11486</v>
      </c>
      <c r="F2488" s="40" t="s">
        <v>11450</v>
      </c>
      <c r="G2488" s="40" t="s">
        <v>11487</v>
      </c>
      <c r="H2488" s="40" t="s">
        <v>11424</v>
      </c>
    </row>
    <row r="2489">
      <c r="A2489" s="39">
        <f>IFERROR(__xludf.DUMMYFUNCTION("""COMPUTED_VALUE"""),45972.399560046295)</f>
        <v>45972.39956</v>
      </c>
      <c r="B2489" s="40" t="str">
        <f>IFERROR(__xludf.DUMMYFUNCTION("""COMPUTED_VALUE"""),"WARDIA")</f>
        <v>WARDIA</v>
      </c>
      <c r="C2489" s="40" t="str">
        <f>IFERROR(__xludf.DUMMYFUNCTION("""COMPUTED_VALUE"""),"Belum disetujui")</f>
        <v>Belum disetujui</v>
      </c>
      <c r="D2489" s="40"/>
      <c r="E2489" s="40" t="s">
        <v>11409</v>
      </c>
      <c r="F2489" s="40" t="s">
        <v>204</v>
      </c>
      <c r="G2489" s="40" t="s">
        <v>11410</v>
      </c>
      <c r="H2489" s="40" t="s">
        <v>11399</v>
      </c>
    </row>
    <row r="2490">
      <c r="A2490" s="39">
        <f>IFERROR(__xludf.DUMMYFUNCTION("""COMPUTED_VALUE"""),45972.40786271991)</f>
        <v>45972.40786</v>
      </c>
      <c r="B2490" s="40" t="str">
        <f>IFERROR(__xludf.DUMMYFUNCTION("""COMPUTED_VALUE"""),"NOVLIANA BARBALINA MISA")</f>
        <v>NOVLIANA BARBALINA MISA</v>
      </c>
      <c r="C2490" s="40" t="str">
        <f>IFERROR(__xludf.DUMMYFUNCTION("""COMPUTED_VALUE"""),"Belum disetujui")</f>
        <v>Belum disetujui</v>
      </c>
      <c r="D2490" s="40"/>
      <c r="E2490" s="40" t="s">
        <v>11454</v>
      </c>
      <c r="F2490" s="40" t="s">
        <v>205</v>
      </c>
      <c r="G2490" s="40" t="s">
        <v>11455</v>
      </c>
      <c r="H2490" s="40" t="s">
        <v>11419</v>
      </c>
    </row>
    <row r="2491">
      <c r="A2491" s="39">
        <f>IFERROR(__xludf.DUMMYFUNCTION("""COMPUTED_VALUE"""),45972.40978842593)</f>
        <v>45972.40979</v>
      </c>
      <c r="B2491" s="40" t="str">
        <f>IFERROR(__xludf.DUMMYFUNCTION("""COMPUTED_VALUE"""),"ALDIANA WELIA PANIE")</f>
        <v>ALDIANA WELIA PANIE</v>
      </c>
      <c r="C2491" s="40" t="str">
        <f>IFERROR(__xludf.DUMMYFUNCTION("""COMPUTED_VALUE"""),"Belum disetujui")</f>
        <v>Belum disetujui</v>
      </c>
      <c r="D2491" s="40"/>
      <c r="E2491" s="40" t="s">
        <v>11422</v>
      </c>
      <c r="F2491" s="40" t="s">
        <v>215</v>
      </c>
      <c r="G2491" s="40" t="s">
        <v>11423</v>
      </c>
      <c r="H2491" s="40" t="s">
        <v>11424</v>
      </c>
    </row>
    <row r="2492">
      <c r="A2492" s="39">
        <f>IFERROR(__xludf.DUMMYFUNCTION("""COMPUTED_VALUE"""),45972.43107756945)</f>
        <v>45972.43108</v>
      </c>
      <c r="B2492" s="40" t="str">
        <f>IFERROR(__xludf.DUMMYFUNCTION("""COMPUTED_VALUE"""),"WARDIA")</f>
        <v>WARDIA</v>
      </c>
      <c r="C2492" s="40" t="str">
        <f>IFERROR(__xludf.DUMMYFUNCTION("""COMPUTED_VALUE"""),"Belum disetujui")</f>
        <v>Belum disetujui</v>
      </c>
      <c r="D2492" s="40"/>
      <c r="E2492" s="40" t="s">
        <v>11409</v>
      </c>
      <c r="F2492" s="40" t="s">
        <v>204</v>
      </c>
      <c r="G2492" s="40" t="s">
        <v>11410</v>
      </c>
      <c r="H2492" s="40" t="s">
        <v>11399</v>
      </c>
    </row>
    <row r="2493">
      <c r="A2493" s="39">
        <f>IFERROR(__xludf.DUMMYFUNCTION("""COMPUTED_VALUE"""),45972.431159375)</f>
        <v>45972.43116</v>
      </c>
      <c r="B2493" s="40" t="str">
        <f>IFERROR(__xludf.DUMMYFUNCTION("""COMPUTED_VALUE"""),"AMBU BAIQ JUMENAH")</f>
        <v>AMBU BAIQ JUMENAH</v>
      </c>
      <c r="C2493" s="40" t="str">
        <f>IFERROR(__xludf.DUMMYFUNCTION("""COMPUTED_VALUE"""),"Belum disetujui")</f>
        <v>Belum disetujui</v>
      </c>
      <c r="D2493" s="40"/>
      <c r="E2493" s="40" t="s">
        <v>11458</v>
      </c>
      <c r="F2493" s="40" t="s">
        <v>205</v>
      </c>
      <c r="G2493" s="40" t="s">
        <v>11459</v>
      </c>
      <c r="H2493" s="40" t="s">
        <v>11419</v>
      </c>
    </row>
    <row r="2494">
      <c r="A2494" s="39">
        <f>IFERROR(__xludf.DUMMYFUNCTION("""COMPUTED_VALUE"""),45972.43300376158)</f>
        <v>45972.433</v>
      </c>
      <c r="B2494" s="40" t="str">
        <f>IFERROR(__xludf.DUMMYFUNCTION("""COMPUTED_VALUE"""),"ASTUTI BELA WAWO")</f>
        <v>ASTUTI BELA WAWO</v>
      </c>
      <c r="C2494" s="40" t="str">
        <f>IFERROR(__xludf.DUMMYFUNCTION("""COMPUTED_VALUE"""),"Belum disetujui")</f>
        <v>Belum disetujui</v>
      </c>
      <c r="D2494" s="40"/>
      <c r="E2494" s="40" t="s">
        <v>11427</v>
      </c>
      <c r="F2494" s="40" t="s">
        <v>257</v>
      </c>
      <c r="G2494" s="40" t="s">
        <v>11428</v>
      </c>
      <c r="H2494" s="40" t="s">
        <v>11419</v>
      </c>
    </row>
    <row r="2495">
      <c r="A2495" s="39">
        <f>IFERROR(__xludf.DUMMYFUNCTION("""COMPUTED_VALUE"""),45972.433029074076)</f>
        <v>45972.43303</v>
      </c>
      <c r="B2495" s="40" t="str">
        <f>IFERROR(__xludf.DUMMYFUNCTION("""COMPUTED_VALUE"""),"AMBU BAIQ JUMENAH")</f>
        <v>AMBU BAIQ JUMENAH</v>
      </c>
      <c r="C2495" s="40" t="str">
        <f>IFERROR(__xludf.DUMMYFUNCTION("""COMPUTED_VALUE"""),"Belum disetujui")</f>
        <v>Belum disetujui</v>
      </c>
      <c r="D2495" s="40"/>
      <c r="E2495" s="40" t="s">
        <v>11458</v>
      </c>
      <c r="F2495" s="40" t="s">
        <v>205</v>
      </c>
      <c r="G2495" s="40" t="s">
        <v>11459</v>
      </c>
      <c r="H2495" s="40" t="s">
        <v>11419</v>
      </c>
    </row>
    <row r="2496">
      <c r="A2496" s="39">
        <f>IFERROR(__xludf.DUMMYFUNCTION("""COMPUTED_VALUE"""),45972.45115520833)</f>
        <v>45972.45116</v>
      </c>
      <c r="B2496" s="40" t="str">
        <f>IFERROR(__xludf.DUMMYFUNCTION("""COMPUTED_VALUE"""),"HERONIMUS NAMU WALI")</f>
        <v>HERONIMUS NAMU WALI</v>
      </c>
      <c r="C2496" s="40" t="str">
        <f>IFERROR(__xludf.DUMMYFUNCTION("""COMPUTED_VALUE"""),"ACC")</f>
        <v>ACC</v>
      </c>
      <c r="D2496" s="40" t="str">
        <f>IFERROR(__xludf.DUMMYFUNCTION("""COMPUTED_VALUE"""),"V60 Lite series")</f>
        <v>V60 Lite series</v>
      </c>
      <c r="E2496" s="40" t="s">
        <v>11452</v>
      </c>
      <c r="F2496" s="40" t="s">
        <v>205</v>
      </c>
      <c r="G2496" s="40" t="s">
        <v>11453</v>
      </c>
      <c r="H2496" s="40" t="s">
        <v>11419</v>
      </c>
    </row>
    <row r="2497">
      <c r="A2497" s="39">
        <f>IFERROR(__xludf.DUMMYFUNCTION("""COMPUTED_VALUE"""),45972.46892362269)</f>
        <v>45972.46892</v>
      </c>
      <c r="B2497" s="40" t="str">
        <f>IFERROR(__xludf.DUMMYFUNCTION("""COMPUTED_VALUE"""),"GRACELLA SARI HIVANA MANAFE")</f>
        <v>GRACELLA SARI HIVANA MANAFE</v>
      </c>
      <c r="C2497" s="40" t="str">
        <f>IFERROR(__xludf.DUMMYFUNCTION("""COMPUTED_VALUE"""),"Belum disetujui")</f>
        <v>Belum disetujui</v>
      </c>
      <c r="D2497" s="40"/>
      <c r="E2497" s="40" t="s">
        <v>11478</v>
      </c>
      <c r="F2497" s="40" t="s">
        <v>220</v>
      </c>
      <c r="G2497" s="40" t="s">
        <v>11479</v>
      </c>
      <c r="H2497" s="40" t="s">
        <v>11399</v>
      </c>
    </row>
    <row r="2498">
      <c r="A2498" s="39">
        <f>IFERROR(__xludf.DUMMYFUNCTION("""COMPUTED_VALUE"""),45972.49451120371)</f>
        <v>45972.49451</v>
      </c>
      <c r="B2498" s="40" t="str">
        <f>IFERROR(__xludf.DUMMYFUNCTION("""COMPUTED_VALUE"""),"YUNITA TAMELAB")</f>
        <v>YUNITA TAMELAB</v>
      </c>
      <c r="C2498" s="40" t="str">
        <f>IFERROR(__xludf.DUMMYFUNCTION("""COMPUTED_VALUE"""),"Belum disetujui")</f>
        <v>Belum disetujui</v>
      </c>
      <c r="D2498" s="40"/>
      <c r="E2498" s="40" t="s">
        <v>11472</v>
      </c>
      <c r="F2498" s="40" t="s">
        <v>667</v>
      </c>
      <c r="G2498" s="40" t="s">
        <v>11473</v>
      </c>
      <c r="H2498" s="40" t="s">
        <v>11424</v>
      </c>
    </row>
    <row r="2499">
      <c r="A2499" s="39">
        <f>IFERROR(__xludf.DUMMYFUNCTION("""COMPUTED_VALUE"""),45972.49647966435)</f>
        <v>45972.49648</v>
      </c>
      <c r="B2499" s="40" t="str">
        <f>IFERROR(__xludf.DUMMYFUNCTION("""COMPUTED_VALUE"""),"ANNA RAHMATIA JUFRI")</f>
        <v>ANNA RAHMATIA JUFRI</v>
      </c>
      <c r="C2499" s="40" t="str">
        <f>IFERROR(__xludf.DUMMYFUNCTION("""COMPUTED_VALUE"""),"Belum disetujui")</f>
        <v>Belum disetujui</v>
      </c>
      <c r="D2499" s="40"/>
      <c r="E2499" s="40" t="s">
        <v>11484</v>
      </c>
      <c r="F2499" s="40" t="s">
        <v>11450</v>
      </c>
      <c r="G2499" s="40" t="s">
        <v>11485</v>
      </c>
      <c r="H2499" s="40" t="s">
        <v>11424</v>
      </c>
    </row>
    <row r="2500">
      <c r="A2500" s="39">
        <f>IFERROR(__xludf.DUMMYFUNCTION("""COMPUTED_VALUE"""),45972.49822092593)</f>
        <v>45972.49822</v>
      </c>
      <c r="B2500" s="40" t="str">
        <f>IFERROR(__xludf.DUMMYFUNCTION("""COMPUTED_VALUE"""),"YUNITA TAMELAB")</f>
        <v>YUNITA TAMELAB</v>
      </c>
      <c r="C2500" s="40" t="str">
        <f>IFERROR(__xludf.DUMMYFUNCTION("""COMPUTED_VALUE"""),"Belum disetujui")</f>
        <v>Belum disetujui</v>
      </c>
      <c r="D2500" s="40"/>
      <c r="E2500" s="40" t="s">
        <v>11472</v>
      </c>
      <c r="F2500" s="40" t="s">
        <v>667</v>
      </c>
      <c r="G2500" s="40" t="s">
        <v>11473</v>
      </c>
      <c r="H2500" s="40" t="s">
        <v>11424</v>
      </c>
    </row>
    <row r="2501">
      <c r="A2501" s="39">
        <f>IFERROR(__xludf.DUMMYFUNCTION("""COMPUTED_VALUE"""),45972.51509877315)</f>
        <v>45972.5151</v>
      </c>
      <c r="B2501" s="40" t="str">
        <f>IFERROR(__xludf.DUMMYFUNCTION("""COMPUTED_VALUE"""),"ANNA RAHMATIA JUFRI")</f>
        <v>ANNA RAHMATIA JUFRI</v>
      </c>
      <c r="C2501" s="40" t="str">
        <f>IFERROR(__xludf.DUMMYFUNCTION("""COMPUTED_VALUE"""),"Belum disetujui")</f>
        <v>Belum disetujui</v>
      </c>
      <c r="D2501" s="40"/>
      <c r="E2501" s="40" t="s">
        <v>11484</v>
      </c>
      <c r="F2501" s="40" t="s">
        <v>11450</v>
      </c>
      <c r="G2501" s="40" t="s">
        <v>11485</v>
      </c>
      <c r="H2501" s="40" t="s">
        <v>11424</v>
      </c>
    </row>
    <row r="2502">
      <c r="A2502" s="39">
        <f>IFERROR(__xludf.DUMMYFUNCTION("""COMPUTED_VALUE"""),45972.51750716435)</f>
        <v>45972.51751</v>
      </c>
      <c r="B2502" s="40" t="str">
        <f>IFERROR(__xludf.DUMMYFUNCTION("""COMPUTED_VALUE"""),"DEWI RAHMAN")</f>
        <v>DEWI RAHMAN</v>
      </c>
      <c r="C2502" s="40" t="str">
        <f>IFERROR(__xludf.DUMMYFUNCTION("""COMPUTED_VALUE"""),"Belum disetujui")</f>
        <v>Belum disetujui</v>
      </c>
      <c r="D2502" s="40"/>
      <c r="E2502" s="40" t="s">
        <v>11449</v>
      </c>
      <c r="F2502" s="40" t="s">
        <v>11450</v>
      </c>
      <c r="G2502" s="40" t="s">
        <v>11451</v>
      </c>
      <c r="H2502" s="40" t="s">
        <v>11424</v>
      </c>
    </row>
    <row r="2503">
      <c r="A2503" s="39">
        <f>IFERROR(__xludf.DUMMYFUNCTION("""COMPUTED_VALUE"""),45972.51916358797)</f>
        <v>45972.51916</v>
      </c>
      <c r="B2503" s="40" t="str">
        <f>IFERROR(__xludf.DUMMYFUNCTION("""COMPUTED_VALUE"""),"IDMAL YUSDIRAN YUSUF")</f>
        <v>IDMAL YUSDIRAN YUSUF</v>
      </c>
      <c r="C2503" s="40" t="str">
        <f>IFERROR(__xludf.DUMMYFUNCTION("""COMPUTED_VALUE"""),"Belum disetujui")</f>
        <v>Belum disetujui</v>
      </c>
      <c r="D2503" s="40"/>
      <c r="E2503" s="40" t="s">
        <v>11417</v>
      </c>
      <c r="F2503" s="40" t="s">
        <v>257</v>
      </c>
      <c r="G2503" s="40" t="s">
        <v>11418</v>
      </c>
      <c r="H2503" s="40" t="s">
        <v>11419</v>
      </c>
    </row>
    <row r="2504">
      <c r="A2504" s="39">
        <f>IFERROR(__xludf.DUMMYFUNCTION("""COMPUTED_VALUE"""),45972.53690994213)</f>
        <v>45972.53691</v>
      </c>
      <c r="B2504" s="40" t="str">
        <f>IFERROR(__xludf.DUMMYFUNCTION("""COMPUTED_VALUE"""),"WARDIA")</f>
        <v>WARDIA</v>
      </c>
      <c r="C2504" s="40" t="str">
        <f>IFERROR(__xludf.DUMMYFUNCTION("""COMPUTED_VALUE"""),"Belum disetujui")</f>
        <v>Belum disetujui</v>
      </c>
      <c r="D2504" s="40"/>
      <c r="E2504" s="40" t="s">
        <v>11409</v>
      </c>
      <c r="F2504" s="40" t="s">
        <v>204</v>
      </c>
      <c r="G2504" s="40" t="s">
        <v>11410</v>
      </c>
      <c r="H2504" s="40" t="s">
        <v>11399</v>
      </c>
    </row>
    <row r="2505">
      <c r="A2505" s="39">
        <f>IFERROR(__xludf.DUMMYFUNCTION("""COMPUTED_VALUE"""),45972.55661836806)</f>
        <v>45972.55662</v>
      </c>
      <c r="B2505" s="40" t="str">
        <f>IFERROR(__xludf.DUMMYFUNCTION("""COMPUTED_VALUE"""),"PRETI SISILIA SILA")</f>
        <v>PRETI SISILIA SILA</v>
      </c>
      <c r="C2505" s="40" t="str">
        <f>IFERROR(__xludf.DUMMYFUNCTION("""COMPUTED_VALUE"""),"Dapat limit tapi belum diproses")</f>
        <v>Dapat limit tapi belum diproses</v>
      </c>
      <c r="D2505" s="40" t="str">
        <f>IFERROR(__xludf.DUMMYFUNCTION("""COMPUTED_VALUE"""),"Y400 series")</f>
        <v>Y400 series</v>
      </c>
      <c r="E2505" s="40" t="s">
        <v>11456</v>
      </c>
      <c r="F2505" s="40" t="s">
        <v>667</v>
      </c>
      <c r="G2505" s="40" t="s">
        <v>11457</v>
      </c>
      <c r="H2505" s="40" t="s">
        <v>11424</v>
      </c>
    </row>
    <row r="2506">
      <c r="A2506" s="39">
        <f>IFERROR(__xludf.DUMMYFUNCTION("""COMPUTED_VALUE"""),45972.59319244213)</f>
        <v>45972.59319</v>
      </c>
      <c r="B2506" s="40" t="str">
        <f>IFERROR(__xludf.DUMMYFUNCTION("""COMPUTED_VALUE"""),"ASRI NINGSI RAMBU ATA ENDI")</f>
        <v>ASRI NINGSI RAMBU ATA ENDI</v>
      </c>
      <c r="C2506" s="40" t="str">
        <f>IFERROR(__xludf.DUMMYFUNCTION("""COMPUTED_VALUE"""),"Dapat limit tapi belum diproses")</f>
        <v>Dapat limit tapi belum diproses</v>
      </c>
      <c r="D2506" s="40" t="str">
        <f>IFERROR(__xludf.DUMMYFUNCTION("""COMPUTED_VALUE"""),"Y400 series")</f>
        <v>Y400 series</v>
      </c>
      <c r="E2506" s="40" t="s">
        <v>11441</v>
      </c>
      <c r="F2506" s="40" t="s">
        <v>205</v>
      </c>
      <c r="G2506" s="40" t="s">
        <v>11442</v>
      </c>
      <c r="H2506" s="40" t="s">
        <v>11419</v>
      </c>
    </row>
    <row r="2507">
      <c r="A2507" s="39">
        <f>IFERROR(__xludf.DUMMYFUNCTION("""COMPUTED_VALUE"""),45972.59974075232)</f>
        <v>45972.59974</v>
      </c>
      <c r="B2507" s="40" t="str">
        <f>IFERROR(__xludf.DUMMYFUNCTION("""COMPUTED_VALUE"""),"ASTUTI BELA WAWO")</f>
        <v>ASTUTI BELA WAWO</v>
      </c>
      <c r="C2507" s="40" t="str">
        <f>IFERROR(__xludf.DUMMYFUNCTION("""COMPUTED_VALUE"""),"ACC")</f>
        <v>ACC</v>
      </c>
      <c r="D2507" s="40" t="str">
        <f>IFERROR(__xludf.DUMMYFUNCTION("""COMPUTED_VALUE"""),"V60 series")</f>
        <v>V60 series</v>
      </c>
      <c r="E2507" s="40" t="s">
        <v>11427</v>
      </c>
      <c r="F2507" s="40" t="s">
        <v>257</v>
      </c>
      <c r="G2507" s="40" t="s">
        <v>11428</v>
      </c>
      <c r="H2507" s="40" t="s">
        <v>11419</v>
      </c>
    </row>
    <row r="2508">
      <c r="A2508" s="39">
        <f>IFERROR(__xludf.DUMMYFUNCTION("""COMPUTED_VALUE"""),45972.605607777776)</f>
        <v>45972.60561</v>
      </c>
      <c r="B2508" s="40" t="str">
        <f>IFERROR(__xludf.DUMMYFUNCTION("""COMPUTED_VALUE"""),"LASTRIANA PALUS")</f>
        <v>LASTRIANA PALUS</v>
      </c>
      <c r="C2508" s="40" t="str">
        <f>IFERROR(__xludf.DUMMYFUNCTION("""COMPUTED_VALUE"""),"Belum disetujui")</f>
        <v>Belum disetujui</v>
      </c>
      <c r="D2508" s="40"/>
      <c r="E2508" s="40" t="s">
        <v>11468</v>
      </c>
      <c r="F2508" s="40" t="s">
        <v>257</v>
      </c>
      <c r="G2508" s="40" t="s">
        <v>11469</v>
      </c>
      <c r="H2508" s="40" t="s">
        <v>11419</v>
      </c>
    </row>
    <row r="2509">
      <c r="A2509" s="39">
        <f>IFERROR(__xludf.DUMMYFUNCTION("""COMPUTED_VALUE"""),45972.605849340274)</f>
        <v>45972.60585</v>
      </c>
      <c r="B2509" s="40" t="str">
        <f>IFERROR(__xludf.DUMMYFUNCTION("""COMPUTED_VALUE"""),"SULIS NURAINI INSYATUN")</f>
        <v>SULIS NURAINI INSYATUN</v>
      </c>
      <c r="C2509" s="40" t="str">
        <f>IFERROR(__xludf.DUMMYFUNCTION("""COMPUTED_VALUE"""),"Belum disetujui")</f>
        <v>Belum disetujui</v>
      </c>
      <c r="D2509" s="40"/>
      <c r="E2509" s="40" t="s">
        <v>11429</v>
      </c>
      <c r="F2509" s="40" t="s">
        <v>257</v>
      </c>
      <c r="G2509" s="40" t="s">
        <v>11430</v>
      </c>
      <c r="H2509" s="40" t="s">
        <v>11419</v>
      </c>
    </row>
    <row r="2510">
      <c r="A2510" s="39">
        <f>IFERROR(__xludf.DUMMYFUNCTION("""COMPUTED_VALUE"""),45972.62215601852)</f>
        <v>45972.62216</v>
      </c>
      <c r="B2510" s="40" t="str">
        <f>IFERROR(__xludf.DUMMYFUNCTION("""COMPUTED_VALUE"""),"KESIA NATALIA I. BENU")</f>
        <v>KESIA NATALIA I. BENU</v>
      </c>
      <c r="C2510" s="40" t="str">
        <f>IFERROR(__xludf.DUMMYFUNCTION("""COMPUTED_VALUE"""),"Belum disetujui")</f>
        <v>Belum disetujui</v>
      </c>
      <c r="D2510" s="40"/>
      <c r="E2510" s="40" t="s">
        <v>11417</v>
      </c>
      <c r="F2510" s="40" t="s">
        <v>257</v>
      </c>
      <c r="G2510" s="40" t="s">
        <v>11418</v>
      </c>
      <c r="H2510" s="40" t="s">
        <v>11419</v>
      </c>
    </row>
    <row r="2511">
      <c r="A2511" s="39">
        <f>IFERROR(__xludf.DUMMYFUNCTION("""COMPUTED_VALUE"""),45972.62560886574)</f>
        <v>45972.62561</v>
      </c>
      <c r="B2511" s="40" t="str">
        <f>IFERROR(__xludf.DUMMYFUNCTION("""COMPUTED_VALUE"""),"WINDRI MANOE")</f>
        <v>WINDRI MANOE</v>
      </c>
      <c r="C2511" s="40" t="str">
        <f>IFERROR(__xludf.DUMMYFUNCTION("""COMPUTED_VALUE"""),"Belum disetujui")</f>
        <v>Belum disetujui</v>
      </c>
      <c r="D2511" s="40"/>
      <c r="E2511" s="40" t="s">
        <v>11443</v>
      </c>
      <c r="F2511" s="40" t="s">
        <v>220</v>
      </c>
      <c r="G2511" s="40" t="s">
        <v>11444</v>
      </c>
      <c r="H2511" s="40" t="s">
        <v>11399</v>
      </c>
    </row>
    <row r="2512">
      <c r="A2512" s="39">
        <f>IFERROR(__xludf.DUMMYFUNCTION("""COMPUTED_VALUE"""),45972.62957456018)</f>
        <v>45972.62957</v>
      </c>
      <c r="B2512" s="40" t="str">
        <f>IFERROR(__xludf.DUMMYFUNCTION("""COMPUTED_VALUE"""),"GRACELLA SARI HIVANA MANAFE")</f>
        <v>GRACELLA SARI HIVANA MANAFE</v>
      </c>
      <c r="C2512" s="40" t="str">
        <f>IFERROR(__xludf.DUMMYFUNCTION("""COMPUTED_VALUE"""),"Dapat limit tapi belum diproses")</f>
        <v>Dapat limit tapi belum diproses</v>
      </c>
      <c r="D2512" s="40" t="str">
        <f>IFERROR(__xludf.DUMMYFUNCTION("""COMPUTED_VALUE"""),"Y400 series")</f>
        <v>Y400 series</v>
      </c>
      <c r="E2512" s="40" t="s">
        <v>11478</v>
      </c>
      <c r="F2512" s="40" t="s">
        <v>220</v>
      </c>
      <c r="G2512" s="40" t="s">
        <v>11479</v>
      </c>
      <c r="H2512" s="40" t="s">
        <v>11399</v>
      </c>
    </row>
    <row r="2513">
      <c r="A2513" s="39">
        <f>IFERROR(__xludf.DUMMYFUNCTION("""COMPUTED_VALUE"""),45972.64167773148)</f>
        <v>45972.64168</v>
      </c>
      <c r="B2513" s="40" t="str">
        <f>IFERROR(__xludf.DUMMYFUNCTION("""COMPUTED_VALUE"""),"YUNITA TAMELAB")</f>
        <v>YUNITA TAMELAB</v>
      </c>
      <c r="C2513" s="40" t="str">
        <f>IFERROR(__xludf.DUMMYFUNCTION("""COMPUTED_VALUE"""),"Belum disetujui")</f>
        <v>Belum disetujui</v>
      </c>
      <c r="D2513" s="40"/>
      <c r="E2513" s="40" t="s">
        <v>11472</v>
      </c>
      <c r="F2513" s="40" t="s">
        <v>667</v>
      </c>
      <c r="G2513" s="40" t="s">
        <v>11473</v>
      </c>
      <c r="H2513" s="40" t="s">
        <v>11424</v>
      </c>
    </row>
    <row r="2514">
      <c r="A2514" s="39">
        <f>IFERROR(__xludf.DUMMYFUNCTION("""COMPUTED_VALUE"""),45972.654320104164)</f>
        <v>45972.65432</v>
      </c>
      <c r="B2514" s="40" t="str">
        <f>IFERROR(__xludf.DUMMYFUNCTION("""COMPUTED_VALUE"""),"ASRI NINGSI RAMBU ATA ENDI")</f>
        <v>ASRI NINGSI RAMBU ATA ENDI</v>
      </c>
      <c r="C2514" s="40" t="str">
        <f>IFERROR(__xludf.DUMMYFUNCTION("""COMPUTED_VALUE"""),"Belum disetujui")</f>
        <v>Belum disetujui</v>
      </c>
      <c r="D2514" s="40"/>
      <c r="E2514" s="40" t="s">
        <v>11441</v>
      </c>
      <c r="F2514" s="40" t="s">
        <v>205</v>
      </c>
      <c r="G2514" s="40" t="s">
        <v>11442</v>
      </c>
      <c r="H2514" s="40" t="s">
        <v>11419</v>
      </c>
    </row>
    <row r="2515">
      <c r="A2515" s="39">
        <f>IFERROR(__xludf.DUMMYFUNCTION("""COMPUTED_VALUE"""),45972.65565015047)</f>
        <v>45972.65565</v>
      </c>
      <c r="B2515" s="40" t="str">
        <f>IFERROR(__xludf.DUMMYFUNCTION("""COMPUTED_VALUE"""),"MERDA PUTRI BUNGSU KENAT")</f>
        <v>MERDA PUTRI BUNGSU KENAT</v>
      </c>
      <c r="C2515" s="40" t="str">
        <f>IFERROR(__xludf.DUMMYFUNCTION("""COMPUTED_VALUE"""),"ACC")</f>
        <v>ACC</v>
      </c>
      <c r="D2515" s="40" t="str">
        <f>IFERROR(__xludf.DUMMYFUNCTION("""COMPUTED_VALUE"""),"Y21d series")</f>
        <v>Y21d series</v>
      </c>
      <c r="E2515" s="40" t="s">
        <v>11422</v>
      </c>
      <c r="F2515" s="40" t="s">
        <v>215</v>
      </c>
      <c r="G2515" s="40" t="s">
        <v>11423</v>
      </c>
      <c r="H2515" s="40" t="s">
        <v>11424</v>
      </c>
    </row>
    <row r="2516">
      <c r="A2516" s="39">
        <f>IFERROR(__xludf.DUMMYFUNCTION("""COMPUTED_VALUE"""),45972.6738212963)</f>
        <v>45972.67382</v>
      </c>
      <c r="B2516" s="40" t="str">
        <f>IFERROR(__xludf.DUMMYFUNCTION("""COMPUTED_VALUE"""),"ANNA RAHMATIA JUFRI")</f>
        <v>ANNA RAHMATIA JUFRI</v>
      </c>
      <c r="C2516" s="40" t="str">
        <f>IFERROR(__xludf.DUMMYFUNCTION("""COMPUTED_VALUE"""),"Dapat limit tapi belum diproses")</f>
        <v>Dapat limit tapi belum diproses</v>
      </c>
      <c r="D2516" s="40" t="str">
        <f>IFERROR(__xludf.DUMMYFUNCTION("""COMPUTED_VALUE"""),"Y400 series")</f>
        <v>Y400 series</v>
      </c>
      <c r="E2516" s="40" t="s">
        <v>11484</v>
      </c>
      <c r="F2516" s="40" t="s">
        <v>11450</v>
      </c>
      <c r="G2516" s="40" t="s">
        <v>11485</v>
      </c>
      <c r="H2516" s="40" t="s">
        <v>11424</v>
      </c>
    </row>
    <row r="2517">
      <c r="A2517" s="39">
        <f>IFERROR(__xludf.DUMMYFUNCTION("""COMPUTED_VALUE"""),45972.69045447917)</f>
        <v>45972.69045</v>
      </c>
      <c r="B2517" s="40" t="str">
        <f>IFERROR(__xludf.DUMMYFUNCTION("""COMPUTED_VALUE"""),"YOMELIANA MARIA MAGNO")</f>
        <v>YOMELIANA MARIA MAGNO</v>
      </c>
      <c r="C2517" s="40" t="str">
        <f>IFERROR(__xludf.DUMMYFUNCTION("""COMPUTED_VALUE"""),"Belum disetujui")</f>
        <v>Belum disetujui</v>
      </c>
      <c r="D2517" s="40"/>
      <c r="E2517" s="40" t="s">
        <v>11460</v>
      </c>
      <c r="F2517" s="40" t="s">
        <v>871</v>
      </c>
      <c r="G2517" s="40" t="s">
        <v>11461</v>
      </c>
      <c r="H2517" s="40" t="s">
        <v>11424</v>
      </c>
    </row>
    <row r="2518">
      <c r="A2518" s="39">
        <f>IFERROR(__xludf.DUMMYFUNCTION("""COMPUTED_VALUE"""),45972.694230243054)</f>
        <v>45972.69423</v>
      </c>
      <c r="B2518" s="40" t="str">
        <f>IFERROR(__xludf.DUMMYFUNCTION("""COMPUTED_VALUE"""),"SANTI MARIA LUKMINI NAHAK")</f>
        <v>SANTI MARIA LUKMINI NAHAK</v>
      </c>
      <c r="C2518" s="40" t="str">
        <f>IFERROR(__xludf.DUMMYFUNCTION("""COMPUTED_VALUE"""),"Dapat limit tapi belum diproses")</f>
        <v>Dapat limit tapi belum diproses</v>
      </c>
      <c r="D2518" s="40" t="str">
        <f>IFERROR(__xludf.DUMMYFUNCTION("""COMPUTED_VALUE"""),"Y400 series")</f>
        <v>Y400 series</v>
      </c>
      <c r="E2518" s="40" t="s">
        <v>11460</v>
      </c>
      <c r="F2518" s="40" t="s">
        <v>871</v>
      </c>
      <c r="G2518" s="40" t="s">
        <v>11461</v>
      </c>
      <c r="H2518" s="40" t="s">
        <v>11424</v>
      </c>
    </row>
    <row r="2519">
      <c r="A2519" s="39">
        <f>IFERROR(__xludf.DUMMYFUNCTION("""COMPUTED_VALUE"""),45972.71060612269)</f>
        <v>45972.71061</v>
      </c>
      <c r="B2519" s="40" t="str">
        <f>IFERROR(__xludf.DUMMYFUNCTION("""COMPUTED_VALUE"""),"KESIA NATALIA I. BENU")</f>
        <v>KESIA NATALIA I. BENU</v>
      </c>
      <c r="C2519" s="40" t="str">
        <f>IFERROR(__xludf.DUMMYFUNCTION("""COMPUTED_VALUE"""),"Belum disetujui")</f>
        <v>Belum disetujui</v>
      </c>
      <c r="D2519" s="40"/>
      <c r="E2519" s="40" t="s">
        <v>11417</v>
      </c>
      <c r="F2519" s="40" t="s">
        <v>257</v>
      </c>
      <c r="G2519" s="40" t="s">
        <v>11418</v>
      </c>
      <c r="H2519" s="40" t="s">
        <v>11419</v>
      </c>
    </row>
    <row r="2520">
      <c r="A2520" s="39">
        <f>IFERROR(__xludf.DUMMYFUNCTION("""COMPUTED_VALUE"""),45972.71194298611)</f>
        <v>45972.71194</v>
      </c>
      <c r="B2520" s="40" t="str">
        <f>IFERROR(__xludf.DUMMYFUNCTION("""COMPUTED_VALUE"""),"YOMELIANA MARIA MAGNO")</f>
        <v>YOMELIANA MARIA MAGNO</v>
      </c>
      <c r="C2520" s="40" t="str">
        <f>IFERROR(__xludf.DUMMYFUNCTION("""COMPUTED_VALUE"""),"Belum disetujui")</f>
        <v>Belum disetujui</v>
      </c>
      <c r="D2520" s="40"/>
      <c r="E2520" s="40" t="s">
        <v>11460</v>
      </c>
      <c r="F2520" s="40" t="s">
        <v>871</v>
      </c>
      <c r="G2520" s="40" t="s">
        <v>11461</v>
      </c>
      <c r="H2520" s="40" t="s">
        <v>11424</v>
      </c>
    </row>
    <row r="2521">
      <c r="A2521" s="39">
        <f>IFERROR(__xludf.DUMMYFUNCTION("""COMPUTED_VALUE"""),45972.71758802083)</f>
        <v>45972.71759</v>
      </c>
      <c r="B2521" s="40" t="str">
        <f>IFERROR(__xludf.DUMMYFUNCTION("""COMPUTED_VALUE"""),"ARMINDA TEKU MANEK")</f>
        <v>ARMINDA TEKU MANEK</v>
      </c>
      <c r="C2521" s="40" t="str">
        <f>IFERROR(__xludf.DUMMYFUNCTION("""COMPUTED_VALUE"""),"ACC")</f>
        <v>ACC</v>
      </c>
      <c r="D2521" s="40" t="str">
        <f>IFERROR(__xludf.DUMMYFUNCTION("""COMPUTED_VALUE"""),"Y21d series")</f>
        <v>Y21d series</v>
      </c>
      <c r="E2521" s="40" t="s">
        <v>11474</v>
      </c>
      <c r="F2521" s="40" t="s">
        <v>313</v>
      </c>
      <c r="G2521" s="40" t="s">
        <v>11475</v>
      </c>
      <c r="H2521" s="40" t="s">
        <v>11424</v>
      </c>
    </row>
    <row r="2522">
      <c r="A2522" s="39">
        <f>IFERROR(__xludf.DUMMYFUNCTION("""COMPUTED_VALUE"""),45972.72962839121)</f>
        <v>45972.72963</v>
      </c>
      <c r="B2522" s="40" t="str">
        <f>IFERROR(__xludf.DUMMYFUNCTION("""COMPUTED_VALUE"""),"CHOIRUNISA ILHAM")</f>
        <v>CHOIRUNISA ILHAM</v>
      </c>
      <c r="C2522" s="40" t="str">
        <f>IFERROR(__xludf.DUMMYFUNCTION("""COMPUTED_VALUE"""),"Belum disetujui")</f>
        <v>Belum disetujui</v>
      </c>
      <c r="D2522" s="40"/>
      <c r="E2522" s="40" t="s">
        <v>11404</v>
      </c>
      <c r="F2522" s="40" t="s">
        <v>11404</v>
      </c>
      <c r="G2522" s="40" t="s">
        <v>11404</v>
      </c>
      <c r="H2522" s="40" t="s">
        <v>11404</v>
      </c>
    </row>
    <row r="2523">
      <c r="A2523" s="39">
        <f>IFERROR(__xludf.DUMMYFUNCTION("""COMPUTED_VALUE"""),45972.75765490741)</f>
        <v>45972.75765</v>
      </c>
      <c r="B2523" s="40" t="str">
        <f>IFERROR(__xludf.DUMMYFUNCTION("""COMPUTED_VALUE"""),"YANA DANGU")</f>
        <v>YANA DANGU</v>
      </c>
      <c r="C2523" s="40" t="str">
        <f>IFERROR(__xludf.DUMMYFUNCTION("""COMPUTED_VALUE"""),"Belum disetujui")</f>
        <v>Belum disetujui</v>
      </c>
      <c r="D2523" s="40"/>
      <c r="E2523" s="40" t="s">
        <v>11397</v>
      </c>
      <c r="F2523" s="40" t="s">
        <v>220</v>
      </c>
      <c r="G2523" s="40" t="s">
        <v>11398</v>
      </c>
      <c r="H2523" s="40" t="s">
        <v>11399</v>
      </c>
    </row>
    <row r="2524">
      <c r="A2524" s="39">
        <f>IFERROR(__xludf.DUMMYFUNCTION("""COMPUTED_VALUE"""),45972.76853543982)</f>
        <v>45972.76854</v>
      </c>
      <c r="B2524" s="40" t="str">
        <f>IFERROR(__xludf.DUMMYFUNCTION("""COMPUTED_VALUE"""),"NOVLIANA BARBALINA MISA")</f>
        <v>NOVLIANA BARBALINA MISA</v>
      </c>
      <c r="C2524" s="40" t="str">
        <f>IFERROR(__xludf.DUMMYFUNCTION("""COMPUTED_VALUE"""),"Belum disetujui")</f>
        <v>Belum disetujui</v>
      </c>
      <c r="D2524" s="40"/>
      <c r="E2524" s="40" t="s">
        <v>11454</v>
      </c>
      <c r="F2524" s="40" t="s">
        <v>205</v>
      </c>
      <c r="G2524" s="40" t="s">
        <v>11455</v>
      </c>
      <c r="H2524" s="40" t="s">
        <v>11419</v>
      </c>
    </row>
    <row r="2525">
      <c r="A2525" s="39">
        <f>IFERROR(__xludf.DUMMYFUNCTION("""COMPUTED_VALUE"""),45972.776688784725)</f>
        <v>45972.77669</v>
      </c>
      <c r="B2525" s="40" t="str">
        <f>IFERROR(__xludf.DUMMYFUNCTION("""COMPUTED_VALUE"""),"NUR FATIMAH MOLBANG")</f>
        <v>NUR FATIMAH MOLBANG</v>
      </c>
      <c r="C2525" s="40" t="str">
        <f>IFERROR(__xludf.DUMMYFUNCTION("""COMPUTED_VALUE"""),"Belum disetujui")</f>
        <v>Belum disetujui</v>
      </c>
      <c r="D2525" s="40"/>
      <c r="E2525" s="40" t="s">
        <v>11439</v>
      </c>
      <c r="F2525" s="40" t="s">
        <v>313</v>
      </c>
      <c r="G2525" s="40" t="s">
        <v>11440</v>
      </c>
      <c r="H2525" s="40" t="s">
        <v>11424</v>
      </c>
    </row>
    <row r="2526">
      <c r="A2526" s="39">
        <f>IFERROR(__xludf.DUMMYFUNCTION("""COMPUTED_VALUE"""),45972.77676180555)</f>
        <v>45972.77676</v>
      </c>
      <c r="B2526" s="40" t="str">
        <f>IFERROR(__xludf.DUMMYFUNCTION("""COMPUTED_VALUE"""),"EMPI FRANGKI LIEM")</f>
        <v>EMPI FRANGKI LIEM</v>
      </c>
      <c r="C2526" s="40" t="str">
        <f>IFERROR(__xludf.DUMMYFUNCTION("""COMPUTED_VALUE"""),"Belum disetujui")</f>
        <v>Belum disetujui</v>
      </c>
      <c r="D2526" s="40"/>
      <c r="E2526" s="40" t="s">
        <v>11397</v>
      </c>
      <c r="F2526" s="40" t="s">
        <v>220</v>
      </c>
      <c r="G2526" s="40" t="s">
        <v>11398</v>
      </c>
      <c r="H2526" s="40" t="s">
        <v>11399</v>
      </c>
    </row>
    <row r="2527">
      <c r="A2527" s="39">
        <f>IFERROR(__xludf.DUMMYFUNCTION("""COMPUTED_VALUE"""),45972.80957946759)</f>
        <v>45972.80958</v>
      </c>
      <c r="B2527" s="40" t="str">
        <f>IFERROR(__xludf.DUMMYFUNCTION("""COMPUTED_VALUE"""),"NENY MERLIANTI NA'U")</f>
        <v>NENY MERLIANTI NA'U</v>
      </c>
      <c r="C2527" s="40" t="str">
        <f>IFERROR(__xludf.DUMMYFUNCTION("""COMPUTED_VALUE"""),"Belum disetujui")</f>
        <v>Belum disetujui</v>
      </c>
      <c r="D2527" s="40"/>
      <c r="E2527" s="40" t="s">
        <v>11476</v>
      </c>
      <c r="F2527" s="40" t="s">
        <v>204</v>
      </c>
      <c r="G2527" s="40" t="s">
        <v>11477</v>
      </c>
      <c r="H2527" s="40" t="s">
        <v>11399</v>
      </c>
    </row>
    <row r="2528">
      <c r="A2528" s="39">
        <f>IFERROR(__xludf.DUMMYFUNCTION("""COMPUTED_VALUE"""),45972.819086678246)</f>
        <v>45972.81909</v>
      </c>
      <c r="B2528" s="40" t="str">
        <f>IFERROR(__xludf.DUMMYFUNCTION("""COMPUTED_VALUE"""),"PRETI SISILIA SILA")</f>
        <v>PRETI SISILIA SILA</v>
      </c>
      <c r="C2528" s="40" t="str">
        <f>IFERROR(__xludf.DUMMYFUNCTION("""COMPUTED_VALUE"""),"Dapat limit tapi belum diproses")</f>
        <v>Dapat limit tapi belum diproses</v>
      </c>
      <c r="D2528" s="40" t="str">
        <f>IFERROR(__xludf.DUMMYFUNCTION("""COMPUTED_VALUE"""),"Y21d series")</f>
        <v>Y21d series</v>
      </c>
      <c r="E2528" s="40" t="s">
        <v>11456</v>
      </c>
      <c r="F2528" s="40" t="s">
        <v>667</v>
      </c>
      <c r="G2528" s="40" t="s">
        <v>11457</v>
      </c>
      <c r="H2528" s="40" t="s">
        <v>11424</v>
      </c>
    </row>
    <row r="2529">
      <c r="A2529" s="39">
        <f>IFERROR(__xludf.DUMMYFUNCTION("""COMPUTED_VALUE"""),45972.823720208326)</f>
        <v>45972.82372</v>
      </c>
      <c r="B2529" s="40" t="str">
        <f>IFERROR(__xludf.DUMMYFUNCTION("""COMPUTED_VALUE"""),"ALDIANA WELIA PANIE")</f>
        <v>ALDIANA WELIA PANIE</v>
      </c>
      <c r="C2529" s="40" t="str">
        <f>IFERROR(__xludf.DUMMYFUNCTION("""COMPUTED_VALUE"""),"Belum disetujui")</f>
        <v>Belum disetujui</v>
      </c>
      <c r="D2529" s="40"/>
      <c r="E2529" s="40" t="s">
        <v>11422</v>
      </c>
      <c r="F2529" s="40" t="s">
        <v>215</v>
      </c>
      <c r="G2529" s="40" t="s">
        <v>11423</v>
      </c>
      <c r="H2529" s="40" t="s">
        <v>11424</v>
      </c>
    </row>
    <row r="2530">
      <c r="A2530" s="39">
        <f>IFERROR(__xludf.DUMMYFUNCTION("""COMPUTED_VALUE"""),45972.836559490745)</f>
        <v>45972.83656</v>
      </c>
      <c r="B2530" s="40" t="str">
        <f>IFERROR(__xludf.DUMMYFUNCTION("""COMPUTED_VALUE"""),"IRENE NOVALIA KADJU")</f>
        <v>IRENE NOVALIA KADJU</v>
      </c>
      <c r="C2530" s="40" t="str">
        <f>IFERROR(__xludf.DUMMYFUNCTION("""COMPUTED_VALUE"""),"Belum disetujui")</f>
        <v>Belum disetujui</v>
      </c>
      <c r="D2530" s="40"/>
      <c r="E2530" s="40" t="s">
        <v>11445</v>
      </c>
      <c r="F2530" s="40" t="s">
        <v>204</v>
      </c>
      <c r="G2530" s="40" t="s">
        <v>11446</v>
      </c>
      <c r="H2530" s="40" t="s">
        <v>11399</v>
      </c>
    </row>
    <row r="2531">
      <c r="A2531" s="39">
        <f>IFERROR(__xludf.DUMMYFUNCTION("""COMPUTED_VALUE"""),45972.83816293981)</f>
        <v>45972.83816</v>
      </c>
      <c r="B2531" s="40" t="str">
        <f>IFERROR(__xludf.DUMMYFUNCTION("""COMPUTED_VALUE"""),"IRENE NOVALIA KADJU")</f>
        <v>IRENE NOVALIA KADJU</v>
      </c>
      <c r="C2531" s="40" t="str">
        <f>IFERROR(__xludf.DUMMYFUNCTION("""COMPUTED_VALUE"""),"Belum disetujui")</f>
        <v>Belum disetujui</v>
      </c>
      <c r="D2531" s="40"/>
      <c r="E2531" s="40" t="s">
        <v>11445</v>
      </c>
      <c r="F2531" s="40" t="s">
        <v>204</v>
      </c>
      <c r="G2531" s="40" t="s">
        <v>11446</v>
      </c>
      <c r="H2531" s="40" t="s">
        <v>11399</v>
      </c>
    </row>
    <row r="2532">
      <c r="A2532" s="39">
        <f>IFERROR(__xludf.DUMMYFUNCTION("""COMPUTED_VALUE"""),45972.840907951395)</f>
        <v>45972.84091</v>
      </c>
      <c r="B2532" s="40" t="str">
        <f>IFERROR(__xludf.DUMMYFUNCTION("""COMPUTED_VALUE"""),"NOVANTRY RUTHANIA NAFFIE")</f>
        <v>NOVANTRY RUTHANIA NAFFIE</v>
      </c>
      <c r="C2532" s="40" t="str">
        <f>IFERROR(__xludf.DUMMYFUNCTION("""COMPUTED_VALUE"""),"Belum disetujui")</f>
        <v>Belum disetujui</v>
      </c>
      <c r="D2532" s="40"/>
      <c r="E2532" s="40" t="s">
        <v>11397</v>
      </c>
      <c r="F2532" s="40" t="s">
        <v>220</v>
      </c>
      <c r="G2532" s="40" t="s">
        <v>11398</v>
      </c>
      <c r="H2532" s="40" t="s">
        <v>11399</v>
      </c>
    </row>
    <row r="2533">
      <c r="A2533" s="39">
        <f>IFERROR(__xludf.DUMMYFUNCTION("""COMPUTED_VALUE"""),45972.84197083334)</f>
        <v>45972.84197</v>
      </c>
      <c r="B2533" s="40" t="str">
        <f>IFERROR(__xludf.DUMMYFUNCTION("""COMPUTED_VALUE"""),"IRENE NOVALIA KADJU")</f>
        <v>IRENE NOVALIA KADJU</v>
      </c>
      <c r="C2533" s="40" t="str">
        <f>IFERROR(__xludf.DUMMYFUNCTION("""COMPUTED_VALUE"""),"Belum disetujui")</f>
        <v>Belum disetujui</v>
      </c>
      <c r="D2533" s="40"/>
      <c r="E2533" s="40" t="s">
        <v>11445</v>
      </c>
      <c r="F2533" s="40" t="s">
        <v>204</v>
      </c>
      <c r="G2533" s="40" t="s">
        <v>11446</v>
      </c>
      <c r="H2533" s="40" t="s">
        <v>11399</v>
      </c>
    </row>
    <row r="2534">
      <c r="A2534" s="39">
        <f>IFERROR(__xludf.DUMMYFUNCTION("""COMPUTED_VALUE"""),45972.860124189814)</f>
        <v>45972.86012</v>
      </c>
      <c r="B2534" s="40" t="str">
        <f>IFERROR(__xludf.DUMMYFUNCTION("""COMPUTED_VALUE"""),"AINI RAHMATINI NATALIA MOESTAKIM")</f>
        <v>AINI RAHMATINI NATALIA MOESTAKIM</v>
      </c>
      <c r="C2534" s="40" t="str">
        <f>IFERROR(__xludf.DUMMYFUNCTION("""COMPUTED_VALUE"""),"Belum disetujui")</f>
        <v>Belum disetujui</v>
      </c>
      <c r="D2534" s="40"/>
      <c r="E2534" s="40" t="s">
        <v>11409</v>
      </c>
      <c r="F2534" s="40" t="s">
        <v>204</v>
      </c>
      <c r="G2534" s="40" t="s">
        <v>11410</v>
      </c>
      <c r="H2534" s="40" t="s">
        <v>11399</v>
      </c>
    </row>
    <row r="2535">
      <c r="A2535" s="39">
        <f>IFERROR(__xludf.DUMMYFUNCTION("""COMPUTED_VALUE"""),45972.86282211805)</f>
        <v>45972.86282</v>
      </c>
      <c r="B2535" s="40" t="str">
        <f>IFERROR(__xludf.DUMMYFUNCTION("""COMPUTED_VALUE"""),"HERONIMUS NAMU WALI")</f>
        <v>HERONIMUS NAMU WALI</v>
      </c>
      <c r="C2535" s="40" t="str">
        <f>IFERROR(__xludf.DUMMYFUNCTION("""COMPUTED_VALUE"""),"ACC")</f>
        <v>ACC</v>
      </c>
      <c r="D2535" s="40" t="str">
        <f>IFERROR(__xludf.DUMMYFUNCTION("""COMPUTED_VALUE"""),"Y400 series")</f>
        <v>Y400 series</v>
      </c>
      <c r="E2535" s="40" t="s">
        <v>11452</v>
      </c>
      <c r="F2535" s="40" t="s">
        <v>205</v>
      </c>
      <c r="G2535" s="40" t="s">
        <v>11453</v>
      </c>
      <c r="H2535" s="40" t="s">
        <v>11419</v>
      </c>
    </row>
    <row r="2536">
      <c r="A2536" s="39">
        <f>IFERROR(__xludf.DUMMYFUNCTION("""COMPUTED_VALUE"""),45973.3925171412)</f>
        <v>45973.39252</v>
      </c>
      <c r="B2536" s="40" t="str">
        <f>IFERROR(__xludf.DUMMYFUNCTION("""COMPUTED_VALUE"""),"HERONIMUS NAMU WALI")</f>
        <v>HERONIMUS NAMU WALI</v>
      </c>
      <c r="C2536" s="40" t="str">
        <f>IFERROR(__xludf.DUMMYFUNCTION("""COMPUTED_VALUE"""),"Belum disetujui")</f>
        <v>Belum disetujui</v>
      </c>
      <c r="D2536" s="40"/>
      <c r="E2536" s="40" t="s">
        <v>11452</v>
      </c>
      <c r="F2536" s="40" t="s">
        <v>205</v>
      </c>
      <c r="G2536" s="40" t="s">
        <v>11453</v>
      </c>
      <c r="H2536" s="40" t="s">
        <v>11419</v>
      </c>
    </row>
    <row r="2537">
      <c r="A2537" s="39">
        <f>IFERROR(__xludf.DUMMYFUNCTION("""COMPUTED_VALUE"""),45973.3963571875)</f>
        <v>45973.39636</v>
      </c>
      <c r="B2537" s="40" t="str">
        <f>IFERROR(__xludf.DUMMYFUNCTION("""COMPUTED_VALUE"""),"ESTER LUDJI")</f>
        <v>ESTER LUDJI</v>
      </c>
      <c r="C2537" s="40" t="str">
        <f>IFERROR(__xludf.DUMMYFUNCTION("""COMPUTED_VALUE"""),"Dapat limit tapi belum diproses")</f>
        <v>Dapat limit tapi belum diproses</v>
      </c>
      <c r="D2537" s="40" t="str">
        <f>IFERROR(__xludf.DUMMYFUNCTION("""COMPUTED_VALUE"""),"V60 series")</f>
        <v>V60 series</v>
      </c>
      <c r="E2537" s="40" t="s">
        <v>11441</v>
      </c>
      <c r="F2537" s="40" t="s">
        <v>205</v>
      </c>
      <c r="G2537" s="40" t="s">
        <v>11442</v>
      </c>
      <c r="H2537" s="40" t="s">
        <v>11419</v>
      </c>
    </row>
    <row r="2538">
      <c r="A2538" s="39">
        <f>IFERROR(__xludf.DUMMYFUNCTION("""COMPUTED_VALUE"""),45973.40704936343)</f>
        <v>45973.40705</v>
      </c>
      <c r="B2538" s="40" t="str">
        <f>IFERROR(__xludf.DUMMYFUNCTION("""COMPUTED_VALUE"""),"DEWI RAHMAN")</f>
        <v>DEWI RAHMAN</v>
      </c>
      <c r="C2538" s="40" t="str">
        <f>IFERROR(__xludf.DUMMYFUNCTION("""COMPUTED_VALUE"""),"Belum disetujui")</f>
        <v>Belum disetujui</v>
      </c>
      <c r="D2538" s="40"/>
      <c r="E2538" s="40" t="s">
        <v>11449</v>
      </c>
      <c r="F2538" s="40" t="s">
        <v>11450</v>
      </c>
      <c r="G2538" s="40" t="s">
        <v>11451</v>
      </c>
      <c r="H2538" s="40" t="s">
        <v>11424</v>
      </c>
    </row>
    <row r="2539">
      <c r="A2539" s="39">
        <f>IFERROR(__xludf.DUMMYFUNCTION("""COMPUTED_VALUE"""),45973.41736021991)</f>
        <v>45973.41736</v>
      </c>
      <c r="B2539" s="40" t="str">
        <f>IFERROR(__xludf.DUMMYFUNCTION("""COMPUTED_VALUE"""),"ASTUTI BELA WAWO")</f>
        <v>ASTUTI BELA WAWO</v>
      </c>
      <c r="C2539" s="40" t="str">
        <f>IFERROR(__xludf.DUMMYFUNCTION("""COMPUTED_VALUE"""),"ACC")</f>
        <v>ACC</v>
      </c>
      <c r="D2539" s="40" t="str">
        <f>IFERROR(__xludf.DUMMYFUNCTION("""COMPUTED_VALUE"""),"Y21d series")</f>
        <v>Y21d series</v>
      </c>
      <c r="E2539" s="40" t="s">
        <v>11427</v>
      </c>
      <c r="F2539" s="40" t="s">
        <v>257</v>
      </c>
      <c r="G2539" s="40" t="s">
        <v>11428</v>
      </c>
      <c r="H2539" s="40" t="s">
        <v>11419</v>
      </c>
    </row>
    <row r="2540">
      <c r="A2540" s="39">
        <f>IFERROR(__xludf.DUMMYFUNCTION("""COMPUTED_VALUE"""),45973.41741579861)</f>
        <v>45973.41742</v>
      </c>
      <c r="B2540" s="40" t="str">
        <f>IFERROR(__xludf.DUMMYFUNCTION("""COMPUTED_VALUE"""),"YUNITA TAMELAB")</f>
        <v>YUNITA TAMELAB</v>
      </c>
      <c r="C2540" s="40" t="str">
        <f>IFERROR(__xludf.DUMMYFUNCTION("""COMPUTED_VALUE"""),"Belum disetujui")</f>
        <v>Belum disetujui</v>
      </c>
      <c r="D2540" s="40"/>
      <c r="E2540" s="40" t="s">
        <v>11472</v>
      </c>
      <c r="F2540" s="40" t="s">
        <v>667</v>
      </c>
      <c r="G2540" s="40" t="s">
        <v>11473</v>
      </c>
      <c r="H2540" s="40" t="s">
        <v>11424</v>
      </c>
    </row>
    <row r="2541">
      <c r="A2541" s="39">
        <f>IFERROR(__xludf.DUMMYFUNCTION("""COMPUTED_VALUE"""),45973.42778482639)</f>
        <v>45973.42778</v>
      </c>
      <c r="B2541" s="40" t="str">
        <f>IFERROR(__xludf.DUMMYFUNCTION("""COMPUTED_VALUE"""),"FEBRIANTHY ELISABET NA'U")</f>
        <v>FEBRIANTHY ELISABET NA'U</v>
      </c>
      <c r="C2541" s="40" t="str">
        <f>IFERROR(__xludf.DUMMYFUNCTION("""COMPUTED_VALUE"""),"Belum disetujui")</f>
        <v>Belum disetujui</v>
      </c>
      <c r="D2541" s="40"/>
      <c r="E2541" s="40" t="s">
        <v>11415</v>
      </c>
      <c r="F2541" s="40" t="s">
        <v>204</v>
      </c>
      <c r="G2541" s="40" t="s">
        <v>11416</v>
      </c>
      <c r="H2541" s="40" t="s">
        <v>11399</v>
      </c>
    </row>
    <row r="2542">
      <c r="A2542" s="39">
        <f>IFERROR(__xludf.DUMMYFUNCTION("""COMPUTED_VALUE"""),45973.4300727199)</f>
        <v>45973.43007</v>
      </c>
      <c r="B2542" s="40" t="str">
        <f>IFERROR(__xludf.DUMMYFUNCTION("""COMPUTED_VALUE"""),"FEBRIANTHY ELISABET NA'U")</f>
        <v>FEBRIANTHY ELISABET NA'U</v>
      </c>
      <c r="C2542" s="40" t="str">
        <f>IFERROR(__xludf.DUMMYFUNCTION("""COMPUTED_VALUE"""),"Belum disetujui")</f>
        <v>Belum disetujui</v>
      </c>
      <c r="D2542" s="40"/>
      <c r="E2542" s="40" t="s">
        <v>11415</v>
      </c>
      <c r="F2542" s="40" t="s">
        <v>204</v>
      </c>
      <c r="G2542" s="40" t="s">
        <v>11416</v>
      </c>
      <c r="H2542" s="40" t="s">
        <v>11399</v>
      </c>
    </row>
    <row r="2543">
      <c r="A2543" s="39">
        <f>IFERROR(__xludf.DUMMYFUNCTION("""COMPUTED_VALUE"""),45973.431538159726)</f>
        <v>45973.43154</v>
      </c>
      <c r="B2543" s="40" t="str">
        <f>IFERROR(__xludf.DUMMYFUNCTION("""COMPUTED_VALUE"""),"FEBRIANTHY ELISABET NA'U")</f>
        <v>FEBRIANTHY ELISABET NA'U</v>
      </c>
      <c r="C2543" s="40" t="str">
        <f>IFERROR(__xludf.DUMMYFUNCTION("""COMPUTED_VALUE"""),"Dapat limit tapi belum diproses")</f>
        <v>Dapat limit tapi belum diproses</v>
      </c>
      <c r="D2543" s="40" t="str">
        <f>IFERROR(__xludf.DUMMYFUNCTION("""COMPUTED_VALUE"""),"Y21d series")</f>
        <v>Y21d series</v>
      </c>
      <c r="E2543" s="40" t="s">
        <v>11415</v>
      </c>
      <c r="F2543" s="40" t="s">
        <v>204</v>
      </c>
      <c r="G2543" s="40" t="s">
        <v>11416</v>
      </c>
      <c r="H2543" s="40" t="s">
        <v>11399</v>
      </c>
    </row>
    <row r="2544">
      <c r="A2544" s="39">
        <f>IFERROR(__xludf.DUMMYFUNCTION("""COMPUTED_VALUE"""),45973.44779133102)</f>
        <v>45973.44779</v>
      </c>
      <c r="B2544" s="40" t="str">
        <f>IFERROR(__xludf.DUMMYFUNCTION("""COMPUTED_VALUE"""),"PRETI SISILIA SILA")</f>
        <v>PRETI SISILIA SILA</v>
      </c>
      <c r="C2544" s="40" t="str">
        <f>IFERROR(__xludf.DUMMYFUNCTION("""COMPUTED_VALUE"""),"Belum disetujui")</f>
        <v>Belum disetujui</v>
      </c>
      <c r="D2544" s="40"/>
      <c r="E2544" s="40" t="s">
        <v>11456</v>
      </c>
      <c r="F2544" s="40" t="s">
        <v>667</v>
      </c>
      <c r="G2544" s="40" t="s">
        <v>11457</v>
      </c>
      <c r="H2544" s="40" t="s">
        <v>11424</v>
      </c>
    </row>
    <row r="2545">
      <c r="A2545" s="39">
        <f>IFERROR(__xludf.DUMMYFUNCTION("""COMPUTED_VALUE"""),45973.47638493055)</f>
        <v>45973.47638</v>
      </c>
      <c r="B2545" s="40" t="str">
        <f>IFERROR(__xludf.DUMMYFUNCTION("""COMPUTED_VALUE"""),"SANTI MARIA LUKMINI NAHAK")</f>
        <v>SANTI MARIA LUKMINI NAHAK</v>
      </c>
      <c r="C2545" s="40" t="str">
        <f>IFERROR(__xludf.DUMMYFUNCTION("""COMPUTED_VALUE"""),"Belum disetujui")</f>
        <v>Belum disetujui</v>
      </c>
      <c r="D2545" s="40"/>
      <c r="E2545" s="40" t="s">
        <v>11460</v>
      </c>
      <c r="F2545" s="40" t="s">
        <v>871</v>
      </c>
      <c r="G2545" s="40" t="s">
        <v>11461</v>
      </c>
      <c r="H2545" s="40" t="s">
        <v>11424</v>
      </c>
    </row>
    <row r="2546">
      <c r="A2546" s="39">
        <f>IFERROR(__xludf.DUMMYFUNCTION("""COMPUTED_VALUE"""),45973.477528877316)</f>
        <v>45973.47753</v>
      </c>
      <c r="B2546" s="40" t="str">
        <f>IFERROR(__xludf.DUMMYFUNCTION("""COMPUTED_VALUE"""),"MARATHA MARLINDA FANGGIDAE")</f>
        <v>MARATHA MARLINDA FANGGIDAE</v>
      </c>
      <c r="C2546" s="40" t="str">
        <f>IFERROR(__xludf.DUMMYFUNCTION("""COMPUTED_VALUE"""),"Belum disetujui")</f>
        <v>Belum disetujui</v>
      </c>
      <c r="D2546" s="40"/>
      <c r="E2546" s="40" t="s">
        <v>11435</v>
      </c>
      <c r="F2546" s="40" t="s">
        <v>215</v>
      </c>
      <c r="G2546" s="40" t="s">
        <v>11436</v>
      </c>
      <c r="H2546" s="40" t="s">
        <v>11424</v>
      </c>
    </row>
    <row r="2547">
      <c r="A2547" s="39">
        <f>IFERROR(__xludf.DUMMYFUNCTION("""COMPUTED_VALUE"""),45973.478968449075)</f>
        <v>45973.47897</v>
      </c>
      <c r="B2547" s="40" t="str">
        <f>IFERROR(__xludf.DUMMYFUNCTION("""COMPUTED_VALUE"""),"DEWI RAHMAN")</f>
        <v>DEWI RAHMAN</v>
      </c>
      <c r="C2547" s="40" t="str">
        <f>IFERROR(__xludf.DUMMYFUNCTION("""COMPUTED_VALUE"""),"Dapat limit tapi belum diproses")</f>
        <v>Dapat limit tapi belum diproses</v>
      </c>
      <c r="D2547" s="40" t="str">
        <f>IFERROR(__xludf.DUMMYFUNCTION("""COMPUTED_VALUE"""),"V60 Lite series")</f>
        <v>V60 Lite series</v>
      </c>
      <c r="E2547" s="40" t="s">
        <v>11449</v>
      </c>
      <c r="F2547" s="40" t="s">
        <v>11450</v>
      </c>
      <c r="G2547" s="40" t="s">
        <v>11451</v>
      </c>
      <c r="H2547" s="40" t="s">
        <v>11424</v>
      </c>
    </row>
    <row r="2548">
      <c r="A2548" s="39">
        <f>IFERROR(__xludf.DUMMYFUNCTION("""COMPUTED_VALUE"""),45973.48117517361)</f>
        <v>45973.48118</v>
      </c>
      <c r="B2548" s="40" t="str">
        <f>IFERROR(__xludf.DUMMYFUNCTION("""COMPUTED_VALUE"""),"MARATHA MARLINDA FANGGIDAE")</f>
        <v>MARATHA MARLINDA FANGGIDAE</v>
      </c>
      <c r="C2548" s="40" t="str">
        <f>IFERROR(__xludf.DUMMYFUNCTION("""COMPUTED_VALUE"""),"Belum disetujui")</f>
        <v>Belum disetujui</v>
      </c>
      <c r="D2548" s="40"/>
      <c r="E2548" s="40" t="s">
        <v>11435</v>
      </c>
      <c r="F2548" s="40" t="s">
        <v>215</v>
      </c>
      <c r="G2548" s="40" t="s">
        <v>11436</v>
      </c>
      <c r="H2548" s="40" t="s">
        <v>11424</v>
      </c>
    </row>
    <row r="2549">
      <c r="A2549" s="39">
        <f>IFERROR(__xludf.DUMMYFUNCTION("""COMPUTED_VALUE"""),45973.488214143516)</f>
        <v>45973.48821</v>
      </c>
      <c r="B2549" s="40" t="str">
        <f>IFERROR(__xludf.DUMMYFUNCTION("""COMPUTED_VALUE"""),"NOVLIANA BARBALINA MISA")</f>
        <v>NOVLIANA BARBALINA MISA</v>
      </c>
      <c r="C2549" s="40" t="str">
        <f>IFERROR(__xludf.DUMMYFUNCTION("""COMPUTED_VALUE"""),"Belum disetujui")</f>
        <v>Belum disetujui</v>
      </c>
      <c r="D2549" s="40"/>
      <c r="E2549" s="40" t="s">
        <v>11454</v>
      </c>
      <c r="F2549" s="40" t="s">
        <v>205</v>
      </c>
      <c r="G2549" s="40" t="s">
        <v>11455</v>
      </c>
      <c r="H2549" s="40" t="s">
        <v>11419</v>
      </c>
    </row>
    <row r="2550">
      <c r="A2550" s="39">
        <f>IFERROR(__xludf.DUMMYFUNCTION("""COMPUTED_VALUE"""),45973.48849710648)</f>
        <v>45973.4885</v>
      </c>
      <c r="B2550" s="40" t="str">
        <f>IFERROR(__xludf.DUMMYFUNCTION("""COMPUTED_VALUE"""),"ALDIANA WELIA PANIE")</f>
        <v>ALDIANA WELIA PANIE</v>
      </c>
      <c r="C2550" s="40" t="str">
        <f>IFERROR(__xludf.DUMMYFUNCTION("""COMPUTED_VALUE"""),"Belum disetujui")</f>
        <v>Belum disetujui</v>
      </c>
      <c r="D2550" s="40"/>
      <c r="E2550" s="40" t="s">
        <v>11422</v>
      </c>
      <c r="F2550" s="40" t="s">
        <v>215</v>
      </c>
      <c r="G2550" s="40" t="s">
        <v>11423</v>
      </c>
      <c r="H2550" s="40" t="s">
        <v>11424</v>
      </c>
    </row>
    <row r="2551">
      <c r="A2551" s="39">
        <f>IFERROR(__xludf.DUMMYFUNCTION("""COMPUTED_VALUE"""),45973.49230846065)</f>
        <v>45973.49231</v>
      </c>
      <c r="B2551" s="40" t="str">
        <f>IFERROR(__xludf.DUMMYFUNCTION("""COMPUTED_VALUE"""),"ALDIANA WELIA PANIE")</f>
        <v>ALDIANA WELIA PANIE</v>
      </c>
      <c r="C2551" s="40" t="str">
        <f>IFERROR(__xludf.DUMMYFUNCTION("""COMPUTED_VALUE"""),"Belum disetujui")</f>
        <v>Belum disetujui</v>
      </c>
      <c r="D2551" s="40"/>
      <c r="E2551" s="40" t="s">
        <v>11422</v>
      </c>
      <c r="F2551" s="40" t="s">
        <v>215</v>
      </c>
      <c r="G2551" s="40" t="s">
        <v>11423</v>
      </c>
      <c r="H2551" s="40" t="s">
        <v>11424</v>
      </c>
    </row>
    <row r="2552">
      <c r="A2552" s="39">
        <f>IFERROR(__xludf.DUMMYFUNCTION("""COMPUTED_VALUE"""),45973.49525354167)</f>
        <v>45973.49525</v>
      </c>
      <c r="B2552" s="40" t="str">
        <f>IFERROR(__xludf.DUMMYFUNCTION("""COMPUTED_VALUE"""),"YUNITA TAMELAB")</f>
        <v>YUNITA TAMELAB</v>
      </c>
      <c r="C2552" s="40" t="str">
        <f>IFERROR(__xludf.DUMMYFUNCTION("""COMPUTED_VALUE"""),"Belum disetujui")</f>
        <v>Belum disetujui</v>
      </c>
      <c r="D2552" s="40"/>
      <c r="E2552" s="40" t="s">
        <v>11472</v>
      </c>
      <c r="F2552" s="40" t="s">
        <v>667</v>
      </c>
      <c r="G2552" s="40" t="s">
        <v>11473</v>
      </c>
      <c r="H2552" s="40" t="s">
        <v>11424</v>
      </c>
    </row>
    <row r="2553">
      <c r="A2553" s="39">
        <f>IFERROR(__xludf.DUMMYFUNCTION("""COMPUTED_VALUE"""),45973.49983145833)</f>
        <v>45973.49983</v>
      </c>
      <c r="B2553" s="40" t="str">
        <f>IFERROR(__xludf.DUMMYFUNCTION("""COMPUTED_VALUE"""),"SANDRA LAU")</f>
        <v>SANDRA LAU</v>
      </c>
      <c r="C2553" s="40" t="str">
        <f>IFERROR(__xludf.DUMMYFUNCTION("""COMPUTED_VALUE"""),"Belum disetujui")</f>
        <v>Belum disetujui</v>
      </c>
      <c r="D2553" s="40"/>
      <c r="E2553" s="40" t="s">
        <v>11460</v>
      </c>
      <c r="F2553" s="40" t="s">
        <v>871</v>
      </c>
      <c r="G2553" s="40" t="s">
        <v>11461</v>
      </c>
      <c r="H2553" s="40" t="s">
        <v>11424</v>
      </c>
    </row>
    <row r="2554">
      <c r="A2554" s="39">
        <f>IFERROR(__xludf.DUMMYFUNCTION("""COMPUTED_VALUE"""),45973.502247766206)</f>
        <v>45973.50225</v>
      </c>
      <c r="B2554" s="40" t="str">
        <f>IFERROR(__xludf.DUMMYFUNCTION("""COMPUTED_VALUE"""),"KESIA NATALIA I. BENU")</f>
        <v>KESIA NATALIA I. BENU</v>
      </c>
      <c r="C2554" s="40" t="str">
        <f>IFERROR(__xludf.DUMMYFUNCTION("""COMPUTED_VALUE"""),"Belum disetujui")</f>
        <v>Belum disetujui</v>
      </c>
      <c r="D2554" s="40"/>
      <c r="E2554" s="40" t="s">
        <v>11417</v>
      </c>
      <c r="F2554" s="40" t="s">
        <v>257</v>
      </c>
      <c r="G2554" s="40" t="s">
        <v>11418</v>
      </c>
      <c r="H2554" s="40" t="s">
        <v>11419</v>
      </c>
    </row>
    <row r="2555">
      <c r="A2555" s="39">
        <f>IFERROR(__xludf.DUMMYFUNCTION("""COMPUTED_VALUE"""),45973.55219488426)</f>
        <v>45973.55219</v>
      </c>
      <c r="B2555" s="40" t="str">
        <f>IFERROR(__xludf.DUMMYFUNCTION("""COMPUTED_VALUE"""),"MARNITHA JUWIKE TIMORATI RUNESI")</f>
        <v>MARNITHA JUWIKE TIMORATI RUNESI</v>
      </c>
      <c r="C2555" s="40" t="str">
        <f>IFERROR(__xludf.DUMMYFUNCTION("""COMPUTED_VALUE"""),"Belum disetujui")</f>
        <v>Belum disetujui</v>
      </c>
      <c r="D2555" s="40"/>
      <c r="E2555" s="40" t="s">
        <v>11420</v>
      </c>
      <c r="F2555" s="40" t="s">
        <v>204</v>
      </c>
      <c r="G2555" s="40" t="s">
        <v>11421</v>
      </c>
      <c r="H2555" s="40" t="s">
        <v>11399</v>
      </c>
    </row>
    <row r="2556">
      <c r="A2556" s="39">
        <f>IFERROR(__xludf.DUMMYFUNCTION("""COMPUTED_VALUE"""),45973.571710787044)</f>
        <v>45973.57171</v>
      </c>
      <c r="B2556" s="40" t="str">
        <f>IFERROR(__xludf.DUMMYFUNCTION("""COMPUTED_VALUE"""),"KESIA NATALIA I. BENU")</f>
        <v>KESIA NATALIA I. BENU</v>
      </c>
      <c r="C2556" s="40" t="str">
        <f>IFERROR(__xludf.DUMMYFUNCTION("""COMPUTED_VALUE"""),"ACC")</f>
        <v>ACC</v>
      </c>
      <c r="D2556" s="40" t="str">
        <f>IFERROR(__xludf.DUMMYFUNCTION("""COMPUTED_VALUE"""),"Y21d series")</f>
        <v>Y21d series</v>
      </c>
      <c r="E2556" s="40" t="s">
        <v>11417</v>
      </c>
      <c r="F2556" s="40" t="s">
        <v>257</v>
      </c>
      <c r="G2556" s="40" t="s">
        <v>11418</v>
      </c>
      <c r="H2556" s="40" t="s">
        <v>11419</v>
      </c>
    </row>
    <row r="2557">
      <c r="A2557" s="39">
        <f>IFERROR(__xludf.DUMMYFUNCTION("""COMPUTED_VALUE"""),45973.58307501157)</f>
        <v>45973.58308</v>
      </c>
      <c r="B2557" s="40" t="str">
        <f>IFERROR(__xludf.DUMMYFUNCTION("""COMPUTED_VALUE"""),"MERDA PUTRI BUNGSU KENAT")</f>
        <v>MERDA PUTRI BUNGSU KENAT</v>
      </c>
      <c r="C2557" s="40" t="str">
        <f>IFERROR(__xludf.DUMMYFUNCTION("""COMPUTED_VALUE"""),"ACC")</f>
        <v>ACC</v>
      </c>
      <c r="D2557" s="40" t="str">
        <f>IFERROR(__xludf.DUMMYFUNCTION("""COMPUTED_VALUE"""),"Y400 series")</f>
        <v>Y400 series</v>
      </c>
      <c r="E2557" s="40" t="s">
        <v>11422</v>
      </c>
      <c r="F2557" s="40" t="s">
        <v>215</v>
      </c>
      <c r="G2557" s="40" t="s">
        <v>11423</v>
      </c>
      <c r="H2557" s="40" t="s">
        <v>11424</v>
      </c>
    </row>
    <row r="2558">
      <c r="A2558" s="39">
        <f>IFERROR(__xludf.DUMMYFUNCTION("""COMPUTED_VALUE"""),45973.60679748843)</f>
        <v>45973.6068</v>
      </c>
      <c r="B2558" s="40" t="str">
        <f>IFERROR(__xludf.DUMMYFUNCTION("""COMPUTED_VALUE"""),"NUR FATIMAH MOLBANG")</f>
        <v>NUR FATIMAH MOLBANG</v>
      </c>
      <c r="C2558" s="40" t="str">
        <f>IFERROR(__xludf.DUMMYFUNCTION("""COMPUTED_VALUE"""),"Belum disetujui")</f>
        <v>Belum disetujui</v>
      </c>
      <c r="D2558" s="40"/>
      <c r="E2558" s="40" t="s">
        <v>11439</v>
      </c>
      <c r="F2558" s="40" t="s">
        <v>313</v>
      </c>
      <c r="G2558" s="40" t="s">
        <v>11440</v>
      </c>
      <c r="H2558" s="40" t="s">
        <v>11424</v>
      </c>
    </row>
    <row r="2559">
      <c r="A2559" s="39">
        <f>IFERROR(__xludf.DUMMYFUNCTION("""COMPUTED_VALUE"""),45973.60806652778)</f>
        <v>45973.60807</v>
      </c>
      <c r="B2559" s="40" t="str">
        <f>IFERROR(__xludf.DUMMYFUNCTION("""COMPUTED_VALUE"""),"NUR FATIMAH MOLBANG")</f>
        <v>NUR FATIMAH MOLBANG</v>
      </c>
      <c r="C2559" s="40" t="str">
        <f>IFERROR(__xludf.DUMMYFUNCTION("""COMPUTED_VALUE"""),"Belum disetujui")</f>
        <v>Belum disetujui</v>
      </c>
      <c r="D2559" s="40"/>
      <c r="E2559" s="40" t="s">
        <v>11439</v>
      </c>
      <c r="F2559" s="40" t="s">
        <v>313</v>
      </c>
      <c r="G2559" s="40" t="s">
        <v>11440</v>
      </c>
      <c r="H2559" s="40" t="s">
        <v>11424</v>
      </c>
    </row>
    <row r="2560">
      <c r="A2560" s="39">
        <f>IFERROR(__xludf.DUMMYFUNCTION("""COMPUTED_VALUE"""),45973.60989085648)</f>
        <v>45973.60989</v>
      </c>
      <c r="B2560" s="40" t="str">
        <f>IFERROR(__xludf.DUMMYFUNCTION("""COMPUTED_VALUE"""),"SELVINCE BAKO")</f>
        <v>SELVINCE BAKO</v>
      </c>
      <c r="C2560" s="40" t="str">
        <f>IFERROR(__xludf.DUMMYFUNCTION("""COMPUTED_VALUE"""),"Belum disetujui")</f>
        <v>Belum disetujui</v>
      </c>
      <c r="D2560" s="40"/>
      <c r="E2560" s="40" t="s">
        <v>11413</v>
      </c>
      <c r="F2560" s="40" t="s">
        <v>204</v>
      </c>
      <c r="G2560" s="40" t="s">
        <v>11414</v>
      </c>
      <c r="H2560" s="40" t="s">
        <v>11399</v>
      </c>
    </row>
    <row r="2561">
      <c r="A2561" s="39">
        <f>IFERROR(__xludf.DUMMYFUNCTION("""COMPUTED_VALUE"""),45973.62488821759)</f>
        <v>45973.62489</v>
      </c>
      <c r="B2561" s="40" t="str">
        <f>IFERROR(__xludf.DUMMYFUNCTION("""COMPUTED_VALUE"""),"SANTI MARIA LUKMINI NAHAK")</f>
        <v>SANTI MARIA LUKMINI NAHAK</v>
      </c>
      <c r="C2561" s="40" t="str">
        <f>IFERROR(__xludf.DUMMYFUNCTION("""COMPUTED_VALUE"""),"Belum disetujui")</f>
        <v>Belum disetujui</v>
      </c>
      <c r="D2561" s="40"/>
      <c r="E2561" s="40" t="s">
        <v>11460</v>
      </c>
      <c r="F2561" s="40" t="s">
        <v>871</v>
      </c>
      <c r="G2561" s="40" t="s">
        <v>11461</v>
      </c>
      <c r="H2561" s="40" t="s">
        <v>11424</v>
      </c>
    </row>
    <row r="2562">
      <c r="A2562" s="39">
        <f>IFERROR(__xludf.DUMMYFUNCTION("""COMPUTED_VALUE"""),45973.635435613425)</f>
        <v>45973.63544</v>
      </c>
      <c r="B2562" s="40" t="str">
        <f>IFERROR(__xludf.DUMMYFUNCTION("""COMPUTED_VALUE"""),"ANNA RAHMATIA JUFRI")</f>
        <v>ANNA RAHMATIA JUFRI</v>
      </c>
      <c r="C2562" s="40" t="str">
        <f>IFERROR(__xludf.DUMMYFUNCTION("""COMPUTED_VALUE"""),"Dapat limit tapi belum diproses")</f>
        <v>Dapat limit tapi belum diproses</v>
      </c>
      <c r="D2562" s="40" t="str">
        <f>IFERROR(__xludf.DUMMYFUNCTION("""COMPUTED_VALUE"""),"Y21d series")</f>
        <v>Y21d series</v>
      </c>
      <c r="E2562" s="40" t="s">
        <v>11484</v>
      </c>
      <c r="F2562" s="40" t="s">
        <v>11450</v>
      </c>
      <c r="G2562" s="40" t="s">
        <v>11485</v>
      </c>
      <c r="H2562" s="40" t="s">
        <v>11424</v>
      </c>
    </row>
    <row r="2563">
      <c r="A2563" s="39">
        <f>IFERROR(__xludf.DUMMYFUNCTION("""COMPUTED_VALUE"""),45973.636361273144)</f>
        <v>45973.63636</v>
      </c>
      <c r="B2563" s="40" t="str">
        <f>IFERROR(__xludf.DUMMYFUNCTION("""COMPUTED_VALUE"""),"SKOLASTIKA B TAUNAES")</f>
        <v>SKOLASTIKA B TAUNAES</v>
      </c>
      <c r="C2563" s="40" t="str">
        <f>IFERROR(__xludf.DUMMYFUNCTION("""COMPUTED_VALUE"""),"Belum disetujui")</f>
        <v>Belum disetujui</v>
      </c>
      <c r="D2563" s="40"/>
      <c r="E2563" s="40" t="s">
        <v>11413</v>
      </c>
      <c r="F2563" s="40" t="s">
        <v>204</v>
      </c>
      <c r="G2563" s="40" t="s">
        <v>11414</v>
      </c>
      <c r="H2563" s="40" t="s">
        <v>11399</v>
      </c>
    </row>
    <row r="2564">
      <c r="A2564" s="39">
        <f>IFERROR(__xludf.DUMMYFUNCTION("""COMPUTED_VALUE"""),45973.663534583335)</f>
        <v>45973.66353</v>
      </c>
      <c r="B2564" s="40" t="str">
        <f>IFERROR(__xludf.DUMMYFUNCTION("""COMPUTED_VALUE"""),"ASRI NINGSI RAMBU ATA ENDI")</f>
        <v>ASRI NINGSI RAMBU ATA ENDI</v>
      </c>
      <c r="C2564" s="40" t="str">
        <f>IFERROR(__xludf.DUMMYFUNCTION("""COMPUTED_VALUE"""),"Belum disetujui")</f>
        <v>Belum disetujui</v>
      </c>
      <c r="D2564" s="40"/>
      <c r="E2564" s="40" t="s">
        <v>11441</v>
      </c>
      <c r="F2564" s="40" t="s">
        <v>205</v>
      </c>
      <c r="G2564" s="40" t="s">
        <v>11442</v>
      </c>
      <c r="H2564" s="40" t="s">
        <v>11419</v>
      </c>
    </row>
    <row r="2565">
      <c r="A2565" s="39">
        <f>IFERROR(__xludf.DUMMYFUNCTION("""COMPUTED_VALUE"""),45973.67481586806)</f>
        <v>45973.67482</v>
      </c>
      <c r="B2565" s="40" t="str">
        <f>IFERROR(__xludf.DUMMYFUNCTION("""COMPUTED_VALUE"""),"SULIS NURAINI INSYATUN")</f>
        <v>SULIS NURAINI INSYATUN</v>
      </c>
      <c r="C2565" s="40" t="str">
        <f>IFERROR(__xludf.DUMMYFUNCTION("""COMPUTED_VALUE"""),"Dapat limit tapi belum diproses")</f>
        <v>Dapat limit tapi belum diproses</v>
      </c>
      <c r="D2565" s="40" t="str">
        <f>IFERROR(__xludf.DUMMYFUNCTION("""COMPUTED_VALUE"""),"Y21d series")</f>
        <v>Y21d series</v>
      </c>
      <c r="E2565" s="40" t="s">
        <v>11429</v>
      </c>
      <c r="F2565" s="40" t="s">
        <v>257</v>
      </c>
      <c r="G2565" s="40" t="s">
        <v>11430</v>
      </c>
      <c r="H2565" s="40" t="s">
        <v>11419</v>
      </c>
    </row>
    <row r="2566">
      <c r="A2566" s="39">
        <f>IFERROR(__xludf.DUMMYFUNCTION("""COMPUTED_VALUE"""),45973.6784340625)</f>
        <v>45973.67843</v>
      </c>
      <c r="B2566" s="40" t="str">
        <f>IFERROR(__xludf.DUMMYFUNCTION("""COMPUTED_VALUE"""),"NOVLIANA BARBALINA MISA")</f>
        <v>NOVLIANA BARBALINA MISA</v>
      </c>
      <c r="C2566" s="40" t="str">
        <f>IFERROR(__xludf.DUMMYFUNCTION("""COMPUTED_VALUE"""),"Belum disetujui")</f>
        <v>Belum disetujui</v>
      </c>
      <c r="D2566" s="40"/>
      <c r="E2566" s="40" t="s">
        <v>11454</v>
      </c>
      <c r="F2566" s="40" t="s">
        <v>205</v>
      </c>
      <c r="G2566" s="40" t="s">
        <v>11455</v>
      </c>
      <c r="H2566" s="40" t="s">
        <v>11419</v>
      </c>
    </row>
    <row r="2567">
      <c r="A2567" s="39">
        <f>IFERROR(__xludf.DUMMYFUNCTION("""COMPUTED_VALUE"""),45973.681081504634)</f>
        <v>45973.68108</v>
      </c>
      <c r="B2567" s="40" t="str">
        <f>IFERROR(__xludf.DUMMYFUNCTION("""COMPUTED_VALUE"""),"NOVLIANA BARBALINA MISA")</f>
        <v>NOVLIANA BARBALINA MISA</v>
      </c>
      <c r="C2567" s="40" t="str">
        <f>IFERROR(__xludf.DUMMYFUNCTION("""COMPUTED_VALUE"""),"Dapat limit tapi belum diproses")</f>
        <v>Dapat limit tapi belum diproses</v>
      </c>
      <c r="D2567" s="40" t="str">
        <f>IFERROR(__xludf.DUMMYFUNCTION("""COMPUTED_VALUE"""),"Y21d series")</f>
        <v>Y21d series</v>
      </c>
      <c r="E2567" s="40" t="s">
        <v>11454</v>
      </c>
      <c r="F2567" s="40" t="s">
        <v>205</v>
      </c>
      <c r="G2567" s="40" t="s">
        <v>11455</v>
      </c>
      <c r="H2567" s="40" t="s">
        <v>11419</v>
      </c>
    </row>
    <row r="2568">
      <c r="A2568" s="39">
        <f>IFERROR(__xludf.DUMMYFUNCTION("""COMPUTED_VALUE"""),45973.69043701389)</f>
        <v>45973.69044</v>
      </c>
      <c r="B2568" s="40" t="str">
        <f>IFERROR(__xludf.DUMMYFUNCTION("""COMPUTED_VALUE"""),"MERDA PUTRI BUNGSU KENAT")</f>
        <v>MERDA PUTRI BUNGSU KENAT</v>
      </c>
      <c r="C2568" s="40" t="str">
        <f>IFERROR(__xludf.DUMMYFUNCTION("""COMPUTED_VALUE"""),"Belum disetujui")</f>
        <v>Belum disetujui</v>
      </c>
      <c r="D2568" s="40"/>
      <c r="E2568" s="40" t="s">
        <v>11422</v>
      </c>
      <c r="F2568" s="40" t="s">
        <v>215</v>
      </c>
      <c r="G2568" s="40" t="s">
        <v>11423</v>
      </c>
      <c r="H2568" s="40" t="s">
        <v>11424</v>
      </c>
    </row>
    <row r="2569">
      <c r="A2569" s="39">
        <f>IFERROR(__xludf.DUMMYFUNCTION("""COMPUTED_VALUE"""),45973.691690474545)</f>
        <v>45973.69169</v>
      </c>
      <c r="B2569" s="40" t="str">
        <f>IFERROR(__xludf.DUMMYFUNCTION("""COMPUTED_VALUE"""),"LASTRIANA PALUS")</f>
        <v>LASTRIANA PALUS</v>
      </c>
      <c r="C2569" s="40" t="str">
        <f>IFERROR(__xludf.DUMMYFUNCTION("""COMPUTED_VALUE"""),"ACC")</f>
        <v>ACC</v>
      </c>
      <c r="D2569" s="40" t="str">
        <f>IFERROR(__xludf.DUMMYFUNCTION("""COMPUTED_VALUE"""),"V60 Lite series")</f>
        <v>V60 Lite series</v>
      </c>
      <c r="E2569" s="40" t="s">
        <v>11468</v>
      </c>
      <c r="F2569" s="40" t="s">
        <v>257</v>
      </c>
      <c r="G2569" s="40" t="s">
        <v>11469</v>
      </c>
      <c r="H2569" s="40" t="s">
        <v>11419</v>
      </c>
    </row>
    <row r="2570">
      <c r="A2570" s="39">
        <f>IFERROR(__xludf.DUMMYFUNCTION("""COMPUTED_VALUE"""),45973.69858048611)</f>
        <v>45973.69858</v>
      </c>
      <c r="B2570" s="40" t="str">
        <f>IFERROR(__xludf.DUMMYFUNCTION("""COMPUTED_VALUE"""),"NABILA RAHMAWATI")</f>
        <v>NABILA RAHMAWATI</v>
      </c>
      <c r="C2570" s="40" t="str">
        <f>IFERROR(__xludf.DUMMYFUNCTION("""COMPUTED_VALUE"""),"Belum disetujui")</f>
        <v>Belum disetujui</v>
      </c>
      <c r="D2570" s="40"/>
      <c r="E2570" s="40" t="s">
        <v>11464</v>
      </c>
      <c r="F2570" s="40" t="s">
        <v>257</v>
      </c>
      <c r="G2570" s="40" t="s">
        <v>11465</v>
      </c>
      <c r="H2570" s="40" t="s">
        <v>11419</v>
      </c>
    </row>
    <row r="2571">
      <c r="A2571" s="39">
        <f>IFERROR(__xludf.DUMMYFUNCTION("""COMPUTED_VALUE"""),45973.6986690625)</f>
        <v>45973.69867</v>
      </c>
      <c r="B2571" s="40" t="str">
        <f>IFERROR(__xludf.DUMMYFUNCTION("""COMPUTED_VALUE"""),"LASTRIANA PALUS")</f>
        <v>LASTRIANA PALUS</v>
      </c>
      <c r="C2571" s="40" t="str">
        <f>IFERROR(__xludf.DUMMYFUNCTION("""COMPUTED_VALUE"""),"Belum disetujui")</f>
        <v>Belum disetujui</v>
      </c>
      <c r="D2571" s="40"/>
      <c r="E2571" s="40" t="s">
        <v>11468</v>
      </c>
      <c r="F2571" s="40" t="s">
        <v>257</v>
      </c>
      <c r="G2571" s="40" t="s">
        <v>11469</v>
      </c>
      <c r="H2571" s="40" t="s">
        <v>11419</v>
      </c>
    </row>
    <row r="2572">
      <c r="A2572" s="39">
        <f>IFERROR(__xludf.DUMMYFUNCTION("""COMPUTED_VALUE"""),45973.72264414352)</f>
        <v>45973.72264</v>
      </c>
      <c r="B2572" s="40" t="str">
        <f>IFERROR(__xludf.DUMMYFUNCTION("""COMPUTED_VALUE"""),"MARNITHA JUWIKE TIMORATI RUNESI")</f>
        <v>MARNITHA JUWIKE TIMORATI RUNESI</v>
      </c>
      <c r="C2572" s="40" t="str">
        <f>IFERROR(__xludf.DUMMYFUNCTION("""COMPUTED_VALUE"""),"Belum disetujui")</f>
        <v>Belum disetujui</v>
      </c>
      <c r="D2572" s="40"/>
      <c r="E2572" s="40" t="s">
        <v>11420</v>
      </c>
      <c r="F2572" s="40" t="s">
        <v>204</v>
      </c>
      <c r="G2572" s="40" t="s">
        <v>11421</v>
      </c>
      <c r="H2572" s="40" t="s">
        <v>11399</v>
      </c>
    </row>
    <row r="2573">
      <c r="A2573" s="39">
        <f>IFERROR(__xludf.DUMMYFUNCTION("""COMPUTED_VALUE"""),45973.7262746412)</f>
        <v>45973.72627</v>
      </c>
      <c r="B2573" s="40" t="str">
        <f>IFERROR(__xludf.DUMMYFUNCTION("""COMPUTED_VALUE"""),"ANGELA BOUKA BERI")</f>
        <v>ANGELA BOUKA BERI</v>
      </c>
      <c r="C2573" s="40" t="str">
        <f>IFERROR(__xludf.DUMMYFUNCTION("""COMPUTED_VALUE"""),"Dapat limit tapi belum diproses")</f>
        <v>Dapat limit tapi belum diproses</v>
      </c>
      <c r="D2573" s="40" t="str">
        <f>IFERROR(__xludf.DUMMYFUNCTION("""COMPUTED_VALUE"""),"Y21d series")</f>
        <v>Y21d series</v>
      </c>
      <c r="E2573" s="40" t="s">
        <v>11486</v>
      </c>
      <c r="F2573" s="40" t="s">
        <v>11450</v>
      </c>
      <c r="G2573" s="40" t="s">
        <v>11487</v>
      </c>
      <c r="H2573" s="40" t="s">
        <v>11424</v>
      </c>
    </row>
    <row r="2574">
      <c r="A2574" s="39">
        <f>IFERROR(__xludf.DUMMYFUNCTION("""COMPUTED_VALUE"""),45973.72833450232)</f>
        <v>45973.72833</v>
      </c>
      <c r="B2574" s="40" t="str">
        <f>IFERROR(__xludf.DUMMYFUNCTION("""COMPUTED_VALUE"""),"MERDA PUTRI BUNGSU KENAT")</f>
        <v>MERDA PUTRI BUNGSU KENAT</v>
      </c>
      <c r="C2574" s="40" t="str">
        <f>IFERROR(__xludf.DUMMYFUNCTION("""COMPUTED_VALUE"""),"Belum disetujui")</f>
        <v>Belum disetujui</v>
      </c>
      <c r="D2574" s="40"/>
      <c r="E2574" s="40" t="s">
        <v>11422</v>
      </c>
      <c r="F2574" s="40" t="s">
        <v>215</v>
      </c>
      <c r="G2574" s="40" t="s">
        <v>11423</v>
      </c>
      <c r="H2574" s="40" t="s">
        <v>11424</v>
      </c>
    </row>
    <row r="2575">
      <c r="A2575" s="39">
        <f>IFERROR(__xludf.DUMMYFUNCTION("""COMPUTED_VALUE"""),45973.733237824075)</f>
        <v>45973.73324</v>
      </c>
      <c r="B2575" s="40" t="str">
        <f>IFERROR(__xludf.DUMMYFUNCTION("""COMPUTED_VALUE"""),"WINDRI MANOE")</f>
        <v>WINDRI MANOE</v>
      </c>
      <c r="C2575" s="40" t="str">
        <f>IFERROR(__xludf.DUMMYFUNCTION("""COMPUTED_VALUE"""),"Belum disetujui")</f>
        <v>Belum disetujui</v>
      </c>
      <c r="D2575" s="40"/>
      <c r="E2575" s="40" t="s">
        <v>11443</v>
      </c>
      <c r="F2575" s="40" t="s">
        <v>220</v>
      </c>
      <c r="G2575" s="40" t="s">
        <v>11444</v>
      </c>
      <c r="H2575" s="40" t="s">
        <v>11399</v>
      </c>
    </row>
    <row r="2576">
      <c r="A2576" s="39">
        <f>IFERROR(__xludf.DUMMYFUNCTION("""COMPUTED_VALUE"""),45973.742124027776)</f>
        <v>45973.74212</v>
      </c>
      <c r="B2576" s="40" t="str">
        <f>IFERROR(__xludf.DUMMYFUNCTION("""COMPUTED_VALUE"""),"DWITNEY PRETY WANGGANDIMA")</f>
        <v>DWITNEY PRETY WANGGANDIMA</v>
      </c>
      <c r="C2576" s="40" t="str">
        <f>IFERROR(__xludf.DUMMYFUNCTION("""COMPUTED_VALUE"""),"Belum disetujui")</f>
        <v>Belum disetujui</v>
      </c>
      <c r="D2576" s="40"/>
      <c r="E2576" s="40" t="s">
        <v>11443</v>
      </c>
      <c r="F2576" s="40" t="s">
        <v>220</v>
      </c>
      <c r="G2576" s="40" t="s">
        <v>11444</v>
      </c>
      <c r="H2576" s="40" t="s">
        <v>11399</v>
      </c>
    </row>
    <row r="2577">
      <c r="A2577" s="39">
        <f>IFERROR(__xludf.DUMMYFUNCTION("""COMPUTED_VALUE"""),45973.74393552083)</f>
        <v>45973.74394</v>
      </c>
      <c r="B2577" s="40" t="str">
        <f>IFERROR(__xludf.DUMMYFUNCTION("""COMPUTED_VALUE"""),"DWITNEY PRETY WANGGANDIMA")</f>
        <v>DWITNEY PRETY WANGGANDIMA</v>
      </c>
      <c r="C2577" s="40" t="str">
        <f>IFERROR(__xludf.DUMMYFUNCTION("""COMPUTED_VALUE"""),"Belum disetujui")</f>
        <v>Belum disetujui</v>
      </c>
      <c r="D2577" s="40"/>
      <c r="E2577" s="40" t="s">
        <v>11443</v>
      </c>
      <c r="F2577" s="40" t="s">
        <v>220</v>
      </c>
      <c r="G2577" s="40" t="s">
        <v>11444</v>
      </c>
      <c r="H2577" s="40" t="s">
        <v>11399</v>
      </c>
    </row>
    <row r="2578">
      <c r="A2578" s="39">
        <f>IFERROR(__xludf.DUMMYFUNCTION("""COMPUTED_VALUE"""),45973.75037563658)</f>
        <v>45973.75038</v>
      </c>
      <c r="B2578" s="40" t="str">
        <f>IFERROR(__xludf.DUMMYFUNCTION("""COMPUTED_VALUE"""),"FEBRIANTHY ELISABET NA'U")</f>
        <v>FEBRIANTHY ELISABET NA'U</v>
      </c>
      <c r="C2578" s="40" t="str">
        <f>IFERROR(__xludf.DUMMYFUNCTION("""COMPUTED_VALUE"""),"Dapat limit tapi belum diproses")</f>
        <v>Dapat limit tapi belum diproses</v>
      </c>
      <c r="D2578" s="40" t="str">
        <f>IFERROR(__xludf.DUMMYFUNCTION("""COMPUTED_VALUE"""),"Y21d series")</f>
        <v>Y21d series</v>
      </c>
      <c r="E2578" s="40" t="s">
        <v>11415</v>
      </c>
      <c r="F2578" s="40" t="s">
        <v>204</v>
      </c>
      <c r="G2578" s="40" t="s">
        <v>11416</v>
      </c>
      <c r="H2578" s="40" t="s">
        <v>11399</v>
      </c>
    </row>
    <row r="2579">
      <c r="A2579" s="39">
        <f>IFERROR(__xludf.DUMMYFUNCTION("""COMPUTED_VALUE"""),45973.75094111111)</f>
        <v>45973.75094</v>
      </c>
      <c r="B2579" s="40" t="str">
        <f>IFERROR(__xludf.DUMMYFUNCTION("""COMPUTED_VALUE"""),"ROS YANE KANA LUDJI")</f>
        <v>ROS YANE KANA LUDJI</v>
      </c>
      <c r="C2579" s="40" t="str">
        <f>IFERROR(__xludf.DUMMYFUNCTION("""COMPUTED_VALUE"""),"Belum disetujui")</f>
        <v>Belum disetujui</v>
      </c>
      <c r="D2579" s="40"/>
      <c r="E2579" s="40" t="s">
        <v>11437</v>
      </c>
      <c r="F2579" s="40" t="s">
        <v>204</v>
      </c>
      <c r="G2579" s="40" t="s">
        <v>11438</v>
      </c>
      <c r="H2579" s="40" t="s">
        <v>11399</v>
      </c>
    </row>
    <row r="2580">
      <c r="A2580" s="39">
        <f>IFERROR(__xludf.DUMMYFUNCTION("""COMPUTED_VALUE"""),45973.75292791666)</f>
        <v>45973.75293</v>
      </c>
      <c r="B2580" s="40" t="str">
        <f>IFERROR(__xludf.DUMMYFUNCTION("""COMPUTED_VALUE"""),"SKOLASTIKA B TAUNAES")</f>
        <v>SKOLASTIKA B TAUNAES</v>
      </c>
      <c r="C2580" s="40" t="str">
        <f>IFERROR(__xludf.DUMMYFUNCTION("""COMPUTED_VALUE"""),"Belum disetujui")</f>
        <v>Belum disetujui</v>
      </c>
      <c r="D2580" s="40"/>
      <c r="E2580" s="40" t="s">
        <v>11413</v>
      </c>
      <c r="F2580" s="40" t="s">
        <v>204</v>
      </c>
      <c r="G2580" s="40" t="s">
        <v>11414</v>
      </c>
      <c r="H2580" s="40" t="s">
        <v>11399</v>
      </c>
    </row>
    <row r="2581">
      <c r="A2581" s="39">
        <f>IFERROR(__xludf.DUMMYFUNCTION("""COMPUTED_VALUE"""),45973.75430609954)</f>
        <v>45973.75431</v>
      </c>
      <c r="B2581" s="40" t="str">
        <f>IFERROR(__xludf.DUMMYFUNCTION("""COMPUTED_VALUE"""),"MARATHA MARLINDA FANGGIDAE")</f>
        <v>MARATHA MARLINDA FANGGIDAE</v>
      </c>
      <c r="C2581" s="40" t="str">
        <f>IFERROR(__xludf.DUMMYFUNCTION("""COMPUTED_VALUE"""),"Belum disetujui")</f>
        <v>Belum disetujui</v>
      </c>
      <c r="D2581" s="40"/>
      <c r="E2581" s="40" t="s">
        <v>11435</v>
      </c>
      <c r="F2581" s="40" t="s">
        <v>215</v>
      </c>
      <c r="G2581" s="40" t="s">
        <v>11436</v>
      </c>
      <c r="H2581" s="40" t="s">
        <v>11424</v>
      </c>
    </row>
    <row r="2582">
      <c r="A2582" s="39">
        <f>IFERROR(__xludf.DUMMYFUNCTION("""COMPUTED_VALUE"""),45973.76041451388)</f>
        <v>45973.76041</v>
      </c>
      <c r="B2582" s="40" t="str">
        <f>IFERROR(__xludf.DUMMYFUNCTION("""COMPUTED_VALUE"""),"ANITA ANA AMAH")</f>
        <v>ANITA ANA AMAH</v>
      </c>
      <c r="C2582" s="40" t="str">
        <f>IFERROR(__xludf.DUMMYFUNCTION("""COMPUTED_VALUE"""),"Belum disetujui")</f>
        <v>Belum disetujui</v>
      </c>
      <c r="D2582" s="40"/>
      <c r="E2582" s="40" t="s">
        <v>11425</v>
      </c>
      <c r="F2582" s="40" t="s">
        <v>205</v>
      </c>
      <c r="G2582" s="40" t="s">
        <v>11426</v>
      </c>
      <c r="H2582" s="40" t="s">
        <v>11419</v>
      </c>
    </row>
    <row r="2583">
      <c r="A2583" s="39">
        <f>IFERROR(__xludf.DUMMYFUNCTION("""COMPUTED_VALUE"""),45973.76053618056)</f>
        <v>45973.76054</v>
      </c>
      <c r="B2583" s="40" t="str">
        <f>IFERROR(__xludf.DUMMYFUNCTION("""COMPUTED_VALUE"""),"NABILA RAHMAWATI")</f>
        <v>NABILA RAHMAWATI</v>
      </c>
      <c r="C2583" s="40" t="str">
        <f>IFERROR(__xludf.DUMMYFUNCTION("""COMPUTED_VALUE"""),"Belum disetujui")</f>
        <v>Belum disetujui</v>
      </c>
      <c r="D2583" s="40"/>
      <c r="E2583" s="40" t="s">
        <v>11464</v>
      </c>
      <c r="F2583" s="40" t="s">
        <v>257</v>
      </c>
      <c r="G2583" s="40" t="s">
        <v>11465</v>
      </c>
      <c r="H2583" s="40" t="s">
        <v>11419</v>
      </c>
    </row>
    <row r="2584">
      <c r="A2584" s="39">
        <f>IFERROR(__xludf.DUMMYFUNCTION("""COMPUTED_VALUE"""),45973.772561805556)</f>
        <v>45973.77256</v>
      </c>
      <c r="B2584" s="40" t="str">
        <f>IFERROR(__xludf.DUMMYFUNCTION("""COMPUTED_VALUE"""),"ALDIANA WELIA PANIE")</f>
        <v>ALDIANA WELIA PANIE</v>
      </c>
      <c r="C2584" s="40" t="str">
        <f>IFERROR(__xludf.DUMMYFUNCTION("""COMPUTED_VALUE"""),"Belum disetujui")</f>
        <v>Belum disetujui</v>
      </c>
      <c r="D2584" s="40"/>
      <c r="E2584" s="40" t="s">
        <v>11422</v>
      </c>
      <c r="F2584" s="40" t="s">
        <v>215</v>
      </c>
      <c r="G2584" s="40" t="s">
        <v>11423</v>
      </c>
      <c r="H2584" s="40" t="s">
        <v>11424</v>
      </c>
    </row>
    <row r="2585">
      <c r="A2585" s="39">
        <f>IFERROR(__xludf.DUMMYFUNCTION("""COMPUTED_VALUE"""),45973.78088175926)</f>
        <v>45973.78088</v>
      </c>
      <c r="B2585" s="40" t="str">
        <f>IFERROR(__xludf.DUMMYFUNCTION("""COMPUTED_VALUE"""),"MARATHA MARLINDA FANGGIDAE")</f>
        <v>MARATHA MARLINDA FANGGIDAE</v>
      </c>
      <c r="C2585" s="40" t="str">
        <f>IFERROR(__xludf.DUMMYFUNCTION("""COMPUTED_VALUE"""),"Belum disetujui")</f>
        <v>Belum disetujui</v>
      </c>
      <c r="D2585" s="40"/>
      <c r="E2585" s="40" t="s">
        <v>11435</v>
      </c>
      <c r="F2585" s="40" t="s">
        <v>215</v>
      </c>
      <c r="G2585" s="40" t="s">
        <v>11436</v>
      </c>
      <c r="H2585" s="40" t="s">
        <v>11424</v>
      </c>
    </row>
    <row r="2586">
      <c r="A2586" s="39">
        <f>IFERROR(__xludf.DUMMYFUNCTION("""COMPUTED_VALUE"""),45973.78478472222)</f>
        <v>45973.78478</v>
      </c>
      <c r="B2586" s="40" t="str">
        <f>IFERROR(__xludf.DUMMYFUNCTION("""COMPUTED_VALUE"""),"FERI ELI KURNIAWAN")</f>
        <v>FERI ELI KURNIAWAN</v>
      </c>
      <c r="C2586" s="40" t="str">
        <f>IFERROR(__xludf.DUMMYFUNCTION("""COMPUTED_VALUE"""),"Dapat limit tapi belum diproses")</f>
        <v>Dapat limit tapi belum diproses</v>
      </c>
      <c r="D2586" s="40" t="str">
        <f>IFERROR(__xludf.DUMMYFUNCTION("""COMPUTED_VALUE"""),"Y21d series")</f>
        <v>Y21d series</v>
      </c>
      <c r="E2586" s="40" t="s">
        <v>11411</v>
      </c>
      <c r="F2586" s="40" t="s">
        <v>220</v>
      </c>
      <c r="G2586" s="40" t="s">
        <v>11412</v>
      </c>
      <c r="H2586" s="40" t="s">
        <v>11399</v>
      </c>
    </row>
    <row r="2587">
      <c r="A2587" s="39">
        <f>IFERROR(__xludf.DUMMYFUNCTION("""COMPUTED_VALUE"""),45973.79246203704)</f>
        <v>45973.79246</v>
      </c>
      <c r="B2587" s="40" t="str">
        <f>IFERROR(__xludf.DUMMYFUNCTION("""COMPUTED_VALUE"""),"ESTER LUDJI")</f>
        <v>ESTER LUDJI</v>
      </c>
      <c r="C2587" s="40" t="str">
        <f>IFERROR(__xludf.DUMMYFUNCTION("""COMPUTED_VALUE"""),"Belum disetujui")</f>
        <v>Belum disetujui</v>
      </c>
      <c r="D2587" s="40"/>
      <c r="E2587" s="40" t="s">
        <v>11441</v>
      </c>
      <c r="F2587" s="40" t="s">
        <v>205</v>
      </c>
      <c r="G2587" s="40" t="s">
        <v>11442</v>
      </c>
      <c r="H2587" s="40" t="s">
        <v>11419</v>
      </c>
    </row>
    <row r="2588">
      <c r="A2588" s="39">
        <f>IFERROR(__xludf.DUMMYFUNCTION("""COMPUTED_VALUE"""),45973.80989634259)</f>
        <v>45973.8099</v>
      </c>
      <c r="B2588" s="40" t="str">
        <f>IFERROR(__xludf.DUMMYFUNCTION("""COMPUTED_VALUE"""),"PATRIANI MENGI ULY")</f>
        <v>PATRIANI MENGI ULY</v>
      </c>
      <c r="C2588" s="40" t="str">
        <f>IFERROR(__xludf.DUMMYFUNCTION("""COMPUTED_VALUE"""),"Dapat limit tapi belum diproses")</f>
        <v>Dapat limit tapi belum diproses</v>
      </c>
      <c r="D2588" s="40" t="str">
        <f>IFERROR(__xludf.DUMMYFUNCTION("""COMPUTED_VALUE"""),"Y21d series")</f>
        <v>Y21d series</v>
      </c>
      <c r="E2588" s="40" t="s">
        <v>11402</v>
      </c>
      <c r="F2588" s="40" t="s">
        <v>204</v>
      </c>
      <c r="G2588" s="40" t="s">
        <v>11403</v>
      </c>
      <c r="H2588" s="40" t="s">
        <v>11399</v>
      </c>
    </row>
    <row r="2589">
      <c r="A2589" s="39">
        <f>IFERROR(__xludf.DUMMYFUNCTION("""COMPUTED_VALUE"""),45973.814054745366)</f>
        <v>45973.81405</v>
      </c>
      <c r="B2589" s="40" t="str">
        <f>IFERROR(__xludf.DUMMYFUNCTION("""COMPUTED_VALUE"""),"JULIA DESY CASANDRA DA SILVA FREITAS")</f>
        <v>JULIA DESY CASANDRA DA SILVA FREITAS</v>
      </c>
      <c r="C2589" s="40" t="str">
        <f>IFERROR(__xludf.DUMMYFUNCTION("""COMPUTED_VALUE"""),"Dapat limit tapi belum diproses")</f>
        <v>Dapat limit tapi belum diproses</v>
      </c>
      <c r="D2589" s="40" t="str">
        <f>IFERROR(__xludf.DUMMYFUNCTION("""COMPUTED_VALUE"""),"Y21d series")</f>
        <v>Y21d series</v>
      </c>
      <c r="E2589" s="40" t="s">
        <v>11480</v>
      </c>
      <c r="F2589" s="40" t="s">
        <v>220</v>
      </c>
      <c r="G2589" s="40" t="s">
        <v>11481</v>
      </c>
      <c r="H2589" s="40" t="s">
        <v>11399</v>
      </c>
    </row>
    <row r="2590">
      <c r="A2590" s="39">
        <f>IFERROR(__xludf.DUMMYFUNCTION("""COMPUTED_VALUE"""),45973.8180115162)</f>
        <v>45973.81801</v>
      </c>
      <c r="B2590" s="40" t="str">
        <f>IFERROR(__xludf.DUMMYFUNCTION("""COMPUTED_VALUE"""),"ROS YANE KANA LUDJI")</f>
        <v>ROS YANE KANA LUDJI</v>
      </c>
      <c r="C2590" s="40" t="str">
        <f>IFERROR(__xludf.DUMMYFUNCTION("""COMPUTED_VALUE"""),"Belum disetujui")</f>
        <v>Belum disetujui</v>
      </c>
      <c r="D2590" s="40"/>
      <c r="E2590" s="40" t="s">
        <v>11437</v>
      </c>
      <c r="F2590" s="40" t="s">
        <v>204</v>
      </c>
      <c r="G2590" s="40" t="s">
        <v>11438</v>
      </c>
      <c r="H2590" s="40" t="s">
        <v>11399</v>
      </c>
    </row>
    <row r="2591">
      <c r="A2591" s="39">
        <f>IFERROR(__xludf.DUMMYFUNCTION("""COMPUTED_VALUE"""),45973.825619560186)</f>
        <v>45973.82562</v>
      </c>
      <c r="B2591" s="40" t="str">
        <f>IFERROR(__xludf.DUMMYFUNCTION("""COMPUTED_VALUE"""),"ARMINDA TEKU MANEK")</f>
        <v>ARMINDA TEKU MANEK</v>
      </c>
      <c r="C2591" s="40" t="str">
        <f>IFERROR(__xludf.DUMMYFUNCTION("""COMPUTED_VALUE"""),"Belum disetujui")</f>
        <v>Belum disetujui</v>
      </c>
      <c r="D2591" s="40"/>
      <c r="E2591" s="40" t="s">
        <v>11474</v>
      </c>
      <c r="F2591" s="40" t="s">
        <v>313</v>
      </c>
      <c r="G2591" s="40" t="s">
        <v>11475</v>
      </c>
      <c r="H2591" s="40" t="s">
        <v>11424</v>
      </c>
    </row>
    <row r="2592">
      <c r="A2592" s="39">
        <f>IFERROR(__xludf.DUMMYFUNCTION("""COMPUTED_VALUE"""),45973.825628715276)</f>
        <v>45973.82563</v>
      </c>
      <c r="B2592" s="40" t="str">
        <f>IFERROR(__xludf.DUMMYFUNCTION("""COMPUTED_VALUE"""),"MEXY ALEXANDER HETMINA")</f>
        <v>MEXY ALEXANDER HETMINA</v>
      </c>
      <c r="C2592" s="40" t="str">
        <f>IFERROR(__xludf.DUMMYFUNCTION("""COMPUTED_VALUE"""),"ACC")</f>
        <v>ACC</v>
      </c>
      <c r="D2592" s="40" t="str">
        <f>IFERROR(__xludf.DUMMYFUNCTION("""COMPUTED_VALUE"""),"Y21d series")</f>
        <v>Y21d series</v>
      </c>
      <c r="E2592" s="40" t="s">
        <v>11413</v>
      </c>
      <c r="F2592" s="40" t="s">
        <v>204</v>
      </c>
      <c r="G2592" s="40" t="s">
        <v>11414</v>
      </c>
      <c r="H2592" s="40" t="s">
        <v>11399</v>
      </c>
    </row>
    <row r="2593">
      <c r="A2593" s="39">
        <f>IFERROR(__xludf.DUMMYFUNCTION("""COMPUTED_VALUE"""),45973.82748902778)</f>
        <v>45973.82749</v>
      </c>
      <c r="B2593" s="40" t="str">
        <f>IFERROR(__xludf.DUMMYFUNCTION("""COMPUTED_VALUE"""),"MERDA PUTRI BUNGSU KENAT")</f>
        <v>MERDA PUTRI BUNGSU KENAT</v>
      </c>
      <c r="C2593" s="40" t="str">
        <f>IFERROR(__xludf.DUMMYFUNCTION("""COMPUTED_VALUE"""),"Belum disetujui")</f>
        <v>Belum disetujui</v>
      </c>
      <c r="D2593" s="40"/>
      <c r="E2593" s="40" t="s">
        <v>11422</v>
      </c>
      <c r="F2593" s="40" t="s">
        <v>215</v>
      </c>
      <c r="G2593" s="40" t="s">
        <v>11423</v>
      </c>
      <c r="H2593" s="40" t="s">
        <v>11424</v>
      </c>
    </row>
    <row r="2594">
      <c r="A2594" s="39">
        <f>IFERROR(__xludf.DUMMYFUNCTION("""COMPUTED_VALUE"""),45973.82993943287)</f>
        <v>45973.82994</v>
      </c>
      <c r="B2594" s="40" t="str">
        <f>IFERROR(__xludf.DUMMYFUNCTION("""COMPUTED_VALUE"""),"EMPI FRANGKI LIEM")</f>
        <v>EMPI FRANGKI LIEM</v>
      </c>
      <c r="C2594" s="40" t="str">
        <f>IFERROR(__xludf.DUMMYFUNCTION("""COMPUTED_VALUE"""),"Belum disetujui")</f>
        <v>Belum disetujui</v>
      </c>
      <c r="D2594" s="40"/>
      <c r="E2594" s="40" t="s">
        <v>11397</v>
      </c>
      <c r="F2594" s="40" t="s">
        <v>220</v>
      </c>
      <c r="G2594" s="40" t="s">
        <v>11398</v>
      </c>
      <c r="H2594" s="40" t="s">
        <v>11399</v>
      </c>
    </row>
    <row r="2595">
      <c r="A2595" s="39">
        <f>IFERROR(__xludf.DUMMYFUNCTION("""COMPUTED_VALUE"""),45973.83118929398)</f>
        <v>45973.83119</v>
      </c>
      <c r="B2595" s="40" t="str">
        <f>IFERROR(__xludf.DUMMYFUNCTION("""COMPUTED_VALUE"""),"HERONIMUS NAMU WALI")</f>
        <v>HERONIMUS NAMU WALI</v>
      </c>
      <c r="C2595" s="40" t="str">
        <f>IFERROR(__xludf.DUMMYFUNCTION("""COMPUTED_VALUE"""),"Belum disetujui")</f>
        <v>Belum disetujui</v>
      </c>
      <c r="D2595" s="40"/>
      <c r="E2595" s="40" t="s">
        <v>11452</v>
      </c>
      <c r="F2595" s="40" t="s">
        <v>205</v>
      </c>
      <c r="G2595" s="40" t="s">
        <v>11453</v>
      </c>
      <c r="H2595" s="40" t="s">
        <v>11419</v>
      </c>
    </row>
    <row r="2596">
      <c r="A2596" s="39">
        <f>IFERROR(__xludf.DUMMYFUNCTION("""COMPUTED_VALUE"""),45973.83580811342)</f>
        <v>45973.83581</v>
      </c>
      <c r="B2596" s="40" t="str">
        <f>IFERROR(__xludf.DUMMYFUNCTION("""COMPUTED_VALUE"""),"ARMINDA TEKU MANEK")</f>
        <v>ARMINDA TEKU MANEK</v>
      </c>
      <c r="C2596" s="40" t="str">
        <f>IFERROR(__xludf.DUMMYFUNCTION("""COMPUTED_VALUE"""),"Belum disetujui")</f>
        <v>Belum disetujui</v>
      </c>
      <c r="D2596" s="40"/>
      <c r="E2596" s="40" t="s">
        <v>11474</v>
      </c>
      <c r="F2596" s="40" t="s">
        <v>313</v>
      </c>
      <c r="G2596" s="40" t="s">
        <v>11475</v>
      </c>
      <c r="H2596" s="40" t="s">
        <v>11424</v>
      </c>
    </row>
    <row r="2597">
      <c r="A2597" s="39">
        <f>IFERROR(__xludf.DUMMYFUNCTION("""COMPUTED_VALUE"""),45973.84026208333)</f>
        <v>45973.84026</v>
      </c>
      <c r="B2597" s="40" t="str">
        <f>IFERROR(__xludf.DUMMYFUNCTION("""COMPUTED_VALUE"""),"YASINTHA MBU")</f>
        <v>YASINTHA MBU</v>
      </c>
      <c r="C2597" s="40" t="str">
        <f>IFERROR(__xludf.DUMMYFUNCTION("""COMPUTED_VALUE"""),"ACC")</f>
        <v>ACC</v>
      </c>
      <c r="D2597" s="40" t="str">
        <f>IFERROR(__xludf.DUMMYFUNCTION("""COMPUTED_VALUE"""),"Y400 series")</f>
        <v>Y400 series</v>
      </c>
      <c r="E2597" s="40" t="s">
        <v>11407</v>
      </c>
      <c r="F2597" s="40" t="s">
        <v>220</v>
      </c>
      <c r="G2597" s="40" t="s">
        <v>11408</v>
      </c>
      <c r="H2597" s="40" t="s">
        <v>11399</v>
      </c>
    </row>
    <row r="2598">
      <c r="A2598" s="39">
        <f>IFERROR(__xludf.DUMMYFUNCTION("""COMPUTED_VALUE"""),45973.8653853125)</f>
        <v>45973.86539</v>
      </c>
      <c r="B2598" s="40" t="str">
        <f>IFERROR(__xludf.DUMMYFUNCTION("""COMPUTED_VALUE"""),"YOHANIS TIPNONI")</f>
        <v>YOHANIS TIPNONI</v>
      </c>
      <c r="C2598" s="40" t="str">
        <f>IFERROR(__xludf.DUMMYFUNCTION("""COMPUTED_VALUE"""),"Dapat limit tapi belum diproses")</f>
        <v>Dapat limit tapi belum diproses</v>
      </c>
      <c r="D2598" s="40" t="str">
        <f>IFERROR(__xludf.DUMMYFUNCTION("""COMPUTED_VALUE"""),"Y21d series")</f>
        <v>Y21d series</v>
      </c>
      <c r="E2598" s="40" t="s">
        <v>11405</v>
      </c>
      <c r="F2598" s="40" t="s">
        <v>220</v>
      </c>
      <c r="G2598" s="40" t="s">
        <v>11406</v>
      </c>
      <c r="H2598" s="40" t="s">
        <v>11399</v>
      </c>
    </row>
    <row r="2599">
      <c r="A2599" s="39">
        <f>IFERROR(__xludf.DUMMYFUNCTION("""COMPUTED_VALUE"""),45973.866870983795)</f>
        <v>45973.86687</v>
      </c>
      <c r="B2599" s="40" t="str">
        <f>IFERROR(__xludf.DUMMYFUNCTION("""COMPUTED_VALUE"""),"YOHANIS TIPNONI")</f>
        <v>YOHANIS TIPNONI</v>
      </c>
      <c r="C2599" s="40" t="str">
        <f>IFERROR(__xludf.DUMMYFUNCTION("""COMPUTED_VALUE"""),"Belum disetujui")</f>
        <v>Belum disetujui</v>
      </c>
      <c r="D2599" s="40"/>
      <c r="E2599" s="40" t="s">
        <v>11405</v>
      </c>
      <c r="F2599" s="40" t="s">
        <v>220</v>
      </c>
      <c r="G2599" s="40" t="s">
        <v>11406</v>
      </c>
      <c r="H2599" s="40" t="s">
        <v>11399</v>
      </c>
    </row>
    <row r="2600">
      <c r="A2600" s="39">
        <f>IFERROR(__xludf.DUMMYFUNCTION("""COMPUTED_VALUE"""),45973.88300790509)</f>
        <v>45973.88301</v>
      </c>
      <c r="B2600" s="40" t="str">
        <f>IFERROR(__xludf.DUMMYFUNCTION("""COMPUTED_VALUE"""),"BERGITHA NIA OLIN")</f>
        <v>BERGITHA NIA OLIN</v>
      </c>
      <c r="C2600" s="40" t="str">
        <f>IFERROR(__xludf.DUMMYFUNCTION("""COMPUTED_VALUE"""),"ACC")</f>
        <v>ACC</v>
      </c>
      <c r="D2600" s="40" t="str">
        <f>IFERROR(__xludf.DUMMYFUNCTION("""COMPUTED_VALUE"""),"V60 Lite series")</f>
        <v>V60 Lite series</v>
      </c>
      <c r="E2600" s="40" t="s">
        <v>11431</v>
      </c>
      <c r="F2600" s="40" t="s">
        <v>313</v>
      </c>
      <c r="G2600" s="40" t="s">
        <v>11432</v>
      </c>
      <c r="H2600" s="40" t="s">
        <v>11424</v>
      </c>
    </row>
    <row r="2601">
      <c r="A2601" s="39">
        <f>IFERROR(__xludf.DUMMYFUNCTION("""COMPUTED_VALUE"""),45974.40395465278)</f>
        <v>45974.40395</v>
      </c>
      <c r="B2601" s="40" t="str">
        <f>IFERROR(__xludf.DUMMYFUNCTION("""COMPUTED_VALUE"""),"ARMINDA TEKU MANEK")</f>
        <v>ARMINDA TEKU MANEK</v>
      </c>
      <c r="C2601" s="40" t="str">
        <f>IFERROR(__xludf.DUMMYFUNCTION("""COMPUTED_VALUE"""),"Belum disetujui")</f>
        <v>Belum disetujui</v>
      </c>
      <c r="D2601" s="40"/>
      <c r="E2601" s="40" t="s">
        <v>11474</v>
      </c>
      <c r="F2601" s="40" t="s">
        <v>313</v>
      </c>
      <c r="G2601" s="40" t="s">
        <v>11475</v>
      </c>
      <c r="H2601" s="40" t="s">
        <v>11424</v>
      </c>
    </row>
    <row r="2602">
      <c r="A2602" s="39">
        <f>IFERROR(__xludf.DUMMYFUNCTION("""COMPUTED_VALUE"""),45974.413552847225)</f>
        <v>45974.41355</v>
      </c>
      <c r="B2602" s="40" t="str">
        <f>IFERROR(__xludf.DUMMYFUNCTION("""COMPUTED_VALUE"""),"PRETI SISILIA SILA")</f>
        <v>PRETI SISILIA SILA</v>
      </c>
      <c r="C2602" s="40" t="str">
        <f>IFERROR(__xludf.DUMMYFUNCTION("""COMPUTED_VALUE"""),"Belum disetujui")</f>
        <v>Belum disetujui</v>
      </c>
      <c r="D2602" s="40"/>
      <c r="E2602" s="40" t="s">
        <v>11456</v>
      </c>
      <c r="F2602" s="40" t="s">
        <v>667</v>
      </c>
      <c r="G2602" s="40" t="s">
        <v>11457</v>
      </c>
      <c r="H2602" s="40" t="s">
        <v>11424</v>
      </c>
    </row>
    <row r="2603">
      <c r="A2603" s="39">
        <f>IFERROR(__xludf.DUMMYFUNCTION("""COMPUTED_VALUE"""),45974.42499581019)</f>
        <v>45974.425</v>
      </c>
      <c r="B2603" s="40" t="str">
        <f>IFERROR(__xludf.DUMMYFUNCTION("""COMPUTED_VALUE"""),"ALDIANA WELIA PANIE")</f>
        <v>ALDIANA WELIA PANIE</v>
      </c>
      <c r="C2603" s="40" t="str">
        <f>IFERROR(__xludf.DUMMYFUNCTION("""COMPUTED_VALUE"""),"Belum disetujui")</f>
        <v>Belum disetujui</v>
      </c>
      <c r="D2603" s="40"/>
      <c r="E2603" s="40" t="s">
        <v>11422</v>
      </c>
      <c r="F2603" s="40" t="s">
        <v>215</v>
      </c>
      <c r="G2603" s="40" t="s">
        <v>11423</v>
      </c>
      <c r="H2603" s="40" t="s">
        <v>11424</v>
      </c>
    </row>
    <row r="2604">
      <c r="A2604" s="39">
        <f>IFERROR(__xludf.DUMMYFUNCTION("""COMPUTED_VALUE"""),45974.43975229167)</f>
        <v>45974.43975</v>
      </c>
      <c r="B2604" s="40" t="str">
        <f>IFERROR(__xludf.DUMMYFUNCTION("""COMPUTED_VALUE"""),"EMPI FRANGKI LIEM")</f>
        <v>EMPI FRANGKI LIEM</v>
      </c>
      <c r="C2604" s="40" t="str">
        <f>IFERROR(__xludf.DUMMYFUNCTION("""COMPUTED_VALUE"""),"Belum disetujui")</f>
        <v>Belum disetujui</v>
      </c>
      <c r="D2604" s="40"/>
      <c r="E2604" s="40" t="s">
        <v>11397</v>
      </c>
      <c r="F2604" s="40" t="s">
        <v>220</v>
      </c>
      <c r="G2604" s="40" t="s">
        <v>11398</v>
      </c>
      <c r="H2604" s="40" t="s">
        <v>11399</v>
      </c>
    </row>
    <row r="2605">
      <c r="A2605" s="39">
        <f>IFERROR(__xludf.DUMMYFUNCTION("""COMPUTED_VALUE"""),45974.44187201389)</f>
        <v>45974.44187</v>
      </c>
      <c r="B2605" s="40" t="str">
        <f>IFERROR(__xludf.DUMMYFUNCTION("""COMPUTED_VALUE"""),"MARNITHA JUWIKE TIMORATI RUNESI")</f>
        <v>MARNITHA JUWIKE TIMORATI RUNESI</v>
      </c>
      <c r="C2605" s="40" t="str">
        <f>IFERROR(__xludf.DUMMYFUNCTION("""COMPUTED_VALUE"""),"Belum disetujui")</f>
        <v>Belum disetujui</v>
      </c>
      <c r="D2605" s="40"/>
      <c r="E2605" s="40" t="s">
        <v>11420</v>
      </c>
      <c r="F2605" s="40" t="s">
        <v>204</v>
      </c>
      <c r="G2605" s="40" t="s">
        <v>11421</v>
      </c>
      <c r="H2605" s="40" t="s">
        <v>11399</v>
      </c>
    </row>
    <row r="2606">
      <c r="A2606" s="39">
        <f>IFERROR(__xludf.DUMMYFUNCTION("""COMPUTED_VALUE"""),45974.45013336806)</f>
        <v>45974.45013</v>
      </c>
      <c r="B2606" s="40" t="str">
        <f>IFERROR(__xludf.DUMMYFUNCTION("""COMPUTED_VALUE"""),"WARDIA")</f>
        <v>WARDIA</v>
      </c>
      <c r="C2606" s="40" t="str">
        <f>IFERROR(__xludf.DUMMYFUNCTION("""COMPUTED_VALUE"""),"Belum disetujui")</f>
        <v>Belum disetujui</v>
      </c>
      <c r="D2606" s="40"/>
      <c r="E2606" s="40" t="s">
        <v>11409</v>
      </c>
      <c r="F2606" s="40" t="s">
        <v>204</v>
      </c>
      <c r="G2606" s="40" t="s">
        <v>11410</v>
      </c>
      <c r="H2606" s="40" t="s">
        <v>11399</v>
      </c>
    </row>
    <row r="2607">
      <c r="A2607" s="39">
        <f>IFERROR(__xludf.DUMMYFUNCTION("""COMPUTED_VALUE"""),45974.45468101852)</f>
        <v>45974.45468</v>
      </c>
      <c r="B2607" s="40" t="str">
        <f>IFERROR(__xludf.DUMMYFUNCTION("""COMPUTED_VALUE"""),"LASTRIANA PALUS")</f>
        <v>LASTRIANA PALUS</v>
      </c>
      <c r="C2607" s="40" t="str">
        <f>IFERROR(__xludf.DUMMYFUNCTION("""COMPUTED_VALUE"""),"Belum disetujui")</f>
        <v>Belum disetujui</v>
      </c>
      <c r="D2607" s="40"/>
      <c r="E2607" s="40" t="s">
        <v>11468</v>
      </c>
      <c r="F2607" s="40" t="s">
        <v>257</v>
      </c>
      <c r="G2607" s="40" t="s">
        <v>11469</v>
      </c>
      <c r="H2607" s="40" t="s">
        <v>11419</v>
      </c>
    </row>
    <row r="2608">
      <c r="A2608" s="39">
        <f>IFERROR(__xludf.DUMMYFUNCTION("""COMPUTED_VALUE"""),45974.467308391206)</f>
        <v>45974.46731</v>
      </c>
      <c r="B2608" s="40" t="str">
        <f>IFERROR(__xludf.DUMMYFUNCTION("""COMPUTED_VALUE"""),"ANGELA BOUKA BERI")</f>
        <v>ANGELA BOUKA BERI</v>
      </c>
      <c r="C2608" s="40" t="str">
        <f>IFERROR(__xludf.DUMMYFUNCTION("""COMPUTED_VALUE"""),"Dapat limit tapi belum diproses")</f>
        <v>Dapat limit tapi belum diproses</v>
      </c>
      <c r="D2608" s="40" t="str">
        <f>IFERROR(__xludf.DUMMYFUNCTION("""COMPUTED_VALUE"""),"Y21d series")</f>
        <v>Y21d series</v>
      </c>
      <c r="E2608" s="40" t="s">
        <v>11486</v>
      </c>
      <c r="F2608" s="40" t="s">
        <v>11450</v>
      </c>
      <c r="G2608" s="40" t="s">
        <v>11487</v>
      </c>
      <c r="H2608" s="40" t="s">
        <v>11424</v>
      </c>
    </row>
    <row r="2609">
      <c r="A2609" s="39">
        <f>IFERROR(__xludf.DUMMYFUNCTION("""COMPUTED_VALUE"""),45974.46828846065)</f>
        <v>45974.46829</v>
      </c>
      <c r="B2609" s="40" t="str">
        <f>IFERROR(__xludf.DUMMYFUNCTION("""COMPUTED_VALUE"""),"ASRI NINGSI RAMBU ATA ENDI")</f>
        <v>ASRI NINGSI RAMBU ATA ENDI</v>
      </c>
      <c r="C2609" s="40" t="str">
        <f>IFERROR(__xludf.DUMMYFUNCTION("""COMPUTED_VALUE"""),"Belum disetujui")</f>
        <v>Belum disetujui</v>
      </c>
      <c r="D2609" s="40"/>
      <c r="E2609" s="40" t="s">
        <v>11441</v>
      </c>
      <c r="F2609" s="40" t="s">
        <v>205</v>
      </c>
      <c r="G2609" s="40" t="s">
        <v>11442</v>
      </c>
      <c r="H2609" s="40" t="s">
        <v>11419</v>
      </c>
    </row>
    <row r="2610">
      <c r="A2610" s="39">
        <f>IFERROR(__xludf.DUMMYFUNCTION("""COMPUTED_VALUE"""),45974.479120601856)</f>
        <v>45974.47912</v>
      </c>
      <c r="B2610" s="40" t="str">
        <f>IFERROR(__xludf.DUMMYFUNCTION("""COMPUTED_VALUE"""),"SANTI MARIA LUKMINI NAHAK")</f>
        <v>SANTI MARIA LUKMINI NAHAK</v>
      </c>
      <c r="C2610" s="40" t="str">
        <f>IFERROR(__xludf.DUMMYFUNCTION("""COMPUTED_VALUE"""),"Belum disetujui")</f>
        <v>Belum disetujui</v>
      </c>
      <c r="D2610" s="40"/>
      <c r="E2610" s="40" t="s">
        <v>11460</v>
      </c>
      <c r="F2610" s="40" t="s">
        <v>871</v>
      </c>
      <c r="G2610" s="40" t="s">
        <v>11461</v>
      </c>
      <c r="H2610" s="40" t="s">
        <v>11424</v>
      </c>
    </row>
    <row r="2611">
      <c r="A2611" s="39">
        <f>IFERROR(__xludf.DUMMYFUNCTION("""COMPUTED_VALUE"""),45974.4798990162)</f>
        <v>45974.4799</v>
      </c>
      <c r="B2611" s="40" t="str">
        <f>IFERROR(__xludf.DUMMYFUNCTION("""COMPUTED_VALUE"""),"AMBU BAIQ JUMENAH")</f>
        <v>AMBU BAIQ JUMENAH</v>
      </c>
      <c r="C2611" s="40" t="str">
        <f>IFERROR(__xludf.DUMMYFUNCTION("""COMPUTED_VALUE"""),"Belum disetujui")</f>
        <v>Belum disetujui</v>
      </c>
      <c r="D2611" s="40"/>
      <c r="E2611" s="40" t="s">
        <v>11458</v>
      </c>
      <c r="F2611" s="40" t="s">
        <v>205</v>
      </c>
      <c r="G2611" s="40" t="s">
        <v>11459</v>
      </c>
      <c r="H2611" s="40" t="s">
        <v>11419</v>
      </c>
    </row>
    <row r="2612">
      <c r="A2612" s="39">
        <f>IFERROR(__xludf.DUMMYFUNCTION("""COMPUTED_VALUE"""),45974.491241307864)</f>
        <v>45974.49124</v>
      </c>
      <c r="B2612" s="40" t="str">
        <f>IFERROR(__xludf.DUMMYFUNCTION("""COMPUTED_VALUE"""),"DWITNEY PRETY WANGGANDIMA")</f>
        <v>DWITNEY PRETY WANGGANDIMA</v>
      </c>
      <c r="C2612" s="40" t="str">
        <f>IFERROR(__xludf.DUMMYFUNCTION("""COMPUTED_VALUE"""),"Belum disetujui")</f>
        <v>Belum disetujui</v>
      </c>
      <c r="D2612" s="40"/>
      <c r="E2612" s="40" t="s">
        <v>11443</v>
      </c>
      <c r="F2612" s="40" t="s">
        <v>220</v>
      </c>
      <c r="G2612" s="40" t="s">
        <v>11444</v>
      </c>
      <c r="H2612" s="40" t="s">
        <v>11399</v>
      </c>
    </row>
    <row r="2613">
      <c r="A2613" s="39">
        <f>IFERROR(__xludf.DUMMYFUNCTION("""COMPUTED_VALUE"""),45974.4926225)</f>
        <v>45974.49262</v>
      </c>
      <c r="B2613" s="40" t="str">
        <f>IFERROR(__xludf.DUMMYFUNCTION("""COMPUTED_VALUE"""),"CHOIRUNISA ILHAM")</f>
        <v>CHOIRUNISA ILHAM</v>
      </c>
      <c r="C2613" s="40" t="str">
        <f>IFERROR(__xludf.DUMMYFUNCTION("""COMPUTED_VALUE"""),"Belum disetujui")</f>
        <v>Belum disetujui</v>
      </c>
      <c r="D2613" s="40"/>
      <c r="E2613" s="40" t="s">
        <v>11404</v>
      </c>
      <c r="F2613" s="40" t="s">
        <v>11404</v>
      </c>
      <c r="G2613" s="40" t="s">
        <v>11404</v>
      </c>
      <c r="H2613" s="40" t="s">
        <v>11404</v>
      </c>
    </row>
    <row r="2614">
      <c r="A2614" s="39">
        <f>IFERROR(__xludf.DUMMYFUNCTION("""COMPUTED_VALUE"""),45974.49391802084)</f>
        <v>45974.49392</v>
      </c>
      <c r="B2614" s="40" t="str">
        <f>IFERROR(__xludf.DUMMYFUNCTION("""COMPUTED_VALUE"""),"CHOIRUNISA ILHAM")</f>
        <v>CHOIRUNISA ILHAM</v>
      </c>
      <c r="C2614" s="40" t="str">
        <f>IFERROR(__xludf.DUMMYFUNCTION("""COMPUTED_VALUE"""),"Belum disetujui")</f>
        <v>Belum disetujui</v>
      </c>
      <c r="D2614" s="40"/>
      <c r="E2614" s="40" t="s">
        <v>11404</v>
      </c>
      <c r="F2614" s="40" t="s">
        <v>11404</v>
      </c>
      <c r="G2614" s="40" t="s">
        <v>11404</v>
      </c>
      <c r="H2614" s="40" t="s">
        <v>11404</v>
      </c>
    </row>
    <row r="2615">
      <c r="A2615" s="39">
        <f>IFERROR(__xludf.DUMMYFUNCTION("""COMPUTED_VALUE"""),45974.504481655094)</f>
        <v>45974.50448</v>
      </c>
      <c r="B2615" s="40" t="str">
        <f>IFERROR(__xludf.DUMMYFUNCTION("""COMPUTED_VALUE"""),"MARIA MELAN ANANCE BILI")</f>
        <v>MARIA MELAN ANANCE BILI</v>
      </c>
      <c r="C2615" s="40" t="str">
        <f>IFERROR(__xludf.DUMMYFUNCTION("""COMPUTED_VALUE"""),"Dapat limit tapi belum diproses")</f>
        <v>Dapat limit tapi belum diproses</v>
      </c>
      <c r="D2615" s="40" t="str">
        <f>IFERROR(__xludf.DUMMYFUNCTION("""COMPUTED_VALUE"""),"Y400 series")</f>
        <v>Y400 series</v>
      </c>
      <c r="E2615" s="40" t="s">
        <v>11466</v>
      </c>
      <c r="F2615" s="40" t="s">
        <v>257</v>
      </c>
      <c r="G2615" s="40" t="s">
        <v>11467</v>
      </c>
      <c r="H2615" s="40" t="s">
        <v>11419</v>
      </c>
    </row>
    <row r="2616">
      <c r="A2616" s="39">
        <f>IFERROR(__xludf.DUMMYFUNCTION("""COMPUTED_VALUE"""),45974.50572663194)</f>
        <v>45974.50573</v>
      </c>
      <c r="B2616" s="40" t="str">
        <f>IFERROR(__xludf.DUMMYFUNCTION("""COMPUTED_VALUE"""),"MARIA MELAN ANANCE BILI")</f>
        <v>MARIA MELAN ANANCE BILI</v>
      </c>
      <c r="C2616" s="40" t="str">
        <f>IFERROR(__xludf.DUMMYFUNCTION("""COMPUTED_VALUE"""),"Belum disetujui")</f>
        <v>Belum disetujui</v>
      </c>
      <c r="D2616" s="40"/>
      <c r="E2616" s="40" t="s">
        <v>11466</v>
      </c>
      <c r="F2616" s="40" t="s">
        <v>257</v>
      </c>
      <c r="G2616" s="40" t="s">
        <v>11467</v>
      </c>
      <c r="H2616" s="40" t="s">
        <v>11419</v>
      </c>
    </row>
    <row r="2617">
      <c r="A2617" s="39">
        <f>IFERROR(__xludf.DUMMYFUNCTION("""COMPUTED_VALUE"""),45974.50622637732)</f>
        <v>45974.50623</v>
      </c>
      <c r="B2617" s="40" t="str">
        <f>IFERROR(__xludf.DUMMYFUNCTION("""COMPUTED_VALUE"""),"HERONIMUS NAMU WALI")</f>
        <v>HERONIMUS NAMU WALI</v>
      </c>
      <c r="C2617" s="40" t="str">
        <f>IFERROR(__xludf.DUMMYFUNCTION("""COMPUTED_VALUE"""),"Belum disetujui")</f>
        <v>Belum disetujui</v>
      </c>
      <c r="D2617" s="40"/>
      <c r="E2617" s="40" t="s">
        <v>11452</v>
      </c>
      <c r="F2617" s="40" t="s">
        <v>205</v>
      </c>
      <c r="G2617" s="40" t="s">
        <v>11453</v>
      </c>
      <c r="H2617" s="40" t="s">
        <v>11419</v>
      </c>
    </row>
    <row r="2618">
      <c r="A2618" s="39">
        <f>IFERROR(__xludf.DUMMYFUNCTION("""COMPUTED_VALUE"""),45974.50758207176)</f>
        <v>45974.50758</v>
      </c>
      <c r="B2618" s="40" t="str">
        <f>IFERROR(__xludf.DUMMYFUNCTION("""COMPUTED_VALUE"""),"EMPI FRANGKI LIEM")</f>
        <v>EMPI FRANGKI LIEM</v>
      </c>
      <c r="C2618" s="40" t="str">
        <f>IFERROR(__xludf.DUMMYFUNCTION("""COMPUTED_VALUE"""),"ACC")</f>
        <v>ACC</v>
      </c>
      <c r="D2618" s="40" t="str">
        <f>IFERROR(__xludf.DUMMYFUNCTION("""COMPUTED_VALUE"""),"Y21d series")</f>
        <v>Y21d series</v>
      </c>
      <c r="E2618" s="40" t="s">
        <v>11397</v>
      </c>
      <c r="F2618" s="40" t="s">
        <v>220</v>
      </c>
      <c r="G2618" s="40" t="s">
        <v>11398</v>
      </c>
      <c r="H2618" s="40" t="s">
        <v>11399</v>
      </c>
    </row>
    <row r="2619">
      <c r="A2619" s="39">
        <f>IFERROR(__xludf.DUMMYFUNCTION("""COMPUTED_VALUE"""),45974.52560538195)</f>
        <v>45974.52561</v>
      </c>
      <c r="B2619" s="40" t="str">
        <f>IFERROR(__xludf.DUMMYFUNCTION("""COMPUTED_VALUE"""),"IDMAL YUSDIRAN YUSUF")</f>
        <v>IDMAL YUSDIRAN YUSUF</v>
      </c>
      <c r="C2619" s="40" t="str">
        <f>IFERROR(__xludf.DUMMYFUNCTION("""COMPUTED_VALUE"""),"Dapat limit tapi belum diproses")</f>
        <v>Dapat limit tapi belum diproses</v>
      </c>
      <c r="D2619" s="40" t="str">
        <f>IFERROR(__xludf.DUMMYFUNCTION("""COMPUTED_VALUE"""),"Y400 series")</f>
        <v>Y400 series</v>
      </c>
      <c r="E2619" s="40" t="s">
        <v>11417</v>
      </c>
      <c r="F2619" s="40" t="s">
        <v>257</v>
      </c>
      <c r="G2619" s="40" t="s">
        <v>11418</v>
      </c>
      <c r="H2619" s="40" t="s">
        <v>11419</v>
      </c>
    </row>
    <row r="2620">
      <c r="A2620" s="39">
        <f>IFERROR(__xludf.DUMMYFUNCTION("""COMPUTED_VALUE"""),45974.537195729165)</f>
        <v>45974.5372</v>
      </c>
      <c r="B2620" s="40" t="str">
        <f>IFERROR(__xludf.DUMMYFUNCTION("""COMPUTED_VALUE"""),"ALDIANA WELIA PANIE")</f>
        <v>ALDIANA WELIA PANIE</v>
      </c>
      <c r="C2620" s="40" t="str">
        <f>IFERROR(__xludf.DUMMYFUNCTION("""COMPUTED_VALUE"""),"Belum disetujui")</f>
        <v>Belum disetujui</v>
      </c>
      <c r="D2620" s="40"/>
      <c r="E2620" s="40" t="s">
        <v>11422</v>
      </c>
      <c r="F2620" s="40" t="s">
        <v>215</v>
      </c>
      <c r="G2620" s="40" t="s">
        <v>11423</v>
      </c>
      <c r="H2620" s="40" t="s">
        <v>11424</v>
      </c>
    </row>
    <row r="2621">
      <c r="A2621" s="39">
        <f>IFERROR(__xludf.DUMMYFUNCTION("""COMPUTED_VALUE"""),45974.54232980324)</f>
        <v>45974.54233</v>
      </c>
      <c r="B2621" s="40" t="str">
        <f>IFERROR(__xludf.DUMMYFUNCTION("""COMPUTED_VALUE"""),"ALDIANA WELIA PANIE")</f>
        <v>ALDIANA WELIA PANIE</v>
      </c>
      <c r="C2621" s="40" t="str">
        <f>IFERROR(__xludf.DUMMYFUNCTION("""COMPUTED_VALUE"""),"Belum disetujui")</f>
        <v>Belum disetujui</v>
      </c>
      <c r="D2621" s="40"/>
      <c r="E2621" s="40" t="s">
        <v>11422</v>
      </c>
      <c r="F2621" s="40" t="s">
        <v>215</v>
      </c>
      <c r="G2621" s="40" t="s">
        <v>11423</v>
      </c>
      <c r="H2621" s="40" t="s">
        <v>11424</v>
      </c>
    </row>
    <row r="2622">
      <c r="A2622" s="39">
        <f>IFERROR(__xludf.DUMMYFUNCTION("""COMPUTED_VALUE"""),45974.55135491898)</f>
        <v>45974.55135</v>
      </c>
      <c r="B2622" s="40" t="str">
        <f>IFERROR(__xludf.DUMMYFUNCTION("""COMPUTED_VALUE"""),"ANNA RAHMATIA JUFRI")</f>
        <v>ANNA RAHMATIA JUFRI</v>
      </c>
      <c r="C2622" s="40" t="str">
        <f>IFERROR(__xludf.DUMMYFUNCTION("""COMPUTED_VALUE"""),"Belum disetujui")</f>
        <v>Belum disetujui</v>
      </c>
      <c r="D2622" s="40"/>
      <c r="E2622" s="40" t="s">
        <v>11484</v>
      </c>
      <c r="F2622" s="40" t="s">
        <v>11450</v>
      </c>
      <c r="G2622" s="40" t="s">
        <v>11485</v>
      </c>
      <c r="H2622" s="40" t="s">
        <v>11424</v>
      </c>
    </row>
    <row r="2623">
      <c r="A2623" s="39">
        <f>IFERROR(__xludf.DUMMYFUNCTION("""COMPUTED_VALUE"""),45974.55272519676)</f>
        <v>45974.55273</v>
      </c>
      <c r="B2623" s="40" t="str">
        <f>IFERROR(__xludf.DUMMYFUNCTION("""COMPUTED_VALUE"""),"ANNA RAHMATIA JUFRI")</f>
        <v>ANNA RAHMATIA JUFRI</v>
      </c>
      <c r="C2623" s="40" t="str">
        <f>IFERROR(__xludf.DUMMYFUNCTION("""COMPUTED_VALUE"""),"Belum disetujui")</f>
        <v>Belum disetujui</v>
      </c>
      <c r="D2623" s="40"/>
      <c r="E2623" s="40" t="s">
        <v>11484</v>
      </c>
      <c r="F2623" s="40" t="s">
        <v>11450</v>
      </c>
      <c r="G2623" s="40" t="s">
        <v>11485</v>
      </c>
      <c r="H2623" s="40" t="s">
        <v>11424</v>
      </c>
    </row>
    <row r="2624">
      <c r="A2624" s="39">
        <f>IFERROR(__xludf.DUMMYFUNCTION("""COMPUTED_VALUE"""),45974.553298865736)</f>
        <v>45974.5533</v>
      </c>
      <c r="B2624" s="40" t="str">
        <f>IFERROR(__xludf.DUMMYFUNCTION("""COMPUTED_VALUE"""),"DEWI RAHMAN")</f>
        <v>DEWI RAHMAN</v>
      </c>
      <c r="C2624" s="40" t="str">
        <f>IFERROR(__xludf.DUMMYFUNCTION("""COMPUTED_VALUE"""),"Belum disetujui")</f>
        <v>Belum disetujui</v>
      </c>
      <c r="D2624" s="40"/>
      <c r="E2624" s="40" t="s">
        <v>11449</v>
      </c>
      <c r="F2624" s="40" t="s">
        <v>11450</v>
      </c>
      <c r="G2624" s="40" t="s">
        <v>11451</v>
      </c>
      <c r="H2624" s="40" t="s">
        <v>11424</v>
      </c>
    </row>
    <row r="2625">
      <c r="A2625" s="39">
        <f>IFERROR(__xludf.DUMMYFUNCTION("""COMPUTED_VALUE"""),45974.55625732639)</f>
        <v>45974.55626</v>
      </c>
      <c r="B2625" s="40" t="str">
        <f>IFERROR(__xludf.DUMMYFUNCTION("""COMPUTED_VALUE"""),"DEWI RAHMAN")</f>
        <v>DEWI RAHMAN</v>
      </c>
      <c r="C2625" s="40" t="str">
        <f>IFERROR(__xludf.DUMMYFUNCTION("""COMPUTED_VALUE"""),"Dapat limit tapi belum diproses")</f>
        <v>Dapat limit tapi belum diproses</v>
      </c>
      <c r="D2625" s="40" t="str">
        <f>IFERROR(__xludf.DUMMYFUNCTION("""COMPUTED_VALUE"""),"Y21d series")</f>
        <v>Y21d series</v>
      </c>
      <c r="E2625" s="40" t="s">
        <v>11449</v>
      </c>
      <c r="F2625" s="40" t="s">
        <v>11450</v>
      </c>
      <c r="G2625" s="40" t="s">
        <v>11451</v>
      </c>
      <c r="H2625" s="40" t="s">
        <v>11424</v>
      </c>
    </row>
    <row r="2626">
      <c r="A2626" s="39">
        <f>IFERROR(__xludf.DUMMYFUNCTION("""COMPUTED_VALUE"""),45974.563268634265)</f>
        <v>45974.56327</v>
      </c>
      <c r="B2626" s="40" t="str">
        <f>IFERROR(__xludf.DUMMYFUNCTION("""COMPUTED_VALUE"""),"PATRIANI MENGI ULY")</f>
        <v>PATRIANI MENGI ULY</v>
      </c>
      <c r="C2626" s="40" t="str">
        <f>IFERROR(__xludf.DUMMYFUNCTION("""COMPUTED_VALUE"""),"Dapat limit tapi belum diproses")</f>
        <v>Dapat limit tapi belum diproses</v>
      </c>
      <c r="D2626" s="40" t="str">
        <f>IFERROR(__xludf.DUMMYFUNCTION("""COMPUTED_VALUE"""),"Y21d series")</f>
        <v>Y21d series</v>
      </c>
      <c r="E2626" s="40" t="s">
        <v>11402</v>
      </c>
      <c r="F2626" s="40" t="s">
        <v>204</v>
      </c>
      <c r="G2626" s="40" t="s">
        <v>11403</v>
      </c>
      <c r="H2626" s="40" t="s">
        <v>11399</v>
      </c>
    </row>
    <row r="2627">
      <c r="A2627" s="39">
        <f>IFERROR(__xludf.DUMMYFUNCTION("""COMPUTED_VALUE"""),45974.564746944445)</f>
        <v>45974.56475</v>
      </c>
      <c r="B2627" s="40" t="str">
        <f>IFERROR(__xludf.DUMMYFUNCTION("""COMPUTED_VALUE"""),"PATRIANI MENGI ULY")</f>
        <v>PATRIANI MENGI ULY</v>
      </c>
      <c r="C2627" s="40" t="str">
        <f>IFERROR(__xludf.DUMMYFUNCTION("""COMPUTED_VALUE"""),"Dapat limit tapi belum diproses")</f>
        <v>Dapat limit tapi belum diproses</v>
      </c>
      <c r="D2627" s="40" t="str">
        <f>IFERROR(__xludf.DUMMYFUNCTION("""COMPUTED_VALUE"""),"V60 series")</f>
        <v>V60 series</v>
      </c>
      <c r="E2627" s="40" t="s">
        <v>11402</v>
      </c>
      <c r="F2627" s="40" t="s">
        <v>204</v>
      </c>
      <c r="G2627" s="40" t="s">
        <v>11403</v>
      </c>
      <c r="H2627" s="40" t="s">
        <v>11399</v>
      </c>
    </row>
    <row r="2628">
      <c r="A2628" s="39">
        <f>IFERROR(__xludf.DUMMYFUNCTION("""COMPUTED_VALUE"""),45974.567636388885)</f>
        <v>45974.56764</v>
      </c>
      <c r="B2628" s="40" t="str">
        <f>IFERROR(__xludf.DUMMYFUNCTION("""COMPUTED_VALUE"""),"PATRIANI MENGI ULY")</f>
        <v>PATRIANI MENGI ULY</v>
      </c>
      <c r="C2628" s="40" t="str">
        <f>IFERROR(__xludf.DUMMYFUNCTION("""COMPUTED_VALUE"""),"Belum disetujui")</f>
        <v>Belum disetujui</v>
      </c>
      <c r="D2628" s="40"/>
      <c r="E2628" s="40" t="s">
        <v>11402</v>
      </c>
      <c r="F2628" s="40" t="s">
        <v>204</v>
      </c>
      <c r="G2628" s="40" t="s">
        <v>11403</v>
      </c>
      <c r="H2628" s="40" t="s">
        <v>11399</v>
      </c>
    </row>
    <row r="2629">
      <c r="A2629" s="39">
        <f>IFERROR(__xludf.DUMMYFUNCTION("""COMPUTED_VALUE"""),45974.58375023149)</f>
        <v>45974.58375</v>
      </c>
      <c r="B2629" s="40" t="str">
        <f>IFERROR(__xludf.DUMMYFUNCTION("""COMPUTED_VALUE"""),"SANTI MARIA LUKMINI NAHAK")</f>
        <v>SANTI MARIA LUKMINI NAHAK</v>
      </c>
      <c r="C2629" s="40" t="str">
        <f>IFERROR(__xludf.DUMMYFUNCTION("""COMPUTED_VALUE"""),"Dapat limit tapi belum diproses")</f>
        <v>Dapat limit tapi belum diproses</v>
      </c>
      <c r="D2629" s="40" t="str">
        <f>IFERROR(__xludf.DUMMYFUNCTION("""COMPUTED_VALUE"""),"Y400 series")</f>
        <v>Y400 series</v>
      </c>
      <c r="E2629" s="40" t="s">
        <v>11460</v>
      </c>
      <c r="F2629" s="40" t="s">
        <v>871</v>
      </c>
      <c r="G2629" s="40" t="s">
        <v>11461</v>
      </c>
      <c r="H2629" s="40" t="s">
        <v>11424</v>
      </c>
    </row>
    <row r="2630">
      <c r="A2630" s="39">
        <f>IFERROR(__xludf.DUMMYFUNCTION("""COMPUTED_VALUE"""),45974.58751898148)</f>
        <v>45974.58752</v>
      </c>
      <c r="B2630" s="40" t="str">
        <f>IFERROR(__xludf.DUMMYFUNCTION("""COMPUTED_VALUE"""),"ANITA ANA AMAH")</f>
        <v>ANITA ANA AMAH</v>
      </c>
      <c r="C2630" s="40" t="str">
        <f>IFERROR(__xludf.DUMMYFUNCTION("""COMPUTED_VALUE"""),"Belum disetujui")</f>
        <v>Belum disetujui</v>
      </c>
      <c r="D2630" s="40"/>
      <c r="E2630" s="40" t="s">
        <v>11425</v>
      </c>
      <c r="F2630" s="40" t="s">
        <v>205</v>
      </c>
      <c r="G2630" s="40" t="s">
        <v>11426</v>
      </c>
      <c r="H2630" s="40" t="s">
        <v>11419</v>
      </c>
    </row>
    <row r="2631">
      <c r="A2631" s="39">
        <f>IFERROR(__xludf.DUMMYFUNCTION("""COMPUTED_VALUE"""),45974.59698378473)</f>
        <v>45974.59698</v>
      </c>
      <c r="B2631" s="40" t="str">
        <f>IFERROR(__xludf.DUMMYFUNCTION("""COMPUTED_VALUE"""),"IRENE NOVALIA KADJU")</f>
        <v>IRENE NOVALIA KADJU</v>
      </c>
      <c r="C2631" s="40" t="str">
        <f>IFERROR(__xludf.DUMMYFUNCTION("""COMPUTED_VALUE"""),"Belum disetujui")</f>
        <v>Belum disetujui</v>
      </c>
      <c r="D2631" s="40"/>
      <c r="E2631" s="40" t="s">
        <v>11445</v>
      </c>
      <c r="F2631" s="40" t="s">
        <v>204</v>
      </c>
      <c r="G2631" s="40" t="s">
        <v>11446</v>
      </c>
      <c r="H2631" s="40" t="s">
        <v>11399</v>
      </c>
    </row>
    <row r="2632">
      <c r="A2632" s="39">
        <f>IFERROR(__xludf.DUMMYFUNCTION("""COMPUTED_VALUE"""),45974.59806685185)</f>
        <v>45974.59807</v>
      </c>
      <c r="B2632" s="40" t="str">
        <f>IFERROR(__xludf.DUMMYFUNCTION("""COMPUTED_VALUE"""),"MERDA PUTRI BUNGSU KENAT")</f>
        <v>MERDA PUTRI BUNGSU KENAT</v>
      </c>
      <c r="C2632" s="40" t="str">
        <f>IFERROR(__xludf.DUMMYFUNCTION("""COMPUTED_VALUE"""),"Dapat limit tapi belum diproses")</f>
        <v>Dapat limit tapi belum diproses</v>
      </c>
      <c r="D2632" s="40" t="str">
        <f>IFERROR(__xludf.DUMMYFUNCTION("""COMPUTED_VALUE"""),"Y21d series")</f>
        <v>Y21d series</v>
      </c>
      <c r="E2632" s="40" t="s">
        <v>11422</v>
      </c>
      <c r="F2632" s="40" t="s">
        <v>215</v>
      </c>
      <c r="G2632" s="40" t="s">
        <v>11423</v>
      </c>
      <c r="H2632" s="40" t="s">
        <v>11424</v>
      </c>
    </row>
    <row r="2633">
      <c r="A2633" s="39">
        <f>IFERROR(__xludf.DUMMYFUNCTION("""COMPUTED_VALUE"""),45974.60138461806)</f>
        <v>45974.60138</v>
      </c>
      <c r="B2633" s="40" t="str">
        <f>IFERROR(__xludf.DUMMYFUNCTION("""COMPUTED_VALUE"""),"NENY MERLIANTI NA'U")</f>
        <v>NENY MERLIANTI NA'U</v>
      </c>
      <c r="C2633" s="40" t="str">
        <f>IFERROR(__xludf.DUMMYFUNCTION("""COMPUTED_VALUE"""),"Belum disetujui")</f>
        <v>Belum disetujui</v>
      </c>
      <c r="D2633" s="40"/>
      <c r="E2633" s="40" t="s">
        <v>11476</v>
      </c>
      <c r="F2633" s="40" t="s">
        <v>204</v>
      </c>
      <c r="G2633" s="40" t="s">
        <v>11477</v>
      </c>
      <c r="H2633" s="40" t="s">
        <v>11399</v>
      </c>
    </row>
    <row r="2634">
      <c r="A2634" s="39">
        <f>IFERROR(__xludf.DUMMYFUNCTION("""COMPUTED_VALUE"""),45974.61108171296)</f>
        <v>45974.61108</v>
      </c>
      <c r="B2634" s="40" t="str">
        <f>IFERROR(__xludf.DUMMYFUNCTION("""COMPUTED_VALUE"""),"SANTI MARIA LUKMINI NAHAK")</f>
        <v>SANTI MARIA LUKMINI NAHAK</v>
      </c>
      <c r="C2634" s="40" t="str">
        <f>IFERROR(__xludf.DUMMYFUNCTION("""COMPUTED_VALUE"""),"Dapat limit tapi belum diproses")</f>
        <v>Dapat limit tapi belum diproses</v>
      </c>
      <c r="D2634" s="40" t="str">
        <f>IFERROR(__xludf.DUMMYFUNCTION("""COMPUTED_VALUE"""),"Y21d series")</f>
        <v>Y21d series</v>
      </c>
      <c r="E2634" s="40" t="s">
        <v>11460</v>
      </c>
      <c r="F2634" s="40" t="s">
        <v>871</v>
      </c>
      <c r="G2634" s="40" t="s">
        <v>11461</v>
      </c>
      <c r="H2634" s="40" t="s">
        <v>11424</v>
      </c>
    </row>
    <row r="2635">
      <c r="A2635" s="39">
        <f>IFERROR(__xludf.DUMMYFUNCTION("""COMPUTED_VALUE"""),45974.611813587966)</f>
        <v>45974.61181</v>
      </c>
      <c r="B2635" s="40" t="str">
        <f>IFERROR(__xludf.DUMMYFUNCTION("""COMPUTED_VALUE"""),"PUSPA ANGGREINI")</f>
        <v>PUSPA ANGGREINI</v>
      </c>
      <c r="C2635" s="40" t="str">
        <f>IFERROR(__xludf.DUMMYFUNCTION("""COMPUTED_VALUE"""),"ACC")</f>
        <v>ACC</v>
      </c>
      <c r="D2635" s="40" t="str">
        <f>IFERROR(__xludf.DUMMYFUNCTION("""COMPUTED_VALUE"""),"Y21d series")</f>
        <v>Y21d series</v>
      </c>
      <c r="E2635" s="40" t="s">
        <v>11427</v>
      </c>
      <c r="F2635" s="40" t="s">
        <v>257</v>
      </c>
      <c r="G2635" s="40" t="s">
        <v>11428</v>
      </c>
      <c r="H2635" s="40" t="s">
        <v>11419</v>
      </c>
    </row>
    <row r="2636">
      <c r="A2636" s="39">
        <f>IFERROR(__xludf.DUMMYFUNCTION("""COMPUTED_VALUE"""),45974.67399751158)</f>
        <v>45974.674</v>
      </c>
      <c r="B2636" s="40" t="str">
        <f>IFERROR(__xludf.DUMMYFUNCTION("""COMPUTED_VALUE"""),"ANNA RAHMATIA JUFRI")</f>
        <v>ANNA RAHMATIA JUFRI</v>
      </c>
      <c r="C2636" s="40" t="str">
        <f>IFERROR(__xludf.DUMMYFUNCTION("""COMPUTED_VALUE"""),"Belum disetujui")</f>
        <v>Belum disetujui</v>
      </c>
      <c r="D2636" s="40"/>
      <c r="E2636" s="40" t="s">
        <v>11484</v>
      </c>
      <c r="F2636" s="40" t="s">
        <v>11450</v>
      </c>
      <c r="G2636" s="40" t="s">
        <v>11485</v>
      </c>
      <c r="H2636" s="40" t="s">
        <v>11424</v>
      </c>
    </row>
    <row r="2637">
      <c r="A2637" s="39">
        <f>IFERROR(__xludf.DUMMYFUNCTION("""COMPUTED_VALUE"""),45974.67650393518)</f>
        <v>45974.6765</v>
      </c>
      <c r="B2637" s="40" t="str">
        <f>IFERROR(__xludf.DUMMYFUNCTION("""COMPUTED_VALUE"""),"ASRI NINGSI RAMBU ATA ENDI")</f>
        <v>ASRI NINGSI RAMBU ATA ENDI</v>
      </c>
      <c r="C2637" s="40" t="str">
        <f>IFERROR(__xludf.DUMMYFUNCTION("""COMPUTED_VALUE"""),"ACC")</f>
        <v>ACC</v>
      </c>
      <c r="D2637" s="40" t="str">
        <f>IFERROR(__xludf.DUMMYFUNCTION("""COMPUTED_VALUE"""),"Y400 series")</f>
        <v>Y400 series</v>
      </c>
      <c r="E2637" s="40" t="s">
        <v>11441</v>
      </c>
      <c r="F2637" s="40" t="s">
        <v>205</v>
      </c>
      <c r="G2637" s="40" t="s">
        <v>11442</v>
      </c>
      <c r="H2637" s="40" t="s">
        <v>11419</v>
      </c>
    </row>
    <row r="2638">
      <c r="A2638" s="39">
        <f>IFERROR(__xludf.DUMMYFUNCTION("""COMPUTED_VALUE"""),45974.68270387732)</f>
        <v>45974.6827</v>
      </c>
      <c r="B2638" s="40" t="str">
        <f>IFERROR(__xludf.DUMMYFUNCTION("""COMPUTED_VALUE"""),"NOVANTRY RUTHANIA NAFFIE")</f>
        <v>NOVANTRY RUTHANIA NAFFIE</v>
      </c>
      <c r="C2638" s="40" t="str">
        <f>IFERROR(__xludf.DUMMYFUNCTION("""COMPUTED_VALUE"""),"Belum disetujui")</f>
        <v>Belum disetujui</v>
      </c>
      <c r="D2638" s="40"/>
      <c r="E2638" s="40" t="s">
        <v>11397</v>
      </c>
      <c r="F2638" s="40" t="s">
        <v>220</v>
      </c>
      <c r="G2638" s="40" t="s">
        <v>11398</v>
      </c>
      <c r="H2638" s="40" t="s">
        <v>11399</v>
      </c>
    </row>
    <row r="2639">
      <c r="A2639" s="39">
        <f>IFERROR(__xludf.DUMMYFUNCTION("""COMPUTED_VALUE"""),45974.719511574076)</f>
        <v>45974.71951</v>
      </c>
      <c r="B2639" s="40" t="str">
        <f>IFERROR(__xludf.DUMMYFUNCTION("""COMPUTED_VALUE"""),"ADRIANA")</f>
        <v>ADRIANA</v>
      </c>
      <c r="C2639" s="40" t="str">
        <f>IFERROR(__xludf.DUMMYFUNCTION("""COMPUTED_VALUE"""),"ACC")</f>
        <v>ACC</v>
      </c>
      <c r="D2639" s="40" t="str">
        <f>IFERROR(__xludf.DUMMYFUNCTION("""COMPUTED_VALUE"""),"Y21d series")</f>
        <v>Y21d series</v>
      </c>
      <c r="E2639" s="40" t="s">
        <v>11433</v>
      </c>
      <c r="F2639" s="40" t="s">
        <v>313</v>
      </c>
      <c r="G2639" s="40" t="s">
        <v>11434</v>
      </c>
      <c r="H2639" s="40" t="s">
        <v>11424</v>
      </c>
    </row>
    <row r="2640">
      <c r="A2640" s="39">
        <f>IFERROR(__xludf.DUMMYFUNCTION("""COMPUTED_VALUE"""),45974.733726238424)</f>
        <v>45974.73373</v>
      </c>
      <c r="B2640" s="40" t="str">
        <f>IFERROR(__xludf.DUMMYFUNCTION("""COMPUTED_VALUE"""),"SELVINCE BAKO")</f>
        <v>SELVINCE BAKO</v>
      </c>
      <c r="C2640" s="40" t="str">
        <f>IFERROR(__xludf.DUMMYFUNCTION("""COMPUTED_VALUE"""),"Belum disetujui")</f>
        <v>Belum disetujui</v>
      </c>
      <c r="D2640" s="40"/>
      <c r="E2640" s="40" t="s">
        <v>11413</v>
      </c>
      <c r="F2640" s="40" t="s">
        <v>204</v>
      </c>
      <c r="G2640" s="40" t="s">
        <v>11414</v>
      </c>
      <c r="H2640" s="40" t="s">
        <v>11399</v>
      </c>
    </row>
    <row r="2641">
      <c r="A2641" s="39">
        <f>IFERROR(__xludf.DUMMYFUNCTION("""COMPUTED_VALUE"""),45974.73653391204)</f>
        <v>45974.73653</v>
      </c>
      <c r="B2641" s="40" t="str">
        <f>IFERROR(__xludf.DUMMYFUNCTION("""COMPUTED_VALUE"""),"YUNITA TAMELAB")</f>
        <v>YUNITA TAMELAB</v>
      </c>
      <c r="C2641" s="40" t="str">
        <f>IFERROR(__xludf.DUMMYFUNCTION("""COMPUTED_VALUE"""),"Belum disetujui")</f>
        <v>Belum disetujui</v>
      </c>
      <c r="D2641" s="40"/>
      <c r="E2641" s="40" t="s">
        <v>11472</v>
      </c>
      <c r="F2641" s="40" t="s">
        <v>667</v>
      </c>
      <c r="G2641" s="40" t="s">
        <v>11473</v>
      </c>
      <c r="H2641" s="40" t="s">
        <v>11424</v>
      </c>
    </row>
    <row r="2642">
      <c r="A2642" s="39">
        <f>IFERROR(__xludf.DUMMYFUNCTION("""COMPUTED_VALUE"""),45974.74020299769)</f>
        <v>45974.7402</v>
      </c>
      <c r="B2642" s="40" t="str">
        <f>IFERROR(__xludf.DUMMYFUNCTION("""COMPUTED_VALUE"""),"ARMINDA TEKU MANEK")</f>
        <v>ARMINDA TEKU MANEK</v>
      </c>
      <c r="C2642" s="40" t="str">
        <f>IFERROR(__xludf.DUMMYFUNCTION("""COMPUTED_VALUE"""),"Belum disetujui")</f>
        <v>Belum disetujui</v>
      </c>
      <c r="D2642" s="40"/>
      <c r="E2642" s="40" t="s">
        <v>11474</v>
      </c>
      <c r="F2642" s="40" t="s">
        <v>313</v>
      </c>
      <c r="G2642" s="40" t="s">
        <v>11475</v>
      </c>
      <c r="H2642" s="40" t="s">
        <v>11424</v>
      </c>
    </row>
    <row r="2643">
      <c r="A2643" s="39">
        <f>IFERROR(__xludf.DUMMYFUNCTION("""COMPUTED_VALUE"""),45974.740856226854)</f>
        <v>45974.74086</v>
      </c>
      <c r="B2643" s="40" t="str">
        <f>IFERROR(__xludf.DUMMYFUNCTION("""COMPUTED_VALUE"""),"MEXY ALEXANDER HETMINA")</f>
        <v>MEXY ALEXANDER HETMINA</v>
      </c>
      <c r="C2643" s="40" t="str">
        <f>IFERROR(__xludf.DUMMYFUNCTION("""COMPUTED_VALUE"""),"Belum disetujui")</f>
        <v>Belum disetujui</v>
      </c>
      <c r="D2643" s="40"/>
      <c r="E2643" s="40" t="s">
        <v>11413</v>
      </c>
      <c r="F2643" s="40" t="s">
        <v>204</v>
      </c>
      <c r="G2643" s="40" t="s">
        <v>11414</v>
      </c>
      <c r="H2643" s="40" t="s">
        <v>11399</v>
      </c>
    </row>
    <row r="2644">
      <c r="A2644" s="39">
        <f>IFERROR(__xludf.DUMMYFUNCTION("""COMPUTED_VALUE"""),45974.741170312496)</f>
        <v>45974.74117</v>
      </c>
      <c r="B2644" s="40" t="str">
        <f>IFERROR(__xludf.DUMMYFUNCTION("""COMPUTED_VALUE"""),"YUNITA TAMELAB")</f>
        <v>YUNITA TAMELAB</v>
      </c>
      <c r="C2644" s="40" t="str">
        <f>IFERROR(__xludf.DUMMYFUNCTION("""COMPUTED_VALUE"""),"Belum disetujui")</f>
        <v>Belum disetujui</v>
      </c>
      <c r="D2644" s="40"/>
      <c r="E2644" s="40" t="s">
        <v>11472</v>
      </c>
      <c r="F2644" s="40" t="s">
        <v>667</v>
      </c>
      <c r="G2644" s="40" t="s">
        <v>11473</v>
      </c>
      <c r="H2644" s="40" t="s">
        <v>11424</v>
      </c>
    </row>
    <row r="2645">
      <c r="A2645" s="39">
        <f>IFERROR(__xludf.DUMMYFUNCTION("""COMPUTED_VALUE"""),45974.7418002662)</f>
        <v>45974.7418</v>
      </c>
      <c r="B2645" s="40" t="str">
        <f>IFERROR(__xludf.DUMMYFUNCTION("""COMPUTED_VALUE"""),"ARMINDA TEKU MANEK")</f>
        <v>ARMINDA TEKU MANEK</v>
      </c>
      <c r="C2645" s="40" t="str">
        <f>IFERROR(__xludf.DUMMYFUNCTION("""COMPUTED_VALUE"""),"Belum disetujui")</f>
        <v>Belum disetujui</v>
      </c>
      <c r="D2645" s="40"/>
      <c r="E2645" s="40" t="s">
        <v>11474</v>
      </c>
      <c r="F2645" s="40" t="s">
        <v>313</v>
      </c>
      <c r="G2645" s="40" t="s">
        <v>11475</v>
      </c>
      <c r="H2645" s="40" t="s">
        <v>11424</v>
      </c>
    </row>
    <row r="2646">
      <c r="A2646" s="39">
        <f>IFERROR(__xludf.DUMMYFUNCTION("""COMPUTED_VALUE"""),45974.742735775464)</f>
        <v>45974.74274</v>
      </c>
      <c r="B2646" s="40" t="str">
        <f>IFERROR(__xludf.DUMMYFUNCTION("""COMPUTED_VALUE"""),"ASTUTI BELA WAWO")</f>
        <v>ASTUTI BELA WAWO</v>
      </c>
      <c r="C2646" s="40" t="str">
        <f>IFERROR(__xludf.DUMMYFUNCTION("""COMPUTED_VALUE"""),"Belum disetujui")</f>
        <v>Belum disetujui</v>
      </c>
      <c r="D2646" s="40"/>
      <c r="E2646" s="40" t="s">
        <v>11427</v>
      </c>
      <c r="F2646" s="40" t="s">
        <v>257</v>
      </c>
      <c r="G2646" s="40" t="s">
        <v>11428</v>
      </c>
      <c r="H2646" s="40" t="s">
        <v>11419</v>
      </c>
    </row>
    <row r="2647">
      <c r="A2647" s="39">
        <f>IFERROR(__xludf.DUMMYFUNCTION("""COMPUTED_VALUE"""),45974.75079710648)</f>
        <v>45974.7508</v>
      </c>
      <c r="B2647" s="40" t="str">
        <f>IFERROR(__xludf.DUMMYFUNCTION("""COMPUTED_VALUE"""),"MERDA PUTRI BUNGSU KENAT")</f>
        <v>MERDA PUTRI BUNGSU KENAT</v>
      </c>
      <c r="C2647" s="40" t="str">
        <f>IFERROR(__xludf.DUMMYFUNCTION("""COMPUTED_VALUE"""),"Dapat limit tapi belum diproses")</f>
        <v>Dapat limit tapi belum diproses</v>
      </c>
      <c r="D2647" s="40" t="str">
        <f>IFERROR(__xludf.DUMMYFUNCTION("""COMPUTED_VALUE"""),"Y21d series")</f>
        <v>Y21d series</v>
      </c>
      <c r="E2647" s="40" t="s">
        <v>11422</v>
      </c>
      <c r="F2647" s="40" t="s">
        <v>215</v>
      </c>
      <c r="G2647" s="40" t="s">
        <v>11423</v>
      </c>
      <c r="H2647" s="40" t="s">
        <v>11424</v>
      </c>
    </row>
    <row r="2648">
      <c r="A2648" s="39">
        <f>IFERROR(__xludf.DUMMYFUNCTION("""COMPUTED_VALUE"""),45974.77219042824)</f>
        <v>45974.77219</v>
      </c>
      <c r="B2648" s="40" t="str">
        <f>IFERROR(__xludf.DUMMYFUNCTION("""COMPUTED_VALUE"""),"MARNITHA JUWIKE TIMORATI RUNESI")</f>
        <v>MARNITHA JUWIKE TIMORATI RUNESI</v>
      </c>
      <c r="C2648" s="40" t="str">
        <f>IFERROR(__xludf.DUMMYFUNCTION("""COMPUTED_VALUE"""),"ACC")</f>
        <v>ACC</v>
      </c>
      <c r="D2648" s="40" t="str">
        <f>IFERROR(__xludf.DUMMYFUNCTION("""COMPUTED_VALUE"""),"Y400 series")</f>
        <v>Y400 series</v>
      </c>
      <c r="E2648" s="40" t="s">
        <v>11420</v>
      </c>
      <c r="F2648" s="40" t="s">
        <v>204</v>
      </c>
      <c r="G2648" s="40" t="s">
        <v>11421</v>
      </c>
      <c r="H2648" s="40" t="s">
        <v>11399</v>
      </c>
    </row>
    <row r="2649">
      <c r="A2649" s="39">
        <f>IFERROR(__xludf.DUMMYFUNCTION("""COMPUTED_VALUE"""),45974.77342953704)</f>
        <v>45974.77343</v>
      </c>
      <c r="B2649" s="40" t="str">
        <f>IFERROR(__xludf.DUMMYFUNCTION("""COMPUTED_VALUE"""),"MARNITHA JUWIKE TIMORATI RUNESI")</f>
        <v>MARNITHA JUWIKE TIMORATI RUNESI</v>
      </c>
      <c r="C2649" s="40" t="str">
        <f>IFERROR(__xludf.DUMMYFUNCTION("""COMPUTED_VALUE"""),"Belum disetujui")</f>
        <v>Belum disetujui</v>
      </c>
      <c r="D2649" s="40"/>
      <c r="E2649" s="40" t="s">
        <v>11420</v>
      </c>
      <c r="F2649" s="40" t="s">
        <v>204</v>
      </c>
      <c r="G2649" s="40" t="s">
        <v>11421</v>
      </c>
      <c r="H2649" s="40" t="s">
        <v>11399</v>
      </c>
    </row>
    <row r="2650">
      <c r="A2650" s="39">
        <f>IFERROR(__xludf.DUMMYFUNCTION("""COMPUTED_VALUE"""),45974.779873321764)</f>
        <v>45974.77987</v>
      </c>
      <c r="B2650" s="40" t="str">
        <f>IFERROR(__xludf.DUMMYFUNCTION("""COMPUTED_VALUE"""),"SKOLASTIKA B TAUNAES")</f>
        <v>SKOLASTIKA B TAUNAES</v>
      </c>
      <c r="C2650" s="40" t="str">
        <f>IFERROR(__xludf.DUMMYFUNCTION("""COMPUTED_VALUE"""),"Belum disetujui")</f>
        <v>Belum disetujui</v>
      </c>
      <c r="D2650" s="40"/>
      <c r="E2650" s="40" t="s">
        <v>11413</v>
      </c>
      <c r="F2650" s="40" t="s">
        <v>204</v>
      </c>
      <c r="G2650" s="40" t="s">
        <v>11414</v>
      </c>
      <c r="H2650" s="40" t="s">
        <v>11399</v>
      </c>
    </row>
    <row r="2651">
      <c r="A2651" s="39">
        <f>IFERROR(__xludf.DUMMYFUNCTION("""COMPUTED_VALUE"""),45974.780981793985)</f>
        <v>45974.78098</v>
      </c>
      <c r="B2651" s="40" t="str">
        <f>IFERROR(__xludf.DUMMYFUNCTION("""COMPUTED_VALUE"""),"SKOLASTIKA B TAUNAES")</f>
        <v>SKOLASTIKA B TAUNAES</v>
      </c>
      <c r="C2651" s="40" t="str">
        <f>IFERROR(__xludf.DUMMYFUNCTION("""COMPUTED_VALUE"""),"Belum disetujui")</f>
        <v>Belum disetujui</v>
      </c>
      <c r="D2651" s="40"/>
      <c r="E2651" s="40" t="s">
        <v>11413</v>
      </c>
      <c r="F2651" s="40" t="s">
        <v>204</v>
      </c>
      <c r="G2651" s="40" t="s">
        <v>11414</v>
      </c>
      <c r="H2651" s="40" t="s">
        <v>11399</v>
      </c>
    </row>
    <row r="2652">
      <c r="A2652" s="39">
        <f>IFERROR(__xludf.DUMMYFUNCTION("""COMPUTED_VALUE"""),45974.79887153935)</f>
        <v>45974.79887</v>
      </c>
      <c r="B2652" s="40" t="str">
        <f>IFERROR(__xludf.DUMMYFUNCTION("""COMPUTED_VALUE"""),"AINI RAHMATINI NATALIA MOESTAKIM")</f>
        <v>AINI RAHMATINI NATALIA MOESTAKIM</v>
      </c>
      <c r="C2652" s="40" t="str">
        <f>IFERROR(__xludf.DUMMYFUNCTION("""COMPUTED_VALUE"""),"Belum disetujui")</f>
        <v>Belum disetujui</v>
      </c>
      <c r="D2652" s="40"/>
      <c r="E2652" s="40" t="s">
        <v>11409</v>
      </c>
      <c r="F2652" s="40" t="s">
        <v>204</v>
      </c>
      <c r="G2652" s="40" t="s">
        <v>11410</v>
      </c>
      <c r="H2652" s="40" t="s">
        <v>11399</v>
      </c>
    </row>
    <row r="2653">
      <c r="A2653" s="39">
        <f>IFERROR(__xludf.DUMMYFUNCTION("""COMPUTED_VALUE"""),45974.80159631945)</f>
        <v>45974.8016</v>
      </c>
      <c r="B2653" s="40" t="str">
        <f>IFERROR(__xludf.DUMMYFUNCTION("""COMPUTED_VALUE"""),"ROS YANE KANA LUDJI")</f>
        <v>ROS YANE KANA LUDJI</v>
      </c>
      <c r="C2653" s="40" t="str">
        <f>IFERROR(__xludf.DUMMYFUNCTION("""COMPUTED_VALUE"""),"Belum disetujui")</f>
        <v>Belum disetujui</v>
      </c>
      <c r="D2653" s="40"/>
      <c r="E2653" s="40" t="s">
        <v>11437</v>
      </c>
      <c r="F2653" s="40" t="s">
        <v>204</v>
      </c>
      <c r="G2653" s="40" t="s">
        <v>11438</v>
      </c>
      <c r="H2653" s="40" t="s">
        <v>11399</v>
      </c>
    </row>
    <row r="2654">
      <c r="A2654" s="39">
        <f>IFERROR(__xludf.DUMMYFUNCTION("""COMPUTED_VALUE"""),45974.83142490741)</f>
        <v>45974.83142</v>
      </c>
      <c r="B2654" s="40" t="str">
        <f>IFERROR(__xludf.DUMMYFUNCTION("""COMPUTED_VALUE"""),"PRETI SISILIA SILA")</f>
        <v>PRETI SISILIA SILA</v>
      </c>
      <c r="C2654" s="40" t="str">
        <f>IFERROR(__xludf.DUMMYFUNCTION("""COMPUTED_VALUE"""),"Belum disetujui")</f>
        <v>Belum disetujui</v>
      </c>
      <c r="D2654" s="40"/>
      <c r="E2654" s="40" t="s">
        <v>11456</v>
      </c>
      <c r="F2654" s="40" t="s">
        <v>667</v>
      </c>
      <c r="G2654" s="40" t="s">
        <v>11457</v>
      </c>
      <c r="H2654" s="40" t="s">
        <v>11424</v>
      </c>
    </row>
    <row r="2655">
      <c r="A2655" s="39">
        <f>IFERROR(__xludf.DUMMYFUNCTION("""COMPUTED_VALUE"""),45974.84877438657)</f>
        <v>45974.84877</v>
      </c>
      <c r="B2655" s="40" t="str">
        <f>IFERROR(__xludf.DUMMYFUNCTION("""COMPUTED_VALUE"""),"ANITA ANA AMAH")</f>
        <v>ANITA ANA AMAH</v>
      </c>
      <c r="C2655" s="40" t="str">
        <f>IFERROR(__xludf.DUMMYFUNCTION("""COMPUTED_VALUE"""),"ACC")</f>
        <v>ACC</v>
      </c>
      <c r="D2655" s="40" t="str">
        <f>IFERROR(__xludf.DUMMYFUNCTION("""COMPUTED_VALUE"""),"Y400 series")</f>
        <v>Y400 series</v>
      </c>
      <c r="E2655" s="40" t="s">
        <v>11425</v>
      </c>
      <c r="F2655" s="40" t="s">
        <v>205</v>
      </c>
      <c r="G2655" s="40" t="s">
        <v>11426</v>
      </c>
      <c r="H2655" s="40" t="s">
        <v>11419</v>
      </c>
    </row>
    <row r="2656">
      <c r="A2656" s="39">
        <f>IFERROR(__xludf.DUMMYFUNCTION("""COMPUTED_VALUE"""),45974.857656608794)</f>
        <v>45974.85766</v>
      </c>
      <c r="B2656" s="40" t="str">
        <f>IFERROR(__xludf.DUMMYFUNCTION("""COMPUTED_VALUE"""),"WINDRI MANOE")</f>
        <v>WINDRI MANOE</v>
      </c>
      <c r="C2656" s="40" t="str">
        <f>IFERROR(__xludf.DUMMYFUNCTION("""COMPUTED_VALUE"""),"Belum disetujui")</f>
        <v>Belum disetujui</v>
      </c>
      <c r="D2656" s="40"/>
      <c r="E2656" s="40" t="s">
        <v>11443</v>
      </c>
      <c r="F2656" s="40" t="s">
        <v>220</v>
      </c>
      <c r="G2656" s="40" t="s">
        <v>11444</v>
      </c>
      <c r="H2656" s="40" t="s">
        <v>11399</v>
      </c>
    </row>
    <row r="2657">
      <c r="A2657" s="39">
        <f>IFERROR(__xludf.DUMMYFUNCTION("""COMPUTED_VALUE"""),45975.3951544213)</f>
        <v>45975.39515</v>
      </c>
      <c r="B2657" s="40" t="str">
        <f>IFERROR(__xludf.DUMMYFUNCTION("""COMPUTED_VALUE"""),"ANNA RAHMATIA JUFRI")</f>
        <v>ANNA RAHMATIA JUFRI</v>
      </c>
      <c r="C2657" s="40" t="str">
        <f>IFERROR(__xludf.DUMMYFUNCTION("""COMPUTED_VALUE"""),"Belum disetujui")</f>
        <v>Belum disetujui</v>
      </c>
      <c r="D2657" s="40"/>
      <c r="E2657" s="40" t="s">
        <v>11484</v>
      </c>
      <c r="F2657" s="40" t="s">
        <v>11450</v>
      </c>
      <c r="G2657" s="40" t="s">
        <v>11485</v>
      </c>
      <c r="H2657" s="40" t="s">
        <v>11424</v>
      </c>
    </row>
    <row r="2658">
      <c r="A2658" s="39">
        <f>IFERROR(__xludf.DUMMYFUNCTION("""COMPUTED_VALUE"""),45975.41399021991)</f>
        <v>45975.41399</v>
      </c>
      <c r="B2658" s="40" t="str">
        <f>IFERROR(__xludf.DUMMYFUNCTION("""COMPUTED_VALUE"""),"YOMELIANA MARIA MAGNO")</f>
        <v>YOMELIANA MARIA MAGNO</v>
      </c>
      <c r="C2658" s="40" t="str">
        <f>IFERROR(__xludf.DUMMYFUNCTION("""COMPUTED_VALUE"""),"Belum disetujui")</f>
        <v>Belum disetujui</v>
      </c>
      <c r="D2658" s="40"/>
      <c r="E2658" s="40" t="s">
        <v>11460</v>
      </c>
      <c r="F2658" s="40" t="s">
        <v>871</v>
      </c>
      <c r="G2658" s="40" t="s">
        <v>11461</v>
      </c>
      <c r="H2658" s="40" t="s">
        <v>11424</v>
      </c>
    </row>
    <row r="2659">
      <c r="A2659" s="39">
        <f>IFERROR(__xludf.DUMMYFUNCTION("""COMPUTED_VALUE"""),45975.41600644676)</f>
        <v>45975.41601</v>
      </c>
      <c r="B2659" s="40" t="str">
        <f>IFERROR(__xludf.DUMMYFUNCTION("""COMPUTED_VALUE"""),"ALDIANA WELIA PANIE")</f>
        <v>ALDIANA WELIA PANIE</v>
      </c>
      <c r="C2659" s="40" t="str">
        <f>IFERROR(__xludf.DUMMYFUNCTION("""COMPUTED_VALUE"""),"Dapat limit tapi belum diproses")</f>
        <v>Dapat limit tapi belum diproses</v>
      </c>
      <c r="D2659" s="40" t="str">
        <f>IFERROR(__xludf.DUMMYFUNCTION("""COMPUTED_VALUE"""),"Y21d series")</f>
        <v>Y21d series</v>
      </c>
      <c r="E2659" s="40" t="s">
        <v>11422</v>
      </c>
      <c r="F2659" s="40" t="s">
        <v>215</v>
      </c>
      <c r="G2659" s="40" t="s">
        <v>11423</v>
      </c>
      <c r="H2659" s="40" t="s">
        <v>11424</v>
      </c>
    </row>
    <row r="2660">
      <c r="A2660" s="39">
        <f>IFERROR(__xludf.DUMMYFUNCTION("""COMPUTED_VALUE"""),45975.43786256945)</f>
        <v>45975.43786</v>
      </c>
      <c r="B2660" s="40" t="str">
        <f>IFERROR(__xludf.DUMMYFUNCTION("""COMPUTED_VALUE"""),"YASINTHA MBU")</f>
        <v>YASINTHA MBU</v>
      </c>
      <c r="C2660" s="40" t="str">
        <f>IFERROR(__xludf.DUMMYFUNCTION("""COMPUTED_VALUE"""),"Dapat limit tapi belum diproses")</f>
        <v>Dapat limit tapi belum diproses</v>
      </c>
      <c r="D2660" s="40" t="str">
        <f>IFERROR(__xludf.DUMMYFUNCTION("""COMPUTED_VALUE"""),"Y400 series")</f>
        <v>Y400 series</v>
      </c>
      <c r="E2660" s="40" t="s">
        <v>11407</v>
      </c>
      <c r="F2660" s="40" t="s">
        <v>220</v>
      </c>
      <c r="G2660" s="40" t="s">
        <v>11408</v>
      </c>
      <c r="H2660" s="40" t="s">
        <v>11399</v>
      </c>
    </row>
    <row r="2661">
      <c r="A2661" s="39">
        <f>IFERROR(__xludf.DUMMYFUNCTION("""COMPUTED_VALUE"""),45975.4657394213)</f>
        <v>45975.46574</v>
      </c>
      <c r="B2661" s="40" t="str">
        <f>IFERROR(__xludf.DUMMYFUNCTION("""COMPUTED_VALUE"""),"YOHANIS TIPNONI")</f>
        <v>YOHANIS TIPNONI</v>
      </c>
      <c r="C2661" s="40" t="str">
        <f>IFERROR(__xludf.DUMMYFUNCTION("""COMPUTED_VALUE"""),"Belum disetujui")</f>
        <v>Belum disetujui</v>
      </c>
      <c r="D2661" s="40"/>
      <c r="E2661" s="40" t="s">
        <v>11405</v>
      </c>
      <c r="F2661" s="40" t="s">
        <v>220</v>
      </c>
      <c r="G2661" s="40" t="s">
        <v>11406</v>
      </c>
      <c r="H2661" s="40" t="s">
        <v>11399</v>
      </c>
    </row>
    <row r="2662">
      <c r="A2662" s="39">
        <f>IFERROR(__xludf.DUMMYFUNCTION("""COMPUTED_VALUE"""),45975.46683945602)</f>
        <v>45975.46684</v>
      </c>
      <c r="B2662" s="40" t="str">
        <f>IFERROR(__xludf.DUMMYFUNCTION("""COMPUTED_VALUE"""),"YASINTHA MBU")</f>
        <v>YASINTHA MBU</v>
      </c>
      <c r="C2662" s="40" t="str">
        <f>IFERROR(__xludf.DUMMYFUNCTION("""COMPUTED_VALUE"""),"Belum disetujui")</f>
        <v>Belum disetujui</v>
      </c>
      <c r="D2662" s="40"/>
      <c r="E2662" s="40" t="s">
        <v>11407</v>
      </c>
      <c r="F2662" s="40" t="s">
        <v>220</v>
      </c>
      <c r="G2662" s="40" t="s">
        <v>11408</v>
      </c>
      <c r="H2662" s="40" t="s">
        <v>11399</v>
      </c>
    </row>
    <row r="2663">
      <c r="A2663" s="39">
        <f>IFERROR(__xludf.DUMMYFUNCTION("""COMPUTED_VALUE"""),45975.467182731474)</f>
        <v>45975.46718</v>
      </c>
      <c r="B2663" s="40" t="str">
        <f>IFERROR(__xludf.DUMMYFUNCTION("""COMPUTED_VALUE"""),"NOVLIANA BARBALINA MISA")</f>
        <v>NOVLIANA BARBALINA MISA</v>
      </c>
      <c r="C2663" s="40" t="str">
        <f>IFERROR(__xludf.DUMMYFUNCTION("""COMPUTED_VALUE"""),"ACC")</f>
        <v>ACC</v>
      </c>
      <c r="D2663" s="40" t="str">
        <f>IFERROR(__xludf.DUMMYFUNCTION("""COMPUTED_VALUE"""),"Y400 series")</f>
        <v>Y400 series</v>
      </c>
      <c r="E2663" s="40" t="s">
        <v>11454</v>
      </c>
      <c r="F2663" s="40" t="s">
        <v>205</v>
      </c>
      <c r="G2663" s="40" t="s">
        <v>11455</v>
      </c>
      <c r="H2663" s="40" t="s">
        <v>11419</v>
      </c>
    </row>
    <row r="2664">
      <c r="A2664" s="39">
        <f>IFERROR(__xludf.DUMMYFUNCTION("""COMPUTED_VALUE"""),45975.472107685186)</f>
        <v>45975.47211</v>
      </c>
      <c r="B2664" s="40" t="str">
        <f>IFERROR(__xludf.DUMMYFUNCTION("""COMPUTED_VALUE"""),"ESTER LUDJI")</f>
        <v>ESTER LUDJI</v>
      </c>
      <c r="C2664" s="40" t="str">
        <f>IFERROR(__xludf.DUMMYFUNCTION("""COMPUTED_VALUE"""),"Belum disetujui")</f>
        <v>Belum disetujui</v>
      </c>
      <c r="D2664" s="40"/>
      <c r="E2664" s="40" t="s">
        <v>11441</v>
      </c>
      <c r="F2664" s="40" t="s">
        <v>205</v>
      </c>
      <c r="G2664" s="40" t="s">
        <v>11442</v>
      </c>
      <c r="H2664" s="40" t="s">
        <v>11419</v>
      </c>
    </row>
    <row r="2665">
      <c r="A2665" s="39">
        <f>IFERROR(__xludf.DUMMYFUNCTION("""COMPUTED_VALUE"""),45975.48473263889)</f>
        <v>45975.48473</v>
      </c>
      <c r="B2665" s="40" t="str">
        <f>IFERROR(__xludf.DUMMYFUNCTION("""COMPUTED_VALUE"""),"ALDIANA WELIA PANIE")</f>
        <v>ALDIANA WELIA PANIE</v>
      </c>
      <c r="C2665" s="40" t="str">
        <f>IFERROR(__xludf.DUMMYFUNCTION("""COMPUTED_VALUE"""),"ACC")</f>
        <v>ACC</v>
      </c>
      <c r="D2665" s="40" t="str">
        <f>IFERROR(__xludf.DUMMYFUNCTION("""COMPUTED_VALUE"""),"Y400 series")</f>
        <v>Y400 series</v>
      </c>
      <c r="E2665" s="40" t="s">
        <v>11422</v>
      </c>
      <c r="F2665" s="40" t="s">
        <v>215</v>
      </c>
      <c r="G2665" s="40" t="s">
        <v>11423</v>
      </c>
      <c r="H2665" s="40" t="s">
        <v>11424</v>
      </c>
    </row>
    <row r="2666">
      <c r="A2666" s="39">
        <f>IFERROR(__xludf.DUMMYFUNCTION("""COMPUTED_VALUE"""),45975.49192393519)</f>
        <v>45975.49192</v>
      </c>
      <c r="B2666" s="40" t="str">
        <f>IFERROR(__xludf.DUMMYFUNCTION("""COMPUTED_VALUE"""),"DEWI RAHMAN")</f>
        <v>DEWI RAHMAN</v>
      </c>
      <c r="C2666" s="40" t="str">
        <f>IFERROR(__xludf.DUMMYFUNCTION("""COMPUTED_VALUE"""),"Belum disetujui")</f>
        <v>Belum disetujui</v>
      </c>
      <c r="D2666" s="40"/>
      <c r="E2666" s="40" t="s">
        <v>11449</v>
      </c>
      <c r="F2666" s="40" t="s">
        <v>11450</v>
      </c>
      <c r="G2666" s="40" t="s">
        <v>11451</v>
      </c>
      <c r="H2666" s="40" t="s">
        <v>11424</v>
      </c>
    </row>
    <row r="2667">
      <c r="A2667" s="39">
        <f>IFERROR(__xludf.DUMMYFUNCTION("""COMPUTED_VALUE"""),45975.499262303245)</f>
        <v>45975.49926</v>
      </c>
      <c r="B2667" s="40" t="str">
        <f>IFERROR(__xludf.DUMMYFUNCTION("""COMPUTED_VALUE"""),"WINDRI MANOE")</f>
        <v>WINDRI MANOE</v>
      </c>
      <c r="C2667" s="40" t="str">
        <f>IFERROR(__xludf.DUMMYFUNCTION("""COMPUTED_VALUE"""),"Belum disetujui")</f>
        <v>Belum disetujui</v>
      </c>
      <c r="D2667" s="40"/>
      <c r="E2667" s="40" t="s">
        <v>11443</v>
      </c>
      <c r="F2667" s="40" t="s">
        <v>220</v>
      </c>
      <c r="G2667" s="40" t="s">
        <v>11444</v>
      </c>
      <c r="H2667" s="40" t="s">
        <v>11399</v>
      </c>
    </row>
    <row r="2668">
      <c r="A2668" s="39">
        <f>IFERROR(__xludf.DUMMYFUNCTION("""COMPUTED_VALUE"""),45975.503209699076)</f>
        <v>45975.50321</v>
      </c>
      <c r="B2668" s="40" t="str">
        <f>IFERROR(__xludf.DUMMYFUNCTION("""COMPUTED_VALUE"""),"BERGITHA NIA OLIN")</f>
        <v>BERGITHA NIA OLIN</v>
      </c>
      <c r="C2668" s="40" t="str">
        <f>IFERROR(__xludf.DUMMYFUNCTION("""COMPUTED_VALUE"""),"Belum disetujui")</f>
        <v>Belum disetujui</v>
      </c>
      <c r="D2668" s="40"/>
      <c r="E2668" s="40" t="s">
        <v>11431</v>
      </c>
      <c r="F2668" s="40" t="s">
        <v>313</v>
      </c>
      <c r="G2668" s="40" t="s">
        <v>11432</v>
      </c>
      <c r="H2668" s="40" t="s">
        <v>11424</v>
      </c>
    </row>
    <row r="2669">
      <c r="A2669" s="39">
        <f>IFERROR(__xludf.DUMMYFUNCTION("""COMPUTED_VALUE"""),45975.51218002315)</f>
        <v>45975.51218</v>
      </c>
      <c r="B2669" s="40" t="str">
        <f>IFERROR(__xludf.DUMMYFUNCTION("""COMPUTED_VALUE"""),"HERONIMUS NAMU WALI")</f>
        <v>HERONIMUS NAMU WALI</v>
      </c>
      <c r="C2669" s="40" t="str">
        <f>IFERROR(__xludf.DUMMYFUNCTION("""COMPUTED_VALUE"""),"Belum disetujui")</f>
        <v>Belum disetujui</v>
      </c>
      <c r="D2669" s="40"/>
      <c r="E2669" s="40" t="s">
        <v>11452</v>
      </c>
      <c r="F2669" s="40" t="s">
        <v>205</v>
      </c>
      <c r="G2669" s="40" t="s">
        <v>11453</v>
      </c>
      <c r="H2669" s="40" t="s">
        <v>11419</v>
      </c>
    </row>
    <row r="2670">
      <c r="A2670" s="39">
        <f>IFERROR(__xludf.DUMMYFUNCTION("""COMPUTED_VALUE"""),45975.51563472222)</f>
        <v>45975.51563</v>
      </c>
      <c r="B2670" s="40" t="str">
        <f>IFERROR(__xludf.DUMMYFUNCTION("""COMPUTED_VALUE"""),"YOVANDA KATRINA NAE")</f>
        <v>YOVANDA KATRINA NAE</v>
      </c>
      <c r="C2670" s="40" t="str">
        <f>IFERROR(__xludf.DUMMYFUNCTION("""COMPUTED_VALUE"""),"ACC")</f>
        <v>ACC</v>
      </c>
      <c r="D2670" s="40" t="str">
        <f>IFERROR(__xludf.DUMMYFUNCTION("""COMPUTED_VALUE"""),"Y21d series")</f>
        <v>Y21d series</v>
      </c>
      <c r="E2670" s="40" t="s">
        <v>11425</v>
      </c>
      <c r="F2670" s="40" t="s">
        <v>205</v>
      </c>
      <c r="G2670" s="40" t="s">
        <v>11426</v>
      </c>
      <c r="H2670" s="40" t="s">
        <v>11419</v>
      </c>
    </row>
    <row r="2671">
      <c r="A2671" s="39">
        <f>IFERROR(__xludf.DUMMYFUNCTION("""COMPUTED_VALUE"""),45975.541236655095)</f>
        <v>45975.54124</v>
      </c>
      <c r="B2671" s="40" t="str">
        <f>IFERROR(__xludf.DUMMYFUNCTION("""COMPUTED_VALUE"""),"HERONIMUS NAMU WALI")</f>
        <v>HERONIMUS NAMU WALI</v>
      </c>
      <c r="C2671" s="40" t="str">
        <f>IFERROR(__xludf.DUMMYFUNCTION("""COMPUTED_VALUE"""),"Belum disetujui")</f>
        <v>Belum disetujui</v>
      </c>
      <c r="D2671" s="40"/>
      <c r="E2671" s="40" t="s">
        <v>11452</v>
      </c>
      <c r="F2671" s="40" t="s">
        <v>205</v>
      </c>
      <c r="G2671" s="40" t="s">
        <v>11453</v>
      </c>
      <c r="H2671" s="40" t="s">
        <v>11419</v>
      </c>
    </row>
    <row r="2672">
      <c r="A2672" s="39">
        <f>IFERROR(__xludf.DUMMYFUNCTION("""COMPUTED_VALUE"""),45975.55677865741)</f>
        <v>45975.55678</v>
      </c>
      <c r="B2672" s="40" t="str">
        <f>IFERROR(__xludf.DUMMYFUNCTION("""COMPUTED_VALUE"""),"ARMINDA TEKU MANEK")</f>
        <v>ARMINDA TEKU MANEK</v>
      </c>
      <c r="C2672" s="40" t="str">
        <f>IFERROR(__xludf.DUMMYFUNCTION("""COMPUTED_VALUE"""),"ACC")</f>
        <v>ACC</v>
      </c>
      <c r="D2672" s="40" t="str">
        <f>IFERROR(__xludf.DUMMYFUNCTION("""COMPUTED_VALUE"""),"Y400 series")</f>
        <v>Y400 series</v>
      </c>
      <c r="E2672" s="40" t="s">
        <v>11474</v>
      </c>
      <c r="F2672" s="40" t="s">
        <v>313</v>
      </c>
      <c r="G2672" s="40" t="s">
        <v>11475</v>
      </c>
      <c r="H2672" s="40" t="s">
        <v>11424</v>
      </c>
    </row>
    <row r="2673">
      <c r="A2673" s="39">
        <f>IFERROR(__xludf.DUMMYFUNCTION("""COMPUTED_VALUE"""),45975.5675565625)</f>
        <v>45975.56756</v>
      </c>
      <c r="B2673" s="40" t="str">
        <f>IFERROR(__xludf.DUMMYFUNCTION("""COMPUTED_VALUE"""),"GRACELLA SARI HIVANA MANAFE")</f>
        <v>GRACELLA SARI HIVANA MANAFE</v>
      </c>
      <c r="C2673" s="40" t="str">
        <f>IFERROR(__xludf.DUMMYFUNCTION("""COMPUTED_VALUE"""),"Belum disetujui")</f>
        <v>Belum disetujui</v>
      </c>
      <c r="D2673" s="40"/>
      <c r="E2673" s="40" t="s">
        <v>11478</v>
      </c>
      <c r="F2673" s="40" t="s">
        <v>220</v>
      </c>
      <c r="G2673" s="40" t="s">
        <v>11479</v>
      </c>
      <c r="H2673" s="40" t="s">
        <v>11399</v>
      </c>
    </row>
    <row r="2674">
      <c r="A2674" s="39">
        <f>IFERROR(__xludf.DUMMYFUNCTION("""COMPUTED_VALUE"""),45975.58200729166)</f>
        <v>45975.58201</v>
      </c>
      <c r="B2674" s="40" t="str">
        <f>IFERROR(__xludf.DUMMYFUNCTION("""COMPUTED_VALUE"""),"ANGELA BOUKA BERI")</f>
        <v>ANGELA BOUKA BERI</v>
      </c>
      <c r="C2674" s="40" t="str">
        <f>IFERROR(__xludf.DUMMYFUNCTION("""COMPUTED_VALUE"""),"Belum disetujui")</f>
        <v>Belum disetujui</v>
      </c>
      <c r="D2674" s="40"/>
      <c r="E2674" s="40" t="s">
        <v>11486</v>
      </c>
      <c r="F2674" s="40" t="s">
        <v>11450</v>
      </c>
      <c r="G2674" s="40" t="s">
        <v>11487</v>
      </c>
      <c r="H2674" s="40" t="s">
        <v>11424</v>
      </c>
    </row>
    <row r="2675">
      <c r="A2675" s="39">
        <f>IFERROR(__xludf.DUMMYFUNCTION("""COMPUTED_VALUE"""),45975.58817667824)</f>
        <v>45975.58818</v>
      </c>
      <c r="B2675" s="40" t="str">
        <f>IFERROR(__xludf.DUMMYFUNCTION("""COMPUTED_VALUE"""),"MARNITHA JUWIKE TIMORATI RUNESI")</f>
        <v>MARNITHA JUWIKE TIMORATI RUNESI</v>
      </c>
      <c r="C2675" s="40" t="str">
        <f>IFERROR(__xludf.DUMMYFUNCTION("""COMPUTED_VALUE"""),"Belum disetujui")</f>
        <v>Belum disetujui</v>
      </c>
      <c r="D2675" s="40"/>
      <c r="E2675" s="40" t="s">
        <v>11420</v>
      </c>
      <c r="F2675" s="40" t="s">
        <v>204</v>
      </c>
      <c r="G2675" s="40" t="s">
        <v>11421</v>
      </c>
      <c r="H2675" s="40" t="s">
        <v>11399</v>
      </c>
    </row>
    <row r="2676">
      <c r="A2676" s="39">
        <f>IFERROR(__xludf.DUMMYFUNCTION("""COMPUTED_VALUE"""),45975.58967138889)</f>
        <v>45975.58967</v>
      </c>
      <c r="B2676" s="40" t="str">
        <f>IFERROR(__xludf.DUMMYFUNCTION("""COMPUTED_VALUE"""),"GRACELLA SARI HIVANA MANAFE")</f>
        <v>GRACELLA SARI HIVANA MANAFE</v>
      </c>
      <c r="C2676" s="40" t="str">
        <f>IFERROR(__xludf.DUMMYFUNCTION("""COMPUTED_VALUE"""),"Belum disetujui")</f>
        <v>Belum disetujui</v>
      </c>
      <c r="D2676" s="40"/>
      <c r="E2676" s="40" t="s">
        <v>11478</v>
      </c>
      <c r="F2676" s="40" t="s">
        <v>220</v>
      </c>
      <c r="G2676" s="40" t="s">
        <v>11479</v>
      </c>
      <c r="H2676" s="40" t="s">
        <v>11399</v>
      </c>
    </row>
    <row r="2677">
      <c r="A2677" s="39">
        <f>IFERROR(__xludf.DUMMYFUNCTION("""COMPUTED_VALUE"""),45975.59526071759)</f>
        <v>45975.59526</v>
      </c>
      <c r="B2677" s="40" t="str">
        <f>IFERROR(__xludf.DUMMYFUNCTION("""COMPUTED_VALUE"""),"SELVINCE BAKO")</f>
        <v>SELVINCE BAKO</v>
      </c>
      <c r="C2677" s="40" t="str">
        <f>IFERROR(__xludf.DUMMYFUNCTION("""COMPUTED_VALUE"""),"Belum disetujui")</f>
        <v>Belum disetujui</v>
      </c>
      <c r="D2677" s="40"/>
      <c r="E2677" s="40" t="s">
        <v>11413</v>
      </c>
      <c r="F2677" s="40" t="s">
        <v>204</v>
      </c>
      <c r="G2677" s="40" t="s">
        <v>11414</v>
      </c>
      <c r="H2677" s="40" t="s">
        <v>11399</v>
      </c>
    </row>
    <row r="2678">
      <c r="A2678" s="39">
        <f>IFERROR(__xludf.DUMMYFUNCTION("""COMPUTED_VALUE"""),45975.621688969906)</f>
        <v>45975.62169</v>
      </c>
      <c r="B2678" s="40" t="str">
        <f>IFERROR(__xludf.DUMMYFUNCTION("""COMPUTED_VALUE"""),"PATRIANI MENGI ULY")</f>
        <v>PATRIANI MENGI ULY</v>
      </c>
      <c r="C2678" s="40" t="str">
        <f>IFERROR(__xludf.DUMMYFUNCTION("""COMPUTED_VALUE"""),"Dapat limit tapi belum diproses")</f>
        <v>Dapat limit tapi belum diproses</v>
      </c>
      <c r="D2678" s="40" t="str">
        <f>IFERROR(__xludf.DUMMYFUNCTION("""COMPUTED_VALUE"""),"Y21d series")</f>
        <v>Y21d series</v>
      </c>
      <c r="E2678" s="40" t="s">
        <v>11402</v>
      </c>
      <c r="F2678" s="40" t="s">
        <v>204</v>
      </c>
      <c r="G2678" s="40" t="s">
        <v>11403</v>
      </c>
      <c r="H2678" s="40" t="s">
        <v>11399</v>
      </c>
    </row>
    <row r="2679">
      <c r="A2679" s="39">
        <f>IFERROR(__xludf.DUMMYFUNCTION("""COMPUTED_VALUE"""),45975.6426720949)</f>
        <v>45975.64267</v>
      </c>
      <c r="B2679" s="40" t="str">
        <f>IFERROR(__xludf.DUMMYFUNCTION("""COMPUTED_VALUE"""),"MARNITHA JUWIKE TIMORATI RUNESI")</f>
        <v>MARNITHA JUWIKE TIMORATI RUNESI</v>
      </c>
      <c r="C2679" s="40" t="str">
        <f>IFERROR(__xludf.DUMMYFUNCTION("""COMPUTED_VALUE"""),"ACC")</f>
        <v>ACC</v>
      </c>
      <c r="D2679" s="40" t="str">
        <f>IFERROR(__xludf.DUMMYFUNCTION("""COMPUTED_VALUE"""),"Y400 series")</f>
        <v>Y400 series</v>
      </c>
      <c r="E2679" s="40" t="s">
        <v>11420</v>
      </c>
      <c r="F2679" s="40" t="s">
        <v>204</v>
      </c>
      <c r="G2679" s="40" t="s">
        <v>11421</v>
      </c>
      <c r="H2679" s="40" t="s">
        <v>11399</v>
      </c>
    </row>
    <row r="2680">
      <c r="A2680" s="39">
        <f>IFERROR(__xludf.DUMMYFUNCTION("""COMPUTED_VALUE"""),45975.66016572916)</f>
        <v>45975.66017</v>
      </c>
      <c r="B2680" s="40" t="str">
        <f>IFERROR(__xludf.DUMMYFUNCTION("""COMPUTED_VALUE"""),"ANDHIKA ULLY")</f>
        <v>ANDHIKA ULLY</v>
      </c>
      <c r="C2680" s="40" t="str">
        <f>IFERROR(__xludf.DUMMYFUNCTION("""COMPUTED_VALUE"""),"Belum disetujui")</f>
        <v>Belum disetujui</v>
      </c>
      <c r="D2680" s="40"/>
      <c r="E2680" s="40" t="s">
        <v>11482</v>
      </c>
      <c r="F2680" s="40" t="s">
        <v>220</v>
      </c>
      <c r="G2680" s="40" t="s">
        <v>11483</v>
      </c>
      <c r="H2680" s="40" t="s">
        <v>11399</v>
      </c>
    </row>
    <row r="2681">
      <c r="A2681" s="39">
        <f>IFERROR(__xludf.DUMMYFUNCTION("""COMPUTED_VALUE"""),45975.669784942125)</f>
        <v>45975.66978</v>
      </c>
      <c r="B2681" s="40" t="str">
        <f>IFERROR(__xludf.DUMMYFUNCTION("""COMPUTED_VALUE"""),"ANGELA BOUKA BERI")</f>
        <v>ANGELA BOUKA BERI</v>
      </c>
      <c r="C2681" s="40" t="str">
        <f>IFERROR(__xludf.DUMMYFUNCTION("""COMPUTED_VALUE"""),"Dapat limit tapi belum diproses")</f>
        <v>Dapat limit tapi belum diproses</v>
      </c>
      <c r="D2681" s="40" t="str">
        <f>IFERROR(__xludf.DUMMYFUNCTION("""COMPUTED_VALUE"""),"Y21d series")</f>
        <v>Y21d series</v>
      </c>
      <c r="E2681" s="40" t="s">
        <v>11486</v>
      </c>
      <c r="F2681" s="40" t="s">
        <v>11450</v>
      </c>
      <c r="G2681" s="40" t="s">
        <v>11487</v>
      </c>
      <c r="H2681" s="40" t="s">
        <v>11424</v>
      </c>
    </row>
    <row r="2682">
      <c r="A2682" s="39">
        <f>IFERROR(__xludf.DUMMYFUNCTION("""COMPUTED_VALUE"""),45975.68699219907)</f>
        <v>45975.68699</v>
      </c>
      <c r="B2682" s="40" t="str">
        <f>IFERROR(__xludf.DUMMYFUNCTION("""COMPUTED_VALUE"""),"ARMINDA TEKU MANEK")</f>
        <v>ARMINDA TEKU MANEK</v>
      </c>
      <c r="C2682" s="40" t="str">
        <f>IFERROR(__xludf.DUMMYFUNCTION("""COMPUTED_VALUE"""),"Belum disetujui")</f>
        <v>Belum disetujui</v>
      </c>
      <c r="D2682" s="40"/>
      <c r="E2682" s="40" t="s">
        <v>11474</v>
      </c>
      <c r="F2682" s="40" t="s">
        <v>313</v>
      </c>
      <c r="G2682" s="40" t="s">
        <v>11475</v>
      </c>
      <c r="H2682" s="40" t="s">
        <v>11424</v>
      </c>
    </row>
    <row r="2683">
      <c r="A2683" s="39">
        <f>IFERROR(__xludf.DUMMYFUNCTION("""COMPUTED_VALUE"""),45975.6884306713)</f>
        <v>45975.68843</v>
      </c>
      <c r="B2683" s="40" t="str">
        <f>IFERROR(__xludf.DUMMYFUNCTION("""COMPUTED_VALUE"""),"MARIA MELAN ANANCE BILI")</f>
        <v>MARIA MELAN ANANCE BILI</v>
      </c>
      <c r="C2683" s="40" t="str">
        <f>IFERROR(__xludf.DUMMYFUNCTION("""COMPUTED_VALUE"""),"Belum disetujui")</f>
        <v>Belum disetujui</v>
      </c>
      <c r="D2683" s="40"/>
      <c r="E2683" s="40" t="s">
        <v>11466</v>
      </c>
      <c r="F2683" s="40" t="s">
        <v>257</v>
      </c>
      <c r="G2683" s="40" t="s">
        <v>11467</v>
      </c>
      <c r="H2683" s="40" t="s">
        <v>11419</v>
      </c>
    </row>
    <row r="2684">
      <c r="A2684" s="39">
        <f>IFERROR(__xludf.DUMMYFUNCTION("""COMPUTED_VALUE"""),45975.70165502315)</f>
        <v>45975.70166</v>
      </c>
      <c r="B2684" s="40" t="str">
        <f>IFERROR(__xludf.DUMMYFUNCTION("""COMPUTED_VALUE"""),"MARNITHA JUWIKE TIMORATI RUNESI")</f>
        <v>MARNITHA JUWIKE TIMORATI RUNESI</v>
      </c>
      <c r="C2684" s="40" t="str">
        <f>IFERROR(__xludf.DUMMYFUNCTION("""COMPUTED_VALUE"""),"Belum disetujui")</f>
        <v>Belum disetujui</v>
      </c>
      <c r="D2684" s="40"/>
      <c r="E2684" s="40" t="s">
        <v>11420</v>
      </c>
      <c r="F2684" s="40" t="s">
        <v>204</v>
      </c>
      <c r="G2684" s="40" t="s">
        <v>11421</v>
      </c>
      <c r="H2684" s="40" t="s">
        <v>11399</v>
      </c>
    </row>
    <row r="2685">
      <c r="A2685" s="39">
        <f>IFERROR(__xludf.DUMMYFUNCTION("""COMPUTED_VALUE"""),45975.70597505787)</f>
        <v>45975.70598</v>
      </c>
      <c r="B2685" s="40" t="str">
        <f>IFERROR(__xludf.DUMMYFUNCTION("""COMPUTED_VALUE"""),"JULIA DESY CASANDRA DA SILVA FREITAS")</f>
        <v>JULIA DESY CASANDRA DA SILVA FREITAS</v>
      </c>
      <c r="C2685" s="40" t="str">
        <f>IFERROR(__xludf.DUMMYFUNCTION("""COMPUTED_VALUE"""),"Dapat limit tapi belum diproses")</f>
        <v>Dapat limit tapi belum diproses</v>
      </c>
      <c r="D2685" s="40" t="str">
        <f>IFERROR(__xludf.DUMMYFUNCTION("""COMPUTED_VALUE"""),"V60 series")</f>
        <v>V60 series</v>
      </c>
      <c r="E2685" s="40" t="s">
        <v>11480</v>
      </c>
      <c r="F2685" s="40" t="s">
        <v>220</v>
      </c>
      <c r="G2685" s="40" t="s">
        <v>11481</v>
      </c>
      <c r="H2685" s="40" t="s">
        <v>11399</v>
      </c>
    </row>
    <row r="2686">
      <c r="A2686" s="39">
        <f>IFERROR(__xludf.DUMMYFUNCTION("""COMPUTED_VALUE"""),45975.70764709491)</f>
        <v>45975.70765</v>
      </c>
      <c r="B2686" s="40" t="str">
        <f>IFERROR(__xludf.DUMMYFUNCTION("""COMPUTED_VALUE"""),"NOVANTRY RUTHANIA NAFFIE")</f>
        <v>NOVANTRY RUTHANIA NAFFIE</v>
      </c>
      <c r="C2686" s="40" t="str">
        <f>IFERROR(__xludf.DUMMYFUNCTION("""COMPUTED_VALUE"""),"Belum disetujui")</f>
        <v>Belum disetujui</v>
      </c>
      <c r="D2686" s="40"/>
      <c r="E2686" s="40" t="s">
        <v>11397</v>
      </c>
      <c r="F2686" s="40" t="s">
        <v>220</v>
      </c>
      <c r="G2686" s="40" t="s">
        <v>11398</v>
      </c>
      <c r="H2686" s="40" t="s">
        <v>11399</v>
      </c>
    </row>
    <row r="2687">
      <c r="A2687" s="39">
        <f>IFERROR(__xludf.DUMMYFUNCTION("""COMPUTED_VALUE"""),45975.71125490741)</f>
        <v>45975.71125</v>
      </c>
      <c r="B2687" s="40" t="str">
        <f>IFERROR(__xludf.DUMMYFUNCTION("""COMPUTED_VALUE"""),"ARMINDA TEKU MANEK")</f>
        <v>ARMINDA TEKU MANEK</v>
      </c>
      <c r="C2687" s="40" t="str">
        <f>IFERROR(__xludf.DUMMYFUNCTION("""COMPUTED_VALUE"""),"Belum disetujui")</f>
        <v>Belum disetujui</v>
      </c>
      <c r="D2687" s="40"/>
      <c r="E2687" s="40" t="s">
        <v>11474</v>
      </c>
      <c r="F2687" s="40" t="s">
        <v>313</v>
      </c>
      <c r="G2687" s="40" t="s">
        <v>11475</v>
      </c>
      <c r="H2687" s="40" t="s">
        <v>11424</v>
      </c>
    </row>
    <row r="2688">
      <c r="A2688" s="39">
        <f>IFERROR(__xludf.DUMMYFUNCTION("""COMPUTED_VALUE"""),45975.71372851852)</f>
        <v>45975.71373</v>
      </c>
      <c r="B2688" s="40" t="str">
        <f>IFERROR(__xludf.DUMMYFUNCTION("""COMPUTED_VALUE"""),"ANDHIKA ULLY")</f>
        <v>ANDHIKA ULLY</v>
      </c>
      <c r="C2688" s="40" t="str">
        <f>IFERROR(__xludf.DUMMYFUNCTION("""COMPUTED_VALUE"""),"Belum disetujui")</f>
        <v>Belum disetujui</v>
      </c>
      <c r="D2688" s="40"/>
      <c r="E2688" s="40" t="s">
        <v>11482</v>
      </c>
      <c r="F2688" s="40" t="s">
        <v>220</v>
      </c>
      <c r="G2688" s="40" t="s">
        <v>11483</v>
      </c>
      <c r="H2688" s="40" t="s">
        <v>11399</v>
      </c>
    </row>
    <row r="2689">
      <c r="A2689" s="39">
        <f>IFERROR(__xludf.DUMMYFUNCTION("""COMPUTED_VALUE"""),45975.725212604164)</f>
        <v>45975.72521</v>
      </c>
      <c r="B2689" s="40" t="str">
        <f>IFERROR(__xludf.DUMMYFUNCTION("""COMPUTED_VALUE"""),"AINI RAHMATINI NATALIA MOESTAKIM")</f>
        <v>AINI RAHMATINI NATALIA MOESTAKIM</v>
      </c>
      <c r="C2689" s="40" t="str">
        <f>IFERROR(__xludf.DUMMYFUNCTION("""COMPUTED_VALUE"""),"Belum disetujui")</f>
        <v>Belum disetujui</v>
      </c>
      <c r="D2689" s="40"/>
      <c r="E2689" s="40" t="s">
        <v>11409</v>
      </c>
      <c r="F2689" s="40" t="s">
        <v>204</v>
      </c>
      <c r="G2689" s="40" t="s">
        <v>11410</v>
      </c>
      <c r="H2689" s="40" t="s">
        <v>11399</v>
      </c>
    </row>
    <row r="2690">
      <c r="A2690" s="39">
        <f>IFERROR(__xludf.DUMMYFUNCTION("""COMPUTED_VALUE"""),45975.73199947916)</f>
        <v>45975.732</v>
      </c>
      <c r="B2690" s="40" t="str">
        <f>IFERROR(__xludf.DUMMYFUNCTION("""COMPUTED_VALUE"""),"ESTER LUDJI")</f>
        <v>ESTER LUDJI</v>
      </c>
      <c r="C2690" s="40" t="str">
        <f>IFERROR(__xludf.DUMMYFUNCTION("""COMPUTED_VALUE"""),"Belum disetujui")</f>
        <v>Belum disetujui</v>
      </c>
      <c r="D2690" s="40"/>
      <c r="E2690" s="40" t="s">
        <v>11441</v>
      </c>
      <c r="F2690" s="40" t="s">
        <v>205</v>
      </c>
      <c r="G2690" s="40" t="s">
        <v>11442</v>
      </c>
      <c r="H2690" s="40" t="s">
        <v>11419</v>
      </c>
    </row>
    <row r="2691">
      <c r="A2691" s="39">
        <f>IFERROR(__xludf.DUMMYFUNCTION("""COMPUTED_VALUE"""),45975.734322592594)</f>
        <v>45975.73432</v>
      </c>
      <c r="B2691" s="40" t="str">
        <f>IFERROR(__xludf.DUMMYFUNCTION("""COMPUTED_VALUE"""),"YOHANIS TIPNONI")</f>
        <v>YOHANIS TIPNONI</v>
      </c>
      <c r="C2691" s="40" t="str">
        <f>IFERROR(__xludf.DUMMYFUNCTION("""COMPUTED_VALUE"""),"ACC")</f>
        <v>ACC</v>
      </c>
      <c r="D2691" s="40" t="str">
        <f>IFERROR(__xludf.DUMMYFUNCTION("""COMPUTED_VALUE"""),"Y21d series")</f>
        <v>Y21d series</v>
      </c>
      <c r="E2691" s="40" t="s">
        <v>11405</v>
      </c>
      <c r="F2691" s="40" t="s">
        <v>220</v>
      </c>
      <c r="G2691" s="40" t="s">
        <v>11406</v>
      </c>
      <c r="H2691" s="40" t="s">
        <v>11399</v>
      </c>
    </row>
    <row r="2692">
      <c r="A2692" s="39">
        <f>IFERROR(__xludf.DUMMYFUNCTION("""COMPUTED_VALUE"""),45975.73467084491)</f>
        <v>45975.73467</v>
      </c>
      <c r="B2692" s="40" t="str">
        <f>IFERROR(__xludf.DUMMYFUNCTION("""COMPUTED_VALUE"""),"ANITA ANA AMAH")</f>
        <v>ANITA ANA AMAH</v>
      </c>
      <c r="C2692" s="40" t="str">
        <f>IFERROR(__xludf.DUMMYFUNCTION("""COMPUTED_VALUE"""),"ACC")</f>
        <v>ACC</v>
      </c>
      <c r="D2692" s="40" t="str">
        <f>IFERROR(__xludf.DUMMYFUNCTION("""COMPUTED_VALUE"""),"Y400 series")</f>
        <v>Y400 series</v>
      </c>
      <c r="E2692" s="40" t="s">
        <v>11425</v>
      </c>
      <c r="F2692" s="40" t="s">
        <v>205</v>
      </c>
      <c r="G2692" s="40" t="s">
        <v>11426</v>
      </c>
      <c r="H2692" s="40" t="s">
        <v>11419</v>
      </c>
    </row>
    <row r="2693">
      <c r="A2693" s="39">
        <f>IFERROR(__xludf.DUMMYFUNCTION("""COMPUTED_VALUE"""),45975.75750226852)</f>
        <v>45975.7575</v>
      </c>
      <c r="B2693" s="40" t="str">
        <f>IFERROR(__xludf.DUMMYFUNCTION("""COMPUTED_VALUE"""),"CHOIRUNISA ILHAM")</f>
        <v>CHOIRUNISA ILHAM</v>
      </c>
      <c r="C2693" s="40" t="str">
        <f>IFERROR(__xludf.DUMMYFUNCTION("""COMPUTED_VALUE"""),"Belum disetujui")</f>
        <v>Belum disetujui</v>
      </c>
      <c r="D2693" s="40"/>
      <c r="E2693" s="40" t="s">
        <v>11404</v>
      </c>
      <c r="F2693" s="40" t="s">
        <v>11404</v>
      </c>
      <c r="G2693" s="40" t="s">
        <v>11404</v>
      </c>
      <c r="H2693" s="40" t="s">
        <v>11404</v>
      </c>
    </row>
    <row r="2694">
      <c r="A2694" s="39">
        <f>IFERROR(__xludf.DUMMYFUNCTION("""COMPUTED_VALUE"""),45975.76786771991)</f>
        <v>45975.76787</v>
      </c>
      <c r="B2694" s="40" t="str">
        <f>IFERROR(__xludf.DUMMYFUNCTION("""COMPUTED_VALUE"""),"ANNA RAHMATIA JUFRI")</f>
        <v>ANNA RAHMATIA JUFRI</v>
      </c>
      <c r="C2694" s="40" t="str">
        <f>IFERROR(__xludf.DUMMYFUNCTION("""COMPUTED_VALUE"""),"Dapat limit tapi belum diproses")</f>
        <v>Dapat limit tapi belum diproses</v>
      </c>
      <c r="D2694" s="40" t="str">
        <f>IFERROR(__xludf.DUMMYFUNCTION("""COMPUTED_VALUE"""),"Y400 series")</f>
        <v>Y400 series</v>
      </c>
      <c r="E2694" s="40" t="s">
        <v>11484</v>
      </c>
      <c r="F2694" s="40" t="s">
        <v>11450</v>
      </c>
      <c r="G2694" s="40" t="s">
        <v>11485</v>
      </c>
      <c r="H2694" s="40" t="s">
        <v>11424</v>
      </c>
    </row>
    <row r="2695">
      <c r="A2695" s="39">
        <f>IFERROR(__xludf.DUMMYFUNCTION("""COMPUTED_VALUE"""),45975.78283214121)</f>
        <v>45975.78283</v>
      </c>
      <c r="B2695" s="40" t="str">
        <f>IFERROR(__xludf.DUMMYFUNCTION("""COMPUTED_VALUE"""),"YOVANDA KATRINA NAE")</f>
        <v>YOVANDA KATRINA NAE</v>
      </c>
      <c r="C2695" s="40" t="str">
        <f>IFERROR(__xludf.DUMMYFUNCTION("""COMPUTED_VALUE"""),"Belum disetujui")</f>
        <v>Belum disetujui</v>
      </c>
      <c r="D2695" s="40"/>
      <c r="E2695" s="40" t="s">
        <v>11425</v>
      </c>
      <c r="F2695" s="40" t="s">
        <v>205</v>
      </c>
      <c r="G2695" s="40" t="s">
        <v>11426</v>
      </c>
      <c r="H2695" s="40" t="s">
        <v>11419</v>
      </c>
    </row>
    <row r="2696">
      <c r="A2696" s="39">
        <f>IFERROR(__xludf.DUMMYFUNCTION("""COMPUTED_VALUE"""),45975.78710688658)</f>
        <v>45975.78711</v>
      </c>
      <c r="B2696" s="40" t="str">
        <f>IFERROR(__xludf.DUMMYFUNCTION("""COMPUTED_VALUE"""),"KESIA NATALIA I. BENU")</f>
        <v>KESIA NATALIA I. BENU</v>
      </c>
      <c r="C2696" s="40" t="str">
        <f>IFERROR(__xludf.DUMMYFUNCTION("""COMPUTED_VALUE"""),"ACC")</f>
        <v>ACC</v>
      </c>
      <c r="D2696" s="40" t="str">
        <f>IFERROR(__xludf.DUMMYFUNCTION("""COMPUTED_VALUE"""),"Y21d series")</f>
        <v>Y21d series</v>
      </c>
      <c r="E2696" s="40" t="s">
        <v>11417</v>
      </c>
      <c r="F2696" s="40" t="s">
        <v>257</v>
      </c>
      <c r="G2696" s="40" t="s">
        <v>11418</v>
      </c>
      <c r="H2696" s="40" t="s">
        <v>11419</v>
      </c>
    </row>
    <row r="2697">
      <c r="A2697" s="39">
        <f>IFERROR(__xludf.DUMMYFUNCTION("""COMPUTED_VALUE"""),45975.79288113426)</f>
        <v>45975.79288</v>
      </c>
      <c r="B2697" s="40" t="str">
        <f>IFERROR(__xludf.DUMMYFUNCTION("""COMPUTED_VALUE"""),"ANITA ANA AMAH")</f>
        <v>ANITA ANA AMAH</v>
      </c>
      <c r="C2697" s="40" t="str">
        <f>IFERROR(__xludf.DUMMYFUNCTION("""COMPUTED_VALUE"""),"Belum disetujui")</f>
        <v>Belum disetujui</v>
      </c>
      <c r="D2697" s="40"/>
      <c r="E2697" s="40" t="s">
        <v>11425</v>
      </c>
      <c r="F2697" s="40" t="s">
        <v>205</v>
      </c>
      <c r="G2697" s="40" t="s">
        <v>11426</v>
      </c>
      <c r="H2697" s="40" t="s">
        <v>11419</v>
      </c>
    </row>
    <row r="2698">
      <c r="A2698" s="39">
        <f>IFERROR(__xludf.DUMMYFUNCTION("""COMPUTED_VALUE"""),45975.799896805554)</f>
        <v>45975.7999</v>
      </c>
      <c r="B2698" s="40" t="str">
        <f>IFERROR(__xludf.DUMMYFUNCTION("""COMPUTED_VALUE"""),"BERGITHA NIA OLIN")</f>
        <v>BERGITHA NIA OLIN</v>
      </c>
      <c r="C2698" s="40" t="str">
        <f>IFERROR(__xludf.DUMMYFUNCTION("""COMPUTED_VALUE"""),"Belum disetujui")</f>
        <v>Belum disetujui</v>
      </c>
      <c r="D2698" s="40"/>
      <c r="E2698" s="40" t="s">
        <v>11431</v>
      </c>
      <c r="F2698" s="40" t="s">
        <v>313</v>
      </c>
      <c r="G2698" s="40" t="s">
        <v>11432</v>
      </c>
      <c r="H2698" s="40" t="s">
        <v>11424</v>
      </c>
    </row>
    <row r="2699">
      <c r="A2699" s="39">
        <f>IFERROR(__xludf.DUMMYFUNCTION("""COMPUTED_VALUE"""),45975.80782427083)</f>
        <v>45975.80782</v>
      </c>
      <c r="B2699" s="40" t="str">
        <f>IFERROR(__xludf.DUMMYFUNCTION("""COMPUTED_VALUE"""),"BERGITHA NIA OLIN")</f>
        <v>BERGITHA NIA OLIN</v>
      </c>
      <c r="C2699" s="40" t="str">
        <f>IFERROR(__xludf.DUMMYFUNCTION("""COMPUTED_VALUE"""),"Belum disetujui")</f>
        <v>Belum disetujui</v>
      </c>
      <c r="D2699" s="40"/>
      <c r="E2699" s="40" t="s">
        <v>11431</v>
      </c>
      <c r="F2699" s="40" t="s">
        <v>313</v>
      </c>
      <c r="G2699" s="40" t="s">
        <v>11432</v>
      </c>
      <c r="H2699" s="40" t="s">
        <v>11424</v>
      </c>
    </row>
    <row r="2700">
      <c r="A2700" s="39">
        <f>IFERROR(__xludf.DUMMYFUNCTION("""COMPUTED_VALUE"""),45975.80828708334)</f>
        <v>45975.80829</v>
      </c>
      <c r="B2700" s="40" t="str">
        <f>IFERROR(__xludf.DUMMYFUNCTION("""COMPUTED_VALUE"""),"YOHANIS TIPNONI")</f>
        <v>YOHANIS TIPNONI</v>
      </c>
      <c r="C2700" s="40" t="str">
        <f>IFERROR(__xludf.DUMMYFUNCTION("""COMPUTED_VALUE"""),"ACC")</f>
        <v>ACC</v>
      </c>
      <c r="D2700" s="40" t="str">
        <f>IFERROR(__xludf.DUMMYFUNCTION("""COMPUTED_VALUE"""),"Y21d series")</f>
        <v>Y21d series</v>
      </c>
      <c r="E2700" s="40" t="s">
        <v>11405</v>
      </c>
      <c r="F2700" s="40" t="s">
        <v>220</v>
      </c>
      <c r="G2700" s="40" t="s">
        <v>11406</v>
      </c>
      <c r="H2700" s="40" t="s">
        <v>11399</v>
      </c>
    </row>
    <row r="2701">
      <c r="A2701" s="39">
        <f>IFERROR(__xludf.DUMMYFUNCTION("""COMPUTED_VALUE"""),45975.81600878472)</f>
        <v>45975.81601</v>
      </c>
      <c r="B2701" s="40" t="str">
        <f>IFERROR(__xludf.DUMMYFUNCTION("""COMPUTED_VALUE"""),"DEWI RAHMAN")</f>
        <v>DEWI RAHMAN</v>
      </c>
      <c r="C2701" s="40" t="str">
        <f>IFERROR(__xludf.DUMMYFUNCTION("""COMPUTED_VALUE"""),"Belum disetujui")</f>
        <v>Belum disetujui</v>
      </c>
      <c r="D2701" s="40"/>
      <c r="E2701" s="40" t="s">
        <v>11449</v>
      </c>
      <c r="F2701" s="40" t="s">
        <v>11450</v>
      </c>
      <c r="G2701" s="40" t="s">
        <v>11451</v>
      </c>
      <c r="H2701" s="40" t="s">
        <v>11424</v>
      </c>
    </row>
    <row r="2702">
      <c r="A2702" s="39">
        <f>IFERROR(__xludf.DUMMYFUNCTION("""COMPUTED_VALUE"""),45975.82706561343)</f>
        <v>45975.82707</v>
      </c>
      <c r="B2702" s="40" t="str">
        <f>IFERROR(__xludf.DUMMYFUNCTION("""COMPUTED_VALUE"""),"DEWI RAHMAN")</f>
        <v>DEWI RAHMAN</v>
      </c>
      <c r="C2702" s="40" t="str">
        <f>IFERROR(__xludf.DUMMYFUNCTION("""COMPUTED_VALUE"""),"Dapat limit tapi belum diproses")</f>
        <v>Dapat limit tapi belum diproses</v>
      </c>
      <c r="D2702" s="40" t="str">
        <f>IFERROR(__xludf.DUMMYFUNCTION("""COMPUTED_VALUE"""),"Y400 series")</f>
        <v>Y400 series</v>
      </c>
      <c r="E2702" s="40" t="s">
        <v>11449</v>
      </c>
      <c r="F2702" s="40" t="s">
        <v>11450</v>
      </c>
      <c r="G2702" s="40" t="s">
        <v>11451</v>
      </c>
      <c r="H2702" s="40" t="s">
        <v>11424</v>
      </c>
    </row>
    <row r="2703">
      <c r="A2703" s="39">
        <f>IFERROR(__xludf.DUMMYFUNCTION("""COMPUTED_VALUE"""),45975.833351388894)</f>
        <v>45975.83335</v>
      </c>
      <c r="B2703" s="40" t="str">
        <f>IFERROR(__xludf.DUMMYFUNCTION("""COMPUTED_VALUE"""),"MERDA PUTRI BUNGSU KENAT")</f>
        <v>MERDA PUTRI BUNGSU KENAT</v>
      </c>
      <c r="C2703" s="40" t="str">
        <f>IFERROR(__xludf.DUMMYFUNCTION("""COMPUTED_VALUE"""),"ACC")</f>
        <v>ACC</v>
      </c>
      <c r="D2703" s="40" t="str">
        <f>IFERROR(__xludf.DUMMYFUNCTION("""COMPUTED_VALUE"""),"Y21d series")</f>
        <v>Y21d series</v>
      </c>
      <c r="E2703" s="40" t="s">
        <v>11422</v>
      </c>
      <c r="F2703" s="40" t="s">
        <v>215</v>
      </c>
      <c r="G2703" s="40" t="s">
        <v>11423</v>
      </c>
      <c r="H2703" s="40" t="s">
        <v>11424</v>
      </c>
    </row>
    <row r="2704">
      <c r="A2704" s="39">
        <f>IFERROR(__xludf.DUMMYFUNCTION("""COMPUTED_VALUE"""),45975.84368853009)</f>
        <v>45975.84369</v>
      </c>
      <c r="B2704" s="40" t="str">
        <f>IFERROR(__xludf.DUMMYFUNCTION("""COMPUTED_VALUE"""),"PATRIANI MENGI ULY")</f>
        <v>PATRIANI MENGI ULY</v>
      </c>
      <c r="C2704" s="40" t="str">
        <f>IFERROR(__xludf.DUMMYFUNCTION("""COMPUTED_VALUE"""),"Dapat limit tapi belum diproses")</f>
        <v>Dapat limit tapi belum diproses</v>
      </c>
      <c r="D2704" s="40" t="str">
        <f>IFERROR(__xludf.DUMMYFUNCTION("""COMPUTED_VALUE"""),"V60 Lite series")</f>
        <v>V60 Lite series</v>
      </c>
      <c r="E2704" s="40" t="s">
        <v>11402</v>
      </c>
      <c r="F2704" s="40" t="s">
        <v>204</v>
      </c>
      <c r="G2704" s="40" t="s">
        <v>11403</v>
      </c>
      <c r="H2704" s="40" t="s">
        <v>11399</v>
      </c>
    </row>
    <row r="2705">
      <c r="A2705" s="39">
        <f>IFERROR(__xludf.DUMMYFUNCTION("""COMPUTED_VALUE"""),45975.846426041666)</f>
        <v>45975.84643</v>
      </c>
      <c r="B2705" s="40" t="str">
        <f>IFERROR(__xludf.DUMMYFUNCTION("""COMPUTED_VALUE"""),"WARDIA")</f>
        <v>WARDIA</v>
      </c>
      <c r="C2705" s="40" t="str">
        <f>IFERROR(__xludf.DUMMYFUNCTION("""COMPUTED_VALUE"""),"Belum disetujui")</f>
        <v>Belum disetujui</v>
      </c>
      <c r="D2705" s="40"/>
      <c r="E2705" s="40" t="s">
        <v>11409</v>
      </c>
      <c r="F2705" s="40" t="s">
        <v>204</v>
      </c>
      <c r="G2705" s="40" t="s">
        <v>11410</v>
      </c>
      <c r="H2705" s="40" t="s">
        <v>11399</v>
      </c>
    </row>
    <row r="2706">
      <c r="A2706" s="39">
        <f>IFERROR(__xludf.DUMMYFUNCTION("""COMPUTED_VALUE"""),45976.35757502315)</f>
        <v>45976.35758</v>
      </c>
      <c r="B2706" s="40" t="str">
        <f>IFERROR(__xludf.DUMMYFUNCTION("""COMPUTED_VALUE"""),"JULIA DESY CASANDRA DA SILVA FREITAS")</f>
        <v>JULIA DESY CASANDRA DA SILVA FREITAS</v>
      </c>
      <c r="C2706" s="40" t="str">
        <f>IFERROR(__xludf.DUMMYFUNCTION("""COMPUTED_VALUE"""),"Belum disetujui")</f>
        <v>Belum disetujui</v>
      </c>
      <c r="D2706" s="40"/>
      <c r="E2706" s="40" t="s">
        <v>11480</v>
      </c>
      <c r="F2706" s="40" t="s">
        <v>220</v>
      </c>
      <c r="G2706" s="40" t="s">
        <v>11481</v>
      </c>
      <c r="H2706" s="40" t="s">
        <v>11399</v>
      </c>
    </row>
    <row r="2707">
      <c r="A2707" s="39">
        <f>IFERROR(__xludf.DUMMYFUNCTION("""COMPUTED_VALUE"""),45976.42305755787)</f>
        <v>45976.42306</v>
      </c>
      <c r="B2707" s="40" t="str">
        <f>IFERROR(__xludf.DUMMYFUNCTION("""COMPUTED_VALUE"""),"MARIA MELAN ANANCE BILI")</f>
        <v>MARIA MELAN ANANCE BILI</v>
      </c>
      <c r="C2707" s="40" t="str">
        <f>IFERROR(__xludf.DUMMYFUNCTION("""COMPUTED_VALUE"""),"Dapat limit tapi belum diproses")</f>
        <v>Dapat limit tapi belum diproses</v>
      </c>
      <c r="D2707" s="40" t="str">
        <f>IFERROR(__xludf.DUMMYFUNCTION("""COMPUTED_VALUE"""),"Y400 series")</f>
        <v>Y400 series</v>
      </c>
      <c r="E2707" s="40" t="s">
        <v>11466</v>
      </c>
      <c r="F2707" s="40" t="s">
        <v>257</v>
      </c>
      <c r="G2707" s="40" t="s">
        <v>11467</v>
      </c>
      <c r="H2707" s="40" t="s">
        <v>11419</v>
      </c>
    </row>
    <row r="2708">
      <c r="A2708" s="39">
        <f>IFERROR(__xludf.DUMMYFUNCTION("""COMPUTED_VALUE"""),45976.42443932871)</f>
        <v>45976.42444</v>
      </c>
      <c r="B2708" s="40" t="str">
        <f>IFERROR(__xludf.DUMMYFUNCTION("""COMPUTED_VALUE"""),"ANDHIKA ULLY")</f>
        <v>ANDHIKA ULLY</v>
      </c>
      <c r="C2708" s="40" t="str">
        <f>IFERROR(__xludf.DUMMYFUNCTION("""COMPUTED_VALUE"""),"Dapat limit tapi belum diproses")</f>
        <v>Dapat limit tapi belum diproses</v>
      </c>
      <c r="D2708" s="40" t="str">
        <f>IFERROR(__xludf.DUMMYFUNCTION("""COMPUTED_VALUE"""),"Y400 series")</f>
        <v>Y400 series</v>
      </c>
      <c r="E2708" s="40" t="s">
        <v>11482</v>
      </c>
      <c r="F2708" s="40" t="s">
        <v>220</v>
      </c>
      <c r="G2708" s="40" t="s">
        <v>11483</v>
      </c>
      <c r="H2708" s="40" t="s">
        <v>11399</v>
      </c>
    </row>
    <row r="2709">
      <c r="A2709" s="39">
        <f>IFERROR(__xludf.DUMMYFUNCTION("""COMPUTED_VALUE"""),45976.44503634259)</f>
        <v>45976.44504</v>
      </c>
      <c r="B2709" s="40" t="str">
        <f>IFERROR(__xludf.DUMMYFUNCTION("""COMPUTED_VALUE"""),"PATRIANI MENGI ULY")</f>
        <v>PATRIANI MENGI ULY</v>
      </c>
      <c r="C2709" s="40" t="str">
        <f>IFERROR(__xludf.DUMMYFUNCTION("""COMPUTED_VALUE"""),"Belum disetujui")</f>
        <v>Belum disetujui</v>
      </c>
      <c r="D2709" s="40"/>
      <c r="E2709" s="40" t="s">
        <v>11402</v>
      </c>
      <c r="F2709" s="40" t="s">
        <v>204</v>
      </c>
      <c r="G2709" s="40" t="s">
        <v>11403</v>
      </c>
      <c r="H2709" s="40" t="s">
        <v>11399</v>
      </c>
    </row>
    <row r="2710">
      <c r="A2710" s="39">
        <f>IFERROR(__xludf.DUMMYFUNCTION("""COMPUTED_VALUE"""),45976.447393055554)</f>
        <v>45976.44739</v>
      </c>
      <c r="B2710" s="40" t="str">
        <f>IFERROR(__xludf.DUMMYFUNCTION("""COMPUTED_VALUE"""),"PATRIANI MENGI ULY")</f>
        <v>PATRIANI MENGI ULY</v>
      </c>
      <c r="C2710" s="40" t="str">
        <f>IFERROR(__xludf.DUMMYFUNCTION("""COMPUTED_VALUE"""),"Belum disetujui")</f>
        <v>Belum disetujui</v>
      </c>
      <c r="D2710" s="40"/>
      <c r="E2710" s="40" t="s">
        <v>11402</v>
      </c>
      <c r="F2710" s="40" t="s">
        <v>204</v>
      </c>
      <c r="G2710" s="40" t="s">
        <v>11403</v>
      </c>
      <c r="H2710" s="40" t="s">
        <v>11399</v>
      </c>
    </row>
    <row r="2711">
      <c r="A2711" s="39">
        <f>IFERROR(__xludf.DUMMYFUNCTION("""COMPUTED_VALUE"""),45976.45403069445)</f>
        <v>45976.45403</v>
      </c>
      <c r="B2711" s="40" t="str">
        <f>IFERROR(__xludf.DUMMYFUNCTION("""COMPUTED_VALUE"""),"ALDIANA WELIA PANIE")</f>
        <v>ALDIANA WELIA PANIE</v>
      </c>
      <c r="C2711" s="40" t="str">
        <f>IFERROR(__xludf.DUMMYFUNCTION("""COMPUTED_VALUE"""),"Belum disetujui")</f>
        <v>Belum disetujui</v>
      </c>
      <c r="D2711" s="40"/>
      <c r="E2711" s="40" t="s">
        <v>11422</v>
      </c>
      <c r="F2711" s="40" t="s">
        <v>215</v>
      </c>
      <c r="G2711" s="40" t="s">
        <v>11423</v>
      </c>
      <c r="H2711" s="40" t="s">
        <v>11424</v>
      </c>
    </row>
    <row r="2712">
      <c r="A2712" s="39">
        <f>IFERROR(__xludf.DUMMYFUNCTION("""COMPUTED_VALUE"""),45976.456387638886)</f>
        <v>45976.45639</v>
      </c>
      <c r="B2712" s="40" t="str">
        <f>IFERROR(__xludf.DUMMYFUNCTION("""COMPUTED_VALUE"""),"BERGITHA NIA OLIN")</f>
        <v>BERGITHA NIA OLIN</v>
      </c>
      <c r="C2712" s="40" t="str">
        <f>IFERROR(__xludf.DUMMYFUNCTION("""COMPUTED_VALUE"""),"Belum disetujui")</f>
        <v>Belum disetujui</v>
      </c>
      <c r="D2712" s="40"/>
      <c r="E2712" s="40" t="s">
        <v>11431</v>
      </c>
      <c r="F2712" s="40" t="s">
        <v>313</v>
      </c>
      <c r="G2712" s="40" t="s">
        <v>11432</v>
      </c>
      <c r="H2712" s="40" t="s">
        <v>11424</v>
      </c>
    </row>
    <row r="2713">
      <c r="A2713" s="39">
        <f>IFERROR(__xludf.DUMMYFUNCTION("""COMPUTED_VALUE"""),45976.47327714121)</f>
        <v>45976.47328</v>
      </c>
      <c r="B2713" s="40" t="str">
        <f>IFERROR(__xludf.DUMMYFUNCTION("""COMPUTED_VALUE"""),"IDMAL YUSDIRAN YUSUF")</f>
        <v>IDMAL YUSDIRAN YUSUF</v>
      </c>
      <c r="C2713" s="40" t="str">
        <f>IFERROR(__xludf.DUMMYFUNCTION("""COMPUTED_VALUE"""),"ACC")</f>
        <v>ACC</v>
      </c>
      <c r="D2713" s="40" t="str">
        <f>IFERROR(__xludf.DUMMYFUNCTION("""COMPUTED_VALUE"""),"V60 Lite series")</f>
        <v>V60 Lite series</v>
      </c>
      <c r="E2713" s="40" t="s">
        <v>11417</v>
      </c>
      <c r="F2713" s="40" t="s">
        <v>257</v>
      </c>
      <c r="G2713" s="40" t="s">
        <v>11418</v>
      </c>
      <c r="H2713" s="40" t="s">
        <v>11419</v>
      </c>
    </row>
    <row r="2714">
      <c r="A2714" s="39">
        <f>IFERROR(__xludf.DUMMYFUNCTION("""COMPUTED_VALUE"""),45976.490981296294)</f>
        <v>45976.49098</v>
      </c>
      <c r="B2714" s="40" t="str">
        <f>IFERROR(__xludf.DUMMYFUNCTION("""COMPUTED_VALUE"""),"IDMAL YUSDIRAN YUSUF")</f>
        <v>IDMAL YUSDIRAN YUSUF</v>
      </c>
      <c r="C2714" s="40" t="str">
        <f>IFERROR(__xludf.DUMMYFUNCTION("""COMPUTED_VALUE"""),"Belum disetujui")</f>
        <v>Belum disetujui</v>
      </c>
      <c r="D2714" s="40"/>
      <c r="E2714" s="40" t="s">
        <v>11417</v>
      </c>
      <c r="F2714" s="40" t="s">
        <v>257</v>
      </c>
      <c r="G2714" s="40" t="s">
        <v>11418</v>
      </c>
      <c r="H2714" s="40" t="s">
        <v>11419</v>
      </c>
    </row>
    <row r="2715">
      <c r="A2715" s="39">
        <f>IFERROR(__xludf.DUMMYFUNCTION("""COMPUTED_VALUE"""),45976.49153079861)</f>
        <v>45976.49153</v>
      </c>
      <c r="B2715" s="40" t="str">
        <f>IFERROR(__xludf.DUMMYFUNCTION("""COMPUTED_VALUE"""),"FREDERIKA ALVONSIA LENGO")</f>
        <v>FREDERIKA ALVONSIA LENGO</v>
      </c>
      <c r="C2715" s="40" t="str">
        <f>IFERROR(__xludf.DUMMYFUNCTION("""COMPUTED_VALUE"""),"Belum disetujui")</f>
        <v>Belum disetujui</v>
      </c>
      <c r="D2715" s="40"/>
      <c r="E2715" s="40" t="s">
        <v>11488</v>
      </c>
      <c r="F2715" s="40" t="s">
        <v>204</v>
      </c>
      <c r="G2715" s="40" t="s">
        <v>11489</v>
      </c>
      <c r="H2715" s="40" t="s">
        <v>11399</v>
      </c>
    </row>
    <row r="2716">
      <c r="A2716" s="39">
        <f>IFERROR(__xludf.DUMMYFUNCTION("""COMPUTED_VALUE"""),45976.49966649306)</f>
        <v>45976.49967</v>
      </c>
      <c r="B2716" s="40" t="str">
        <f>IFERROR(__xludf.DUMMYFUNCTION("""COMPUTED_VALUE"""),"PUSPA ANGGREINI")</f>
        <v>PUSPA ANGGREINI</v>
      </c>
      <c r="C2716" s="40" t="str">
        <f>IFERROR(__xludf.DUMMYFUNCTION("""COMPUTED_VALUE"""),"Belum disetujui")</f>
        <v>Belum disetujui</v>
      </c>
      <c r="D2716" s="40"/>
      <c r="E2716" s="40" t="s">
        <v>11427</v>
      </c>
      <c r="F2716" s="40" t="s">
        <v>257</v>
      </c>
      <c r="G2716" s="40" t="s">
        <v>11428</v>
      </c>
      <c r="H2716" s="40" t="s">
        <v>11419</v>
      </c>
    </row>
    <row r="2717">
      <c r="A2717" s="39">
        <f>IFERROR(__xludf.DUMMYFUNCTION("""COMPUTED_VALUE"""),45976.49998260416)</f>
        <v>45976.49998</v>
      </c>
      <c r="B2717" s="40" t="str">
        <f>IFERROR(__xludf.DUMMYFUNCTION("""COMPUTED_VALUE"""),"NOVLIANA BARBALINA MISA")</f>
        <v>NOVLIANA BARBALINA MISA</v>
      </c>
      <c r="C2717" s="40" t="str">
        <f>IFERROR(__xludf.DUMMYFUNCTION("""COMPUTED_VALUE"""),"Belum disetujui")</f>
        <v>Belum disetujui</v>
      </c>
      <c r="D2717" s="40"/>
      <c r="E2717" s="40" t="s">
        <v>11454</v>
      </c>
      <c r="F2717" s="40" t="s">
        <v>205</v>
      </c>
      <c r="G2717" s="40" t="s">
        <v>11455</v>
      </c>
      <c r="H2717" s="40" t="s">
        <v>11419</v>
      </c>
    </row>
    <row r="2718">
      <c r="A2718" s="39">
        <f>IFERROR(__xludf.DUMMYFUNCTION("""COMPUTED_VALUE"""),45976.511721504634)</f>
        <v>45976.51172</v>
      </c>
      <c r="B2718" s="40" t="str">
        <f>IFERROR(__xludf.DUMMYFUNCTION("""COMPUTED_VALUE"""),"MERDA PUTRI BUNGSU KENAT")</f>
        <v>MERDA PUTRI BUNGSU KENAT</v>
      </c>
      <c r="C2718" s="40" t="str">
        <f>IFERROR(__xludf.DUMMYFUNCTION("""COMPUTED_VALUE"""),"ACC")</f>
        <v>ACC</v>
      </c>
      <c r="D2718" s="40" t="str">
        <f>IFERROR(__xludf.DUMMYFUNCTION("""COMPUTED_VALUE"""),"Y400 series")</f>
        <v>Y400 series</v>
      </c>
      <c r="E2718" s="40" t="s">
        <v>11422</v>
      </c>
      <c r="F2718" s="40" t="s">
        <v>215</v>
      </c>
      <c r="G2718" s="40" t="s">
        <v>11423</v>
      </c>
      <c r="H2718" s="40" t="s">
        <v>11424</v>
      </c>
    </row>
    <row r="2719">
      <c r="A2719" s="39">
        <f>IFERROR(__xludf.DUMMYFUNCTION("""COMPUTED_VALUE"""),45976.52146109953)</f>
        <v>45976.52146</v>
      </c>
      <c r="B2719" s="40" t="str">
        <f>IFERROR(__xludf.DUMMYFUNCTION("""COMPUTED_VALUE"""),"FERI ELI KURNIAWAN")</f>
        <v>FERI ELI KURNIAWAN</v>
      </c>
      <c r="C2719" s="40" t="str">
        <f>IFERROR(__xludf.DUMMYFUNCTION("""COMPUTED_VALUE"""),"ACC")</f>
        <v>ACC</v>
      </c>
      <c r="D2719" s="40" t="str">
        <f>IFERROR(__xludf.DUMMYFUNCTION("""COMPUTED_VALUE"""),"Y21d series")</f>
        <v>Y21d series</v>
      </c>
      <c r="E2719" s="40" t="s">
        <v>11411</v>
      </c>
      <c r="F2719" s="40" t="s">
        <v>220</v>
      </c>
      <c r="G2719" s="40" t="s">
        <v>11412</v>
      </c>
      <c r="H2719" s="40" t="s">
        <v>11399</v>
      </c>
    </row>
    <row r="2720">
      <c r="A2720" s="39">
        <f>IFERROR(__xludf.DUMMYFUNCTION("""COMPUTED_VALUE"""),45976.521675428245)</f>
        <v>45976.52168</v>
      </c>
      <c r="B2720" s="40" t="str">
        <f>IFERROR(__xludf.DUMMYFUNCTION("""COMPUTED_VALUE"""),"ARMINDA TEKU MANEK")</f>
        <v>ARMINDA TEKU MANEK</v>
      </c>
      <c r="C2720" s="40" t="str">
        <f>IFERROR(__xludf.DUMMYFUNCTION("""COMPUTED_VALUE"""),"Belum disetujui")</f>
        <v>Belum disetujui</v>
      </c>
      <c r="D2720" s="40"/>
      <c r="E2720" s="40" t="s">
        <v>11474</v>
      </c>
      <c r="F2720" s="40" t="s">
        <v>313</v>
      </c>
      <c r="G2720" s="40" t="s">
        <v>11475</v>
      </c>
      <c r="H2720" s="40" t="s">
        <v>11424</v>
      </c>
    </row>
    <row r="2721">
      <c r="A2721" s="39">
        <f>IFERROR(__xludf.DUMMYFUNCTION("""COMPUTED_VALUE"""),45976.53220185186)</f>
        <v>45976.5322</v>
      </c>
      <c r="B2721" s="40" t="str">
        <f>IFERROR(__xludf.DUMMYFUNCTION("""COMPUTED_VALUE"""),"ANGELA BOUKA BERI")</f>
        <v>ANGELA BOUKA BERI</v>
      </c>
      <c r="C2721" s="40" t="str">
        <f>IFERROR(__xludf.DUMMYFUNCTION("""COMPUTED_VALUE"""),"Dapat limit tapi belum diproses")</f>
        <v>Dapat limit tapi belum diproses</v>
      </c>
      <c r="D2721" s="40" t="str">
        <f>IFERROR(__xludf.DUMMYFUNCTION("""COMPUTED_VALUE"""),"Y21d series")</f>
        <v>Y21d series</v>
      </c>
      <c r="E2721" s="40" t="s">
        <v>11486</v>
      </c>
      <c r="F2721" s="40" t="s">
        <v>11450</v>
      </c>
      <c r="G2721" s="40" t="s">
        <v>11487</v>
      </c>
      <c r="H2721" s="40" t="s">
        <v>11424</v>
      </c>
    </row>
    <row r="2722">
      <c r="A2722" s="39">
        <f>IFERROR(__xludf.DUMMYFUNCTION("""COMPUTED_VALUE"""),45976.544903483795)</f>
        <v>45976.5449</v>
      </c>
      <c r="B2722" s="40" t="str">
        <f>IFERROR(__xludf.DUMMYFUNCTION("""COMPUTED_VALUE"""),"LASTRIANA PALUS")</f>
        <v>LASTRIANA PALUS</v>
      </c>
      <c r="C2722" s="40" t="str">
        <f>IFERROR(__xludf.DUMMYFUNCTION("""COMPUTED_VALUE"""),"Belum disetujui")</f>
        <v>Belum disetujui</v>
      </c>
      <c r="D2722" s="40"/>
      <c r="E2722" s="40" t="s">
        <v>11468</v>
      </c>
      <c r="F2722" s="40" t="s">
        <v>257</v>
      </c>
      <c r="G2722" s="40" t="s">
        <v>11469</v>
      </c>
      <c r="H2722" s="40" t="s">
        <v>11419</v>
      </c>
    </row>
    <row r="2723">
      <c r="A2723" s="39">
        <f>IFERROR(__xludf.DUMMYFUNCTION("""COMPUTED_VALUE"""),45976.54729149306)</f>
        <v>45976.54729</v>
      </c>
      <c r="B2723" s="40" t="str">
        <f>IFERROR(__xludf.DUMMYFUNCTION("""COMPUTED_VALUE"""),"LASTRIANA PALUS")</f>
        <v>LASTRIANA PALUS</v>
      </c>
      <c r="C2723" s="40" t="str">
        <f>IFERROR(__xludf.DUMMYFUNCTION("""COMPUTED_VALUE"""),"Belum disetujui")</f>
        <v>Belum disetujui</v>
      </c>
      <c r="D2723" s="40"/>
      <c r="E2723" s="40" t="s">
        <v>11468</v>
      </c>
      <c r="F2723" s="40" t="s">
        <v>257</v>
      </c>
      <c r="G2723" s="40" t="s">
        <v>11469</v>
      </c>
      <c r="H2723" s="40" t="s">
        <v>11419</v>
      </c>
    </row>
    <row r="2724">
      <c r="A2724" s="39">
        <f>IFERROR(__xludf.DUMMYFUNCTION("""COMPUTED_VALUE"""),45976.55982958333)</f>
        <v>45976.55983</v>
      </c>
      <c r="B2724" s="40" t="str">
        <f>IFERROR(__xludf.DUMMYFUNCTION("""COMPUTED_VALUE"""),"ANNA RAHMATIA JUFRI")</f>
        <v>ANNA RAHMATIA JUFRI</v>
      </c>
      <c r="C2724" s="40" t="str">
        <f>IFERROR(__xludf.DUMMYFUNCTION("""COMPUTED_VALUE"""),"Belum disetujui")</f>
        <v>Belum disetujui</v>
      </c>
      <c r="D2724" s="40"/>
      <c r="E2724" s="40" t="s">
        <v>11484</v>
      </c>
      <c r="F2724" s="40" t="s">
        <v>11450</v>
      </c>
      <c r="G2724" s="40" t="s">
        <v>11485</v>
      </c>
      <c r="H2724" s="40" t="s">
        <v>11424</v>
      </c>
    </row>
    <row r="2725">
      <c r="A2725" s="39">
        <f>IFERROR(__xludf.DUMMYFUNCTION("""COMPUTED_VALUE"""),45976.5681552199)</f>
        <v>45976.56816</v>
      </c>
      <c r="B2725" s="40" t="str">
        <f>IFERROR(__xludf.DUMMYFUNCTION("""COMPUTED_VALUE"""),"GRACELLA SARI HIVANA MANAFE")</f>
        <v>GRACELLA SARI HIVANA MANAFE</v>
      </c>
      <c r="C2725" s="40" t="str">
        <f>IFERROR(__xludf.DUMMYFUNCTION("""COMPUTED_VALUE"""),"Belum disetujui")</f>
        <v>Belum disetujui</v>
      </c>
      <c r="D2725" s="40"/>
      <c r="E2725" s="40" t="s">
        <v>11478</v>
      </c>
      <c r="F2725" s="40" t="s">
        <v>220</v>
      </c>
      <c r="G2725" s="40" t="s">
        <v>11479</v>
      </c>
      <c r="H2725" s="40" t="s">
        <v>11399</v>
      </c>
    </row>
    <row r="2726">
      <c r="A2726" s="39">
        <f>IFERROR(__xludf.DUMMYFUNCTION("""COMPUTED_VALUE"""),45976.58597503472)</f>
        <v>45976.58598</v>
      </c>
      <c r="B2726" s="40" t="str">
        <f>IFERROR(__xludf.DUMMYFUNCTION("""COMPUTED_VALUE"""),"YOMELIANA MARIA MAGNO")</f>
        <v>YOMELIANA MARIA MAGNO</v>
      </c>
      <c r="C2726" s="40" t="str">
        <f>IFERROR(__xludf.DUMMYFUNCTION("""COMPUTED_VALUE"""),"Belum disetujui")</f>
        <v>Belum disetujui</v>
      </c>
      <c r="D2726" s="40"/>
      <c r="E2726" s="40" t="s">
        <v>11460</v>
      </c>
      <c r="F2726" s="40" t="s">
        <v>871</v>
      </c>
      <c r="G2726" s="40" t="s">
        <v>11461</v>
      </c>
      <c r="H2726" s="40" t="s">
        <v>11424</v>
      </c>
    </row>
    <row r="2727">
      <c r="A2727" s="39">
        <f>IFERROR(__xludf.DUMMYFUNCTION("""COMPUTED_VALUE"""),45976.58854461806)</f>
        <v>45976.58854</v>
      </c>
      <c r="B2727" s="40" t="str">
        <f>IFERROR(__xludf.DUMMYFUNCTION("""COMPUTED_VALUE"""),"SULIS NURAINI INSYATUN")</f>
        <v>SULIS NURAINI INSYATUN</v>
      </c>
      <c r="C2727" s="40" t="str">
        <f>IFERROR(__xludf.DUMMYFUNCTION("""COMPUTED_VALUE"""),"ACC")</f>
        <v>ACC</v>
      </c>
      <c r="D2727" s="40" t="str">
        <f>IFERROR(__xludf.DUMMYFUNCTION("""COMPUTED_VALUE"""),"Y400 series")</f>
        <v>Y400 series</v>
      </c>
      <c r="E2727" s="40" t="s">
        <v>11429</v>
      </c>
      <c r="F2727" s="40" t="s">
        <v>257</v>
      </c>
      <c r="G2727" s="40" t="s">
        <v>11430</v>
      </c>
      <c r="H2727" s="40" t="s">
        <v>11419</v>
      </c>
    </row>
    <row r="2728">
      <c r="A2728" s="39">
        <f>IFERROR(__xludf.DUMMYFUNCTION("""COMPUTED_VALUE"""),45976.59416072917)</f>
        <v>45976.59416</v>
      </c>
      <c r="B2728" s="40" t="str">
        <f>IFERROR(__xludf.DUMMYFUNCTION("""COMPUTED_VALUE"""),"ROS YANE KANA LUDJI")</f>
        <v>ROS YANE KANA LUDJI</v>
      </c>
      <c r="C2728" s="40" t="str">
        <f>IFERROR(__xludf.DUMMYFUNCTION("""COMPUTED_VALUE"""),"Belum disetujui")</f>
        <v>Belum disetujui</v>
      </c>
      <c r="D2728" s="40"/>
      <c r="E2728" s="40" t="s">
        <v>11437</v>
      </c>
      <c r="F2728" s="40" t="s">
        <v>204</v>
      </c>
      <c r="G2728" s="40" t="s">
        <v>11438</v>
      </c>
      <c r="H2728" s="40" t="s">
        <v>11399</v>
      </c>
    </row>
    <row r="2729">
      <c r="A2729" s="39">
        <f>IFERROR(__xludf.DUMMYFUNCTION("""COMPUTED_VALUE"""),45976.60848916667)</f>
        <v>45976.60849</v>
      </c>
      <c r="B2729" s="40" t="str">
        <f>IFERROR(__xludf.DUMMYFUNCTION("""COMPUTED_VALUE"""),"YASINTHA MBU")</f>
        <v>YASINTHA MBU</v>
      </c>
      <c r="C2729" s="40" t="str">
        <f>IFERROR(__xludf.DUMMYFUNCTION("""COMPUTED_VALUE"""),"Belum disetujui")</f>
        <v>Belum disetujui</v>
      </c>
      <c r="D2729" s="40"/>
      <c r="E2729" s="40" t="s">
        <v>11407</v>
      </c>
      <c r="F2729" s="40" t="s">
        <v>220</v>
      </c>
      <c r="G2729" s="40" t="s">
        <v>11408</v>
      </c>
      <c r="H2729" s="40" t="s">
        <v>11399</v>
      </c>
    </row>
    <row r="2730">
      <c r="A2730" s="39">
        <f>IFERROR(__xludf.DUMMYFUNCTION("""COMPUTED_VALUE"""),45976.64011153935)</f>
        <v>45976.64011</v>
      </c>
      <c r="B2730" s="40" t="str">
        <f>IFERROR(__xludf.DUMMYFUNCTION("""COMPUTED_VALUE"""),"NOVANTRY RUTHANIA NAFFIE")</f>
        <v>NOVANTRY RUTHANIA NAFFIE</v>
      </c>
      <c r="C2730" s="40" t="str">
        <f>IFERROR(__xludf.DUMMYFUNCTION("""COMPUTED_VALUE"""),"ACC")</f>
        <v>ACC</v>
      </c>
      <c r="D2730" s="40" t="str">
        <f>IFERROR(__xludf.DUMMYFUNCTION("""COMPUTED_VALUE"""),"Y21d series")</f>
        <v>Y21d series</v>
      </c>
      <c r="E2730" s="40" t="s">
        <v>11397</v>
      </c>
      <c r="F2730" s="40" t="s">
        <v>220</v>
      </c>
      <c r="G2730" s="40" t="s">
        <v>11398</v>
      </c>
      <c r="H2730" s="40" t="s">
        <v>11399</v>
      </c>
    </row>
    <row r="2731">
      <c r="A2731" s="39">
        <f>IFERROR(__xludf.DUMMYFUNCTION("""COMPUTED_VALUE"""),45976.66184591436)</f>
        <v>45976.66185</v>
      </c>
      <c r="B2731" s="40" t="str">
        <f>IFERROR(__xludf.DUMMYFUNCTION("""COMPUTED_VALUE"""),"DWITNEY PRETY WANGGANDIMA")</f>
        <v>DWITNEY PRETY WANGGANDIMA</v>
      </c>
      <c r="C2731" s="40" t="str">
        <f>IFERROR(__xludf.DUMMYFUNCTION("""COMPUTED_VALUE"""),"Belum disetujui")</f>
        <v>Belum disetujui</v>
      </c>
      <c r="D2731" s="40"/>
      <c r="E2731" s="40" t="s">
        <v>11443</v>
      </c>
      <c r="F2731" s="40" t="s">
        <v>220</v>
      </c>
      <c r="G2731" s="40" t="s">
        <v>11444</v>
      </c>
      <c r="H2731" s="40" t="s">
        <v>11399</v>
      </c>
    </row>
    <row r="2732">
      <c r="A2732" s="39">
        <f>IFERROR(__xludf.DUMMYFUNCTION("""COMPUTED_VALUE"""),45976.66289047454)</f>
        <v>45976.66289</v>
      </c>
      <c r="B2732" s="40" t="str">
        <f>IFERROR(__xludf.DUMMYFUNCTION("""COMPUTED_VALUE"""),"DWITNEY PRETY WANGGANDIMA")</f>
        <v>DWITNEY PRETY WANGGANDIMA</v>
      </c>
      <c r="C2732" s="40" t="str">
        <f>IFERROR(__xludf.DUMMYFUNCTION("""COMPUTED_VALUE"""),"Belum disetujui")</f>
        <v>Belum disetujui</v>
      </c>
      <c r="D2732" s="40"/>
      <c r="E2732" s="40" t="s">
        <v>11443</v>
      </c>
      <c r="F2732" s="40" t="s">
        <v>220</v>
      </c>
      <c r="G2732" s="40" t="s">
        <v>11444</v>
      </c>
      <c r="H2732" s="40" t="s">
        <v>11399</v>
      </c>
    </row>
    <row r="2733">
      <c r="A2733" s="39">
        <f>IFERROR(__xludf.DUMMYFUNCTION("""COMPUTED_VALUE"""),45976.72049165509)</f>
        <v>45976.72049</v>
      </c>
      <c r="B2733" s="40" t="str">
        <f>IFERROR(__xludf.DUMMYFUNCTION("""COMPUTED_VALUE"""),"GRACELLA SARI HIVANA MANAFE")</f>
        <v>GRACELLA SARI HIVANA MANAFE</v>
      </c>
      <c r="C2733" s="40" t="str">
        <f>IFERROR(__xludf.DUMMYFUNCTION("""COMPUTED_VALUE"""),"Dapat limit tapi belum diproses")</f>
        <v>Dapat limit tapi belum diproses</v>
      </c>
      <c r="D2733" s="40" t="str">
        <f>IFERROR(__xludf.DUMMYFUNCTION("""COMPUTED_VALUE"""),"Y21d series")</f>
        <v>Y21d series</v>
      </c>
      <c r="E2733" s="40" t="s">
        <v>11478</v>
      </c>
      <c r="F2733" s="40" t="s">
        <v>220</v>
      </c>
      <c r="G2733" s="40" t="s">
        <v>11479</v>
      </c>
      <c r="H2733" s="40" t="s">
        <v>11399</v>
      </c>
    </row>
    <row r="2734">
      <c r="A2734" s="39">
        <f>IFERROR(__xludf.DUMMYFUNCTION("""COMPUTED_VALUE"""),45976.721583171304)</f>
        <v>45976.72158</v>
      </c>
      <c r="B2734" s="40" t="str">
        <f>IFERROR(__xludf.DUMMYFUNCTION("""COMPUTED_VALUE"""),"MARNITHA JUWIKE TIMORATI RUNESI")</f>
        <v>MARNITHA JUWIKE TIMORATI RUNESI</v>
      </c>
      <c r="C2734" s="40" t="str">
        <f>IFERROR(__xludf.DUMMYFUNCTION("""COMPUTED_VALUE"""),"Belum disetujui")</f>
        <v>Belum disetujui</v>
      </c>
      <c r="D2734" s="40"/>
      <c r="E2734" s="40" t="s">
        <v>11420</v>
      </c>
      <c r="F2734" s="40" t="s">
        <v>204</v>
      </c>
      <c r="G2734" s="40" t="s">
        <v>11421</v>
      </c>
      <c r="H2734" s="40" t="s">
        <v>11399</v>
      </c>
    </row>
    <row r="2735">
      <c r="A2735" s="39">
        <f>IFERROR(__xludf.DUMMYFUNCTION("""COMPUTED_VALUE"""),45976.74384284722)</f>
        <v>45976.74384</v>
      </c>
      <c r="B2735" s="40" t="str">
        <f>IFERROR(__xludf.DUMMYFUNCTION("""COMPUTED_VALUE"""),"MERDA PUTRI BUNGSU KENAT")</f>
        <v>MERDA PUTRI BUNGSU KENAT</v>
      </c>
      <c r="C2735" s="40" t="str">
        <f>IFERROR(__xludf.DUMMYFUNCTION("""COMPUTED_VALUE"""),"Dapat limit tapi belum diproses")</f>
        <v>Dapat limit tapi belum diproses</v>
      </c>
      <c r="D2735" s="40" t="str">
        <f>IFERROR(__xludf.DUMMYFUNCTION("""COMPUTED_VALUE"""),"Y21d series")</f>
        <v>Y21d series</v>
      </c>
      <c r="E2735" s="40" t="s">
        <v>11422</v>
      </c>
      <c r="F2735" s="40" t="s">
        <v>215</v>
      </c>
      <c r="G2735" s="40" t="s">
        <v>11423</v>
      </c>
      <c r="H2735" s="40" t="s">
        <v>11424</v>
      </c>
    </row>
    <row r="2736">
      <c r="A2736" s="39">
        <f>IFERROR(__xludf.DUMMYFUNCTION("""COMPUTED_VALUE"""),45976.74995820602)</f>
        <v>45976.74996</v>
      </c>
      <c r="B2736" s="40" t="str">
        <f>IFERROR(__xludf.DUMMYFUNCTION("""COMPUTED_VALUE"""),"MARNITHA JUWIKE TIMORATI RUNESI")</f>
        <v>MARNITHA JUWIKE TIMORATI RUNESI</v>
      </c>
      <c r="C2736" s="40" t="str">
        <f>IFERROR(__xludf.DUMMYFUNCTION("""COMPUTED_VALUE"""),"ACC")</f>
        <v>ACC</v>
      </c>
      <c r="D2736" s="40" t="str">
        <f>IFERROR(__xludf.DUMMYFUNCTION("""COMPUTED_VALUE"""),"Y400 series")</f>
        <v>Y400 series</v>
      </c>
      <c r="E2736" s="40" t="s">
        <v>11420</v>
      </c>
      <c r="F2736" s="40" t="s">
        <v>204</v>
      </c>
      <c r="G2736" s="40" t="s">
        <v>11421</v>
      </c>
      <c r="H2736" s="40" t="s">
        <v>11399</v>
      </c>
    </row>
    <row r="2737">
      <c r="A2737" s="39">
        <f>IFERROR(__xludf.DUMMYFUNCTION("""COMPUTED_VALUE"""),45976.757612731475)</f>
        <v>45976.75761</v>
      </c>
      <c r="B2737" s="40" t="str">
        <f>IFERROR(__xludf.DUMMYFUNCTION("""COMPUTED_VALUE"""),"EMPI FRANGKI LIEM")</f>
        <v>EMPI FRANGKI LIEM</v>
      </c>
      <c r="C2737" s="40" t="str">
        <f>IFERROR(__xludf.DUMMYFUNCTION("""COMPUTED_VALUE"""),"Belum disetujui")</f>
        <v>Belum disetujui</v>
      </c>
      <c r="D2737" s="40"/>
      <c r="E2737" s="40" t="s">
        <v>11397</v>
      </c>
      <c r="F2737" s="40" t="s">
        <v>220</v>
      </c>
      <c r="G2737" s="40" t="s">
        <v>11398</v>
      </c>
      <c r="H2737" s="40" t="s">
        <v>11399</v>
      </c>
    </row>
    <row r="2738">
      <c r="A2738" s="39">
        <f>IFERROR(__xludf.DUMMYFUNCTION("""COMPUTED_VALUE"""),45976.76241498843)</f>
        <v>45976.76241</v>
      </c>
      <c r="B2738" s="40" t="str">
        <f>IFERROR(__xludf.DUMMYFUNCTION("""COMPUTED_VALUE"""),"BERGITHA NIA OLIN")</f>
        <v>BERGITHA NIA OLIN</v>
      </c>
      <c r="C2738" s="40" t="str">
        <f>IFERROR(__xludf.DUMMYFUNCTION("""COMPUTED_VALUE"""),"Belum disetujui")</f>
        <v>Belum disetujui</v>
      </c>
      <c r="D2738" s="40"/>
      <c r="E2738" s="40" t="s">
        <v>11431</v>
      </c>
      <c r="F2738" s="40" t="s">
        <v>313</v>
      </c>
      <c r="G2738" s="40" t="s">
        <v>11432</v>
      </c>
      <c r="H2738" s="40" t="s">
        <v>11424</v>
      </c>
    </row>
    <row r="2739">
      <c r="A2739" s="39">
        <f>IFERROR(__xludf.DUMMYFUNCTION("""COMPUTED_VALUE"""),45976.77851582176)</f>
        <v>45976.77852</v>
      </c>
      <c r="B2739" s="40" t="str">
        <f>IFERROR(__xludf.DUMMYFUNCTION("""COMPUTED_VALUE"""),"ANYARMITHA SOPHIA SUEK")</f>
        <v>ANYARMITHA SOPHIA SUEK</v>
      </c>
      <c r="C2739" s="40" t="str">
        <f>IFERROR(__xludf.DUMMYFUNCTION("""COMPUTED_VALUE"""),"Belum disetujui")</f>
        <v>Belum disetujui</v>
      </c>
      <c r="D2739" s="40"/>
      <c r="E2739" s="40" t="s">
        <v>11443</v>
      </c>
      <c r="F2739" s="40" t="s">
        <v>220</v>
      </c>
      <c r="G2739" s="40" t="s">
        <v>11444</v>
      </c>
      <c r="H2739" s="40" t="s">
        <v>11399</v>
      </c>
    </row>
    <row r="2740">
      <c r="A2740" s="39">
        <f>IFERROR(__xludf.DUMMYFUNCTION("""COMPUTED_VALUE"""),45976.78215319444)</f>
        <v>45976.78215</v>
      </c>
      <c r="B2740" s="40" t="str">
        <f>IFERROR(__xludf.DUMMYFUNCTION("""COMPUTED_VALUE"""),"WINDRI MANOE")</f>
        <v>WINDRI MANOE</v>
      </c>
      <c r="C2740" s="40" t="str">
        <f>IFERROR(__xludf.DUMMYFUNCTION("""COMPUTED_VALUE"""),"Belum disetujui")</f>
        <v>Belum disetujui</v>
      </c>
      <c r="D2740" s="40"/>
      <c r="E2740" s="40" t="s">
        <v>11443</v>
      </c>
      <c r="F2740" s="40" t="s">
        <v>220</v>
      </c>
      <c r="G2740" s="40" t="s">
        <v>11444</v>
      </c>
      <c r="H2740" s="40" t="s">
        <v>11399</v>
      </c>
    </row>
    <row r="2741">
      <c r="A2741" s="39">
        <f>IFERROR(__xludf.DUMMYFUNCTION("""COMPUTED_VALUE"""),45976.783720555555)</f>
        <v>45976.78372</v>
      </c>
      <c r="B2741" s="40" t="str">
        <f>IFERROR(__xludf.DUMMYFUNCTION("""COMPUTED_VALUE"""),"MEXY ALEXANDER HETMINA")</f>
        <v>MEXY ALEXANDER HETMINA</v>
      </c>
      <c r="C2741" s="40" t="str">
        <f>IFERROR(__xludf.DUMMYFUNCTION("""COMPUTED_VALUE"""),"Belum disetujui")</f>
        <v>Belum disetujui</v>
      </c>
      <c r="D2741" s="40"/>
      <c r="E2741" s="40" t="s">
        <v>11413</v>
      </c>
      <c r="F2741" s="40" t="s">
        <v>204</v>
      </c>
      <c r="G2741" s="40" t="s">
        <v>11414</v>
      </c>
      <c r="H2741" s="40" t="s">
        <v>11399</v>
      </c>
    </row>
    <row r="2742">
      <c r="A2742" s="39">
        <f>IFERROR(__xludf.DUMMYFUNCTION("""COMPUTED_VALUE"""),45976.80215618055)</f>
        <v>45976.80216</v>
      </c>
      <c r="B2742" s="40" t="str">
        <f>IFERROR(__xludf.DUMMYFUNCTION("""COMPUTED_VALUE"""),"PATRIANI MENGI ULY")</f>
        <v>PATRIANI MENGI ULY</v>
      </c>
      <c r="C2742" s="40" t="str">
        <f>IFERROR(__xludf.DUMMYFUNCTION("""COMPUTED_VALUE"""),"Belum disetujui")</f>
        <v>Belum disetujui</v>
      </c>
      <c r="D2742" s="40"/>
      <c r="E2742" s="40" t="s">
        <v>11402</v>
      </c>
      <c r="F2742" s="40" t="s">
        <v>204</v>
      </c>
      <c r="G2742" s="40" t="s">
        <v>11403</v>
      </c>
      <c r="H2742" s="40" t="s">
        <v>11399</v>
      </c>
    </row>
    <row r="2743">
      <c r="A2743" s="39">
        <f>IFERROR(__xludf.DUMMYFUNCTION("""COMPUTED_VALUE"""),45976.80481137731)</f>
        <v>45976.80481</v>
      </c>
      <c r="B2743" s="40" t="str">
        <f>IFERROR(__xludf.DUMMYFUNCTION("""COMPUTED_VALUE"""),"IDMAL YUSDIRAN YUSUF")</f>
        <v>IDMAL YUSDIRAN YUSUF</v>
      </c>
      <c r="C2743" s="40" t="str">
        <f>IFERROR(__xludf.DUMMYFUNCTION("""COMPUTED_VALUE"""),"Dapat limit tapi belum diproses")</f>
        <v>Dapat limit tapi belum diproses</v>
      </c>
      <c r="D2743" s="40" t="str">
        <f>IFERROR(__xludf.DUMMYFUNCTION("""COMPUTED_VALUE"""),"Y21d series")</f>
        <v>Y21d series</v>
      </c>
      <c r="E2743" s="40" t="s">
        <v>11417</v>
      </c>
      <c r="F2743" s="40" t="s">
        <v>257</v>
      </c>
      <c r="G2743" s="40" t="s">
        <v>11418</v>
      </c>
      <c r="H2743" s="40" t="s">
        <v>11419</v>
      </c>
    </row>
    <row r="2744">
      <c r="A2744" s="39">
        <f>IFERROR(__xludf.DUMMYFUNCTION("""COMPUTED_VALUE"""),45976.80570299768)</f>
        <v>45976.8057</v>
      </c>
      <c r="B2744" s="40" t="str">
        <f>IFERROR(__xludf.DUMMYFUNCTION("""COMPUTED_VALUE"""),"SKOLASTIKA B TAUNAES")</f>
        <v>SKOLASTIKA B TAUNAES</v>
      </c>
      <c r="C2744" s="40" t="str">
        <f>IFERROR(__xludf.DUMMYFUNCTION("""COMPUTED_VALUE"""),"ACC")</f>
        <v>ACC</v>
      </c>
      <c r="D2744" s="40" t="str">
        <f>IFERROR(__xludf.DUMMYFUNCTION("""COMPUTED_VALUE"""),"V60 Lite series")</f>
        <v>V60 Lite series</v>
      </c>
      <c r="E2744" s="40" t="s">
        <v>11413</v>
      </c>
      <c r="F2744" s="40" t="s">
        <v>204</v>
      </c>
      <c r="G2744" s="40" t="s">
        <v>11414</v>
      </c>
      <c r="H2744" s="40" t="s">
        <v>11399</v>
      </c>
    </row>
    <row r="2745">
      <c r="A2745" s="39">
        <f>IFERROR(__xludf.DUMMYFUNCTION("""COMPUTED_VALUE"""),45976.806110081016)</f>
        <v>45976.80611</v>
      </c>
      <c r="B2745" s="40" t="str">
        <f>IFERROR(__xludf.DUMMYFUNCTION("""COMPUTED_VALUE"""),"ANYARMITHA SOPHIA SUEK")</f>
        <v>ANYARMITHA SOPHIA SUEK</v>
      </c>
      <c r="C2745" s="40" t="str">
        <f>IFERROR(__xludf.DUMMYFUNCTION("""COMPUTED_VALUE"""),"Belum disetujui")</f>
        <v>Belum disetujui</v>
      </c>
      <c r="D2745" s="40"/>
      <c r="E2745" s="40" t="s">
        <v>11443</v>
      </c>
      <c r="F2745" s="40" t="s">
        <v>220</v>
      </c>
      <c r="G2745" s="40" t="s">
        <v>11444</v>
      </c>
      <c r="H2745" s="40" t="s">
        <v>11399</v>
      </c>
    </row>
    <row r="2746">
      <c r="A2746" s="39">
        <f>IFERROR(__xludf.DUMMYFUNCTION("""COMPUTED_VALUE"""),45976.835948831016)</f>
        <v>45976.83595</v>
      </c>
      <c r="B2746" s="40" t="str">
        <f>IFERROR(__xludf.DUMMYFUNCTION("""COMPUTED_VALUE"""),"MARATHA MARLINDA FANGGIDAE")</f>
        <v>MARATHA MARLINDA FANGGIDAE</v>
      </c>
      <c r="C2746" s="40" t="str">
        <f>IFERROR(__xludf.DUMMYFUNCTION("""COMPUTED_VALUE"""),"Belum disetujui")</f>
        <v>Belum disetujui</v>
      </c>
      <c r="D2746" s="40"/>
      <c r="E2746" s="40" t="s">
        <v>11435</v>
      </c>
      <c r="F2746" s="40" t="s">
        <v>215</v>
      </c>
      <c r="G2746" s="40" t="s">
        <v>11436</v>
      </c>
      <c r="H2746" s="40" t="s">
        <v>11424</v>
      </c>
    </row>
    <row r="2747">
      <c r="A2747" s="39">
        <f>IFERROR(__xludf.DUMMYFUNCTION("""COMPUTED_VALUE"""),45976.83803064815)</f>
        <v>45976.83803</v>
      </c>
      <c r="B2747" s="40" t="str">
        <f>IFERROR(__xludf.DUMMYFUNCTION("""COMPUTED_VALUE"""),"ASRI NINGSI RAMBU ATA ENDI")</f>
        <v>ASRI NINGSI RAMBU ATA ENDI</v>
      </c>
      <c r="C2747" s="40" t="str">
        <f>IFERROR(__xludf.DUMMYFUNCTION("""COMPUTED_VALUE"""),"Belum disetujui")</f>
        <v>Belum disetujui</v>
      </c>
      <c r="D2747" s="40"/>
      <c r="E2747" s="40" t="s">
        <v>11441</v>
      </c>
      <c r="F2747" s="40" t="s">
        <v>205</v>
      </c>
      <c r="G2747" s="40" t="s">
        <v>11442</v>
      </c>
      <c r="H2747" s="40" t="s">
        <v>11419</v>
      </c>
    </row>
    <row r="2748">
      <c r="A2748" s="39">
        <f>IFERROR(__xludf.DUMMYFUNCTION("""COMPUTED_VALUE"""),45976.862630509255)</f>
        <v>45976.86263</v>
      </c>
      <c r="B2748" s="40" t="str">
        <f>IFERROR(__xludf.DUMMYFUNCTION("""COMPUTED_VALUE"""),"ALDIANA WELIA PANIE")</f>
        <v>ALDIANA WELIA PANIE</v>
      </c>
      <c r="C2748" s="40" t="str">
        <f>IFERROR(__xludf.DUMMYFUNCTION("""COMPUTED_VALUE"""),"Belum disetujui")</f>
        <v>Belum disetujui</v>
      </c>
      <c r="D2748" s="40"/>
      <c r="E2748" s="40" t="s">
        <v>11422</v>
      </c>
      <c r="F2748" s="40" t="s">
        <v>215</v>
      </c>
      <c r="G2748" s="40" t="s">
        <v>11423</v>
      </c>
      <c r="H2748" s="40" t="s">
        <v>11424</v>
      </c>
    </row>
    <row r="2749">
      <c r="A2749" s="39">
        <f>IFERROR(__xludf.DUMMYFUNCTION("""COMPUTED_VALUE"""),45976.88389185185)</f>
        <v>45976.88389</v>
      </c>
      <c r="B2749" s="40" t="str">
        <f>IFERROR(__xludf.DUMMYFUNCTION("""COMPUTED_VALUE"""),"AZ ZAHRA SITI ZAINAB")</f>
        <v>AZ ZAHRA SITI ZAINAB</v>
      </c>
      <c r="C2749" s="40" t="str">
        <f>IFERROR(__xludf.DUMMYFUNCTION("""COMPUTED_VALUE"""),"ACC")</f>
        <v>ACC</v>
      </c>
      <c r="D2749" s="40" t="str">
        <f>IFERROR(__xludf.DUMMYFUNCTION("""COMPUTED_VALUE"""),"Y400 series")</f>
        <v>Y400 series</v>
      </c>
      <c r="E2749" s="40" t="s">
        <v>11462</v>
      </c>
      <c r="F2749" s="40" t="s">
        <v>257</v>
      </c>
      <c r="G2749" s="40" t="s">
        <v>11463</v>
      </c>
      <c r="H2749" s="40" t="s">
        <v>11419</v>
      </c>
    </row>
    <row r="2750">
      <c r="A2750" s="39">
        <f>IFERROR(__xludf.DUMMYFUNCTION("""COMPUTED_VALUE"""),45976.93034396991)</f>
        <v>45976.93034</v>
      </c>
      <c r="B2750" s="40" t="str">
        <f>IFERROR(__xludf.DUMMYFUNCTION("""COMPUTED_VALUE"""),"MERDA PUTRI BUNGSU KENAT")</f>
        <v>MERDA PUTRI BUNGSU KENAT</v>
      </c>
      <c r="C2750" s="40" t="str">
        <f>IFERROR(__xludf.DUMMYFUNCTION("""COMPUTED_VALUE"""),"Dapat limit tapi belum diproses")</f>
        <v>Dapat limit tapi belum diproses</v>
      </c>
      <c r="D2750" s="40" t="str">
        <f>IFERROR(__xludf.DUMMYFUNCTION("""COMPUTED_VALUE"""),"Y21d series")</f>
        <v>Y21d series</v>
      </c>
      <c r="E2750" s="40" t="s">
        <v>11422</v>
      </c>
      <c r="F2750" s="40" t="s">
        <v>215</v>
      </c>
      <c r="G2750" s="40" t="s">
        <v>11423</v>
      </c>
      <c r="H2750" s="40" t="s">
        <v>11424</v>
      </c>
    </row>
    <row r="2751">
      <c r="A2751" s="39">
        <f>IFERROR(__xludf.DUMMYFUNCTION("""COMPUTED_VALUE"""),45976.931798067126)</f>
        <v>45976.9318</v>
      </c>
      <c r="B2751" s="40" t="str">
        <f>IFERROR(__xludf.DUMMYFUNCTION("""COMPUTED_VALUE"""),"MERDA PUTRI BUNGSU KENAT")</f>
        <v>MERDA PUTRI BUNGSU KENAT</v>
      </c>
      <c r="C2751" s="40" t="str">
        <f>IFERROR(__xludf.DUMMYFUNCTION("""COMPUTED_VALUE"""),"Belum disetujui")</f>
        <v>Belum disetujui</v>
      </c>
      <c r="D2751" s="40"/>
      <c r="E2751" s="40" t="s">
        <v>11422</v>
      </c>
      <c r="F2751" s="40" t="s">
        <v>215</v>
      </c>
      <c r="G2751" s="40" t="s">
        <v>11423</v>
      </c>
      <c r="H2751" s="40" t="s">
        <v>11424</v>
      </c>
    </row>
    <row r="2752">
      <c r="A2752" s="39">
        <f>IFERROR(__xludf.DUMMYFUNCTION("""COMPUTED_VALUE"""),45976.94595472222)</f>
        <v>45976.94595</v>
      </c>
      <c r="B2752" s="40" t="str">
        <f>IFERROR(__xludf.DUMMYFUNCTION("""COMPUTED_VALUE"""),"MERDA PUTRI BUNGSU KENAT")</f>
        <v>MERDA PUTRI BUNGSU KENAT</v>
      </c>
      <c r="C2752" s="40" t="str">
        <f>IFERROR(__xludf.DUMMYFUNCTION("""COMPUTED_VALUE"""),"Dapat limit tapi belum diproses")</f>
        <v>Dapat limit tapi belum diproses</v>
      </c>
      <c r="D2752" s="40" t="str">
        <f>IFERROR(__xludf.DUMMYFUNCTION("""COMPUTED_VALUE"""),"V60 Lite series")</f>
        <v>V60 Lite series</v>
      </c>
      <c r="E2752" s="40" t="s">
        <v>11422</v>
      </c>
      <c r="F2752" s="40" t="s">
        <v>215</v>
      </c>
      <c r="G2752" s="40" t="s">
        <v>11423</v>
      </c>
      <c r="H2752" s="40" t="s">
        <v>11424</v>
      </c>
    </row>
    <row r="2753">
      <c r="A2753" s="39">
        <f>IFERROR(__xludf.DUMMYFUNCTION("""COMPUTED_VALUE"""),45977.490315717594)</f>
        <v>45977.49032</v>
      </c>
      <c r="B2753" s="40" t="str">
        <f>IFERROR(__xludf.DUMMYFUNCTION("""COMPUTED_VALUE"""),"AZ ZAHRA SITI ZAINAB")</f>
        <v>AZ ZAHRA SITI ZAINAB</v>
      </c>
      <c r="C2753" s="40" t="str">
        <f>IFERROR(__xludf.DUMMYFUNCTION("""COMPUTED_VALUE"""),"Belum disetujui")</f>
        <v>Belum disetujui</v>
      </c>
      <c r="D2753" s="40"/>
      <c r="E2753" s="40" t="s">
        <v>11462</v>
      </c>
      <c r="F2753" s="40" t="s">
        <v>257</v>
      </c>
      <c r="G2753" s="40" t="s">
        <v>11463</v>
      </c>
      <c r="H2753" s="40" t="s">
        <v>11419</v>
      </c>
    </row>
    <row r="2754">
      <c r="A2754" s="39">
        <f>IFERROR(__xludf.DUMMYFUNCTION("""COMPUTED_VALUE"""),45977.49569864583)</f>
        <v>45977.4957</v>
      </c>
      <c r="B2754" s="40" t="str">
        <f>IFERROR(__xludf.DUMMYFUNCTION("""COMPUTED_VALUE"""),"DEWI RAHMAN")</f>
        <v>DEWI RAHMAN</v>
      </c>
      <c r="C2754" s="40" t="str">
        <f>IFERROR(__xludf.DUMMYFUNCTION("""COMPUTED_VALUE"""),"Dapat limit tapi belum diproses")</f>
        <v>Dapat limit tapi belum diproses</v>
      </c>
      <c r="D2754" s="40" t="str">
        <f>IFERROR(__xludf.DUMMYFUNCTION("""COMPUTED_VALUE"""),"Y21d series")</f>
        <v>Y21d series</v>
      </c>
      <c r="E2754" s="40" t="s">
        <v>11449</v>
      </c>
      <c r="F2754" s="40" t="s">
        <v>11450</v>
      </c>
      <c r="G2754" s="40" t="s">
        <v>11451</v>
      </c>
      <c r="H2754" s="40" t="s">
        <v>11424</v>
      </c>
    </row>
    <row r="2755">
      <c r="A2755" s="39">
        <f>IFERROR(__xludf.DUMMYFUNCTION("""COMPUTED_VALUE"""),45977.50558622686)</f>
        <v>45977.50559</v>
      </c>
      <c r="B2755" s="40" t="str">
        <f>IFERROR(__xludf.DUMMYFUNCTION("""COMPUTED_VALUE"""),"NABILA RAHMAWATI")</f>
        <v>NABILA RAHMAWATI</v>
      </c>
      <c r="C2755" s="40" t="str">
        <f>IFERROR(__xludf.DUMMYFUNCTION("""COMPUTED_VALUE"""),"Belum disetujui")</f>
        <v>Belum disetujui</v>
      </c>
      <c r="D2755" s="40"/>
      <c r="E2755" s="40" t="s">
        <v>11464</v>
      </c>
      <c r="F2755" s="40" t="s">
        <v>257</v>
      </c>
      <c r="G2755" s="40" t="s">
        <v>11465</v>
      </c>
      <c r="H2755" s="40" t="s">
        <v>11419</v>
      </c>
    </row>
    <row r="2756">
      <c r="A2756" s="39">
        <f>IFERROR(__xludf.DUMMYFUNCTION("""COMPUTED_VALUE"""),45977.508872199076)</f>
        <v>45977.50887</v>
      </c>
      <c r="B2756" s="40" t="str">
        <f>IFERROR(__xludf.DUMMYFUNCTION("""COMPUTED_VALUE"""),"SULIS NURAINI INSYATUN")</f>
        <v>SULIS NURAINI INSYATUN</v>
      </c>
      <c r="C2756" s="40" t="str">
        <f>IFERROR(__xludf.DUMMYFUNCTION("""COMPUTED_VALUE"""),"Belum disetujui")</f>
        <v>Belum disetujui</v>
      </c>
      <c r="D2756" s="40"/>
      <c r="E2756" s="40" t="s">
        <v>11429</v>
      </c>
      <c r="F2756" s="40" t="s">
        <v>257</v>
      </c>
      <c r="G2756" s="40" t="s">
        <v>11430</v>
      </c>
      <c r="H2756" s="40" t="s">
        <v>11419</v>
      </c>
    </row>
    <row r="2757">
      <c r="A2757" s="39">
        <f>IFERROR(__xludf.DUMMYFUNCTION("""COMPUTED_VALUE"""),45977.5227452662)</f>
        <v>45977.52275</v>
      </c>
      <c r="B2757" s="40" t="str">
        <f>IFERROR(__xludf.DUMMYFUNCTION("""COMPUTED_VALUE"""),"NABILA RAHMAWATI")</f>
        <v>NABILA RAHMAWATI</v>
      </c>
      <c r="C2757" s="40" t="str">
        <f>IFERROR(__xludf.DUMMYFUNCTION("""COMPUTED_VALUE"""),"Belum disetujui")</f>
        <v>Belum disetujui</v>
      </c>
      <c r="D2757" s="40"/>
      <c r="E2757" s="40" t="s">
        <v>11464</v>
      </c>
      <c r="F2757" s="40" t="s">
        <v>257</v>
      </c>
      <c r="G2757" s="40" t="s">
        <v>11465</v>
      </c>
      <c r="H2757" s="40" t="s">
        <v>11419</v>
      </c>
    </row>
    <row r="2758">
      <c r="A2758" s="39">
        <f>IFERROR(__xludf.DUMMYFUNCTION("""COMPUTED_VALUE"""),45977.524119710644)</f>
        <v>45977.52412</v>
      </c>
      <c r="B2758" s="40" t="str">
        <f>IFERROR(__xludf.DUMMYFUNCTION("""COMPUTED_VALUE"""),"NABILA RAHMAWATI")</f>
        <v>NABILA RAHMAWATI</v>
      </c>
      <c r="C2758" s="40" t="str">
        <f>IFERROR(__xludf.DUMMYFUNCTION("""COMPUTED_VALUE"""),"Belum disetujui")</f>
        <v>Belum disetujui</v>
      </c>
      <c r="D2758" s="40"/>
      <c r="E2758" s="40" t="s">
        <v>11464</v>
      </c>
      <c r="F2758" s="40" t="s">
        <v>257</v>
      </c>
      <c r="G2758" s="40" t="s">
        <v>11465</v>
      </c>
      <c r="H2758" s="40" t="s">
        <v>11419</v>
      </c>
    </row>
    <row r="2759">
      <c r="A2759" s="39">
        <f>IFERROR(__xludf.DUMMYFUNCTION("""COMPUTED_VALUE"""),45977.52639412037)</f>
        <v>45977.52639</v>
      </c>
      <c r="B2759" s="40" t="str">
        <f>IFERROR(__xludf.DUMMYFUNCTION("""COMPUTED_VALUE"""),"WARDIA")</f>
        <v>WARDIA</v>
      </c>
      <c r="C2759" s="40" t="str">
        <f>IFERROR(__xludf.DUMMYFUNCTION("""COMPUTED_VALUE"""),"Belum disetujui")</f>
        <v>Belum disetujui</v>
      </c>
      <c r="D2759" s="40"/>
      <c r="E2759" s="40" t="s">
        <v>11409</v>
      </c>
      <c r="F2759" s="40" t="s">
        <v>204</v>
      </c>
      <c r="G2759" s="40" t="s">
        <v>11410</v>
      </c>
      <c r="H2759" s="40" t="s">
        <v>11399</v>
      </c>
    </row>
    <row r="2760">
      <c r="A2760" s="39">
        <f>IFERROR(__xludf.DUMMYFUNCTION("""COMPUTED_VALUE"""),45977.57354833334)</f>
        <v>45977.57355</v>
      </c>
      <c r="B2760" s="40" t="str">
        <f>IFERROR(__xludf.DUMMYFUNCTION("""COMPUTED_VALUE"""),"NABILA RAHMAWATI")</f>
        <v>NABILA RAHMAWATI</v>
      </c>
      <c r="C2760" s="40" t="str">
        <f>IFERROR(__xludf.DUMMYFUNCTION("""COMPUTED_VALUE"""),"ACC")</f>
        <v>ACC</v>
      </c>
      <c r="D2760" s="40" t="str">
        <f>IFERROR(__xludf.DUMMYFUNCTION("""COMPUTED_VALUE"""),"Y21d series")</f>
        <v>Y21d series</v>
      </c>
      <c r="E2760" s="40" t="s">
        <v>11464</v>
      </c>
      <c r="F2760" s="40" t="s">
        <v>257</v>
      </c>
      <c r="G2760" s="40" t="s">
        <v>11465</v>
      </c>
      <c r="H2760" s="40" t="s">
        <v>11419</v>
      </c>
    </row>
    <row r="2761">
      <c r="A2761" s="39">
        <f>IFERROR(__xludf.DUMMYFUNCTION("""COMPUTED_VALUE"""),45977.60027859954)</f>
        <v>45977.60028</v>
      </c>
      <c r="B2761" s="40" t="str">
        <f>IFERROR(__xludf.DUMMYFUNCTION("""COMPUTED_VALUE"""),"NABILA RAHMAWATI")</f>
        <v>NABILA RAHMAWATI</v>
      </c>
      <c r="C2761" s="40" t="str">
        <f>IFERROR(__xludf.DUMMYFUNCTION("""COMPUTED_VALUE"""),"ACC")</f>
        <v>ACC</v>
      </c>
      <c r="D2761" s="40" t="str">
        <f>IFERROR(__xludf.DUMMYFUNCTION("""COMPUTED_VALUE"""),"Y400 series")</f>
        <v>Y400 series</v>
      </c>
      <c r="E2761" s="40" t="s">
        <v>11464</v>
      </c>
      <c r="F2761" s="40" t="s">
        <v>257</v>
      </c>
      <c r="G2761" s="40" t="s">
        <v>11465</v>
      </c>
      <c r="H2761" s="40" t="s">
        <v>11419</v>
      </c>
    </row>
    <row r="2762">
      <c r="A2762" s="39">
        <f>IFERROR(__xludf.DUMMYFUNCTION("""COMPUTED_VALUE"""),45977.64574084491)</f>
        <v>45977.64574</v>
      </c>
      <c r="B2762" s="40" t="str">
        <f>IFERROR(__xludf.DUMMYFUNCTION("""COMPUTED_VALUE"""),"WARDIA")</f>
        <v>WARDIA</v>
      </c>
      <c r="C2762" s="40" t="str">
        <f>IFERROR(__xludf.DUMMYFUNCTION("""COMPUTED_VALUE"""),"Dapat limit tapi belum diproses")</f>
        <v>Dapat limit tapi belum diproses</v>
      </c>
      <c r="D2762" s="40" t="str">
        <f>IFERROR(__xludf.DUMMYFUNCTION("""COMPUTED_VALUE"""),"Y21d series")</f>
        <v>Y21d series</v>
      </c>
      <c r="E2762" s="40" t="s">
        <v>11409</v>
      </c>
      <c r="F2762" s="40" t="s">
        <v>204</v>
      </c>
      <c r="G2762" s="40" t="s">
        <v>11410</v>
      </c>
      <c r="H2762" s="40" t="s">
        <v>11399</v>
      </c>
    </row>
    <row r="2763">
      <c r="A2763" s="39">
        <f>IFERROR(__xludf.DUMMYFUNCTION("""COMPUTED_VALUE"""),45977.66090717592)</f>
        <v>45977.66091</v>
      </c>
      <c r="B2763" s="40" t="str">
        <f>IFERROR(__xludf.DUMMYFUNCTION("""COMPUTED_VALUE"""),"SANDRA LAU")</f>
        <v>SANDRA LAU</v>
      </c>
      <c r="C2763" s="40" t="str">
        <f>IFERROR(__xludf.DUMMYFUNCTION("""COMPUTED_VALUE"""),"Belum disetujui")</f>
        <v>Belum disetujui</v>
      </c>
      <c r="D2763" s="40"/>
      <c r="E2763" s="40" t="s">
        <v>11460</v>
      </c>
      <c r="F2763" s="40" t="s">
        <v>871</v>
      </c>
      <c r="G2763" s="40" t="s">
        <v>11461</v>
      </c>
      <c r="H2763" s="40" t="s">
        <v>11424</v>
      </c>
    </row>
    <row r="2764">
      <c r="A2764" s="39">
        <f>IFERROR(__xludf.DUMMYFUNCTION("""COMPUTED_VALUE"""),45977.691176493056)</f>
        <v>45977.69118</v>
      </c>
      <c r="B2764" s="40" t="str">
        <f>IFERROR(__xludf.DUMMYFUNCTION("""COMPUTED_VALUE"""),"ASRI NINGSI RAMBU ATA ENDI")</f>
        <v>ASRI NINGSI RAMBU ATA ENDI</v>
      </c>
      <c r="C2764" s="40" t="str">
        <f>IFERROR(__xludf.DUMMYFUNCTION("""COMPUTED_VALUE"""),"Belum disetujui")</f>
        <v>Belum disetujui</v>
      </c>
      <c r="D2764" s="40"/>
      <c r="E2764" s="40" t="s">
        <v>11441</v>
      </c>
      <c r="F2764" s="40" t="s">
        <v>205</v>
      </c>
      <c r="G2764" s="40" t="s">
        <v>11442</v>
      </c>
      <c r="H2764" s="40" t="s">
        <v>11419</v>
      </c>
    </row>
    <row r="2765">
      <c r="A2765" s="39">
        <f>IFERROR(__xludf.DUMMYFUNCTION("""COMPUTED_VALUE"""),45977.72519435186)</f>
        <v>45977.72519</v>
      </c>
      <c r="B2765" s="40" t="str">
        <f>IFERROR(__xludf.DUMMYFUNCTION("""COMPUTED_VALUE"""),"ALITA D PAU")</f>
        <v>ALITA D PAU</v>
      </c>
      <c r="C2765" s="40" t="str">
        <f>IFERROR(__xludf.DUMMYFUNCTION("""COMPUTED_VALUE"""),"ACC")</f>
        <v>ACC</v>
      </c>
      <c r="D2765" s="40" t="str">
        <f>IFERROR(__xludf.DUMMYFUNCTION("""COMPUTED_VALUE"""),"Y400 series")</f>
        <v>Y400 series</v>
      </c>
      <c r="E2765" s="40" t="s">
        <v>11447</v>
      </c>
      <c r="F2765" s="40" t="s">
        <v>205</v>
      </c>
      <c r="G2765" s="40" t="s">
        <v>11448</v>
      </c>
      <c r="H2765" s="40" t="s">
        <v>11419</v>
      </c>
    </row>
    <row r="2766">
      <c r="A2766" s="39">
        <f>IFERROR(__xludf.DUMMYFUNCTION("""COMPUTED_VALUE"""),45977.75421125)</f>
        <v>45977.75421</v>
      </c>
      <c r="B2766" s="40" t="str">
        <f>IFERROR(__xludf.DUMMYFUNCTION("""COMPUTED_VALUE"""),"ANITA ANA AMAH")</f>
        <v>ANITA ANA AMAH</v>
      </c>
      <c r="C2766" s="40" t="str">
        <f>IFERROR(__xludf.DUMMYFUNCTION("""COMPUTED_VALUE"""),"Belum disetujui")</f>
        <v>Belum disetujui</v>
      </c>
      <c r="D2766" s="40"/>
      <c r="E2766" s="40" t="s">
        <v>11425</v>
      </c>
      <c r="F2766" s="40" t="s">
        <v>205</v>
      </c>
      <c r="G2766" s="40" t="s">
        <v>11426</v>
      </c>
      <c r="H2766" s="40" t="s">
        <v>11419</v>
      </c>
    </row>
    <row r="2767">
      <c r="A2767" s="39">
        <f>IFERROR(__xludf.DUMMYFUNCTION("""COMPUTED_VALUE"""),45977.756226516205)</f>
        <v>45977.75623</v>
      </c>
      <c r="B2767" s="40" t="str">
        <f>IFERROR(__xludf.DUMMYFUNCTION("""COMPUTED_VALUE"""),"ANITA ANA AMAH")</f>
        <v>ANITA ANA AMAH</v>
      </c>
      <c r="C2767" s="40" t="str">
        <f>IFERROR(__xludf.DUMMYFUNCTION("""COMPUTED_VALUE"""),"Belum disetujui")</f>
        <v>Belum disetujui</v>
      </c>
      <c r="D2767" s="40"/>
      <c r="E2767" s="40" t="s">
        <v>11425</v>
      </c>
      <c r="F2767" s="40" t="s">
        <v>205</v>
      </c>
      <c r="G2767" s="40" t="s">
        <v>11426</v>
      </c>
      <c r="H2767" s="40" t="s">
        <v>11419</v>
      </c>
    </row>
    <row r="2768">
      <c r="A2768" s="39">
        <f>IFERROR(__xludf.DUMMYFUNCTION("""COMPUTED_VALUE"""),45977.77558193287)</f>
        <v>45977.77558</v>
      </c>
      <c r="B2768" s="40" t="str">
        <f>IFERROR(__xludf.DUMMYFUNCTION("""COMPUTED_VALUE"""),"SELVINCE BAKO")</f>
        <v>SELVINCE BAKO</v>
      </c>
      <c r="C2768" s="40" t="str">
        <f>IFERROR(__xludf.DUMMYFUNCTION("""COMPUTED_VALUE"""),"Belum disetujui")</f>
        <v>Belum disetujui</v>
      </c>
      <c r="D2768" s="40"/>
      <c r="E2768" s="40" t="s">
        <v>11413</v>
      </c>
      <c r="F2768" s="40" t="s">
        <v>204</v>
      </c>
      <c r="G2768" s="40" t="s">
        <v>11414</v>
      </c>
      <c r="H2768" s="40" t="s">
        <v>11399</v>
      </c>
    </row>
    <row r="2769">
      <c r="A2769" s="39">
        <f>IFERROR(__xludf.DUMMYFUNCTION("""COMPUTED_VALUE"""),45977.777718888894)</f>
        <v>45977.77772</v>
      </c>
      <c r="B2769" s="40" t="str">
        <f>IFERROR(__xludf.DUMMYFUNCTION("""COMPUTED_VALUE"""),"SELVINCE BAKO")</f>
        <v>SELVINCE BAKO</v>
      </c>
      <c r="C2769" s="40" t="str">
        <f>IFERROR(__xludf.DUMMYFUNCTION("""COMPUTED_VALUE"""),"Belum disetujui")</f>
        <v>Belum disetujui</v>
      </c>
      <c r="D2769" s="40"/>
      <c r="E2769" s="40" t="s">
        <v>11413</v>
      </c>
      <c r="F2769" s="40" t="s">
        <v>204</v>
      </c>
      <c r="G2769" s="40" t="s">
        <v>11414</v>
      </c>
      <c r="H2769" s="40" t="s">
        <v>11399</v>
      </c>
    </row>
    <row r="2770">
      <c r="A2770" s="39">
        <f>IFERROR(__xludf.DUMMYFUNCTION("""COMPUTED_VALUE"""),45977.80207243055)</f>
        <v>45977.80207</v>
      </c>
      <c r="B2770" s="40" t="str">
        <f>IFERROR(__xludf.DUMMYFUNCTION("""COMPUTED_VALUE"""),"FREDERIKA ALVONSIA LENGO")</f>
        <v>FREDERIKA ALVONSIA LENGO</v>
      </c>
      <c r="C2770" s="40" t="str">
        <f>IFERROR(__xludf.DUMMYFUNCTION("""COMPUTED_VALUE"""),"Belum disetujui")</f>
        <v>Belum disetujui</v>
      </c>
      <c r="D2770" s="40"/>
      <c r="E2770" s="40" t="s">
        <v>11488</v>
      </c>
      <c r="F2770" s="40" t="s">
        <v>204</v>
      </c>
      <c r="G2770" s="40" t="s">
        <v>11489</v>
      </c>
      <c r="H2770" s="40" t="s">
        <v>11399</v>
      </c>
    </row>
    <row r="2771">
      <c r="A2771" s="39">
        <f>IFERROR(__xludf.DUMMYFUNCTION("""COMPUTED_VALUE"""),45977.961920092595)</f>
        <v>45977.96192</v>
      </c>
      <c r="B2771" s="40" t="str">
        <f>IFERROR(__xludf.DUMMYFUNCTION("""COMPUTED_VALUE"""),"AMBU BAIQ JUMENAH")</f>
        <v>AMBU BAIQ JUMENAH</v>
      </c>
      <c r="C2771" s="40" t="str">
        <f>IFERROR(__xludf.DUMMYFUNCTION("""COMPUTED_VALUE"""),"Dapat limit tapi belum diproses")</f>
        <v>Dapat limit tapi belum diproses</v>
      </c>
      <c r="D2771" s="40" t="str">
        <f>IFERROR(__xludf.DUMMYFUNCTION("""COMPUTED_VALUE"""),"Y400 series")</f>
        <v>Y400 series</v>
      </c>
      <c r="E2771" s="40" t="s">
        <v>11458</v>
      </c>
      <c r="F2771" s="40" t="s">
        <v>205</v>
      </c>
      <c r="G2771" s="40" t="s">
        <v>11459</v>
      </c>
      <c r="H2771" s="40" t="s">
        <v>11419</v>
      </c>
    </row>
    <row r="2772">
      <c r="A2772" s="39">
        <f>IFERROR(__xludf.DUMMYFUNCTION("""COMPUTED_VALUE"""),45977.962134606474)</f>
        <v>45977.96213</v>
      </c>
      <c r="B2772" s="40" t="str">
        <f>IFERROR(__xludf.DUMMYFUNCTION("""COMPUTED_VALUE"""),"ANGELA BOUKA BERI")</f>
        <v>ANGELA BOUKA BERI</v>
      </c>
      <c r="C2772" s="40" t="str">
        <f>IFERROR(__xludf.DUMMYFUNCTION("""COMPUTED_VALUE"""),"Belum disetujui")</f>
        <v>Belum disetujui</v>
      </c>
      <c r="D2772" s="40"/>
      <c r="E2772" s="40" t="s">
        <v>11486</v>
      </c>
      <c r="F2772" s="40" t="s">
        <v>11450</v>
      </c>
      <c r="G2772" s="40" t="s">
        <v>11487</v>
      </c>
      <c r="H2772" s="40" t="s">
        <v>11424</v>
      </c>
    </row>
    <row r="2773">
      <c r="A2773" s="39">
        <f>IFERROR(__xludf.DUMMYFUNCTION("""COMPUTED_VALUE"""),45977.96590836806)</f>
        <v>45977.96591</v>
      </c>
      <c r="B2773" s="40" t="str">
        <f>IFERROR(__xludf.DUMMYFUNCTION("""COMPUTED_VALUE"""),"ANGELA BOUKA BERI")</f>
        <v>ANGELA BOUKA BERI</v>
      </c>
      <c r="C2773" s="40" t="str">
        <f>IFERROR(__xludf.DUMMYFUNCTION("""COMPUTED_VALUE"""),"ACC")</f>
        <v>ACC</v>
      </c>
      <c r="D2773" s="40" t="str">
        <f>IFERROR(__xludf.DUMMYFUNCTION("""COMPUTED_VALUE"""),"Y21d series")</f>
        <v>Y21d series</v>
      </c>
      <c r="E2773" s="40" t="s">
        <v>11486</v>
      </c>
      <c r="F2773" s="40" t="s">
        <v>11450</v>
      </c>
      <c r="G2773" s="40" t="s">
        <v>11487</v>
      </c>
      <c r="H2773" s="40" t="s">
        <v>11424</v>
      </c>
    </row>
    <row r="2774">
      <c r="A2774" s="39">
        <f>IFERROR(__xludf.DUMMYFUNCTION("""COMPUTED_VALUE"""),45978.183605451384)</f>
        <v>45978.18361</v>
      </c>
      <c r="B2774" s="40" t="str">
        <f>IFERROR(__xludf.DUMMYFUNCTION("""COMPUTED_VALUE"""),"ANGELA BOUKA BERI")</f>
        <v>ANGELA BOUKA BERI</v>
      </c>
      <c r="C2774" s="40" t="str">
        <f>IFERROR(__xludf.DUMMYFUNCTION("""COMPUTED_VALUE"""),"Belum disetujui")</f>
        <v>Belum disetujui</v>
      </c>
      <c r="D2774" s="40"/>
      <c r="E2774" s="40" t="s">
        <v>11486</v>
      </c>
      <c r="F2774" s="40" t="s">
        <v>11450</v>
      </c>
      <c r="G2774" s="40" t="s">
        <v>11487</v>
      </c>
      <c r="H2774" s="40" t="s">
        <v>11424</v>
      </c>
    </row>
    <row r="2775">
      <c r="A2775" s="39">
        <f>IFERROR(__xludf.DUMMYFUNCTION("""COMPUTED_VALUE"""),45978.40021600694)</f>
        <v>45978.40022</v>
      </c>
      <c r="B2775" s="40" t="str">
        <f>IFERROR(__xludf.DUMMYFUNCTION("""COMPUTED_VALUE"""),"DEWI RAHMAN")</f>
        <v>DEWI RAHMAN</v>
      </c>
      <c r="C2775" s="40" t="str">
        <f>IFERROR(__xludf.DUMMYFUNCTION("""COMPUTED_VALUE"""),"Belum disetujui")</f>
        <v>Belum disetujui</v>
      </c>
      <c r="D2775" s="40"/>
      <c r="E2775" s="40" t="s">
        <v>11449</v>
      </c>
      <c r="F2775" s="40" t="s">
        <v>11450</v>
      </c>
      <c r="G2775" s="40" t="s">
        <v>11451</v>
      </c>
      <c r="H2775" s="40" t="s">
        <v>11424</v>
      </c>
    </row>
    <row r="2776">
      <c r="A2776" s="39">
        <f>IFERROR(__xludf.DUMMYFUNCTION("""COMPUTED_VALUE"""),45978.44242494213)</f>
        <v>45978.44242</v>
      </c>
      <c r="B2776" s="40" t="str">
        <f>IFERROR(__xludf.DUMMYFUNCTION("""COMPUTED_VALUE"""),"ARMINDA TEKU MANEK")</f>
        <v>ARMINDA TEKU MANEK</v>
      </c>
      <c r="C2776" s="40" t="str">
        <f>IFERROR(__xludf.DUMMYFUNCTION("""COMPUTED_VALUE"""),"Dapat limit tapi belum diproses")</f>
        <v>Dapat limit tapi belum diproses</v>
      </c>
      <c r="D2776" s="40" t="str">
        <f>IFERROR(__xludf.DUMMYFUNCTION("""COMPUTED_VALUE"""),"V60 series")</f>
        <v>V60 series</v>
      </c>
      <c r="E2776" s="40" t="s">
        <v>11474</v>
      </c>
      <c r="F2776" s="40" t="s">
        <v>313</v>
      </c>
      <c r="G2776" s="40" t="s">
        <v>11475</v>
      </c>
      <c r="H2776" s="40" t="s">
        <v>11424</v>
      </c>
    </row>
    <row r="2777">
      <c r="A2777" s="39">
        <f>IFERROR(__xludf.DUMMYFUNCTION("""COMPUTED_VALUE"""),45978.4438428125)</f>
        <v>45978.44384</v>
      </c>
      <c r="B2777" s="40" t="str">
        <f>IFERROR(__xludf.DUMMYFUNCTION("""COMPUTED_VALUE"""),"TERSIANA KADJA PAU")</f>
        <v>TERSIANA KADJA PAU</v>
      </c>
      <c r="C2777" s="40" t="str">
        <f>IFERROR(__xludf.DUMMYFUNCTION("""COMPUTED_VALUE"""),"Belum disetujui")</f>
        <v>Belum disetujui</v>
      </c>
      <c r="D2777" s="40"/>
      <c r="E2777" s="40" t="s">
        <v>11411</v>
      </c>
      <c r="F2777" s="40" t="s">
        <v>220</v>
      </c>
      <c r="G2777" s="40" t="s">
        <v>11412</v>
      </c>
      <c r="H2777" s="40" t="s">
        <v>11399</v>
      </c>
    </row>
    <row r="2778">
      <c r="A2778" s="39">
        <f>IFERROR(__xludf.DUMMYFUNCTION("""COMPUTED_VALUE"""),45978.44810524306)</f>
        <v>45978.44811</v>
      </c>
      <c r="B2778" s="40" t="str">
        <f>IFERROR(__xludf.DUMMYFUNCTION("""COMPUTED_VALUE"""),"YOVANDA KATRINA NAE")</f>
        <v>YOVANDA KATRINA NAE</v>
      </c>
      <c r="C2778" s="40" t="str">
        <f>IFERROR(__xludf.DUMMYFUNCTION("""COMPUTED_VALUE"""),"Belum disetujui")</f>
        <v>Belum disetujui</v>
      </c>
      <c r="D2778" s="40"/>
      <c r="E2778" s="40" t="s">
        <v>11425</v>
      </c>
      <c r="F2778" s="40" t="s">
        <v>205</v>
      </c>
      <c r="G2778" s="40" t="s">
        <v>11426</v>
      </c>
      <c r="H2778" s="40" t="s">
        <v>11419</v>
      </c>
    </row>
    <row r="2779">
      <c r="A2779" s="39">
        <f>IFERROR(__xludf.DUMMYFUNCTION("""COMPUTED_VALUE"""),45978.456369328705)</f>
        <v>45978.45637</v>
      </c>
      <c r="B2779" s="40" t="str">
        <f>IFERROR(__xludf.DUMMYFUNCTION("""COMPUTED_VALUE"""),"DEWI RAHMAN")</f>
        <v>DEWI RAHMAN</v>
      </c>
      <c r="C2779" s="40" t="str">
        <f>IFERROR(__xludf.DUMMYFUNCTION("""COMPUTED_VALUE"""),"Dapat limit tapi belum diproses")</f>
        <v>Dapat limit tapi belum diproses</v>
      </c>
      <c r="D2779" s="40" t="str">
        <f>IFERROR(__xludf.DUMMYFUNCTION("""COMPUTED_VALUE"""),"Y400 series")</f>
        <v>Y400 series</v>
      </c>
      <c r="E2779" s="40" t="s">
        <v>11449</v>
      </c>
      <c r="F2779" s="40" t="s">
        <v>11450</v>
      </c>
      <c r="G2779" s="40" t="s">
        <v>11451</v>
      </c>
      <c r="H2779" s="40" t="s">
        <v>11424</v>
      </c>
    </row>
    <row r="2780">
      <c r="A2780" s="39">
        <f>IFERROR(__xludf.DUMMYFUNCTION("""COMPUTED_VALUE"""),45978.461894803244)</f>
        <v>45978.46189</v>
      </c>
      <c r="B2780" s="40" t="str">
        <f>IFERROR(__xludf.DUMMYFUNCTION("""COMPUTED_VALUE"""),"YASINTHA MBU")</f>
        <v>YASINTHA MBU</v>
      </c>
      <c r="C2780" s="40" t="str">
        <f>IFERROR(__xludf.DUMMYFUNCTION("""COMPUTED_VALUE"""),"Dapat limit tapi belum diproses")</f>
        <v>Dapat limit tapi belum diproses</v>
      </c>
      <c r="D2780" s="40" t="str">
        <f>IFERROR(__xludf.DUMMYFUNCTION("""COMPUTED_VALUE"""),"Y400 series")</f>
        <v>Y400 series</v>
      </c>
      <c r="E2780" s="40" t="s">
        <v>11407</v>
      </c>
      <c r="F2780" s="40" t="s">
        <v>220</v>
      </c>
      <c r="G2780" s="40" t="s">
        <v>11408</v>
      </c>
      <c r="H2780" s="40" t="s">
        <v>11399</v>
      </c>
    </row>
    <row r="2781">
      <c r="A2781" s="39">
        <f>IFERROR(__xludf.DUMMYFUNCTION("""COMPUTED_VALUE"""),45978.478480428246)</f>
        <v>45978.47848</v>
      </c>
      <c r="B2781" s="40" t="str">
        <f>IFERROR(__xludf.DUMMYFUNCTION("""COMPUTED_VALUE"""),"ASTUTI BELA WAWO")</f>
        <v>ASTUTI BELA WAWO</v>
      </c>
      <c r="C2781" s="40" t="str">
        <f>IFERROR(__xludf.DUMMYFUNCTION("""COMPUTED_VALUE"""),"ACC")</f>
        <v>ACC</v>
      </c>
      <c r="D2781" s="40" t="str">
        <f>IFERROR(__xludf.DUMMYFUNCTION("""COMPUTED_VALUE"""),"Y21d series")</f>
        <v>Y21d series</v>
      </c>
      <c r="E2781" s="40" t="s">
        <v>11427</v>
      </c>
      <c r="F2781" s="40" t="s">
        <v>257</v>
      </c>
      <c r="G2781" s="40" t="s">
        <v>11428</v>
      </c>
      <c r="H2781" s="40" t="s">
        <v>11419</v>
      </c>
    </row>
    <row r="2782">
      <c r="A2782" s="39">
        <f>IFERROR(__xludf.DUMMYFUNCTION("""COMPUTED_VALUE"""),45978.4817762037)</f>
        <v>45978.48178</v>
      </c>
      <c r="B2782" s="40" t="str">
        <f>IFERROR(__xludf.DUMMYFUNCTION("""COMPUTED_VALUE"""),"YASINTHA MBU")</f>
        <v>YASINTHA MBU</v>
      </c>
      <c r="C2782" s="40" t="str">
        <f>IFERROR(__xludf.DUMMYFUNCTION("""COMPUTED_VALUE"""),"ACC")</f>
        <v>ACC</v>
      </c>
      <c r="D2782" s="40" t="str">
        <f>IFERROR(__xludf.DUMMYFUNCTION("""COMPUTED_VALUE"""),"Y21d series")</f>
        <v>Y21d series</v>
      </c>
      <c r="E2782" s="40" t="s">
        <v>11407</v>
      </c>
      <c r="F2782" s="40" t="s">
        <v>220</v>
      </c>
      <c r="G2782" s="40" t="s">
        <v>11408</v>
      </c>
      <c r="H2782" s="40" t="s">
        <v>11399</v>
      </c>
    </row>
    <row r="2783">
      <c r="A2783" s="39">
        <f>IFERROR(__xludf.DUMMYFUNCTION("""COMPUTED_VALUE"""),45978.49543163194)</f>
        <v>45978.49543</v>
      </c>
      <c r="B2783" s="40" t="str">
        <f>IFERROR(__xludf.DUMMYFUNCTION("""COMPUTED_VALUE"""),"JULIA DESY CASANDRA DA SILVA FREITAS")</f>
        <v>JULIA DESY CASANDRA DA SILVA FREITAS</v>
      </c>
      <c r="C2783" s="40" t="str">
        <f>IFERROR(__xludf.DUMMYFUNCTION("""COMPUTED_VALUE"""),"Dapat limit tapi belum diproses")</f>
        <v>Dapat limit tapi belum diproses</v>
      </c>
      <c r="D2783" s="40" t="str">
        <f>IFERROR(__xludf.DUMMYFUNCTION("""COMPUTED_VALUE"""),"V60 series")</f>
        <v>V60 series</v>
      </c>
      <c r="E2783" s="40" t="s">
        <v>11480</v>
      </c>
      <c r="F2783" s="40" t="s">
        <v>220</v>
      </c>
      <c r="G2783" s="40" t="s">
        <v>11481</v>
      </c>
      <c r="H2783" s="40" t="s">
        <v>11399</v>
      </c>
    </row>
    <row r="2784">
      <c r="A2784" s="39">
        <f>IFERROR(__xludf.DUMMYFUNCTION("""COMPUTED_VALUE"""),45978.50559105325)</f>
        <v>45978.50559</v>
      </c>
      <c r="B2784" s="40" t="str">
        <f>IFERROR(__xludf.DUMMYFUNCTION("""COMPUTED_VALUE"""),"YENDRI ELISHABET BERELOE")</f>
        <v>YENDRI ELISHABET BERELOE</v>
      </c>
      <c r="C2784" s="40" t="str">
        <f>IFERROR(__xludf.DUMMYFUNCTION("""COMPUTED_VALUE"""),"Belum disetujui")</f>
        <v>Belum disetujui</v>
      </c>
      <c r="D2784" s="40"/>
      <c r="E2784" s="40" t="s">
        <v>11490</v>
      </c>
      <c r="F2784" s="40" t="s">
        <v>220</v>
      </c>
      <c r="G2784" s="40" t="s">
        <v>11491</v>
      </c>
      <c r="H2784" s="40" t="s">
        <v>11399</v>
      </c>
    </row>
    <row r="2785">
      <c r="A2785" s="39">
        <f>IFERROR(__xludf.DUMMYFUNCTION("""COMPUTED_VALUE"""),45978.5230890162)</f>
        <v>45978.52309</v>
      </c>
      <c r="B2785" s="40" t="str">
        <f>IFERROR(__xludf.DUMMYFUNCTION("""COMPUTED_VALUE"""),"AZ ZAHRA SITI ZAINAB")</f>
        <v>AZ ZAHRA SITI ZAINAB</v>
      </c>
      <c r="C2785" s="40" t="str">
        <f>IFERROR(__xludf.DUMMYFUNCTION("""COMPUTED_VALUE"""),"Belum disetujui")</f>
        <v>Belum disetujui</v>
      </c>
      <c r="D2785" s="40"/>
      <c r="E2785" s="40" t="s">
        <v>11462</v>
      </c>
      <c r="F2785" s="40" t="s">
        <v>257</v>
      </c>
      <c r="G2785" s="40" t="s">
        <v>11463</v>
      </c>
      <c r="H2785" s="40" t="s">
        <v>11419</v>
      </c>
    </row>
    <row r="2786">
      <c r="A2786" s="39">
        <f>IFERROR(__xludf.DUMMYFUNCTION("""COMPUTED_VALUE"""),45978.52603848379)</f>
        <v>45978.52604</v>
      </c>
      <c r="B2786" s="40" t="str">
        <f>IFERROR(__xludf.DUMMYFUNCTION("""COMPUTED_VALUE"""),"ROS YANE KANA LUDJI")</f>
        <v>ROS YANE KANA LUDJI</v>
      </c>
      <c r="C2786" s="40" t="str">
        <f>IFERROR(__xludf.DUMMYFUNCTION("""COMPUTED_VALUE"""),"ACC")</f>
        <v>ACC</v>
      </c>
      <c r="D2786" s="40" t="str">
        <f>IFERROR(__xludf.DUMMYFUNCTION("""COMPUTED_VALUE"""),"Y21d series")</f>
        <v>Y21d series</v>
      </c>
      <c r="E2786" s="40" t="s">
        <v>11437</v>
      </c>
      <c r="F2786" s="40" t="s">
        <v>204</v>
      </c>
      <c r="G2786" s="40" t="s">
        <v>11438</v>
      </c>
      <c r="H2786" s="40" t="s">
        <v>11399</v>
      </c>
    </row>
    <row r="2787">
      <c r="A2787" s="39">
        <f>IFERROR(__xludf.DUMMYFUNCTION("""COMPUTED_VALUE"""),45978.534275844904)</f>
        <v>45978.53428</v>
      </c>
      <c r="B2787" s="40" t="str">
        <f>IFERROR(__xludf.DUMMYFUNCTION("""COMPUTED_VALUE"""),"EMPI FRANGKI LIEM")</f>
        <v>EMPI FRANGKI LIEM</v>
      </c>
      <c r="C2787" s="40" t="str">
        <f>IFERROR(__xludf.DUMMYFUNCTION("""COMPUTED_VALUE"""),"Belum disetujui")</f>
        <v>Belum disetujui</v>
      </c>
      <c r="D2787" s="40"/>
      <c r="E2787" s="40" t="s">
        <v>11397</v>
      </c>
      <c r="F2787" s="40" t="s">
        <v>220</v>
      </c>
      <c r="G2787" s="40" t="s">
        <v>11398</v>
      </c>
      <c r="H2787" s="40" t="s">
        <v>11399</v>
      </c>
    </row>
    <row r="2788">
      <c r="A2788" s="39">
        <f>IFERROR(__xludf.DUMMYFUNCTION("""COMPUTED_VALUE"""),45978.536674537034)</f>
        <v>45978.53667</v>
      </c>
      <c r="B2788" s="40" t="str">
        <f>IFERROR(__xludf.DUMMYFUNCTION("""COMPUTED_VALUE"""),"ESTER LUDJI")</f>
        <v>ESTER LUDJI</v>
      </c>
      <c r="C2788" s="40" t="str">
        <f>IFERROR(__xludf.DUMMYFUNCTION("""COMPUTED_VALUE"""),"Belum disetujui")</f>
        <v>Belum disetujui</v>
      </c>
      <c r="D2788" s="40"/>
      <c r="E2788" s="40" t="s">
        <v>11441</v>
      </c>
      <c r="F2788" s="40" t="s">
        <v>205</v>
      </c>
      <c r="G2788" s="40" t="s">
        <v>11442</v>
      </c>
      <c r="H2788" s="40" t="s">
        <v>11419</v>
      </c>
    </row>
    <row r="2789">
      <c r="A2789" s="39">
        <f>IFERROR(__xludf.DUMMYFUNCTION("""COMPUTED_VALUE"""),45978.539467037044)</f>
        <v>45978.53947</v>
      </c>
      <c r="B2789" s="40" t="str">
        <f>IFERROR(__xludf.DUMMYFUNCTION("""COMPUTED_VALUE"""),"KESIA NATALIA I. BENU")</f>
        <v>KESIA NATALIA I. BENU</v>
      </c>
      <c r="C2789" s="40" t="str">
        <f>IFERROR(__xludf.DUMMYFUNCTION("""COMPUTED_VALUE"""),"Belum disetujui")</f>
        <v>Belum disetujui</v>
      </c>
      <c r="D2789" s="40"/>
      <c r="E2789" s="40" t="s">
        <v>11417</v>
      </c>
      <c r="F2789" s="40" t="s">
        <v>257</v>
      </c>
      <c r="G2789" s="40" t="s">
        <v>11418</v>
      </c>
      <c r="H2789" s="40" t="s">
        <v>11419</v>
      </c>
    </row>
    <row r="2790">
      <c r="A2790" s="39">
        <f>IFERROR(__xludf.DUMMYFUNCTION("""COMPUTED_VALUE"""),45978.544779814816)</f>
        <v>45978.54478</v>
      </c>
      <c r="B2790" s="40" t="str">
        <f>IFERROR(__xludf.DUMMYFUNCTION("""COMPUTED_VALUE"""),"ANNA RAHMATIA JUFRI")</f>
        <v>ANNA RAHMATIA JUFRI</v>
      </c>
      <c r="C2790" s="40" t="str">
        <f>IFERROR(__xludf.DUMMYFUNCTION("""COMPUTED_VALUE"""),"Dapat limit tapi belum diproses")</f>
        <v>Dapat limit tapi belum diproses</v>
      </c>
      <c r="D2790" s="40" t="str">
        <f>IFERROR(__xludf.DUMMYFUNCTION("""COMPUTED_VALUE"""),"Y21d series")</f>
        <v>Y21d series</v>
      </c>
      <c r="E2790" s="40" t="s">
        <v>11484</v>
      </c>
      <c r="F2790" s="40" t="s">
        <v>11450</v>
      </c>
      <c r="G2790" s="40" t="s">
        <v>11485</v>
      </c>
      <c r="H2790" s="40" t="s">
        <v>11424</v>
      </c>
    </row>
    <row r="2791">
      <c r="A2791" s="39">
        <f>IFERROR(__xludf.DUMMYFUNCTION("""COMPUTED_VALUE"""),45978.55487113426)</f>
        <v>45978.55487</v>
      </c>
      <c r="B2791" s="40" t="str">
        <f>IFERROR(__xludf.DUMMYFUNCTION("""COMPUTED_VALUE"""),"MARNITHA JUWIKE TIMORATI RUNESI")</f>
        <v>MARNITHA JUWIKE TIMORATI RUNESI</v>
      </c>
      <c r="C2791" s="40" t="str">
        <f>IFERROR(__xludf.DUMMYFUNCTION("""COMPUTED_VALUE"""),"Belum disetujui")</f>
        <v>Belum disetujui</v>
      </c>
      <c r="D2791" s="40"/>
      <c r="E2791" s="40" t="s">
        <v>11420</v>
      </c>
      <c r="F2791" s="40" t="s">
        <v>204</v>
      </c>
      <c r="G2791" s="40" t="s">
        <v>11421</v>
      </c>
      <c r="H2791" s="40" t="s">
        <v>11399</v>
      </c>
    </row>
    <row r="2792">
      <c r="A2792" s="39">
        <f>IFERROR(__xludf.DUMMYFUNCTION("""COMPUTED_VALUE"""),45978.5554972338)</f>
        <v>45978.5555</v>
      </c>
      <c r="B2792" s="40" t="str">
        <f>IFERROR(__xludf.DUMMYFUNCTION("""COMPUTED_VALUE"""),"DWITNEY PRETY WANGGANDIMA")</f>
        <v>DWITNEY PRETY WANGGANDIMA</v>
      </c>
      <c r="C2792" s="40" t="str">
        <f>IFERROR(__xludf.DUMMYFUNCTION("""COMPUTED_VALUE"""),"Belum disetujui")</f>
        <v>Belum disetujui</v>
      </c>
      <c r="D2792" s="40"/>
      <c r="E2792" s="40" t="s">
        <v>11443</v>
      </c>
      <c r="F2792" s="40" t="s">
        <v>220</v>
      </c>
      <c r="G2792" s="40" t="s">
        <v>11444</v>
      </c>
      <c r="H2792" s="40" t="s">
        <v>11399</v>
      </c>
    </row>
    <row r="2793">
      <c r="A2793" s="39">
        <f>IFERROR(__xludf.DUMMYFUNCTION("""COMPUTED_VALUE"""),45978.55673921296)</f>
        <v>45978.55674</v>
      </c>
      <c r="B2793" s="40" t="str">
        <f>IFERROR(__xludf.DUMMYFUNCTION("""COMPUTED_VALUE"""),"MARNITHA JUWIKE TIMORATI RUNESI")</f>
        <v>MARNITHA JUWIKE TIMORATI RUNESI</v>
      </c>
      <c r="C2793" s="40" t="str">
        <f>IFERROR(__xludf.DUMMYFUNCTION("""COMPUTED_VALUE"""),"Belum disetujui")</f>
        <v>Belum disetujui</v>
      </c>
      <c r="D2793" s="40"/>
      <c r="E2793" s="40" t="s">
        <v>11420</v>
      </c>
      <c r="F2793" s="40" t="s">
        <v>204</v>
      </c>
      <c r="G2793" s="40" t="s">
        <v>11421</v>
      </c>
      <c r="H2793" s="40" t="s">
        <v>11399</v>
      </c>
    </row>
    <row r="2794">
      <c r="A2794" s="39">
        <f>IFERROR(__xludf.DUMMYFUNCTION("""COMPUTED_VALUE"""),45978.5580221875)</f>
        <v>45978.55802</v>
      </c>
      <c r="B2794" s="40" t="str">
        <f>IFERROR(__xludf.DUMMYFUNCTION("""COMPUTED_VALUE"""),"PRETI SISILIA SILA")</f>
        <v>PRETI SISILIA SILA</v>
      </c>
      <c r="C2794" s="40" t="str">
        <f>IFERROR(__xludf.DUMMYFUNCTION("""COMPUTED_VALUE"""),"Belum disetujui")</f>
        <v>Belum disetujui</v>
      </c>
      <c r="D2794" s="40"/>
      <c r="E2794" s="40" t="s">
        <v>11456</v>
      </c>
      <c r="F2794" s="40" t="s">
        <v>667</v>
      </c>
      <c r="G2794" s="40" t="s">
        <v>11457</v>
      </c>
      <c r="H2794" s="40" t="s">
        <v>11424</v>
      </c>
    </row>
    <row r="2795">
      <c r="A2795" s="39">
        <f>IFERROR(__xludf.DUMMYFUNCTION("""COMPUTED_VALUE"""),45978.56145886575)</f>
        <v>45978.56146</v>
      </c>
      <c r="B2795" s="40" t="str">
        <f>IFERROR(__xludf.DUMMYFUNCTION("""COMPUTED_VALUE"""),"HERONIMUS NAMU WALI")</f>
        <v>HERONIMUS NAMU WALI</v>
      </c>
      <c r="C2795" s="40" t="str">
        <f>IFERROR(__xludf.DUMMYFUNCTION("""COMPUTED_VALUE"""),"ACC")</f>
        <v>ACC</v>
      </c>
      <c r="D2795" s="40" t="str">
        <f>IFERROR(__xludf.DUMMYFUNCTION("""COMPUTED_VALUE"""),"V50 Lite series")</f>
        <v>V50 Lite series</v>
      </c>
      <c r="E2795" s="40" t="s">
        <v>11452</v>
      </c>
      <c r="F2795" s="40" t="s">
        <v>205</v>
      </c>
      <c r="G2795" s="40" t="s">
        <v>11453</v>
      </c>
      <c r="H2795" s="40" t="s">
        <v>11419</v>
      </c>
    </row>
    <row r="2796">
      <c r="A2796" s="39">
        <f>IFERROR(__xludf.DUMMYFUNCTION("""COMPUTED_VALUE"""),45978.586959583336)</f>
        <v>45978.58696</v>
      </c>
      <c r="B2796" s="40" t="str">
        <f>IFERROR(__xludf.DUMMYFUNCTION("""COMPUTED_VALUE"""),"DEWI RAHMAN")</f>
        <v>DEWI RAHMAN</v>
      </c>
      <c r="C2796" s="40" t="str">
        <f>IFERROR(__xludf.DUMMYFUNCTION("""COMPUTED_VALUE"""),"ACC")</f>
        <v>ACC</v>
      </c>
      <c r="D2796" s="40" t="str">
        <f>IFERROR(__xludf.DUMMYFUNCTION("""COMPUTED_VALUE"""),"Y21d series")</f>
        <v>Y21d series</v>
      </c>
      <c r="E2796" s="40" t="s">
        <v>11449</v>
      </c>
      <c r="F2796" s="40" t="s">
        <v>11450</v>
      </c>
      <c r="G2796" s="40" t="s">
        <v>11451</v>
      </c>
      <c r="H2796" s="40" t="s">
        <v>11424</v>
      </c>
    </row>
    <row r="2797">
      <c r="A2797" s="39">
        <f>IFERROR(__xludf.DUMMYFUNCTION("""COMPUTED_VALUE"""),45978.59524956018)</f>
        <v>45978.59525</v>
      </c>
      <c r="B2797" s="40" t="str">
        <f>IFERROR(__xludf.DUMMYFUNCTION("""COMPUTED_VALUE"""),"NENY MERLIANTI NA'U")</f>
        <v>NENY MERLIANTI NA'U</v>
      </c>
      <c r="C2797" s="40" t="str">
        <f>IFERROR(__xludf.DUMMYFUNCTION("""COMPUTED_VALUE"""),"ACC")</f>
        <v>ACC</v>
      </c>
      <c r="D2797" s="40" t="str">
        <f>IFERROR(__xludf.DUMMYFUNCTION("""COMPUTED_VALUE"""),"Y21d series")</f>
        <v>Y21d series</v>
      </c>
      <c r="E2797" s="40" t="s">
        <v>11476</v>
      </c>
      <c r="F2797" s="40" t="s">
        <v>204</v>
      </c>
      <c r="G2797" s="40" t="s">
        <v>11477</v>
      </c>
      <c r="H2797" s="40" t="s">
        <v>11399</v>
      </c>
    </row>
    <row r="2798">
      <c r="A2798" s="39">
        <f>IFERROR(__xludf.DUMMYFUNCTION("""COMPUTED_VALUE"""),45978.596626087965)</f>
        <v>45978.59663</v>
      </c>
      <c r="B2798" s="40" t="str">
        <f>IFERROR(__xludf.DUMMYFUNCTION("""COMPUTED_VALUE"""),"NENY MERLIANTI NA'U")</f>
        <v>NENY MERLIANTI NA'U</v>
      </c>
      <c r="C2798" s="40" t="str">
        <f>IFERROR(__xludf.DUMMYFUNCTION("""COMPUTED_VALUE"""),"Belum disetujui")</f>
        <v>Belum disetujui</v>
      </c>
      <c r="D2798" s="40"/>
      <c r="E2798" s="40" t="s">
        <v>11476</v>
      </c>
      <c r="F2798" s="40" t="s">
        <v>204</v>
      </c>
      <c r="G2798" s="40" t="s">
        <v>11477</v>
      </c>
      <c r="H2798" s="40" t="s">
        <v>11399</v>
      </c>
    </row>
    <row r="2799">
      <c r="A2799" s="39">
        <f>IFERROR(__xludf.DUMMYFUNCTION("""COMPUTED_VALUE"""),45978.598192060184)</f>
        <v>45978.59819</v>
      </c>
      <c r="B2799" s="40" t="str">
        <f>IFERROR(__xludf.DUMMYFUNCTION("""COMPUTED_VALUE"""),"NENY MERLIANTI NA'U")</f>
        <v>NENY MERLIANTI NA'U</v>
      </c>
      <c r="C2799" s="40" t="str">
        <f>IFERROR(__xludf.DUMMYFUNCTION("""COMPUTED_VALUE"""),"Belum disetujui")</f>
        <v>Belum disetujui</v>
      </c>
      <c r="D2799" s="40"/>
      <c r="E2799" s="40" t="s">
        <v>11476</v>
      </c>
      <c r="F2799" s="40" t="s">
        <v>204</v>
      </c>
      <c r="G2799" s="40" t="s">
        <v>11477</v>
      </c>
      <c r="H2799" s="40" t="s">
        <v>11399</v>
      </c>
    </row>
    <row r="2800">
      <c r="A2800" s="39">
        <f>IFERROR(__xludf.DUMMYFUNCTION("""COMPUTED_VALUE"""),45978.61034186342)</f>
        <v>45978.61034</v>
      </c>
      <c r="B2800" s="40" t="str">
        <f>IFERROR(__xludf.DUMMYFUNCTION("""COMPUTED_VALUE"""),"ASRI NINGSI RAMBU ATA ENDI")</f>
        <v>ASRI NINGSI RAMBU ATA ENDI</v>
      </c>
      <c r="C2800" s="40" t="str">
        <f>IFERROR(__xludf.DUMMYFUNCTION("""COMPUTED_VALUE"""),"Belum disetujui")</f>
        <v>Belum disetujui</v>
      </c>
      <c r="D2800" s="40"/>
      <c r="E2800" s="40" t="s">
        <v>11441</v>
      </c>
      <c r="F2800" s="40" t="s">
        <v>205</v>
      </c>
      <c r="G2800" s="40" t="s">
        <v>11442</v>
      </c>
      <c r="H2800" s="40" t="s">
        <v>11419</v>
      </c>
    </row>
    <row r="2801">
      <c r="A2801" s="39">
        <f>IFERROR(__xludf.DUMMYFUNCTION("""COMPUTED_VALUE"""),45978.6143987037)</f>
        <v>45978.6144</v>
      </c>
      <c r="B2801" s="40" t="str">
        <f>IFERROR(__xludf.DUMMYFUNCTION("""COMPUTED_VALUE"""),"KESIA NATALIA I. BENU")</f>
        <v>KESIA NATALIA I. BENU</v>
      </c>
      <c r="C2801" s="40" t="str">
        <f>IFERROR(__xludf.DUMMYFUNCTION("""COMPUTED_VALUE"""),"Belum disetujui")</f>
        <v>Belum disetujui</v>
      </c>
      <c r="D2801" s="40"/>
      <c r="E2801" s="40" t="s">
        <v>11417</v>
      </c>
      <c r="F2801" s="40" t="s">
        <v>257</v>
      </c>
      <c r="G2801" s="40" t="s">
        <v>11418</v>
      </c>
      <c r="H2801" s="40" t="s">
        <v>11419</v>
      </c>
    </row>
    <row r="2802">
      <c r="A2802" s="39">
        <f>IFERROR(__xludf.DUMMYFUNCTION("""COMPUTED_VALUE"""),45978.637943194444)</f>
        <v>45978.63794</v>
      </c>
      <c r="B2802" s="40" t="str">
        <f>IFERROR(__xludf.DUMMYFUNCTION("""COMPUTED_VALUE"""),"SULIS NURAINI INSYATUN")</f>
        <v>SULIS NURAINI INSYATUN</v>
      </c>
      <c r="C2802" s="40" t="str">
        <f>IFERROR(__xludf.DUMMYFUNCTION("""COMPUTED_VALUE"""),"ACC")</f>
        <v>ACC</v>
      </c>
      <c r="D2802" s="40" t="str">
        <f>IFERROR(__xludf.DUMMYFUNCTION("""COMPUTED_VALUE"""),"Y400 series")</f>
        <v>Y400 series</v>
      </c>
      <c r="E2802" s="40" t="s">
        <v>11429</v>
      </c>
      <c r="F2802" s="40" t="s">
        <v>257</v>
      </c>
      <c r="G2802" s="40" t="s">
        <v>11430</v>
      </c>
      <c r="H2802" s="40" t="s">
        <v>11419</v>
      </c>
    </row>
    <row r="2803">
      <c r="A2803" s="39">
        <f>IFERROR(__xludf.DUMMYFUNCTION("""COMPUTED_VALUE"""),45978.638981550925)</f>
        <v>45978.63898</v>
      </c>
      <c r="B2803" s="40" t="str">
        <f>IFERROR(__xludf.DUMMYFUNCTION("""COMPUTED_VALUE"""),"LASTRIANA PALUS")</f>
        <v>LASTRIANA PALUS</v>
      </c>
      <c r="C2803" s="40" t="str">
        <f>IFERROR(__xludf.DUMMYFUNCTION("""COMPUTED_VALUE"""),"Belum disetujui")</f>
        <v>Belum disetujui</v>
      </c>
      <c r="D2803" s="40"/>
      <c r="E2803" s="40" t="s">
        <v>11468</v>
      </c>
      <c r="F2803" s="40" t="s">
        <v>257</v>
      </c>
      <c r="G2803" s="40" t="s">
        <v>11469</v>
      </c>
      <c r="H2803" s="40" t="s">
        <v>11419</v>
      </c>
    </row>
    <row r="2804">
      <c r="A2804" s="39">
        <f>IFERROR(__xludf.DUMMYFUNCTION("""COMPUTED_VALUE"""),45978.708849930554)</f>
        <v>45978.70885</v>
      </c>
      <c r="B2804" s="40" t="str">
        <f>IFERROR(__xludf.DUMMYFUNCTION("""COMPUTED_VALUE"""),"YOMELIANA MARIA MAGNO")</f>
        <v>YOMELIANA MARIA MAGNO</v>
      </c>
      <c r="C2804" s="40" t="str">
        <f>IFERROR(__xludf.DUMMYFUNCTION("""COMPUTED_VALUE"""),"Belum disetujui")</f>
        <v>Belum disetujui</v>
      </c>
      <c r="D2804" s="40"/>
      <c r="E2804" s="40" t="s">
        <v>11460</v>
      </c>
      <c r="F2804" s="40" t="s">
        <v>871</v>
      </c>
      <c r="G2804" s="40" t="s">
        <v>11461</v>
      </c>
      <c r="H2804" s="40" t="s">
        <v>11424</v>
      </c>
    </row>
    <row r="2805">
      <c r="A2805" s="39">
        <f>IFERROR(__xludf.DUMMYFUNCTION("""COMPUTED_VALUE"""),45978.73697106481)</f>
        <v>45978.73697</v>
      </c>
      <c r="B2805" s="40" t="str">
        <f>IFERROR(__xludf.DUMMYFUNCTION("""COMPUTED_VALUE"""),"ANDHIKA ULLY")</f>
        <v>ANDHIKA ULLY</v>
      </c>
      <c r="C2805" s="40" t="str">
        <f>IFERROR(__xludf.DUMMYFUNCTION("""COMPUTED_VALUE"""),"Belum disetujui")</f>
        <v>Belum disetujui</v>
      </c>
      <c r="D2805" s="40"/>
      <c r="E2805" s="40" t="s">
        <v>11482</v>
      </c>
      <c r="F2805" s="40" t="s">
        <v>220</v>
      </c>
      <c r="G2805" s="40" t="s">
        <v>11483</v>
      </c>
      <c r="H2805" s="40" t="s">
        <v>11399</v>
      </c>
    </row>
    <row r="2806">
      <c r="A2806" s="39">
        <f>IFERROR(__xludf.DUMMYFUNCTION("""COMPUTED_VALUE"""),45978.75031472222)</f>
        <v>45978.75031</v>
      </c>
      <c r="B2806" s="40" t="str">
        <f>IFERROR(__xludf.DUMMYFUNCTION("""COMPUTED_VALUE"""),"MARATHA MARLINDA FANGGIDAE")</f>
        <v>MARATHA MARLINDA FANGGIDAE</v>
      </c>
      <c r="C2806" s="40" t="str">
        <f>IFERROR(__xludf.DUMMYFUNCTION("""COMPUTED_VALUE"""),"Belum disetujui")</f>
        <v>Belum disetujui</v>
      </c>
      <c r="D2806" s="40"/>
      <c r="E2806" s="40" t="s">
        <v>11435</v>
      </c>
      <c r="F2806" s="40" t="s">
        <v>215</v>
      </c>
      <c r="G2806" s="40" t="s">
        <v>11436</v>
      </c>
      <c r="H2806" s="40" t="s">
        <v>11424</v>
      </c>
    </row>
    <row r="2807">
      <c r="A2807" s="39">
        <f>IFERROR(__xludf.DUMMYFUNCTION("""COMPUTED_VALUE"""),45978.7516874537)</f>
        <v>45978.75169</v>
      </c>
      <c r="B2807" s="40" t="str">
        <f>IFERROR(__xludf.DUMMYFUNCTION("""COMPUTED_VALUE"""),"MARATHA MARLINDA FANGGIDAE")</f>
        <v>MARATHA MARLINDA FANGGIDAE</v>
      </c>
      <c r="C2807" s="40" t="str">
        <f>IFERROR(__xludf.DUMMYFUNCTION("""COMPUTED_VALUE"""),"Belum disetujui")</f>
        <v>Belum disetujui</v>
      </c>
      <c r="D2807" s="40"/>
      <c r="E2807" s="40" t="s">
        <v>11435</v>
      </c>
      <c r="F2807" s="40" t="s">
        <v>215</v>
      </c>
      <c r="G2807" s="40" t="s">
        <v>11436</v>
      </c>
      <c r="H2807" s="40" t="s">
        <v>11424</v>
      </c>
    </row>
    <row r="2808">
      <c r="A2808" s="39">
        <f>IFERROR(__xludf.DUMMYFUNCTION("""COMPUTED_VALUE"""),45978.75240077546)</f>
        <v>45978.7524</v>
      </c>
      <c r="B2808" s="40" t="str">
        <f>IFERROR(__xludf.DUMMYFUNCTION("""COMPUTED_VALUE"""),"MARNITHA JUWIKE TIMORATI RUNESI")</f>
        <v>MARNITHA JUWIKE TIMORATI RUNESI</v>
      </c>
      <c r="C2808" s="40" t="str">
        <f>IFERROR(__xludf.DUMMYFUNCTION("""COMPUTED_VALUE"""),"Belum disetujui")</f>
        <v>Belum disetujui</v>
      </c>
      <c r="D2808" s="40"/>
      <c r="E2808" s="40" t="s">
        <v>11420</v>
      </c>
      <c r="F2808" s="40" t="s">
        <v>204</v>
      </c>
      <c r="G2808" s="40" t="s">
        <v>11421</v>
      </c>
      <c r="H2808" s="40" t="s">
        <v>11399</v>
      </c>
    </row>
    <row r="2809">
      <c r="A2809" s="39">
        <f>IFERROR(__xludf.DUMMYFUNCTION("""COMPUTED_VALUE"""),45978.76836456019)</f>
        <v>45978.76836</v>
      </c>
      <c r="B2809" s="40" t="str">
        <f>IFERROR(__xludf.DUMMYFUNCTION("""COMPUTED_VALUE"""),"DWITNEY PRETY WANGGANDIMA")</f>
        <v>DWITNEY PRETY WANGGANDIMA</v>
      </c>
      <c r="C2809" s="40" t="str">
        <f>IFERROR(__xludf.DUMMYFUNCTION("""COMPUTED_VALUE"""),"Belum disetujui")</f>
        <v>Belum disetujui</v>
      </c>
      <c r="D2809" s="40"/>
      <c r="E2809" s="40" t="s">
        <v>11443</v>
      </c>
      <c r="F2809" s="40" t="s">
        <v>220</v>
      </c>
      <c r="G2809" s="40" t="s">
        <v>11444</v>
      </c>
      <c r="H2809" s="40" t="s">
        <v>11399</v>
      </c>
    </row>
    <row r="2810">
      <c r="A2810" s="39">
        <f>IFERROR(__xludf.DUMMYFUNCTION("""COMPUTED_VALUE"""),45978.77029865741)</f>
        <v>45978.7703</v>
      </c>
      <c r="B2810" s="40" t="str">
        <f>IFERROR(__xludf.DUMMYFUNCTION("""COMPUTED_VALUE"""),"YOHANIS TIPNONI")</f>
        <v>YOHANIS TIPNONI</v>
      </c>
      <c r="C2810" s="40" t="str">
        <f>IFERROR(__xludf.DUMMYFUNCTION("""COMPUTED_VALUE"""),"Belum disetujui")</f>
        <v>Belum disetujui</v>
      </c>
      <c r="D2810" s="40"/>
      <c r="E2810" s="40" t="s">
        <v>11405</v>
      </c>
      <c r="F2810" s="40" t="s">
        <v>220</v>
      </c>
      <c r="G2810" s="40" t="s">
        <v>11406</v>
      </c>
      <c r="H2810" s="40" t="s">
        <v>11399</v>
      </c>
    </row>
    <row r="2811">
      <c r="A2811" s="39">
        <f>IFERROR(__xludf.DUMMYFUNCTION("""COMPUTED_VALUE"""),45978.79149306713)</f>
        <v>45978.79149</v>
      </c>
      <c r="B2811" s="40" t="str">
        <f>IFERROR(__xludf.DUMMYFUNCTION("""COMPUTED_VALUE"""),"SKOLASTIKA B TAUNAES")</f>
        <v>SKOLASTIKA B TAUNAES</v>
      </c>
      <c r="C2811" s="40" t="str">
        <f>IFERROR(__xludf.DUMMYFUNCTION("""COMPUTED_VALUE"""),"Dapat limit tapi belum diproses")</f>
        <v>Dapat limit tapi belum diproses</v>
      </c>
      <c r="D2811" s="40" t="str">
        <f>IFERROR(__xludf.DUMMYFUNCTION("""COMPUTED_VALUE"""),"V60 series")</f>
        <v>V60 series</v>
      </c>
      <c r="E2811" s="40" t="s">
        <v>11413</v>
      </c>
      <c r="F2811" s="40" t="s">
        <v>204</v>
      </c>
      <c r="G2811" s="40" t="s">
        <v>11414</v>
      </c>
      <c r="H2811" s="40" t="s">
        <v>11399</v>
      </c>
    </row>
    <row r="2812">
      <c r="A2812" s="39">
        <f>IFERROR(__xludf.DUMMYFUNCTION("""COMPUTED_VALUE"""),45978.794194062495)</f>
        <v>45978.79419</v>
      </c>
      <c r="B2812" s="40" t="str">
        <f>IFERROR(__xludf.DUMMYFUNCTION("""COMPUTED_VALUE"""),"SKOLASTIKA B TAUNAES")</f>
        <v>SKOLASTIKA B TAUNAES</v>
      </c>
      <c r="C2812" s="40" t="str">
        <f>IFERROR(__xludf.DUMMYFUNCTION("""COMPUTED_VALUE"""),"Belum disetujui")</f>
        <v>Belum disetujui</v>
      </c>
      <c r="D2812" s="40"/>
      <c r="E2812" s="40" t="s">
        <v>11413</v>
      </c>
      <c r="F2812" s="40" t="s">
        <v>204</v>
      </c>
      <c r="G2812" s="40" t="s">
        <v>11414</v>
      </c>
      <c r="H2812" s="40" t="s">
        <v>11399</v>
      </c>
    </row>
    <row r="2813">
      <c r="A2813" s="39">
        <f>IFERROR(__xludf.DUMMYFUNCTION("""COMPUTED_VALUE"""),45978.79641313657)</f>
        <v>45978.79641</v>
      </c>
      <c r="B2813" s="40" t="str">
        <f>IFERROR(__xludf.DUMMYFUNCTION("""COMPUTED_VALUE"""),"SKOLASTIKA B TAUNAES")</f>
        <v>SKOLASTIKA B TAUNAES</v>
      </c>
      <c r="C2813" s="40" t="str">
        <f>IFERROR(__xludf.DUMMYFUNCTION("""COMPUTED_VALUE"""),"Belum disetujui")</f>
        <v>Belum disetujui</v>
      </c>
      <c r="D2813" s="40"/>
      <c r="E2813" s="40" t="s">
        <v>11413</v>
      </c>
      <c r="F2813" s="40" t="s">
        <v>204</v>
      </c>
      <c r="G2813" s="40" t="s">
        <v>11414</v>
      </c>
      <c r="H2813" s="40" t="s">
        <v>11399</v>
      </c>
    </row>
    <row r="2814">
      <c r="A2814" s="39">
        <f>IFERROR(__xludf.DUMMYFUNCTION("""COMPUTED_VALUE"""),45978.80250150464)</f>
        <v>45978.8025</v>
      </c>
      <c r="B2814" s="40" t="str">
        <f>IFERROR(__xludf.DUMMYFUNCTION("""COMPUTED_VALUE"""),"MARNITHA JUWIKE TIMORATI RUNESI")</f>
        <v>MARNITHA JUWIKE TIMORATI RUNESI</v>
      </c>
      <c r="C2814" s="40" t="str">
        <f>IFERROR(__xludf.DUMMYFUNCTION("""COMPUTED_VALUE"""),"Belum disetujui")</f>
        <v>Belum disetujui</v>
      </c>
      <c r="D2814" s="40"/>
      <c r="E2814" s="40" t="s">
        <v>11420</v>
      </c>
      <c r="F2814" s="40" t="s">
        <v>204</v>
      </c>
      <c r="G2814" s="40" t="s">
        <v>11421</v>
      </c>
      <c r="H2814" s="40" t="s">
        <v>11399</v>
      </c>
    </row>
    <row r="2815">
      <c r="A2815" s="39">
        <f>IFERROR(__xludf.DUMMYFUNCTION("""COMPUTED_VALUE"""),45978.81596929398)</f>
        <v>45978.81597</v>
      </c>
      <c r="B2815" s="40" t="str">
        <f>IFERROR(__xludf.DUMMYFUNCTION("""COMPUTED_VALUE"""),"MERDA PUTRI BUNGSU KENAT")</f>
        <v>MERDA PUTRI BUNGSU KENAT</v>
      </c>
      <c r="C2815" s="40" t="str">
        <f>IFERROR(__xludf.DUMMYFUNCTION("""COMPUTED_VALUE"""),"Belum disetujui")</f>
        <v>Belum disetujui</v>
      </c>
      <c r="D2815" s="40"/>
      <c r="E2815" s="40" t="s">
        <v>11422</v>
      </c>
      <c r="F2815" s="40" t="s">
        <v>215</v>
      </c>
      <c r="G2815" s="40" t="s">
        <v>11423</v>
      </c>
      <c r="H2815" s="40" t="s">
        <v>11424</v>
      </c>
    </row>
    <row r="2816">
      <c r="A2816" s="39">
        <f>IFERROR(__xludf.DUMMYFUNCTION("""COMPUTED_VALUE"""),45978.81915519676)</f>
        <v>45978.81916</v>
      </c>
      <c r="B2816" s="40" t="str">
        <f>IFERROR(__xludf.DUMMYFUNCTION("""COMPUTED_VALUE"""),"EMPI FRANGKI LIEM")</f>
        <v>EMPI FRANGKI LIEM</v>
      </c>
      <c r="C2816" s="40" t="str">
        <f>IFERROR(__xludf.DUMMYFUNCTION("""COMPUTED_VALUE"""),"Belum disetujui")</f>
        <v>Belum disetujui</v>
      </c>
      <c r="D2816" s="40"/>
      <c r="E2816" s="40" t="s">
        <v>11397</v>
      </c>
      <c r="F2816" s="40" t="s">
        <v>220</v>
      </c>
      <c r="G2816" s="40" t="s">
        <v>11398</v>
      </c>
      <c r="H2816" s="40" t="s">
        <v>11399</v>
      </c>
    </row>
    <row r="2817">
      <c r="A2817" s="39">
        <f>IFERROR(__xludf.DUMMYFUNCTION("""COMPUTED_VALUE"""),45978.82174081019)</f>
        <v>45978.82174</v>
      </c>
      <c r="B2817" s="40" t="str">
        <f>IFERROR(__xludf.DUMMYFUNCTION("""COMPUTED_VALUE"""),"MEXY ALEXANDER HETMINA")</f>
        <v>MEXY ALEXANDER HETMINA</v>
      </c>
      <c r="C2817" s="40" t="str">
        <f>IFERROR(__xludf.DUMMYFUNCTION("""COMPUTED_VALUE"""),"Belum disetujui")</f>
        <v>Belum disetujui</v>
      </c>
      <c r="D2817" s="40"/>
      <c r="E2817" s="40" t="s">
        <v>11413</v>
      </c>
      <c r="F2817" s="40" t="s">
        <v>204</v>
      </c>
      <c r="G2817" s="40" t="s">
        <v>11414</v>
      </c>
      <c r="H2817" s="40" t="s">
        <v>11399</v>
      </c>
    </row>
    <row r="2818">
      <c r="A2818" s="39">
        <f>IFERROR(__xludf.DUMMYFUNCTION("""COMPUTED_VALUE"""),45978.82854005787)</f>
        <v>45978.82854</v>
      </c>
      <c r="B2818" s="40" t="str">
        <f>IFERROR(__xludf.DUMMYFUNCTION("""COMPUTED_VALUE"""),"NOVLIANA BARBALINA MISA")</f>
        <v>NOVLIANA BARBALINA MISA</v>
      </c>
      <c r="C2818" s="40" t="str">
        <f>IFERROR(__xludf.DUMMYFUNCTION("""COMPUTED_VALUE"""),"ACC")</f>
        <v>ACC</v>
      </c>
      <c r="D2818" s="40" t="str">
        <f>IFERROR(__xludf.DUMMYFUNCTION("""COMPUTED_VALUE"""),"Y21d series")</f>
        <v>Y21d series</v>
      </c>
      <c r="E2818" s="40" t="s">
        <v>11454</v>
      </c>
      <c r="F2818" s="40" t="s">
        <v>205</v>
      </c>
      <c r="G2818" s="40" t="s">
        <v>11455</v>
      </c>
      <c r="H2818" s="40" t="s">
        <v>11419</v>
      </c>
    </row>
    <row r="2819">
      <c r="A2819" s="39">
        <f>IFERROR(__xludf.DUMMYFUNCTION("""COMPUTED_VALUE"""),45978.832719398146)</f>
        <v>45978.83272</v>
      </c>
      <c r="B2819" s="40" t="str">
        <f>IFERROR(__xludf.DUMMYFUNCTION("""COMPUTED_VALUE"""),"NOVLIANA BARBALINA MISA")</f>
        <v>NOVLIANA BARBALINA MISA</v>
      </c>
      <c r="C2819" s="40" t="str">
        <f>IFERROR(__xludf.DUMMYFUNCTION("""COMPUTED_VALUE"""),"Belum disetujui")</f>
        <v>Belum disetujui</v>
      </c>
      <c r="D2819" s="40"/>
      <c r="E2819" s="40" t="s">
        <v>11454</v>
      </c>
      <c r="F2819" s="40" t="s">
        <v>205</v>
      </c>
      <c r="G2819" s="40" t="s">
        <v>11455</v>
      </c>
      <c r="H2819" s="40" t="s">
        <v>11419</v>
      </c>
    </row>
    <row r="2820">
      <c r="A2820" s="39">
        <f>IFERROR(__xludf.DUMMYFUNCTION("""COMPUTED_VALUE"""),45978.834457268524)</f>
        <v>45978.83446</v>
      </c>
      <c r="B2820" s="40" t="str">
        <f>IFERROR(__xludf.DUMMYFUNCTION("""COMPUTED_VALUE"""),"NOVLIANA BARBALINA MISA")</f>
        <v>NOVLIANA BARBALINA MISA</v>
      </c>
      <c r="C2820" s="40" t="str">
        <f>IFERROR(__xludf.DUMMYFUNCTION("""COMPUTED_VALUE"""),"Belum disetujui")</f>
        <v>Belum disetujui</v>
      </c>
      <c r="D2820" s="40"/>
      <c r="E2820" s="40" t="s">
        <v>11454</v>
      </c>
      <c r="F2820" s="40" t="s">
        <v>205</v>
      </c>
      <c r="G2820" s="40" t="s">
        <v>11455</v>
      </c>
      <c r="H2820" s="40" t="s">
        <v>11419</v>
      </c>
    </row>
    <row r="2821">
      <c r="A2821" s="39">
        <f>IFERROR(__xludf.DUMMYFUNCTION("""COMPUTED_VALUE"""),45978.83797122685)</f>
        <v>45978.83797</v>
      </c>
      <c r="B2821" s="40" t="str">
        <f>IFERROR(__xludf.DUMMYFUNCTION("""COMPUTED_VALUE"""),"AMBU BAIQ JUMENAH")</f>
        <v>AMBU BAIQ JUMENAH</v>
      </c>
      <c r="C2821" s="40" t="str">
        <f>IFERROR(__xludf.DUMMYFUNCTION("""COMPUTED_VALUE"""),"ACC")</f>
        <v>ACC</v>
      </c>
      <c r="D2821" s="40" t="str">
        <f>IFERROR(__xludf.DUMMYFUNCTION("""COMPUTED_VALUE"""),"Y400 series")</f>
        <v>Y400 series</v>
      </c>
      <c r="E2821" s="40" t="s">
        <v>11458</v>
      </c>
      <c r="F2821" s="40" t="s">
        <v>205</v>
      </c>
      <c r="G2821" s="40" t="s">
        <v>11459</v>
      </c>
      <c r="H2821" s="40" t="s">
        <v>11419</v>
      </c>
    </row>
    <row r="2822">
      <c r="A2822" s="39">
        <f>IFERROR(__xludf.DUMMYFUNCTION("""COMPUTED_VALUE"""),45978.83999804398)</f>
        <v>45978.84</v>
      </c>
      <c r="B2822" s="40" t="str">
        <f>IFERROR(__xludf.DUMMYFUNCTION("""COMPUTED_VALUE"""),"EMPI FRANGKI LIEM")</f>
        <v>EMPI FRANGKI LIEM</v>
      </c>
      <c r="C2822" s="40" t="str">
        <f>IFERROR(__xludf.DUMMYFUNCTION("""COMPUTED_VALUE"""),"Dapat limit tapi belum diproses")</f>
        <v>Dapat limit tapi belum diproses</v>
      </c>
      <c r="D2822" s="40" t="str">
        <f>IFERROR(__xludf.DUMMYFUNCTION("""COMPUTED_VALUE"""),"V60 Lite series")</f>
        <v>V60 Lite series</v>
      </c>
      <c r="E2822" s="40" t="s">
        <v>11397</v>
      </c>
      <c r="F2822" s="40" t="s">
        <v>220</v>
      </c>
      <c r="G2822" s="40" t="s">
        <v>11398</v>
      </c>
      <c r="H2822" s="40" t="s">
        <v>11399</v>
      </c>
    </row>
    <row r="2823">
      <c r="A2823" s="39">
        <f>IFERROR(__xludf.DUMMYFUNCTION("""COMPUTED_VALUE"""),45978.84245589121)</f>
        <v>45978.84246</v>
      </c>
      <c r="B2823" s="40" t="str">
        <f>IFERROR(__xludf.DUMMYFUNCTION("""COMPUTED_VALUE"""),"EMPI FRANGKI LIEM")</f>
        <v>EMPI FRANGKI LIEM</v>
      </c>
      <c r="C2823" s="40" t="str">
        <f>IFERROR(__xludf.DUMMYFUNCTION("""COMPUTED_VALUE"""),"Belum disetujui")</f>
        <v>Belum disetujui</v>
      </c>
      <c r="D2823" s="40"/>
      <c r="E2823" s="40" t="s">
        <v>11397</v>
      </c>
      <c r="F2823" s="40" t="s">
        <v>220</v>
      </c>
      <c r="G2823" s="40" t="s">
        <v>11398</v>
      </c>
      <c r="H2823" s="40" t="s">
        <v>11399</v>
      </c>
    </row>
    <row r="2824">
      <c r="A2824" s="39">
        <f>IFERROR(__xludf.DUMMYFUNCTION("""COMPUTED_VALUE"""),45978.84542819444)</f>
        <v>45978.84543</v>
      </c>
      <c r="B2824" s="40" t="str">
        <f>IFERROR(__xludf.DUMMYFUNCTION("""COMPUTED_VALUE"""),"ESTER LUDJI")</f>
        <v>ESTER LUDJI</v>
      </c>
      <c r="C2824" s="40" t="str">
        <f>IFERROR(__xludf.DUMMYFUNCTION("""COMPUTED_VALUE"""),"Belum disetujui")</f>
        <v>Belum disetujui</v>
      </c>
      <c r="D2824" s="40"/>
      <c r="E2824" s="40" t="s">
        <v>11441</v>
      </c>
      <c r="F2824" s="40" t="s">
        <v>205</v>
      </c>
      <c r="G2824" s="40" t="s">
        <v>11442</v>
      </c>
      <c r="H2824" s="40" t="s">
        <v>11419</v>
      </c>
    </row>
    <row r="2825">
      <c r="A2825" s="39">
        <f>IFERROR(__xludf.DUMMYFUNCTION("""COMPUTED_VALUE"""),45979.39590515046)</f>
        <v>45979.39591</v>
      </c>
      <c r="B2825" s="40" t="str">
        <f>IFERROR(__xludf.DUMMYFUNCTION("""COMPUTED_VALUE"""),"JULIA DESY CASANDRA DA SILVA FREITAS")</f>
        <v>JULIA DESY CASANDRA DA SILVA FREITAS</v>
      </c>
      <c r="C2825" s="40" t="str">
        <f>IFERROR(__xludf.DUMMYFUNCTION("""COMPUTED_VALUE"""),"Belum disetujui")</f>
        <v>Belum disetujui</v>
      </c>
      <c r="D2825" s="40"/>
      <c r="E2825" s="40" t="s">
        <v>11480</v>
      </c>
      <c r="F2825" s="40" t="s">
        <v>220</v>
      </c>
      <c r="G2825" s="40" t="s">
        <v>11481</v>
      </c>
      <c r="H2825" s="40" t="s">
        <v>11399</v>
      </c>
    </row>
    <row r="2826">
      <c r="A2826" s="39">
        <f>IFERROR(__xludf.DUMMYFUNCTION("""COMPUTED_VALUE"""),45979.41589834491)</f>
        <v>45979.4159</v>
      </c>
      <c r="B2826" s="40" t="str">
        <f>IFERROR(__xludf.DUMMYFUNCTION("""COMPUTED_VALUE"""),"ANITA ANA AMAH")</f>
        <v>ANITA ANA AMAH</v>
      </c>
      <c r="C2826" s="40" t="str">
        <f>IFERROR(__xludf.DUMMYFUNCTION("""COMPUTED_VALUE"""),"Belum disetujui")</f>
        <v>Belum disetujui</v>
      </c>
      <c r="D2826" s="40"/>
      <c r="E2826" s="40" t="s">
        <v>11425</v>
      </c>
      <c r="F2826" s="40" t="s">
        <v>205</v>
      </c>
      <c r="G2826" s="40" t="s">
        <v>11426</v>
      </c>
      <c r="H2826" s="40" t="s">
        <v>11419</v>
      </c>
    </row>
    <row r="2827">
      <c r="A2827" s="39">
        <f>IFERROR(__xludf.DUMMYFUNCTION("""COMPUTED_VALUE"""),45979.43980825231)</f>
        <v>45979.43981</v>
      </c>
      <c r="B2827" s="40" t="str">
        <f>IFERROR(__xludf.DUMMYFUNCTION("""COMPUTED_VALUE"""),"ANITA ANA AMAH")</f>
        <v>ANITA ANA AMAH</v>
      </c>
      <c r="C2827" s="40" t="str">
        <f>IFERROR(__xludf.DUMMYFUNCTION("""COMPUTED_VALUE"""),"Belum disetujui")</f>
        <v>Belum disetujui</v>
      </c>
      <c r="D2827" s="40"/>
      <c r="E2827" s="40" t="s">
        <v>11425</v>
      </c>
      <c r="F2827" s="40" t="s">
        <v>205</v>
      </c>
      <c r="G2827" s="40" t="s">
        <v>11426</v>
      </c>
      <c r="H2827" s="40" t="s">
        <v>11419</v>
      </c>
    </row>
    <row r="2828">
      <c r="A2828" s="39">
        <f>IFERROR(__xludf.DUMMYFUNCTION("""COMPUTED_VALUE"""),45979.4600722801)</f>
        <v>45979.46007</v>
      </c>
      <c r="B2828" s="40" t="str">
        <f>IFERROR(__xludf.DUMMYFUNCTION("""COMPUTED_VALUE"""),"YUNITA TAMELAB")</f>
        <v>YUNITA TAMELAB</v>
      </c>
      <c r="C2828" s="40" t="str">
        <f>IFERROR(__xludf.DUMMYFUNCTION("""COMPUTED_VALUE"""),"Belum disetujui")</f>
        <v>Belum disetujui</v>
      </c>
      <c r="D2828" s="40"/>
      <c r="E2828" s="40" t="s">
        <v>11472</v>
      </c>
      <c r="F2828" s="40" t="s">
        <v>667</v>
      </c>
      <c r="G2828" s="40" t="s">
        <v>11473</v>
      </c>
      <c r="H2828" s="40" t="s">
        <v>11424</v>
      </c>
    </row>
    <row r="2829">
      <c r="A2829" s="39">
        <f>IFERROR(__xludf.DUMMYFUNCTION("""COMPUTED_VALUE"""),45979.46205364583)</f>
        <v>45979.46205</v>
      </c>
      <c r="B2829" s="40" t="str">
        <f>IFERROR(__xludf.DUMMYFUNCTION("""COMPUTED_VALUE"""),"EMPI FRANGKI LIEM")</f>
        <v>EMPI FRANGKI LIEM</v>
      </c>
      <c r="C2829" s="40" t="str">
        <f>IFERROR(__xludf.DUMMYFUNCTION("""COMPUTED_VALUE"""),"Dapat limit tapi belum diproses")</f>
        <v>Dapat limit tapi belum diproses</v>
      </c>
      <c r="D2829" s="40" t="str">
        <f>IFERROR(__xludf.DUMMYFUNCTION("""COMPUTED_VALUE"""),"Y400 series")</f>
        <v>Y400 series</v>
      </c>
      <c r="E2829" s="40" t="s">
        <v>11397</v>
      </c>
      <c r="F2829" s="40" t="s">
        <v>220</v>
      </c>
      <c r="G2829" s="40" t="s">
        <v>11398</v>
      </c>
      <c r="H2829" s="40" t="s">
        <v>11399</v>
      </c>
    </row>
    <row r="2830">
      <c r="A2830" s="39">
        <f>IFERROR(__xludf.DUMMYFUNCTION("""COMPUTED_VALUE"""),45979.469659560185)</f>
        <v>45979.46966</v>
      </c>
      <c r="B2830" s="40" t="str">
        <f>IFERROR(__xludf.DUMMYFUNCTION("""COMPUTED_VALUE"""),"AZ ZAHRA SITI ZAINAB")</f>
        <v>AZ ZAHRA SITI ZAINAB</v>
      </c>
      <c r="C2830" s="40" t="str">
        <f>IFERROR(__xludf.DUMMYFUNCTION("""COMPUTED_VALUE"""),"ACC")</f>
        <v>ACC</v>
      </c>
      <c r="D2830" s="40" t="str">
        <f>IFERROR(__xludf.DUMMYFUNCTION("""COMPUTED_VALUE"""),"Y21d series")</f>
        <v>Y21d series</v>
      </c>
      <c r="E2830" s="40" t="s">
        <v>11462</v>
      </c>
      <c r="F2830" s="40" t="s">
        <v>257</v>
      </c>
      <c r="G2830" s="40" t="s">
        <v>11463</v>
      </c>
      <c r="H2830" s="40" t="s">
        <v>11419</v>
      </c>
    </row>
    <row r="2831">
      <c r="A2831" s="39">
        <f>IFERROR(__xludf.DUMMYFUNCTION("""COMPUTED_VALUE"""),45979.48064006944)</f>
        <v>45979.48064</v>
      </c>
      <c r="B2831" s="40" t="str">
        <f>IFERROR(__xludf.DUMMYFUNCTION("""COMPUTED_VALUE"""),"DEWI RAHMAN")</f>
        <v>DEWI RAHMAN</v>
      </c>
      <c r="C2831" s="40" t="str">
        <f>IFERROR(__xludf.DUMMYFUNCTION("""COMPUTED_VALUE"""),"Belum disetujui")</f>
        <v>Belum disetujui</v>
      </c>
      <c r="D2831" s="40"/>
      <c r="E2831" s="40" t="s">
        <v>11449</v>
      </c>
      <c r="F2831" s="40" t="s">
        <v>11450</v>
      </c>
      <c r="G2831" s="40" t="s">
        <v>11451</v>
      </c>
      <c r="H2831" s="40" t="s">
        <v>11424</v>
      </c>
    </row>
    <row r="2832">
      <c r="A2832" s="39">
        <f>IFERROR(__xludf.DUMMYFUNCTION("""COMPUTED_VALUE"""),45979.49279924768)</f>
        <v>45979.4928</v>
      </c>
      <c r="B2832" s="40" t="str">
        <f>IFERROR(__xludf.DUMMYFUNCTION("""COMPUTED_VALUE"""),"EMPI FRANGKI LIEM")</f>
        <v>EMPI FRANGKI LIEM</v>
      </c>
      <c r="C2832" s="40" t="str">
        <f>IFERROR(__xludf.DUMMYFUNCTION("""COMPUTED_VALUE"""),"Belum disetujui")</f>
        <v>Belum disetujui</v>
      </c>
      <c r="D2832" s="40"/>
      <c r="E2832" s="40" t="s">
        <v>11397</v>
      </c>
      <c r="F2832" s="40" t="s">
        <v>220</v>
      </c>
      <c r="G2832" s="40" t="s">
        <v>11398</v>
      </c>
      <c r="H2832" s="40" t="s">
        <v>11399</v>
      </c>
    </row>
    <row r="2833">
      <c r="A2833" s="39">
        <f>IFERROR(__xludf.DUMMYFUNCTION("""COMPUTED_VALUE"""),45979.493235034715)</f>
        <v>45979.49324</v>
      </c>
      <c r="B2833" s="40" t="str">
        <f>IFERROR(__xludf.DUMMYFUNCTION("""COMPUTED_VALUE"""),"HERONIMUS NAMU WALI")</f>
        <v>HERONIMUS NAMU WALI</v>
      </c>
      <c r="C2833" s="40" t="str">
        <f>IFERROR(__xludf.DUMMYFUNCTION("""COMPUTED_VALUE"""),"Belum disetujui")</f>
        <v>Belum disetujui</v>
      </c>
      <c r="D2833" s="40"/>
      <c r="E2833" s="40" t="s">
        <v>11452</v>
      </c>
      <c r="F2833" s="40" t="s">
        <v>205</v>
      </c>
      <c r="G2833" s="40" t="s">
        <v>11453</v>
      </c>
      <c r="H2833" s="40" t="s">
        <v>11419</v>
      </c>
    </row>
    <row r="2834">
      <c r="A2834" s="39">
        <f>IFERROR(__xludf.DUMMYFUNCTION("""COMPUTED_VALUE"""),45979.49343153935)</f>
        <v>45979.49343</v>
      </c>
      <c r="B2834" s="40" t="str">
        <f>IFERROR(__xludf.DUMMYFUNCTION("""COMPUTED_VALUE"""),"ANYARMITHA SOPHIA SUEK")</f>
        <v>ANYARMITHA SOPHIA SUEK</v>
      </c>
      <c r="C2834" s="40" t="str">
        <f>IFERROR(__xludf.DUMMYFUNCTION("""COMPUTED_VALUE"""),"Belum disetujui")</f>
        <v>Belum disetujui</v>
      </c>
      <c r="D2834" s="40"/>
      <c r="E2834" s="40" t="s">
        <v>11443</v>
      </c>
      <c r="F2834" s="40" t="s">
        <v>220</v>
      </c>
      <c r="G2834" s="40" t="s">
        <v>11444</v>
      </c>
      <c r="H2834" s="40" t="s">
        <v>11399</v>
      </c>
    </row>
    <row r="2835">
      <c r="A2835" s="39">
        <f>IFERROR(__xludf.DUMMYFUNCTION("""COMPUTED_VALUE"""),45979.51190784723)</f>
        <v>45979.51191</v>
      </c>
      <c r="B2835" s="40" t="str">
        <f>IFERROR(__xludf.DUMMYFUNCTION("""COMPUTED_VALUE"""),"PATRIANI MENGI ULY")</f>
        <v>PATRIANI MENGI ULY</v>
      </c>
      <c r="C2835" s="40" t="str">
        <f>IFERROR(__xludf.DUMMYFUNCTION("""COMPUTED_VALUE"""),"Dapat limit tapi belum diproses")</f>
        <v>Dapat limit tapi belum diproses</v>
      </c>
      <c r="D2835" s="40" t="str">
        <f>IFERROR(__xludf.DUMMYFUNCTION("""COMPUTED_VALUE"""),"Y21d series")</f>
        <v>Y21d series</v>
      </c>
      <c r="E2835" s="40" t="s">
        <v>11402</v>
      </c>
      <c r="F2835" s="40" t="s">
        <v>204</v>
      </c>
      <c r="G2835" s="40" t="s">
        <v>11403</v>
      </c>
      <c r="H2835" s="40" t="s">
        <v>11399</v>
      </c>
    </row>
    <row r="2836">
      <c r="A2836" s="39">
        <f>IFERROR(__xludf.DUMMYFUNCTION("""COMPUTED_VALUE"""),45979.52117280092)</f>
        <v>45979.52117</v>
      </c>
      <c r="B2836" s="40" t="str">
        <f>IFERROR(__xludf.DUMMYFUNCTION("""COMPUTED_VALUE"""),"BERGITHA NIA OLIN")</f>
        <v>BERGITHA NIA OLIN</v>
      </c>
      <c r="C2836" s="40" t="str">
        <f>IFERROR(__xludf.DUMMYFUNCTION("""COMPUTED_VALUE"""),"ACC")</f>
        <v>ACC</v>
      </c>
      <c r="D2836" s="40" t="str">
        <f>IFERROR(__xludf.DUMMYFUNCTION("""COMPUTED_VALUE"""),"Y21d series")</f>
        <v>Y21d series</v>
      </c>
      <c r="E2836" s="40" t="s">
        <v>11431</v>
      </c>
      <c r="F2836" s="40" t="s">
        <v>313</v>
      </c>
      <c r="G2836" s="40" t="s">
        <v>11432</v>
      </c>
      <c r="H2836" s="40" t="s">
        <v>11424</v>
      </c>
    </row>
    <row r="2837">
      <c r="A2837" s="39">
        <f>IFERROR(__xludf.DUMMYFUNCTION("""COMPUTED_VALUE"""),45979.53361146991)</f>
        <v>45979.53361</v>
      </c>
      <c r="B2837" s="40" t="str">
        <f>IFERROR(__xludf.DUMMYFUNCTION("""COMPUTED_VALUE"""),"SANTI MARIA LUKMINI NAHAK")</f>
        <v>SANTI MARIA LUKMINI NAHAK</v>
      </c>
      <c r="C2837" s="40" t="str">
        <f>IFERROR(__xludf.DUMMYFUNCTION("""COMPUTED_VALUE"""),"Belum disetujui")</f>
        <v>Belum disetujui</v>
      </c>
      <c r="D2837" s="40"/>
      <c r="E2837" s="40" t="s">
        <v>11460</v>
      </c>
      <c r="F2837" s="40" t="s">
        <v>871</v>
      </c>
      <c r="G2837" s="40" t="s">
        <v>11461</v>
      </c>
      <c r="H2837" s="40" t="s">
        <v>11424</v>
      </c>
    </row>
    <row r="2838">
      <c r="A2838" s="39">
        <f>IFERROR(__xludf.DUMMYFUNCTION("""COMPUTED_VALUE"""),45979.53984695602)</f>
        <v>45979.53985</v>
      </c>
      <c r="B2838" s="40" t="str">
        <f>IFERROR(__xludf.DUMMYFUNCTION("""COMPUTED_VALUE"""),"SANTI MARIA LUKMINI NAHAK")</f>
        <v>SANTI MARIA LUKMINI NAHAK</v>
      </c>
      <c r="C2838" s="40" t="str">
        <f>IFERROR(__xludf.DUMMYFUNCTION("""COMPUTED_VALUE"""),"Belum disetujui")</f>
        <v>Belum disetujui</v>
      </c>
      <c r="D2838" s="40"/>
      <c r="E2838" s="40" t="s">
        <v>11460</v>
      </c>
      <c r="F2838" s="40" t="s">
        <v>871</v>
      </c>
      <c r="G2838" s="40" t="s">
        <v>11461</v>
      </c>
      <c r="H2838" s="40" t="s">
        <v>11424</v>
      </c>
    </row>
    <row r="2839">
      <c r="A2839" s="39">
        <f>IFERROR(__xludf.DUMMYFUNCTION("""COMPUTED_VALUE"""),45979.558736782405)</f>
        <v>45979.55874</v>
      </c>
      <c r="B2839" s="40" t="str">
        <f>IFERROR(__xludf.DUMMYFUNCTION("""COMPUTED_VALUE"""),"SANTI MARIA LUKMINI NAHAK")</f>
        <v>SANTI MARIA LUKMINI NAHAK</v>
      </c>
      <c r="C2839" s="40" t="str">
        <f>IFERROR(__xludf.DUMMYFUNCTION("""COMPUTED_VALUE"""),"Belum disetujui")</f>
        <v>Belum disetujui</v>
      </c>
      <c r="D2839" s="40"/>
      <c r="E2839" s="40" t="s">
        <v>11460</v>
      </c>
      <c r="F2839" s="40" t="s">
        <v>871</v>
      </c>
      <c r="G2839" s="40" t="s">
        <v>11461</v>
      </c>
      <c r="H2839" s="40" t="s">
        <v>11424</v>
      </c>
    </row>
    <row r="2840">
      <c r="A2840" s="39">
        <f>IFERROR(__xludf.DUMMYFUNCTION("""COMPUTED_VALUE"""),45979.576679756945)</f>
        <v>45979.57668</v>
      </c>
      <c r="B2840" s="40" t="str">
        <f>IFERROR(__xludf.DUMMYFUNCTION("""COMPUTED_VALUE"""),"YENDRI ELISHABET BERELOE")</f>
        <v>YENDRI ELISHABET BERELOE</v>
      </c>
      <c r="C2840" s="40" t="str">
        <f>IFERROR(__xludf.DUMMYFUNCTION("""COMPUTED_VALUE"""),"Dapat limit tapi belum diproses")</f>
        <v>Dapat limit tapi belum diproses</v>
      </c>
      <c r="D2840" s="40" t="str">
        <f>IFERROR(__xludf.DUMMYFUNCTION("""COMPUTED_VALUE"""),"Y21d series")</f>
        <v>Y21d series</v>
      </c>
      <c r="E2840" s="40" t="s">
        <v>11490</v>
      </c>
      <c r="F2840" s="40" t="s">
        <v>220</v>
      </c>
      <c r="G2840" s="40" t="s">
        <v>11491</v>
      </c>
      <c r="H2840" s="40" t="s">
        <v>11399</v>
      </c>
    </row>
    <row r="2841">
      <c r="A2841" s="39">
        <f>IFERROR(__xludf.DUMMYFUNCTION("""COMPUTED_VALUE"""),45979.5934472338)</f>
        <v>45979.59345</v>
      </c>
      <c r="B2841" s="40" t="str">
        <f>IFERROR(__xludf.DUMMYFUNCTION("""COMPUTED_VALUE"""),"YENDRI ELISHABET BERELOE")</f>
        <v>YENDRI ELISHABET BERELOE</v>
      </c>
      <c r="C2841" s="40" t="str">
        <f>IFERROR(__xludf.DUMMYFUNCTION("""COMPUTED_VALUE"""),"Belum disetujui")</f>
        <v>Belum disetujui</v>
      </c>
      <c r="D2841" s="40"/>
      <c r="E2841" s="40" t="s">
        <v>11490</v>
      </c>
      <c r="F2841" s="40" t="s">
        <v>220</v>
      </c>
      <c r="G2841" s="40" t="s">
        <v>11491</v>
      </c>
      <c r="H2841" s="40" t="s">
        <v>11399</v>
      </c>
    </row>
    <row r="2842">
      <c r="A2842" s="39">
        <f>IFERROR(__xludf.DUMMYFUNCTION("""COMPUTED_VALUE"""),45979.59927229167)</f>
        <v>45979.59927</v>
      </c>
      <c r="B2842" s="40" t="str">
        <f>IFERROR(__xludf.DUMMYFUNCTION("""COMPUTED_VALUE"""),"ESTER LUDJI")</f>
        <v>ESTER LUDJI</v>
      </c>
      <c r="C2842" s="40" t="str">
        <f>IFERROR(__xludf.DUMMYFUNCTION("""COMPUTED_VALUE"""),"ACC")</f>
        <v>ACC</v>
      </c>
      <c r="D2842" s="40" t="str">
        <f>IFERROR(__xludf.DUMMYFUNCTION("""COMPUTED_VALUE"""),"Y400 series")</f>
        <v>Y400 series</v>
      </c>
      <c r="E2842" s="40" t="s">
        <v>11441</v>
      </c>
      <c r="F2842" s="40" t="s">
        <v>205</v>
      </c>
      <c r="G2842" s="40" t="s">
        <v>11442</v>
      </c>
      <c r="H2842" s="40" t="s">
        <v>11419</v>
      </c>
    </row>
    <row r="2843">
      <c r="A2843" s="39">
        <f>IFERROR(__xludf.DUMMYFUNCTION("""COMPUTED_VALUE"""),45979.60189556713)</f>
        <v>45979.6019</v>
      </c>
      <c r="B2843" s="40" t="str">
        <f>IFERROR(__xludf.DUMMYFUNCTION("""COMPUTED_VALUE"""),"ESTER LUDJI")</f>
        <v>ESTER LUDJI</v>
      </c>
      <c r="C2843" s="40" t="str">
        <f>IFERROR(__xludf.DUMMYFUNCTION("""COMPUTED_VALUE"""),"ACC")</f>
        <v>ACC</v>
      </c>
      <c r="D2843" s="40" t="str">
        <f>IFERROR(__xludf.DUMMYFUNCTION("""COMPUTED_VALUE"""),"Y21d series")</f>
        <v>Y21d series</v>
      </c>
      <c r="E2843" s="40" t="s">
        <v>11441</v>
      </c>
      <c r="F2843" s="40" t="s">
        <v>205</v>
      </c>
      <c r="G2843" s="40" t="s">
        <v>11442</v>
      </c>
      <c r="H2843" s="40" t="s">
        <v>11419</v>
      </c>
    </row>
    <row r="2844">
      <c r="A2844" s="39">
        <f>IFERROR(__xludf.DUMMYFUNCTION("""COMPUTED_VALUE"""),45979.62354920139)</f>
        <v>45979.62355</v>
      </c>
      <c r="B2844" s="40" t="str">
        <f>IFERROR(__xludf.DUMMYFUNCTION("""COMPUTED_VALUE"""),"MARNITHA JUWIKE TIMORATI RUNESI")</f>
        <v>MARNITHA JUWIKE TIMORATI RUNESI</v>
      </c>
      <c r="C2844" s="40" t="str">
        <f>IFERROR(__xludf.DUMMYFUNCTION("""COMPUTED_VALUE"""),"Belum disetujui")</f>
        <v>Belum disetujui</v>
      </c>
      <c r="D2844" s="40"/>
      <c r="E2844" s="40" t="s">
        <v>11420</v>
      </c>
      <c r="F2844" s="40" t="s">
        <v>204</v>
      </c>
      <c r="G2844" s="40" t="s">
        <v>11421</v>
      </c>
      <c r="H2844" s="40" t="s">
        <v>11399</v>
      </c>
    </row>
    <row r="2845">
      <c r="A2845" s="39">
        <f>IFERROR(__xludf.DUMMYFUNCTION("""COMPUTED_VALUE"""),45979.63819540509)</f>
        <v>45979.6382</v>
      </c>
      <c r="B2845" s="40" t="str">
        <f>IFERROR(__xludf.DUMMYFUNCTION("""COMPUTED_VALUE"""),"ANGELA BOUKA BERI")</f>
        <v>ANGELA BOUKA BERI</v>
      </c>
      <c r="C2845" s="40" t="str">
        <f>IFERROR(__xludf.DUMMYFUNCTION("""COMPUTED_VALUE"""),"Belum disetujui")</f>
        <v>Belum disetujui</v>
      </c>
      <c r="D2845" s="40"/>
      <c r="E2845" s="40" t="s">
        <v>11486</v>
      </c>
      <c r="F2845" s="40" t="s">
        <v>11450</v>
      </c>
      <c r="G2845" s="40" t="s">
        <v>11487</v>
      </c>
      <c r="H2845" s="40" t="s">
        <v>11424</v>
      </c>
    </row>
    <row r="2846">
      <c r="A2846" s="39">
        <f>IFERROR(__xludf.DUMMYFUNCTION("""COMPUTED_VALUE"""),45979.64226130787)</f>
        <v>45979.64226</v>
      </c>
      <c r="B2846" s="40" t="str">
        <f>IFERROR(__xludf.DUMMYFUNCTION("""COMPUTED_VALUE"""),"MERDA PUTRI BUNGSU KENAT")</f>
        <v>MERDA PUTRI BUNGSU KENAT</v>
      </c>
      <c r="C2846" s="40" t="str">
        <f>IFERROR(__xludf.DUMMYFUNCTION("""COMPUTED_VALUE"""),"Belum disetujui")</f>
        <v>Belum disetujui</v>
      </c>
      <c r="D2846" s="40"/>
      <c r="E2846" s="40" t="s">
        <v>11422</v>
      </c>
      <c r="F2846" s="40" t="s">
        <v>215</v>
      </c>
      <c r="G2846" s="40" t="s">
        <v>11423</v>
      </c>
      <c r="H2846" s="40" t="s">
        <v>11424</v>
      </c>
    </row>
    <row r="2847">
      <c r="A2847" s="39">
        <f>IFERROR(__xludf.DUMMYFUNCTION("""COMPUTED_VALUE"""),45979.67614815972)</f>
        <v>45979.67615</v>
      </c>
      <c r="B2847" s="40" t="str">
        <f>IFERROR(__xludf.DUMMYFUNCTION("""COMPUTED_VALUE"""),"SANTI MARIA LUKMINI NAHAK")</f>
        <v>SANTI MARIA LUKMINI NAHAK</v>
      </c>
      <c r="C2847" s="40" t="str">
        <f>IFERROR(__xludf.DUMMYFUNCTION("""COMPUTED_VALUE"""),"Belum disetujui")</f>
        <v>Belum disetujui</v>
      </c>
      <c r="D2847" s="40"/>
      <c r="E2847" s="40" t="s">
        <v>11460</v>
      </c>
      <c r="F2847" s="40" t="s">
        <v>871</v>
      </c>
      <c r="G2847" s="40" t="s">
        <v>11461</v>
      </c>
      <c r="H2847" s="40" t="s">
        <v>11424</v>
      </c>
    </row>
    <row r="2848">
      <c r="A2848" s="39">
        <f>IFERROR(__xludf.DUMMYFUNCTION("""COMPUTED_VALUE"""),45979.71546385417)</f>
        <v>45979.71546</v>
      </c>
      <c r="B2848" s="40" t="str">
        <f>IFERROR(__xludf.DUMMYFUNCTION("""COMPUTED_VALUE"""),"MERDA PUTRI BUNGSU KENAT")</f>
        <v>MERDA PUTRI BUNGSU KENAT</v>
      </c>
      <c r="C2848" s="40" t="str">
        <f>IFERROR(__xludf.DUMMYFUNCTION("""COMPUTED_VALUE"""),"ACC")</f>
        <v>ACC</v>
      </c>
      <c r="D2848" s="40" t="str">
        <f>IFERROR(__xludf.DUMMYFUNCTION("""COMPUTED_VALUE"""),"Y21d series")</f>
        <v>Y21d series</v>
      </c>
      <c r="E2848" s="40" t="s">
        <v>11422</v>
      </c>
      <c r="F2848" s="40" t="s">
        <v>215</v>
      </c>
      <c r="G2848" s="40" t="s">
        <v>11423</v>
      </c>
      <c r="H2848" s="40" t="s">
        <v>11424</v>
      </c>
    </row>
    <row r="2849">
      <c r="A2849" s="39">
        <f>IFERROR(__xludf.DUMMYFUNCTION("""COMPUTED_VALUE"""),45979.738886388885)</f>
        <v>45979.73889</v>
      </c>
      <c r="B2849" s="40" t="str">
        <f>IFERROR(__xludf.DUMMYFUNCTION("""COMPUTED_VALUE"""),"ASTUTI BELA WAWO")</f>
        <v>ASTUTI BELA WAWO</v>
      </c>
      <c r="C2849" s="40" t="str">
        <f>IFERROR(__xludf.DUMMYFUNCTION("""COMPUTED_VALUE"""),"Belum disetujui")</f>
        <v>Belum disetujui</v>
      </c>
      <c r="D2849" s="40"/>
      <c r="E2849" s="40" t="s">
        <v>11427</v>
      </c>
      <c r="F2849" s="40" t="s">
        <v>257</v>
      </c>
      <c r="G2849" s="40" t="s">
        <v>11428</v>
      </c>
      <c r="H2849" s="40" t="s">
        <v>11419</v>
      </c>
    </row>
    <row r="2850">
      <c r="A2850" s="39">
        <f>IFERROR(__xludf.DUMMYFUNCTION("""COMPUTED_VALUE"""),45979.749336203706)</f>
        <v>45979.74934</v>
      </c>
      <c r="B2850" s="40" t="str">
        <f>IFERROR(__xludf.DUMMYFUNCTION("""COMPUTED_VALUE"""),"MERDA PUTRI BUNGSU KENAT")</f>
        <v>MERDA PUTRI BUNGSU KENAT</v>
      </c>
      <c r="C2850" s="40" t="str">
        <f>IFERROR(__xludf.DUMMYFUNCTION("""COMPUTED_VALUE"""),"ACC")</f>
        <v>ACC</v>
      </c>
      <c r="D2850" s="40" t="str">
        <f>IFERROR(__xludf.DUMMYFUNCTION("""COMPUTED_VALUE"""),"Y21d series")</f>
        <v>Y21d series</v>
      </c>
      <c r="E2850" s="40" t="s">
        <v>11422</v>
      </c>
      <c r="F2850" s="40" t="s">
        <v>215</v>
      </c>
      <c r="G2850" s="40" t="s">
        <v>11423</v>
      </c>
      <c r="H2850" s="40" t="s">
        <v>11424</v>
      </c>
    </row>
    <row r="2851">
      <c r="A2851" s="39">
        <f>IFERROR(__xludf.DUMMYFUNCTION("""COMPUTED_VALUE"""),45979.76101299769)</f>
        <v>45979.76101</v>
      </c>
      <c r="B2851" s="40" t="str">
        <f>IFERROR(__xludf.DUMMYFUNCTION("""COMPUTED_VALUE"""),"YUNITA TAMELAB")</f>
        <v>YUNITA TAMELAB</v>
      </c>
      <c r="C2851" s="40" t="str">
        <f>IFERROR(__xludf.DUMMYFUNCTION("""COMPUTED_VALUE"""),"Belum disetujui")</f>
        <v>Belum disetujui</v>
      </c>
      <c r="D2851" s="40"/>
      <c r="E2851" s="40" t="s">
        <v>11472</v>
      </c>
      <c r="F2851" s="40" t="s">
        <v>667</v>
      </c>
      <c r="G2851" s="40" t="s">
        <v>11473</v>
      </c>
      <c r="H2851" s="40" t="s">
        <v>11424</v>
      </c>
    </row>
    <row r="2852">
      <c r="A2852" s="39">
        <f>IFERROR(__xludf.DUMMYFUNCTION("""COMPUTED_VALUE"""),45979.76176434028)</f>
        <v>45979.76176</v>
      </c>
      <c r="B2852" s="40" t="str">
        <f>IFERROR(__xludf.DUMMYFUNCTION("""COMPUTED_VALUE"""),"MARNITHA JUWIKE TIMORATI RUNESI")</f>
        <v>MARNITHA JUWIKE TIMORATI RUNESI</v>
      </c>
      <c r="C2852" s="40" t="str">
        <f>IFERROR(__xludf.DUMMYFUNCTION("""COMPUTED_VALUE"""),"Belum disetujui")</f>
        <v>Belum disetujui</v>
      </c>
      <c r="D2852" s="40"/>
      <c r="E2852" s="40" t="s">
        <v>11420</v>
      </c>
      <c r="F2852" s="40" t="s">
        <v>204</v>
      </c>
      <c r="G2852" s="40" t="s">
        <v>11421</v>
      </c>
      <c r="H2852" s="40" t="s">
        <v>11399</v>
      </c>
    </row>
    <row r="2853">
      <c r="A2853" s="39">
        <f>IFERROR(__xludf.DUMMYFUNCTION("""COMPUTED_VALUE"""),45979.765114988426)</f>
        <v>45979.76511</v>
      </c>
      <c r="B2853" s="40" t="str">
        <f>IFERROR(__xludf.DUMMYFUNCTION("""COMPUTED_VALUE"""),"SANDRA LAU")</f>
        <v>SANDRA LAU</v>
      </c>
      <c r="C2853" s="40" t="str">
        <f>IFERROR(__xludf.DUMMYFUNCTION("""COMPUTED_VALUE"""),"Belum disetujui")</f>
        <v>Belum disetujui</v>
      </c>
      <c r="D2853" s="40"/>
      <c r="E2853" s="40" t="s">
        <v>11460</v>
      </c>
      <c r="F2853" s="40" t="s">
        <v>871</v>
      </c>
      <c r="G2853" s="40" t="s">
        <v>11461</v>
      </c>
      <c r="H2853" s="40" t="s">
        <v>11424</v>
      </c>
    </row>
    <row r="2854">
      <c r="A2854" s="39">
        <f>IFERROR(__xludf.DUMMYFUNCTION("""COMPUTED_VALUE"""),45979.77012811342)</f>
        <v>45979.77013</v>
      </c>
      <c r="B2854" s="40" t="str">
        <f>IFERROR(__xludf.DUMMYFUNCTION("""COMPUTED_VALUE"""),"MARIA MELAN ANANCE BILI")</f>
        <v>MARIA MELAN ANANCE BILI</v>
      </c>
      <c r="C2854" s="40" t="str">
        <f>IFERROR(__xludf.DUMMYFUNCTION("""COMPUTED_VALUE"""),"Belum disetujui")</f>
        <v>Belum disetujui</v>
      </c>
      <c r="D2854" s="40"/>
      <c r="E2854" s="40" t="s">
        <v>11466</v>
      </c>
      <c r="F2854" s="40" t="s">
        <v>257</v>
      </c>
      <c r="G2854" s="40" t="s">
        <v>11467</v>
      </c>
      <c r="H2854" s="40" t="s">
        <v>11419</v>
      </c>
    </row>
    <row r="2855">
      <c r="A2855" s="39">
        <f>IFERROR(__xludf.DUMMYFUNCTION("""COMPUTED_VALUE"""),45979.778003969914)</f>
        <v>45979.778</v>
      </c>
      <c r="B2855" s="40" t="str">
        <f>IFERROR(__xludf.DUMMYFUNCTION("""COMPUTED_VALUE"""),"LASTRIANA PALUS")</f>
        <v>LASTRIANA PALUS</v>
      </c>
      <c r="C2855" s="40" t="str">
        <f>IFERROR(__xludf.DUMMYFUNCTION("""COMPUTED_VALUE"""),"Belum disetujui")</f>
        <v>Belum disetujui</v>
      </c>
      <c r="D2855" s="40"/>
      <c r="E2855" s="40" t="s">
        <v>11468</v>
      </c>
      <c r="F2855" s="40" t="s">
        <v>257</v>
      </c>
      <c r="G2855" s="40" t="s">
        <v>11469</v>
      </c>
      <c r="H2855" s="40" t="s">
        <v>11419</v>
      </c>
    </row>
    <row r="2856">
      <c r="A2856" s="39">
        <f>IFERROR(__xludf.DUMMYFUNCTION("""COMPUTED_VALUE"""),45979.79817037037)</f>
        <v>45979.79817</v>
      </c>
      <c r="B2856" s="40" t="str">
        <f>IFERROR(__xludf.DUMMYFUNCTION("""COMPUTED_VALUE"""),"ESTER LUDJI")</f>
        <v>ESTER LUDJI</v>
      </c>
      <c r="C2856" s="40" t="str">
        <f>IFERROR(__xludf.DUMMYFUNCTION("""COMPUTED_VALUE"""),"Belum disetujui")</f>
        <v>Belum disetujui</v>
      </c>
      <c r="D2856" s="40"/>
      <c r="E2856" s="40" t="s">
        <v>11441</v>
      </c>
      <c r="F2856" s="40" t="s">
        <v>205</v>
      </c>
      <c r="G2856" s="40" t="s">
        <v>11442</v>
      </c>
      <c r="H2856" s="40" t="s">
        <v>11419</v>
      </c>
    </row>
    <row r="2857">
      <c r="A2857" s="39">
        <f>IFERROR(__xludf.DUMMYFUNCTION("""COMPUTED_VALUE"""),45979.80037099537)</f>
        <v>45979.80037</v>
      </c>
      <c r="B2857" s="40" t="str">
        <f>IFERROR(__xludf.DUMMYFUNCTION("""COMPUTED_VALUE"""),"ESTER LUDJI")</f>
        <v>ESTER LUDJI</v>
      </c>
      <c r="C2857" s="40" t="str">
        <f>IFERROR(__xludf.DUMMYFUNCTION("""COMPUTED_VALUE"""),"Belum disetujui")</f>
        <v>Belum disetujui</v>
      </c>
      <c r="D2857" s="40"/>
      <c r="E2857" s="40" t="s">
        <v>11441</v>
      </c>
      <c r="F2857" s="40" t="s">
        <v>205</v>
      </c>
      <c r="G2857" s="40" t="s">
        <v>11442</v>
      </c>
      <c r="H2857" s="40" t="s">
        <v>11419</v>
      </c>
    </row>
    <row r="2858">
      <c r="A2858" s="39">
        <f>IFERROR(__xludf.DUMMYFUNCTION("""COMPUTED_VALUE"""),45979.81843074074)</f>
        <v>45979.81843</v>
      </c>
      <c r="B2858" s="40" t="str">
        <f>IFERROR(__xludf.DUMMYFUNCTION("""COMPUTED_VALUE"""),"WARDIA")</f>
        <v>WARDIA</v>
      </c>
      <c r="C2858" s="40" t="str">
        <f>IFERROR(__xludf.DUMMYFUNCTION("""COMPUTED_VALUE"""),"Belum disetujui")</f>
        <v>Belum disetujui</v>
      </c>
      <c r="D2858" s="40"/>
      <c r="E2858" s="40" t="s">
        <v>11409</v>
      </c>
      <c r="F2858" s="40" t="s">
        <v>204</v>
      </c>
      <c r="G2858" s="40" t="s">
        <v>11410</v>
      </c>
      <c r="H2858" s="40" t="s">
        <v>11399</v>
      </c>
    </row>
    <row r="2859">
      <c r="A2859" s="39">
        <f>IFERROR(__xludf.DUMMYFUNCTION("""COMPUTED_VALUE"""),45979.82785082176)</f>
        <v>45979.82785</v>
      </c>
      <c r="B2859" s="40" t="str">
        <f>IFERROR(__xludf.DUMMYFUNCTION("""COMPUTED_VALUE"""),"MARNITHA JUWIKE TIMORATI RUNESI")</f>
        <v>MARNITHA JUWIKE TIMORATI RUNESI</v>
      </c>
      <c r="C2859" s="40" t="str">
        <f>IFERROR(__xludf.DUMMYFUNCTION("""COMPUTED_VALUE"""),"ACC")</f>
        <v>ACC</v>
      </c>
      <c r="D2859" s="40" t="str">
        <f>IFERROR(__xludf.DUMMYFUNCTION("""COMPUTED_VALUE"""),"Y21d series")</f>
        <v>Y21d series</v>
      </c>
      <c r="E2859" s="40" t="s">
        <v>11420</v>
      </c>
      <c r="F2859" s="40" t="s">
        <v>204</v>
      </c>
      <c r="G2859" s="40" t="s">
        <v>11421</v>
      </c>
      <c r="H2859" s="40" t="s">
        <v>11399</v>
      </c>
    </row>
    <row r="2860">
      <c r="A2860" s="39">
        <f>IFERROR(__xludf.DUMMYFUNCTION("""COMPUTED_VALUE"""),45979.82929928241)</f>
        <v>45979.8293</v>
      </c>
      <c r="B2860" s="40" t="str">
        <f>IFERROR(__xludf.DUMMYFUNCTION("""COMPUTED_VALUE"""),"NENY MERLIANTI NA'U")</f>
        <v>NENY MERLIANTI NA'U</v>
      </c>
      <c r="C2860" s="40" t="str">
        <f>IFERROR(__xludf.DUMMYFUNCTION("""COMPUTED_VALUE"""),"Belum disetujui")</f>
        <v>Belum disetujui</v>
      </c>
      <c r="D2860" s="40"/>
      <c r="E2860" s="40" t="s">
        <v>11476</v>
      </c>
      <c r="F2860" s="40" t="s">
        <v>204</v>
      </c>
      <c r="G2860" s="40" t="s">
        <v>11477</v>
      </c>
      <c r="H2860" s="40" t="s">
        <v>11399</v>
      </c>
    </row>
    <row r="2861">
      <c r="A2861" s="39">
        <f>IFERROR(__xludf.DUMMYFUNCTION("""COMPUTED_VALUE"""),45979.83099004629)</f>
        <v>45979.83099</v>
      </c>
      <c r="B2861" s="40" t="str">
        <f>IFERROR(__xludf.DUMMYFUNCTION("""COMPUTED_VALUE"""),"NENY MERLIANTI NA'U")</f>
        <v>NENY MERLIANTI NA'U</v>
      </c>
      <c r="C2861" s="40" t="str">
        <f>IFERROR(__xludf.DUMMYFUNCTION("""COMPUTED_VALUE"""),"Belum disetujui")</f>
        <v>Belum disetujui</v>
      </c>
      <c r="D2861" s="40"/>
      <c r="E2861" s="40" t="s">
        <v>11476</v>
      </c>
      <c r="F2861" s="40" t="s">
        <v>204</v>
      </c>
      <c r="G2861" s="40" t="s">
        <v>11477</v>
      </c>
      <c r="H2861" s="40" t="s">
        <v>11399</v>
      </c>
    </row>
    <row r="2862">
      <c r="A2862" s="39">
        <f>IFERROR(__xludf.DUMMYFUNCTION("""COMPUTED_VALUE"""),45979.83264233796)</f>
        <v>45979.83264</v>
      </c>
      <c r="B2862" s="40" t="str">
        <f>IFERROR(__xludf.DUMMYFUNCTION("""COMPUTED_VALUE"""),"KESIA NATALIA I. BENU")</f>
        <v>KESIA NATALIA I. BENU</v>
      </c>
      <c r="C2862" s="40" t="str">
        <f>IFERROR(__xludf.DUMMYFUNCTION("""COMPUTED_VALUE"""),"Dapat limit tapi belum diproses")</f>
        <v>Dapat limit tapi belum diproses</v>
      </c>
      <c r="D2862" s="40" t="str">
        <f>IFERROR(__xludf.DUMMYFUNCTION("""COMPUTED_VALUE"""),"Y21d series")</f>
        <v>Y21d series</v>
      </c>
      <c r="E2862" s="40" t="s">
        <v>11417</v>
      </c>
      <c r="F2862" s="40" t="s">
        <v>257</v>
      </c>
      <c r="G2862" s="40" t="s">
        <v>11418</v>
      </c>
      <c r="H2862" s="40" t="s">
        <v>11419</v>
      </c>
    </row>
    <row r="2863">
      <c r="A2863" s="39">
        <f>IFERROR(__xludf.DUMMYFUNCTION("""COMPUTED_VALUE"""),45979.83398396991)</f>
        <v>45979.83398</v>
      </c>
      <c r="B2863" s="40" t="str">
        <f>IFERROR(__xludf.DUMMYFUNCTION("""COMPUTED_VALUE"""),"KESIA NATALIA I. BENU")</f>
        <v>KESIA NATALIA I. BENU</v>
      </c>
      <c r="C2863" s="40" t="str">
        <f>IFERROR(__xludf.DUMMYFUNCTION("""COMPUTED_VALUE"""),"Belum disetujui")</f>
        <v>Belum disetujui</v>
      </c>
      <c r="D2863" s="40"/>
      <c r="E2863" s="40" t="s">
        <v>11417</v>
      </c>
      <c r="F2863" s="40" t="s">
        <v>257</v>
      </c>
      <c r="G2863" s="40" t="s">
        <v>11418</v>
      </c>
      <c r="H2863" s="40" t="s">
        <v>11419</v>
      </c>
    </row>
    <row r="2864">
      <c r="A2864" s="39">
        <f>IFERROR(__xludf.DUMMYFUNCTION("""COMPUTED_VALUE"""),45979.840174606485)</f>
        <v>45979.84017</v>
      </c>
      <c r="B2864" s="40" t="str">
        <f>IFERROR(__xludf.DUMMYFUNCTION("""COMPUTED_VALUE"""),"WINDRI MANOE")</f>
        <v>WINDRI MANOE</v>
      </c>
      <c r="C2864" s="40" t="str">
        <f>IFERROR(__xludf.DUMMYFUNCTION("""COMPUTED_VALUE"""),"Belum disetujui")</f>
        <v>Belum disetujui</v>
      </c>
      <c r="D2864" s="40"/>
      <c r="E2864" s="40" t="s">
        <v>11443</v>
      </c>
      <c r="F2864" s="40" t="s">
        <v>220</v>
      </c>
      <c r="G2864" s="40" t="s">
        <v>11444</v>
      </c>
      <c r="H2864" s="40" t="s">
        <v>11399</v>
      </c>
    </row>
    <row r="2865">
      <c r="A2865" s="39">
        <f>IFERROR(__xludf.DUMMYFUNCTION("""COMPUTED_VALUE"""),45979.84804375)</f>
        <v>45979.84804</v>
      </c>
      <c r="B2865" s="40" t="str">
        <f>IFERROR(__xludf.DUMMYFUNCTION("""COMPUTED_VALUE"""),"DWITNEY PRETY WANGGANDIMA")</f>
        <v>DWITNEY PRETY WANGGANDIMA</v>
      </c>
      <c r="C2865" s="40" t="str">
        <f>IFERROR(__xludf.DUMMYFUNCTION("""COMPUTED_VALUE"""),"Belum disetujui")</f>
        <v>Belum disetujui</v>
      </c>
      <c r="D2865" s="40"/>
      <c r="E2865" s="40" t="s">
        <v>11443</v>
      </c>
      <c r="F2865" s="40" t="s">
        <v>220</v>
      </c>
      <c r="G2865" s="40" t="s">
        <v>11444</v>
      </c>
      <c r="H2865" s="40" t="s">
        <v>11399</v>
      </c>
    </row>
    <row r="2866">
      <c r="A2866" s="39">
        <f>IFERROR(__xludf.DUMMYFUNCTION("""COMPUTED_VALUE"""),45979.848304872685)</f>
        <v>45979.8483</v>
      </c>
      <c r="B2866" s="40" t="str">
        <f>IFERROR(__xludf.DUMMYFUNCTION("""COMPUTED_VALUE"""),"MERDA PUTRI BUNGSU KENAT")</f>
        <v>MERDA PUTRI BUNGSU KENAT</v>
      </c>
      <c r="C2866" s="40" t="str">
        <f>IFERROR(__xludf.DUMMYFUNCTION("""COMPUTED_VALUE"""),"Belum disetujui")</f>
        <v>Belum disetujui</v>
      </c>
      <c r="D2866" s="40"/>
      <c r="E2866" s="40" t="s">
        <v>11422</v>
      </c>
      <c r="F2866" s="40" t="s">
        <v>215</v>
      </c>
      <c r="G2866" s="40" t="s">
        <v>11423</v>
      </c>
      <c r="H2866" s="40" t="s">
        <v>11424</v>
      </c>
    </row>
    <row r="2867">
      <c r="A2867" s="39">
        <f>IFERROR(__xludf.DUMMYFUNCTION("""COMPUTED_VALUE"""),45979.85372053241)</f>
        <v>45979.85372</v>
      </c>
      <c r="B2867" s="40" t="str">
        <f>IFERROR(__xludf.DUMMYFUNCTION("""COMPUTED_VALUE"""),"YOHANIS TIPNONI")</f>
        <v>YOHANIS TIPNONI</v>
      </c>
      <c r="C2867" s="40" t="str">
        <f>IFERROR(__xludf.DUMMYFUNCTION("""COMPUTED_VALUE"""),"Belum disetujui")</f>
        <v>Belum disetujui</v>
      </c>
      <c r="D2867" s="40"/>
      <c r="E2867" s="40" t="s">
        <v>11405</v>
      </c>
      <c r="F2867" s="40" t="s">
        <v>220</v>
      </c>
      <c r="G2867" s="40" t="s">
        <v>11406</v>
      </c>
      <c r="H2867" s="40" t="s">
        <v>11399</v>
      </c>
    </row>
    <row r="2868">
      <c r="A2868" s="39">
        <f>IFERROR(__xludf.DUMMYFUNCTION("""COMPUTED_VALUE"""),45979.85914943287)</f>
        <v>45979.85915</v>
      </c>
      <c r="B2868" s="40" t="str">
        <f>IFERROR(__xludf.DUMMYFUNCTION("""COMPUTED_VALUE"""),"AZ ZAHRA SITI ZAINAB")</f>
        <v>AZ ZAHRA SITI ZAINAB</v>
      </c>
      <c r="C2868" s="40" t="str">
        <f>IFERROR(__xludf.DUMMYFUNCTION("""COMPUTED_VALUE"""),"ACC")</f>
        <v>ACC</v>
      </c>
      <c r="D2868" s="40" t="str">
        <f>IFERROR(__xludf.DUMMYFUNCTION("""COMPUTED_VALUE"""),"Y400 series")</f>
        <v>Y400 series</v>
      </c>
      <c r="E2868" s="40" t="s">
        <v>11462</v>
      </c>
      <c r="F2868" s="40" t="s">
        <v>257</v>
      </c>
      <c r="G2868" s="40" t="s">
        <v>11463</v>
      </c>
      <c r="H2868" s="40" t="s">
        <v>11419</v>
      </c>
    </row>
    <row r="2869">
      <c r="A2869" s="39">
        <f>IFERROR(__xludf.DUMMYFUNCTION("""COMPUTED_VALUE"""),45979.87473229167)</f>
        <v>45979.87473</v>
      </c>
      <c r="B2869" s="40" t="str">
        <f>IFERROR(__xludf.DUMMYFUNCTION("""COMPUTED_VALUE"""),"DEWI RAHMAN")</f>
        <v>DEWI RAHMAN</v>
      </c>
      <c r="C2869" s="40" t="str">
        <f>IFERROR(__xludf.DUMMYFUNCTION("""COMPUTED_VALUE"""),"ACC")</f>
        <v>ACC</v>
      </c>
      <c r="D2869" s="40" t="str">
        <f>IFERROR(__xludf.DUMMYFUNCTION("""COMPUTED_VALUE"""),"V60 Lite series")</f>
        <v>V60 Lite series</v>
      </c>
      <c r="E2869" s="40" t="s">
        <v>11449</v>
      </c>
      <c r="F2869" s="40" t="s">
        <v>11450</v>
      </c>
      <c r="G2869" s="40" t="s">
        <v>11451</v>
      </c>
      <c r="H2869" s="40" t="s">
        <v>11424</v>
      </c>
    </row>
    <row r="2870">
      <c r="A2870" s="39">
        <f>IFERROR(__xludf.DUMMYFUNCTION("""COMPUTED_VALUE"""),45980.441183298615)</f>
        <v>45980.44118</v>
      </c>
      <c r="B2870" s="40" t="str">
        <f>IFERROR(__xludf.DUMMYFUNCTION("""COMPUTED_VALUE"""),"KESIA NATALIA I. BENU")</f>
        <v>KESIA NATALIA I. BENU</v>
      </c>
      <c r="C2870" s="40" t="str">
        <f>IFERROR(__xludf.DUMMYFUNCTION("""COMPUTED_VALUE"""),"ACC")</f>
        <v>ACC</v>
      </c>
      <c r="D2870" s="40" t="str">
        <f>IFERROR(__xludf.DUMMYFUNCTION("""COMPUTED_VALUE"""),"Y21d series")</f>
        <v>Y21d series</v>
      </c>
      <c r="E2870" s="40" t="s">
        <v>11417</v>
      </c>
      <c r="F2870" s="40" t="s">
        <v>257</v>
      </c>
      <c r="G2870" s="40" t="s">
        <v>11418</v>
      </c>
      <c r="H2870" s="40" t="s">
        <v>11419</v>
      </c>
    </row>
    <row r="2871">
      <c r="A2871" s="39">
        <f>IFERROR(__xludf.DUMMYFUNCTION("""COMPUTED_VALUE"""),45980.45251188657)</f>
        <v>45980.45251</v>
      </c>
      <c r="B2871" s="40" t="str">
        <f>IFERROR(__xludf.DUMMYFUNCTION("""COMPUTED_VALUE"""),"ARMINDA TEKU MANEK")</f>
        <v>ARMINDA TEKU MANEK</v>
      </c>
      <c r="C2871" s="40" t="str">
        <f>IFERROR(__xludf.DUMMYFUNCTION("""COMPUTED_VALUE"""),"ACC")</f>
        <v>ACC</v>
      </c>
      <c r="D2871" s="40" t="str">
        <f>IFERROR(__xludf.DUMMYFUNCTION("""COMPUTED_VALUE"""),"Y400 series")</f>
        <v>Y400 series</v>
      </c>
      <c r="E2871" s="40" t="s">
        <v>11474</v>
      </c>
      <c r="F2871" s="40" t="s">
        <v>313</v>
      </c>
      <c r="G2871" s="40" t="s">
        <v>11475</v>
      </c>
      <c r="H2871" s="40" t="s">
        <v>11424</v>
      </c>
    </row>
    <row r="2872">
      <c r="A2872" s="39">
        <f>IFERROR(__xludf.DUMMYFUNCTION("""COMPUTED_VALUE"""),45980.462819039356)</f>
        <v>45980.46282</v>
      </c>
      <c r="B2872" s="40" t="str">
        <f>IFERROR(__xludf.DUMMYFUNCTION("""COMPUTED_VALUE"""),"ASTUTI BELA WAWO")</f>
        <v>ASTUTI BELA WAWO</v>
      </c>
      <c r="C2872" s="40" t="str">
        <f>IFERROR(__xludf.DUMMYFUNCTION("""COMPUTED_VALUE"""),"Belum disetujui")</f>
        <v>Belum disetujui</v>
      </c>
      <c r="D2872" s="40"/>
      <c r="E2872" s="40" t="s">
        <v>11427</v>
      </c>
      <c r="F2872" s="40" t="s">
        <v>257</v>
      </c>
      <c r="G2872" s="40" t="s">
        <v>11428</v>
      </c>
      <c r="H2872" s="40" t="s">
        <v>11419</v>
      </c>
    </row>
    <row r="2873">
      <c r="A2873" s="39">
        <f>IFERROR(__xludf.DUMMYFUNCTION("""COMPUTED_VALUE"""),45980.4666646412)</f>
        <v>45980.46666</v>
      </c>
      <c r="B2873" s="40" t="str">
        <f>IFERROR(__xludf.DUMMYFUNCTION("""COMPUTED_VALUE"""),"JULIA DESY CASANDRA DA SILVA FREITAS")</f>
        <v>JULIA DESY CASANDRA DA SILVA FREITAS</v>
      </c>
      <c r="C2873" s="40" t="str">
        <f>IFERROR(__xludf.DUMMYFUNCTION("""COMPUTED_VALUE"""),"Dapat limit tapi belum diproses")</f>
        <v>Dapat limit tapi belum diproses</v>
      </c>
      <c r="D2873" s="40" t="str">
        <f>IFERROR(__xludf.DUMMYFUNCTION("""COMPUTED_VALUE"""),"Y21d series")</f>
        <v>Y21d series</v>
      </c>
      <c r="E2873" s="40" t="s">
        <v>11480</v>
      </c>
      <c r="F2873" s="40" t="s">
        <v>220</v>
      </c>
      <c r="G2873" s="40" t="s">
        <v>11481</v>
      </c>
      <c r="H2873" s="40" t="s">
        <v>11399</v>
      </c>
    </row>
    <row r="2874">
      <c r="A2874" s="39">
        <f>IFERROR(__xludf.DUMMYFUNCTION("""COMPUTED_VALUE"""),45980.46869619213)</f>
        <v>45980.4687</v>
      </c>
      <c r="B2874" s="40" t="str">
        <f>IFERROR(__xludf.DUMMYFUNCTION("""COMPUTED_VALUE"""),"IDMAL YUSDIRAN YUSUF")</f>
        <v>IDMAL YUSDIRAN YUSUF</v>
      </c>
      <c r="C2874" s="40" t="str">
        <f>IFERROR(__xludf.DUMMYFUNCTION("""COMPUTED_VALUE"""),"ACC")</f>
        <v>ACC</v>
      </c>
      <c r="D2874" s="40" t="str">
        <f>IFERROR(__xludf.DUMMYFUNCTION("""COMPUTED_VALUE"""),"V60 Lite series")</f>
        <v>V60 Lite series</v>
      </c>
      <c r="E2874" s="40" t="s">
        <v>11417</v>
      </c>
      <c r="F2874" s="40" t="s">
        <v>257</v>
      </c>
      <c r="G2874" s="40" t="s">
        <v>11418</v>
      </c>
      <c r="H2874" s="40" t="s">
        <v>11419</v>
      </c>
    </row>
    <row r="2875">
      <c r="A2875" s="39">
        <f>IFERROR(__xludf.DUMMYFUNCTION("""COMPUTED_VALUE"""),45980.470244502314)</f>
        <v>45980.47024</v>
      </c>
      <c r="B2875" s="40" t="str">
        <f>IFERROR(__xludf.DUMMYFUNCTION("""COMPUTED_VALUE"""),"NABILA RAHMAWATI")</f>
        <v>NABILA RAHMAWATI</v>
      </c>
      <c r="C2875" s="40" t="str">
        <f>IFERROR(__xludf.DUMMYFUNCTION("""COMPUTED_VALUE"""),"ACC")</f>
        <v>ACC</v>
      </c>
      <c r="D2875" s="40" t="str">
        <f>IFERROR(__xludf.DUMMYFUNCTION("""COMPUTED_VALUE"""),"Y400 series")</f>
        <v>Y400 series</v>
      </c>
      <c r="E2875" s="40" t="s">
        <v>11464</v>
      </c>
      <c r="F2875" s="40" t="s">
        <v>257</v>
      </c>
      <c r="G2875" s="40" t="s">
        <v>11465</v>
      </c>
      <c r="H2875" s="40" t="s">
        <v>11419</v>
      </c>
    </row>
    <row r="2876">
      <c r="A2876" s="39">
        <f>IFERROR(__xludf.DUMMYFUNCTION("""COMPUTED_VALUE"""),45980.486060358795)</f>
        <v>45980.48606</v>
      </c>
      <c r="B2876" s="40" t="str">
        <f>IFERROR(__xludf.DUMMYFUNCTION("""COMPUTED_VALUE"""),"WINDRI MANOE")</f>
        <v>WINDRI MANOE</v>
      </c>
      <c r="C2876" s="40" t="str">
        <f>IFERROR(__xludf.DUMMYFUNCTION("""COMPUTED_VALUE"""),"Belum disetujui")</f>
        <v>Belum disetujui</v>
      </c>
      <c r="D2876" s="40"/>
      <c r="E2876" s="40" t="s">
        <v>11443</v>
      </c>
      <c r="F2876" s="40" t="s">
        <v>220</v>
      </c>
      <c r="G2876" s="40" t="s">
        <v>11444</v>
      </c>
      <c r="H2876" s="40" t="s">
        <v>11399</v>
      </c>
    </row>
    <row r="2877">
      <c r="A2877" s="39">
        <f>IFERROR(__xludf.DUMMYFUNCTION("""COMPUTED_VALUE"""),45980.50293983796)</f>
        <v>45980.50294</v>
      </c>
      <c r="B2877" s="40" t="str">
        <f>IFERROR(__xludf.DUMMYFUNCTION("""COMPUTED_VALUE"""),"SANDRA LAU")</f>
        <v>SANDRA LAU</v>
      </c>
      <c r="C2877" s="40" t="str">
        <f>IFERROR(__xludf.DUMMYFUNCTION("""COMPUTED_VALUE"""),"Belum disetujui")</f>
        <v>Belum disetujui</v>
      </c>
      <c r="D2877" s="40"/>
      <c r="E2877" s="40" t="s">
        <v>11460</v>
      </c>
      <c r="F2877" s="40" t="s">
        <v>871</v>
      </c>
      <c r="G2877" s="40" t="s">
        <v>11461</v>
      </c>
      <c r="H2877" s="40" t="s">
        <v>11424</v>
      </c>
    </row>
    <row r="2878">
      <c r="A2878" s="39">
        <f>IFERROR(__xludf.DUMMYFUNCTION("""COMPUTED_VALUE"""),45980.50545447917)</f>
        <v>45980.50545</v>
      </c>
      <c r="B2878" s="40" t="str">
        <f>IFERROR(__xludf.DUMMYFUNCTION("""COMPUTED_VALUE"""),"ASRI NINGSI RAMBU ATA ENDI")</f>
        <v>ASRI NINGSI RAMBU ATA ENDI</v>
      </c>
      <c r="C2878" s="40" t="str">
        <f>IFERROR(__xludf.DUMMYFUNCTION("""COMPUTED_VALUE"""),"Belum disetujui")</f>
        <v>Belum disetujui</v>
      </c>
      <c r="D2878" s="40"/>
      <c r="E2878" s="40" t="s">
        <v>11441</v>
      </c>
      <c r="F2878" s="40" t="s">
        <v>205</v>
      </c>
      <c r="G2878" s="40" t="s">
        <v>11442</v>
      </c>
      <c r="H2878" s="40" t="s">
        <v>11419</v>
      </c>
    </row>
    <row r="2879">
      <c r="A2879" s="39">
        <f>IFERROR(__xludf.DUMMYFUNCTION("""COMPUTED_VALUE"""),45980.51230163194)</f>
        <v>45980.5123</v>
      </c>
      <c r="B2879" s="40" t="str">
        <f>IFERROR(__xludf.DUMMYFUNCTION("""COMPUTED_VALUE"""),"EMPI FRANGKI LIEM")</f>
        <v>EMPI FRANGKI LIEM</v>
      </c>
      <c r="C2879" s="40" t="str">
        <f>IFERROR(__xludf.DUMMYFUNCTION("""COMPUTED_VALUE"""),"Belum disetujui")</f>
        <v>Belum disetujui</v>
      </c>
      <c r="D2879" s="40"/>
      <c r="E2879" s="40" t="s">
        <v>11397</v>
      </c>
      <c r="F2879" s="40" t="s">
        <v>220</v>
      </c>
      <c r="G2879" s="40" t="s">
        <v>11398</v>
      </c>
      <c r="H2879" s="40" t="s">
        <v>11399</v>
      </c>
    </row>
    <row r="2880">
      <c r="A2880" s="39">
        <f>IFERROR(__xludf.DUMMYFUNCTION("""COMPUTED_VALUE"""),45980.52076222222)</f>
        <v>45980.52076</v>
      </c>
      <c r="B2880" s="40" t="str">
        <f>IFERROR(__xludf.DUMMYFUNCTION("""COMPUTED_VALUE"""),"MARIA MELAN ANANCE BILI")</f>
        <v>MARIA MELAN ANANCE BILI</v>
      </c>
      <c r="C2880" s="40" t="str">
        <f>IFERROR(__xludf.DUMMYFUNCTION("""COMPUTED_VALUE"""),"Belum disetujui")</f>
        <v>Belum disetujui</v>
      </c>
      <c r="D2880" s="40"/>
      <c r="E2880" s="40" t="s">
        <v>11466</v>
      </c>
      <c r="F2880" s="40" t="s">
        <v>257</v>
      </c>
      <c r="G2880" s="40" t="s">
        <v>11467</v>
      </c>
      <c r="H2880" s="40" t="s">
        <v>11419</v>
      </c>
    </row>
    <row r="2881">
      <c r="A2881" s="39">
        <f>IFERROR(__xludf.DUMMYFUNCTION("""COMPUTED_VALUE"""),45980.535617002315)</f>
        <v>45980.53562</v>
      </c>
      <c r="B2881" s="40" t="str">
        <f>IFERROR(__xludf.DUMMYFUNCTION("""COMPUTED_VALUE"""),"NABILA RAHMAWATI")</f>
        <v>NABILA RAHMAWATI</v>
      </c>
      <c r="C2881" s="40" t="str">
        <f>IFERROR(__xludf.DUMMYFUNCTION("""COMPUTED_VALUE"""),"Belum disetujui")</f>
        <v>Belum disetujui</v>
      </c>
      <c r="D2881" s="40"/>
      <c r="E2881" s="40" t="s">
        <v>11464</v>
      </c>
      <c r="F2881" s="40" t="s">
        <v>257</v>
      </c>
      <c r="G2881" s="40" t="s">
        <v>11465</v>
      </c>
      <c r="H2881" s="40" t="s">
        <v>11419</v>
      </c>
    </row>
    <row r="2882">
      <c r="A2882" s="39">
        <f>IFERROR(__xludf.DUMMYFUNCTION("""COMPUTED_VALUE"""),45980.547535254635)</f>
        <v>45980.54754</v>
      </c>
      <c r="B2882" s="40" t="str">
        <f>IFERROR(__xludf.DUMMYFUNCTION("""COMPUTED_VALUE"""),"AZ ZAHRA SITI ZAINAB")</f>
        <v>AZ ZAHRA SITI ZAINAB</v>
      </c>
      <c r="C2882" s="40" t="str">
        <f>IFERROR(__xludf.DUMMYFUNCTION("""COMPUTED_VALUE"""),"Belum disetujui")</f>
        <v>Belum disetujui</v>
      </c>
      <c r="D2882" s="40"/>
      <c r="E2882" s="40" t="s">
        <v>11462</v>
      </c>
      <c r="F2882" s="40" t="s">
        <v>257</v>
      </c>
      <c r="G2882" s="40" t="s">
        <v>11463</v>
      </c>
      <c r="H2882" s="40" t="s">
        <v>11419</v>
      </c>
    </row>
    <row r="2883">
      <c r="A2883" s="39">
        <f>IFERROR(__xludf.DUMMYFUNCTION("""COMPUTED_VALUE"""),45980.55339729167)</f>
        <v>45980.5534</v>
      </c>
      <c r="B2883" s="40" t="str">
        <f>IFERROR(__xludf.DUMMYFUNCTION("""COMPUTED_VALUE"""),"PRETI SISILIA SILA")</f>
        <v>PRETI SISILIA SILA</v>
      </c>
      <c r="C2883" s="40" t="str">
        <f>IFERROR(__xludf.DUMMYFUNCTION("""COMPUTED_VALUE"""),"Belum disetujui")</f>
        <v>Belum disetujui</v>
      </c>
      <c r="D2883" s="40"/>
      <c r="E2883" s="40" t="s">
        <v>11456</v>
      </c>
      <c r="F2883" s="40" t="s">
        <v>667</v>
      </c>
      <c r="G2883" s="40" t="s">
        <v>11457</v>
      </c>
      <c r="H2883" s="40" t="s">
        <v>11424</v>
      </c>
    </row>
    <row r="2884">
      <c r="A2884" s="39">
        <f>IFERROR(__xludf.DUMMYFUNCTION("""COMPUTED_VALUE"""),45980.557791678235)</f>
        <v>45980.55779</v>
      </c>
      <c r="B2884" s="40" t="str">
        <f>IFERROR(__xludf.DUMMYFUNCTION("""COMPUTED_VALUE"""),"HERONIMUS NAMU WALI")</f>
        <v>HERONIMUS NAMU WALI</v>
      </c>
      <c r="C2884" s="40" t="str">
        <f>IFERROR(__xludf.DUMMYFUNCTION("""COMPUTED_VALUE"""),"Belum disetujui")</f>
        <v>Belum disetujui</v>
      </c>
      <c r="D2884" s="40"/>
      <c r="E2884" s="40" t="s">
        <v>11452</v>
      </c>
      <c r="F2884" s="40" t="s">
        <v>205</v>
      </c>
      <c r="G2884" s="40" t="s">
        <v>11453</v>
      </c>
      <c r="H2884" s="40" t="s">
        <v>11419</v>
      </c>
    </row>
    <row r="2885">
      <c r="A2885" s="39">
        <f>IFERROR(__xludf.DUMMYFUNCTION("""COMPUTED_VALUE"""),45980.565523310186)</f>
        <v>45980.56552</v>
      </c>
      <c r="B2885" s="40" t="str">
        <f>IFERROR(__xludf.DUMMYFUNCTION("""COMPUTED_VALUE"""),"RESTIANY MARIA LUAN KALI")</f>
        <v>RESTIANY MARIA LUAN KALI</v>
      </c>
      <c r="C2885" s="40" t="str">
        <f>IFERROR(__xludf.DUMMYFUNCTION("""COMPUTED_VALUE"""),"Belum disetujui")</f>
        <v>Belum disetujui</v>
      </c>
      <c r="D2885" s="40"/>
      <c r="E2885" s="40" t="s">
        <v>11400</v>
      </c>
      <c r="F2885" s="40" t="s">
        <v>204</v>
      </c>
      <c r="G2885" s="40" t="s">
        <v>11401</v>
      </c>
      <c r="H2885" s="40" t="s">
        <v>11399</v>
      </c>
    </row>
    <row r="2886">
      <c r="A2886" s="39">
        <f>IFERROR(__xludf.DUMMYFUNCTION("""COMPUTED_VALUE"""),45980.56993210649)</f>
        <v>45980.56993</v>
      </c>
      <c r="B2886" s="40" t="str">
        <f>IFERROR(__xludf.DUMMYFUNCTION("""COMPUTED_VALUE"""),"LASTRIANA PALUS")</f>
        <v>LASTRIANA PALUS</v>
      </c>
      <c r="C2886" s="40" t="str">
        <f>IFERROR(__xludf.DUMMYFUNCTION("""COMPUTED_VALUE"""),"Belum disetujui")</f>
        <v>Belum disetujui</v>
      </c>
      <c r="D2886" s="40"/>
      <c r="E2886" s="40" t="s">
        <v>11468</v>
      </c>
      <c r="F2886" s="40" t="s">
        <v>257</v>
      </c>
      <c r="G2886" s="40" t="s">
        <v>11469</v>
      </c>
      <c r="H2886" s="40" t="s">
        <v>11419</v>
      </c>
    </row>
    <row r="2887">
      <c r="A2887" s="39">
        <f>IFERROR(__xludf.DUMMYFUNCTION("""COMPUTED_VALUE"""),45980.572169120365)</f>
        <v>45980.57217</v>
      </c>
      <c r="B2887" s="40" t="str">
        <f>IFERROR(__xludf.DUMMYFUNCTION("""COMPUTED_VALUE"""),"LASTRIANA PALUS")</f>
        <v>LASTRIANA PALUS</v>
      </c>
      <c r="C2887" s="40" t="str">
        <f>IFERROR(__xludf.DUMMYFUNCTION("""COMPUTED_VALUE"""),"Belum disetujui")</f>
        <v>Belum disetujui</v>
      </c>
      <c r="D2887" s="40"/>
      <c r="E2887" s="40" t="s">
        <v>11468</v>
      </c>
      <c r="F2887" s="40" t="s">
        <v>257</v>
      </c>
      <c r="G2887" s="40" t="s">
        <v>11469</v>
      </c>
      <c r="H2887" s="40" t="s">
        <v>11419</v>
      </c>
    </row>
    <row r="2888">
      <c r="A2888" s="39">
        <f>IFERROR(__xludf.DUMMYFUNCTION("""COMPUTED_VALUE"""),45980.580131979164)</f>
        <v>45980.58013</v>
      </c>
      <c r="B2888" s="40" t="str">
        <f>IFERROR(__xludf.DUMMYFUNCTION("""COMPUTED_VALUE"""),"SULIS NURAINI INSYATUN")</f>
        <v>SULIS NURAINI INSYATUN</v>
      </c>
      <c r="C2888" s="40" t="str">
        <f>IFERROR(__xludf.DUMMYFUNCTION("""COMPUTED_VALUE"""),"Belum disetujui")</f>
        <v>Belum disetujui</v>
      </c>
      <c r="D2888" s="40"/>
      <c r="E2888" s="40" t="s">
        <v>11429</v>
      </c>
      <c r="F2888" s="40" t="s">
        <v>257</v>
      </c>
      <c r="G2888" s="40" t="s">
        <v>11430</v>
      </c>
      <c r="H2888" s="40" t="s">
        <v>11419</v>
      </c>
    </row>
    <row r="2889">
      <c r="A2889" s="39">
        <f>IFERROR(__xludf.DUMMYFUNCTION("""COMPUTED_VALUE"""),45980.591913032404)</f>
        <v>45980.59191</v>
      </c>
      <c r="B2889" s="40" t="str">
        <f>IFERROR(__xludf.DUMMYFUNCTION("""COMPUTED_VALUE"""),"MARIA MELAN ANANCE BILI")</f>
        <v>MARIA MELAN ANANCE BILI</v>
      </c>
      <c r="C2889" s="40" t="str">
        <f>IFERROR(__xludf.DUMMYFUNCTION("""COMPUTED_VALUE"""),"ACC")</f>
        <v>ACC</v>
      </c>
      <c r="D2889" s="40" t="str">
        <f>IFERROR(__xludf.DUMMYFUNCTION("""COMPUTED_VALUE"""),"Y400 series")</f>
        <v>Y400 series</v>
      </c>
      <c r="E2889" s="40" t="s">
        <v>11466</v>
      </c>
      <c r="F2889" s="40" t="s">
        <v>257</v>
      </c>
      <c r="G2889" s="40" t="s">
        <v>11467</v>
      </c>
      <c r="H2889" s="40" t="s">
        <v>11419</v>
      </c>
    </row>
    <row r="2890">
      <c r="A2890" s="39">
        <f>IFERROR(__xludf.DUMMYFUNCTION("""COMPUTED_VALUE"""),45980.59638582176)</f>
        <v>45980.59639</v>
      </c>
      <c r="B2890" s="40" t="str">
        <f>IFERROR(__xludf.DUMMYFUNCTION("""COMPUTED_VALUE"""),"MARNITHA JUWIKE TIMORATI RUNESI")</f>
        <v>MARNITHA JUWIKE TIMORATI RUNESI</v>
      </c>
      <c r="C2890" s="40" t="str">
        <f>IFERROR(__xludf.DUMMYFUNCTION("""COMPUTED_VALUE"""),"Belum disetujui")</f>
        <v>Belum disetujui</v>
      </c>
      <c r="D2890" s="40"/>
      <c r="E2890" s="40" t="s">
        <v>11420</v>
      </c>
      <c r="F2890" s="40" t="s">
        <v>204</v>
      </c>
      <c r="G2890" s="40" t="s">
        <v>11421</v>
      </c>
      <c r="H2890" s="40" t="s">
        <v>11399</v>
      </c>
    </row>
    <row r="2891">
      <c r="A2891" s="39">
        <f>IFERROR(__xludf.DUMMYFUNCTION("""COMPUTED_VALUE"""),45980.59894064815)</f>
        <v>45980.59894</v>
      </c>
      <c r="B2891" s="40" t="str">
        <f>IFERROR(__xludf.DUMMYFUNCTION("""COMPUTED_VALUE"""),"IDMAL YUSDIRAN YUSUF")</f>
        <v>IDMAL YUSDIRAN YUSUF</v>
      </c>
      <c r="C2891" s="40" t="str">
        <f>IFERROR(__xludf.DUMMYFUNCTION("""COMPUTED_VALUE"""),"Belum disetujui")</f>
        <v>Belum disetujui</v>
      </c>
      <c r="D2891" s="40"/>
      <c r="E2891" s="40" t="s">
        <v>11417</v>
      </c>
      <c r="F2891" s="40" t="s">
        <v>257</v>
      </c>
      <c r="G2891" s="40" t="s">
        <v>11418</v>
      </c>
      <c r="H2891" s="40" t="s">
        <v>11419</v>
      </c>
    </row>
    <row r="2892">
      <c r="A2892" s="39">
        <f>IFERROR(__xludf.DUMMYFUNCTION("""COMPUTED_VALUE"""),45980.610010439814)</f>
        <v>45980.61001</v>
      </c>
      <c r="B2892" s="40" t="str">
        <f>IFERROR(__xludf.DUMMYFUNCTION("""COMPUTED_VALUE"""),"RESTIANY MARIA LUAN KALI")</f>
        <v>RESTIANY MARIA LUAN KALI</v>
      </c>
      <c r="C2892" s="40" t="str">
        <f>IFERROR(__xludf.DUMMYFUNCTION("""COMPUTED_VALUE"""),"Belum disetujui")</f>
        <v>Belum disetujui</v>
      </c>
      <c r="D2892" s="40"/>
      <c r="E2892" s="40" t="s">
        <v>11400</v>
      </c>
      <c r="F2892" s="40" t="s">
        <v>204</v>
      </c>
      <c r="G2892" s="40" t="s">
        <v>11401</v>
      </c>
      <c r="H2892" s="40" t="s">
        <v>11399</v>
      </c>
    </row>
    <row r="2893">
      <c r="A2893" s="39">
        <f>IFERROR(__xludf.DUMMYFUNCTION("""COMPUTED_VALUE"""),45980.63103333334)</f>
        <v>45980.63103</v>
      </c>
      <c r="B2893" s="40" t="str">
        <f>IFERROR(__xludf.DUMMYFUNCTION("""COMPUTED_VALUE"""),"YENDRI ELISHABET BERELOE")</f>
        <v>YENDRI ELISHABET BERELOE</v>
      </c>
      <c r="C2893" s="40" t="str">
        <f>IFERROR(__xludf.DUMMYFUNCTION("""COMPUTED_VALUE"""),"Belum disetujui")</f>
        <v>Belum disetujui</v>
      </c>
      <c r="D2893" s="40"/>
      <c r="E2893" s="40" t="s">
        <v>11490</v>
      </c>
      <c r="F2893" s="40" t="s">
        <v>220</v>
      </c>
      <c r="G2893" s="40" t="s">
        <v>11491</v>
      </c>
      <c r="H2893" s="40" t="s">
        <v>11399</v>
      </c>
    </row>
    <row r="2894">
      <c r="A2894" s="39">
        <f>IFERROR(__xludf.DUMMYFUNCTION("""COMPUTED_VALUE"""),45980.67910321759)</f>
        <v>45980.6791</v>
      </c>
      <c r="B2894" s="40" t="str">
        <f>IFERROR(__xludf.DUMMYFUNCTION("""COMPUTED_VALUE"""),"YUNITA TAMELAB")</f>
        <v>YUNITA TAMELAB</v>
      </c>
      <c r="C2894" s="40" t="str">
        <f>IFERROR(__xludf.DUMMYFUNCTION("""COMPUTED_VALUE"""),"Belum disetujui")</f>
        <v>Belum disetujui</v>
      </c>
      <c r="D2894" s="40"/>
      <c r="E2894" s="40" t="s">
        <v>11472</v>
      </c>
      <c r="F2894" s="40" t="s">
        <v>667</v>
      </c>
      <c r="G2894" s="40" t="s">
        <v>11473</v>
      </c>
      <c r="H2894" s="40" t="s">
        <v>11424</v>
      </c>
    </row>
    <row r="2895">
      <c r="A2895" s="39">
        <f>IFERROR(__xludf.DUMMYFUNCTION("""COMPUTED_VALUE"""),45980.692885324075)</f>
        <v>45980.69289</v>
      </c>
      <c r="B2895" s="40" t="str">
        <f>IFERROR(__xludf.DUMMYFUNCTION("""COMPUTED_VALUE"""),"YUNITA TAMELAB")</f>
        <v>YUNITA TAMELAB</v>
      </c>
      <c r="C2895" s="40" t="str">
        <f>IFERROR(__xludf.DUMMYFUNCTION("""COMPUTED_VALUE"""),"Belum disetujui")</f>
        <v>Belum disetujui</v>
      </c>
      <c r="D2895" s="40"/>
      <c r="E2895" s="40" t="s">
        <v>11472</v>
      </c>
      <c r="F2895" s="40" t="s">
        <v>667</v>
      </c>
      <c r="G2895" s="40" t="s">
        <v>11473</v>
      </c>
      <c r="H2895" s="40" t="s">
        <v>11424</v>
      </c>
    </row>
    <row r="2896">
      <c r="A2896" s="39">
        <f>IFERROR(__xludf.DUMMYFUNCTION("""COMPUTED_VALUE"""),45980.694395543986)</f>
        <v>45980.6944</v>
      </c>
      <c r="B2896" s="40" t="str">
        <f>IFERROR(__xludf.DUMMYFUNCTION("""COMPUTED_VALUE"""),"ANNA RAHMATIA JUFRI")</f>
        <v>ANNA RAHMATIA JUFRI</v>
      </c>
      <c r="C2896" s="40" t="str">
        <f>IFERROR(__xludf.DUMMYFUNCTION("""COMPUTED_VALUE"""),"ACC")</f>
        <v>ACC</v>
      </c>
      <c r="D2896" s="40" t="str">
        <f>IFERROR(__xludf.DUMMYFUNCTION("""COMPUTED_VALUE"""),"Y400 series")</f>
        <v>Y400 series</v>
      </c>
      <c r="E2896" s="40" t="s">
        <v>11484</v>
      </c>
      <c r="F2896" s="40" t="s">
        <v>11450</v>
      </c>
      <c r="G2896" s="40" t="s">
        <v>11485</v>
      </c>
      <c r="H2896" s="40" t="s">
        <v>11424</v>
      </c>
    </row>
    <row r="2897">
      <c r="A2897" s="39">
        <f>IFERROR(__xludf.DUMMYFUNCTION("""COMPUTED_VALUE"""),45980.70915983797)</f>
        <v>45980.70916</v>
      </c>
      <c r="B2897" s="40" t="str">
        <f>IFERROR(__xludf.DUMMYFUNCTION("""COMPUTED_VALUE"""),"HERONIMUS NAMU WALI")</f>
        <v>HERONIMUS NAMU WALI</v>
      </c>
      <c r="C2897" s="40" t="str">
        <f>IFERROR(__xludf.DUMMYFUNCTION("""COMPUTED_VALUE"""),"Belum disetujui")</f>
        <v>Belum disetujui</v>
      </c>
      <c r="D2897" s="40"/>
      <c r="E2897" s="40" t="s">
        <v>11452</v>
      </c>
      <c r="F2897" s="40" t="s">
        <v>205</v>
      </c>
      <c r="G2897" s="40" t="s">
        <v>11453</v>
      </c>
      <c r="H2897" s="40" t="s">
        <v>11419</v>
      </c>
    </row>
    <row r="2898">
      <c r="A2898" s="39">
        <f>IFERROR(__xludf.DUMMYFUNCTION("""COMPUTED_VALUE"""),45980.73636214121)</f>
        <v>45980.73636</v>
      </c>
      <c r="B2898" s="40" t="str">
        <f>IFERROR(__xludf.DUMMYFUNCTION("""COMPUTED_VALUE"""),"KESIA NATALIA I. BENU")</f>
        <v>KESIA NATALIA I. BENU</v>
      </c>
      <c r="C2898" s="40" t="str">
        <f>IFERROR(__xludf.DUMMYFUNCTION("""COMPUTED_VALUE"""),"ACC")</f>
        <v>ACC</v>
      </c>
      <c r="D2898" s="40" t="str">
        <f>IFERROR(__xludf.DUMMYFUNCTION("""COMPUTED_VALUE"""),"V50 Lite series")</f>
        <v>V50 Lite series</v>
      </c>
      <c r="E2898" s="40" t="s">
        <v>11417</v>
      </c>
      <c r="F2898" s="40" t="s">
        <v>257</v>
      </c>
      <c r="G2898" s="40" t="s">
        <v>11418</v>
      </c>
      <c r="H2898" s="40" t="s">
        <v>11419</v>
      </c>
    </row>
    <row r="2899">
      <c r="A2899" s="39">
        <f>IFERROR(__xludf.DUMMYFUNCTION("""COMPUTED_VALUE"""),45980.73711574074)</f>
        <v>45980.73712</v>
      </c>
      <c r="B2899" s="40" t="str">
        <f>IFERROR(__xludf.DUMMYFUNCTION("""COMPUTED_VALUE"""),"ANITA ANA AMAH")</f>
        <v>ANITA ANA AMAH</v>
      </c>
      <c r="C2899" s="40" t="str">
        <f>IFERROR(__xludf.DUMMYFUNCTION("""COMPUTED_VALUE"""),"Belum disetujui")</f>
        <v>Belum disetujui</v>
      </c>
      <c r="D2899" s="40"/>
      <c r="E2899" s="40" t="s">
        <v>11425</v>
      </c>
      <c r="F2899" s="40" t="s">
        <v>205</v>
      </c>
      <c r="G2899" s="40" t="s">
        <v>11426</v>
      </c>
      <c r="H2899" s="40" t="s">
        <v>11419</v>
      </c>
    </row>
    <row r="2900">
      <c r="A2900" s="39">
        <f>IFERROR(__xludf.DUMMYFUNCTION("""COMPUTED_VALUE"""),45980.74727221065)</f>
        <v>45980.74727</v>
      </c>
      <c r="B2900" s="40" t="str">
        <f>IFERROR(__xludf.DUMMYFUNCTION("""COMPUTED_VALUE"""),"SANTI MARIA LUKMINI NAHAK")</f>
        <v>SANTI MARIA LUKMINI NAHAK</v>
      </c>
      <c r="C2900" s="40" t="str">
        <f>IFERROR(__xludf.DUMMYFUNCTION("""COMPUTED_VALUE"""),"Belum disetujui")</f>
        <v>Belum disetujui</v>
      </c>
      <c r="D2900" s="40"/>
      <c r="E2900" s="40" t="s">
        <v>11460</v>
      </c>
      <c r="F2900" s="40" t="s">
        <v>871</v>
      </c>
      <c r="G2900" s="40" t="s">
        <v>11461</v>
      </c>
      <c r="H2900" s="40" t="s">
        <v>11424</v>
      </c>
    </row>
    <row r="2901">
      <c r="A2901" s="39">
        <f>IFERROR(__xludf.DUMMYFUNCTION("""COMPUTED_VALUE"""),45980.75120585649)</f>
        <v>45980.75121</v>
      </c>
      <c r="B2901" s="40" t="str">
        <f>IFERROR(__xludf.DUMMYFUNCTION("""COMPUTED_VALUE"""),"FERI ELI KURNIAWAN")</f>
        <v>FERI ELI KURNIAWAN</v>
      </c>
      <c r="C2901" s="40" t="str">
        <f>IFERROR(__xludf.DUMMYFUNCTION("""COMPUTED_VALUE"""),"Belum disetujui")</f>
        <v>Belum disetujui</v>
      </c>
      <c r="D2901" s="40"/>
      <c r="E2901" s="40" t="s">
        <v>11411</v>
      </c>
      <c r="F2901" s="40" t="s">
        <v>220</v>
      </c>
      <c r="G2901" s="40" t="s">
        <v>11412</v>
      </c>
      <c r="H2901" s="40" t="s">
        <v>11399</v>
      </c>
    </row>
    <row r="2902">
      <c r="A2902" s="39">
        <f>IFERROR(__xludf.DUMMYFUNCTION("""COMPUTED_VALUE"""),45980.75736368056)</f>
        <v>45980.75736</v>
      </c>
      <c r="B2902" s="40" t="str">
        <f>IFERROR(__xludf.DUMMYFUNCTION("""COMPUTED_VALUE"""),"NOVLIANA BARBALINA MISA")</f>
        <v>NOVLIANA BARBALINA MISA</v>
      </c>
      <c r="C2902" s="40" t="str">
        <f>IFERROR(__xludf.DUMMYFUNCTION("""COMPUTED_VALUE"""),"Belum disetujui")</f>
        <v>Belum disetujui</v>
      </c>
      <c r="D2902" s="40"/>
      <c r="E2902" s="40" t="s">
        <v>11454</v>
      </c>
      <c r="F2902" s="40" t="s">
        <v>205</v>
      </c>
      <c r="G2902" s="40" t="s">
        <v>11455</v>
      </c>
      <c r="H2902" s="40" t="s">
        <v>11419</v>
      </c>
    </row>
    <row r="2903">
      <c r="A2903" s="39">
        <f>IFERROR(__xludf.DUMMYFUNCTION("""COMPUTED_VALUE"""),45980.76020357639)</f>
        <v>45980.7602</v>
      </c>
      <c r="B2903" s="40" t="str">
        <f>IFERROR(__xludf.DUMMYFUNCTION("""COMPUTED_VALUE"""),"AINI RAHMATINI NATALIA MOESTAKIM")</f>
        <v>AINI RAHMATINI NATALIA MOESTAKIM</v>
      </c>
      <c r="C2903" s="40" t="str">
        <f>IFERROR(__xludf.DUMMYFUNCTION("""COMPUTED_VALUE"""),"Belum disetujui")</f>
        <v>Belum disetujui</v>
      </c>
      <c r="D2903" s="40"/>
      <c r="E2903" s="40" t="s">
        <v>11409</v>
      </c>
      <c r="F2903" s="40" t="s">
        <v>204</v>
      </c>
      <c r="G2903" s="40" t="s">
        <v>11410</v>
      </c>
      <c r="H2903" s="40" t="s">
        <v>11399</v>
      </c>
    </row>
    <row r="2904">
      <c r="A2904" s="39">
        <f>IFERROR(__xludf.DUMMYFUNCTION("""COMPUTED_VALUE"""),45980.76154554398)</f>
        <v>45980.76155</v>
      </c>
      <c r="B2904" s="40" t="str">
        <f>IFERROR(__xludf.DUMMYFUNCTION("""COMPUTED_VALUE"""),"AINI RAHMATINI NATALIA MOESTAKIM")</f>
        <v>AINI RAHMATINI NATALIA MOESTAKIM</v>
      </c>
      <c r="C2904" s="40" t="str">
        <f>IFERROR(__xludf.DUMMYFUNCTION("""COMPUTED_VALUE"""),"Belum disetujui")</f>
        <v>Belum disetujui</v>
      </c>
      <c r="D2904" s="40"/>
      <c r="E2904" s="40" t="s">
        <v>11409</v>
      </c>
      <c r="F2904" s="40" t="s">
        <v>204</v>
      </c>
      <c r="G2904" s="40" t="s">
        <v>11410</v>
      </c>
      <c r="H2904" s="40" t="s">
        <v>11399</v>
      </c>
    </row>
    <row r="2905">
      <c r="A2905" s="39">
        <f>IFERROR(__xludf.DUMMYFUNCTION("""COMPUTED_VALUE"""),45980.771019594904)</f>
        <v>45980.77102</v>
      </c>
      <c r="B2905" s="40" t="str">
        <f>IFERROR(__xludf.DUMMYFUNCTION("""COMPUTED_VALUE"""),"SULIS NURAINI INSYATUN")</f>
        <v>SULIS NURAINI INSYATUN</v>
      </c>
      <c r="C2905" s="40" t="str">
        <f>IFERROR(__xludf.DUMMYFUNCTION("""COMPUTED_VALUE"""),"Dapat limit tapi belum diproses")</f>
        <v>Dapat limit tapi belum diproses</v>
      </c>
      <c r="D2905" s="40" t="str">
        <f>IFERROR(__xludf.DUMMYFUNCTION("""COMPUTED_VALUE"""),"V60 Lite series")</f>
        <v>V60 Lite series</v>
      </c>
      <c r="E2905" s="40" t="s">
        <v>11429</v>
      </c>
      <c r="F2905" s="40" t="s">
        <v>257</v>
      </c>
      <c r="G2905" s="40" t="s">
        <v>11430</v>
      </c>
      <c r="H2905" s="40" t="s">
        <v>11419</v>
      </c>
    </row>
    <row r="2906">
      <c r="A2906" s="39">
        <f>IFERROR(__xludf.DUMMYFUNCTION("""COMPUTED_VALUE"""),45980.77600038194)</f>
        <v>45980.776</v>
      </c>
      <c r="B2906" s="40" t="str">
        <f>IFERROR(__xludf.DUMMYFUNCTION("""COMPUTED_VALUE"""),"KESIA NATALIA I. BENU")</f>
        <v>KESIA NATALIA I. BENU</v>
      </c>
      <c r="C2906" s="40" t="str">
        <f>IFERROR(__xludf.DUMMYFUNCTION("""COMPUTED_VALUE"""),"ACC")</f>
        <v>ACC</v>
      </c>
      <c r="D2906" s="40" t="str">
        <f>IFERROR(__xludf.DUMMYFUNCTION("""COMPUTED_VALUE"""),"Y21d series")</f>
        <v>Y21d series</v>
      </c>
      <c r="E2906" s="40" t="s">
        <v>11417</v>
      </c>
      <c r="F2906" s="40" t="s">
        <v>257</v>
      </c>
      <c r="G2906" s="40" t="s">
        <v>11418</v>
      </c>
      <c r="H2906" s="40" t="s">
        <v>11419</v>
      </c>
    </row>
    <row r="2907">
      <c r="A2907" s="39">
        <f>IFERROR(__xludf.DUMMYFUNCTION("""COMPUTED_VALUE"""),45980.78136024306)</f>
        <v>45980.78136</v>
      </c>
      <c r="B2907" s="40" t="str">
        <f>IFERROR(__xludf.DUMMYFUNCTION("""COMPUTED_VALUE"""),"SKOLASTIKA B TAUNAES")</f>
        <v>SKOLASTIKA B TAUNAES</v>
      </c>
      <c r="C2907" s="40" t="str">
        <f>IFERROR(__xludf.DUMMYFUNCTION("""COMPUTED_VALUE"""),"Belum disetujui")</f>
        <v>Belum disetujui</v>
      </c>
      <c r="D2907" s="40"/>
      <c r="E2907" s="40" t="s">
        <v>11413</v>
      </c>
      <c r="F2907" s="40" t="s">
        <v>204</v>
      </c>
      <c r="G2907" s="40" t="s">
        <v>11414</v>
      </c>
      <c r="H2907" s="40" t="s">
        <v>11399</v>
      </c>
    </row>
    <row r="2908">
      <c r="A2908" s="39">
        <f>IFERROR(__xludf.DUMMYFUNCTION("""COMPUTED_VALUE"""),45980.78233285879)</f>
        <v>45980.78233</v>
      </c>
      <c r="B2908" s="40" t="str">
        <f>IFERROR(__xludf.DUMMYFUNCTION("""COMPUTED_VALUE"""),"SKOLASTIKA B TAUNAES")</f>
        <v>SKOLASTIKA B TAUNAES</v>
      </c>
      <c r="C2908" s="40" t="str">
        <f>IFERROR(__xludf.DUMMYFUNCTION("""COMPUTED_VALUE"""),"Belum disetujui")</f>
        <v>Belum disetujui</v>
      </c>
      <c r="D2908" s="40"/>
      <c r="E2908" s="40" t="s">
        <v>11413</v>
      </c>
      <c r="F2908" s="40" t="s">
        <v>204</v>
      </c>
      <c r="G2908" s="40" t="s">
        <v>11414</v>
      </c>
      <c r="H2908" s="40" t="s">
        <v>11399</v>
      </c>
    </row>
    <row r="2909">
      <c r="A2909" s="39">
        <f>IFERROR(__xludf.DUMMYFUNCTION("""COMPUTED_VALUE"""),45980.78276596065)</f>
        <v>45980.78277</v>
      </c>
      <c r="B2909" s="40" t="str">
        <f>IFERROR(__xludf.DUMMYFUNCTION("""COMPUTED_VALUE"""),"MEXY ALEXANDER HETMINA")</f>
        <v>MEXY ALEXANDER HETMINA</v>
      </c>
      <c r="C2909" s="40" t="str">
        <f>IFERROR(__xludf.DUMMYFUNCTION("""COMPUTED_VALUE"""),"Belum disetujui")</f>
        <v>Belum disetujui</v>
      </c>
      <c r="D2909" s="40"/>
      <c r="E2909" s="40" t="s">
        <v>11413</v>
      </c>
      <c r="F2909" s="40" t="s">
        <v>204</v>
      </c>
      <c r="G2909" s="40" t="s">
        <v>11414</v>
      </c>
      <c r="H2909" s="40" t="s">
        <v>11399</v>
      </c>
    </row>
    <row r="2910">
      <c r="A2910" s="39">
        <f>IFERROR(__xludf.DUMMYFUNCTION("""COMPUTED_VALUE"""),45980.78956834491)</f>
        <v>45980.78957</v>
      </c>
      <c r="B2910" s="40" t="str">
        <f>IFERROR(__xludf.DUMMYFUNCTION("""COMPUTED_VALUE"""),"NENY MERLIANTI NA'U")</f>
        <v>NENY MERLIANTI NA'U</v>
      </c>
      <c r="C2910" s="40" t="str">
        <f>IFERROR(__xludf.DUMMYFUNCTION("""COMPUTED_VALUE"""),"Dapat limit tapi belum diproses")</f>
        <v>Dapat limit tapi belum diproses</v>
      </c>
      <c r="D2910" s="40" t="str">
        <f>IFERROR(__xludf.DUMMYFUNCTION("""COMPUTED_VALUE"""),"Y21d series")</f>
        <v>Y21d series</v>
      </c>
      <c r="E2910" s="40" t="s">
        <v>11476</v>
      </c>
      <c r="F2910" s="40" t="s">
        <v>204</v>
      </c>
      <c r="G2910" s="40" t="s">
        <v>11477</v>
      </c>
      <c r="H2910" s="40" t="s">
        <v>11399</v>
      </c>
    </row>
    <row r="2911">
      <c r="A2911" s="39">
        <f>IFERROR(__xludf.DUMMYFUNCTION("""COMPUTED_VALUE"""),45980.7914157176)</f>
        <v>45980.79142</v>
      </c>
      <c r="B2911" s="40" t="str">
        <f>IFERROR(__xludf.DUMMYFUNCTION("""COMPUTED_VALUE"""),"YENDRI ELISHABET BERELOE")</f>
        <v>YENDRI ELISHABET BERELOE</v>
      </c>
      <c r="C2911" s="40" t="str">
        <f>IFERROR(__xludf.DUMMYFUNCTION("""COMPUTED_VALUE"""),"Belum disetujui")</f>
        <v>Belum disetujui</v>
      </c>
      <c r="D2911" s="40"/>
      <c r="E2911" s="40" t="s">
        <v>11490</v>
      </c>
      <c r="F2911" s="40" t="s">
        <v>220</v>
      </c>
      <c r="G2911" s="40" t="s">
        <v>11491</v>
      </c>
      <c r="H2911" s="40" t="s">
        <v>11399</v>
      </c>
    </row>
    <row r="2912">
      <c r="A2912" s="39">
        <f>IFERROR(__xludf.DUMMYFUNCTION("""COMPUTED_VALUE"""),45980.802743437496)</f>
        <v>45980.80274</v>
      </c>
      <c r="B2912" s="40" t="str">
        <f>IFERROR(__xludf.DUMMYFUNCTION("""COMPUTED_VALUE"""),"NOVANTRY RUTHANIA NAFFIE")</f>
        <v>NOVANTRY RUTHANIA NAFFIE</v>
      </c>
      <c r="C2912" s="40" t="str">
        <f>IFERROR(__xludf.DUMMYFUNCTION("""COMPUTED_VALUE"""),"Belum disetujui")</f>
        <v>Belum disetujui</v>
      </c>
      <c r="D2912" s="40"/>
      <c r="E2912" s="40" t="s">
        <v>11397</v>
      </c>
      <c r="F2912" s="40" t="s">
        <v>220</v>
      </c>
      <c r="G2912" s="40" t="s">
        <v>11398</v>
      </c>
      <c r="H2912" s="40" t="s">
        <v>11399</v>
      </c>
    </row>
    <row r="2913">
      <c r="A2913" s="39">
        <f>IFERROR(__xludf.DUMMYFUNCTION("""COMPUTED_VALUE"""),45980.80377701388)</f>
        <v>45980.80378</v>
      </c>
      <c r="B2913" s="40" t="str">
        <f>IFERROR(__xludf.DUMMYFUNCTION("""COMPUTED_VALUE"""),"FEBRIANTHY ELISABET NA'U")</f>
        <v>FEBRIANTHY ELISABET NA'U</v>
      </c>
      <c r="C2913" s="40" t="str">
        <f>IFERROR(__xludf.DUMMYFUNCTION("""COMPUTED_VALUE"""),"Belum disetujui")</f>
        <v>Belum disetujui</v>
      </c>
      <c r="D2913" s="40"/>
      <c r="E2913" s="40" t="s">
        <v>11415</v>
      </c>
      <c r="F2913" s="40" t="s">
        <v>204</v>
      </c>
      <c r="G2913" s="40" t="s">
        <v>11416</v>
      </c>
      <c r="H2913" s="40" t="s">
        <v>11399</v>
      </c>
    </row>
    <row r="2914">
      <c r="A2914" s="39">
        <f>IFERROR(__xludf.DUMMYFUNCTION("""COMPUTED_VALUE"""),45980.80518318287)</f>
        <v>45980.80518</v>
      </c>
      <c r="B2914" s="40" t="str">
        <f>IFERROR(__xludf.DUMMYFUNCTION("""COMPUTED_VALUE"""),"YENDRI ELISHABET BERELOE")</f>
        <v>YENDRI ELISHABET BERELOE</v>
      </c>
      <c r="C2914" s="40" t="str">
        <f>IFERROR(__xludf.DUMMYFUNCTION("""COMPUTED_VALUE"""),"Belum disetujui")</f>
        <v>Belum disetujui</v>
      </c>
      <c r="D2914" s="40"/>
      <c r="E2914" s="40" t="s">
        <v>11490</v>
      </c>
      <c r="F2914" s="40" t="s">
        <v>220</v>
      </c>
      <c r="G2914" s="40" t="s">
        <v>11491</v>
      </c>
      <c r="H2914" s="40" t="s">
        <v>11399</v>
      </c>
    </row>
    <row r="2915">
      <c r="A2915" s="39">
        <f>IFERROR(__xludf.DUMMYFUNCTION("""COMPUTED_VALUE"""),45980.805440428245)</f>
        <v>45980.80544</v>
      </c>
      <c r="B2915" s="40" t="str">
        <f>IFERROR(__xludf.DUMMYFUNCTION("""COMPUTED_VALUE"""),"AMBU BAIQ JUMENAH")</f>
        <v>AMBU BAIQ JUMENAH</v>
      </c>
      <c r="C2915" s="40" t="str">
        <f>IFERROR(__xludf.DUMMYFUNCTION("""COMPUTED_VALUE"""),"Belum disetujui")</f>
        <v>Belum disetujui</v>
      </c>
      <c r="D2915" s="40"/>
      <c r="E2915" s="40" t="s">
        <v>11458</v>
      </c>
      <c r="F2915" s="40" t="s">
        <v>205</v>
      </c>
      <c r="G2915" s="40" t="s">
        <v>11459</v>
      </c>
      <c r="H2915" s="40" t="s">
        <v>11419</v>
      </c>
    </row>
    <row r="2916">
      <c r="A2916" s="39">
        <f>IFERROR(__xludf.DUMMYFUNCTION("""COMPUTED_VALUE"""),45980.80596857639)</f>
        <v>45980.80597</v>
      </c>
      <c r="B2916" s="40" t="str">
        <f>IFERROR(__xludf.DUMMYFUNCTION("""COMPUTED_VALUE"""),"EMPI FRANGKI LIEM")</f>
        <v>EMPI FRANGKI LIEM</v>
      </c>
      <c r="C2916" s="40" t="str">
        <f>IFERROR(__xludf.DUMMYFUNCTION("""COMPUTED_VALUE"""),"Belum disetujui")</f>
        <v>Belum disetujui</v>
      </c>
      <c r="D2916" s="40"/>
      <c r="E2916" s="40" t="s">
        <v>11397</v>
      </c>
      <c r="F2916" s="40" t="s">
        <v>220</v>
      </c>
      <c r="G2916" s="40" t="s">
        <v>11398</v>
      </c>
      <c r="H2916" s="40" t="s">
        <v>11399</v>
      </c>
    </row>
    <row r="2917">
      <c r="A2917" s="39">
        <f>IFERROR(__xludf.DUMMYFUNCTION("""COMPUTED_VALUE"""),45980.810619236116)</f>
        <v>45980.81062</v>
      </c>
      <c r="B2917" s="40" t="str">
        <f>IFERROR(__xludf.DUMMYFUNCTION("""COMPUTED_VALUE"""),"MERDA PUTRI BUNGSU KENAT")</f>
        <v>MERDA PUTRI BUNGSU KENAT</v>
      </c>
      <c r="C2917" s="40" t="str">
        <f>IFERROR(__xludf.DUMMYFUNCTION("""COMPUTED_VALUE"""),"Belum disetujui")</f>
        <v>Belum disetujui</v>
      </c>
      <c r="D2917" s="40"/>
      <c r="E2917" s="40" t="s">
        <v>11422</v>
      </c>
      <c r="F2917" s="40" t="s">
        <v>215</v>
      </c>
      <c r="G2917" s="40" t="s">
        <v>11423</v>
      </c>
      <c r="H2917" s="40" t="s">
        <v>11424</v>
      </c>
    </row>
    <row r="2918">
      <c r="A2918" s="39">
        <f>IFERROR(__xludf.DUMMYFUNCTION("""COMPUTED_VALUE"""),45980.81466960649)</f>
        <v>45980.81467</v>
      </c>
      <c r="B2918" s="40" t="str">
        <f>IFERROR(__xludf.DUMMYFUNCTION("""COMPUTED_VALUE"""),"ALDIANA WELIA PANIE")</f>
        <v>ALDIANA WELIA PANIE</v>
      </c>
      <c r="C2918" s="40" t="str">
        <f>IFERROR(__xludf.DUMMYFUNCTION("""COMPUTED_VALUE"""),"Belum disetujui")</f>
        <v>Belum disetujui</v>
      </c>
      <c r="D2918" s="40"/>
      <c r="E2918" s="40" t="s">
        <v>11422</v>
      </c>
      <c r="F2918" s="40" t="s">
        <v>215</v>
      </c>
      <c r="G2918" s="40" t="s">
        <v>11423</v>
      </c>
      <c r="H2918" s="40" t="s">
        <v>11424</v>
      </c>
    </row>
    <row r="2919">
      <c r="A2919" s="39">
        <f>IFERROR(__xludf.DUMMYFUNCTION("""COMPUTED_VALUE"""),45980.8188584838)</f>
        <v>45980.81886</v>
      </c>
      <c r="B2919" s="40" t="str">
        <f>IFERROR(__xludf.DUMMYFUNCTION("""COMPUTED_VALUE"""),"MARATHA MARLINDA FANGGIDAE")</f>
        <v>MARATHA MARLINDA FANGGIDAE</v>
      </c>
      <c r="C2919" s="40" t="str">
        <f>IFERROR(__xludf.DUMMYFUNCTION("""COMPUTED_VALUE"""),"Belum disetujui")</f>
        <v>Belum disetujui</v>
      </c>
      <c r="D2919" s="40"/>
      <c r="E2919" s="40" t="s">
        <v>11435</v>
      </c>
      <c r="F2919" s="40" t="s">
        <v>215</v>
      </c>
      <c r="G2919" s="40" t="s">
        <v>11436</v>
      </c>
      <c r="H2919" s="40" t="s">
        <v>11424</v>
      </c>
    </row>
    <row r="2920">
      <c r="A2920" s="39">
        <f>IFERROR(__xludf.DUMMYFUNCTION("""COMPUTED_VALUE"""),45980.82689459491)</f>
        <v>45980.82689</v>
      </c>
      <c r="B2920" s="40" t="str">
        <f>IFERROR(__xludf.DUMMYFUNCTION("""COMPUTED_VALUE"""),"PATRIANI MENGI ULY")</f>
        <v>PATRIANI MENGI ULY</v>
      </c>
      <c r="C2920" s="40" t="str">
        <f>IFERROR(__xludf.DUMMYFUNCTION("""COMPUTED_VALUE"""),"Belum disetujui")</f>
        <v>Belum disetujui</v>
      </c>
      <c r="D2920" s="40"/>
      <c r="E2920" s="40" t="s">
        <v>11402</v>
      </c>
      <c r="F2920" s="40" t="s">
        <v>204</v>
      </c>
      <c r="G2920" s="40" t="s">
        <v>11403</v>
      </c>
      <c r="H2920" s="40" t="s">
        <v>11399</v>
      </c>
    </row>
    <row r="2921">
      <c r="A2921" s="39">
        <f>IFERROR(__xludf.DUMMYFUNCTION("""COMPUTED_VALUE"""),45980.83116686342)</f>
        <v>45980.83117</v>
      </c>
      <c r="B2921" s="40" t="str">
        <f>IFERROR(__xludf.DUMMYFUNCTION("""COMPUTED_VALUE"""),"YOHANA NOVIANA MARIANA GAA")</f>
        <v>YOHANA NOVIANA MARIANA GAA</v>
      </c>
      <c r="C2921" s="40" t="str">
        <f>IFERROR(__xludf.DUMMYFUNCTION("""COMPUTED_VALUE"""),"Belum disetujui")</f>
        <v>Belum disetujui</v>
      </c>
      <c r="D2921" s="40"/>
      <c r="E2921" s="40" t="s">
        <v>11400</v>
      </c>
      <c r="F2921" s="40" t="s">
        <v>204</v>
      </c>
      <c r="G2921" s="40" t="s">
        <v>11401</v>
      </c>
      <c r="H2921" s="40" t="s">
        <v>11399</v>
      </c>
    </row>
    <row r="2922">
      <c r="A2922" s="39">
        <f>IFERROR(__xludf.DUMMYFUNCTION("""COMPUTED_VALUE"""),45980.8410815625)</f>
        <v>45980.84108</v>
      </c>
      <c r="B2922" s="40" t="str">
        <f>IFERROR(__xludf.DUMMYFUNCTION("""COMPUTED_VALUE"""),"ARMINDA TEKU MANEK")</f>
        <v>ARMINDA TEKU MANEK</v>
      </c>
      <c r="C2922" s="40" t="str">
        <f>IFERROR(__xludf.DUMMYFUNCTION("""COMPUTED_VALUE"""),"Belum disetujui")</f>
        <v>Belum disetujui</v>
      </c>
      <c r="D2922" s="40"/>
      <c r="E2922" s="40" t="s">
        <v>11474</v>
      </c>
      <c r="F2922" s="40" t="s">
        <v>313</v>
      </c>
      <c r="G2922" s="40" t="s">
        <v>11475</v>
      </c>
      <c r="H2922" s="40" t="s">
        <v>11424</v>
      </c>
    </row>
    <row r="2923">
      <c r="A2923" s="39">
        <f>IFERROR(__xludf.DUMMYFUNCTION("""COMPUTED_VALUE"""),45980.85239105324)</f>
        <v>45980.85239</v>
      </c>
      <c r="B2923" s="40" t="str">
        <f>IFERROR(__xludf.DUMMYFUNCTION("""COMPUTED_VALUE"""),"ANYARMITHA SOPHIA SUEK")</f>
        <v>ANYARMITHA SOPHIA SUEK</v>
      </c>
      <c r="C2923" s="40" t="str">
        <f>IFERROR(__xludf.DUMMYFUNCTION("""COMPUTED_VALUE"""),"Dapat limit tapi belum diproses")</f>
        <v>Dapat limit tapi belum diproses</v>
      </c>
      <c r="D2923" s="40" t="str">
        <f>IFERROR(__xludf.DUMMYFUNCTION("""COMPUTED_VALUE"""),"V60 Lite series")</f>
        <v>V60 Lite series</v>
      </c>
      <c r="E2923" s="40" t="s">
        <v>11443</v>
      </c>
      <c r="F2923" s="40" t="s">
        <v>220</v>
      </c>
      <c r="G2923" s="40" t="s">
        <v>11444</v>
      </c>
      <c r="H2923" s="40" t="s">
        <v>11399</v>
      </c>
    </row>
    <row r="2924">
      <c r="A2924" s="39">
        <f>IFERROR(__xludf.DUMMYFUNCTION("""COMPUTED_VALUE"""),45981.421822199074)</f>
        <v>45981.42182</v>
      </c>
      <c r="B2924" s="40" t="str">
        <f>IFERROR(__xludf.DUMMYFUNCTION("""COMPUTED_VALUE"""),"BERGITHA NIA OLIN")</f>
        <v>BERGITHA NIA OLIN</v>
      </c>
      <c r="C2924" s="40" t="str">
        <f>IFERROR(__xludf.DUMMYFUNCTION("""COMPUTED_VALUE"""),"Belum disetujui")</f>
        <v>Belum disetujui</v>
      </c>
      <c r="D2924" s="40"/>
      <c r="E2924" s="40" t="s">
        <v>11431</v>
      </c>
      <c r="F2924" s="40" t="s">
        <v>313</v>
      </c>
      <c r="G2924" s="40" t="s">
        <v>11432</v>
      </c>
      <c r="H2924" s="40" t="s">
        <v>11424</v>
      </c>
    </row>
    <row r="2925">
      <c r="A2925" s="39">
        <f>IFERROR(__xludf.DUMMYFUNCTION("""COMPUTED_VALUE"""),45981.42905611111)</f>
        <v>45981.42906</v>
      </c>
      <c r="B2925" s="40" t="str">
        <f>IFERROR(__xludf.DUMMYFUNCTION("""COMPUTED_VALUE"""),"MERDA PUTRI BUNGSU KENAT")</f>
        <v>MERDA PUTRI BUNGSU KENAT</v>
      </c>
      <c r="C2925" s="40" t="str">
        <f>IFERROR(__xludf.DUMMYFUNCTION("""COMPUTED_VALUE"""),"Belum disetujui")</f>
        <v>Belum disetujui</v>
      </c>
      <c r="D2925" s="40"/>
      <c r="E2925" s="40" t="s">
        <v>11422</v>
      </c>
      <c r="F2925" s="40" t="s">
        <v>215</v>
      </c>
      <c r="G2925" s="40" t="s">
        <v>11423</v>
      </c>
      <c r="H2925" s="40" t="s">
        <v>11424</v>
      </c>
    </row>
    <row r="2926">
      <c r="A2926" s="39">
        <f>IFERROR(__xludf.DUMMYFUNCTION("""COMPUTED_VALUE"""),45981.462767893514)</f>
        <v>45981.46277</v>
      </c>
      <c r="B2926" s="40" t="str">
        <f>IFERROR(__xludf.DUMMYFUNCTION("""COMPUTED_VALUE"""),"PRETI SISILIA SILA")</f>
        <v>PRETI SISILIA SILA</v>
      </c>
      <c r="C2926" s="40" t="str">
        <f>IFERROR(__xludf.DUMMYFUNCTION("""COMPUTED_VALUE"""),"ACC")</f>
        <v>ACC</v>
      </c>
      <c r="D2926" s="40" t="str">
        <f>IFERROR(__xludf.DUMMYFUNCTION("""COMPUTED_VALUE"""),"Y400 series")</f>
        <v>Y400 series</v>
      </c>
      <c r="E2926" s="40" t="s">
        <v>11456</v>
      </c>
      <c r="F2926" s="40" t="s">
        <v>667</v>
      </c>
      <c r="G2926" s="40" t="s">
        <v>11457</v>
      </c>
      <c r="H2926" s="40" t="s">
        <v>11424</v>
      </c>
    </row>
    <row r="2927">
      <c r="A2927" s="39">
        <f>IFERROR(__xludf.DUMMYFUNCTION("""COMPUTED_VALUE"""),45981.46593622684)</f>
        <v>45981.46594</v>
      </c>
      <c r="B2927" s="40" t="str">
        <f>IFERROR(__xludf.DUMMYFUNCTION("""COMPUTED_VALUE"""),"MARATHA MARLINDA FANGGIDAE")</f>
        <v>MARATHA MARLINDA FANGGIDAE</v>
      </c>
      <c r="C2927" s="40" t="str">
        <f>IFERROR(__xludf.DUMMYFUNCTION("""COMPUTED_VALUE"""),"Belum disetujui")</f>
        <v>Belum disetujui</v>
      </c>
      <c r="D2927" s="40"/>
      <c r="E2927" s="40" t="s">
        <v>11435</v>
      </c>
      <c r="F2927" s="40" t="s">
        <v>215</v>
      </c>
      <c r="G2927" s="40" t="s">
        <v>11436</v>
      </c>
      <c r="H2927" s="40" t="s">
        <v>11424</v>
      </c>
    </row>
    <row r="2928">
      <c r="A2928" s="39">
        <f>IFERROR(__xludf.DUMMYFUNCTION("""COMPUTED_VALUE"""),45981.47000872685)</f>
        <v>45981.47001</v>
      </c>
      <c r="B2928" s="40" t="str">
        <f>IFERROR(__xludf.DUMMYFUNCTION("""COMPUTED_VALUE"""),"ARMINDA TEKU MANEK")</f>
        <v>ARMINDA TEKU MANEK</v>
      </c>
      <c r="C2928" s="40" t="str">
        <f>IFERROR(__xludf.DUMMYFUNCTION("""COMPUTED_VALUE"""),"Belum disetujui")</f>
        <v>Belum disetujui</v>
      </c>
      <c r="D2928" s="40"/>
      <c r="E2928" s="40" t="s">
        <v>11474</v>
      </c>
      <c r="F2928" s="40" t="s">
        <v>313</v>
      </c>
      <c r="G2928" s="40" t="s">
        <v>11475</v>
      </c>
      <c r="H2928" s="40" t="s">
        <v>11424</v>
      </c>
    </row>
    <row r="2929">
      <c r="A2929" s="39">
        <f>IFERROR(__xludf.DUMMYFUNCTION("""COMPUTED_VALUE"""),45981.49328195602)</f>
        <v>45981.49328</v>
      </c>
      <c r="B2929" s="40" t="str">
        <f>IFERROR(__xludf.DUMMYFUNCTION("""COMPUTED_VALUE"""),"ASRI NINGSI RAMBU ATA ENDI")</f>
        <v>ASRI NINGSI RAMBU ATA ENDI</v>
      </c>
      <c r="C2929" s="40" t="str">
        <f>IFERROR(__xludf.DUMMYFUNCTION("""COMPUTED_VALUE"""),"Belum disetujui")</f>
        <v>Belum disetujui</v>
      </c>
      <c r="D2929" s="40"/>
      <c r="E2929" s="40" t="s">
        <v>11441</v>
      </c>
      <c r="F2929" s="40" t="s">
        <v>205</v>
      </c>
      <c r="G2929" s="40" t="s">
        <v>11442</v>
      </c>
      <c r="H2929" s="40" t="s">
        <v>11419</v>
      </c>
    </row>
    <row r="2930">
      <c r="A2930" s="39">
        <f>IFERROR(__xludf.DUMMYFUNCTION("""COMPUTED_VALUE"""),45981.50434236111)</f>
        <v>45981.50434</v>
      </c>
      <c r="B2930" s="40" t="str">
        <f>IFERROR(__xludf.DUMMYFUNCTION("""COMPUTED_VALUE"""),"DWITNEY PRETY WANGGANDIMA")</f>
        <v>DWITNEY PRETY WANGGANDIMA</v>
      </c>
      <c r="C2930" s="40" t="str">
        <f>IFERROR(__xludf.DUMMYFUNCTION("""COMPUTED_VALUE"""),"Belum disetujui")</f>
        <v>Belum disetujui</v>
      </c>
      <c r="D2930" s="40"/>
      <c r="E2930" s="40" t="s">
        <v>11443</v>
      </c>
      <c r="F2930" s="40" t="s">
        <v>220</v>
      </c>
      <c r="G2930" s="40" t="s">
        <v>11444</v>
      </c>
      <c r="H2930" s="40" t="s">
        <v>11399</v>
      </c>
    </row>
    <row r="2931">
      <c r="A2931" s="39">
        <f>IFERROR(__xludf.DUMMYFUNCTION("""COMPUTED_VALUE"""),45981.50448247685)</f>
        <v>45981.50448</v>
      </c>
      <c r="B2931" s="40" t="str">
        <f>IFERROR(__xludf.DUMMYFUNCTION("""COMPUTED_VALUE"""),"SULIS NURAINI INSYATUN")</f>
        <v>SULIS NURAINI INSYATUN</v>
      </c>
      <c r="C2931" s="40" t="str">
        <f>IFERROR(__xludf.DUMMYFUNCTION("""COMPUTED_VALUE"""),"ACC")</f>
        <v>ACC</v>
      </c>
      <c r="D2931" s="40" t="str">
        <f>IFERROR(__xludf.DUMMYFUNCTION("""COMPUTED_VALUE"""),"V60 Lite series")</f>
        <v>V60 Lite series</v>
      </c>
      <c r="E2931" s="40" t="s">
        <v>11429</v>
      </c>
      <c r="F2931" s="40" t="s">
        <v>257</v>
      </c>
      <c r="G2931" s="40" t="s">
        <v>11430</v>
      </c>
      <c r="H2931" s="40" t="s">
        <v>11419</v>
      </c>
    </row>
    <row r="2932">
      <c r="A2932" s="39">
        <f>IFERROR(__xludf.DUMMYFUNCTION("""COMPUTED_VALUE"""),45981.50460042825)</f>
        <v>45981.5046</v>
      </c>
      <c r="B2932" s="40" t="str">
        <f>IFERROR(__xludf.DUMMYFUNCTION("""COMPUTED_VALUE"""),"TERSIANA KADJA PAU")</f>
        <v>TERSIANA KADJA PAU</v>
      </c>
      <c r="C2932" s="40" t="str">
        <f>IFERROR(__xludf.DUMMYFUNCTION("""COMPUTED_VALUE"""),"Belum disetujui")</f>
        <v>Belum disetujui</v>
      </c>
      <c r="D2932" s="40"/>
      <c r="E2932" s="40" t="s">
        <v>11411</v>
      </c>
      <c r="F2932" s="40" t="s">
        <v>220</v>
      </c>
      <c r="G2932" s="40" t="s">
        <v>11412</v>
      </c>
      <c r="H2932" s="40" t="s">
        <v>11399</v>
      </c>
    </row>
    <row r="2933">
      <c r="A2933" s="39">
        <f>IFERROR(__xludf.DUMMYFUNCTION("""COMPUTED_VALUE"""),45981.53266888888)</f>
        <v>45981.53267</v>
      </c>
      <c r="B2933" s="40" t="str">
        <f>IFERROR(__xludf.DUMMYFUNCTION("""COMPUTED_VALUE"""),"MARATHA MARLINDA FANGGIDAE")</f>
        <v>MARATHA MARLINDA FANGGIDAE</v>
      </c>
      <c r="C2933" s="40" t="str">
        <f>IFERROR(__xludf.DUMMYFUNCTION("""COMPUTED_VALUE"""),"Belum disetujui")</f>
        <v>Belum disetujui</v>
      </c>
      <c r="D2933" s="40"/>
      <c r="E2933" s="40" t="s">
        <v>11435</v>
      </c>
      <c r="F2933" s="40" t="s">
        <v>215</v>
      </c>
      <c r="G2933" s="40" t="s">
        <v>11436</v>
      </c>
      <c r="H2933" s="40" t="s">
        <v>11424</v>
      </c>
    </row>
    <row r="2934">
      <c r="A2934" s="39">
        <f>IFERROR(__xludf.DUMMYFUNCTION("""COMPUTED_VALUE"""),45981.534654895826)</f>
        <v>45981.53465</v>
      </c>
      <c r="B2934" s="40" t="str">
        <f>IFERROR(__xludf.DUMMYFUNCTION("""COMPUTED_VALUE"""),"MARATHA MARLINDA FANGGIDAE")</f>
        <v>MARATHA MARLINDA FANGGIDAE</v>
      </c>
      <c r="C2934" s="40" t="str">
        <f>IFERROR(__xludf.DUMMYFUNCTION("""COMPUTED_VALUE"""),"Belum disetujui")</f>
        <v>Belum disetujui</v>
      </c>
      <c r="D2934" s="40"/>
      <c r="E2934" s="40" t="s">
        <v>11435</v>
      </c>
      <c r="F2934" s="40" t="s">
        <v>215</v>
      </c>
      <c r="G2934" s="40" t="s">
        <v>11436</v>
      </c>
      <c r="H2934" s="40" t="s">
        <v>11424</v>
      </c>
    </row>
    <row r="2935">
      <c r="A2935" s="39">
        <f>IFERROR(__xludf.DUMMYFUNCTION("""COMPUTED_VALUE"""),45981.54407885417)</f>
        <v>45981.54408</v>
      </c>
      <c r="B2935" s="40" t="str">
        <f>IFERROR(__xludf.DUMMYFUNCTION("""COMPUTED_VALUE"""),"MARATHA MARLINDA FANGGIDAE")</f>
        <v>MARATHA MARLINDA FANGGIDAE</v>
      </c>
      <c r="C2935" s="40" t="str">
        <f>IFERROR(__xludf.DUMMYFUNCTION("""COMPUTED_VALUE"""),"Belum disetujui")</f>
        <v>Belum disetujui</v>
      </c>
      <c r="D2935" s="40"/>
      <c r="E2935" s="40" t="s">
        <v>11435</v>
      </c>
      <c r="F2935" s="40" t="s">
        <v>215</v>
      </c>
      <c r="G2935" s="40" t="s">
        <v>11436</v>
      </c>
      <c r="H2935" s="40" t="s">
        <v>11424</v>
      </c>
    </row>
    <row r="2936">
      <c r="A2936" s="39">
        <f>IFERROR(__xludf.DUMMYFUNCTION("""COMPUTED_VALUE"""),45981.54600045139)</f>
        <v>45981.546</v>
      </c>
      <c r="B2936" s="40" t="str">
        <f>IFERROR(__xludf.DUMMYFUNCTION("""COMPUTED_VALUE"""),"ADRIANA")</f>
        <v>ADRIANA</v>
      </c>
      <c r="C2936" s="40" t="str">
        <f>IFERROR(__xludf.DUMMYFUNCTION("""COMPUTED_VALUE"""),"ACC")</f>
        <v>ACC</v>
      </c>
      <c r="D2936" s="40" t="str">
        <f>IFERROR(__xludf.DUMMYFUNCTION("""COMPUTED_VALUE"""),"Y21d series")</f>
        <v>Y21d series</v>
      </c>
      <c r="E2936" s="40" t="s">
        <v>11433</v>
      </c>
      <c r="F2936" s="40" t="s">
        <v>313</v>
      </c>
      <c r="G2936" s="40" t="s">
        <v>11434</v>
      </c>
      <c r="H2936" s="40" t="s">
        <v>11424</v>
      </c>
    </row>
    <row r="2937">
      <c r="A2937" s="39">
        <f>IFERROR(__xludf.DUMMYFUNCTION("""COMPUTED_VALUE"""),45981.54856256944)</f>
        <v>45981.54856</v>
      </c>
      <c r="B2937" s="40" t="str">
        <f>IFERROR(__xludf.DUMMYFUNCTION("""COMPUTED_VALUE"""),"NOVLIANA BARBALINA MISA")</f>
        <v>NOVLIANA BARBALINA MISA</v>
      </c>
      <c r="C2937" s="40" t="str">
        <f>IFERROR(__xludf.DUMMYFUNCTION("""COMPUTED_VALUE"""),"Belum disetujui")</f>
        <v>Belum disetujui</v>
      </c>
      <c r="D2937" s="40"/>
      <c r="E2937" s="40" t="s">
        <v>11454</v>
      </c>
      <c r="F2937" s="40" t="s">
        <v>205</v>
      </c>
      <c r="G2937" s="40" t="s">
        <v>11455</v>
      </c>
      <c r="H2937" s="40" t="s">
        <v>11419</v>
      </c>
    </row>
    <row r="2938">
      <c r="A2938" s="39">
        <f>IFERROR(__xludf.DUMMYFUNCTION("""COMPUTED_VALUE"""),45981.552401875)</f>
        <v>45981.5524</v>
      </c>
      <c r="B2938" s="40" t="str">
        <f>IFERROR(__xludf.DUMMYFUNCTION("""COMPUTED_VALUE"""),"SANTI MARIA LUKMINI NAHAK")</f>
        <v>SANTI MARIA LUKMINI NAHAK</v>
      </c>
      <c r="C2938" s="40" t="str">
        <f>IFERROR(__xludf.DUMMYFUNCTION("""COMPUTED_VALUE"""),"Belum disetujui")</f>
        <v>Belum disetujui</v>
      </c>
      <c r="D2938" s="40"/>
      <c r="E2938" s="40" t="s">
        <v>11460</v>
      </c>
      <c r="F2938" s="40" t="s">
        <v>871</v>
      </c>
      <c r="G2938" s="40" t="s">
        <v>11461</v>
      </c>
      <c r="H2938" s="40" t="s">
        <v>11424</v>
      </c>
    </row>
    <row r="2939">
      <c r="A2939" s="39">
        <f>IFERROR(__xludf.DUMMYFUNCTION("""COMPUTED_VALUE"""),45981.61553151621)</f>
        <v>45981.61553</v>
      </c>
      <c r="B2939" s="40" t="str">
        <f>IFERROR(__xludf.DUMMYFUNCTION("""COMPUTED_VALUE"""),"BERGITHA NIA OLIN")</f>
        <v>BERGITHA NIA OLIN</v>
      </c>
      <c r="C2939" s="40" t="str">
        <f>IFERROR(__xludf.DUMMYFUNCTION("""COMPUTED_VALUE"""),"Belum disetujui")</f>
        <v>Belum disetujui</v>
      </c>
      <c r="D2939" s="40"/>
      <c r="E2939" s="40" t="s">
        <v>11431</v>
      </c>
      <c r="F2939" s="40" t="s">
        <v>313</v>
      </c>
      <c r="G2939" s="40" t="s">
        <v>11432</v>
      </c>
      <c r="H2939" s="40" t="s">
        <v>11424</v>
      </c>
    </row>
    <row r="2940">
      <c r="A2940" s="39">
        <f>IFERROR(__xludf.DUMMYFUNCTION("""COMPUTED_VALUE"""),45981.6347585301)</f>
        <v>45981.63476</v>
      </c>
      <c r="B2940" s="40" t="str">
        <f>IFERROR(__xludf.DUMMYFUNCTION("""COMPUTED_VALUE"""),"KESIA NATALIA I. BENU")</f>
        <v>KESIA NATALIA I. BENU</v>
      </c>
      <c r="C2940" s="40" t="str">
        <f>IFERROR(__xludf.DUMMYFUNCTION("""COMPUTED_VALUE"""),"Belum disetujui")</f>
        <v>Belum disetujui</v>
      </c>
      <c r="D2940" s="40"/>
      <c r="E2940" s="40" t="s">
        <v>11417</v>
      </c>
      <c r="F2940" s="40" t="s">
        <v>257</v>
      </c>
      <c r="G2940" s="40" t="s">
        <v>11418</v>
      </c>
      <c r="H2940" s="40" t="s">
        <v>11419</v>
      </c>
    </row>
    <row r="2941">
      <c r="A2941" s="39">
        <f>IFERROR(__xludf.DUMMYFUNCTION("""COMPUTED_VALUE"""),45981.638782256945)</f>
        <v>45981.63878</v>
      </c>
      <c r="B2941" s="40" t="str">
        <f>IFERROR(__xludf.DUMMYFUNCTION("""COMPUTED_VALUE"""),"LASTRIANA PALUS")</f>
        <v>LASTRIANA PALUS</v>
      </c>
      <c r="C2941" s="40" t="str">
        <f>IFERROR(__xludf.DUMMYFUNCTION("""COMPUTED_VALUE"""),"Belum disetujui")</f>
        <v>Belum disetujui</v>
      </c>
      <c r="D2941" s="40"/>
      <c r="E2941" s="40" t="s">
        <v>11468</v>
      </c>
      <c r="F2941" s="40" t="s">
        <v>257</v>
      </c>
      <c r="G2941" s="40" t="s">
        <v>11469</v>
      </c>
      <c r="H2941" s="40" t="s">
        <v>11419</v>
      </c>
    </row>
    <row r="2942">
      <c r="A2942" s="39">
        <f>IFERROR(__xludf.DUMMYFUNCTION("""COMPUTED_VALUE"""),45981.65371962963)</f>
        <v>45981.65372</v>
      </c>
      <c r="B2942" s="40" t="str">
        <f>IFERROR(__xludf.DUMMYFUNCTION("""COMPUTED_VALUE"""),"SANTI MARIA LUKMINI NAHAK")</f>
        <v>SANTI MARIA LUKMINI NAHAK</v>
      </c>
      <c r="C2942" s="40" t="str">
        <f>IFERROR(__xludf.DUMMYFUNCTION("""COMPUTED_VALUE"""),"Belum disetujui")</f>
        <v>Belum disetujui</v>
      </c>
      <c r="D2942" s="40"/>
      <c r="E2942" s="40" t="s">
        <v>11460</v>
      </c>
      <c r="F2942" s="40" t="s">
        <v>871</v>
      </c>
      <c r="G2942" s="40" t="s">
        <v>11461</v>
      </c>
      <c r="H2942" s="40" t="s">
        <v>11424</v>
      </c>
    </row>
    <row r="2943">
      <c r="A2943" s="39">
        <f>IFERROR(__xludf.DUMMYFUNCTION("""COMPUTED_VALUE"""),45981.66644788195)</f>
        <v>45981.66645</v>
      </c>
      <c r="B2943" s="40" t="str">
        <f>IFERROR(__xludf.DUMMYFUNCTION("""COMPUTED_VALUE"""),"SANTI MARIA LUKMINI NAHAK")</f>
        <v>SANTI MARIA LUKMINI NAHAK</v>
      </c>
      <c r="C2943" s="40" t="str">
        <f>IFERROR(__xludf.DUMMYFUNCTION("""COMPUTED_VALUE"""),"Dapat limit tapi belum diproses")</f>
        <v>Dapat limit tapi belum diproses</v>
      </c>
      <c r="D2943" s="40" t="str">
        <f>IFERROR(__xludf.DUMMYFUNCTION("""COMPUTED_VALUE"""),"Y21d series")</f>
        <v>Y21d series</v>
      </c>
      <c r="E2943" s="40" t="s">
        <v>11460</v>
      </c>
      <c r="F2943" s="40" t="s">
        <v>871</v>
      </c>
      <c r="G2943" s="40" t="s">
        <v>11461</v>
      </c>
      <c r="H2943" s="40" t="s">
        <v>11424</v>
      </c>
    </row>
    <row r="2944">
      <c r="A2944" s="39">
        <f>IFERROR(__xludf.DUMMYFUNCTION("""COMPUTED_VALUE"""),45981.66767021991)</f>
        <v>45981.66767</v>
      </c>
      <c r="B2944" s="40" t="str">
        <f>IFERROR(__xludf.DUMMYFUNCTION("""COMPUTED_VALUE"""),"SANTI MARIA LUKMINI NAHAK")</f>
        <v>SANTI MARIA LUKMINI NAHAK</v>
      </c>
      <c r="C2944" s="40" t="str">
        <f>IFERROR(__xludf.DUMMYFUNCTION("""COMPUTED_VALUE"""),"Belum disetujui")</f>
        <v>Belum disetujui</v>
      </c>
      <c r="D2944" s="40"/>
      <c r="E2944" s="40" t="s">
        <v>11460</v>
      </c>
      <c r="F2944" s="40" t="s">
        <v>871</v>
      </c>
      <c r="G2944" s="40" t="s">
        <v>11461</v>
      </c>
      <c r="H2944" s="40" t="s">
        <v>11424</v>
      </c>
    </row>
    <row r="2945">
      <c r="A2945" s="39">
        <f>IFERROR(__xludf.DUMMYFUNCTION("""COMPUTED_VALUE"""),45981.68179826389)</f>
        <v>45981.6818</v>
      </c>
      <c r="B2945" s="40" t="str">
        <f>IFERROR(__xludf.DUMMYFUNCTION("""COMPUTED_VALUE"""),"SULIS NURAINI INSYATUN")</f>
        <v>SULIS NURAINI INSYATUN</v>
      </c>
      <c r="C2945" s="40" t="str">
        <f>IFERROR(__xludf.DUMMYFUNCTION("""COMPUTED_VALUE"""),"Dapat limit tapi belum diproses")</f>
        <v>Dapat limit tapi belum diproses</v>
      </c>
      <c r="D2945" s="40" t="str">
        <f>IFERROR(__xludf.DUMMYFUNCTION("""COMPUTED_VALUE"""),"Y21d series")</f>
        <v>Y21d series</v>
      </c>
      <c r="E2945" s="40" t="s">
        <v>11429</v>
      </c>
      <c r="F2945" s="40" t="s">
        <v>257</v>
      </c>
      <c r="G2945" s="40" t="s">
        <v>11430</v>
      </c>
      <c r="H2945" s="40" t="s">
        <v>11419</v>
      </c>
    </row>
    <row r="2946">
      <c r="A2946" s="39">
        <f>IFERROR(__xludf.DUMMYFUNCTION("""COMPUTED_VALUE"""),45981.72104059028)</f>
        <v>45981.72104</v>
      </c>
      <c r="B2946" s="40" t="str">
        <f>IFERROR(__xludf.DUMMYFUNCTION("""COMPUTED_VALUE"""),"WARDIA")</f>
        <v>WARDIA</v>
      </c>
      <c r="C2946" s="40" t="str">
        <f>IFERROR(__xludf.DUMMYFUNCTION("""COMPUTED_VALUE"""),"Belum disetujui")</f>
        <v>Belum disetujui</v>
      </c>
      <c r="D2946" s="40"/>
      <c r="E2946" s="40" t="s">
        <v>11409</v>
      </c>
      <c r="F2946" s="40" t="s">
        <v>204</v>
      </c>
      <c r="G2946" s="40" t="s">
        <v>11410</v>
      </c>
      <c r="H2946" s="40" t="s">
        <v>11399</v>
      </c>
    </row>
    <row r="2947">
      <c r="A2947" s="39">
        <f>IFERROR(__xludf.DUMMYFUNCTION("""COMPUTED_VALUE"""),45981.725838252314)</f>
        <v>45981.72584</v>
      </c>
      <c r="B2947" s="40" t="str">
        <f>IFERROR(__xludf.DUMMYFUNCTION("""COMPUTED_VALUE"""),"YOHANIS TIPNONI")</f>
        <v>YOHANIS TIPNONI</v>
      </c>
      <c r="C2947" s="40" t="str">
        <f>IFERROR(__xludf.DUMMYFUNCTION("""COMPUTED_VALUE"""),"Belum disetujui")</f>
        <v>Belum disetujui</v>
      </c>
      <c r="D2947" s="40"/>
      <c r="E2947" s="40" t="s">
        <v>11405</v>
      </c>
      <c r="F2947" s="40" t="s">
        <v>220</v>
      </c>
      <c r="G2947" s="40" t="s">
        <v>11406</v>
      </c>
      <c r="H2947" s="40" t="s">
        <v>11399</v>
      </c>
    </row>
    <row r="2948">
      <c r="A2948" s="39">
        <f>IFERROR(__xludf.DUMMYFUNCTION("""COMPUTED_VALUE"""),45981.74289393518)</f>
        <v>45981.74289</v>
      </c>
      <c r="B2948" s="40" t="str">
        <f>IFERROR(__xludf.DUMMYFUNCTION("""COMPUTED_VALUE"""),"HERONIMUS NAMU WALI")</f>
        <v>HERONIMUS NAMU WALI</v>
      </c>
      <c r="C2948" s="40" t="str">
        <f>IFERROR(__xludf.DUMMYFUNCTION("""COMPUTED_VALUE"""),"ACC")</f>
        <v>ACC</v>
      </c>
      <c r="D2948" s="40" t="str">
        <f>IFERROR(__xludf.DUMMYFUNCTION("""COMPUTED_VALUE"""),"Y21d series")</f>
        <v>Y21d series</v>
      </c>
      <c r="E2948" s="40" t="s">
        <v>11452</v>
      </c>
      <c r="F2948" s="40" t="s">
        <v>205</v>
      </c>
      <c r="G2948" s="40" t="s">
        <v>11453</v>
      </c>
      <c r="H2948" s="40" t="s">
        <v>11419</v>
      </c>
    </row>
    <row r="2949">
      <c r="A2949" s="39">
        <f>IFERROR(__xludf.DUMMYFUNCTION("""COMPUTED_VALUE"""),45981.74357018518)</f>
        <v>45981.74357</v>
      </c>
      <c r="B2949" s="40" t="str">
        <f>IFERROR(__xludf.DUMMYFUNCTION("""COMPUTED_VALUE"""),"NOVLIANA BARBALINA MISA")</f>
        <v>NOVLIANA BARBALINA MISA</v>
      </c>
      <c r="C2949" s="40" t="str">
        <f>IFERROR(__xludf.DUMMYFUNCTION("""COMPUTED_VALUE"""),"ACC")</f>
        <v>ACC</v>
      </c>
      <c r="D2949" s="40" t="str">
        <f>IFERROR(__xludf.DUMMYFUNCTION("""COMPUTED_VALUE"""),"Y21d series")</f>
        <v>Y21d series</v>
      </c>
      <c r="E2949" s="40" t="s">
        <v>11454</v>
      </c>
      <c r="F2949" s="40" t="s">
        <v>205</v>
      </c>
      <c r="G2949" s="40" t="s">
        <v>11455</v>
      </c>
      <c r="H2949" s="40" t="s">
        <v>11419</v>
      </c>
    </row>
    <row r="2950">
      <c r="A2950" s="39">
        <f>IFERROR(__xludf.DUMMYFUNCTION("""COMPUTED_VALUE"""),45981.7472800463)</f>
        <v>45981.74728</v>
      </c>
      <c r="B2950" s="40" t="str">
        <f>IFERROR(__xludf.DUMMYFUNCTION("""COMPUTED_VALUE"""),"MERDA PUTRI BUNGSU KENAT")</f>
        <v>MERDA PUTRI BUNGSU KENAT</v>
      </c>
      <c r="C2950" s="40" t="str">
        <f>IFERROR(__xludf.DUMMYFUNCTION("""COMPUTED_VALUE"""),"Dapat limit tapi belum diproses")</f>
        <v>Dapat limit tapi belum diproses</v>
      </c>
      <c r="D2950" s="40" t="str">
        <f>IFERROR(__xludf.DUMMYFUNCTION("""COMPUTED_VALUE"""),"Y21d series")</f>
        <v>Y21d series</v>
      </c>
      <c r="E2950" s="40" t="s">
        <v>11422</v>
      </c>
      <c r="F2950" s="40" t="s">
        <v>215</v>
      </c>
      <c r="G2950" s="40" t="s">
        <v>11423</v>
      </c>
      <c r="H2950" s="40" t="s">
        <v>11424</v>
      </c>
    </row>
    <row r="2951">
      <c r="A2951" s="39">
        <f>IFERROR(__xludf.DUMMYFUNCTION("""COMPUTED_VALUE"""),45981.747788032415)</f>
        <v>45981.74779</v>
      </c>
      <c r="B2951" s="40" t="str">
        <f>IFERROR(__xludf.DUMMYFUNCTION("""COMPUTED_VALUE"""),"NOVLIANA BARBALINA MISA")</f>
        <v>NOVLIANA BARBALINA MISA</v>
      </c>
      <c r="C2951" s="40" t="str">
        <f>IFERROR(__xludf.DUMMYFUNCTION("""COMPUTED_VALUE"""),"Belum disetujui")</f>
        <v>Belum disetujui</v>
      </c>
      <c r="D2951" s="40"/>
      <c r="E2951" s="40" t="s">
        <v>11454</v>
      </c>
      <c r="F2951" s="40" t="s">
        <v>205</v>
      </c>
      <c r="G2951" s="40" t="s">
        <v>11455</v>
      </c>
      <c r="H2951" s="40" t="s">
        <v>11419</v>
      </c>
    </row>
    <row r="2952">
      <c r="A2952" s="39">
        <f>IFERROR(__xludf.DUMMYFUNCTION("""COMPUTED_VALUE"""),45981.75170429398)</f>
        <v>45981.7517</v>
      </c>
      <c r="B2952" s="40" t="str">
        <f>IFERROR(__xludf.DUMMYFUNCTION("""COMPUTED_VALUE"""),"WINDRI MANOE")</f>
        <v>WINDRI MANOE</v>
      </c>
      <c r="C2952" s="40" t="str">
        <f>IFERROR(__xludf.DUMMYFUNCTION("""COMPUTED_VALUE"""),"Belum disetujui")</f>
        <v>Belum disetujui</v>
      </c>
      <c r="D2952" s="40"/>
      <c r="E2952" s="40" t="s">
        <v>11443</v>
      </c>
      <c r="F2952" s="40" t="s">
        <v>220</v>
      </c>
      <c r="G2952" s="40" t="s">
        <v>11444</v>
      </c>
      <c r="H2952" s="40" t="s">
        <v>11399</v>
      </c>
    </row>
    <row r="2953">
      <c r="A2953" s="39">
        <f>IFERROR(__xludf.DUMMYFUNCTION("""COMPUTED_VALUE"""),45981.755045335645)</f>
        <v>45981.75505</v>
      </c>
      <c r="B2953" s="40" t="str">
        <f>IFERROR(__xludf.DUMMYFUNCTION("""COMPUTED_VALUE"""),"SELVINCE BAKO")</f>
        <v>SELVINCE BAKO</v>
      </c>
      <c r="C2953" s="40" t="str">
        <f>IFERROR(__xludf.DUMMYFUNCTION("""COMPUTED_VALUE"""),"Belum disetujui")</f>
        <v>Belum disetujui</v>
      </c>
      <c r="D2953" s="40"/>
      <c r="E2953" s="40" t="s">
        <v>11413</v>
      </c>
      <c r="F2953" s="40" t="s">
        <v>204</v>
      </c>
      <c r="G2953" s="40" t="s">
        <v>11414</v>
      </c>
      <c r="H2953" s="40" t="s">
        <v>11399</v>
      </c>
    </row>
    <row r="2954">
      <c r="A2954" s="39">
        <f>IFERROR(__xludf.DUMMYFUNCTION("""COMPUTED_VALUE"""),45981.75709868056)</f>
        <v>45981.7571</v>
      </c>
      <c r="B2954" s="40" t="str">
        <f>IFERROR(__xludf.DUMMYFUNCTION("""COMPUTED_VALUE"""),"SELVINCE BAKO")</f>
        <v>SELVINCE BAKO</v>
      </c>
      <c r="C2954" s="40" t="str">
        <f>IFERROR(__xludf.DUMMYFUNCTION("""COMPUTED_VALUE"""),"Belum disetujui")</f>
        <v>Belum disetujui</v>
      </c>
      <c r="D2954" s="40"/>
      <c r="E2954" s="40" t="s">
        <v>11413</v>
      </c>
      <c r="F2954" s="40" t="s">
        <v>204</v>
      </c>
      <c r="G2954" s="40" t="s">
        <v>11414</v>
      </c>
      <c r="H2954" s="40" t="s">
        <v>11399</v>
      </c>
    </row>
    <row r="2955">
      <c r="A2955" s="39">
        <f>IFERROR(__xludf.DUMMYFUNCTION("""COMPUTED_VALUE"""),45981.76421252314)</f>
        <v>45981.76421</v>
      </c>
      <c r="B2955" s="40" t="str">
        <f>IFERROR(__xludf.DUMMYFUNCTION("""COMPUTED_VALUE"""),"BERGITHA NIA OLIN")</f>
        <v>BERGITHA NIA OLIN</v>
      </c>
      <c r="C2955" s="40" t="str">
        <f>IFERROR(__xludf.DUMMYFUNCTION("""COMPUTED_VALUE"""),"Belum disetujui")</f>
        <v>Belum disetujui</v>
      </c>
      <c r="D2955" s="40"/>
      <c r="E2955" s="40" t="s">
        <v>11431</v>
      </c>
      <c r="F2955" s="40" t="s">
        <v>313</v>
      </c>
      <c r="G2955" s="40" t="s">
        <v>11432</v>
      </c>
      <c r="H2955" s="40" t="s">
        <v>11424</v>
      </c>
    </row>
    <row r="2956">
      <c r="A2956" s="39">
        <f>IFERROR(__xludf.DUMMYFUNCTION("""COMPUTED_VALUE"""),45981.77004721065)</f>
        <v>45981.77005</v>
      </c>
      <c r="B2956" s="40" t="str">
        <f>IFERROR(__xludf.DUMMYFUNCTION("""COMPUTED_VALUE"""),"YENDRI ELISHABET BERELOE")</f>
        <v>YENDRI ELISHABET BERELOE</v>
      </c>
      <c r="C2956" s="40" t="str">
        <f>IFERROR(__xludf.DUMMYFUNCTION("""COMPUTED_VALUE"""),"Belum disetujui")</f>
        <v>Belum disetujui</v>
      </c>
      <c r="D2956" s="40"/>
      <c r="E2956" s="40" t="s">
        <v>11490</v>
      </c>
      <c r="F2956" s="40" t="s">
        <v>220</v>
      </c>
      <c r="G2956" s="40" t="s">
        <v>11491</v>
      </c>
      <c r="H2956" s="40" t="s">
        <v>11399</v>
      </c>
    </row>
    <row r="2957">
      <c r="A2957" s="39">
        <f>IFERROR(__xludf.DUMMYFUNCTION("""COMPUTED_VALUE"""),45981.77609881944)</f>
        <v>45981.7761</v>
      </c>
      <c r="B2957" s="40" t="str">
        <f>IFERROR(__xludf.DUMMYFUNCTION("""COMPUTED_VALUE"""),"MARATHA MARLINDA FANGGIDAE")</f>
        <v>MARATHA MARLINDA FANGGIDAE</v>
      </c>
      <c r="C2957" s="40" t="str">
        <f>IFERROR(__xludf.DUMMYFUNCTION("""COMPUTED_VALUE"""),"Belum disetujui")</f>
        <v>Belum disetujui</v>
      </c>
      <c r="D2957" s="40"/>
      <c r="E2957" s="40" t="s">
        <v>11435</v>
      </c>
      <c r="F2957" s="40" t="s">
        <v>215</v>
      </c>
      <c r="G2957" s="40" t="s">
        <v>11436</v>
      </c>
      <c r="H2957" s="40" t="s">
        <v>11424</v>
      </c>
    </row>
    <row r="2958">
      <c r="A2958" s="39">
        <f>IFERROR(__xludf.DUMMYFUNCTION("""COMPUTED_VALUE"""),45981.77955811343)</f>
        <v>45981.77956</v>
      </c>
      <c r="B2958" s="40" t="str">
        <f>IFERROR(__xludf.DUMMYFUNCTION("""COMPUTED_VALUE"""),"GRACELLA SARI HIVANA MANAFE")</f>
        <v>GRACELLA SARI HIVANA MANAFE</v>
      </c>
      <c r="C2958" s="40" t="str">
        <f>IFERROR(__xludf.DUMMYFUNCTION("""COMPUTED_VALUE"""),"Dapat limit tapi belum diproses")</f>
        <v>Dapat limit tapi belum diproses</v>
      </c>
      <c r="D2958" s="40" t="str">
        <f>IFERROR(__xludf.DUMMYFUNCTION("""COMPUTED_VALUE"""),"V60 series")</f>
        <v>V60 series</v>
      </c>
      <c r="E2958" s="40" t="s">
        <v>11478</v>
      </c>
      <c r="F2958" s="40" t="s">
        <v>220</v>
      </c>
      <c r="G2958" s="40" t="s">
        <v>11479</v>
      </c>
      <c r="H2958" s="40" t="s">
        <v>11399</v>
      </c>
    </row>
    <row r="2959">
      <c r="A2959" s="39">
        <f>IFERROR(__xludf.DUMMYFUNCTION("""COMPUTED_VALUE"""),45981.7800122338)</f>
        <v>45981.78001</v>
      </c>
      <c r="B2959" s="40" t="str">
        <f>IFERROR(__xludf.DUMMYFUNCTION("""COMPUTED_VALUE"""),"FERI ELI KURNIAWAN")</f>
        <v>FERI ELI KURNIAWAN</v>
      </c>
      <c r="C2959" s="40" t="str">
        <f>IFERROR(__xludf.DUMMYFUNCTION("""COMPUTED_VALUE"""),"Belum disetujui")</f>
        <v>Belum disetujui</v>
      </c>
      <c r="D2959" s="40"/>
      <c r="E2959" s="40" t="s">
        <v>11411</v>
      </c>
      <c r="F2959" s="40" t="s">
        <v>220</v>
      </c>
      <c r="G2959" s="40" t="s">
        <v>11412</v>
      </c>
      <c r="H2959" s="40" t="s">
        <v>11399</v>
      </c>
    </row>
    <row r="2960">
      <c r="A2960" s="39">
        <f>IFERROR(__xludf.DUMMYFUNCTION("""COMPUTED_VALUE"""),45981.780902638886)</f>
        <v>45981.7809</v>
      </c>
      <c r="B2960" s="40" t="str">
        <f>IFERROR(__xludf.DUMMYFUNCTION("""COMPUTED_VALUE"""),"GRACELLA SARI HIVANA MANAFE")</f>
        <v>GRACELLA SARI HIVANA MANAFE</v>
      </c>
      <c r="C2960" s="40" t="str">
        <f>IFERROR(__xludf.DUMMYFUNCTION("""COMPUTED_VALUE"""),"Belum disetujui")</f>
        <v>Belum disetujui</v>
      </c>
      <c r="D2960" s="40"/>
      <c r="E2960" s="40" t="s">
        <v>11478</v>
      </c>
      <c r="F2960" s="40" t="s">
        <v>220</v>
      </c>
      <c r="G2960" s="40" t="s">
        <v>11479</v>
      </c>
      <c r="H2960" s="40" t="s">
        <v>11399</v>
      </c>
    </row>
    <row r="2961">
      <c r="A2961" s="39">
        <f>IFERROR(__xludf.DUMMYFUNCTION("""COMPUTED_VALUE"""),45981.78678299768)</f>
        <v>45981.78678</v>
      </c>
      <c r="B2961" s="40" t="str">
        <f>IFERROR(__xludf.DUMMYFUNCTION("""COMPUTED_VALUE"""),"WINDRI MANOE")</f>
        <v>WINDRI MANOE</v>
      </c>
      <c r="C2961" s="40" t="str">
        <f>IFERROR(__xludf.DUMMYFUNCTION("""COMPUTED_VALUE"""),"Belum disetujui")</f>
        <v>Belum disetujui</v>
      </c>
      <c r="D2961" s="40"/>
      <c r="E2961" s="40" t="s">
        <v>11443</v>
      </c>
      <c r="F2961" s="40" t="s">
        <v>220</v>
      </c>
      <c r="G2961" s="40" t="s">
        <v>11444</v>
      </c>
      <c r="H2961" s="40" t="s">
        <v>11399</v>
      </c>
    </row>
    <row r="2962">
      <c r="A2962" s="39">
        <f>IFERROR(__xludf.DUMMYFUNCTION("""COMPUTED_VALUE"""),45981.7883143287)</f>
        <v>45981.78831</v>
      </c>
      <c r="B2962" s="40" t="str">
        <f>IFERROR(__xludf.DUMMYFUNCTION("""COMPUTED_VALUE"""),"MARNITHA JUWIKE TIMORATI RUNESI")</f>
        <v>MARNITHA JUWIKE TIMORATI RUNESI</v>
      </c>
      <c r="C2962" s="40" t="str">
        <f>IFERROR(__xludf.DUMMYFUNCTION("""COMPUTED_VALUE"""),"ACC")</f>
        <v>ACC</v>
      </c>
      <c r="D2962" s="40" t="str">
        <f>IFERROR(__xludf.DUMMYFUNCTION("""COMPUTED_VALUE"""),"V60 series")</f>
        <v>V60 series</v>
      </c>
      <c r="E2962" s="40" t="s">
        <v>11420</v>
      </c>
      <c r="F2962" s="40" t="s">
        <v>204</v>
      </c>
      <c r="G2962" s="40" t="s">
        <v>11421</v>
      </c>
      <c r="H2962" s="40" t="s">
        <v>11399</v>
      </c>
    </row>
    <row r="2963">
      <c r="A2963" s="39">
        <f>IFERROR(__xludf.DUMMYFUNCTION("""COMPUTED_VALUE"""),45981.797074097216)</f>
        <v>45981.79707</v>
      </c>
      <c r="B2963" s="40" t="str">
        <f>IFERROR(__xludf.DUMMYFUNCTION("""COMPUTED_VALUE"""),"WARDIA")</f>
        <v>WARDIA</v>
      </c>
      <c r="C2963" s="40" t="str">
        <f>IFERROR(__xludf.DUMMYFUNCTION("""COMPUTED_VALUE"""),"Belum disetujui")</f>
        <v>Belum disetujui</v>
      </c>
      <c r="D2963" s="40"/>
      <c r="E2963" s="40" t="s">
        <v>11409</v>
      </c>
      <c r="F2963" s="40" t="s">
        <v>204</v>
      </c>
      <c r="G2963" s="40" t="s">
        <v>11410</v>
      </c>
      <c r="H2963" s="40" t="s">
        <v>11399</v>
      </c>
    </row>
    <row r="2964">
      <c r="A2964" s="39">
        <f>IFERROR(__xludf.DUMMYFUNCTION("""COMPUTED_VALUE"""),45981.80478885417)</f>
        <v>45981.80479</v>
      </c>
      <c r="B2964" s="40" t="str">
        <f>IFERROR(__xludf.DUMMYFUNCTION("""COMPUTED_VALUE"""),"HERONIMUS NAMU WALI")</f>
        <v>HERONIMUS NAMU WALI</v>
      </c>
      <c r="C2964" s="40" t="str">
        <f>IFERROR(__xludf.DUMMYFUNCTION("""COMPUTED_VALUE"""),"ACC")</f>
        <v>ACC</v>
      </c>
      <c r="D2964" s="40" t="str">
        <f>IFERROR(__xludf.DUMMYFUNCTION("""COMPUTED_VALUE"""),"V50 Lite series")</f>
        <v>V50 Lite series</v>
      </c>
      <c r="E2964" s="40" t="s">
        <v>11452</v>
      </c>
      <c r="F2964" s="40" t="s">
        <v>205</v>
      </c>
      <c r="G2964" s="40" t="s">
        <v>11453</v>
      </c>
      <c r="H2964" s="40" t="s">
        <v>11419</v>
      </c>
    </row>
    <row r="2965">
      <c r="A2965" s="39">
        <f>IFERROR(__xludf.DUMMYFUNCTION("""COMPUTED_VALUE"""),45981.82748461806)</f>
        <v>45981.82748</v>
      </c>
      <c r="B2965" s="40" t="str">
        <f>IFERROR(__xludf.DUMMYFUNCTION("""COMPUTED_VALUE"""),"MEXY ALEXANDER HETMINA")</f>
        <v>MEXY ALEXANDER HETMINA</v>
      </c>
      <c r="C2965" s="40" t="str">
        <f>IFERROR(__xludf.DUMMYFUNCTION("""COMPUTED_VALUE"""),"Belum disetujui")</f>
        <v>Belum disetujui</v>
      </c>
      <c r="D2965" s="40"/>
      <c r="E2965" s="40" t="s">
        <v>11413</v>
      </c>
      <c r="F2965" s="40" t="s">
        <v>204</v>
      </c>
      <c r="G2965" s="40" t="s">
        <v>11414</v>
      </c>
      <c r="H2965" s="40" t="s">
        <v>11399</v>
      </c>
    </row>
    <row r="2966">
      <c r="A2966" s="39">
        <f>IFERROR(__xludf.DUMMYFUNCTION("""COMPUTED_VALUE"""),45981.82814738426)</f>
        <v>45981.82815</v>
      </c>
      <c r="B2966" s="40" t="str">
        <f>IFERROR(__xludf.DUMMYFUNCTION("""COMPUTED_VALUE"""),"WARDIA")</f>
        <v>WARDIA</v>
      </c>
      <c r="C2966" s="40" t="str">
        <f>IFERROR(__xludf.DUMMYFUNCTION("""COMPUTED_VALUE"""),"Belum disetujui")</f>
        <v>Belum disetujui</v>
      </c>
      <c r="D2966" s="40"/>
      <c r="E2966" s="40" t="s">
        <v>11409</v>
      </c>
      <c r="F2966" s="40" t="s">
        <v>204</v>
      </c>
      <c r="G2966" s="40" t="s">
        <v>11410</v>
      </c>
      <c r="H2966" s="40" t="s">
        <v>11399</v>
      </c>
    </row>
    <row r="2967">
      <c r="A2967" s="39">
        <f>IFERROR(__xludf.DUMMYFUNCTION("""COMPUTED_VALUE"""),45981.85652084491)</f>
        <v>45981.85652</v>
      </c>
      <c r="B2967" s="40" t="str">
        <f>IFERROR(__xludf.DUMMYFUNCTION("""COMPUTED_VALUE"""),"BERGITHA NIA OLIN")</f>
        <v>BERGITHA NIA OLIN</v>
      </c>
      <c r="C2967" s="40" t="str">
        <f>IFERROR(__xludf.DUMMYFUNCTION("""COMPUTED_VALUE"""),"Belum disetujui")</f>
        <v>Belum disetujui</v>
      </c>
      <c r="D2967" s="40"/>
      <c r="E2967" s="40" t="s">
        <v>11431</v>
      </c>
      <c r="F2967" s="40" t="s">
        <v>313</v>
      </c>
      <c r="G2967" s="40" t="s">
        <v>11432</v>
      </c>
      <c r="H2967" s="40" t="s">
        <v>11424</v>
      </c>
    </row>
    <row r="2968">
      <c r="A2968" s="39">
        <f>IFERROR(__xludf.DUMMYFUNCTION("""COMPUTED_VALUE"""),45981.881485405094)</f>
        <v>45981.88149</v>
      </c>
      <c r="B2968" s="40" t="str">
        <f>IFERROR(__xludf.DUMMYFUNCTION("""COMPUTED_VALUE"""),"YOHANIS TIPNONI")</f>
        <v>YOHANIS TIPNONI</v>
      </c>
      <c r="C2968" s="40" t="str">
        <f>IFERROR(__xludf.DUMMYFUNCTION("""COMPUTED_VALUE"""),"Dapat limit tapi belum diproses")</f>
        <v>Dapat limit tapi belum diproses</v>
      </c>
      <c r="D2968" s="40" t="str">
        <f>IFERROR(__xludf.DUMMYFUNCTION("""COMPUTED_VALUE"""),"Y21d series")</f>
        <v>Y21d series</v>
      </c>
      <c r="E2968" s="40" t="s">
        <v>11405</v>
      </c>
      <c r="F2968" s="40" t="s">
        <v>220</v>
      </c>
      <c r="G2968" s="40" t="s">
        <v>11406</v>
      </c>
      <c r="H2968" s="40" t="s">
        <v>11399</v>
      </c>
    </row>
    <row r="2969">
      <c r="A2969" s="39">
        <f>IFERROR(__xludf.DUMMYFUNCTION("""COMPUTED_VALUE"""),45981.92678078704)</f>
        <v>45981.92678</v>
      </c>
      <c r="B2969" s="40" t="str">
        <f>IFERROR(__xludf.DUMMYFUNCTION("""COMPUTED_VALUE"""),"FREDERIKA ALVONSIA LENGO")</f>
        <v>FREDERIKA ALVONSIA LENGO</v>
      </c>
      <c r="C2969" s="40" t="str">
        <f>IFERROR(__xludf.DUMMYFUNCTION("""COMPUTED_VALUE"""),"Belum disetujui")</f>
        <v>Belum disetujui</v>
      </c>
      <c r="D2969" s="40"/>
      <c r="E2969" s="40" t="s">
        <v>11488</v>
      </c>
      <c r="F2969" s="40" t="s">
        <v>204</v>
      </c>
      <c r="G2969" s="40" t="s">
        <v>11489</v>
      </c>
      <c r="H2969" s="40" t="s">
        <v>11399</v>
      </c>
    </row>
    <row r="2970">
      <c r="A2970" s="39">
        <f>IFERROR(__xludf.DUMMYFUNCTION("""COMPUTED_VALUE"""),45982.41699740741)</f>
        <v>45982.417</v>
      </c>
      <c r="B2970" s="40" t="str">
        <f>IFERROR(__xludf.DUMMYFUNCTION("""COMPUTED_VALUE"""),"KESIA NATALIA I. BENU")</f>
        <v>KESIA NATALIA I. BENU</v>
      </c>
      <c r="C2970" s="40" t="str">
        <f>IFERROR(__xludf.DUMMYFUNCTION("""COMPUTED_VALUE"""),"ACC")</f>
        <v>ACC</v>
      </c>
      <c r="D2970" s="40" t="str">
        <f>IFERROR(__xludf.DUMMYFUNCTION("""COMPUTED_VALUE"""),"Y400 series")</f>
        <v>Y400 series</v>
      </c>
      <c r="E2970" s="40" t="s">
        <v>11417</v>
      </c>
      <c r="F2970" s="40" t="s">
        <v>257</v>
      </c>
      <c r="G2970" s="40" t="s">
        <v>11418</v>
      </c>
      <c r="H2970" s="40" t="s">
        <v>11419</v>
      </c>
    </row>
    <row r="2971">
      <c r="A2971" s="39">
        <f>IFERROR(__xludf.DUMMYFUNCTION("""COMPUTED_VALUE"""),45982.45579197916)</f>
        <v>45982.45579</v>
      </c>
      <c r="B2971" s="40" t="str">
        <f>IFERROR(__xludf.DUMMYFUNCTION("""COMPUTED_VALUE"""),"BERGITHA NIA OLIN")</f>
        <v>BERGITHA NIA OLIN</v>
      </c>
      <c r="C2971" s="40" t="str">
        <f>IFERROR(__xludf.DUMMYFUNCTION("""COMPUTED_VALUE"""),"Belum disetujui")</f>
        <v>Belum disetujui</v>
      </c>
      <c r="D2971" s="40"/>
      <c r="E2971" s="40" t="s">
        <v>11431</v>
      </c>
      <c r="F2971" s="40" t="s">
        <v>313</v>
      </c>
      <c r="G2971" s="40" t="s">
        <v>11432</v>
      </c>
      <c r="H2971" s="40" t="s">
        <v>11424</v>
      </c>
    </row>
    <row r="2972">
      <c r="A2972" s="39">
        <f>IFERROR(__xludf.DUMMYFUNCTION("""COMPUTED_VALUE"""),45982.45877641203)</f>
        <v>45982.45878</v>
      </c>
      <c r="B2972" s="40" t="str">
        <f>IFERROR(__xludf.DUMMYFUNCTION("""COMPUTED_VALUE"""),"ANDHIKA ULLY")</f>
        <v>ANDHIKA ULLY</v>
      </c>
      <c r="C2972" s="40" t="str">
        <f>IFERROR(__xludf.DUMMYFUNCTION("""COMPUTED_VALUE"""),"Belum disetujui")</f>
        <v>Belum disetujui</v>
      </c>
      <c r="D2972" s="40"/>
      <c r="E2972" s="40" t="s">
        <v>11482</v>
      </c>
      <c r="F2972" s="40" t="s">
        <v>220</v>
      </c>
      <c r="G2972" s="40" t="s">
        <v>11483</v>
      </c>
      <c r="H2972" s="40" t="s">
        <v>11399</v>
      </c>
    </row>
    <row r="2973">
      <c r="A2973" s="39">
        <f>IFERROR(__xludf.DUMMYFUNCTION("""COMPUTED_VALUE"""),45982.489807499995)</f>
        <v>45982.48981</v>
      </c>
      <c r="B2973" s="40" t="str">
        <f>IFERROR(__xludf.DUMMYFUNCTION("""COMPUTED_VALUE"""),"MARNITHA JUWIKE TIMORATI RUNESI")</f>
        <v>MARNITHA JUWIKE TIMORATI RUNESI</v>
      </c>
      <c r="C2973" s="40" t="str">
        <f>IFERROR(__xludf.DUMMYFUNCTION("""COMPUTED_VALUE"""),"ACC")</f>
        <v>ACC</v>
      </c>
      <c r="D2973" s="40" t="str">
        <f>IFERROR(__xludf.DUMMYFUNCTION("""COMPUTED_VALUE"""),"Y21d series")</f>
        <v>Y21d series</v>
      </c>
      <c r="E2973" s="40" t="s">
        <v>11420</v>
      </c>
      <c r="F2973" s="40" t="s">
        <v>204</v>
      </c>
      <c r="G2973" s="40" t="s">
        <v>11421</v>
      </c>
      <c r="H2973" s="40" t="s">
        <v>11399</v>
      </c>
    </row>
    <row r="2974">
      <c r="A2974" s="39">
        <f>IFERROR(__xludf.DUMMYFUNCTION("""COMPUTED_VALUE"""),45982.49845068287)</f>
        <v>45982.49845</v>
      </c>
      <c r="B2974" s="40" t="str">
        <f>IFERROR(__xludf.DUMMYFUNCTION("""COMPUTED_VALUE"""),"ANNA RAHMATIA JUFRI")</f>
        <v>ANNA RAHMATIA JUFRI</v>
      </c>
      <c r="C2974" s="40" t="str">
        <f>IFERROR(__xludf.DUMMYFUNCTION("""COMPUTED_VALUE"""),"Dapat limit tapi belum diproses")</f>
        <v>Dapat limit tapi belum diproses</v>
      </c>
      <c r="D2974" s="40" t="str">
        <f>IFERROR(__xludf.DUMMYFUNCTION("""COMPUTED_VALUE"""),"Y21d series")</f>
        <v>Y21d series</v>
      </c>
      <c r="E2974" s="40" t="s">
        <v>11484</v>
      </c>
      <c r="F2974" s="40" t="s">
        <v>11450</v>
      </c>
      <c r="G2974" s="40" t="s">
        <v>11485</v>
      </c>
      <c r="H2974" s="40" t="s">
        <v>11424</v>
      </c>
    </row>
    <row r="2975">
      <c r="A2975" s="39">
        <f>IFERROR(__xludf.DUMMYFUNCTION("""COMPUTED_VALUE"""),45982.49858555555)</f>
        <v>45982.49859</v>
      </c>
      <c r="B2975" s="40" t="str">
        <f>IFERROR(__xludf.DUMMYFUNCTION("""COMPUTED_VALUE"""),"ARMINDA TEKU MANEK")</f>
        <v>ARMINDA TEKU MANEK</v>
      </c>
      <c r="C2975" s="40" t="str">
        <f>IFERROR(__xludf.DUMMYFUNCTION("""COMPUTED_VALUE"""),"Belum disetujui")</f>
        <v>Belum disetujui</v>
      </c>
      <c r="D2975" s="40"/>
      <c r="E2975" s="40" t="s">
        <v>11474</v>
      </c>
      <c r="F2975" s="40" t="s">
        <v>313</v>
      </c>
      <c r="G2975" s="40" t="s">
        <v>11475</v>
      </c>
      <c r="H2975" s="40" t="s">
        <v>11424</v>
      </c>
    </row>
    <row r="2976">
      <c r="A2976" s="39">
        <f>IFERROR(__xludf.DUMMYFUNCTION("""COMPUTED_VALUE"""),45982.50395359954)</f>
        <v>45982.50395</v>
      </c>
      <c r="B2976" s="40" t="str">
        <f>IFERROR(__xludf.DUMMYFUNCTION("""COMPUTED_VALUE"""),"BERGITHA NIA OLIN")</f>
        <v>BERGITHA NIA OLIN</v>
      </c>
      <c r="C2976" s="40" t="str">
        <f>IFERROR(__xludf.DUMMYFUNCTION("""COMPUTED_VALUE"""),"Belum disetujui")</f>
        <v>Belum disetujui</v>
      </c>
      <c r="D2976" s="40"/>
      <c r="E2976" s="40" t="s">
        <v>11431</v>
      </c>
      <c r="F2976" s="40" t="s">
        <v>313</v>
      </c>
      <c r="G2976" s="40" t="s">
        <v>11432</v>
      </c>
      <c r="H2976" s="40" t="s">
        <v>11424</v>
      </c>
    </row>
    <row r="2977">
      <c r="A2977" s="39">
        <f>IFERROR(__xludf.DUMMYFUNCTION("""COMPUTED_VALUE"""),45982.504414016206)</f>
        <v>45982.50441</v>
      </c>
      <c r="B2977" s="40" t="str">
        <f>IFERROR(__xludf.DUMMYFUNCTION("""COMPUTED_VALUE"""),"BERGITHA NIA OLIN")</f>
        <v>BERGITHA NIA OLIN</v>
      </c>
      <c r="C2977" s="40" t="str">
        <f>IFERROR(__xludf.DUMMYFUNCTION("""COMPUTED_VALUE"""),"Dapat limit tapi belum diproses")</f>
        <v>Dapat limit tapi belum diproses</v>
      </c>
      <c r="D2977" s="40" t="str">
        <f>IFERROR(__xludf.DUMMYFUNCTION("""COMPUTED_VALUE"""),"Y21d series")</f>
        <v>Y21d series</v>
      </c>
      <c r="E2977" s="40" t="s">
        <v>11431</v>
      </c>
      <c r="F2977" s="40" t="s">
        <v>313</v>
      </c>
      <c r="G2977" s="40" t="s">
        <v>11432</v>
      </c>
      <c r="H2977" s="40" t="s">
        <v>11424</v>
      </c>
    </row>
    <row r="2978">
      <c r="A2978" s="39">
        <f>IFERROR(__xludf.DUMMYFUNCTION("""COMPUTED_VALUE"""),45982.5103475463)</f>
        <v>45982.51035</v>
      </c>
      <c r="B2978" s="40" t="str">
        <f>IFERROR(__xludf.DUMMYFUNCTION("""COMPUTED_VALUE"""),"JULIA DESY CASANDRA DA SILVA FREITAS")</f>
        <v>JULIA DESY CASANDRA DA SILVA FREITAS</v>
      </c>
      <c r="C2978" s="40" t="str">
        <f>IFERROR(__xludf.DUMMYFUNCTION("""COMPUTED_VALUE"""),"Belum disetujui")</f>
        <v>Belum disetujui</v>
      </c>
      <c r="D2978" s="40"/>
      <c r="E2978" s="40" t="s">
        <v>11480</v>
      </c>
      <c r="F2978" s="40" t="s">
        <v>220</v>
      </c>
      <c r="G2978" s="40" t="s">
        <v>11481</v>
      </c>
      <c r="H2978" s="40" t="s">
        <v>11399</v>
      </c>
    </row>
    <row r="2979">
      <c r="A2979" s="39">
        <f>IFERROR(__xludf.DUMMYFUNCTION("""COMPUTED_VALUE"""),45982.51778633102)</f>
        <v>45982.51779</v>
      </c>
      <c r="B2979" s="40" t="str">
        <f>IFERROR(__xludf.DUMMYFUNCTION("""COMPUTED_VALUE"""),"YENDRI ELISHABET BERELOE")</f>
        <v>YENDRI ELISHABET BERELOE</v>
      </c>
      <c r="C2979" s="40" t="str">
        <f>IFERROR(__xludf.DUMMYFUNCTION("""COMPUTED_VALUE"""),"Dapat limit tapi belum diproses")</f>
        <v>Dapat limit tapi belum diproses</v>
      </c>
      <c r="D2979" s="40" t="str">
        <f>IFERROR(__xludf.DUMMYFUNCTION("""COMPUTED_VALUE"""),"Y400 series")</f>
        <v>Y400 series</v>
      </c>
      <c r="E2979" s="40" t="s">
        <v>11490</v>
      </c>
      <c r="F2979" s="40" t="s">
        <v>220</v>
      </c>
      <c r="G2979" s="40" t="s">
        <v>11491</v>
      </c>
      <c r="H2979" s="40" t="s">
        <v>11399</v>
      </c>
    </row>
    <row r="2980">
      <c r="A2980" s="39">
        <f>IFERROR(__xludf.DUMMYFUNCTION("""COMPUTED_VALUE"""),45982.51950275463)</f>
        <v>45982.5195</v>
      </c>
      <c r="B2980" s="40" t="str">
        <f>IFERROR(__xludf.DUMMYFUNCTION("""COMPUTED_VALUE"""),"MARNITHA JUWIKE TIMORATI RUNESI")</f>
        <v>MARNITHA JUWIKE TIMORATI RUNESI</v>
      </c>
      <c r="C2980" s="40" t="str">
        <f>IFERROR(__xludf.DUMMYFUNCTION("""COMPUTED_VALUE"""),"Belum disetujui")</f>
        <v>Belum disetujui</v>
      </c>
      <c r="D2980" s="40"/>
      <c r="E2980" s="40" t="s">
        <v>11420</v>
      </c>
      <c r="F2980" s="40" t="s">
        <v>204</v>
      </c>
      <c r="G2980" s="40" t="s">
        <v>11421</v>
      </c>
      <c r="H2980" s="40" t="s">
        <v>11399</v>
      </c>
    </row>
    <row r="2981">
      <c r="A2981" s="39">
        <f>IFERROR(__xludf.DUMMYFUNCTION("""COMPUTED_VALUE"""),45982.53047675926)</f>
        <v>45982.53048</v>
      </c>
      <c r="B2981" s="40" t="str">
        <f>IFERROR(__xludf.DUMMYFUNCTION("""COMPUTED_VALUE"""),"EMPI FRANGKI LIEM")</f>
        <v>EMPI FRANGKI LIEM</v>
      </c>
      <c r="C2981" s="40" t="str">
        <f>IFERROR(__xludf.DUMMYFUNCTION("""COMPUTED_VALUE"""),"Belum disetujui")</f>
        <v>Belum disetujui</v>
      </c>
      <c r="D2981" s="40"/>
      <c r="E2981" s="40" t="s">
        <v>11397</v>
      </c>
      <c r="F2981" s="40" t="s">
        <v>220</v>
      </c>
      <c r="G2981" s="40" t="s">
        <v>11398</v>
      </c>
      <c r="H2981" s="40" t="s">
        <v>11399</v>
      </c>
    </row>
    <row r="2982">
      <c r="A2982" s="39">
        <f>IFERROR(__xludf.DUMMYFUNCTION("""COMPUTED_VALUE"""),45982.54593600694)</f>
        <v>45982.54594</v>
      </c>
      <c r="B2982" s="40" t="str">
        <f>IFERROR(__xludf.DUMMYFUNCTION("""COMPUTED_VALUE"""),"ADRIANA")</f>
        <v>ADRIANA</v>
      </c>
      <c r="C2982" s="40" t="str">
        <f>IFERROR(__xludf.DUMMYFUNCTION("""COMPUTED_VALUE"""),"ACC")</f>
        <v>ACC</v>
      </c>
      <c r="D2982" s="40" t="str">
        <f>IFERROR(__xludf.DUMMYFUNCTION("""COMPUTED_VALUE"""),"Y21d series")</f>
        <v>Y21d series</v>
      </c>
      <c r="E2982" s="40" t="s">
        <v>11433</v>
      </c>
      <c r="F2982" s="40" t="s">
        <v>313</v>
      </c>
      <c r="G2982" s="40" t="s">
        <v>11434</v>
      </c>
      <c r="H2982" s="40" t="s">
        <v>11424</v>
      </c>
    </row>
    <row r="2983">
      <c r="A2983" s="39">
        <f>IFERROR(__xludf.DUMMYFUNCTION("""COMPUTED_VALUE"""),45982.5467146875)</f>
        <v>45982.54671</v>
      </c>
      <c r="B2983" s="40" t="str">
        <f>IFERROR(__xludf.DUMMYFUNCTION("""COMPUTED_VALUE"""),"WARDIA")</f>
        <v>WARDIA</v>
      </c>
      <c r="C2983" s="40" t="str">
        <f>IFERROR(__xludf.DUMMYFUNCTION("""COMPUTED_VALUE"""),"Belum disetujui")</f>
        <v>Belum disetujui</v>
      </c>
      <c r="D2983" s="40"/>
      <c r="E2983" s="40" t="s">
        <v>11409</v>
      </c>
      <c r="F2983" s="40" t="s">
        <v>204</v>
      </c>
      <c r="G2983" s="40" t="s">
        <v>11410</v>
      </c>
      <c r="H2983" s="40" t="s">
        <v>11399</v>
      </c>
    </row>
    <row r="2984">
      <c r="A2984" s="39">
        <f>IFERROR(__xludf.DUMMYFUNCTION("""COMPUTED_VALUE"""),45982.565287847225)</f>
        <v>45982.56529</v>
      </c>
      <c r="B2984" s="40" t="str">
        <f>IFERROR(__xludf.DUMMYFUNCTION("""COMPUTED_VALUE"""),"ANYARMITHA SOPHIA SUEK")</f>
        <v>ANYARMITHA SOPHIA SUEK</v>
      </c>
      <c r="C2984" s="40" t="str">
        <f>IFERROR(__xludf.DUMMYFUNCTION("""COMPUTED_VALUE"""),"Belum disetujui")</f>
        <v>Belum disetujui</v>
      </c>
      <c r="D2984" s="40"/>
      <c r="E2984" s="40" t="s">
        <v>11443</v>
      </c>
      <c r="F2984" s="40" t="s">
        <v>220</v>
      </c>
      <c r="G2984" s="40" t="s">
        <v>11444</v>
      </c>
      <c r="H2984" s="40" t="s">
        <v>11399</v>
      </c>
    </row>
    <row r="2985">
      <c r="A2985" s="39">
        <f>IFERROR(__xludf.DUMMYFUNCTION("""COMPUTED_VALUE"""),45982.576217002315)</f>
        <v>45982.57622</v>
      </c>
      <c r="B2985" s="40" t="str">
        <f>IFERROR(__xludf.DUMMYFUNCTION("""COMPUTED_VALUE"""),"HERONIMUS NAMU WALI")</f>
        <v>HERONIMUS NAMU WALI</v>
      </c>
      <c r="C2985" s="40" t="str">
        <f>IFERROR(__xludf.DUMMYFUNCTION("""COMPUTED_VALUE"""),"ACC")</f>
        <v>ACC</v>
      </c>
      <c r="D2985" s="40" t="str">
        <f>IFERROR(__xludf.DUMMYFUNCTION("""COMPUTED_VALUE"""),"Y400 series")</f>
        <v>Y400 series</v>
      </c>
      <c r="E2985" s="40" t="s">
        <v>11452</v>
      </c>
      <c r="F2985" s="40" t="s">
        <v>205</v>
      </c>
      <c r="G2985" s="40" t="s">
        <v>11453</v>
      </c>
      <c r="H2985" s="40" t="s">
        <v>11419</v>
      </c>
    </row>
    <row r="2986">
      <c r="A2986" s="39">
        <f>IFERROR(__xludf.DUMMYFUNCTION("""COMPUTED_VALUE"""),45982.58710471065)</f>
        <v>45982.5871</v>
      </c>
      <c r="B2986" s="40" t="str">
        <f>IFERROR(__xludf.DUMMYFUNCTION("""COMPUTED_VALUE"""),"IDMAL YUSDIRAN YUSUF")</f>
        <v>IDMAL YUSDIRAN YUSUF</v>
      </c>
      <c r="C2986" s="40" t="str">
        <f>IFERROR(__xludf.DUMMYFUNCTION("""COMPUTED_VALUE"""),"Belum disetujui")</f>
        <v>Belum disetujui</v>
      </c>
      <c r="D2986" s="40"/>
      <c r="E2986" s="40" t="s">
        <v>11417</v>
      </c>
      <c r="F2986" s="40" t="s">
        <v>257</v>
      </c>
      <c r="G2986" s="40" t="s">
        <v>11418</v>
      </c>
      <c r="H2986" s="40" t="s">
        <v>11419</v>
      </c>
    </row>
    <row r="2987">
      <c r="A2987" s="39">
        <f>IFERROR(__xludf.DUMMYFUNCTION("""COMPUTED_VALUE"""),45982.60442293981)</f>
        <v>45982.60442</v>
      </c>
      <c r="B2987" s="40" t="str">
        <f>IFERROR(__xludf.DUMMYFUNCTION("""COMPUTED_VALUE"""),"ASTUTI BELA WAWO")</f>
        <v>ASTUTI BELA WAWO</v>
      </c>
      <c r="C2987" s="40" t="str">
        <f>IFERROR(__xludf.DUMMYFUNCTION("""COMPUTED_VALUE"""),"ACC")</f>
        <v>ACC</v>
      </c>
      <c r="D2987" s="40" t="str">
        <f>IFERROR(__xludf.DUMMYFUNCTION("""COMPUTED_VALUE"""),"Y21d series")</f>
        <v>Y21d series</v>
      </c>
      <c r="E2987" s="40" t="s">
        <v>11427</v>
      </c>
      <c r="F2987" s="40" t="s">
        <v>257</v>
      </c>
      <c r="G2987" s="40" t="s">
        <v>11428</v>
      </c>
      <c r="H2987" s="40" t="s">
        <v>11419</v>
      </c>
    </row>
    <row r="2988">
      <c r="A2988" s="39">
        <f>IFERROR(__xludf.DUMMYFUNCTION("""COMPUTED_VALUE"""),45982.60631707176)</f>
        <v>45982.60632</v>
      </c>
      <c r="B2988" s="40" t="str">
        <f>IFERROR(__xludf.DUMMYFUNCTION("""COMPUTED_VALUE"""),"ASTUTI BELA WAWO")</f>
        <v>ASTUTI BELA WAWO</v>
      </c>
      <c r="C2988" s="40" t="str">
        <f>IFERROR(__xludf.DUMMYFUNCTION("""COMPUTED_VALUE"""),"ACC")</f>
        <v>ACC</v>
      </c>
      <c r="D2988" s="40" t="str">
        <f>IFERROR(__xludf.DUMMYFUNCTION("""COMPUTED_VALUE"""),"Y21d series")</f>
        <v>Y21d series</v>
      </c>
      <c r="E2988" s="40" t="s">
        <v>11427</v>
      </c>
      <c r="F2988" s="40" t="s">
        <v>257</v>
      </c>
      <c r="G2988" s="40" t="s">
        <v>11428</v>
      </c>
      <c r="H2988" s="40" t="s">
        <v>11419</v>
      </c>
    </row>
    <row r="2989">
      <c r="A2989" s="39">
        <f>IFERROR(__xludf.DUMMYFUNCTION("""COMPUTED_VALUE"""),45982.610566979165)</f>
        <v>45982.61057</v>
      </c>
      <c r="B2989" s="40" t="str">
        <f>IFERROR(__xludf.DUMMYFUNCTION("""COMPUTED_VALUE"""),"ASRI NINGSI RAMBU ATA ENDI")</f>
        <v>ASRI NINGSI RAMBU ATA ENDI</v>
      </c>
      <c r="C2989" s="40" t="str">
        <f>IFERROR(__xludf.DUMMYFUNCTION("""COMPUTED_VALUE"""),"ACC")</f>
        <v>ACC</v>
      </c>
      <c r="D2989" s="40" t="str">
        <f>IFERROR(__xludf.DUMMYFUNCTION("""COMPUTED_VALUE"""),"Y400 series")</f>
        <v>Y400 series</v>
      </c>
      <c r="E2989" s="40" t="s">
        <v>11441</v>
      </c>
      <c r="F2989" s="40" t="s">
        <v>205</v>
      </c>
      <c r="G2989" s="40" t="s">
        <v>11442</v>
      </c>
      <c r="H2989" s="40" t="s">
        <v>11419</v>
      </c>
    </row>
    <row r="2990">
      <c r="A2990" s="39">
        <f>IFERROR(__xludf.DUMMYFUNCTION("""COMPUTED_VALUE"""),45982.63453368055)</f>
        <v>45982.63453</v>
      </c>
      <c r="B2990" s="40" t="str">
        <f>IFERROR(__xludf.DUMMYFUNCTION("""COMPUTED_VALUE"""),"SULIS NURAINI INSYATUN")</f>
        <v>SULIS NURAINI INSYATUN</v>
      </c>
      <c r="C2990" s="40" t="str">
        <f>IFERROR(__xludf.DUMMYFUNCTION("""COMPUTED_VALUE"""),"Belum disetujui")</f>
        <v>Belum disetujui</v>
      </c>
      <c r="D2990" s="40"/>
      <c r="E2990" s="40" t="s">
        <v>11429</v>
      </c>
      <c r="F2990" s="40" t="s">
        <v>257</v>
      </c>
      <c r="G2990" s="40" t="s">
        <v>11430</v>
      </c>
      <c r="H2990" s="40" t="s">
        <v>11419</v>
      </c>
    </row>
    <row r="2991">
      <c r="A2991" s="39">
        <f>IFERROR(__xludf.DUMMYFUNCTION("""COMPUTED_VALUE"""),45982.63977215278)</f>
        <v>45982.63977</v>
      </c>
      <c r="B2991" s="40" t="str">
        <f>IFERROR(__xludf.DUMMYFUNCTION("""COMPUTED_VALUE"""),"ANNA RAHMATIA JUFRI")</f>
        <v>ANNA RAHMATIA JUFRI</v>
      </c>
      <c r="C2991" s="40" t="str">
        <f>IFERROR(__xludf.DUMMYFUNCTION("""COMPUTED_VALUE"""),"Belum disetujui")</f>
        <v>Belum disetujui</v>
      </c>
      <c r="D2991" s="40"/>
      <c r="E2991" s="40" t="s">
        <v>11484</v>
      </c>
      <c r="F2991" s="40" t="s">
        <v>11450</v>
      </c>
      <c r="G2991" s="40" t="s">
        <v>11485</v>
      </c>
      <c r="H2991" s="40" t="s">
        <v>11424</v>
      </c>
    </row>
    <row r="2992">
      <c r="A2992" s="39">
        <f>IFERROR(__xludf.DUMMYFUNCTION("""COMPUTED_VALUE"""),45982.64549106482)</f>
        <v>45982.64549</v>
      </c>
      <c r="B2992" s="40" t="str">
        <f>IFERROR(__xludf.DUMMYFUNCTION("""COMPUTED_VALUE"""),"AMBU BAIQ JUMENAH")</f>
        <v>AMBU BAIQ JUMENAH</v>
      </c>
      <c r="C2992" s="40" t="str">
        <f>IFERROR(__xludf.DUMMYFUNCTION("""COMPUTED_VALUE"""),"Belum disetujui")</f>
        <v>Belum disetujui</v>
      </c>
      <c r="D2992" s="40"/>
      <c r="E2992" s="40" t="s">
        <v>11458</v>
      </c>
      <c r="F2992" s="40" t="s">
        <v>205</v>
      </c>
      <c r="G2992" s="40" t="s">
        <v>11459</v>
      </c>
      <c r="H2992" s="40" t="s">
        <v>11419</v>
      </c>
    </row>
    <row r="2993">
      <c r="A2993" s="39">
        <f>IFERROR(__xludf.DUMMYFUNCTION("""COMPUTED_VALUE"""),45982.64864141203)</f>
        <v>45982.64864</v>
      </c>
      <c r="B2993" s="40" t="str">
        <f>IFERROR(__xludf.DUMMYFUNCTION("""COMPUTED_VALUE"""),"ASTUTI BELA WAWO")</f>
        <v>ASTUTI BELA WAWO</v>
      </c>
      <c r="C2993" s="40" t="str">
        <f>IFERROR(__xludf.DUMMYFUNCTION("""COMPUTED_VALUE"""),"ACC")</f>
        <v>ACC</v>
      </c>
      <c r="D2993" s="40" t="str">
        <f>IFERROR(__xludf.DUMMYFUNCTION("""COMPUTED_VALUE"""),"V60 Lite series")</f>
        <v>V60 Lite series</v>
      </c>
      <c r="E2993" s="40" t="s">
        <v>11427</v>
      </c>
      <c r="F2993" s="40" t="s">
        <v>257</v>
      </c>
      <c r="G2993" s="40" t="s">
        <v>11428</v>
      </c>
      <c r="H2993" s="40" t="s">
        <v>11419</v>
      </c>
    </row>
    <row r="2994">
      <c r="A2994" s="39">
        <f>IFERROR(__xludf.DUMMYFUNCTION("""COMPUTED_VALUE"""),45982.65524309028)</f>
        <v>45982.65524</v>
      </c>
      <c r="B2994" s="40" t="str">
        <f>IFERROR(__xludf.DUMMYFUNCTION("""COMPUTED_VALUE"""),"RESTIANY MARIA LUAN KALI")</f>
        <v>RESTIANY MARIA LUAN KALI</v>
      </c>
      <c r="C2994" s="40" t="str">
        <f>IFERROR(__xludf.DUMMYFUNCTION("""COMPUTED_VALUE"""),"Belum disetujui")</f>
        <v>Belum disetujui</v>
      </c>
      <c r="D2994" s="40"/>
      <c r="E2994" s="40" t="s">
        <v>11400</v>
      </c>
      <c r="F2994" s="40" t="s">
        <v>204</v>
      </c>
      <c r="G2994" s="40" t="s">
        <v>11401</v>
      </c>
      <c r="H2994" s="40" t="s">
        <v>11399</v>
      </c>
    </row>
    <row r="2995">
      <c r="A2995" s="39">
        <f>IFERROR(__xludf.DUMMYFUNCTION("""COMPUTED_VALUE"""),45982.65862193287)</f>
        <v>45982.65862</v>
      </c>
      <c r="B2995" s="40" t="str">
        <f>IFERROR(__xludf.DUMMYFUNCTION("""COMPUTED_VALUE"""),"ESTER LUDJI")</f>
        <v>ESTER LUDJI</v>
      </c>
      <c r="C2995" s="40" t="str">
        <f>IFERROR(__xludf.DUMMYFUNCTION("""COMPUTED_VALUE"""),"ACC")</f>
        <v>ACC</v>
      </c>
      <c r="D2995" s="40" t="str">
        <f>IFERROR(__xludf.DUMMYFUNCTION("""COMPUTED_VALUE"""),"V60 Lite series")</f>
        <v>V60 Lite series</v>
      </c>
      <c r="E2995" s="40" t="s">
        <v>11441</v>
      </c>
      <c r="F2995" s="40" t="s">
        <v>205</v>
      </c>
      <c r="G2995" s="40" t="s">
        <v>11442</v>
      </c>
      <c r="H2995" s="40" t="s">
        <v>11419</v>
      </c>
    </row>
    <row r="2996">
      <c r="A2996" s="39">
        <f>IFERROR(__xludf.DUMMYFUNCTION("""COMPUTED_VALUE"""),45982.67566396991)</f>
        <v>45982.67566</v>
      </c>
      <c r="B2996" s="40" t="str">
        <f>IFERROR(__xludf.DUMMYFUNCTION("""COMPUTED_VALUE"""),"AZ ZAHRA SITI ZAINAB")</f>
        <v>AZ ZAHRA SITI ZAINAB</v>
      </c>
      <c r="C2996" s="40" t="str">
        <f>IFERROR(__xludf.DUMMYFUNCTION("""COMPUTED_VALUE"""),"Belum disetujui")</f>
        <v>Belum disetujui</v>
      </c>
      <c r="D2996" s="40"/>
      <c r="E2996" s="40" t="s">
        <v>11462</v>
      </c>
      <c r="F2996" s="40" t="s">
        <v>257</v>
      </c>
      <c r="G2996" s="40" t="s">
        <v>11463</v>
      </c>
      <c r="H2996" s="40" t="s">
        <v>11419</v>
      </c>
    </row>
    <row r="2997">
      <c r="A2997" s="39">
        <f>IFERROR(__xludf.DUMMYFUNCTION("""COMPUTED_VALUE"""),45982.69888475695)</f>
        <v>45982.69888</v>
      </c>
      <c r="B2997" s="40" t="str">
        <f>IFERROR(__xludf.DUMMYFUNCTION("""COMPUTED_VALUE"""),"YUNITA TAMELAB")</f>
        <v>YUNITA TAMELAB</v>
      </c>
      <c r="C2997" s="40" t="str">
        <f>IFERROR(__xludf.DUMMYFUNCTION("""COMPUTED_VALUE"""),"Belum disetujui")</f>
        <v>Belum disetujui</v>
      </c>
      <c r="D2997" s="40"/>
      <c r="E2997" s="40" t="s">
        <v>11472</v>
      </c>
      <c r="F2997" s="40" t="s">
        <v>667</v>
      </c>
      <c r="G2997" s="40" t="s">
        <v>11473</v>
      </c>
      <c r="H2997" s="40" t="s">
        <v>11424</v>
      </c>
    </row>
    <row r="2998">
      <c r="A2998" s="39">
        <f>IFERROR(__xludf.DUMMYFUNCTION("""COMPUTED_VALUE"""),45982.70023180555)</f>
        <v>45982.70023</v>
      </c>
      <c r="B2998" s="40" t="str">
        <f>IFERROR(__xludf.DUMMYFUNCTION("""COMPUTED_VALUE"""),"YUNITA TAMELAB")</f>
        <v>YUNITA TAMELAB</v>
      </c>
      <c r="C2998" s="40" t="str">
        <f>IFERROR(__xludf.DUMMYFUNCTION("""COMPUTED_VALUE"""),"Belum disetujui")</f>
        <v>Belum disetujui</v>
      </c>
      <c r="D2998" s="40"/>
      <c r="E2998" s="40" t="s">
        <v>11472</v>
      </c>
      <c r="F2998" s="40" t="s">
        <v>667</v>
      </c>
      <c r="G2998" s="40" t="s">
        <v>11473</v>
      </c>
      <c r="H2998" s="40" t="s">
        <v>11424</v>
      </c>
    </row>
    <row r="2999">
      <c r="A2999" s="39">
        <f>IFERROR(__xludf.DUMMYFUNCTION("""COMPUTED_VALUE"""),45982.71181375)</f>
        <v>45982.71181</v>
      </c>
      <c r="B2999" s="40" t="str">
        <f>IFERROR(__xludf.DUMMYFUNCTION("""COMPUTED_VALUE"""),"ADRIANA")</f>
        <v>ADRIANA</v>
      </c>
      <c r="C2999" s="40" t="str">
        <f>IFERROR(__xludf.DUMMYFUNCTION("""COMPUTED_VALUE"""),"Dapat limit tapi belum diproses")</f>
        <v>Dapat limit tapi belum diproses</v>
      </c>
      <c r="D2999" s="40" t="str">
        <f>IFERROR(__xludf.DUMMYFUNCTION("""COMPUTED_VALUE"""),"Y21d series")</f>
        <v>Y21d series</v>
      </c>
      <c r="E2999" s="40" t="s">
        <v>11433</v>
      </c>
      <c r="F2999" s="40" t="s">
        <v>313</v>
      </c>
      <c r="G2999" s="40" t="s">
        <v>11434</v>
      </c>
      <c r="H2999" s="40" t="s">
        <v>11424</v>
      </c>
    </row>
    <row r="3000">
      <c r="A3000" s="39">
        <f>IFERROR(__xludf.DUMMYFUNCTION("""COMPUTED_VALUE"""),45982.72816923611)</f>
        <v>45982.72817</v>
      </c>
      <c r="B3000" s="40" t="str">
        <f>IFERROR(__xludf.DUMMYFUNCTION("""COMPUTED_VALUE"""),"ANAK AGUNG SRI WULANTIWI")</f>
        <v>ANAK AGUNG SRI WULANTIWI</v>
      </c>
      <c r="C3000" s="40" t="str">
        <f>IFERROR(__xludf.DUMMYFUNCTION("""COMPUTED_VALUE"""),"ACC")</f>
        <v>ACC</v>
      </c>
      <c r="D3000" s="40" t="str">
        <f>IFERROR(__xludf.DUMMYFUNCTION("""COMPUTED_VALUE"""),"Y400 series")</f>
        <v>Y400 series</v>
      </c>
      <c r="E3000" s="40" t="s">
        <v>11492</v>
      </c>
      <c r="F3000" s="40" t="s">
        <v>205</v>
      </c>
      <c r="G3000" s="40" t="s">
        <v>11493</v>
      </c>
      <c r="H3000" s="40" t="s">
        <v>11419</v>
      </c>
    </row>
    <row r="3001">
      <c r="A3001" s="39">
        <f>IFERROR(__xludf.DUMMYFUNCTION("""COMPUTED_VALUE"""),45982.73345369213)</f>
        <v>45982.73345</v>
      </c>
      <c r="B3001" s="40" t="str">
        <f>IFERROR(__xludf.DUMMYFUNCTION("""COMPUTED_VALUE"""),"BERGITHA NIA OLIN")</f>
        <v>BERGITHA NIA OLIN</v>
      </c>
      <c r="C3001" s="40" t="str">
        <f>IFERROR(__xludf.DUMMYFUNCTION("""COMPUTED_VALUE"""),"Dapat limit tapi belum diproses")</f>
        <v>Dapat limit tapi belum diproses</v>
      </c>
      <c r="D3001" s="40" t="str">
        <f>IFERROR(__xludf.DUMMYFUNCTION("""COMPUTED_VALUE"""),"Y400 series")</f>
        <v>Y400 series</v>
      </c>
      <c r="E3001" s="40" t="s">
        <v>11431</v>
      </c>
      <c r="F3001" s="40" t="s">
        <v>313</v>
      </c>
      <c r="G3001" s="40" t="s">
        <v>11432</v>
      </c>
      <c r="H3001" s="40" t="s">
        <v>11424</v>
      </c>
    </row>
    <row r="3002">
      <c r="A3002" s="39">
        <f>IFERROR(__xludf.DUMMYFUNCTION("""COMPUTED_VALUE"""),45982.73544430556)</f>
        <v>45982.73544</v>
      </c>
      <c r="B3002" s="40" t="str">
        <f>IFERROR(__xludf.DUMMYFUNCTION("""COMPUTED_VALUE"""),"HERONIMUS NAMU WALI")</f>
        <v>HERONIMUS NAMU WALI</v>
      </c>
      <c r="C3002" s="40" t="str">
        <f>IFERROR(__xludf.DUMMYFUNCTION("""COMPUTED_VALUE"""),"Belum disetujui")</f>
        <v>Belum disetujui</v>
      </c>
      <c r="D3002" s="40"/>
      <c r="E3002" s="40" t="s">
        <v>11452</v>
      </c>
      <c r="F3002" s="40" t="s">
        <v>205</v>
      </c>
      <c r="G3002" s="40" t="s">
        <v>11453</v>
      </c>
      <c r="H3002" s="40" t="s">
        <v>11419</v>
      </c>
    </row>
    <row r="3003">
      <c r="A3003" s="39">
        <f>IFERROR(__xludf.DUMMYFUNCTION("""COMPUTED_VALUE"""),45982.7429821875)</f>
        <v>45982.74298</v>
      </c>
      <c r="B3003" s="40" t="str">
        <f>IFERROR(__xludf.DUMMYFUNCTION("""COMPUTED_VALUE"""),"MARIA MELAN ANANCE BILI")</f>
        <v>MARIA MELAN ANANCE BILI</v>
      </c>
      <c r="C3003" s="40" t="str">
        <f>IFERROR(__xludf.DUMMYFUNCTION("""COMPUTED_VALUE"""),"Belum disetujui")</f>
        <v>Belum disetujui</v>
      </c>
      <c r="D3003" s="40"/>
      <c r="E3003" s="40" t="s">
        <v>11466</v>
      </c>
      <c r="F3003" s="40" t="s">
        <v>257</v>
      </c>
      <c r="G3003" s="40" t="s">
        <v>11467</v>
      </c>
      <c r="H3003" s="40" t="s">
        <v>11419</v>
      </c>
    </row>
    <row r="3004">
      <c r="A3004" s="39">
        <f>IFERROR(__xludf.DUMMYFUNCTION("""COMPUTED_VALUE"""),45982.75272891204)</f>
        <v>45982.75273</v>
      </c>
      <c r="B3004" s="40" t="str">
        <f>IFERROR(__xludf.DUMMYFUNCTION("""COMPUTED_VALUE"""),"ROS YANE KANA LUDJI")</f>
        <v>ROS YANE KANA LUDJI</v>
      </c>
      <c r="C3004" s="40" t="str">
        <f>IFERROR(__xludf.DUMMYFUNCTION("""COMPUTED_VALUE"""),"Dapat limit tapi belum diproses")</f>
        <v>Dapat limit tapi belum diproses</v>
      </c>
      <c r="D3004" s="40" t="str">
        <f>IFERROR(__xludf.DUMMYFUNCTION("""COMPUTED_VALUE"""),"Y21d series")</f>
        <v>Y21d series</v>
      </c>
      <c r="E3004" s="40" t="s">
        <v>11437</v>
      </c>
      <c r="F3004" s="40" t="s">
        <v>204</v>
      </c>
      <c r="G3004" s="40" t="s">
        <v>11438</v>
      </c>
      <c r="H3004" s="40" t="s">
        <v>11399</v>
      </c>
    </row>
    <row r="3005">
      <c r="A3005" s="39">
        <f>IFERROR(__xludf.DUMMYFUNCTION("""COMPUTED_VALUE"""),45982.78995951389)</f>
        <v>45982.78996</v>
      </c>
      <c r="B3005" s="40" t="str">
        <f>IFERROR(__xludf.DUMMYFUNCTION("""COMPUTED_VALUE"""),"WINDRI MANOE")</f>
        <v>WINDRI MANOE</v>
      </c>
      <c r="C3005" s="40" t="str">
        <f>IFERROR(__xludf.DUMMYFUNCTION("""COMPUTED_VALUE"""),"Belum disetujui")</f>
        <v>Belum disetujui</v>
      </c>
      <c r="D3005" s="40"/>
      <c r="E3005" s="40" t="s">
        <v>11443</v>
      </c>
      <c r="F3005" s="40" t="s">
        <v>220</v>
      </c>
      <c r="G3005" s="40" t="s">
        <v>11444</v>
      </c>
      <c r="H3005" s="40" t="s">
        <v>11399</v>
      </c>
    </row>
    <row r="3006">
      <c r="A3006" s="39">
        <f>IFERROR(__xludf.DUMMYFUNCTION("""COMPUTED_VALUE"""),45982.82827328704)</f>
        <v>45982.82827</v>
      </c>
      <c r="B3006" s="40" t="str">
        <f>IFERROR(__xludf.DUMMYFUNCTION("""COMPUTED_VALUE"""),"BERGITHA NIA OLIN")</f>
        <v>BERGITHA NIA OLIN</v>
      </c>
      <c r="C3006" s="40" t="str">
        <f>IFERROR(__xludf.DUMMYFUNCTION("""COMPUTED_VALUE"""),"Belum disetujui")</f>
        <v>Belum disetujui</v>
      </c>
      <c r="D3006" s="40"/>
      <c r="E3006" s="40" t="s">
        <v>11431</v>
      </c>
      <c r="F3006" s="40" t="s">
        <v>313</v>
      </c>
      <c r="G3006" s="40" t="s">
        <v>11432</v>
      </c>
      <c r="H3006" s="40" t="s">
        <v>11424</v>
      </c>
    </row>
    <row r="3007">
      <c r="A3007" s="39">
        <f>IFERROR(__xludf.DUMMYFUNCTION("""COMPUTED_VALUE"""),45982.831335613424)</f>
        <v>45982.83134</v>
      </c>
      <c r="B3007" s="40" t="str">
        <f>IFERROR(__xludf.DUMMYFUNCTION("""COMPUTED_VALUE"""),"DWITNEY PRETY WANGGANDIMA")</f>
        <v>DWITNEY PRETY WANGGANDIMA</v>
      </c>
      <c r="C3007" s="40" t="str">
        <f>IFERROR(__xludf.DUMMYFUNCTION("""COMPUTED_VALUE"""),"Belum disetujui")</f>
        <v>Belum disetujui</v>
      </c>
      <c r="D3007" s="40"/>
      <c r="E3007" s="40" t="s">
        <v>11443</v>
      </c>
      <c r="F3007" s="40" t="s">
        <v>220</v>
      </c>
      <c r="G3007" s="40" t="s">
        <v>11444</v>
      </c>
      <c r="H3007" s="40" t="s">
        <v>11399</v>
      </c>
    </row>
    <row r="3008">
      <c r="A3008" s="39">
        <f>IFERROR(__xludf.DUMMYFUNCTION("""COMPUTED_VALUE"""),45982.836763472216)</f>
        <v>45982.83676</v>
      </c>
      <c r="B3008" s="40" t="str">
        <f>IFERROR(__xludf.DUMMYFUNCTION("""COMPUTED_VALUE"""),"AZ ZAHRA SITI ZAINAB")</f>
        <v>AZ ZAHRA SITI ZAINAB</v>
      </c>
      <c r="C3008" s="40" t="str">
        <f>IFERROR(__xludf.DUMMYFUNCTION("""COMPUTED_VALUE"""),"ACC")</f>
        <v>ACC</v>
      </c>
      <c r="D3008" s="40" t="str">
        <f>IFERROR(__xludf.DUMMYFUNCTION("""COMPUTED_VALUE"""),"Y400 series")</f>
        <v>Y400 series</v>
      </c>
      <c r="E3008" s="40" t="s">
        <v>11462</v>
      </c>
      <c r="F3008" s="40" t="s">
        <v>257</v>
      </c>
      <c r="G3008" s="40" t="s">
        <v>11463</v>
      </c>
      <c r="H3008" s="40" t="s">
        <v>11419</v>
      </c>
    </row>
    <row r="3009">
      <c r="A3009" s="39">
        <f>IFERROR(__xludf.DUMMYFUNCTION("""COMPUTED_VALUE"""),45982.87336462963)</f>
        <v>45982.87336</v>
      </c>
      <c r="B3009" s="40" t="str">
        <f>IFERROR(__xludf.DUMMYFUNCTION("""COMPUTED_VALUE"""),"MARIA MELAN ANANCE BILI")</f>
        <v>MARIA MELAN ANANCE BILI</v>
      </c>
      <c r="C3009" s="40" t="str">
        <f>IFERROR(__xludf.DUMMYFUNCTION("""COMPUTED_VALUE"""),"Dapat limit tapi belum diproses")</f>
        <v>Dapat limit tapi belum diproses</v>
      </c>
      <c r="D3009" s="40" t="str">
        <f>IFERROR(__xludf.DUMMYFUNCTION("""COMPUTED_VALUE"""),"Y21d series")</f>
        <v>Y21d series</v>
      </c>
      <c r="E3009" s="40" t="s">
        <v>11466</v>
      </c>
      <c r="F3009" s="40" t="s">
        <v>257</v>
      </c>
      <c r="G3009" s="40" t="s">
        <v>11467</v>
      </c>
      <c r="H3009" s="40" t="s">
        <v>11419</v>
      </c>
    </row>
    <row r="3010">
      <c r="A3010" s="39">
        <f>IFERROR(__xludf.DUMMYFUNCTION("""COMPUTED_VALUE"""),45982.876553912036)</f>
        <v>45982.87655</v>
      </c>
      <c r="B3010" s="40" t="str">
        <f>IFERROR(__xludf.DUMMYFUNCTION("""COMPUTED_VALUE"""),"ESTER LUDJI")</f>
        <v>ESTER LUDJI</v>
      </c>
      <c r="C3010" s="40" t="str">
        <f>IFERROR(__xludf.DUMMYFUNCTION("""COMPUTED_VALUE"""),"Belum disetujui")</f>
        <v>Belum disetujui</v>
      </c>
      <c r="D3010" s="40"/>
      <c r="E3010" s="40" t="s">
        <v>11441</v>
      </c>
      <c r="F3010" s="40" t="s">
        <v>205</v>
      </c>
      <c r="G3010" s="40" t="s">
        <v>11442</v>
      </c>
      <c r="H3010" s="40" t="s">
        <v>11419</v>
      </c>
    </row>
    <row r="3011">
      <c r="A3011" s="39">
        <f>IFERROR(__xludf.DUMMYFUNCTION("""COMPUTED_VALUE"""),45982.88935474537)</f>
        <v>45982.88935</v>
      </c>
      <c r="B3011" s="40" t="str">
        <f>IFERROR(__xludf.DUMMYFUNCTION("""COMPUTED_VALUE"""),"ASRI NINGSI RAMBU ATA ENDI")</f>
        <v>ASRI NINGSI RAMBU ATA ENDI</v>
      </c>
      <c r="C3011" s="40" t="str">
        <f>IFERROR(__xludf.DUMMYFUNCTION("""COMPUTED_VALUE"""),"Belum disetujui")</f>
        <v>Belum disetujui</v>
      </c>
      <c r="D3011" s="40"/>
      <c r="E3011" s="40" t="s">
        <v>11441</v>
      </c>
      <c r="F3011" s="40" t="s">
        <v>205</v>
      </c>
      <c r="G3011" s="40" t="s">
        <v>11442</v>
      </c>
      <c r="H3011" s="40" t="s">
        <v>11419</v>
      </c>
    </row>
    <row r="3012">
      <c r="A3012" s="39">
        <f>IFERROR(__xludf.DUMMYFUNCTION("""COMPUTED_VALUE"""),45982.88940649306)</f>
        <v>45982.88941</v>
      </c>
      <c r="B3012" s="40" t="str">
        <f>IFERROR(__xludf.DUMMYFUNCTION("""COMPUTED_VALUE"""),"DWITNEY PRETY WANGGANDIMA")</f>
        <v>DWITNEY PRETY WANGGANDIMA</v>
      </c>
      <c r="C3012" s="40" t="str">
        <f>IFERROR(__xludf.DUMMYFUNCTION("""COMPUTED_VALUE"""),"Belum disetujui")</f>
        <v>Belum disetujui</v>
      </c>
      <c r="D3012" s="40"/>
      <c r="E3012" s="40" t="s">
        <v>11443</v>
      </c>
      <c r="F3012" s="40" t="s">
        <v>220</v>
      </c>
      <c r="G3012" s="40" t="s">
        <v>11444</v>
      </c>
      <c r="H3012" s="40" t="s">
        <v>11399</v>
      </c>
    </row>
    <row r="3013">
      <c r="A3013" s="39">
        <f>IFERROR(__xludf.DUMMYFUNCTION("""COMPUTED_VALUE"""),45983.39678141204)</f>
        <v>45983.39678</v>
      </c>
      <c r="B3013" s="40" t="str">
        <f>IFERROR(__xludf.DUMMYFUNCTION("""COMPUTED_VALUE"""),"LASTRIANA PALUS")</f>
        <v>LASTRIANA PALUS</v>
      </c>
      <c r="C3013" s="40" t="str">
        <f>IFERROR(__xludf.DUMMYFUNCTION("""COMPUTED_VALUE"""),"Belum disetujui")</f>
        <v>Belum disetujui</v>
      </c>
      <c r="D3013" s="40"/>
      <c r="E3013" s="40" t="s">
        <v>11468</v>
      </c>
      <c r="F3013" s="40" t="s">
        <v>257</v>
      </c>
      <c r="G3013" s="40" t="s">
        <v>11469</v>
      </c>
      <c r="H3013" s="40" t="s">
        <v>11419</v>
      </c>
    </row>
    <row r="3014">
      <c r="A3014" s="39">
        <f>IFERROR(__xludf.DUMMYFUNCTION("""COMPUTED_VALUE"""),45983.412529317124)</f>
        <v>45983.41253</v>
      </c>
      <c r="B3014" s="40" t="str">
        <f>IFERROR(__xludf.DUMMYFUNCTION("""COMPUTED_VALUE"""),"ANGELA BOUKA BERI")</f>
        <v>ANGELA BOUKA BERI</v>
      </c>
      <c r="C3014" s="40" t="str">
        <f>IFERROR(__xludf.DUMMYFUNCTION("""COMPUTED_VALUE"""),"Dapat limit tapi belum diproses")</f>
        <v>Dapat limit tapi belum diproses</v>
      </c>
      <c r="D3014" s="40" t="str">
        <f>IFERROR(__xludf.DUMMYFUNCTION("""COMPUTED_VALUE"""),"Y21d series")</f>
        <v>Y21d series</v>
      </c>
      <c r="E3014" s="40" t="s">
        <v>11486</v>
      </c>
      <c r="F3014" s="40" t="s">
        <v>11450</v>
      </c>
      <c r="G3014" s="40" t="s">
        <v>11487</v>
      </c>
      <c r="H3014" s="40" t="s">
        <v>11424</v>
      </c>
    </row>
    <row r="3015">
      <c r="A3015" s="39">
        <f>IFERROR(__xludf.DUMMYFUNCTION("""COMPUTED_VALUE"""),45983.41439048611)</f>
        <v>45983.41439</v>
      </c>
      <c r="B3015" s="40" t="str">
        <f>IFERROR(__xludf.DUMMYFUNCTION("""COMPUTED_VALUE"""),"ANGELA BOUKA BERI")</f>
        <v>ANGELA BOUKA BERI</v>
      </c>
      <c r="C3015" s="40" t="str">
        <f>IFERROR(__xludf.DUMMYFUNCTION("""COMPUTED_VALUE"""),"Belum disetujui")</f>
        <v>Belum disetujui</v>
      </c>
      <c r="D3015" s="40"/>
      <c r="E3015" s="40" t="s">
        <v>11486</v>
      </c>
      <c r="F3015" s="40" t="s">
        <v>11450</v>
      </c>
      <c r="G3015" s="40" t="s">
        <v>11487</v>
      </c>
      <c r="H3015" s="40" t="s">
        <v>11424</v>
      </c>
    </row>
    <row r="3016">
      <c r="A3016" s="39">
        <f>IFERROR(__xludf.DUMMYFUNCTION("""COMPUTED_VALUE"""),45983.42809778936)</f>
        <v>45983.4281</v>
      </c>
      <c r="B3016" s="40" t="str">
        <f>IFERROR(__xludf.DUMMYFUNCTION("""COMPUTED_VALUE"""),"ASTUTI BELA WAWO")</f>
        <v>ASTUTI BELA WAWO</v>
      </c>
      <c r="C3016" s="40" t="str">
        <f>IFERROR(__xludf.DUMMYFUNCTION("""COMPUTED_VALUE"""),"ACC")</f>
        <v>ACC</v>
      </c>
      <c r="D3016" s="40" t="str">
        <f>IFERROR(__xludf.DUMMYFUNCTION("""COMPUTED_VALUE"""),"Y21d series")</f>
        <v>Y21d series</v>
      </c>
      <c r="E3016" s="40" t="s">
        <v>11427</v>
      </c>
      <c r="F3016" s="40" t="s">
        <v>257</v>
      </c>
      <c r="G3016" s="40" t="s">
        <v>11428</v>
      </c>
      <c r="H3016" s="40" t="s">
        <v>11419</v>
      </c>
    </row>
    <row r="3017">
      <c r="A3017" s="39">
        <f>IFERROR(__xludf.DUMMYFUNCTION("""COMPUTED_VALUE"""),45983.4328191088)</f>
        <v>45983.43282</v>
      </c>
      <c r="B3017" s="40" t="str">
        <f>IFERROR(__xludf.DUMMYFUNCTION("""COMPUTED_VALUE"""),"ASRI NINGSI RAMBU ATA ENDI")</f>
        <v>ASRI NINGSI RAMBU ATA ENDI</v>
      </c>
      <c r="C3017" s="40" t="str">
        <f>IFERROR(__xludf.DUMMYFUNCTION("""COMPUTED_VALUE"""),"Belum disetujui")</f>
        <v>Belum disetujui</v>
      </c>
      <c r="D3017" s="40"/>
      <c r="E3017" s="40" t="s">
        <v>11441</v>
      </c>
      <c r="F3017" s="40" t="s">
        <v>205</v>
      </c>
      <c r="G3017" s="40" t="s">
        <v>11442</v>
      </c>
      <c r="H3017" s="40" t="s">
        <v>11419</v>
      </c>
    </row>
    <row r="3018">
      <c r="A3018" s="39">
        <f>IFERROR(__xludf.DUMMYFUNCTION("""COMPUTED_VALUE"""),45983.4453784375)</f>
        <v>45983.44538</v>
      </c>
      <c r="B3018" s="40" t="str">
        <f>IFERROR(__xludf.DUMMYFUNCTION("""COMPUTED_VALUE"""),"YUNITA TAMELAB")</f>
        <v>YUNITA TAMELAB</v>
      </c>
      <c r="C3018" s="40" t="str">
        <f>IFERROR(__xludf.DUMMYFUNCTION("""COMPUTED_VALUE"""),"Belum disetujui")</f>
        <v>Belum disetujui</v>
      </c>
      <c r="D3018" s="40"/>
      <c r="E3018" s="40" t="s">
        <v>11472</v>
      </c>
      <c r="F3018" s="40" t="s">
        <v>667</v>
      </c>
      <c r="G3018" s="40" t="s">
        <v>11473</v>
      </c>
      <c r="H3018" s="40" t="s">
        <v>11424</v>
      </c>
    </row>
    <row r="3019">
      <c r="A3019" s="39">
        <f>IFERROR(__xludf.DUMMYFUNCTION("""COMPUTED_VALUE"""),45983.46028894676)</f>
        <v>45983.46029</v>
      </c>
      <c r="B3019" s="40" t="str">
        <f>IFERROR(__xludf.DUMMYFUNCTION("""COMPUTED_VALUE"""),"KESIA NATALIA I. BENU")</f>
        <v>KESIA NATALIA I. BENU</v>
      </c>
      <c r="C3019" s="40" t="str">
        <f>IFERROR(__xludf.DUMMYFUNCTION("""COMPUTED_VALUE"""),"ACC")</f>
        <v>ACC</v>
      </c>
      <c r="D3019" s="40" t="str">
        <f>IFERROR(__xludf.DUMMYFUNCTION("""COMPUTED_VALUE"""),"Y400 series")</f>
        <v>Y400 series</v>
      </c>
      <c r="E3019" s="40" t="s">
        <v>11417</v>
      </c>
      <c r="F3019" s="40" t="s">
        <v>257</v>
      </c>
      <c r="G3019" s="40" t="s">
        <v>11418</v>
      </c>
      <c r="H3019" s="40" t="s">
        <v>11419</v>
      </c>
    </row>
    <row r="3020">
      <c r="A3020" s="39">
        <f>IFERROR(__xludf.DUMMYFUNCTION("""COMPUTED_VALUE"""),45983.46635747685)</f>
        <v>45983.46636</v>
      </c>
      <c r="B3020" s="40" t="str">
        <f>IFERROR(__xludf.DUMMYFUNCTION("""COMPUTED_VALUE"""),"ADRIANA")</f>
        <v>ADRIANA</v>
      </c>
      <c r="C3020" s="40" t="str">
        <f>IFERROR(__xludf.DUMMYFUNCTION("""COMPUTED_VALUE"""),"Belum disetujui")</f>
        <v>Belum disetujui</v>
      </c>
      <c r="D3020" s="40"/>
      <c r="E3020" s="40" t="s">
        <v>11433</v>
      </c>
      <c r="F3020" s="40" t="s">
        <v>313</v>
      </c>
      <c r="G3020" s="40" t="s">
        <v>11434</v>
      </c>
      <c r="H3020" s="40" t="s">
        <v>11424</v>
      </c>
    </row>
    <row r="3021">
      <c r="A3021" s="39">
        <f>IFERROR(__xludf.DUMMYFUNCTION("""COMPUTED_VALUE"""),45983.46931679398)</f>
        <v>45983.46932</v>
      </c>
      <c r="B3021" s="40" t="str">
        <f>IFERROR(__xludf.DUMMYFUNCTION("""COMPUTED_VALUE"""),"MARIA MELAN ANANCE BILI")</f>
        <v>MARIA MELAN ANANCE BILI</v>
      </c>
      <c r="C3021" s="40" t="str">
        <f>IFERROR(__xludf.DUMMYFUNCTION("""COMPUTED_VALUE"""),"Belum disetujui")</f>
        <v>Belum disetujui</v>
      </c>
      <c r="D3021" s="40"/>
      <c r="E3021" s="40" t="s">
        <v>11466</v>
      </c>
      <c r="F3021" s="40" t="s">
        <v>257</v>
      </c>
      <c r="G3021" s="40" t="s">
        <v>11467</v>
      </c>
      <c r="H3021" s="40" t="s">
        <v>11419</v>
      </c>
    </row>
    <row r="3022">
      <c r="A3022" s="39">
        <f>IFERROR(__xludf.DUMMYFUNCTION("""COMPUTED_VALUE"""),45983.49217826389)</f>
        <v>45983.49218</v>
      </c>
      <c r="B3022" s="40" t="str">
        <f>IFERROR(__xludf.DUMMYFUNCTION("""COMPUTED_VALUE"""),"YOVANDA KATRINA NAE")</f>
        <v>YOVANDA KATRINA NAE</v>
      </c>
      <c r="C3022" s="40" t="str">
        <f>IFERROR(__xludf.DUMMYFUNCTION("""COMPUTED_VALUE"""),"Belum disetujui")</f>
        <v>Belum disetujui</v>
      </c>
      <c r="D3022" s="40"/>
      <c r="E3022" s="40" t="s">
        <v>11425</v>
      </c>
      <c r="F3022" s="40" t="s">
        <v>205</v>
      </c>
      <c r="G3022" s="40" t="s">
        <v>11426</v>
      </c>
      <c r="H3022" s="40" t="s">
        <v>11419</v>
      </c>
    </row>
    <row r="3023">
      <c r="A3023" s="39">
        <f>IFERROR(__xludf.DUMMYFUNCTION("""COMPUTED_VALUE"""),45983.49952909722)</f>
        <v>45983.49953</v>
      </c>
      <c r="B3023" s="40" t="str">
        <f>IFERROR(__xludf.DUMMYFUNCTION("""COMPUTED_VALUE"""),"AMBU BAIQ JUMENAH")</f>
        <v>AMBU BAIQ JUMENAH</v>
      </c>
      <c r="C3023" s="40" t="str">
        <f>IFERROR(__xludf.DUMMYFUNCTION("""COMPUTED_VALUE"""),"ACC")</f>
        <v>ACC</v>
      </c>
      <c r="D3023" s="40" t="str">
        <f>IFERROR(__xludf.DUMMYFUNCTION("""COMPUTED_VALUE"""),"V60 Lite series")</f>
        <v>V60 Lite series</v>
      </c>
      <c r="E3023" s="40" t="s">
        <v>11458</v>
      </c>
      <c r="F3023" s="40" t="s">
        <v>205</v>
      </c>
      <c r="G3023" s="40" t="s">
        <v>11459</v>
      </c>
      <c r="H3023" s="40" t="s">
        <v>11419</v>
      </c>
    </row>
    <row r="3024">
      <c r="A3024" s="39">
        <f>IFERROR(__xludf.DUMMYFUNCTION("""COMPUTED_VALUE"""),45983.50038582175)</f>
        <v>45983.50039</v>
      </c>
      <c r="B3024" s="40" t="str">
        <f>IFERROR(__xludf.DUMMYFUNCTION("""COMPUTED_VALUE"""),"ANAK AGUNG SRI WULANTIWI")</f>
        <v>ANAK AGUNG SRI WULANTIWI</v>
      </c>
      <c r="C3024" s="40" t="str">
        <f>IFERROR(__xludf.DUMMYFUNCTION("""COMPUTED_VALUE"""),"Belum disetujui")</f>
        <v>Belum disetujui</v>
      </c>
      <c r="D3024" s="40"/>
      <c r="E3024" s="40" t="s">
        <v>11492</v>
      </c>
      <c r="F3024" s="40" t="s">
        <v>205</v>
      </c>
      <c r="G3024" s="40" t="s">
        <v>11493</v>
      </c>
      <c r="H3024" s="40" t="s">
        <v>11419</v>
      </c>
    </row>
    <row r="3025">
      <c r="A3025" s="39">
        <f>IFERROR(__xludf.DUMMYFUNCTION("""COMPUTED_VALUE"""),45983.50499613425)</f>
        <v>45983.505</v>
      </c>
      <c r="B3025" s="40" t="str">
        <f>IFERROR(__xludf.DUMMYFUNCTION("""COMPUTED_VALUE"""),"MERDA PUTRI BUNGSU KENAT")</f>
        <v>MERDA PUTRI BUNGSU KENAT</v>
      </c>
      <c r="C3025" s="40" t="str">
        <f>IFERROR(__xludf.DUMMYFUNCTION("""COMPUTED_VALUE"""),"Belum disetujui")</f>
        <v>Belum disetujui</v>
      </c>
      <c r="D3025" s="40"/>
      <c r="E3025" s="40" t="s">
        <v>11422</v>
      </c>
      <c r="F3025" s="40" t="s">
        <v>215</v>
      </c>
      <c r="G3025" s="40" t="s">
        <v>11423</v>
      </c>
      <c r="H3025" s="40" t="s">
        <v>11424</v>
      </c>
    </row>
    <row r="3026">
      <c r="A3026" s="39">
        <f>IFERROR(__xludf.DUMMYFUNCTION("""COMPUTED_VALUE"""),45983.51925832176)</f>
        <v>45983.51926</v>
      </c>
      <c r="B3026" s="40" t="str">
        <f>IFERROR(__xludf.DUMMYFUNCTION("""COMPUTED_VALUE"""),"BERGITHA NIA OLIN")</f>
        <v>BERGITHA NIA OLIN</v>
      </c>
      <c r="C3026" s="40" t="str">
        <f>IFERROR(__xludf.DUMMYFUNCTION("""COMPUTED_VALUE"""),"Belum disetujui")</f>
        <v>Belum disetujui</v>
      </c>
      <c r="D3026" s="40"/>
      <c r="E3026" s="40" t="s">
        <v>11431</v>
      </c>
      <c r="F3026" s="40" t="s">
        <v>313</v>
      </c>
      <c r="G3026" s="40" t="s">
        <v>11432</v>
      </c>
      <c r="H3026" s="40" t="s">
        <v>11424</v>
      </c>
    </row>
    <row r="3027">
      <c r="A3027" s="39">
        <f>IFERROR(__xludf.DUMMYFUNCTION("""COMPUTED_VALUE"""),45983.540448009255)</f>
        <v>45983.54045</v>
      </c>
      <c r="B3027" s="40" t="str">
        <f>IFERROR(__xludf.DUMMYFUNCTION("""COMPUTED_VALUE"""),"SANTI MARIA LUKMINI NAHAK")</f>
        <v>SANTI MARIA LUKMINI NAHAK</v>
      </c>
      <c r="C3027" s="40" t="str">
        <f>IFERROR(__xludf.DUMMYFUNCTION("""COMPUTED_VALUE"""),"Belum disetujui")</f>
        <v>Belum disetujui</v>
      </c>
      <c r="D3027" s="40"/>
      <c r="E3027" s="40" t="s">
        <v>11460</v>
      </c>
      <c r="F3027" s="40" t="s">
        <v>871</v>
      </c>
      <c r="G3027" s="40" t="s">
        <v>11461</v>
      </c>
      <c r="H3027" s="40" t="s">
        <v>11424</v>
      </c>
    </row>
    <row r="3028">
      <c r="A3028" s="39">
        <f>IFERROR(__xludf.DUMMYFUNCTION("""COMPUTED_VALUE"""),45983.55506038194)</f>
        <v>45983.55506</v>
      </c>
      <c r="B3028" s="40" t="str">
        <f>IFERROR(__xludf.DUMMYFUNCTION("""COMPUTED_VALUE"""),"BERGITHA NIA OLIN")</f>
        <v>BERGITHA NIA OLIN</v>
      </c>
      <c r="C3028" s="40" t="str">
        <f>IFERROR(__xludf.DUMMYFUNCTION("""COMPUTED_VALUE"""),"Belum disetujui")</f>
        <v>Belum disetujui</v>
      </c>
      <c r="D3028" s="40"/>
      <c r="E3028" s="40" t="s">
        <v>11431</v>
      </c>
      <c r="F3028" s="40" t="s">
        <v>313</v>
      </c>
      <c r="G3028" s="40" t="s">
        <v>11432</v>
      </c>
      <c r="H3028" s="40" t="s">
        <v>11424</v>
      </c>
    </row>
    <row r="3029">
      <c r="A3029" s="39">
        <f>IFERROR(__xludf.DUMMYFUNCTION("""COMPUTED_VALUE"""),45983.60562577546)</f>
        <v>45983.60563</v>
      </c>
      <c r="B3029" s="40" t="str">
        <f>IFERROR(__xludf.DUMMYFUNCTION("""COMPUTED_VALUE"""),"ASTUTI BELA WAWO")</f>
        <v>ASTUTI BELA WAWO</v>
      </c>
      <c r="C3029" s="40" t="str">
        <f>IFERROR(__xludf.DUMMYFUNCTION("""COMPUTED_VALUE"""),"ACC")</f>
        <v>ACC</v>
      </c>
      <c r="D3029" s="40" t="str">
        <f>IFERROR(__xludf.DUMMYFUNCTION("""COMPUTED_VALUE"""),"V60 series")</f>
        <v>V60 series</v>
      </c>
      <c r="E3029" s="40" t="s">
        <v>11427</v>
      </c>
      <c r="F3029" s="40" t="s">
        <v>257</v>
      </c>
      <c r="G3029" s="40" t="s">
        <v>11428</v>
      </c>
      <c r="H3029" s="40" t="s">
        <v>11419</v>
      </c>
    </row>
    <row r="3030">
      <c r="A3030" s="39">
        <f>IFERROR(__xludf.DUMMYFUNCTION("""COMPUTED_VALUE"""),45983.623878287035)</f>
        <v>45983.62388</v>
      </c>
      <c r="B3030" s="40" t="str">
        <f>IFERROR(__xludf.DUMMYFUNCTION("""COMPUTED_VALUE"""),"KESIA NATALIA I. BENU")</f>
        <v>KESIA NATALIA I. BENU</v>
      </c>
      <c r="C3030" s="40" t="str">
        <f>IFERROR(__xludf.DUMMYFUNCTION("""COMPUTED_VALUE"""),"ACC")</f>
        <v>ACC</v>
      </c>
      <c r="D3030" s="40" t="str">
        <f>IFERROR(__xludf.DUMMYFUNCTION("""COMPUTED_VALUE"""),"V50 Lite series")</f>
        <v>V50 Lite series</v>
      </c>
      <c r="E3030" s="40" t="s">
        <v>11417</v>
      </c>
      <c r="F3030" s="40" t="s">
        <v>257</v>
      </c>
      <c r="G3030" s="40" t="s">
        <v>11418</v>
      </c>
      <c r="H3030" s="40" t="s">
        <v>11419</v>
      </c>
    </row>
    <row r="3031">
      <c r="A3031" s="39">
        <f>IFERROR(__xludf.DUMMYFUNCTION("""COMPUTED_VALUE"""),45983.64000681713)</f>
        <v>45983.64001</v>
      </c>
      <c r="B3031" s="40" t="str">
        <f>IFERROR(__xludf.DUMMYFUNCTION("""COMPUTED_VALUE"""),"ADRIANA")</f>
        <v>ADRIANA</v>
      </c>
      <c r="C3031" s="40" t="str">
        <f>IFERROR(__xludf.DUMMYFUNCTION("""COMPUTED_VALUE"""),"Dapat limit tapi belum diproses")</f>
        <v>Dapat limit tapi belum diproses</v>
      </c>
      <c r="D3031" s="40" t="str">
        <f>IFERROR(__xludf.DUMMYFUNCTION("""COMPUTED_VALUE"""),"Y21d series")</f>
        <v>Y21d series</v>
      </c>
      <c r="E3031" s="40" t="s">
        <v>11433</v>
      </c>
      <c r="F3031" s="40" t="s">
        <v>313</v>
      </c>
      <c r="G3031" s="40" t="s">
        <v>11434</v>
      </c>
      <c r="H3031" s="40" t="s">
        <v>11424</v>
      </c>
    </row>
    <row r="3032">
      <c r="A3032" s="39">
        <f>IFERROR(__xludf.DUMMYFUNCTION("""COMPUTED_VALUE"""),45983.65172018519)</f>
        <v>45983.65172</v>
      </c>
      <c r="B3032" s="40" t="str">
        <f>IFERROR(__xludf.DUMMYFUNCTION("""COMPUTED_VALUE"""),"ANNA RAHMATIA JUFRI")</f>
        <v>ANNA RAHMATIA JUFRI</v>
      </c>
      <c r="C3032" s="40" t="str">
        <f>IFERROR(__xludf.DUMMYFUNCTION("""COMPUTED_VALUE"""),"Dapat limit tapi belum diproses")</f>
        <v>Dapat limit tapi belum diproses</v>
      </c>
      <c r="D3032" s="40" t="str">
        <f>IFERROR(__xludf.DUMMYFUNCTION("""COMPUTED_VALUE"""),"Y21d series")</f>
        <v>Y21d series</v>
      </c>
      <c r="E3032" s="40" t="s">
        <v>11484</v>
      </c>
      <c r="F3032" s="40" t="s">
        <v>11450</v>
      </c>
      <c r="G3032" s="40" t="s">
        <v>11485</v>
      </c>
      <c r="H3032" s="40" t="s">
        <v>11424</v>
      </c>
    </row>
    <row r="3033">
      <c r="A3033" s="39">
        <f>IFERROR(__xludf.DUMMYFUNCTION("""COMPUTED_VALUE"""),45983.66015052084)</f>
        <v>45983.66015</v>
      </c>
      <c r="B3033" s="40" t="str">
        <f>IFERROR(__xludf.DUMMYFUNCTION("""COMPUTED_VALUE"""),"KESIA NATALIA I. BENU")</f>
        <v>KESIA NATALIA I. BENU</v>
      </c>
      <c r="C3033" s="40" t="str">
        <f>IFERROR(__xludf.DUMMYFUNCTION("""COMPUTED_VALUE"""),"ACC")</f>
        <v>ACC</v>
      </c>
      <c r="D3033" s="40" t="str">
        <f>IFERROR(__xludf.DUMMYFUNCTION("""COMPUTED_VALUE"""),"V50 Lite series")</f>
        <v>V50 Lite series</v>
      </c>
      <c r="E3033" s="40" t="s">
        <v>11417</v>
      </c>
      <c r="F3033" s="40" t="s">
        <v>257</v>
      </c>
      <c r="G3033" s="40" t="s">
        <v>11418</v>
      </c>
      <c r="H3033" s="40" t="s">
        <v>11419</v>
      </c>
    </row>
    <row r="3034">
      <c r="A3034" s="39">
        <f>IFERROR(__xludf.DUMMYFUNCTION("""COMPUTED_VALUE"""),45983.661382499995)</f>
        <v>45983.66138</v>
      </c>
      <c r="B3034" s="40" t="str">
        <f>IFERROR(__xludf.DUMMYFUNCTION("""COMPUTED_VALUE"""),"PRETI SISILIA SILA")</f>
        <v>PRETI SISILIA SILA</v>
      </c>
      <c r="C3034" s="40" t="str">
        <f>IFERROR(__xludf.DUMMYFUNCTION("""COMPUTED_VALUE"""),"Belum disetujui")</f>
        <v>Belum disetujui</v>
      </c>
      <c r="D3034" s="40"/>
      <c r="E3034" s="40" t="s">
        <v>11456</v>
      </c>
      <c r="F3034" s="40" t="s">
        <v>667</v>
      </c>
      <c r="G3034" s="40" t="s">
        <v>11457</v>
      </c>
      <c r="H3034" s="40" t="s">
        <v>11424</v>
      </c>
    </row>
    <row r="3035">
      <c r="A3035" s="39">
        <f>IFERROR(__xludf.DUMMYFUNCTION("""COMPUTED_VALUE"""),45983.676095543975)</f>
        <v>45983.6761</v>
      </c>
      <c r="B3035" s="40" t="str">
        <f>IFERROR(__xludf.DUMMYFUNCTION("""COMPUTED_VALUE"""),"YUNITA TAMELAB")</f>
        <v>YUNITA TAMELAB</v>
      </c>
      <c r="C3035" s="40" t="str">
        <f>IFERROR(__xludf.DUMMYFUNCTION("""COMPUTED_VALUE"""),"Belum disetujui")</f>
        <v>Belum disetujui</v>
      </c>
      <c r="D3035" s="40"/>
      <c r="E3035" s="40" t="s">
        <v>11472</v>
      </c>
      <c r="F3035" s="40" t="s">
        <v>667</v>
      </c>
      <c r="G3035" s="40" t="s">
        <v>11473</v>
      </c>
      <c r="H3035" s="40" t="s">
        <v>11424</v>
      </c>
    </row>
    <row r="3036">
      <c r="A3036" s="39">
        <f>IFERROR(__xludf.DUMMYFUNCTION("""COMPUTED_VALUE"""),45983.69768945602)</f>
        <v>45983.69769</v>
      </c>
      <c r="B3036" s="40" t="str">
        <f>IFERROR(__xludf.DUMMYFUNCTION("""COMPUTED_VALUE"""),"ASTUTI BELA WAWO")</f>
        <v>ASTUTI BELA WAWO</v>
      </c>
      <c r="C3036" s="40" t="str">
        <f>IFERROR(__xludf.DUMMYFUNCTION("""COMPUTED_VALUE"""),"Belum disetujui")</f>
        <v>Belum disetujui</v>
      </c>
      <c r="D3036" s="40"/>
      <c r="E3036" s="40" t="s">
        <v>11427</v>
      </c>
      <c r="F3036" s="40" t="s">
        <v>257</v>
      </c>
      <c r="G3036" s="40" t="s">
        <v>11428</v>
      </c>
      <c r="H3036" s="40" t="s">
        <v>11419</v>
      </c>
    </row>
    <row r="3037">
      <c r="A3037" s="39">
        <f>IFERROR(__xludf.DUMMYFUNCTION("""COMPUTED_VALUE"""),45983.70608729166)</f>
        <v>45983.70609</v>
      </c>
      <c r="B3037" s="40" t="str">
        <f>IFERROR(__xludf.DUMMYFUNCTION("""COMPUTED_VALUE"""),"MARIA MELAN ANANCE BILI")</f>
        <v>MARIA MELAN ANANCE BILI</v>
      </c>
      <c r="C3037" s="40" t="str">
        <f>IFERROR(__xludf.DUMMYFUNCTION("""COMPUTED_VALUE"""),"ACC")</f>
        <v>ACC</v>
      </c>
      <c r="D3037" s="40" t="str">
        <f>IFERROR(__xludf.DUMMYFUNCTION("""COMPUTED_VALUE"""),"Y21d series")</f>
        <v>Y21d series</v>
      </c>
      <c r="E3037" s="40" t="s">
        <v>11466</v>
      </c>
      <c r="F3037" s="40" t="s">
        <v>257</v>
      </c>
      <c r="G3037" s="40" t="s">
        <v>11467</v>
      </c>
      <c r="H3037" s="40" t="s">
        <v>11419</v>
      </c>
    </row>
    <row r="3038">
      <c r="A3038" s="39">
        <f>IFERROR(__xludf.DUMMYFUNCTION("""COMPUTED_VALUE"""),45983.71201303241)</f>
        <v>45983.71201</v>
      </c>
      <c r="B3038" s="40" t="str">
        <f>IFERROR(__xludf.DUMMYFUNCTION("""COMPUTED_VALUE"""),"ADRIANA")</f>
        <v>ADRIANA</v>
      </c>
      <c r="C3038" s="40" t="str">
        <f>IFERROR(__xludf.DUMMYFUNCTION("""COMPUTED_VALUE"""),"Belum disetujui")</f>
        <v>Belum disetujui</v>
      </c>
      <c r="D3038" s="40"/>
      <c r="E3038" s="40" t="s">
        <v>11433</v>
      </c>
      <c r="F3038" s="40" t="s">
        <v>313</v>
      </c>
      <c r="G3038" s="40" t="s">
        <v>11434</v>
      </c>
      <c r="H3038" s="40" t="s">
        <v>11424</v>
      </c>
    </row>
    <row r="3039">
      <c r="A3039" s="39">
        <f>IFERROR(__xludf.DUMMYFUNCTION("""COMPUTED_VALUE"""),45983.71738065973)</f>
        <v>45983.71738</v>
      </c>
      <c r="B3039" s="40" t="str">
        <f>IFERROR(__xludf.DUMMYFUNCTION("""COMPUTED_VALUE"""),"AMBU BAIQ JUMENAH")</f>
        <v>AMBU BAIQ JUMENAH</v>
      </c>
      <c r="C3039" s="40" t="str">
        <f>IFERROR(__xludf.DUMMYFUNCTION("""COMPUTED_VALUE"""),"Belum disetujui")</f>
        <v>Belum disetujui</v>
      </c>
      <c r="D3039" s="40"/>
      <c r="E3039" s="40" t="s">
        <v>11458</v>
      </c>
      <c r="F3039" s="40" t="s">
        <v>205</v>
      </c>
      <c r="G3039" s="40" t="s">
        <v>11459</v>
      </c>
      <c r="H3039" s="40" t="s">
        <v>11419</v>
      </c>
    </row>
    <row r="3040">
      <c r="A3040" s="39">
        <f>IFERROR(__xludf.DUMMYFUNCTION("""COMPUTED_VALUE"""),45983.74126778935)</f>
        <v>45983.74127</v>
      </c>
      <c r="B3040" s="40" t="str">
        <f>IFERROR(__xludf.DUMMYFUNCTION("""COMPUTED_VALUE"""),"ASTUTI BELA WAWO")</f>
        <v>ASTUTI BELA WAWO</v>
      </c>
      <c r="C3040" s="40" t="str">
        <f>IFERROR(__xludf.DUMMYFUNCTION("""COMPUTED_VALUE"""),"Belum disetujui")</f>
        <v>Belum disetujui</v>
      </c>
      <c r="D3040" s="40"/>
      <c r="E3040" s="40" t="s">
        <v>11427</v>
      </c>
      <c r="F3040" s="40" t="s">
        <v>257</v>
      </c>
      <c r="G3040" s="40" t="s">
        <v>11428</v>
      </c>
      <c r="H3040" s="40" t="s">
        <v>11419</v>
      </c>
    </row>
    <row r="3041">
      <c r="A3041" s="39">
        <f>IFERROR(__xludf.DUMMYFUNCTION("""COMPUTED_VALUE"""),45983.75345791667)</f>
        <v>45983.75346</v>
      </c>
      <c r="B3041" s="40" t="str">
        <f>IFERROR(__xludf.DUMMYFUNCTION("""COMPUTED_VALUE"""),"BERGITHA NIA OLIN")</f>
        <v>BERGITHA NIA OLIN</v>
      </c>
      <c r="C3041" s="40" t="str">
        <f>IFERROR(__xludf.DUMMYFUNCTION("""COMPUTED_VALUE"""),"Belum disetujui")</f>
        <v>Belum disetujui</v>
      </c>
      <c r="D3041" s="40"/>
      <c r="E3041" s="40" t="s">
        <v>11431</v>
      </c>
      <c r="F3041" s="40" t="s">
        <v>313</v>
      </c>
      <c r="G3041" s="40" t="s">
        <v>11432</v>
      </c>
      <c r="H3041" s="40" t="s">
        <v>11424</v>
      </c>
    </row>
    <row r="3042">
      <c r="A3042" s="39">
        <f>IFERROR(__xludf.DUMMYFUNCTION("""COMPUTED_VALUE"""),45983.75949321759)</f>
        <v>45983.75949</v>
      </c>
      <c r="B3042" s="40" t="str">
        <f>IFERROR(__xludf.DUMMYFUNCTION("""COMPUTED_VALUE"""),"NENY MERLIANTI NA'U")</f>
        <v>NENY MERLIANTI NA'U</v>
      </c>
      <c r="C3042" s="40" t="str">
        <f>IFERROR(__xludf.DUMMYFUNCTION("""COMPUTED_VALUE"""),"Belum disetujui")</f>
        <v>Belum disetujui</v>
      </c>
      <c r="D3042" s="40"/>
      <c r="E3042" s="40" t="s">
        <v>11476</v>
      </c>
      <c r="F3042" s="40" t="s">
        <v>204</v>
      </c>
      <c r="G3042" s="40" t="s">
        <v>11477</v>
      </c>
      <c r="H3042" s="40" t="s">
        <v>11399</v>
      </c>
    </row>
    <row r="3043">
      <c r="A3043" s="39">
        <f>IFERROR(__xludf.DUMMYFUNCTION("""COMPUTED_VALUE"""),45983.761471990736)</f>
        <v>45983.76147</v>
      </c>
      <c r="B3043" s="40" t="str">
        <f>IFERROR(__xludf.DUMMYFUNCTION("""COMPUTED_VALUE"""),"NENY MERLIANTI NA'U")</f>
        <v>NENY MERLIANTI NA'U</v>
      </c>
      <c r="C3043" s="40" t="str">
        <f>IFERROR(__xludf.DUMMYFUNCTION("""COMPUTED_VALUE"""),"Belum disetujui")</f>
        <v>Belum disetujui</v>
      </c>
      <c r="D3043" s="40"/>
      <c r="E3043" s="40" t="s">
        <v>11476</v>
      </c>
      <c r="F3043" s="40" t="s">
        <v>204</v>
      </c>
      <c r="G3043" s="40" t="s">
        <v>11477</v>
      </c>
      <c r="H3043" s="40" t="s">
        <v>11399</v>
      </c>
    </row>
    <row r="3044">
      <c r="A3044" s="39">
        <f>IFERROR(__xludf.DUMMYFUNCTION("""COMPUTED_VALUE"""),45983.76174552083)</f>
        <v>45983.76175</v>
      </c>
      <c r="B3044" s="40" t="str">
        <f>IFERROR(__xludf.DUMMYFUNCTION("""COMPUTED_VALUE"""),"DEWI RAHMAN")</f>
        <v>DEWI RAHMAN</v>
      </c>
      <c r="C3044" s="40" t="str">
        <f>IFERROR(__xludf.DUMMYFUNCTION("""COMPUTED_VALUE"""),"Belum disetujui")</f>
        <v>Belum disetujui</v>
      </c>
      <c r="D3044" s="40"/>
      <c r="E3044" s="40" t="s">
        <v>11449</v>
      </c>
      <c r="F3044" s="40" t="s">
        <v>11450</v>
      </c>
      <c r="G3044" s="40" t="s">
        <v>11451</v>
      </c>
      <c r="H3044" s="40" t="s">
        <v>11424</v>
      </c>
    </row>
    <row r="3045">
      <c r="A3045" s="39">
        <f>IFERROR(__xludf.DUMMYFUNCTION("""COMPUTED_VALUE"""),45983.79039982639)</f>
        <v>45983.7904</v>
      </c>
      <c r="B3045" s="40" t="str">
        <f>IFERROR(__xludf.DUMMYFUNCTION("""COMPUTED_VALUE"""),"ALDIANA WELIA PANIE")</f>
        <v>ALDIANA WELIA PANIE</v>
      </c>
      <c r="C3045" s="40" t="str">
        <f>IFERROR(__xludf.DUMMYFUNCTION("""COMPUTED_VALUE"""),"Dapat limit tapi belum diproses")</f>
        <v>Dapat limit tapi belum diproses</v>
      </c>
      <c r="D3045" s="40" t="str">
        <f>IFERROR(__xludf.DUMMYFUNCTION("""COMPUTED_VALUE"""),"Y400 series")</f>
        <v>Y400 series</v>
      </c>
      <c r="E3045" s="40" t="s">
        <v>11422</v>
      </c>
      <c r="F3045" s="40" t="s">
        <v>215</v>
      </c>
      <c r="G3045" s="40" t="s">
        <v>11423</v>
      </c>
      <c r="H3045" s="40" t="s">
        <v>11424</v>
      </c>
    </row>
    <row r="3046">
      <c r="A3046" s="39">
        <f>IFERROR(__xludf.DUMMYFUNCTION("""COMPUTED_VALUE"""),45983.790469444444)</f>
        <v>45983.79047</v>
      </c>
      <c r="B3046" s="40" t="str">
        <f>IFERROR(__xludf.DUMMYFUNCTION("""COMPUTED_VALUE"""),"NUR FATIMAH MOLBANG")</f>
        <v>NUR FATIMAH MOLBANG</v>
      </c>
      <c r="C3046" s="40" t="str">
        <f>IFERROR(__xludf.DUMMYFUNCTION("""COMPUTED_VALUE"""),"Belum disetujui")</f>
        <v>Belum disetujui</v>
      </c>
      <c r="D3046" s="40"/>
      <c r="E3046" s="40" t="s">
        <v>11439</v>
      </c>
      <c r="F3046" s="40" t="s">
        <v>313</v>
      </c>
      <c r="G3046" s="40" t="s">
        <v>11440</v>
      </c>
      <c r="H3046" s="40" t="s">
        <v>11424</v>
      </c>
    </row>
    <row r="3047">
      <c r="A3047" s="39">
        <f>IFERROR(__xludf.DUMMYFUNCTION("""COMPUTED_VALUE"""),45983.792735613424)</f>
        <v>45983.79274</v>
      </c>
      <c r="B3047" s="40" t="str">
        <f>IFERROR(__xludf.DUMMYFUNCTION("""COMPUTED_VALUE"""),"BERGITHA NIA OLIN")</f>
        <v>BERGITHA NIA OLIN</v>
      </c>
      <c r="C3047" s="40" t="str">
        <f>IFERROR(__xludf.DUMMYFUNCTION("""COMPUTED_VALUE"""),"Belum disetujui")</f>
        <v>Belum disetujui</v>
      </c>
      <c r="D3047" s="40"/>
      <c r="E3047" s="40" t="s">
        <v>11431</v>
      </c>
      <c r="F3047" s="40" t="s">
        <v>313</v>
      </c>
      <c r="G3047" s="40" t="s">
        <v>11432</v>
      </c>
      <c r="H3047" s="40" t="s">
        <v>11424</v>
      </c>
    </row>
    <row r="3048">
      <c r="A3048" s="39">
        <f>IFERROR(__xludf.DUMMYFUNCTION("""COMPUTED_VALUE"""),45983.7936232176)</f>
        <v>45983.79362</v>
      </c>
      <c r="B3048" s="40" t="str">
        <f>IFERROR(__xludf.DUMMYFUNCTION("""COMPUTED_VALUE"""),"PATRIANI MENGI ULY")</f>
        <v>PATRIANI MENGI ULY</v>
      </c>
      <c r="C3048" s="40" t="str">
        <f>IFERROR(__xludf.DUMMYFUNCTION("""COMPUTED_VALUE"""),"Dapat limit tapi belum diproses")</f>
        <v>Dapat limit tapi belum diproses</v>
      </c>
      <c r="D3048" s="40" t="str">
        <f>IFERROR(__xludf.DUMMYFUNCTION("""COMPUTED_VALUE"""),"V60 series")</f>
        <v>V60 series</v>
      </c>
      <c r="E3048" s="40" t="s">
        <v>11402</v>
      </c>
      <c r="F3048" s="40" t="s">
        <v>204</v>
      </c>
      <c r="G3048" s="40" t="s">
        <v>11403</v>
      </c>
      <c r="H3048" s="40" t="s">
        <v>11399</v>
      </c>
    </row>
    <row r="3049">
      <c r="A3049" s="39">
        <f>IFERROR(__xludf.DUMMYFUNCTION("""COMPUTED_VALUE"""),45983.80450438657)</f>
        <v>45983.8045</v>
      </c>
      <c r="B3049" s="40" t="str">
        <f>IFERROR(__xludf.DUMMYFUNCTION("""COMPUTED_VALUE"""),"ROS YANE KANA LUDJI")</f>
        <v>ROS YANE KANA LUDJI</v>
      </c>
      <c r="C3049" s="40" t="str">
        <f>IFERROR(__xludf.DUMMYFUNCTION("""COMPUTED_VALUE"""),"Dapat limit tapi belum diproses")</f>
        <v>Dapat limit tapi belum diproses</v>
      </c>
      <c r="D3049" s="40" t="str">
        <f>IFERROR(__xludf.DUMMYFUNCTION("""COMPUTED_VALUE"""),"V60 Lite series")</f>
        <v>V60 Lite series</v>
      </c>
      <c r="E3049" s="40" t="s">
        <v>11437</v>
      </c>
      <c r="F3049" s="40" t="s">
        <v>204</v>
      </c>
      <c r="G3049" s="40" t="s">
        <v>11438</v>
      </c>
      <c r="H3049" s="40" t="s">
        <v>11399</v>
      </c>
    </row>
    <row r="3050">
      <c r="A3050" s="39">
        <f>IFERROR(__xludf.DUMMYFUNCTION("""COMPUTED_VALUE"""),45983.80704939815)</f>
        <v>45983.80705</v>
      </c>
      <c r="B3050" s="40" t="str">
        <f>IFERROR(__xludf.DUMMYFUNCTION("""COMPUTED_VALUE"""),"ROS YANE KANA LUDJI")</f>
        <v>ROS YANE KANA LUDJI</v>
      </c>
      <c r="C3050" s="40" t="str">
        <f>IFERROR(__xludf.DUMMYFUNCTION("""COMPUTED_VALUE"""),"Dapat limit tapi belum diproses")</f>
        <v>Dapat limit tapi belum diproses</v>
      </c>
      <c r="D3050" s="40" t="str">
        <f>IFERROR(__xludf.DUMMYFUNCTION("""COMPUTED_VALUE"""),"Y400 series")</f>
        <v>Y400 series</v>
      </c>
      <c r="E3050" s="40" t="s">
        <v>11437</v>
      </c>
      <c r="F3050" s="40" t="s">
        <v>204</v>
      </c>
      <c r="G3050" s="40" t="s">
        <v>11438</v>
      </c>
      <c r="H3050" s="40" t="s">
        <v>11399</v>
      </c>
    </row>
    <row r="3051">
      <c r="A3051" s="39">
        <f>IFERROR(__xludf.DUMMYFUNCTION("""COMPUTED_VALUE"""),45983.807995613424)</f>
        <v>45983.808</v>
      </c>
      <c r="B3051" s="40" t="str">
        <f>IFERROR(__xludf.DUMMYFUNCTION("""COMPUTED_VALUE"""),"YASINTHA MBU")</f>
        <v>YASINTHA MBU</v>
      </c>
      <c r="C3051" s="40" t="str">
        <f>IFERROR(__xludf.DUMMYFUNCTION("""COMPUTED_VALUE"""),"Dapat limit tapi belum diproses")</f>
        <v>Dapat limit tapi belum diproses</v>
      </c>
      <c r="D3051" s="40" t="str">
        <f>IFERROR(__xludf.DUMMYFUNCTION("""COMPUTED_VALUE"""),"Y400 series")</f>
        <v>Y400 series</v>
      </c>
      <c r="E3051" s="40" t="s">
        <v>11407</v>
      </c>
      <c r="F3051" s="40" t="s">
        <v>220</v>
      </c>
      <c r="G3051" s="40" t="s">
        <v>11408</v>
      </c>
      <c r="H3051" s="40" t="s">
        <v>11399</v>
      </c>
    </row>
    <row r="3052">
      <c r="A3052" s="39">
        <f>IFERROR(__xludf.DUMMYFUNCTION("""COMPUTED_VALUE"""),45983.810094618064)</f>
        <v>45983.81009</v>
      </c>
      <c r="B3052" s="40" t="str">
        <f>IFERROR(__xludf.DUMMYFUNCTION("""COMPUTED_VALUE"""),"YOHANA NOVIANA MARIANA GAA")</f>
        <v>YOHANA NOVIANA MARIANA GAA</v>
      </c>
      <c r="C3052" s="40" t="str">
        <f>IFERROR(__xludf.DUMMYFUNCTION("""COMPUTED_VALUE"""),"Belum disetujui")</f>
        <v>Belum disetujui</v>
      </c>
      <c r="D3052" s="40"/>
      <c r="E3052" s="40" t="s">
        <v>11400</v>
      </c>
      <c r="F3052" s="40" t="s">
        <v>204</v>
      </c>
      <c r="G3052" s="40" t="s">
        <v>11401</v>
      </c>
      <c r="H3052" s="40" t="s">
        <v>11399</v>
      </c>
    </row>
    <row r="3053">
      <c r="A3053" s="39">
        <f>IFERROR(__xludf.DUMMYFUNCTION("""COMPUTED_VALUE"""),45983.81262146991)</f>
        <v>45983.81262</v>
      </c>
      <c r="B3053" s="40" t="str">
        <f>IFERROR(__xludf.DUMMYFUNCTION("""COMPUTED_VALUE"""),"YOHANA NOVIANA MARIANA GAA")</f>
        <v>YOHANA NOVIANA MARIANA GAA</v>
      </c>
      <c r="C3053" s="40" t="str">
        <f>IFERROR(__xludf.DUMMYFUNCTION("""COMPUTED_VALUE"""),"Belum disetujui")</f>
        <v>Belum disetujui</v>
      </c>
      <c r="D3053" s="40"/>
      <c r="E3053" s="40" t="s">
        <v>11400</v>
      </c>
      <c r="F3053" s="40" t="s">
        <v>204</v>
      </c>
      <c r="G3053" s="40" t="s">
        <v>11401</v>
      </c>
      <c r="H3053" s="40" t="s">
        <v>11399</v>
      </c>
    </row>
    <row r="3054">
      <c r="A3054" s="39">
        <f>IFERROR(__xludf.DUMMYFUNCTION("""COMPUTED_VALUE"""),45983.81691601852)</f>
        <v>45983.81692</v>
      </c>
      <c r="B3054" s="40" t="str">
        <f>IFERROR(__xludf.DUMMYFUNCTION("""COMPUTED_VALUE"""),"YOHANA NOVIANA MARIANA GAA")</f>
        <v>YOHANA NOVIANA MARIANA GAA</v>
      </c>
      <c r="C3054" s="40" t="str">
        <f>IFERROR(__xludf.DUMMYFUNCTION("""COMPUTED_VALUE"""),"Belum disetujui")</f>
        <v>Belum disetujui</v>
      </c>
      <c r="D3054" s="40"/>
      <c r="E3054" s="40" t="s">
        <v>11400</v>
      </c>
      <c r="F3054" s="40" t="s">
        <v>204</v>
      </c>
      <c r="G3054" s="40" t="s">
        <v>11401</v>
      </c>
      <c r="H3054" s="40" t="s">
        <v>11399</v>
      </c>
    </row>
    <row r="3055">
      <c r="A3055" s="39">
        <f>IFERROR(__xludf.DUMMYFUNCTION("""COMPUTED_VALUE"""),45983.819123298614)</f>
        <v>45983.81912</v>
      </c>
      <c r="B3055" s="40" t="str">
        <f>IFERROR(__xludf.DUMMYFUNCTION("""COMPUTED_VALUE"""),"YOHANA NOVIANA MARIANA GAA")</f>
        <v>YOHANA NOVIANA MARIANA GAA</v>
      </c>
      <c r="C3055" s="40" t="str">
        <f>IFERROR(__xludf.DUMMYFUNCTION("""COMPUTED_VALUE"""),"Belum disetujui")</f>
        <v>Belum disetujui</v>
      </c>
      <c r="D3055" s="40"/>
      <c r="E3055" s="40" t="s">
        <v>11400</v>
      </c>
      <c r="F3055" s="40" t="s">
        <v>204</v>
      </c>
      <c r="G3055" s="40" t="s">
        <v>11401</v>
      </c>
      <c r="H3055" s="40" t="s">
        <v>11399</v>
      </c>
    </row>
    <row r="3056">
      <c r="A3056" s="39">
        <f>IFERROR(__xludf.DUMMYFUNCTION("""COMPUTED_VALUE"""),45983.82010053241)</f>
        <v>45983.8201</v>
      </c>
      <c r="B3056" s="40" t="str">
        <f>IFERROR(__xludf.DUMMYFUNCTION("""COMPUTED_VALUE"""),"MERDA PUTRI BUNGSU KENAT")</f>
        <v>MERDA PUTRI BUNGSU KENAT</v>
      </c>
      <c r="C3056" s="40" t="str">
        <f>IFERROR(__xludf.DUMMYFUNCTION("""COMPUTED_VALUE"""),"Belum disetujui")</f>
        <v>Belum disetujui</v>
      </c>
      <c r="D3056" s="40"/>
      <c r="E3056" s="40" t="s">
        <v>11422</v>
      </c>
      <c r="F3056" s="40" t="s">
        <v>215</v>
      </c>
      <c r="G3056" s="40" t="s">
        <v>11423</v>
      </c>
      <c r="H3056" s="40" t="s">
        <v>11424</v>
      </c>
    </row>
    <row r="3057">
      <c r="A3057" s="39">
        <f>IFERROR(__xludf.DUMMYFUNCTION("""COMPUTED_VALUE"""),45983.826184652775)</f>
        <v>45983.82618</v>
      </c>
      <c r="B3057" s="40" t="str">
        <f>IFERROR(__xludf.DUMMYFUNCTION("""COMPUTED_VALUE"""),"MARATHA MARLINDA FANGGIDAE")</f>
        <v>MARATHA MARLINDA FANGGIDAE</v>
      </c>
      <c r="C3057" s="40" t="str">
        <f>IFERROR(__xludf.DUMMYFUNCTION("""COMPUTED_VALUE"""),"Belum disetujui")</f>
        <v>Belum disetujui</v>
      </c>
      <c r="D3057" s="40"/>
      <c r="E3057" s="40" t="s">
        <v>11435</v>
      </c>
      <c r="F3057" s="40" t="s">
        <v>215</v>
      </c>
      <c r="G3057" s="40" t="s">
        <v>11436</v>
      </c>
      <c r="H3057" s="40" t="s">
        <v>11424</v>
      </c>
    </row>
    <row r="3058">
      <c r="A3058" s="39">
        <f>IFERROR(__xludf.DUMMYFUNCTION("""COMPUTED_VALUE"""),45983.827562453705)</f>
        <v>45983.82756</v>
      </c>
      <c r="B3058" s="40" t="str">
        <f>IFERROR(__xludf.DUMMYFUNCTION("""COMPUTED_VALUE"""),"MARATHA MARLINDA FANGGIDAE")</f>
        <v>MARATHA MARLINDA FANGGIDAE</v>
      </c>
      <c r="C3058" s="40" t="str">
        <f>IFERROR(__xludf.DUMMYFUNCTION("""COMPUTED_VALUE"""),"Belum disetujui")</f>
        <v>Belum disetujui</v>
      </c>
      <c r="D3058" s="40"/>
      <c r="E3058" s="40" t="s">
        <v>11435</v>
      </c>
      <c r="F3058" s="40" t="s">
        <v>215</v>
      </c>
      <c r="G3058" s="40" t="s">
        <v>11436</v>
      </c>
      <c r="H3058" s="40" t="s">
        <v>11424</v>
      </c>
    </row>
    <row r="3059">
      <c r="A3059" s="39">
        <f>IFERROR(__xludf.DUMMYFUNCTION("""COMPUTED_VALUE"""),45983.84692644676)</f>
        <v>45983.84693</v>
      </c>
      <c r="B3059" s="40" t="str">
        <f>IFERROR(__xludf.DUMMYFUNCTION("""COMPUTED_VALUE"""),"WARDIA")</f>
        <v>WARDIA</v>
      </c>
      <c r="C3059" s="40" t="str">
        <f>IFERROR(__xludf.DUMMYFUNCTION("""COMPUTED_VALUE"""),"Dapat limit tapi belum diproses")</f>
        <v>Dapat limit tapi belum diproses</v>
      </c>
      <c r="D3059" s="40" t="str">
        <f>IFERROR(__xludf.DUMMYFUNCTION("""COMPUTED_VALUE"""),"Y21d series")</f>
        <v>Y21d series</v>
      </c>
      <c r="E3059" s="40" t="s">
        <v>11409</v>
      </c>
      <c r="F3059" s="40" t="s">
        <v>204</v>
      </c>
      <c r="G3059" s="40" t="s">
        <v>11410</v>
      </c>
      <c r="H3059" s="40" t="s">
        <v>11399</v>
      </c>
    </row>
    <row r="3060">
      <c r="A3060" s="39">
        <f>IFERROR(__xludf.DUMMYFUNCTION("""COMPUTED_VALUE"""),45983.85333506944)</f>
        <v>45983.85334</v>
      </c>
      <c r="B3060" s="40" t="str">
        <f>IFERROR(__xludf.DUMMYFUNCTION("""COMPUTED_VALUE"""),"IDMAL YUSDIRAN YUSUF")</f>
        <v>IDMAL YUSDIRAN YUSUF</v>
      </c>
      <c r="C3060" s="40" t="str">
        <f>IFERROR(__xludf.DUMMYFUNCTION("""COMPUTED_VALUE"""),"ACC")</f>
        <v>ACC</v>
      </c>
      <c r="D3060" s="40" t="str">
        <f>IFERROR(__xludf.DUMMYFUNCTION("""COMPUTED_VALUE"""),"Y21d series")</f>
        <v>Y21d series</v>
      </c>
      <c r="E3060" s="40" t="s">
        <v>11417</v>
      </c>
      <c r="F3060" s="40" t="s">
        <v>257</v>
      </c>
      <c r="G3060" s="40" t="s">
        <v>11418</v>
      </c>
      <c r="H3060" s="40" t="s">
        <v>11419</v>
      </c>
    </row>
    <row r="3061">
      <c r="A3061" s="39">
        <f>IFERROR(__xludf.DUMMYFUNCTION("""COMPUTED_VALUE"""),45983.873832025456)</f>
        <v>45983.87383</v>
      </c>
      <c r="B3061" s="40" t="str">
        <f>IFERROR(__xludf.DUMMYFUNCTION("""COMPUTED_VALUE"""),"ESTER LUDJI")</f>
        <v>ESTER LUDJI</v>
      </c>
      <c r="C3061" s="40" t="str">
        <f>IFERROR(__xludf.DUMMYFUNCTION("""COMPUTED_VALUE"""),"Belum disetujui")</f>
        <v>Belum disetujui</v>
      </c>
      <c r="D3061" s="40"/>
      <c r="E3061" s="40" t="s">
        <v>11441</v>
      </c>
      <c r="F3061" s="40" t="s">
        <v>205</v>
      </c>
      <c r="G3061" s="40" t="s">
        <v>11442</v>
      </c>
      <c r="H3061" s="40" t="s">
        <v>11419</v>
      </c>
    </row>
    <row r="3062">
      <c r="A3062" s="39">
        <f>IFERROR(__xludf.DUMMYFUNCTION("""COMPUTED_VALUE"""),45983.901902708334)</f>
        <v>45983.9019</v>
      </c>
      <c r="B3062" s="40" t="str">
        <f>IFERROR(__xludf.DUMMYFUNCTION("""COMPUTED_VALUE"""),"YASINTHA MBU")</f>
        <v>YASINTHA MBU</v>
      </c>
      <c r="C3062" s="40" t="str">
        <f>IFERROR(__xludf.DUMMYFUNCTION("""COMPUTED_VALUE"""),"ACC")</f>
        <v>ACC</v>
      </c>
      <c r="D3062" s="40" t="str">
        <f>IFERROR(__xludf.DUMMYFUNCTION("""COMPUTED_VALUE"""),"Y400 series")</f>
        <v>Y400 series</v>
      </c>
      <c r="E3062" s="40" t="s">
        <v>11407</v>
      </c>
      <c r="F3062" s="40" t="s">
        <v>220</v>
      </c>
      <c r="G3062" s="40" t="s">
        <v>11408</v>
      </c>
      <c r="H3062" s="40" t="s">
        <v>11399</v>
      </c>
    </row>
    <row r="3063">
      <c r="A3063" s="39">
        <f>IFERROR(__xludf.DUMMYFUNCTION("""COMPUTED_VALUE"""),45984.49840990741)</f>
        <v>45984.49841</v>
      </c>
      <c r="B3063" s="40" t="str">
        <f>IFERROR(__xludf.DUMMYFUNCTION("""COMPUTED_VALUE"""),"SULIS NURAINI INSYATUN")</f>
        <v>SULIS NURAINI INSYATUN</v>
      </c>
      <c r="C3063" s="40" t="str">
        <f>IFERROR(__xludf.DUMMYFUNCTION("""COMPUTED_VALUE"""),"Belum disetujui")</f>
        <v>Belum disetujui</v>
      </c>
      <c r="D3063" s="40"/>
      <c r="E3063" s="40" t="s">
        <v>11429</v>
      </c>
      <c r="F3063" s="40" t="s">
        <v>257</v>
      </c>
      <c r="G3063" s="40" t="s">
        <v>11430</v>
      </c>
      <c r="H3063" s="40" t="s">
        <v>11419</v>
      </c>
    </row>
    <row r="3064">
      <c r="A3064" s="39">
        <f>IFERROR(__xludf.DUMMYFUNCTION("""COMPUTED_VALUE"""),45984.50124883102)</f>
        <v>45984.50125</v>
      </c>
      <c r="B3064" s="40" t="str">
        <f>IFERROR(__xludf.DUMMYFUNCTION("""COMPUTED_VALUE"""),"AZ ZAHRA SITI ZAINAB")</f>
        <v>AZ ZAHRA SITI ZAINAB</v>
      </c>
      <c r="C3064" s="40" t="str">
        <f>IFERROR(__xludf.DUMMYFUNCTION("""COMPUTED_VALUE"""),"Belum disetujui")</f>
        <v>Belum disetujui</v>
      </c>
      <c r="D3064" s="40"/>
      <c r="E3064" s="40" t="s">
        <v>11462</v>
      </c>
      <c r="F3064" s="40" t="s">
        <v>257</v>
      </c>
      <c r="G3064" s="40" t="s">
        <v>11463</v>
      </c>
      <c r="H3064" s="40" t="s">
        <v>11419</v>
      </c>
    </row>
    <row r="3065">
      <c r="A3065" s="39">
        <f>IFERROR(__xludf.DUMMYFUNCTION("""COMPUTED_VALUE"""),45984.51184792824)</f>
        <v>45984.51185</v>
      </c>
      <c r="B3065" s="40" t="str">
        <f>IFERROR(__xludf.DUMMYFUNCTION("""COMPUTED_VALUE"""),"AINI RAHMATINI NATALIA MOESTAKIM")</f>
        <v>AINI RAHMATINI NATALIA MOESTAKIM</v>
      </c>
      <c r="C3065" s="40" t="str">
        <f>IFERROR(__xludf.DUMMYFUNCTION("""COMPUTED_VALUE"""),"Belum disetujui")</f>
        <v>Belum disetujui</v>
      </c>
      <c r="D3065" s="40"/>
      <c r="E3065" s="40" t="s">
        <v>11409</v>
      </c>
      <c r="F3065" s="40" t="s">
        <v>204</v>
      </c>
      <c r="G3065" s="40" t="s">
        <v>11410</v>
      </c>
      <c r="H3065" s="40" t="s">
        <v>11399</v>
      </c>
    </row>
    <row r="3066">
      <c r="A3066" s="39">
        <f>IFERROR(__xludf.DUMMYFUNCTION("""COMPUTED_VALUE"""),45984.51330388889)</f>
        <v>45984.5133</v>
      </c>
      <c r="B3066" s="40" t="str">
        <f>IFERROR(__xludf.DUMMYFUNCTION("""COMPUTED_VALUE"""),"AINI RAHMATINI NATALIA MOESTAKIM")</f>
        <v>AINI RAHMATINI NATALIA MOESTAKIM</v>
      </c>
      <c r="C3066" s="40" t="str">
        <f>IFERROR(__xludf.DUMMYFUNCTION("""COMPUTED_VALUE"""),"Belum disetujui")</f>
        <v>Belum disetujui</v>
      </c>
      <c r="D3066" s="40"/>
      <c r="E3066" s="40" t="s">
        <v>11409</v>
      </c>
      <c r="F3066" s="40" t="s">
        <v>204</v>
      </c>
      <c r="G3066" s="40" t="s">
        <v>11410</v>
      </c>
      <c r="H3066" s="40" t="s">
        <v>11399</v>
      </c>
    </row>
    <row r="3067">
      <c r="A3067" s="39">
        <f>IFERROR(__xludf.DUMMYFUNCTION("""COMPUTED_VALUE"""),45984.514607280085)</f>
        <v>45984.51461</v>
      </c>
      <c r="B3067" s="40" t="str">
        <f>IFERROR(__xludf.DUMMYFUNCTION("""COMPUTED_VALUE"""),"AINI RAHMATINI NATALIA MOESTAKIM")</f>
        <v>AINI RAHMATINI NATALIA MOESTAKIM</v>
      </c>
      <c r="C3067" s="40" t="str">
        <f>IFERROR(__xludf.DUMMYFUNCTION("""COMPUTED_VALUE"""),"Belum disetujui")</f>
        <v>Belum disetujui</v>
      </c>
      <c r="D3067" s="40"/>
      <c r="E3067" s="40" t="s">
        <v>11409</v>
      </c>
      <c r="F3067" s="40" t="s">
        <v>204</v>
      </c>
      <c r="G3067" s="40" t="s">
        <v>11410</v>
      </c>
      <c r="H3067" s="40" t="s">
        <v>11399</v>
      </c>
    </row>
    <row r="3068">
      <c r="A3068" s="39">
        <f>IFERROR(__xludf.DUMMYFUNCTION("""COMPUTED_VALUE"""),45984.522145208335)</f>
        <v>45984.52215</v>
      </c>
      <c r="B3068" s="40" t="str">
        <f>IFERROR(__xludf.DUMMYFUNCTION("""COMPUTED_VALUE"""),"WARDIA")</f>
        <v>WARDIA</v>
      </c>
      <c r="C3068" s="40" t="str">
        <f>IFERROR(__xludf.DUMMYFUNCTION("""COMPUTED_VALUE"""),"Dapat limit tapi belum diproses")</f>
        <v>Dapat limit tapi belum diproses</v>
      </c>
      <c r="D3068" s="40" t="str">
        <f>IFERROR(__xludf.DUMMYFUNCTION("""COMPUTED_VALUE"""),"V50 Lite series")</f>
        <v>V50 Lite series</v>
      </c>
      <c r="E3068" s="40" t="s">
        <v>11409</v>
      </c>
      <c r="F3068" s="40" t="s">
        <v>204</v>
      </c>
      <c r="G3068" s="40" t="s">
        <v>11410</v>
      </c>
      <c r="H3068" s="40" t="s">
        <v>11399</v>
      </c>
    </row>
    <row r="3069">
      <c r="A3069" s="39">
        <f>IFERROR(__xludf.DUMMYFUNCTION("""COMPUTED_VALUE"""),45984.52364046296)</f>
        <v>45984.52364</v>
      </c>
      <c r="B3069" s="40" t="str">
        <f>IFERROR(__xludf.DUMMYFUNCTION("""COMPUTED_VALUE"""),"AINI RAHMATINI NATALIA MOESTAKIM")</f>
        <v>AINI RAHMATINI NATALIA MOESTAKIM</v>
      </c>
      <c r="C3069" s="40" t="str">
        <f>IFERROR(__xludf.DUMMYFUNCTION("""COMPUTED_VALUE"""),"Belum disetujui")</f>
        <v>Belum disetujui</v>
      </c>
      <c r="D3069" s="40"/>
      <c r="E3069" s="40" t="s">
        <v>11409</v>
      </c>
      <c r="F3069" s="40" t="s">
        <v>204</v>
      </c>
      <c r="G3069" s="40" t="s">
        <v>11410</v>
      </c>
      <c r="H3069" s="40" t="s">
        <v>11399</v>
      </c>
    </row>
    <row r="3070">
      <c r="A3070" s="39">
        <f>IFERROR(__xludf.DUMMYFUNCTION("""COMPUTED_VALUE"""),45984.52672332176)</f>
        <v>45984.52672</v>
      </c>
      <c r="B3070" s="40" t="str">
        <f>IFERROR(__xludf.DUMMYFUNCTION("""COMPUTED_VALUE"""),"JULIA DESY CASANDRA DA SILVA FREITAS")</f>
        <v>JULIA DESY CASANDRA DA SILVA FREITAS</v>
      </c>
      <c r="C3070" s="40" t="str">
        <f>IFERROR(__xludf.DUMMYFUNCTION("""COMPUTED_VALUE"""),"Dapat limit tapi belum diproses")</f>
        <v>Dapat limit tapi belum diproses</v>
      </c>
      <c r="D3070" s="40" t="str">
        <f>IFERROR(__xludf.DUMMYFUNCTION("""COMPUTED_VALUE"""),"V60 Lite series")</f>
        <v>V60 Lite series</v>
      </c>
      <c r="E3070" s="40" t="s">
        <v>11480</v>
      </c>
      <c r="F3070" s="40" t="s">
        <v>220</v>
      </c>
      <c r="G3070" s="40" t="s">
        <v>11481</v>
      </c>
      <c r="H3070" s="40" t="s">
        <v>11399</v>
      </c>
    </row>
    <row r="3071">
      <c r="A3071" s="39">
        <f>IFERROR(__xludf.DUMMYFUNCTION("""COMPUTED_VALUE"""),45984.53587707176)</f>
        <v>45984.53588</v>
      </c>
      <c r="B3071" s="40" t="str">
        <f>IFERROR(__xludf.DUMMYFUNCTION("""COMPUTED_VALUE"""),"NUR FATIMAH MOLBANG")</f>
        <v>NUR FATIMAH MOLBANG</v>
      </c>
      <c r="C3071" s="40" t="str">
        <f>IFERROR(__xludf.DUMMYFUNCTION("""COMPUTED_VALUE"""),"Belum disetujui")</f>
        <v>Belum disetujui</v>
      </c>
      <c r="D3071" s="40"/>
      <c r="E3071" s="40" t="s">
        <v>11439</v>
      </c>
      <c r="F3071" s="40" t="s">
        <v>313</v>
      </c>
      <c r="G3071" s="40" t="s">
        <v>11440</v>
      </c>
      <c r="H3071" s="40" t="s">
        <v>11424</v>
      </c>
    </row>
    <row r="3072">
      <c r="A3072" s="39">
        <f>IFERROR(__xludf.DUMMYFUNCTION("""COMPUTED_VALUE"""),45984.53755376158)</f>
        <v>45984.53755</v>
      </c>
      <c r="B3072" s="40" t="str">
        <f>IFERROR(__xludf.DUMMYFUNCTION("""COMPUTED_VALUE"""),"NUR FATIMAH MOLBANG")</f>
        <v>NUR FATIMAH MOLBANG</v>
      </c>
      <c r="C3072" s="40" t="str">
        <f>IFERROR(__xludf.DUMMYFUNCTION("""COMPUTED_VALUE"""),"Belum disetujui")</f>
        <v>Belum disetujui</v>
      </c>
      <c r="D3072" s="40"/>
      <c r="E3072" s="40" t="s">
        <v>11439</v>
      </c>
      <c r="F3072" s="40" t="s">
        <v>313</v>
      </c>
      <c r="G3072" s="40" t="s">
        <v>11440</v>
      </c>
      <c r="H3072" s="40" t="s">
        <v>11424</v>
      </c>
    </row>
    <row r="3073">
      <c r="A3073" s="39">
        <f>IFERROR(__xludf.DUMMYFUNCTION("""COMPUTED_VALUE"""),45984.669625567134)</f>
        <v>45984.66963</v>
      </c>
      <c r="B3073" s="40" t="str">
        <f>IFERROR(__xludf.DUMMYFUNCTION("""COMPUTED_VALUE"""),"SULIS NURAINI INSYATUN")</f>
        <v>SULIS NURAINI INSYATUN</v>
      </c>
      <c r="C3073" s="40" t="str">
        <f>IFERROR(__xludf.DUMMYFUNCTION("""COMPUTED_VALUE"""),"ACC")</f>
        <v>ACC</v>
      </c>
      <c r="D3073" s="40" t="str">
        <f>IFERROR(__xludf.DUMMYFUNCTION("""COMPUTED_VALUE"""),"Y400 series")</f>
        <v>Y400 series</v>
      </c>
      <c r="E3073" s="40" t="s">
        <v>11429</v>
      </c>
      <c r="F3073" s="40" t="s">
        <v>257</v>
      </c>
      <c r="G3073" s="40" t="s">
        <v>11430</v>
      </c>
      <c r="H3073" s="40" t="s">
        <v>11419</v>
      </c>
    </row>
    <row r="3074">
      <c r="A3074" s="39">
        <f>IFERROR(__xludf.DUMMYFUNCTION("""COMPUTED_VALUE"""),45984.80081886574)</f>
        <v>45984.80082</v>
      </c>
      <c r="B3074" s="40" t="str">
        <f>IFERROR(__xludf.DUMMYFUNCTION("""COMPUTED_VALUE"""),"DWITNEY PRETY WANGGANDIMA")</f>
        <v>DWITNEY PRETY WANGGANDIMA</v>
      </c>
      <c r="C3074" s="40" t="str">
        <f>IFERROR(__xludf.DUMMYFUNCTION("""COMPUTED_VALUE"""),"Belum disetujui")</f>
        <v>Belum disetujui</v>
      </c>
      <c r="D3074" s="40"/>
      <c r="E3074" s="40" t="s">
        <v>11443</v>
      </c>
      <c r="F3074" s="40" t="s">
        <v>220</v>
      </c>
      <c r="G3074" s="40" t="s">
        <v>11444</v>
      </c>
      <c r="H3074" s="40" t="s">
        <v>11399</v>
      </c>
    </row>
    <row r="3075">
      <c r="A3075" s="39">
        <f>IFERROR(__xludf.DUMMYFUNCTION("""COMPUTED_VALUE"""),45984.80319293981)</f>
        <v>45984.80319</v>
      </c>
      <c r="B3075" s="40" t="str">
        <f>IFERROR(__xludf.DUMMYFUNCTION("""COMPUTED_VALUE"""),"DWITNEY PRETY WANGGANDIMA")</f>
        <v>DWITNEY PRETY WANGGANDIMA</v>
      </c>
      <c r="C3075" s="40" t="str">
        <f>IFERROR(__xludf.DUMMYFUNCTION("""COMPUTED_VALUE"""),"Belum disetujui")</f>
        <v>Belum disetujui</v>
      </c>
      <c r="D3075" s="40"/>
      <c r="E3075" s="40" t="s">
        <v>11443</v>
      </c>
      <c r="F3075" s="40" t="s">
        <v>220</v>
      </c>
      <c r="G3075" s="40" t="s">
        <v>11444</v>
      </c>
      <c r="H3075" s="40" t="s">
        <v>11399</v>
      </c>
    </row>
    <row r="3076">
      <c r="A3076" s="39">
        <f>IFERROR(__xludf.DUMMYFUNCTION("""COMPUTED_VALUE"""),45984.80474461805)</f>
        <v>45984.80474</v>
      </c>
      <c r="B3076" s="40" t="str">
        <f>IFERROR(__xludf.DUMMYFUNCTION("""COMPUTED_VALUE"""),"WARDIA")</f>
        <v>WARDIA</v>
      </c>
      <c r="C3076" s="40" t="str">
        <f>IFERROR(__xludf.DUMMYFUNCTION("""COMPUTED_VALUE"""),"Belum disetujui")</f>
        <v>Belum disetujui</v>
      </c>
      <c r="D3076" s="40"/>
      <c r="E3076" s="40" t="s">
        <v>11409</v>
      </c>
      <c r="F3076" s="40" t="s">
        <v>204</v>
      </c>
      <c r="G3076" s="40" t="s">
        <v>11410</v>
      </c>
      <c r="H3076" s="40" t="s">
        <v>11399</v>
      </c>
    </row>
    <row r="3077">
      <c r="A3077" s="39">
        <f>IFERROR(__xludf.DUMMYFUNCTION("""COMPUTED_VALUE"""),45985.37323292824)</f>
        <v>45985.37323</v>
      </c>
      <c r="B3077" s="40" t="str">
        <f>IFERROR(__xludf.DUMMYFUNCTION("""COMPUTED_VALUE"""),"ASTUTI BELA WAWO")</f>
        <v>ASTUTI BELA WAWO</v>
      </c>
      <c r="C3077" s="40" t="str">
        <f>IFERROR(__xludf.DUMMYFUNCTION("""COMPUTED_VALUE"""),"Belum disetujui")</f>
        <v>Belum disetujui</v>
      </c>
      <c r="D3077" s="40"/>
      <c r="E3077" s="40" t="s">
        <v>11427</v>
      </c>
      <c r="F3077" s="40" t="s">
        <v>257</v>
      </c>
      <c r="G3077" s="40" t="s">
        <v>11428</v>
      </c>
      <c r="H3077" s="40" t="s">
        <v>11419</v>
      </c>
    </row>
    <row r="3078">
      <c r="A3078" s="39">
        <f>IFERROR(__xludf.DUMMYFUNCTION("""COMPUTED_VALUE"""),45985.42748254629)</f>
        <v>45985.42748</v>
      </c>
      <c r="B3078" s="40" t="str">
        <f>IFERROR(__xludf.DUMMYFUNCTION("""COMPUTED_VALUE"""),"HERONIMUS NAMU WALI")</f>
        <v>HERONIMUS NAMU WALI</v>
      </c>
      <c r="C3078" s="40" t="str">
        <f>IFERROR(__xludf.DUMMYFUNCTION("""COMPUTED_VALUE"""),"Belum disetujui")</f>
        <v>Belum disetujui</v>
      </c>
      <c r="D3078" s="40"/>
      <c r="E3078" s="40" t="s">
        <v>11452</v>
      </c>
      <c r="F3078" s="40" t="s">
        <v>205</v>
      </c>
      <c r="G3078" s="40" t="s">
        <v>11453</v>
      </c>
      <c r="H3078" s="40" t="s">
        <v>11419</v>
      </c>
    </row>
    <row r="3079">
      <c r="A3079" s="39">
        <f>IFERROR(__xludf.DUMMYFUNCTION("""COMPUTED_VALUE"""),45985.42768917824)</f>
        <v>45985.42769</v>
      </c>
      <c r="B3079" s="40" t="str">
        <f>IFERROR(__xludf.DUMMYFUNCTION("""COMPUTED_VALUE"""),"BERGITHA NIA OLIN")</f>
        <v>BERGITHA NIA OLIN</v>
      </c>
      <c r="C3079" s="40" t="str">
        <f>IFERROR(__xludf.DUMMYFUNCTION("""COMPUTED_VALUE"""),"Belum disetujui")</f>
        <v>Belum disetujui</v>
      </c>
      <c r="D3079" s="40"/>
      <c r="E3079" s="40" t="s">
        <v>11431</v>
      </c>
      <c r="F3079" s="40" t="s">
        <v>313</v>
      </c>
      <c r="G3079" s="40" t="s">
        <v>11432</v>
      </c>
      <c r="H3079" s="40" t="s">
        <v>11424</v>
      </c>
    </row>
    <row r="3080">
      <c r="A3080" s="39">
        <f>IFERROR(__xludf.DUMMYFUNCTION("""COMPUTED_VALUE"""),45985.434293819446)</f>
        <v>45985.43429</v>
      </c>
      <c r="B3080" s="40" t="str">
        <f>IFERROR(__xludf.DUMMYFUNCTION("""COMPUTED_VALUE"""),"ANGELA BOUKA BERI")</f>
        <v>ANGELA BOUKA BERI</v>
      </c>
      <c r="C3080" s="40" t="str">
        <f>IFERROR(__xludf.DUMMYFUNCTION("""COMPUTED_VALUE"""),"Dapat limit tapi belum diproses")</f>
        <v>Dapat limit tapi belum diproses</v>
      </c>
      <c r="D3080" s="40" t="str">
        <f>IFERROR(__xludf.DUMMYFUNCTION("""COMPUTED_VALUE"""),"Y21d series")</f>
        <v>Y21d series</v>
      </c>
      <c r="E3080" s="40" t="s">
        <v>11486</v>
      </c>
      <c r="F3080" s="40" t="s">
        <v>11450</v>
      </c>
      <c r="G3080" s="40" t="s">
        <v>11487</v>
      </c>
      <c r="H3080" s="40" t="s">
        <v>11424</v>
      </c>
    </row>
    <row r="3081">
      <c r="A3081" s="39">
        <f>IFERROR(__xludf.DUMMYFUNCTION("""COMPUTED_VALUE"""),45985.43480465278)</f>
        <v>45985.4348</v>
      </c>
      <c r="B3081" s="40" t="str">
        <f>IFERROR(__xludf.DUMMYFUNCTION("""COMPUTED_VALUE"""),"AINI RAHMATINI NATALIA MOESTAKIM")</f>
        <v>AINI RAHMATINI NATALIA MOESTAKIM</v>
      </c>
      <c r="C3081" s="40" t="str">
        <f>IFERROR(__xludf.DUMMYFUNCTION("""COMPUTED_VALUE"""),"Belum disetujui")</f>
        <v>Belum disetujui</v>
      </c>
      <c r="D3081" s="40"/>
      <c r="E3081" s="40" t="s">
        <v>11409</v>
      </c>
      <c r="F3081" s="40" t="s">
        <v>204</v>
      </c>
      <c r="G3081" s="40" t="s">
        <v>11410</v>
      </c>
      <c r="H3081" s="40" t="s">
        <v>11399</v>
      </c>
    </row>
    <row r="3082">
      <c r="A3082" s="39">
        <f>IFERROR(__xludf.DUMMYFUNCTION("""COMPUTED_VALUE"""),45985.44850561342)</f>
        <v>45985.44851</v>
      </c>
      <c r="B3082" s="40" t="str">
        <f>IFERROR(__xludf.DUMMYFUNCTION("""COMPUTED_VALUE"""),"AZ ZAHRA SITI ZAINAB")</f>
        <v>AZ ZAHRA SITI ZAINAB</v>
      </c>
      <c r="C3082" s="40" t="str">
        <f>IFERROR(__xludf.DUMMYFUNCTION("""COMPUTED_VALUE"""),"Belum disetujui")</f>
        <v>Belum disetujui</v>
      </c>
      <c r="D3082" s="40"/>
      <c r="E3082" s="40" t="s">
        <v>11462</v>
      </c>
      <c r="F3082" s="40" t="s">
        <v>257</v>
      </c>
      <c r="G3082" s="40" t="s">
        <v>11463</v>
      </c>
      <c r="H3082" s="40" t="s">
        <v>11419</v>
      </c>
    </row>
    <row r="3083">
      <c r="A3083" s="39">
        <f>IFERROR(__xludf.DUMMYFUNCTION("""COMPUTED_VALUE"""),45985.44957039352)</f>
        <v>45985.44957</v>
      </c>
      <c r="B3083" s="40" t="str">
        <f>IFERROR(__xludf.DUMMYFUNCTION("""COMPUTED_VALUE"""),"GRACELLA SARI HIVANA MANAFE")</f>
        <v>GRACELLA SARI HIVANA MANAFE</v>
      </c>
      <c r="C3083" s="40" t="str">
        <f>IFERROR(__xludf.DUMMYFUNCTION("""COMPUTED_VALUE"""),"Dapat limit tapi belum diproses")</f>
        <v>Dapat limit tapi belum diproses</v>
      </c>
      <c r="D3083" s="40" t="str">
        <f>IFERROR(__xludf.DUMMYFUNCTION("""COMPUTED_VALUE"""),"Y21d series")</f>
        <v>Y21d series</v>
      </c>
      <c r="E3083" s="40" t="s">
        <v>11478</v>
      </c>
      <c r="F3083" s="40" t="s">
        <v>220</v>
      </c>
      <c r="G3083" s="40" t="s">
        <v>11479</v>
      </c>
      <c r="H3083" s="40" t="s">
        <v>11399</v>
      </c>
    </row>
    <row r="3084">
      <c r="A3084" s="39">
        <f>IFERROR(__xludf.DUMMYFUNCTION("""COMPUTED_VALUE"""),45985.45440108796)</f>
        <v>45985.4544</v>
      </c>
      <c r="B3084" s="40" t="str">
        <f>IFERROR(__xludf.DUMMYFUNCTION("""COMPUTED_VALUE"""),"YOMELIANA MARIA MAGNO")</f>
        <v>YOMELIANA MARIA MAGNO</v>
      </c>
      <c r="C3084" s="40" t="str">
        <f>IFERROR(__xludf.DUMMYFUNCTION("""COMPUTED_VALUE"""),"Belum disetujui")</f>
        <v>Belum disetujui</v>
      </c>
      <c r="D3084" s="40"/>
      <c r="E3084" s="40" t="s">
        <v>11460</v>
      </c>
      <c r="F3084" s="40" t="s">
        <v>871</v>
      </c>
      <c r="G3084" s="40" t="s">
        <v>11461</v>
      </c>
      <c r="H3084" s="40" t="s">
        <v>11424</v>
      </c>
    </row>
    <row r="3085">
      <c r="A3085" s="39">
        <f>IFERROR(__xludf.DUMMYFUNCTION("""COMPUTED_VALUE"""),45985.464176712965)</f>
        <v>45985.46418</v>
      </c>
      <c r="B3085" s="40" t="str">
        <f>IFERROR(__xludf.DUMMYFUNCTION("""COMPUTED_VALUE"""),"YOMELIANA MARIA MAGNO")</f>
        <v>YOMELIANA MARIA MAGNO</v>
      </c>
      <c r="C3085" s="40" t="str">
        <f>IFERROR(__xludf.DUMMYFUNCTION("""COMPUTED_VALUE"""),"Belum disetujui")</f>
        <v>Belum disetujui</v>
      </c>
      <c r="D3085" s="40"/>
      <c r="E3085" s="40" t="s">
        <v>11460</v>
      </c>
      <c r="F3085" s="40" t="s">
        <v>871</v>
      </c>
      <c r="G3085" s="40" t="s">
        <v>11461</v>
      </c>
      <c r="H3085" s="40" t="s">
        <v>11424</v>
      </c>
    </row>
    <row r="3086">
      <c r="A3086" s="39">
        <f>IFERROR(__xludf.DUMMYFUNCTION("""COMPUTED_VALUE"""),45985.465030914354)</f>
        <v>45985.46503</v>
      </c>
      <c r="B3086" s="40" t="str">
        <f>IFERROR(__xludf.DUMMYFUNCTION("""COMPUTED_VALUE"""),"ADRIANA")</f>
        <v>ADRIANA</v>
      </c>
      <c r="C3086" s="40" t="str">
        <f>IFERROR(__xludf.DUMMYFUNCTION("""COMPUTED_VALUE"""),"Belum disetujui")</f>
        <v>Belum disetujui</v>
      </c>
      <c r="D3086" s="40"/>
      <c r="E3086" s="40" t="s">
        <v>11433</v>
      </c>
      <c r="F3086" s="40" t="s">
        <v>313</v>
      </c>
      <c r="G3086" s="40" t="s">
        <v>11434</v>
      </c>
      <c r="H3086" s="40" t="s">
        <v>11424</v>
      </c>
    </row>
    <row r="3087">
      <c r="A3087" s="39">
        <f>IFERROR(__xludf.DUMMYFUNCTION("""COMPUTED_VALUE"""),45985.486119050925)</f>
        <v>45985.48612</v>
      </c>
      <c r="B3087" s="40" t="str">
        <f>IFERROR(__xludf.DUMMYFUNCTION("""COMPUTED_VALUE"""),"SULIS NURAINI INSYATUN")</f>
        <v>SULIS NURAINI INSYATUN</v>
      </c>
      <c r="C3087" s="40" t="str">
        <f>IFERROR(__xludf.DUMMYFUNCTION("""COMPUTED_VALUE"""),"Belum disetujui")</f>
        <v>Belum disetujui</v>
      </c>
      <c r="D3087" s="40"/>
      <c r="E3087" s="40" t="s">
        <v>11429</v>
      </c>
      <c r="F3087" s="40" t="s">
        <v>257</v>
      </c>
      <c r="G3087" s="40" t="s">
        <v>11430</v>
      </c>
      <c r="H3087" s="40" t="s">
        <v>11419</v>
      </c>
    </row>
    <row r="3088">
      <c r="A3088" s="39">
        <f>IFERROR(__xludf.DUMMYFUNCTION("""COMPUTED_VALUE"""),45985.49722140046)</f>
        <v>45985.49722</v>
      </c>
      <c r="B3088" s="40" t="str">
        <f>IFERROR(__xludf.DUMMYFUNCTION("""COMPUTED_VALUE"""),"MARIA MELAN ANANCE BILI")</f>
        <v>MARIA MELAN ANANCE BILI</v>
      </c>
      <c r="C3088" s="40" t="str">
        <f>IFERROR(__xludf.DUMMYFUNCTION("""COMPUTED_VALUE"""),"Belum disetujui")</f>
        <v>Belum disetujui</v>
      </c>
      <c r="D3088" s="40"/>
      <c r="E3088" s="40" t="s">
        <v>11466</v>
      </c>
      <c r="F3088" s="40" t="s">
        <v>257</v>
      </c>
      <c r="G3088" s="40" t="s">
        <v>11467</v>
      </c>
      <c r="H3088" s="40" t="s">
        <v>11419</v>
      </c>
    </row>
    <row r="3089">
      <c r="A3089" s="39">
        <f>IFERROR(__xludf.DUMMYFUNCTION("""COMPUTED_VALUE"""),45985.50127519676)</f>
        <v>45985.50128</v>
      </c>
      <c r="B3089" s="40" t="str">
        <f>IFERROR(__xludf.DUMMYFUNCTION("""COMPUTED_VALUE"""),"HERONIMUS NAMU WALI")</f>
        <v>HERONIMUS NAMU WALI</v>
      </c>
      <c r="C3089" s="40" t="str">
        <f>IFERROR(__xludf.DUMMYFUNCTION("""COMPUTED_VALUE"""),"Belum disetujui")</f>
        <v>Belum disetujui</v>
      </c>
      <c r="D3089" s="40"/>
      <c r="E3089" s="40" t="s">
        <v>11452</v>
      </c>
      <c r="F3089" s="40" t="s">
        <v>205</v>
      </c>
      <c r="G3089" s="40" t="s">
        <v>11453</v>
      </c>
      <c r="H3089" s="40" t="s">
        <v>11419</v>
      </c>
    </row>
    <row r="3090">
      <c r="A3090" s="39">
        <f>IFERROR(__xludf.DUMMYFUNCTION("""COMPUTED_VALUE"""),45985.52891568287)</f>
        <v>45985.52892</v>
      </c>
      <c r="B3090" s="40" t="str">
        <f>IFERROR(__xludf.DUMMYFUNCTION("""COMPUTED_VALUE"""),"IRENE NOVALIA KADJU")</f>
        <v>IRENE NOVALIA KADJU</v>
      </c>
      <c r="C3090" s="40" t="str">
        <f>IFERROR(__xludf.DUMMYFUNCTION("""COMPUTED_VALUE"""),"Belum disetujui")</f>
        <v>Belum disetujui</v>
      </c>
      <c r="D3090" s="40"/>
      <c r="E3090" s="40" t="s">
        <v>11445</v>
      </c>
      <c r="F3090" s="40" t="s">
        <v>204</v>
      </c>
      <c r="G3090" s="40" t="s">
        <v>11446</v>
      </c>
      <c r="H3090" s="40" t="s">
        <v>11399</v>
      </c>
    </row>
    <row r="3091">
      <c r="A3091" s="39">
        <f>IFERROR(__xludf.DUMMYFUNCTION("""COMPUTED_VALUE"""),45985.532600798615)</f>
        <v>45985.5326</v>
      </c>
      <c r="B3091" s="40" t="str">
        <f>IFERROR(__xludf.DUMMYFUNCTION("""COMPUTED_VALUE"""),"PRETI SISILIA SILA")</f>
        <v>PRETI SISILIA SILA</v>
      </c>
      <c r="C3091" s="40" t="str">
        <f>IFERROR(__xludf.DUMMYFUNCTION("""COMPUTED_VALUE"""),"Dapat limit tapi belum diproses")</f>
        <v>Dapat limit tapi belum diproses</v>
      </c>
      <c r="D3091" s="40" t="str">
        <f>IFERROR(__xludf.DUMMYFUNCTION("""COMPUTED_VALUE"""),"Y400 series")</f>
        <v>Y400 series</v>
      </c>
      <c r="E3091" s="40" t="s">
        <v>11456</v>
      </c>
      <c r="F3091" s="40" t="s">
        <v>667</v>
      </c>
      <c r="G3091" s="40" t="s">
        <v>11457</v>
      </c>
      <c r="H3091" s="40" t="s">
        <v>11424</v>
      </c>
    </row>
    <row r="3092">
      <c r="A3092" s="39">
        <f>IFERROR(__xludf.DUMMYFUNCTION("""COMPUTED_VALUE"""),45985.539423043985)</f>
        <v>45985.53942</v>
      </c>
      <c r="B3092" s="40" t="str">
        <f>IFERROR(__xludf.DUMMYFUNCTION("""COMPUTED_VALUE"""),"ARMINDA TEKU MANEK")</f>
        <v>ARMINDA TEKU MANEK</v>
      </c>
      <c r="C3092" s="40" t="str">
        <f>IFERROR(__xludf.DUMMYFUNCTION("""COMPUTED_VALUE"""),"Belum disetujui")</f>
        <v>Belum disetujui</v>
      </c>
      <c r="D3092" s="40"/>
      <c r="E3092" s="40" t="s">
        <v>11474</v>
      </c>
      <c r="F3092" s="40" t="s">
        <v>313</v>
      </c>
      <c r="G3092" s="40" t="s">
        <v>11475</v>
      </c>
      <c r="H3092" s="40" t="s">
        <v>11424</v>
      </c>
    </row>
    <row r="3093">
      <c r="A3093" s="39">
        <f>IFERROR(__xludf.DUMMYFUNCTION("""COMPUTED_VALUE"""),45985.54620273148)</f>
        <v>45985.5462</v>
      </c>
      <c r="B3093" s="40" t="str">
        <f>IFERROR(__xludf.DUMMYFUNCTION("""COMPUTED_VALUE"""),"ANITA ANA AMAH")</f>
        <v>ANITA ANA AMAH</v>
      </c>
      <c r="C3093" s="40" t="str">
        <f>IFERROR(__xludf.DUMMYFUNCTION("""COMPUTED_VALUE"""),"ACC")</f>
        <v>ACC</v>
      </c>
      <c r="D3093" s="40" t="str">
        <f>IFERROR(__xludf.DUMMYFUNCTION("""COMPUTED_VALUE"""),"Y21d series")</f>
        <v>Y21d series</v>
      </c>
      <c r="E3093" s="40" t="s">
        <v>11425</v>
      </c>
      <c r="F3093" s="40" t="s">
        <v>205</v>
      </c>
      <c r="G3093" s="40" t="s">
        <v>11426</v>
      </c>
      <c r="H3093" s="40" t="s">
        <v>11419</v>
      </c>
    </row>
    <row r="3094">
      <c r="A3094" s="39">
        <f>IFERROR(__xludf.DUMMYFUNCTION("""COMPUTED_VALUE"""),45985.55155152778)</f>
        <v>45985.55155</v>
      </c>
      <c r="B3094" s="40" t="str">
        <f>IFERROR(__xludf.DUMMYFUNCTION("""COMPUTED_VALUE"""),"MARIA MELAN ANANCE BILI")</f>
        <v>MARIA MELAN ANANCE BILI</v>
      </c>
      <c r="C3094" s="40" t="str">
        <f>IFERROR(__xludf.DUMMYFUNCTION("""COMPUTED_VALUE"""),"Belum disetujui")</f>
        <v>Belum disetujui</v>
      </c>
      <c r="D3094" s="40"/>
      <c r="E3094" s="40" t="s">
        <v>11466</v>
      </c>
      <c r="F3094" s="40" t="s">
        <v>257</v>
      </c>
      <c r="G3094" s="40" t="s">
        <v>11467</v>
      </c>
      <c r="H3094" s="40" t="s">
        <v>11419</v>
      </c>
    </row>
    <row r="3095">
      <c r="A3095" s="39">
        <f>IFERROR(__xludf.DUMMYFUNCTION("""COMPUTED_VALUE"""),45985.57303103009)</f>
        <v>45985.57303</v>
      </c>
      <c r="B3095" s="40" t="str">
        <f>IFERROR(__xludf.DUMMYFUNCTION("""COMPUTED_VALUE"""),"ANITA ANA AMAH")</f>
        <v>ANITA ANA AMAH</v>
      </c>
      <c r="C3095" s="40" t="str">
        <f>IFERROR(__xludf.DUMMYFUNCTION("""COMPUTED_VALUE"""),"ACC")</f>
        <v>ACC</v>
      </c>
      <c r="D3095" s="40" t="str">
        <f>IFERROR(__xludf.DUMMYFUNCTION("""COMPUTED_VALUE"""),"Y21d series")</f>
        <v>Y21d series</v>
      </c>
      <c r="E3095" s="40" t="s">
        <v>11425</v>
      </c>
      <c r="F3095" s="40" t="s">
        <v>205</v>
      </c>
      <c r="G3095" s="40" t="s">
        <v>11426</v>
      </c>
      <c r="H3095" s="40" t="s">
        <v>11419</v>
      </c>
    </row>
    <row r="3096">
      <c r="A3096" s="39">
        <f>IFERROR(__xludf.DUMMYFUNCTION("""COMPUTED_VALUE"""),45985.58999162037)</f>
        <v>45985.58999</v>
      </c>
      <c r="B3096" s="40" t="str">
        <f>IFERROR(__xludf.DUMMYFUNCTION("""COMPUTED_VALUE"""),"ALDIANA WELIA PANIE")</f>
        <v>ALDIANA WELIA PANIE</v>
      </c>
      <c r="C3096" s="40" t="str">
        <f>IFERROR(__xludf.DUMMYFUNCTION("""COMPUTED_VALUE"""),"ACC")</f>
        <v>ACC</v>
      </c>
      <c r="D3096" s="40" t="str">
        <f>IFERROR(__xludf.DUMMYFUNCTION("""COMPUTED_VALUE"""),"V60 Lite series")</f>
        <v>V60 Lite series</v>
      </c>
      <c r="E3096" s="40" t="s">
        <v>11422</v>
      </c>
      <c r="F3096" s="40" t="s">
        <v>215</v>
      </c>
      <c r="G3096" s="40" t="s">
        <v>11423</v>
      </c>
      <c r="H3096" s="40" t="s">
        <v>11424</v>
      </c>
    </row>
    <row r="3097">
      <c r="A3097" s="39">
        <f>IFERROR(__xludf.DUMMYFUNCTION("""COMPUTED_VALUE"""),45985.599479004624)</f>
        <v>45985.59948</v>
      </c>
      <c r="B3097" s="40" t="str">
        <f>IFERROR(__xludf.DUMMYFUNCTION("""COMPUTED_VALUE"""),"ASRI NINGSI RAMBU ATA ENDI")</f>
        <v>ASRI NINGSI RAMBU ATA ENDI</v>
      </c>
      <c r="C3097" s="40" t="str">
        <f>IFERROR(__xludf.DUMMYFUNCTION("""COMPUTED_VALUE"""),"Belum disetujui")</f>
        <v>Belum disetujui</v>
      </c>
      <c r="D3097" s="40"/>
      <c r="E3097" s="40" t="s">
        <v>11441</v>
      </c>
      <c r="F3097" s="40" t="s">
        <v>205</v>
      </c>
      <c r="G3097" s="40" t="s">
        <v>11442</v>
      </c>
      <c r="H3097" s="40" t="s">
        <v>11419</v>
      </c>
    </row>
    <row r="3098">
      <c r="A3098" s="39">
        <f>IFERROR(__xludf.DUMMYFUNCTION("""COMPUTED_VALUE"""),45985.61350677084)</f>
        <v>45985.61351</v>
      </c>
      <c r="B3098" s="40" t="str">
        <f>IFERROR(__xludf.DUMMYFUNCTION("""COMPUTED_VALUE"""),"EMPI FRANGKI LIEM")</f>
        <v>EMPI FRANGKI LIEM</v>
      </c>
      <c r="C3098" s="40" t="str">
        <f>IFERROR(__xludf.DUMMYFUNCTION("""COMPUTED_VALUE"""),"Belum disetujui")</f>
        <v>Belum disetujui</v>
      </c>
      <c r="D3098" s="40"/>
      <c r="E3098" s="40" t="s">
        <v>11397</v>
      </c>
      <c r="F3098" s="40" t="s">
        <v>220</v>
      </c>
      <c r="G3098" s="40" t="s">
        <v>11398</v>
      </c>
      <c r="H3098" s="40" t="s">
        <v>11399</v>
      </c>
    </row>
    <row r="3099">
      <c r="A3099" s="39">
        <f>IFERROR(__xludf.DUMMYFUNCTION("""COMPUTED_VALUE"""),45985.61862579861)</f>
        <v>45985.61863</v>
      </c>
      <c r="B3099" s="40" t="str">
        <f>IFERROR(__xludf.DUMMYFUNCTION("""COMPUTED_VALUE"""),"ROS YANE KANA LUDJI")</f>
        <v>ROS YANE KANA LUDJI</v>
      </c>
      <c r="C3099" s="40" t="str">
        <f>IFERROR(__xludf.DUMMYFUNCTION("""COMPUTED_VALUE"""),"ACC")</f>
        <v>ACC</v>
      </c>
      <c r="D3099" s="40" t="str">
        <f>IFERROR(__xludf.DUMMYFUNCTION("""COMPUTED_VALUE"""),"Y21d series")</f>
        <v>Y21d series</v>
      </c>
      <c r="E3099" s="40" t="s">
        <v>11437</v>
      </c>
      <c r="F3099" s="40" t="s">
        <v>204</v>
      </c>
      <c r="G3099" s="40" t="s">
        <v>11438</v>
      </c>
      <c r="H3099" s="40" t="s">
        <v>11399</v>
      </c>
    </row>
    <row r="3100">
      <c r="A3100" s="39">
        <f>IFERROR(__xludf.DUMMYFUNCTION("""COMPUTED_VALUE"""),45985.624066192126)</f>
        <v>45985.62407</v>
      </c>
      <c r="B3100" s="40" t="str">
        <f>IFERROR(__xludf.DUMMYFUNCTION("""COMPUTED_VALUE"""),"SKOLASTIKA B TAUNAES")</f>
        <v>SKOLASTIKA B TAUNAES</v>
      </c>
      <c r="C3100" s="40" t="str">
        <f>IFERROR(__xludf.DUMMYFUNCTION("""COMPUTED_VALUE"""),"Belum disetujui")</f>
        <v>Belum disetujui</v>
      </c>
      <c r="D3100" s="40"/>
      <c r="E3100" s="40" t="s">
        <v>11413</v>
      </c>
      <c r="F3100" s="40" t="s">
        <v>204</v>
      </c>
      <c r="G3100" s="40" t="s">
        <v>11414</v>
      </c>
      <c r="H3100" s="40" t="s">
        <v>11399</v>
      </c>
    </row>
    <row r="3101">
      <c r="A3101" s="39">
        <f>IFERROR(__xludf.DUMMYFUNCTION("""COMPUTED_VALUE"""),45985.625882962966)</f>
        <v>45985.62588</v>
      </c>
      <c r="B3101" s="40" t="str">
        <f>IFERROR(__xludf.DUMMYFUNCTION("""COMPUTED_VALUE"""),"SKOLASTIKA B TAUNAES")</f>
        <v>SKOLASTIKA B TAUNAES</v>
      </c>
      <c r="C3101" s="40" t="str">
        <f>IFERROR(__xludf.DUMMYFUNCTION("""COMPUTED_VALUE"""),"Belum disetujui")</f>
        <v>Belum disetujui</v>
      </c>
      <c r="D3101" s="40"/>
      <c r="E3101" s="40" t="s">
        <v>11413</v>
      </c>
      <c r="F3101" s="40" t="s">
        <v>204</v>
      </c>
      <c r="G3101" s="40" t="s">
        <v>11414</v>
      </c>
      <c r="H3101" s="40" t="s">
        <v>11399</v>
      </c>
    </row>
    <row r="3102">
      <c r="A3102" s="39">
        <f>IFERROR(__xludf.DUMMYFUNCTION("""COMPUTED_VALUE"""),45985.6294718287)</f>
        <v>45985.62947</v>
      </c>
      <c r="B3102" s="40" t="str">
        <f>IFERROR(__xludf.DUMMYFUNCTION("""COMPUTED_VALUE"""),"SKOLASTIKA B TAUNAES")</f>
        <v>SKOLASTIKA B TAUNAES</v>
      </c>
      <c r="C3102" s="40" t="str">
        <f>IFERROR(__xludf.DUMMYFUNCTION("""COMPUTED_VALUE"""),"Belum disetujui")</f>
        <v>Belum disetujui</v>
      </c>
      <c r="D3102" s="40"/>
      <c r="E3102" s="40" t="s">
        <v>11413</v>
      </c>
      <c r="F3102" s="40" t="s">
        <v>204</v>
      </c>
      <c r="G3102" s="40" t="s">
        <v>11414</v>
      </c>
      <c r="H3102" s="40" t="s">
        <v>11399</v>
      </c>
    </row>
    <row r="3103">
      <c r="A3103" s="39">
        <f>IFERROR(__xludf.DUMMYFUNCTION("""COMPUTED_VALUE"""),45985.63124137731)</f>
        <v>45985.63124</v>
      </c>
      <c r="B3103" s="40" t="str">
        <f>IFERROR(__xludf.DUMMYFUNCTION("""COMPUTED_VALUE"""),"SKOLASTIKA B TAUNAES")</f>
        <v>SKOLASTIKA B TAUNAES</v>
      </c>
      <c r="C3103" s="40" t="str">
        <f>IFERROR(__xludf.DUMMYFUNCTION("""COMPUTED_VALUE"""),"Belum disetujui")</f>
        <v>Belum disetujui</v>
      </c>
      <c r="D3103" s="40"/>
      <c r="E3103" s="40" t="s">
        <v>11413</v>
      </c>
      <c r="F3103" s="40" t="s">
        <v>204</v>
      </c>
      <c r="G3103" s="40" t="s">
        <v>11414</v>
      </c>
      <c r="H3103" s="40" t="s">
        <v>11399</v>
      </c>
    </row>
    <row r="3104">
      <c r="A3104" s="39">
        <f>IFERROR(__xludf.DUMMYFUNCTION("""COMPUTED_VALUE"""),45985.63317328704)</f>
        <v>45985.63317</v>
      </c>
      <c r="B3104" s="40" t="str">
        <f>IFERROR(__xludf.DUMMYFUNCTION("""COMPUTED_VALUE"""),"SKOLASTIKA B TAUNAES")</f>
        <v>SKOLASTIKA B TAUNAES</v>
      </c>
      <c r="C3104" s="40" t="str">
        <f>IFERROR(__xludf.DUMMYFUNCTION("""COMPUTED_VALUE"""),"Belum disetujui")</f>
        <v>Belum disetujui</v>
      </c>
      <c r="D3104" s="40"/>
      <c r="E3104" s="40" t="s">
        <v>11413</v>
      </c>
      <c r="F3104" s="40" t="s">
        <v>204</v>
      </c>
      <c r="G3104" s="40" t="s">
        <v>11414</v>
      </c>
      <c r="H3104" s="40" t="s">
        <v>11399</v>
      </c>
    </row>
    <row r="3105">
      <c r="A3105" s="39">
        <f>IFERROR(__xludf.DUMMYFUNCTION("""COMPUTED_VALUE"""),45985.634671678235)</f>
        <v>45985.63467</v>
      </c>
      <c r="B3105" s="40" t="str">
        <f>IFERROR(__xludf.DUMMYFUNCTION("""COMPUTED_VALUE"""),"SKOLASTIKA B TAUNAES")</f>
        <v>SKOLASTIKA B TAUNAES</v>
      </c>
      <c r="C3105" s="40" t="str">
        <f>IFERROR(__xludf.DUMMYFUNCTION("""COMPUTED_VALUE"""),"Belum disetujui")</f>
        <v>Belum disetujui</v>
      </c>
      <c r="D3105" s="40"/>
      <c r="E3105" s="40" t="s">
        <v>11413</v>
      </c>
      <c r="F3105" s="40" t="s">
        <v>204</v>
      </c>
      <c r="G3105" s="40" t="s">
        <v>11414</v>
      </c>
      <c r="H3105" s="40" t="s">
        <v>11399</v>
      </c>
    </row>
    <row r="3106">
      <c r="A3106" s="39">
        <f>IFERROR(__xludf.DUMMYFUNCTION("""COMPUTED_VALUE"""),45985.650157523145)</f>
        <v>45985.65016</v>
      </c>
      <c r="B3106" s="40" t="str">
        <f>IFERROR(__xludf.DUMMYFUNCTION("""COMPUTED_VALUE"""),"SKOLASTIKA B TAUNAES")</f>
        <v>SKOLASTIKA B TAUNAES</v>
      </c>
      <c r="C3106" s="40" t="str">
        <f>IFERROR(__xludf.DUMMYFUNCTION("""COMPUTED_VALUE"""),"Belum disetujui")</f>
        <v>Belum disetujui</v>
      </c>
      <c r="D3106" s="40"/>
      <c r="E3106" s="40" t="s">
        <v>11413</v>
      </c>
      <c r="F3106" s="40" t="s">
        <v>204</v>
      </c>
      <c r="G3106" s="40" t="s">
        <v>11414</v>
      </c>
      <c r="H3106" s="40" t="s">
        <v>11399</v>
      </c>
    </row>
    <row r="3107">
      <c r="A3107" s="39">
        <f>IFERROR(__xludf.DUMMYFUNCTION("""COMPUTED_VALUE"""),45985.65827582176)</f>
        <v>45985.65828</v>
      </c>
      <c r="B3107" s="40" t="str">
        <f>IFERROR(__xludf.DUMMYFUNCTION("""COMPUTED_VALUE"""),"ANAK AGUNG SRI WULANTIWI")</f>
        <v>ANAK AGUNG SRI WULANTIWI</v>
      </c>
      <c r="C3107" s="40" t="str">
        <f>IFERROR(__xludf.DUMMYFUNCTION("""COMPUTED_VALUE"""),"ACC")</f>
        <v>ACC</v>
      </c>
      <c r="D3107" s="40" t="str">
        <f>IFERROR(__xludf.DUMMYFUNCTION("""COMPUTED_VALUE"""),"Y21d series")</f>
        <v>Y21d series</v>
      </c>
      <c r="E3107" s="40" t="s">
        <v>11492</v>
      </c>
      <c r="F3107" s="40" t="s">
        <v>205</v>
      </c>
      <c r="G3107" s="40" t="s">
        <v>11493</v>
      </c>
      <c r="H3107" s="40" t="s">
        <v>11419</v>
      </c>
    </row>
    <row r="3108">
      <c r="A3108" s="39">
        <f>IFERROR(__xludf.DUMMYFUNCTION("""COMPUTED_VALUE"""),45985.65832591435)</f>
        <v>45985.65833</v>
      </c>
      <c r="B3108" s="40" t="str">
        <f>IFERROR(__xludf.DUMMYFUNCTION("""COMPUTED_VALUE"""),"MARIA MELAN ANANCE BILI")</f>
        <v>MARIA MELAN ANANCE BILI</v>
      </c>
      <c r="C3108" s="40" t="str">
        <f>IFERROR(__xludf.DUMMYFUNCTION("""COMPUTED_VALUE"""),"ACC")</f>
        <v>ACC</v>
      </c>
      <c r="D3108" s="40" t="str">
        <f>IFERROR(__xludf.DUMMYFUNCTION("""COMPUTED_VALUE"""),"V60 Lite series")</f>
        <v>V60 Lite series</v>
      </c>
      <c r="E3108" s="40" t="s">
        <v>11466</v>
      </c>
      <c r="F3108" s="40" t="s">
        <v>257</v>
      </c>
      <c r="G3108" s="40" t="s">
        <v>11467</v>
      </c>
      <c r="H3108" s="40" t="s">
        <v>11419</v>
      </c>
    </row>
    <row r="3109">
      <c r="A3109" s="39">
        <f>IFERROR(__xludf.DUMMYFUNCTION("""COMPUTED_VALUE"""),45985.663103217594)</f>
        <v>45985.6631</v>
      </c>
      <c r="B3109" s="40" t="str">
        <f>IFERROR(__xludf.DUMMYFUNCTION("""COMPUTED_VALUE"""),"ASRI NINGSI RAMBU ATA ENDI")</f>
        <v>ASRI NINGSI RAMBU ATA ENDI</v>
      </c>
      <c r="C3109" s="40" t="str">
        <f>IFERROR(__xludf.DUMMYFUNCTION("""COMPUTED_VALUE"""),"Belum disetujui")</f>
        <v>Belum disetujui</v>
      </c>
      <c r="D3109" s="40"/>
      <c r="E3109" s="40" t="s">
        <v>11441</v>
      </c>
      <c r="F3109" s="40" t="s">
        <v>205</v>
      </c>
      <c r="G3109" s="40" t="s">
        <v>11442</v>
      </c>
      <c r="H3109" s="40" t="s">
        <v>11419</v>
      </c>
    </row>
    <row r="3110">
      <c r="A3110" s="39">
        <f>IFERROR(__xludf.DUMMYFUNCTION("""COMPUTED_VALUE"""),45985.66883614584)</f>
        <v>45985.66884</v>
      </c>
      <c r="B3110" s="40" t="str">
        <f>IFERROR(__xludf.DUMMYFUNCTION("""COMPUTED_VALUE"""),"YENDRI ELISHABET BERELOE")</f>
        <v>YENDRI ELISHABET BERELOE</v>
      </c>
      <c r="C3110" s="40" t="str">
        <f>IFERROR(__xludf.DUMMYFUNCTION("""COMPUTED_VALUE"""),"Belum disetujui")</f>
        <v>Belum disetujui</v>
      </c>
      <c r="D3110" s="40"/>
      <c r="E3110" s="40" t="s">
        <v>11490</v>
      </c>
      <c r="F3110" s="40" t="s">
        <v>220</v>
      </c>
      <c r="G3110" s="40" t="s">
        <v>11491</v>
      </c>
      <c r="H3110" s="40" t="s">
        <v>11399</v>
      </c>
    </row>
    <row r="3111">
      <c r="A3111" s="39">
        <f>IFERROR(__xludf.DUMMYFUNCTION("""COMPUTED_VALUE"""),45985.68156979167)</f>
        <v>45985.68157</v>
      </c>
      <c r="B3111" s="40" t="str">
        <f>IFERROR(__xludf.DUMMYFUNCTION("""COMPUTED_VALUE"""),"ANNA RAHMATIA JUFRI")</f>
        <v>ANNA RAHMATIA JUFRI</v>
      </c>
      <c r="C3111" s="40" t="str">
        <f>IFERROR(__xludf.DUMMYFUNCTION("""COMPUTED_VALUE"""),"Dapat limit tapi belum diproses")</f>
        <v>Dapat limit tapi belum diproses</v>
      </c>
      <c r="D3111" s="40" t="str">
        <f>IFERROR(__xludf.DUMMYFUNCTION("""COMPUTED_VALUE"""),"V60 series")</f>
        <v>V60 series</v>
      </c>
      <c r="E3111" s="40" t="s">
        <v>11484</v>
      </c>
      <c r="F3111" s="40" t="s">
        <v>11450</v>
      </c>
      <c r="G3111" s="40" t="s">
        <v>11485</v>
      </c>
      <c r="H3111" s="40" t="s">
        <v>11424</v>
      </c>
    </row>
    <row r="3112">
      <c r="A3112" s="39">
        <f>IFERROR(__xludf.DUMMYFUNCTION("""COMPUTED_VALUE"""),45985.69590565972)</f>
        <v>45985.69591</v>
      </c>
      <c r="B3112" s="40" t="str">
        <f>IFERROR(__xludf.DUMMYFUNCTION("""COMPUTED_VALUE"""),"ANGELA BOUKA BERI")</f>
        <v>ANGELA BOUKA BERI</v>
      </c>
      <c r="C3112" s="40" t="str">
        <f>IFERROR(__xludf.DUMMYFUNCTION("""COMPUTED_VALUE"""),"ACC")</f>
        <v>ACC</v>
      </c>
      <c r="D3112" s="40" t="str">
        <f>IFERROR(__xludf.DUMMYFUNCTION("""COMPUTED_VALUE"""),"Y21d series")</f>
        <v>Y21d series</v>
      </c>
      <c r="E3112" s="40" t="s">
        <v>11486</v>
      </c>
      <c r="F3112" s="40" t="s">
        <v>11450</v>
      </c>
      <c r="G3112" s="40" t="s">
        <v>11487</v>
      </c>
      <c r="H3112" s="40" t="s">
        <v>11424</v>
      </c>
    </row>
    <row r="3113">
      <c r="A3113" s="39">
        <f>IFERROR(__xludf.DUMMYFUNCTION("""COMPUTED_VALUE"""),45985.70375883102)</f>
        <v>45985.70376</v>
      </c>
      <c r="B3113" s="40" t="str">
        <f>IFERROR(__xludf.DUMMYFUNCTION("""COMPUTED_VALUE"""),"ANGELA BOUKA BERI")</f>
        <v>ANGELA BOUKA BERI</v>
      </c>
      <c r="C3113" s="40" t="str">
        <f>IFERROR(__xludf.DUMMYFUNCTION("""COMPUTED_VALUE"""),"Belum disetujui")</f>
        <v>Belum disetujui</v>
      </c>
      <c r="D3113" s="40"/>
      <c r="E3113" s="40" t="s">
        <v>11486</v>
      </c>
      <c r="F3113" s="40" t="s">
        <v>11450</v>
      </c>
      <c r="G3113" s="40" t="s">
        <v>11487</v>
      </c>
      <c r="H3113" s="40" t="s">
        <v>11424</v>
      </c>
    </row>
    <row r="3114">
      <c r="A3114" s="39">
        <f>IFERROR(__xludf.DUMMYFUNCTION("""COMPUTED_VALUE"""),45985.72308292824)</f>
        <v>45985.72308</v>
      </c>
      <c r="B3114" s="40" t="str">
        <f>IFERROR(__xludf.DUMMYFUNCTION("""COMPUTED_VALUE"""),"ESTER LUDJI")</f>
        <v>ESTER LUDJI</v>
      </c>
      <c r="C3114" s="40" t="str">
        <f>IFERROR(__xludf.DUMMYFUNCTION("""COMPUTED_VALUE"""),"ACC")</f>
        <v>ACC</v>
      </c>
      <c r="D3114" s="40" t="str">
        <f>IFERROR(__xludf.DUMMYFUNCTION("""COMPUTED_VALUE"""),"V60 Lite series")</f>
        <v>V60 Lite series</v>
      </c>
      <c r="E3114" s="40" t="s">
        <v>11441</v>
      </c>
      <c r="F3114" s="40" t="s">
        <v>205</v>
      </c>
      <c r="G3114" s="40" t="s">
        <v>11442</v>
      </c>
      <c r="H3114" s="40" t="s">
        <v>11419</v>
      </c>
    </row>
    <row r="3115">
      <c r="A3115" s="39">
        <f>IFERROR(__xludf.DUMMYFUNCTION("""COMPUTED_VALUE"""),45985.723578136574)</f>
        <v>45985.72358</v>
      </c>
      <c r="B3115" s="40" t="str">
        <f>IFERROR(__xludf.DUMMYFUNCTION("""COMPUTED_VALUE"""),"ALDIANA WELIA PANIE")</f>
        <v>ALDIANA WELIA PANIE</v>
      </c>
      <c r="C3115" s="40" t="str">
        <f>IFERROR(__xludf.DUMMYFUNCTION("""COMPUTED_VALUE"""),"Dapat limit tapi belum diproses")</f>
        <v>Dapat limit tapi belum diproses</v>
      </c>
      <c r="D3115" s="40" t="str">
        <f>IFERROR(__xludf.DUMMYFUNCTION("""COMPUTED_VALUE"""),"V60 Lite series")</f>
        <v>V60 Lite series</v>
      </c>
      <c r="E3115" s="40" t="s">
        <v>11422</v>
      </c>
      <c r="F3115" s="40" t="s">
        <v>215</v>
      </c>
      <c r="G3115" s="40" t="s">
        <v>11423</v>
      </c>
      <c r="H3115" s="40" t="s">
        <v>11424</v>
      </c>
    </row>
    <row r="3116">
      <c r="A3116" s="39">
        <f>IFERROR(__xludf.DUMMYFUNCTION("""COMPUTED_VALUE"""),45985.731027511574)</f>
        <v>45985.73103</v>
      </c>
      <c r="B3116" s="40" t="str">
        <f>IFERROR(__xludf.DUMMYFUNCTION("""COMPUTED_VALUE"""),"MARATHA MARLINDA FANGGIDAE")</f>
        <v>MARATHA MARLINDA FANGGIDAE</v>
      </c>
      <c r="C3116" s="40" t="str">
        <f>IFERROR(__xludf.DUMMYFUNCTION("""COMPUTED_VALUE"""),"Belum disetujui")</f>
        <v>Belum disetujui</v>
      </c>
      <c r="D3116" s="40"/>
      <c r="E3116" s="40" t="s">
        <v>11435</v>
      </c>
      <c r="F3116" s="40" t="s">
        <v>215</v>
      </c>
      <c r="G3116" s="40" t="s">
        <v>11436</v>
      </c>
      <c r="H3116" s="40" t="s">
        <v>11424</v>
      </c>
    </row>
    <row r="3117">
      <c r="A3117" s="39">
        <f>IFERROR(__xludf.DUMMYFUNCTION("""COMPUTED_VALUE"""),45985.742377916664)</f>
        <v>45985.74238</v>
      </c>
      <c r="B3117" s="40" t="str">
        <f>IFERROR(__xludf.DUMMYFUNCTION("""COMPUTED_VALUE"""),"MERDA PUTRI BUNGSU KENAT")</f>
        <v>MERDA PUTRI BUNGSU KENAT</v>
      </c>
      <c r="C3117" s="40" t="str">
        <f>IFERROR(__xludf.DUMMYFUNCTION("""COMPUTED_VALUE"""),"Dapat limit tapi belum diproses")</f>
        <v>Dapat limit tapi belum diproses</v>
      </c>
      <c r="D3117" s="40" t="str">
        <f>IFERROR(__xludf.DUMMYFUNCTION("""COMPUTED_VALUE"""),"Y400 series")</f>
        <v>Y400 series</v>
      </c>
      <c r="E3117" s="40" t="s">
        <v>11422</v>
      </c>
      <c r="F3117" s="40" t="s">
        <v>215</v>
      </c>
      <c r="G3117" s="40" t="s">
        <v>11423</v>
      </c>
      <c r="H3117" s="40" t="s">
        <v>11424</v>
      </c>
    </row>
    <row r="3118">
      <c r="A3118" s="39">
        <f>IFERROR(__xludf.DUMMYFUNCTION("""COMPUTED_VALUE"""),45985.74721015046)</f>
        <v>45985.74721</v>
      </c>
      <c r="B3118" s="40" t="str">
        <f>IFERROR(__xludf.DUMMYFUNCTION("""COMPUTED_VALUE"""),"IRENE NOVALIA KADJU")</f>
        <v>IRENE NOVALIA KADJU</v>
      </c>
      <c r="C3118" s="40" t="str">
        <f>IFERROR(__xludf.DUMMYFUNCTION("""COMPUTED_VALUE"""),"Belum disetujui")</f>
        <v>Belum disetujui</v>
      </c>
      <c r="D3118" s="40"/>
      <c r="E3118" s="40" t="s">
        <v>11445</v>
      </c>
      <c r="F3118" s="40" t="s">
        <v>204</v>
      </c>
      <c r="G3118" s="40" t="s">
        <v>11446</v>
      </c>
      <c r="H3118" s="40" t="s">
        <v>11399</v>
      </c>
    </row>
    <row r="3119">
      <c r="A3119" s="39">
        <f>IFERROR(__xludf.DUMMYFUNCTION("""COMPUTED_VALUE"""),45985.74722564815)</f>
        <v>45985.74723</v>
      </c>
      <c r="B3119" s="40" t="str">
        <f>IFERROR(__xludf.DUMMYFUNCTION("""COMPUTED_VALUE"""),"MEXY ALEXANDER HETMINA")</f>
        <v>MEXY ALEXANDER HETMINA</v>
      </c>
      <c r="C3119" s="40" t="str">
        <f>IFERROR(__xludf.DUMMYFUNCTION("""COMPUTED_VALUE"""),"Belum disetujui")</f>
        <v>Belum disetujui</v>
      </c>
      <c r="D3119" s="40"/>
      <c r="E3119" s="40" t="s">
        <v>11413</v>
      </c>
      <c r="F3119" s="40" t="s">
        <v>204</v>
      </c>
      <c r="G3119" s="40" t="s">
        <v>11414</v>
      </c>
      <c r="H3119" s="40" t="s">
        <v>11399</v>
      </c>
    </row>
    <row r="3120">
      <c r="A3120" s="39">
        <f>IFERROR(__xludf.DUMMYFUNCTION("""COMPUTED_VALUE"""),45985.749401666675)</f>
        <v>45985.7494</v>
      </c>
      <c r="B3120" s="40" t="str">
        <f>IFERROR(__xludf.DUMMYFUNCTION("""COMPUTED_VALUE"""),"ANDHIKA ULLY")</f>
        <v>ANDHIKA ULLY</v>
      </c>
      <c r="C3120" s="40" t="str">
        <f>IFERROR(__xludf.DUMMYFUNCTION("""COMPUTED_VALUE"""),"Belum disetujui")</f>
        <v>Belum disetujui</v>
      </c>
      <c r="D3120" s="40"/>
      <c r="E3120" s="40" t="s">
        <v>11482</v>
      </c>
      <c r="F3120" s="40" t="s">
        <v>220</v>
      </c>
      <c r="G3120" s="40" t="s">
        <v>11483</v>
      </c>
      <c r="H3120" s="40" t="s">
        <v>11399</v>
      </c>
    </row>
    <row r="3121">
      <c r="A3121" s="39">
        <f>IFERROR(__xludf.DUMMYFUNCTION("""COMPUTED_VALUE"""),45985.75950378473)</f>
        <v>45985.7595</v>
      </c>
      <c r="B3121" s="40" t="str">
        <f>IFERROR(__xludf.DUMMYFUNCTION("""COMPUTED_VALUE"""),"BERGITHA NIA OLIN")</f>
        <v>BERGITHA NIA OLIN</v>
      </c>
      <c r="C3121" s="40" t="str">
        <f>IFERROR(__xludf.DUMMYFUNCTION("""COMPUTED_VALUE"""),"Belum disetujui")</f>
        <v>Belum disetujui</v>
      </c>
      <c r="D3121" s="40"/>
      <c r="E3121" s="40" t="s">
        <v>11431</v>
      </c>
      <c r="F3121" s="40" t="s">
        <v>313</v>
      </c>
      <c r="G3121" s="40" t="s">
        <v>11432</v>
      </c>
      <c r="H3121" s="40" t="s">
        <v>11424</v>
      </c>
    </row>
    <row r="3122">
      <c r="A3122" s="39">
        <f>IFERROR(__xludf.DUMMYFUNCTION("""COMPUTED_VALUE"""),45985.76059106482)</f>
        <v>45985.76059</v>
      </c>
      <c r="B3122" s="40" t="str">
        <f>IFERROR(__xludf.DUMMYFUNCTION("""COMPUTED_VALUE"""),"YENDRI ELISHABET BERELOE")</f>
        <v>YENDRI ELISHABET BERELOE</v>
      </c>
      <c r="C3122" s="40" t="str">
        <f>IFERROR(__xludf.DUMMYFUNCTION("""COMPUTED_VALUE"""),"Belum disetujui")</f>
        <v>Belum disetujui</v>
      </c>
      <c r="D3122" s="40"/>
      <c r="E3122" s="40" t="s">
        <v>11490</v>
      </c>
      <c r="F3122" s="40" t="s">
        <v>220</v>
      </c>
      <c r="G3122" s="40" t="s">
        <v>11491</v>
      </c>
      <c r="H3122" s="40" t="s">
        <v>11399</v>
      </c>
    </row>
    <row r="3123">
      <c r="A3123" s="39">
        <f>IFERROR(__xludf.DUMMYFUNCTION("""COMPUTED_VALUE"""),45985.767767881945)</f>
        <v>45985.76777</v>
      </c>
      <c r="B3123" s="40" t="str">
        <f>IFERROR(__xludf.DUMMYFUNCTION("""COMPUTED_VALUE"""),"NENY MERLIANTI NA'U")</f>
        <v>NENY MERLIANTI NA'U</v>
      </c>
      <c r="C3123" s="40" t="str">
        <f>IFERROR(__xludf.DUMMYFUNCTION("""COMPUTED_VALUE"""),"Belum disetujui")</f>
        <v>Belum disetujui</v>
      </c>
      <c r="D3123" s="40"/>
      <c r="E3123" s="40" t="s">
        <v>11476</v>
      </c>
      <c r="F3123" s="40" t="s">
        <v>204</v>
      </c>
      <c r="G3123" s="40" t="s">
        <v>11477</v>
      </c>
      <c r="H3123" s="40" t="s">
        <v>11399</v>
      </c>
    </row>
    <row r="3124">
      <c r="A3124" s="39">
        <f>IFERROR(__xludf.DUMMYFUNCTION("""COMPUTED_VALUE"""),45985.7701175926)</f>
        <v>45985.77012</v>
      </c>
      <c r="B3124" s="40" t="str">
        <f>IFERROR(__xludf.DUMMYFUNCTION("""COMPUTED_VALUE"""),"NENY MERLIANTI NA'U")</f>
        <v>NENY MERLIANTI NA'U</v>
      </c>
      <c r="C3124" s="40" t="str">
        <f>IFERROR(__xludf.DUMMYFUNCTION("""COMPUTED_VALUE"""),"Belum disetujui")</f>
        <v>Belum disetujui</v>
      </c>
      <c r="D3124" s="40"/>
      <c r="E3124" s="40" t="s">
        <v>11476</v>
      </c>
      <c r="F3124" s="40" t="s">
        <v>204</v>
      </c>
      <c r="G3124" s="40" t="s">
        <v>11477</v>
      </c>
      <c r="H3124" s="40" t="s">
        <v>11399</v>
      </c>
    </row>
    <row r="3125">
      <c r="A3125" s="39">
        <f>IFERROR(__xludf.DUMMYFUNCTION("""COMPUTED_VALUE"""),45985.77190994213)</f>
        <v>45985.77191</v>
      </c>
      <c r="B3125" s="40" t="str">
        <f>IFERROR(__xludf.DUMMYFUNCTION("""COMPUTED_VALUE"""),"NENY MERLIANTI NA'U")</f>
        <v>NENY MERLIANTI NA'U</v>
      </c>
      <c r="C3125" s="40" t="str">
        <f>IFERROR(__xludf.DUMMYFUNCTION("""COMPUTED_VALUE"""),"Dapat limit tapi belum diproses")</f>
        <v>Dapat limit tapi belum diproses</v>
      </c>
      <c r="D3125" s="40" t="str">
        <f>IFERROR(__xludf.DUMMYFUNCTION("""COMPUTED_VALUE"""),"Y21d series")</f>
        <v>Y21d series</v>
      </c>
      <c r="E3125" s="40" t="s">
        <v>11476</v>
      </c>
      <c r="F3125" s="40" t="s">
        <v>204</v>
      </c>
      <c r="G3125" s="40" t="s">
        <v>11477</v>
      </c>
      <c r="H3125" s="40" t="s">
        <v>11399</v>
      </c>
    </row>
    <row r="3126">
      <c r="A3126" s="39">
        <f>IFERROR(__xludf.DUMMYFUNCTION("""COMPUTED_VALUE"""),45985.772778541665)</f>
        <v>45985.77278</v>
      </c>
      <c r="B3126" s="40" t="str">
        <f>IFERROR(__xludf.DUMMYFUNCTION("""COMPUTED_VALUE"""),"JULIA DESY CASANDRA DA SILVA FREITAS")</f>
        <v>JULIA DESY CASANDRA DA SILVA FREITAS</v>
      </c>
      <c r="C3126" s="40" t="str">
        <f>IFERROR(__xludf.DUMMYFUNCTION("""COMPUTED_VALUE"""),"Belum disetujui")</f>
        <v>Belum disetujui</v>
      </c>
      <c r="D3126" s="40"/>
      <c r="E3126" s="40" t="s">
        <v>11480</v>
      </c>
      <c r="F3126" s="40" t="s">
        <v>220</v>
      </c>
      <c r="G3126" s="40" t="s">
        <v>11481</v>
      </c>
      <c r="H3126" s="40" t="s">
        <v>11399</v>
      </c>
    </row>
    <row r="3127">
      <c r="A3127" s="39">
        <f>IFERROR(__xludf.DUMMYFUNCTION("""COMPUTED_VALUE"""),45985.77624587963)</f>
        <v>45985.77625</v>
      </c>
      <c r="B3127" s="40" t="str">
        <f>IFERROR(__xludf.DUMMYFUNCTION("""COMPUTED_VALUE"""),"YOVANDA KATRINA NAE")</f>
        <v>YOVANDA KATRINA NAE</v>
      </c>
      <c r="C3127" s="40" t="str">
        <f>IFERROR(__xludf.DUMMYFUNCTION("""COMPUTED_VALUE"""),"Belum disetujui")</f>
        <v>Belum disetujui</v>
      </c>
      <c r="D3127" s="40"/>
      <c r="E3127" s="40" t="s">
        <v>11425</v>
      </c>
      <c r="F3127" s="40" t="s">
        <v>205</v>
      </c>
      <c r="G3127" s="40" t="s">
        <v>11426</v>
      </c>
      <c r="H3127" s="40" t="s">
        <v>11419</v>
      </c>
    </row>
    <row r="3128">
      <c r="A3128" s="39">
        <f>IFERROR(__xludf.DUMMYFUNCTION("""COMPUTED_VALUE"""),45985.78006945602)</f>
        <v>45985.78007</v>
      </c>
      <c r="B3128" s="40" t="str">
        <f>IFERROR(__xludf.DUMMYFUNCTION("""COMPUTED_VALUE"""),"IDMAL YUSDIRAN YUSUF")</f>
        <v>IDMAL YUSDIRAN YUSUF</v>
      </c>
      <c r="C3128" s="40" t="str">
        <f>IFERROR(__xludf.DUMMYFUNCTION("""COMPUTED_VALUE"""),"Belum disetujui")</f>
        <v>Belum disetujui</v>
      </c>
      <c r="D3128" s="40"/>
      <c r="E3128" s="40" t="s">
        <v>11417</v>
      </c>
      <c r="F3128" s="40" t="s">
        <v>257</v>
      </c>
      <c r="G3128" s="40" t="s">
        <v>11418</v>
      </c>
      <c r="H3128" s="40" t="s">
        <v>11419</v>
      </c>
    </row>
    <row r="3129">
      <c r="A3129" s="39">
        <f>IFERROR(__xludf.DUMMYFUNCTION("""COMPUTED_VALUE"""),45985.78566350695)</f>
        <v>45985.78566</v>
      </c>
      <c r="B3129" s="40" t="str">
        <f>IFERROR(__xludf.DUMMYFUNCTION("""COMPUTED_VALUE"""),"AMBU BAIQ JUMENAH")</f>
        <v>AMBU BAIQ JUMENAH</v>
      </c>
      <c r="C3129" s="40" t="str">
        <f>IFERROR(__xludf.DUMMYFUNCTION("""COMPUTED_VALUE"""),"Belum disetujui")</f>
        <v>Belum disetujui</v>
      </c>
      <c r="D3129" s="40"/>
      <c r="E3129" s="40" t="s">
        <v>11458</v>
      </c>
      <c r="F3129" s="40" t="s">
        <v>205</v>
      </c>
      <c r="G3129" s="40" t="s">
        <v>11459</v>
      </c>
      <c r="H3129" s="40" t="s">
        <v>11419</v>
      </c>
    </row>
    <row r="3130">
      <c r="A3130" s="39">
        <f>IFERROR(__xludf.DUMMYFUNCTION("""COMPUTED_VALUE"""),45985.78658701389)</f>
        <v>45985.78659</v>
      </c>
      <c r="B3130" s="40" t="str">
        <f>IFERROR(__xludf.DUMMYFUNCTION("""COMPUTED_VALUE"""),"ANITA ANA AMAH")</f>
        <v>ANITA ANA AMAH</v>
      </c>
      <c r="C3130" s="40" t="str">
        <f>IFERROR(__xludf.DUMMYFUNCTION("""COMPUTED_VALUE"""),"Belum disetujui")</f>
        <v>Belum disetujui</v>
      </c>
      <c r="D3130" s="40"/>
      <c r="E3130" s="40" t="s">
        <v>11425</v>
      </c>
      <c r="F3130" s="40" t="s">
        <v>205</v>
      </c>
      <c r="G3130" s="40" t="s">
        <v>11426</v>
      </c>
      <c r="H3130" s="40" t="s">
        <v>11419</v>
      </c>
    </row>
    <row r="3131">
      <c r="A3131" s="39">
        <f>IFERROR(__xludf.DUMMYFUNCTION("""COMPUTED_VALUE"""),45985.78860111111)</f>
        <v>45985.7886</v>
      </c>
      <c r="B3131" s="40" t="str">
        <f>IFERROR(__xludf.DUMMYFUNCTION("""COMPUTED_VALUE"""),"ROS YANE KANA LUDJI")</f>
        <v>ROS YANE KANA LUDJI</v>
      </c>
      <c r="C3131" s="40" t="str">
        <f>IFERROR(__xludf.DUMMYFUNCTION("""COMPUTED_VALUE"""),"Belum disetujui")</f>
        <v>Belum disetujui</v>
      </c>
      <c r="D3131" s="40"/>
      <c r="E3131" s="40" t="s">
        <v>11437</v>
      </c>
      <c r="F3131" s="40" t="s">
        <v>204</v>
      </c>
      <c r="G3131" s="40" t="s">
        <v>11438</v>
      </c>
      <c r="H3131" s="40" t="s">
        <v>11399</v>
      </c>
    </row>
    <row r="3132">
      <c r="A3132" s="39">
        <f>IFERROR(__xludf.DUMMYFUNCTION("""COMPUTED_VALUE"""),45985.801374409726)</f>
        <v>45985.80137</v>
      </c>
      <c r="B3132" s="40" t="str">
        <f>IFERROR(__xludf.DUMMYFUNCTION("""COMPUTED_VALUE"""),"RESTIANY MARIA LUAN KALI")</f>
        <v>RESTIANY MARIA LUAN KALI</v>
      </c>
      <c r="C3132" s="40" t="str">
        <f>IFERROR(__xludf.DUMMYFUNCTION("""COMPUTED_VALUE"""),"Belum disetujui")</f>
        <v>Belum disetujui</v>
      </c>
      <c r="D3132" s="40"/>
      <c r="E3132" s="40" t="s">
        <v>11400</v>
      </c>
      <c r="F3132" s="40" t="s">
        <v>204</v>
      </c>
      <c r="G3132" s="40" t="s">
        <v>11401</v>
      </c>
      <c r="H3132" s="40" t="s">
        <v>11399</v>
      </c>
    </row>
    <row r="3133">
      <c r="A3133" s="39">
        <f>IFERROR(__xludf.DUMMYFUNCTION("""COMPUTED_VALUE"""),45985.80352034722)</f>
        <v>45985.80352</v>
      </c>
      <c r="B3133" s="40" t="str">
        <f>IFERROR(__xludf.DUMMYFUNCTION("""COMPUTED_VALUE"""),"YOVANDA KATRINA NAE")</f>
        <v>YOVANDA KATRINA NAE</v>
      </c>
      <c r="C3133" s="40" t="str">
        <f>IFERROR(__xludf.DUMMYFUNCTION("""COMPUTED_VALUE"""),"Belum disetujui")</f>
        <v>Belum disetujui</v>
      </c>
      <c r="D3133" s="40"/>
      <c r="E3133" s="40" t="s">
        <v>11425</v>
      </c>
      <c r="F3133" s="40" t="s">
        <v>205</v>
      </c>
      <c r="G3133" s="40" t="s">
        <v>11426</v>
      </c>
      <c r="H3133" s="40" t="s">
        <v>11419</v>
      </c>
    </row>
    <row r="3134">
      <c r="A3134" s="39">
        <f>IFERROR(__xludf.DUMMYFUNCTION("""COMPUTED_VALUE"""),45985.80699604167)</f>
        <v>45985.807</v>
      </c>
      <c r="B3134" s="40" t="str">
        <f>IFERROR(__xludf.DUMMYFUNCTION("""COMPUTED_VALUE"""),"BERGITHA NIA OLIN")</f>
        <v>BERGITHA NIA OLIN</v>
      </c>
      <c r="C3134" s="40" t="str">
        <f>IFERROR(__xludf.DUMMYFUNCTION("""COMPUTED_VALUE"""),"ACC")</f>
        <v>ACC</v>
      </c>
      <c r="D3134" s="40" t="str">
        <f>IFERROR(__xludf.DUMMYFUNCTION("""COMPUTED_VALUE"""),"V60 Lite series")</f>
        <v>V60 Lite series</v>
      </c>
      <c r="E3134" s="40" t="s">
        <v>11431</v>
      </c>
      <c r="F3134" s="40" t="s">
        <v>313</v>
      </c>
      <c r="G3134" s="40" t="s">
        <v>11432</v>
      </c>
      <c r="H3134" s="40" t="s">
        <v>11424</v>
      </c>
    </row>
    <row r="3135">
      <c r="A3135" s="39">
        <f>IFERROR(__xludf.DUMMYFUNCTION("""COMPUTED_VALUE"""),45985.81629916667)</f>
        <v>45985.8163</v>
      </c>
      <c r="B3135" s="40" t="str">
        <f>IFERROR(__xludf.DUMMYFUNCTION("""COMPUTED_VALUE"""),"ADRIANA")</f>
        <v>ADRIANA</v>
      </c>
      <c r="C3135" s="40" t="str">
        <f>IFERROR(__xludf.DUMMYFUNCTION("""COMPUTED_VALUE"""),"Belum disetujui")</f>
        <v>Belum disetujui</v>
      </c>
      <c r="D3135" s="40"/>
      <c r="E3135" s="40" t="s">
        <v>11433</v>
      </c>
      <c r="F3135" s="40" t="s">
        <v>313</v>
      </c>
      <c r="G3135" s="40" t="s">
        <v>11434</v>
      </c>
      <c r="H3135" s="40" t="s">
        <v>11424</v>
      </c>
    </row>
    <row r="3136">
      <c r="A3136" s="39">
        <f>IFERROR(__xludf.DUMMYFUNCTION("""COMPUTED_VALUE"""),45985.82083979167)</f>
        <v>45985.82084</v>
      </c>
      <c r="B3136" s="40" t="str">
        <f>IFERROR(__xludf.DUMMYFUNCTION("""COMPUTED_VALUE"""),"RESTIANY MARIA LUAN KALI")</f>
        <v>RESTIANY MARIA LUAN KALI</v>
      </c>
      <c r="C3136" s="40" t="str">
        <f>IFERROR(__xludf.DUMMYFUNCTION("""COMPUTED_VALUE"""),"Belum disetujui")</f>
        <v>Belum disetujui</v>
      </c>
      <c r="D3136" s="40"/>
      <c r="E3136" s="40" t="s">
        <v>11400</v>
      </c>
      <c r="F3136" s="40" t="s">
        <v>204</v>
      </c>
      <c r="G3136" s="40" t="s">
        <v>11401</v>
      </c>
      <c r="H3136" s="40" t="s">
        <v>11399</v>
      </c>
    </row>
    <row r="3137">
      <c r="A3137" s="39">
        <f>IFERROR(__xludf.DUMMYFUNCTION("""COMPUTED_VALUE"""),45985.83224361111)</f>
        <v>45985.83224</v>
      </c>
      <c r="B3137" s="40" t="str">
        <f>IFERROR(__xludf.DUMMYFUNCTION("""COMPUTED_VALUE"""),"AMBU BAIQ JUMENAH")</f>
        <v>AMBU BAIQ JUMENAH</v>
      </c>
      <c r="C3137" s="40" t="str">
        <f>IFERROR(__xludf.DUMMYFUNCTION("""COMPUTED_VALUE"""),"Belum disetujui")</f>
        <v>Belum disetujui</v>
      </c>
      <c r="D3137" s="40"/>
      <c r="E3137" s="40" t="s">
        <v>11458</v>
      </c>
      <c r="F3137" s="40" t="s">
        <v>205</v>
      </c>
      <c r="G3137" s="40" t="s">
        <v>11459</v>
      </c>
      <c r="H3137" s="40" t="s">
        <v>11419</v>
      </c>
    </row>
    <row r="3138">
      <c r="A3138" s="39">
        <f>IFERROR(__xludf.DUMMYFUNCTION("""COMPUTED_VALUE"""),45985.83551333333)</f>
        <v>45985.83551</v>
      </c>
      <c r="B3138" s="40" t="str">
        <f>IFERROR(__xludf.DUMMYFUNCTION("""COMPUTED_VALUE"""),"AMBU BAIQ JUMENAH")</f>
        <v>AMBU BAIQ JUMENAH</v>
      </c>
      <c r="C3138" s="40" t="str">
        <f>IFERROR(__xludf.DUMMYFUNCTION("""COMPUTED_VALUE"""),"Belum disetujui")</f>
        <v>Belum disetujui</v>
      </c>
      <c r="D3138" s="40"/>
      <c r="E3138" s="40" t="s">
        <v>11458</v>
      </c>
      <c r="F3138" s="40" t="s">
        <v>205</v>
      </c>
      <c r="G3138" s="40" t="s">
        <v>11459</v>
      </c>
      <c r="H3138" s="40" t="s">
        <v>11419</v>
      </c>
    </row>
    <row r="3139">
      <c r="A3139" s="39">
        <f>IFERROR(__xludf.DUMMYFUNCTION("""COMPUTED_VALUE"""),45985.84031711806)</f>
        <v>45985.84032</v>
      </c>
      <c r="B3139" s="40" t="str">
        <f>IFERROR(__xludf.DUMMYFUNCTION("""COMPUTED_VALUE"""),"TERSIANA KADJA PAU")</f>
        <v>TERSIANA KADJA PAU</v>
      </c>
      <c r="C3139" s="40" t="str">
        <f>IFERROR(__xludf.DUMMYFUNCTION("""COMPUTED_VALUE"""),"Belum disetujui")</f>
        <v>Belum disetujui</v>
      </c>
      <c r="D3139" s="40"/>
      <c r="E3139" s="40" t="s">
        <v>11411</v>
      </c>
      <c r="F3139" s="40" t="s">
        <v>220</v>
      </c>
      <c r="G3139" s="40" t="s">
        <v>11412</v>
      </c>
      <c r="H3139" s="40" t="s">
        <v>11399</v>
      </c>
    </row>
    <row r="3140">
      <c r="A3140" s="39">
        <f>IFERROR(__xludf.DUMMYFUNCTION("""COMPUTED_VALUE"""),45985.85098549768)</f>
        <v>45985.85099</v>
      </c>
      <c r="B3140" s="40" t="str">
        <f>IFERROR(__xludf.DUMMYFUNCTION("""COMPUTED_VALUE"""),"MERDA PUTRI BUNGSU KENAT")</f>
        <v>MERDA PUTRI BUNGSU KENAT</v>
      </c>
      <c r="C3140" s="40" t="str">
        <f>IFERROR(__xludf.DUMMYFUNCTION("""COMPUTED_VALUE"""),"Belum disetujui")</f>
        <v>Belum disetujui</v>
      </c>
      <c r="D3140" s="40"/>
      <c r="E3140" s="40" t="s">
        <v>11422</v>
      </c>
      <c r="F3140" s="40" t="s">
        <v>215</v>
      </c>
      <c r="G3140" s="40" t="s">
        <v>11423</v>
      </c>
      <c r="H3140" s="40" t="s">
        <v>11424</v>
      </c>
    </row>
    <row r="3141">
      <c r="A3141" s="39">
        <f>IFERROR(__xludf.DUMMYFUNCTION("""COMPUTED_VALUE"""),45985.85174885417)</f>
        <v>45985.85175</v>
      </c>
      <c r="B3141" s="40" t="str">
        <f>IFERROR(__xludf.DUMMYFUNCTION("""COMPUTED_VALUE"""),"PUSPA ANGGREINI")</f>
        <v>PUSPA ANGGREINI</v>
      </c>
      <c r="C3141" s="40" t="str">
        <f>IFERROR(__xludf.DUMMYFUNCTION("""COMPUTED_VALUE"""),"ACC")</f>
        <v>ACC</v>
      </c>
      <c r="D3141" s="40" t="str">
        <f>IFERROR(__xludf.DUMMYFUNCTION("""COMPUTED_VALUE"""),"Y21d series")</f>
        <v>Y21d series</v>
      </c>
      <c r="E3141" s="40" t="s">
        <v>11427</v>
      </c>
      <c r="F3141" s="40" t="s">
        <v>257</v>
      </c>
      <c r="G3141" s="40" t="s">
        <v>11428</v>
      </c>
      <c r="H3141" s="40" t="s">
        <v>11419</v>
      </c>
    </row>
    <row r="3142">
      <c r="A3142" s="39">
        <f>IFERROR(__xludf.DUMMYFUNCTION("""COMPUTED_VALUE"""),45985.85394861112)</f>
        <v>45985.85395</v>
      </c>
      <c r="B3142" s="40" t="str">
        <f>IFERROR(__xludf.DUMMYFUNCTION("""COMPUTED_VALUE"""),"YOVANDA KATRINA NAE")</f>
        <v>YOVANDA KATRINA NAE</v>
      </c>
      <c r="C3142" s="40" t="str">
        <f>IFERROR(__xludf.DUMMYFUNCTION("""COMPUTED_VALUE"""),"Belum disetujui")</f>
        <v>Belum disetujui</v>
      </c>
      <c r="D3142" s="40"/>
      <c r="E3142" s="40" t="s">
        <v>11425</v>
      </c>
      <c r="F3142" s="40" t="s">
        <v>205</v>
      </c>
      <c r="G3142" s="40" t="s">
        <v>11426</v>
      </c>
      <c r="H3142" s="40" t="s">
        <v>11419</v>
      </c>
    </row>
    <row r="3143">
      <c r="A3143" s="39">
        <f>IFERROR(__xludf.DUMMYFUNCTION("""COMPUTED_VALUE"""),45985.865641550925)</f>
        <v>45985.86564</v>
      </c>
      <c r="B3143" s="40" t="str">
        <f>IFERROR(__xludf.DUMMYFUNCTION("""COMPUTED_VALUE"""),"ESTER LUDJI")</f>
        <v>ESTER LUDJI</v>
      </c>
      <c r="C3143" s="40" t="str">
        <f>IFERROR(__xludf.DUMMYFUNCTION("""COMPUTED_VALUE"""),"Belum disetujui")</f>
        <v>Belum disetujui</v>
      </c>
      <c r="D3143" s="40"/>
      <c r="E3143" s="40" t="s">
        <v>11441</v>
      </c>
      <c r="F3143" s="40" t="s">
        <v>205</v>
      </c>
      <c r="G3143" s="40" t="s">
        <v>11442</v>
      </c>
      <c r="H3143" s="40" t="s">
        <v>11419</v>
      </c>
    </row>
    <row r="3144">
      <c r="A3144" s="39">
        <f>IFERROR(__xludf.DUMMYFUNCTION("""COMPUTED_VALUE"""),45985.86621818287)</f>
        <v>45985.86622</v>
      </c>
      <c r="B3144" s="40" t="str">
        <f>IFERROR(__xludf.DUMMYFUNCTION("""COMPUTED_VALUE"""),"PUSPA ANGGREINI")</f>
        <v>PUSPA ANGGREINI</v>
      </c>
      <c r="C3144" s="40" t="str">
        <f>IFERROR(__xludf.DUMMYFUNCTION("""COMPUTED_VALUE"""),"Belum disetujui")</f>
        <v>Belum disetujui</v>
      </c>
      <c r="D3144" s="40"/>
      <c r="E3144" s="40" t="s">
        <v>11427</v>
      </c>
      <c r="F3144" s="40" t="s">
        <v>257</v>
      </c>
      <c r="G3144" s="40" t="s">
        <v>11428</v>
      </c>
      <c r="H3144" s="40" t="s">
        <v>11419</v>
      </c>
    </row>
    <row r="3145">
      <c r="A3145" s="39">
        <f>IFERROR(__xludf.DUMMYFUNCTION("""COMPUTED_VALUE"""),45985.92487732638)</f>
        <v>45985.92488</v>
      </c>
      <c r="B3145" s="40" t="str">
        <f>IFERROR(__xludf.DUMMYFUNCTION("""COMPUTED_VALUE"""),"FREDERIKA ALVONSIA LENGO")</f>
        <v>FREDERIKA ALVONSIA LENGO</v>
      </c>
      <c r="C3145" s="40" t="str">
        <f>IFERROR(__xludf.DUMMYFUNCTION("""COMPUTED_VALUE"""),"Belum disetujui")</f>
        <v>Belum disetujui</v>
      </c>
      <c r="D3145" s="40"/>
      <c r="E3145" s="40" t="s">
        <v>11488</v>
      </c>
      <c r="F3145" s="40" t="s">
        <v>204</v>
      </c>
      <c r="G3145" s="40" t="s">
        <v>11489</v>
      </c>
      <c r="H3145" s="40" t="s">
        <v>11399</v>
      </c>
    </row>
    <row r="3146">
      <c r="A3146" s="39">
        <f>IFERROR(__xludf.DUMMYFUNCTION("""COMPUTED_VALUE"""),45986.389365324074)</f>
        <v>45986.38937</v>
      </c>
      <c r="B3146" s="40" t="str">
        <f>IFERROR(__xludf.DUMMYFUNCTION("""COMPUTED_VALUE"""),"JULIA DESY CASANDRA DA SILVA FREITAS")</f>
        <v>JULIA DESY CASANDRA DA SILVA FREITAS</v>
      </c>
      <c r="C3146" s="40" t="str">
        <f>IFERROR(__xludf.DUMMYFUNCTION("""COMPUTED_VALUE"""),"Belum disetujui")</f>
        <v>Belum disetujui</v>
      </c>
      <c r="D3146" s="40"/>
      <c r="E3146" s="40" t="s">
        <v>11480</v>
      </c>
      <c r="F3146" s="40" t="s">
        <v>220</v>
      </c>
      <c r="G3146" s="40" t="s">
        <v>11481</v>
      </c>
      <c r="H3146" s="40" t="s">
        <v>11399</v>
      </c>
    </row>
    <row r="3147">
      <c r="A3147" s="39">
        <f>IFERROR(__xludf.DUMMYFUNCTION("""COMPUTED_VALUE"""),45986.415224930555)</f>
        <v>45986.41522</v>
      </c>
      <c r="B3147" s="40" t="str">
        <f>IFERROR(__xludf.DUMMYFUNCTION("""COMPUTED_VALUE"""),"IDMAL YUSDIRAN YUSUF")</f>
        <v>IDMAL YUSDIRAN YUSUF</v>
      </c>
      <c r="C3147" s="40" t="str">
        <f>IFERROR(__xludf.DUMMYFUNCTION("""COMPUTED_VALUE"""),"Dapat limit tapi belum diproses")</f>
        <v>Dapat limit tapi belum diproses</v>
      </c>
      <c r="D3147" s="40" t="str">
        <f>IFERROR(__xludf.DUMMYFUNCTION("""COMPUTED_VALUE"""),"Y21d series")</f>
        <v>Y21d series</v>
      </c>
      <c r="E3147" s="40" t="s">
        <v>11417</v>
      </c>
      <c r="F3147" s="40" t="s">
        <v>257</v>
      </c>
      <c r="G3147" s="40" t="s">
        <v>11418</v>
      </c>
      <c r="H3147" s="40" t="s">
        <v>11419</v>
      </c>
    </row>
    <row r="3148">
      <c r="A3148" s="39">
        <f>IFERROR(__xludf.DUMMYFUNCTION("""COMPUTED_VALUE"""),45986.44217376157)</f>
        <v>45986.44217</v>
      </c>
      <c r="B3148" s="40" t="str">
        <f>IFERROR(__xludf.DUMMYFUNCTION("""COMPUTED_VALUE"""),"WARDIA")</f>
        <v>WARDIA</v>
      </c>
      <c r="C3148" s="40" t="str">
        <f>IFERROR(__xludf.DUMMYFUNCTION("""COMPUTED_VALUE"""),"Belum disetujui")</f>
        <v>Belum disetujui</v>
      </c>
      <c r="D3148" s="40"/>
      <c r="E3148" s="40" t="s">
        <v>11409</v>
      </c>
      <c r="F3148" s="40" t="s">
        <v>204</v>
      </c>
      <c r="G3148" s="40" t="s">
        <v>11410</v>
      </c>
      <c r="H3148" s="40" t="s">
        <v>11399</v>
      </c>
    </row>
    <row r="3149">
      <c r="A3149" s="39">
        <f>IFERROR(__xludf.DUMMYFUNCTION("""COMPUTED_VALUE"""),45986.4439946412)</f>
        <v>45986.44399</v>
      </c>
      <c r="B3149" s="40" t="str">
        <f>IFERROR(__xludf.DUMMYFUNCTION("""COMPUTED_VALUE"""),"WINDRI MANOE")</f>
        <v>WINDRI MANOE</v>
      </c>
      <c r="C3149" s="40" t="str">
        <f>IFERROR(__xludf.DUMMYFUNCTION("""COMPUTED_VALUE"""),"Dapat limit tapi belum diproses")</f>
        <v>Dapat limit tapi belum diproses</v>
      </c>
      <c r="D3149" s="40" t="str">
        <f>IFERROR(__xludf.DUMMYFUNCTION("""COMPUTED_VALUE"""),"V60 series")</f>
        <v>V60 series</v>
      </c>
      <c r="E3149" s="40" t="s">
        <v>11443</v>
      </c>
      <c r="F3149" s="40" t="s">
        <v>220</v>
      </c>
      <c r="G3149" s="40" t="s">
        <v>11444</v>
      </c>
      <c r="H3149" s="40" t="s">
        <v>11399</v>
      </c>
    </row>
    <row r="3150">
      <c r="A3150" s="39">
        <f>IFERROR(__xludf.DUMMYFUNCTION("""COMPUTED_VALUE"""),45986.4727815162)</f>
        <v>45986.47278</v>
      </c>
      <c r="B3150" s="40" t="str">
        <f>IFERROR(__xludf.DUMMYFUNCTION("""COMPUTED_VALUE"""),"YEREMIAS MBAWA KANJAPI")</f>
        <v>YEREMIAS MBAWA KANJAPI</v>
      </c>
      <c r="C3150" s="40" t="str">
        <f>IFERROR(__xludf.DUMMYFUNCTION("""COMPUTED_VALUE"""),"Belum disetujui")</f>
        <v>Belum disetujui</v>
      </c>
      <c r="D3150" s="40"/>
      <c r="E3150" s="40" t="s">
        <v>11447</v>
      </c>
      <c r="F3150" s="40" t="s">
        <v>205</v>
      </c>
      <c r="G3150" s="40" t="s">
        <v>11448</v>
      </c>
      <c r="H3150" s="40" t="s">
        <v>11419</v>
      </c>
    </row>
    <row r="3151">
      <c r="A3151" s="39">
        <f>IFERROR(__xludf.DUMMYFUNCTION("""COMPUTED_VALUE"""),45986.50973799768)</f>
        <v>45986.50974</v>
      </c>
      <c r="B3151" s="40" t="str">
        <f>IFERROR(__xludf.DUMMYFUNCTION("""COMPUTED_VALUE"""),"YUNITA TAMELAB")</f>
        <v>YUNITA TAMELAB</v>
      </c>
      <c r="C3151" s="40" t="str">
        <f>IFERROR(__xludf.DUMMYFUNCTION("""COMPUTED_VALUE"""),"Belum disetujui")</f>
        <v>Belum disetujui</v>
      </c>
      <c r="D3151" s="40"/>
      <c r="E3151" s="40" t="s">
        <v>11472</v>
      </c>
      <c r="F3151" s="40" t="s">
        <v>667</v>
      </c>
      <c r="G3151" s="40" t="s">
        <v>11473</v>
      </c>
      <c r="H3151" s="40" t="s">
        <v>11424</v>
      </c>
    </row>
    <row r="3152">
      <c r="A3152" s="39">
        <f>IFERROR(__xludf.DUMMYFUNCTION("""COMPUTED_VALUE"""),45986.51552078704)</f>
        <v>45986.51552</v>
      </c>
      <c r="B3152" s="40" t="str">
        <f>IFERROR(__xludf.DUMMYFUNCTION("""COMPUTED_VALUE"""),"BERGITHA NIA OLIN")</f>
        <v>BERGITHA NIA OLIN</v>
      </c>
      <c r="C3152" s="40" t="str">
        <f>IFERROR(__xludf.DUMMYFUNCTION("""COMPUTED_VALUE"""),"Belum disetujui")</f>
        <v>Belum disetujui</v>
      </c>
      <c r="D3152" s="40"/>
      <c r="E3152" s="40" t="s">
        <v>11431</v>
      </c>
      <c r="F3152" s="40" t="s">
        <v>313</v>
      </c>
      <c r="G3152" s="40" t="s">
        <v>11432</v>
      </c>
      <c r="H3152" s="40" t="s">
        <v>11424</v>
      </c>
    </row>
    <row r="3153">
      <c r="A3153" s="39">
        <f>IFERROR(__xludf.DUMMYFUNCTION("""COMPUTED_VALUE"""),45986.54054170139)</f>
        <v>45986.54054</v>
      </c>
      <c r="B3153" s="40" t="str">
        <f>IFERROR(__xludf.DUMMYFUNCTION("""COMPUTED_VALUE"""),"IDMAL YUSDIRAN YUSUF")</f>
        <v>IDMAL YUSDIRAN YUSUF</v>
      </c>
      <c r="C3153" s="40" t="str">
        <f>IFERROR(__xludf.DUMMYFUNCTION("""COMPUTED_VALUE"""),"Dapat limit tapi belum diproses")</f>
        <v>Dapat limit tapi belum diproses</v>
      </c>
      <c r="D3153" s="40" t="str">
        <f>IFERROR(__xludf.DUMMYFUNCTION("""COMPUTED_VALUE"""),"Y21d series")</f>
        <v>Y21d series</v>
      </c>
      <c r="E3153" s="40" t="s">
        <v>11417</v>
      </c>
      <c r="F3153" s="40" t="s">
        <v>257</v>
      </c>
      <c r="G3153" s="40" t="s">
        <v>11418</v>
      </c>
      <c r="H3153" s="40" t="s">
        <v>11419</v>
      </c>
    </row>
    <row r="3154">
      <c r="A3154" s="39">
        <f>IFERROR(__xludf.DUMMYFUNCTION("""COMPUTED_VALUE"""),45986.54186511574)</f>
        <v>45986.54187</v>
      </c>
      <c r="B3154" s="40" t="str">
        <f>IFERROR(__xludf.DUMMYFUNCTION("""COMPUTED_VALUE"""),"PRETI SISILIA SILA")</f>
        <v>PRETI SISILIA SILA</v>
      </c>
      <c r="C3154" s="40" t="str">
        <f>IFERROR(__xludf.DUMMYFUNCTION("""COMPUTED_VALUE"""),"ACC")</f>
        <v>ACC</v>
      </c>
      <c r="D3154" s="40" t="str">
        <f>IFERROR(__xludf.DUMMYFUNCTION("""COMPUTED_VALUE"""),"Y400 series")</f>
        <v>Y400 series</v>
      </c>
      <c r="E3154" s="40" t="s">
        <v>11456</v>
      </c>
      <c r="F3154" s="40" t="s">
        <v>667</v>
      </c>
      <c r="G3154" s="40" t="s">
        <v>11457</v>
      </c>
      <c r="H3154" s="40" t="s">
        <v>11424</v>
      </c>
    </row>
    <row r="3155">
      <c r="A3155" s="39">
        <f>IFERROR(__xludf.DUMMYFUNCTION("""COMPUTED_VALUE"""),45986.545592013885)</f>
        <v>45986.54559</v>
      </c>
      <c r="B3155" s="40" t="str">
        <f>IFERROR(__xludf.DUMMYFUNCTION("""COMPUTED_VALUE"""),"YENDRI ELISHABET BERELOE")</f>
        <v>YENDRI ELISHABET BERELOE</v>
      </c>
      <c r="C3155" s="40" t="str">
        <f>IFERROR(__xludf.DUMMYFUNCTION("""COMPUTED_VALUE"""),"Belum disetujui")</f>
        <v>Belum disetujui</v>
      </c>
      <c r="D3155" s="40"/>
      <c r="E3155" s="40" t="s">
        <v>11490</v>
      </c>
      <c r="F3155" s="40" t="s">
        <v>220</v>
      </c>
      <c r="G3155" s="40" t="s">
        <v>11491</v>
      </c>
      <c r="H3155" s="40" t="s">
        <v>11399</v>
      </c>
    </row>
    <row r="3156">
      <c r="A3156" s="39">
        <f>IFERROR(__xludf.DUMMYFUNCTION("""COMPUTED_VALUE"""),45986.56375083333)</f>
        <v>45986.56375</v>
      </c>
      <c r="B3156" s="40" t="str">
        <f>IFERROR(__xludf.DUMMYFUNCTION("""COMPUTED_VALUE"""),"RESTIANY MARIA LUAN KALI")</f>
        <v>RESTIANY MARIA LUAN KALI</v>
      </c>
      <c r="C3156" s="40" t="str">
        <f>IFERROR(__xludf.DUMMYFUNCTION("""COMPUTED_VALUE"""),"Belum disetujui")</f>
        <v>Belum disetujui</v>
      </c>
      <c r="D3156" s="40"/>
      <c r="E3156" s="40" t="s">
        <v>11400</v>
      </c>
      <c r="F3156" s="40" t="s">
        <v>204</v>
      </c>
      <c r="G3156" s="40" t="s">
        <v>11401</v>
      </c>
      <c r="H3156" s="40" t="s">
        <v>11399</v>
      </c>
    </row>
    <row r="3157">
      <c r="A3157" s="39">
        <f>IFERROR(__xludf.DUMMYFUNCTION("""COMPUTED_VALUE"""),45986.586579282404)</f>
        <v>45986.58658</v>
      </c>
      <c r="B3157" s="40" t="str">
        <f>IFERROR(__xludf.DUMMYFUNCTION("""COMPUTED_VALUE"""),"BERGITHA NIA OLIN")</f>
        <v>BERGITHA NIA OLIN</v>
      </c>
      <c r="C3157" s="40" t="str">
        <f>IFERROR(__xludf.DUMMYFUNCTION("""COMPUTED_VALUE"""),"ACC")</f>
        <v>ACC</v>
      </c>
      <c r="D3157" s="40" t="str">
        <f>IFERROR(__xludf.DUMMYFUNCTION("""COMPUTED_VALUE"""),"Y21d series")</f>
        <v>Y21d series</v>
      </c>
      <c r="E3157" s="40" t="s">
        <v>11431</v>
      </c>
      <c r="F3157" s="40" t="s">
        <v>313</v>
      </c>
      <c r="G3157" s="40" t="s">
        <v>11432</v>
      </c>
      <c r="H3157" s="40" t="s">
        <v>11424</v>
      </c>
    </row>
    <row r="3158">
      <c r="A3158" s="39">
        <f>IFERROR(__xludf.DUMMYFUNCTION("""COMPUTED_VALUE"""),45986.58980782408)</f>
        <v>45986.58981</v>
      </c>
      <c r="B3158" s="40" t="str">
        <f>IFERROR(__xludf.DUMMYFUNCTION("""COMPUTED_VALUE"""),"SELVINCE BAKO")</f>
        <v>SELVINCE BAKO</v>
      </c>
      <c r="C3158" s="40" t="str">
        <f>IFERROR(__xludf.DUMMYFUNCTION("""COMPUTED_VALUE"""),"Belum disetujui")</f>
        <v>Belum disetujui</v>
      </c>
      <c r="D3158" s="40"/>
      <c r="E3158" s="40" t="s">
        <v>11413</v>
      </c>
      <c r="F3158" s="40" t="s">
        <v>204</v>
      </c>
      <c r="G3158" s="40" t="s">
        <v>11414</v>
      </c>
      <c r="H3158" s="40" t="s">
        <v>11399</v>
      </c>
    </row>
    <row r="3159">
      <c r="A3159" s="39">
        <f>IFERROR(__xludf.DUMMYFUNCTION("""COMPUTED_VALUE"""),45986.597727500004)</f>
        <v>45986.59773</v>
      </c>
      <c r="B3159" s="40" t="str">
        <f>IFERROR(__xludf.DUMMYFUNCTION("""COMPUTED_VALUE"""),"TERSIANA KADJA PAU")</f>
        <v>TERSIANA KADJA PAU</v>
      </c>
      <c r="C3159" s="40" t="str">
        <f>IFERROR(__xludf.DUMMYFUNCTION("""COMPUTED_VALUE"""),"Belum disetujui")</f>
        <v>Belum disetujui</v>
      </c>
      <c r="D3159" s="40"/>
      <c r="E3159" s="40" t="s">
        <v>11411</v>
      </c>
      <c r="F3159" s="40" t="s">
        <v>220</v>
      </c>
      <c r="G3159" s="40" t="s">
        <v>11412</v>
      </c>
      <c r="H3159" s="40" t="s">
        <v>11399</v>
      </c>
    </row>
    <row r="3160">
      <c r="A3160" s="39">
        <f>IFERROR(__xludf.DUMMYFUNCTION("""COMPUTED_VALUE"""),45986.60034924769)</f>
        <v>45986.60035</v>
      </c>
      <c r="B3160" s="40" t="str">
        <f>IFERROR(__xludf.DUMMYFUNCTION("""COMPUTED_VALUE"""),"TERSIANA KADJA PAU")</f>
        <v>TERSIANA KADJA PAU</v>
      </c>
      <c r="C3160" s="40" t="str">
        <f>IFERROR(__xludf.DUMMYFUNCTION("""COMPUTED_VALUE"""),"ACC")</f>
        <v>ACC</v>
      </c>
      <c r="D3160" s="40" t="str">
        <f>IFERROR(__xludf.DUMMYFUNCTION("""COMPUTED_VALUE"""),"Y21d series")</f>
        <v>Y21d series</v>
      </c>
      <c r="E3160" s="40" t="s">
        <v>11411</v>
      </c>
      <c r="F3160" s="40" t="s">
        <v>220</v>
      </c>
      <c r="G3160" s="40" t="s">
        <v>11412</v>
      </c>
      <c r="H3160" s="40" t="s">
        <v>11399</v>
      </c>
    </row>
    <row r="3161">
      <c r="A3161" s="39">
        <f>IFERROR(__xludf.DUMMYFUNCTION("""COMPUTED_VALUE"""),45986.60364835648)</f>
        <v>45986.60365</v>
      </c>
      <c r="B3161" s="40" t="str">
        <f>IFERROR(__xludf.DUMMYFUNCTION("""COMPUTED_VALUE"""),"ESTER LUDJI")</f>
        <v>ESTER LUDJI</v>
      </c>
      <c r="C3161" s="40" t="str">
        <f>IFERROR(__xludf.DUMMYFUNCTION("""COMPUTED_VALUE"""),"Belum disetujui")</f>
        <v>Belum disetujui</v>
      </c>
      <c r="D3161" s="40"/>
      <c r="E3161" s="40" t="s">
        <v>11441</v>
      </c>
      <c r="F3161" s="40" t="s">
        <v>205</v>
      </c>
      <c r="G3161" s="40" t="s">
        <v>11442</v>
      </c>
      <c r="H3161" s="40" t="s">
        <v>11419</v>
      </c>
    </row>
    <row r="3162">
      <c r="A3162" s="39">
        <f>IFERROR(__xludf.DUMMYFUNCTION("""COMPUTED_VALUE"""),45986.63517892361)</f>
        <v>45986.63518</v>
      </c>
      <c r="B3162" s="40" t="str">
        <f>IFERROR(__xludf.DUMMYFUNCTION("""COMPUTED_VALUE"""),"SULIS NURAINI INSYATUN")</f>
        <v>SULIS NURAINI INSYATUN</v>
      </c>
      <c r="C3162" s="40" t="str">
        <f>IFERROR(__xludf.DUMMYFUNCTION("""COMPUTED_VALUE"""),"Dapat limit tapi belum diproses")</f>
        <v>Dapat limit tapi belum diproses</v>
      </c>
      <c r="D3162" s="40" t="str">
        <f>IFERROR(__xludf.DUMMYFUNCTION("""COMPUTED_VALUE"""),"Y21d series")</f>
        <v>Y21d series</v>
      </c>
      <c r="E3162" s="40" t="s">
        <v>11429</v>
      </c>
      <c r="F3162" s="40" t="s">
        <v>257</v>
      </c>
      <c r="G3162" s="40" t="s">
        <v>11430</v>
      </c>
      <c r="H3162" s="40" t="s">
        <v>11419</v>
      </c>
    </row>
    <row r="3163">
      <c r="A3163" s="39">
        <f>IFERROR(__xludf.DUMMYFUNCTION("""COMPUTED_VALUE"""),45986.63744168981)</f>
        <v>45986.63744</v>
      </c>
      <c r="B3163" s="40" t="str">
        <f>IFERROR(__xludf.DUMMYFUNCTION("""COMPUTED_VALUE"""),"SULIS NURAINI INSYATUN")</f>
        <v>SULIS NURAINI INSYATUN</v>
      </c>
      <c r="C3163" s="40" t="str">
        <f>IFERROR(__xludf.DUMMYFUNCTION("""COMPUTED_VALUE"""),"Belum disetujui")</f>
        <v>Belum disetujui</v>
      </c>
      <c r="D3163" s="40"/>
      <c r="E3163" s="40" t="s">
        <v>11429</v>
      </c>
      <c r="F3163" s="40" t="s">
        <v>257</v>
      </c>
      <c r="G3163" s="40" t="s">
        <v>11430</v>
      </c>
      <c r="H3163" s="40" t="s">
        <v>11419</v>
      </c>
    </row>
    <row r="3164">
      <c r="A3164" s="39">
        <f>IFERROR(__xludf.DUMMYFUNCTION("""COMPUTED_VALUE"""),45986.65479565972)</f>
        <v>45986.6548</v>
      </c>
      <c r="B3164" s="40" t="str">
        <f>IFERROR(__xludf.DUMMYFUNCTION("""COMPUTED_VALUE"""),"KESIA NATALIA I. BENU")</f>
        <v>KESIA NATALIA I. BENU</v>
      </c>
      <c r="C3164" s="40" t="str">
        <f>IFERROR(__xludf.DUMMYFUNCTION("""COMPUTED_VALUE"""),"Belum disetujui")</f>
        <v>Belum disetujui</v>
      </c>
      <c r="D3164" s="40"/>
      <c r="E3164" s="40" t="s">
        <v>11417</v>
      </c>
      <c r="F3164" s="40" t="s">
        <v>257</v>
      </c>
      <c r="G3164" s="40" t="s">
        <v>11418</v>
      </c>
      <c r="H3164" s="40" t="s">
        <v>11419</v>
      </c>
    </row>
    <row r="3165">
      <c r="A3165" s="39">
        <f>IFERROR(__xludf.DUMMYFUNCTION("""COMPUTED_VALUE"""),45986.66125145834)</f>
        <v>45986.66125</v>
      </c>
      <c r="B3165" s="40" t="str">
        <f>IFERROR(__xludf.DUMMYFUNCTION("""COMPUTED_VALUE"""),"MERDA PUTRI BUNGSU KENAT")</f>
        <v>MERDA PUTRI BUNGSU KENAT</v>
      </c>
      <c r="C3165" s="40" t="str">
        <f>IFERROR(__xludf.DUMMYFUNCTION("""COMPUTED_VALUE"""),"ACC")</f>
        <v>ACC</v>
      </c>
      <c r="D3165" s="40" t="str">
        <f>IFERROR(__xludf.DUMMYFUNCTION("""COMPUTED_VALUE"""),"Y400 series")</f>
        <v>Y400 series</v>
      </c>
      <c r="E3165" s="40" t="s">
        <v>11422</v>
      </c>
      <c r="F3165" s="40" t="s">
        <v>215</v>
      </c>
      <c r="G3165" s="40" t="s">
        <v>11423</v>
      </c>
      <c r="H3165" s="40" t="s">
        <v>11424</v>
      </c>
    </row>
    <row r="3166">
      <c r="A3166" s="39">
        <f>IFERROR(__xludf.DUMMYFUNCTION("""COMPUTED_VALUE"""),45986.66457363426)</f>
        <v>45986.66457</v>
      </c>
      <c r="B3166" s="40" t="str">
        <f>IFERROR(__xludf.DUMMYFUNCTION("""COMPUTED_VALUE"""),"YOMELIANA MARIA MAGNO")</f>
        <v>YOMELIANA MARIA MAGNO</v>
      </c>
      <c r="C3166" s="40" t="str">
        <f>IFERROR(__xludf.DUMMYFUNCTION("""COMPUTED_VALUE"""),"Dapat limit tapi belum diproses")</f>
        <v>Dapat limit tapi belum diproses</v>
      </c>
      <c r="D3166" s="40" t="str">
        <f>IFERROR(__xludf.DUMMYFUNCTION("""COMPUTED_VALUE"""),"Y21d series")</f>
        <v>Y21d series</v>
      </c>
      <c r="E3166" s="40" t="s">
        <v>11460</v>
      </c>
      <c r="F3166" s="40" t="s">
        <v>871</v>
      </c>
      <c r="G3166" s="40" t="s">
        <v>11461</v>
      </c>
      <c r="H3166" s="40" t="s">
        <v>11424</v>
      </c>
    </row>
    <row r="3167">
      <c r="A3167" s="39">
        <f>IFERROR(__xludf.DUMMYFUNCTION("""COMPUTED_VALUE"""),45986.664743368055)</f>
        <v>45986.66474</v>
      </c>
      <c r="B3167" s="40" t="str">
        <f>IFERROR(__xludf.DUMMYFUNCTION("""COMPUTED_VALUE"""),"MARIA MELAN ANANCE BILI")</f>
        <v>MARIA MELAN ANANCE BILI</v>
      </c>
      <c r="C3167" s="40" t="str">
        <f>IFERROR(__xludf.DUMMYFUNCTION("""COMPUTED_VALUE"""),"ACC")</f>
        <v>ACC</v>
      </c>
      <c r="D3167" s="40" t="str">
        <f>IFERROR(__xludf.DUMMYFUNCTION("""COMPUTED_VALUE"""),"Y21d series")</f>
        <v>Y21d series</v>
      </c>
      <c r="E3167" s="40" t="s">
        <v>11466</v>
      </c>
      <c r="F3167" s="40" t="s">
        <v>257</v>
      </c>
      <c r="G3167" s="40" t="s">
        <v>11467</v>
      </c>
      <c r="H3167" s="40" t="s">
        <v>11419</v>
      </c>
    </row>
    <row r="3168">
      <c r="A3168" s="39">
        <f>IFERROR(__xludf.DUMMYFUNCTION("""COMPUTED_VALUE"""),45986.68305842593)</f>
        <v>45986.68306</v>
      </c>
      <c r="B3168" s="40" t="str">
        <f>IFERROR(__xludf.DUMMYFUNCTION("""COMPUTED_VALUE"""),"AZ ZAHRA SITI ZAINAB")</f>
        <v>AZ ZAHRA SITI ZAINAB</v>
      </c>
      <c r="C3168" s="40" t="str">
        <f>IFERROR(__xludf.DUMMYFUNCTION("""COMPUTED_VALUE"""),"Belum disetujui")</f>
        <v>Belum disetujui</v>
      </c>
      <c r="D3168" s="40"/>
      <c r="E3168" s="40" t="s">
        <v>11462</v>
      </c>
      <c r="F3168" s="40" t="s">
        <v>257</v>
      </c>
      <c r="G3168" s="40" t="s">
        <v>11463</v>
      </c>
      <c r="H3168" s="40" t="s">
        <v>11419</v>
      </c>
    </row>
    <row r="3169">
      <c r="A3169" s="39">
        <f>IFERROR(__xludf.DUMMYFUNCTION("""COMPUTED_VALUE"""),45986.69020082176)</f>
        <v>45986.6902</v>
      </c>
      <c r="B3169" s="40" t="str">
        <f>IFERROR(__xludf.DUMMYFUNCTION("""COMPUTED_VALUE"""),"ROS YANE KANA LUDJI")</f>
        <v>ROS YANE KANA LUDJI</v>
      </c>
      <c r="C3169" s="40" t="str">
        <f>IFERROR(__xludf.DUMMYFUNCTION("""COMPUTED_VALUE"""),"ACC")</f>
        <v>ACC</v>
      </c>
      <c r="D3169" s="40" t="str">
        <f>IFERROR(__xludf.DUMMYFUNCTION("""COMPUTED_VALUE"""),"Y21d series")</f>
        <v>Y21d series</v>
      </c>
      <c r="E3169" s="40" t="s">
        <v>11437</v>
      </c>
      <c r="F3169" s="40" t="s">
        <v>204</v>
      </c>
      <c r="G3169" s="40" t="s">
        <v>11438</v>
      </c>
      <c r="H3169" s="40" t="s">
        <v>11399</v>
      </c>
    </row>
    <row r="3170">
      <c r="A3170" s="39">
        <f>IFERROR(__xludf.DUMMYFUNCTION("""COMPUTED_VALUE"""),45986.750570682874)</f>
        <v>45986.75057</v>
      </c>
      <c r="B3170" s="40" t="str">
        <f>IFERROR(__xludf.DUMMYFUNCTION("""COMPUTED_VALUE"""),"AINI RAHMATINI NATALIA MOESTAKIM")</f>
        <v>AINI RAHMATINI NATALIA MOESTAKIM</v>
      </c>
      <c r="C3170" s="40" t="str">
        <f>IFERROR(__xludf.DUMMYFUNCTION("""COMPUTED_VALUE"""),"Belum disetujui")</f>
        <v>Belum disetujui</v>
      </c>
      <c r="D3170" s="40"/>
      <c r="E3170" s="40" t="s">
        <v>11409</v>
      </c>
      <c r="F3170" s="40" t="s">
        <v>204</v>
      </c>
      <c r="G3170" s="40" t="s">
        <v>11410</v>
      </c>
      <c r="H3170" s="40" t="s">
        <v>11399</v>
      </c>
    </row>
    <row r="3171">
      <c r="A3171" s="39">
        <f>IFERROR(__xludf.DUMMYFUNCTION("""COMPUTED_VALUE"""),45986.75061167824)</f>
        <v>45986.75061</v>
      </c>
      <c r="B3171" s="40" t="str">
        <f>IFERROR(__xludf.DUMMYFUNCTION("""COMPUTED_VALUE"""),"NABILA RAHMAWATI")</f>
        <v>NABILA RAHMAWATI</v>
      </c>
      <c r="C3171" s="40" t="str">
        <f>IFERROR(__xludf.DUMMYFUNCTION("""COMPUTED_VALUE"""),"Belum disetujui")</f>
        <v>Belum disetujui</v>
      </c>
      <c r="D3171" s="40"/>
      <c r="E3171" s="40" t="s">
        <v>11464</v>
      </c>
      <c r="F3171" s="40" t="s">
        <v>257</v>
      </c>
      <c r="G3171" s="40" t="s">
        <v>11465</v>
      </c>
      <c r="H3171" s="40" t="s">
        <v>11419</v>
      </c>
    </row>
    <row r="3172">
      <c r="A3172" s="39">
        <f>IFERROR(__xludf.DUMMYFUNCTION("""COMPUTED_VALUE"""),45986.769736712966)</f>
        <v>45986.76974</v>
      </c>
      <c r="B3172" s="40" t="str">
        <f>IFERROR(__xludf.DUMMYFUNCTION("""COMPUTED_VALUE"""),"YOVANDA KATRINA NAE")</f>
        <v>YOVANDA KATRINA NAE</v>
      </c>
      <c r="C3172" s="40" t="str">
        <f>IFERROR(__xludf.DUMMYFUNCTION("""COMPUTED_VALUE"""),"ACC")</f>
        <v>ACC</v>
      </c>
      <c r="D3172" s="40" t="str">
        <f>IFERROR(__xludf.DUMMYFUNCTION("""COMPUTED_VALUE"""),"Y400 series")</f>
        <v>Y400 series</v>
      </c>
      <c r="E3172" s="40" t="s">
        <v>11425</v>
      </c>
      <c r="F3172" s="40" t="s">
        <v>205</v>
      </c>
      <c r="G3172" s="40" t="s">
        <v>11426</v>
      </c>
      <c r="H3172" s="40" t="s">
        <v>11419</v>
      </c>
    </row>
    <row r="3173">
      <c r="A3173" s="39">
        <f>IFERROR(__xludf.DUMMYFUNCTION("""COMPUTED_VALUE"""),45986.77231681713)</f>
        <v>45986.77232</v>
      </c>
      <c r="B3173" s="40" t="str">
        <f>IFERROR(__xludf.DUMMYFUNCTION("""COMPUTED_VALUE"""),"MARIA MELAN ANANCE BILI")</f>
        <v>MARIA MELAN ANANCE BILI</v>
      </c>
      <c r="C3173" s="40" t="str">
        <f>IFERROR(__xludf.DUMMYFUNCTION("""COMPUTED_VALUE"""),"Belum disetujui")</f>
        <v>Belum disetujui</v>
      </c>
      <c r="D3173" s="40"/>
      <c r="E3173" s="40" t="s">
        <v>11466</v>
      </c>
      <c r="F3173" s="40" t="s">
        <v>257</v>
      </c>
      <c r="G3173" s="40" t="s">
        <v>11467</v>
      </c>
      <c r="H3173" s="40" t="s">
        <v>11419</v>
      </c>
    </row>
    <row r="3174">
      <c r="A3174" s="39">
        <f>IFERROR(__xludf.DUMMYFUNCTION("""COMPUTED_VALUE"""),45986.7761953588)</f>
        <v>45986.7762</v>
      </c>
      <c r="B3174" s="40" t="str">
        <f>IFERROR(__xludf.DUMMYFUNCTION("""COMPUTED_VALUE"""),"NOVLIANA BARBALINA MISA")</f>
        <v>NOVLIANA BARBALINA MISA</v>
      </c>
      <c r="C3174" s="40" t="str">
        <f>IFERROR(__xludf.DUMMYFUNCTION("""COMPUTED_VALUE"""),"ACC")</f>
        <v>ACC</v>
      </c>
      <c r="D3174" s="40" t="str">
        <f>IFERROR(__xludf.DUMMYFUNCTION("""COMPUTED_VALUE"""),"Y21d series")</f>
        <v>Y21d series</v>
      </c>
      <c r="E3174" s="40" t="s">
        <v>11454</v>
      </c>
      <c r="F3174" s="40" t="s">
        <v>205</v>
      </c>
      <c r="G3174" s="40" t="s">
        <v>11455</v>
      </c>
      <c r="H3174" s="40" t="s">
        <v>11419</v>
      </c>
    </row>
    <row r="3175">
      <c r="A3175" s="39">
        <f>IFERROR(__xludf.DUMMYFUNCTION("""COMPUTED_VALUE"""),45986.783624421296)</f>
        <v>45986.78362</v>
      </c>
      <c r="B3175" s="40" t="str">
        <f>IFERROR(__xludf.DUMMYFUNCTION("""COMPUTED_VALUE"""),"AMBU BAIQ JUMENAH")</f>
        <v>AMBU BAIQ JUMENAH</v>
      </c>
      <c r="C3175" s="40" t="str">
        <f>IFERROR(__xludf.DUMMYFUNCTION("""COMPUTED_VALUE"""),"Belum disetujui")</f>
        <v>Belum disetujui</v>
      </c>
      <c r="D3175" s="40"/>
      <c r="E3175" s="40" t="s">
        <v>11458</v>
      </c>
      <c r="F3175" s="40" t="s">
        <v>205</v>
      </c>
      <c r="G3175" s="40" t="s">
        <v>11459</v>
      </c>
      <c r="H3175" s="40" t="s">
        <v>11419</v>
      </c>
    </row>
    <row r="3176">
      <c r="A3176" s="39">
        <f>IFERROR(__xludf.DUMMYFUNCTION("""COMPUTED_VALUE"""),45986.804432662044)</f>
        <v>45986.80443</v>
      </c>
      <c r="B3176" s="40" t="str">
        <f>IFERROR(__xludf.DUMMYFUNCTION("""COMPUTED_VALUE"""),"MEXY ALEXANDER HETMINA")</f>
        <v>MEXY ALEXANDER HETMINA</v>
      </c>
      <c r="C3176" s="40" t="str">
        <f>IFERROR(__xludf.DUMMYFUNCTION("""COMPUTED_VALUE"""),"Belum disetujui")</f>
        <v>Belum disetujui</v>
      </c>
      <c r="D3176" s="40"/>
      <c r="E3176" s="40" t="s">
        <v>11413</v>
      </c>
      <c r="F3176" s="40" t="s">
        <v>204</v>
      </c>
      <c r="G3176" s="40" t="s">
        <v>11414</v>
      </c>
      <c r="H3176" s="40" t="s">
        <v>11399</v>
      </c>
    </row>
    <row r="3177">
      <c r="A3177" s="39">
        <f>IFERROR(__xludf.DUMMYFUNCTION("""COMPUTED_VALUE"""),45986.830605324074)</f>
        <v>45986.83061</v>
      </c>
      <c r="B3177" s="40" t="str">
        <f>IFERROR(__xludf.DUMMYFUNCTION("""COMPUTED_VALUE"""),"EMPI FRANGKI LIEM")</f>
        <v>EMPI FRANGKI LIEM</v>
      </c>
      <c r="C3177" s="40" t="str">
        <f>IFERROR(__xludf.DUMMYFUNCTION("""COMPUTED_VALUE"""),"ACC")</f>
        <v>ACC</v>
      </c>
      <c r="D3177" s="40" t="str">
        <f>IFERROR(__xludf.DUMMYFUNCTION("""COMPUTED_VALUE"""),"Y21d series")</f>
        <v>Y21d series</v>
      </c>
      <c r="E3177" s="40" t="s">
        <v>11397</v>
      </c>
      <c r="F3177" s="40" t="s">
        <v>220</v>
      </c>
      <c r="G3177" s="40" t="s">
        <v>11398</v>
      </c>
      <c r="H3177" s="40" t="s">
        <v>11399</v>
      </c>
    </row>
    <row r="3178">
      <c r="A3178" s="39">
        <f>IFERROR(__xludf.DUMMYFUNCTION("""COMPUTED_VALUE"""),45986.83357202546)</f>
        <v>45986.83357</v>
      </c>
      <c r="B3178" s="40" t="str">
        <f>IFERROR(__xludf.DUMMYFUNCTION("""COMPUTED_VALUE"""),"NENY MERLIANTI NA'U")</f>
        <v>NENY MERLIANTI NA'U</v>
      </c>
      <c r="C3178" s="40" t="str">
        <f>IFERROR(__xludf.DUMMYFUNCTION("""COMPUTED_VALUE"""),"Belum disetujui")</f>
        <v>Belum disetujui</v>
      </c>
      <c r="D3178" s="40"/>
      <c r="E3178" s="40" t="s">
        <v>11476</v>
      </c>
      <c r="F3178" s="40" t="s">
        <v>204</v>
      </c>
      <c r="G3178" s="40" t="s">
        <v>11477</v>
      </c>
      <c r="H3178" s="40" t="s">
        <v>11399</v>
      </c>
    </row>
    <row r="3179">
      <c r="A3179" s="39">
        <f>IFERROR(__xludf.DUMMYFUNCTION("""COMPUTED_VALUE"""),45986.836721493055)</f>
        <v>45986.83672</v>
      </c>
      <c r="B3179" s="40" t="str">
        <f>IFERROR(__xludf.DUMMYFUNCTION("""COMPUTED_VALUE"""),"NENY MERLIANTI NA'U")</f>
        <v>NENY MERLIANTI NA'U</v>
      </c>
      <c r="C3179" s="40" t="str">
        <f>IFERROR(__xludf.DUMMYFUNCTION("""COMPUTED_VALUE"""),"Belum disetujui")</f>
        <v>Belum disetujui</v>
      </c>
      <c r="D3179" s="40"/>
      <c r="E3179" s="40" t="s">
        <v>11476</v>
      </c>
      <c r="F3179" s="40" t="s">
        <v>204</v>
      </c>
      <c r="G3179" s="40" t="s">
        <v>11477</v>
      </c>
      <c r="H3179" s="40" t="s">
        <v>11399</v>
      </c>
    </row>
    <row r="3180">
      <c r="A3180" s="39">
        <f>IFERROR(__xludf.DUMMYFUNCTION("""COMPUTED_VALUE"""),45986.84168484954)</f>
        <v>45986.84168</v>
      </c>
      <c r="B3180" s="40" t="str">
        <f>IFERROR(__xludf.DUMMYFUNCTION("""COMPUTED_VALUE"""),"WINDRI MANOE")</f>
        <v>WINDRI MANOE</v>
      </c>
      <c r="C3180" s="40" t="str">
        <f>IFERROR(__xludf.DUMMYFUNCTION("""COMPUTED_VALUE"""),"Dapat limit tapi belum diproses")</f>
        <v>Dapat limit tapi belum diproses</v>
      </c>
      <c r="D3180" s="40" t="str">
        <f>IFERROR(__xludf.DUMMYFUNCTION("""COMPUTED_VALUE"""),"V60 series")</f>
        <v>V60 series</v>
      </c>
      <c r="E3180" s="40" t="s">
        <v>11443</v>
      </c>
      <c r="F3180" s="40" t="s">
        <v>220</v>
      </c>
      <c r="G3180" s="40" t="s">
        <v>11444</v>
      </c>
      <c r="H3180" s="40" t="s">
        <v>11399</v>
      </c>
    </row>
    <row r="3181">
      <c r="A3181" s="39">
        <f>IFERROR(__xludf.DUMMYFUNCTION("""COMPUTED_VALUE"""),45986.84467225695)</f>
        <v>45986.84467</v>
      </c>
      <c r="B3181" s="40" t="str">
        <f>IFERROR(__xludf.DUMMYFUNCTION("""COMPUTED_VALUE"""),"WARDIA")</f>
        <v>WARDIA</v>
      </c>
      <c r="C3181" s="40" t="str">
        <f>IFERROR(__xludf.DUMMYFUNCTION("""COMPUTED_VALUE"""),"Belum disetujui")</f>
        <v>Belum disetujui</v>
      </c>
      <c r="D3181" s="40"/>
      <c r="E3181" s="40" t="s">
        <v>11409</v>
      </c>
      <c r="F3181" s="40" t="s">
        <v>204</v>
      </c>
      <c r="G3181" s="40" t="s">
        <v>11410</v>
      </c>
      <c r="H3181" s="40" t="s">
        <v>11399</v>
      </c>
    </row>
    <row r="3182">
      <c r="A3182" s="39">
        <f>IFERROR(__xludf.DUMMYFUNCTION("""COMPUTED_VALUE"""),45986.85615466435)</f>
        <v>45986.85615</v>
      </c>
      <c r="B3182" s="40" t="str">
        <f>IFERROR(__xludf.DUMMYFUNCTION("""COMPUTED_VALUE"""),"HERONIMUS NAMU WALI")</f>
        <v>HERONIMUS NAMU WALI</v>
      </c>
      <c r="C3182" s="40" t="str">
        <f>IFERROR(__xludf.DUMMYFUNCTION("""COMPUTED_VALUE"""),"Belum disetujui")</f>
        <v>Belum disetujui</v>
      </c>
      <c r="D3182" s="40"/>
      <c r="E3182" s="40" t="s">
        <v>11452</v>
      </c>
      <c r="F3182" s="40" t="s">
        <v>205</v>
      </c>
      <c r="G3182" s="40" t="s">
        <v>11453</v>
      </c>
      <c r="H3182" s="40" t="s">
        <v>11419</v>
      </c>
    </row>
    <row r="3183">
      <c r="A3183" s="39">
        <f>IFERROR(__xludf.DUMMYFUNCTION("""COMPUTED_VALUE"""),45986.86179851853)</f>
        <v>45986.8618</v>
      </c>
      <c r="B3183" s="40" t="str">
        <f>IFERROR(__xludf.DUMMYFUNCTION("""COMPUTED_VALUE"""),"SULIS NURAINI INSYATUN")</f>
        <v>SULIS NURAINI INSYATUN</v>
      </c>
      <c r="C3183" s="40" t="str">
        <f>IFERROR(__xludf.DUMMYFUNCTION("""COMPUTED_VALUE"""),"ACC")</f>
        <v>ACC</v>
      </c>
      <c r="D3183" s="40" t="str">
        <f>IFERROR(__xludf.DUMMYFUNCTION("""COMPUTED_VALUE"""),"V60 series")</f>
        <v>V60 series</v>
      </c>
      <c r="E3183" s="40" t="s">
        <v>11429</v>
      </c>
      <c r="F3183" s="40" t="s">
        <v>257</v>
      </c>
      <c r="G3183" s="40" t="s">
        <v>11430</v>
      </c>
      <c r="H3183" s="40" t="s">
        <v>11419</v>
      </c>
    </row>
    <row r="3184">
      <c r="A3184" s="39">
        <f>IFERROR(__xludf.DUMMYFUNCTION("""COMPUTED_VALUE"""),45986.87489533565)</f>
        <v>45986.8749</v>
      </c>
      <c r="B3184" s="40" t="str">
        <f>IFERROR(__xludf.DUMMYFUNCTION("""COMPUTED_VALUE"""),"DWITNEY PRETY WANGGANDIMA")</f>
        <v>DWITNEY PRETY WANGGANDIMA</v>
      </c>
      <c r="C3184" s="40" t="str">
        <f>IFERROR(__xludf.DUMMYFUNCTION("""COMPUTED_VALUE"""),"Belum disetujui")</f>
        <v>Belum disetujui</v>
      </c>
      <c r="D3184" s="40"/>
      <c r="E3184" s="40" t="s">
        <v>11443</v>
      </c>
      <c r="F3184" s="40" t="s">
        <v>220</v>
      </c>
      <c r="G3184" s="40" t="s">
        <v>11444</v>
      </c>
      <c r="H3184" s="40" t="s">
        <v>11399</v>
      </c>
    </row>
    <row r="3185">
      <c r="A3185" s="39">
        <f>IFERROR(__xludf.DUMMYFUNCTION("""COMPUTED_VALUE"""),45986.87628056713)</f>
        <v>45986.87628</v>
      </c>
      <c r="B3185" s="40" t="str">
        <f>IFERROR(__xludf.DUMMYFUNCTION("""COMPUTED_VALUE"""),"DWITNEY PRETY WANGGANDIMA")</f>
        <v>DWITNEY PRETY WANGGANDIMA</v>
      </c>
      <c r="C3185" s="40" t="str">
        <f>IFERROR(__xludf.DUMMYFUNCTION("""COMPUTED_VALUE"""),"Belum disetujui")</f>
        <v>Belum disetujui</v>
      </c>
      <c r="D3185" s="40"/>
      <c r="E3185" s="40" t="s">
        <v>11443</v>
      </c>
      <c r="F3185" s="40" t="s">
        <v>220</v>
      </c>
      <c r="G3185" s="40" t="s">
        <v>11444</v>
      </c>
      <c r="H3185" s="40" t="s">
        <v>11399</v>
      </c>
    </row>
    <row r="3186">
      <c r="A3186" s="39">
        <f>IFERROR(__xludf.DUMMYFUNCTION("""COMPUTED_VALUE"""),45986.889648888886)</f>
        <v>45986.88965</v>
      </c>
      <c r="B3186" s="40" t="str">
        <f>IFERROR(__xludf.DUMMYFUNCTION("""COMPUTED_VALUE"""),"MARATHA MARLINDA FANGGIDAE")</f>
        <v>MARATHA MARLINDA FANGGIDAE</v>
      </c>
      <c r="C3186" s="40" t="str">
        <f>IFERROR(__xludf.DUMMYFUNCTION("""COMPUTED_VALUE"""),"Belum disetujui")</f>
        <v>Belum disetujui</v>
      </c>
      <c r="D3186" s="40"/>
      <c r="E3186" s="40" t="s">
        <v>11435</v>
      </c>
      <c r="F3186" s="40" t="s">
        <v>215</v>
      </c>
      <c r="G3186" s="40" t="s">
        <v>11436</v>
      </c>
      <c r="H3186" s="40" t="s">
        <v>11424</v>
      </c>
    </row>
    <row r="3187">
      <c r="A3187" s="39">
        <f>IFERROR(__xludf.DUMMYFUNCTION("""COMPUTED_VALUE"""),45986.90299430556)</f>
        <v>45986.90299</v>
      </c>
      <c r="B3187" s="40" t="str">
        <f>IFERROR(__xludf.DUMMYFUNCTION("""COMPUTED_VALUE"""),"PATRIANI MENGI ULY")</f>
        <v>PATRIANI MENGI ULY</v>
      </c>
      <c r="C3187" s="40" t="str">
        <f>IFERROR(__xludf.DUMMYFUNCTION("""COMPUTED_VALUE"""),"Belum disetujui")</f>
        <v>Belum disetujui</v>
      </c>
      <c r="D3187" s="40"/>
      <c r="E3187" s="40" t="s">
        <v>11402</v>
      </c>
      <c r="F3187" s="40" t="s">
        <v>204</v>
      </c>
      <c r="G3187" s="40" t="s">
        <v>11403</v>
      </c>
      <c r="H3187" s="40" t="s">
        <v>11399</v>
      </c>
    </row>
    <row r="3188">
      <c r="A3188" s="39">
        <f>IFERROR(__xludf.DUMMYFUNCTION("""COMPUTED_VALUE"""),45987.42789577546)</f>
        <v>45987.4279</v>
      </c>
      <c r="B3188" s="40" t="str">
        <f>IFERROR(__xludf.DUMMYFUNCTION("""COMPUTED_VALUE"""),"ANGELA BOUKA BERI")</f>
        <v>ANGELA BOUKA BERI</v>
      </c>
      <c r="C3188" s="40" t="str">
        <f>IFERROR(__xludf.DUMMYFUNCTION("""COMPUTED_VALUE"""),"Belum disetujui")</f>
        <v>Belum disetujui</v>
      </c>
      <c r="D3188" s="40"/>
      <c r="E3188" s="40" t="s">
        <v>11486</v>
      </c>
      <c r="F3188" s="40" t="s">
        <v>11450</v>
      </c>
      <c r="G3188" s="40" t="s">
        <v>11487</v>
      </c>
      <c r="H3188" s="40" t="s">
        <v>11424</v>
      </c>
    </row>
    <row r="3189">
      <c r="A3189" s="39">
        <f>IFERROR(__xludf.DUMMYFUNCTION("""COMPUTED_VALUE"""),45987.43881037037)</f>
        <v>45987.43881</v>
      </c>
      <c r="B3189" s="40" t="str">
        <f>IFERROR(__xludf.DUMMYFUNCTION("""COMPUTED_VALUE"""),"AMBU BAIQ JUMENAH")</f>
        <v>AMBU BAIQ JUMENAH</v>
      </c>
      <c r="C3189" s="40" t="str">
        <f>IFERROR(__xludf.DUMMYFUNCTION("""COMPUTED_VALUE"""),"Belum disetujui")</f>
        <v>Belum disetujui</v>
      </c>
      <c r="D3189" s="40"/>
      <c r="E3189" s="40" t="s">
        <v>11458</v>
      </c>
      <c r="F3189" s="40" t="s">
        <v>205</v>
      </c>
      <c r="G3189" s="40" t="s">
        <v>11459</v>
      </c>
      <c r="H3189" s="40" t="s">
        <v>11419</v>
      </c>
    </row>
    <row r="3190">
      <c r="A3190" s="39">
        <f>IFERROR(__xludf.DUMMYFUNCTION("""COMPUTED_VALUE"""),45987.45603800926)</f>
        <v>45987.45604</v>
      </c>
      <c r="B3190" s="40" t="str">
        <f>IFERROR(__xludf.DUMMYFUNCTION("""COMPUTED_VALUE"""),"ANITA ANA AMAH")</f>
        <v>ANITA ANA AMAH</v>
      </c>
      <c r="C3190" s="40" t="str">
        <f>IFERROR(__xludf.DUMMYFUNCTION("""COMPUTED_VALUE"""),"Belum disetujui")</f>
        <v>Belum disetujui</v>
      </c>
      <c r="D3190" s="40"/>
      <c r="E3190" s="40" t="s">
        <v>11425</v>
      </c>
      <c r="F3190" s="40" t="s">
        <v>205</v>
      </c>
      <c r="G3190" s="40" t="s">
        <v>11426</v>
      </c>
      <c r="H3190" s="40" t="s">
        <v>11419</v>
      </c>
    </row>
    <row r="3191">
      <c r="A3191" s="39">
        <f>IFERROR(__xludf.DUMMYFUNCTION("""COMPUTED_VALUE"""),45987.466236064814)</f>
        <v>45987.46624</v>
      </c>
      <c r="B3191" s="40" t="str">
        <f>IFERROR(__xludf.DUMMYFUNCTION("""COMPUTED_VALUE"""),"PRETI SISILIA SILA")</f>
        <v>PRETI SISILIA SILA</v>
      </c>
      <c r="C3191" s="40" t="str">
        <f>IFERROR(__xludf.DUMMYFUNCTION("""COMPUTED_VALUE"""),"Belum disetujui")</f>
        <v>Belum disetujui</v>
      </c>
      <c r="D3191" s="40"/>
      <c r="E3191" s="40" t="s">
        <v>11456</v>
      </c>
      <c r="F3191" s="40" t="s">
        <v>667</v>
      </c>
      <c r="G3191" s="40" t="s">
        <v>11457</v>
      </c>
      <c r="H3191" s="40" t="s">
        <v>11424</v>
      </c>
    </row>
    <row r="3192">
      <c r="A3192" s="39">
        <f>IFERROR(__xludf.DUMMYFUNCTION("""COMPUTED_VALUE"""),45987.486033761576)</f>
        <v>45987.48603</v>
      </c>
      <c r="B3192" s="40" t="str">
        <f>IFERROR(__xludf.DUMMYFUNCTION("""COMPUTED_VALUE"""),"ANAK AGUNG SRI WULANTIWI")</f>
        <v>ANAK AGUNG SRI WULANTIWI</v>
      </c>
      <c r="C3192" s="40" t="str">
        <f>IFERROR(__xludf.DUMMYFUNCTION("""COMPUTED_VALUE"""),"ACC")</f>
        <v>ACC</v>
      </c>
      <c r="D3192" s="40" t="str">
        <f>IFERROR(__xludf.DUMMYFUNCTION("""COMPUTED_VALUE"""),"Y21d series")</f>
        <v>Y21d series</v>
      </c>
      <c r="E3192" s="40" t="s">
        <v>11492</v>
      </c>
      <c r="F3192" s="40" t="s">
        <v>205</v>
      </c>
      <c r="G3192" s="40" t="s">
        <v>11493</v>
      </c>
      <c r="H3192" s="40" t="s">
        <v>11419</v>
      </c>
    </row>
    <row r="3193">
      <c r="A3193" s="39">
        <f>IFERROR(__xludf.DUMMYFUNCTION("""COMPUTED_VALUE"""),45987.4892937037)</f>
        <v>45987.48929</v>
      </c>
      <c r="B3193" s="40" t="str">
        <f>IFERROR(__xludf.DUMMYFUNCTION("""COMPUTED_VALUE"""),"ASTUTI BELA WAWO")</f>
        <v>ASTUTI BELA WAWO</v>
      </c>
      <c r="C3193" s="40" t="str">
        <f>IFERROR(__xludf.DUMMYFUNCTION("""COMPUTED_VALUE"""),"ACC")</f>
        <v>ACC</v>
      </c>
      <c r="D3193" s="40" t="str">
        <f>IFERROR(__xludf.DUMMYFUNCTION("""COMPUTED_VALUE"""),"Y21d series")</f>
        <v>Y21d series</v>
      </c>
      <c r="E3193" s="40" t="s">
        <v>11427</v>
      </c>
      <c r="F3193" s="40" t="s">
        <v>257</v>
      </c>
      <c r="G3193" s="40" t="s">
        <v>11428</v>
      </c>
      <c r="H3193" s="40" t="s">
        <v>11419</v>
      </c>
    </row>
    <row r="3194">
      <c r="A3194" s="39">
        <f>IFERROR(__xludf.DUMMYFUNCTION("""COMPUTED_VALUE"""),45987.50463396991)</f>
        <v>45987.50463</v>
      </c>
      <c r="B3194" s="40" t="str">
        <f>IFERROR(__xludf.DUMMYFUNCTION("""COMPUTED_VALUE"""),"ADRIANA")</f>
        <v>ADRIANA</v>
      </c>
      <c r="C3194" s="40" t="str">
        <f>IFERROR(__xludf.DUMMYFUNCTION("""COMPUTED_VALUE"""),"Belum disetujui")</f>
        <v>Belum disetujui</v>
      </c>
      <c r="D3194" s="40"/>
      <c r="E3194" s="40" t="s">
        <v>11433</v>
      </c>
      <c r="F3194" s="40" t="s">
        <v>313</v>
      </c>
      <c r="G3194" s="40" t="s">
        <v>11434</v>
      </c>
      <c r="H3194" s="40" t="s">
        <v>11424</v>
      </c>
    </row>
    <row r="3195">
      <c r="A3195" s="39">
        <f>IFERROR(__xludf.DUMMYFUNCTION("""COMPUTED_VALUE"""),45987.50502008102)</f>
        <v>45987.50502</v>
      </c>
      <c r="B3195" s="40" t="str">
        <f>IFERROR(__xludf.DUMMYFUNCTION("""COMPUTED_VALUE"""),"ASRI NINGSI RAMBU ATA ENDI")</f>
        <v>ASRI NINGSI RAMBU ATA ENDI</v>
      </c>
      <c r="C3195" s="40" t="str">
        <f>IFERROR(__xludf.DUMMYFUNCTION("""COMPUTED_VALUE"""),"Belum disetujui")</f>
        <v>Belum disetujui</v>
      </c>
      <c r="D3195" s="40"/>
      <c r="E3195" s="40" t="s">
        <v>11441</v>
      </c>
      <c r="F3195" s="40" t="s">
        <v>205</v>
      </c>
      <c r="G3195" s="40" t="s">
        <v>11442</v>
      </c>
      <c r="H3195" s="40" t="s">
        <v>11419</v>
      </c>
    </row>
    <row r="3196">
      <c r="A3196" s="39">
        <f>IFERROR(__xludf.DUMMYFUNCTION("""COMPUTED_VALUE"""),45987.52525189815)</f>
        <v>45987.52525</v>
      </c>
      <c r="B3196" s="40" t="str">
        <f>IFERROR(__xludf.DUMMYFUNCTION("""COMPUTED_VALUE"""),"YOMELIANA MARIA MAGNO")</f>
        <v>YOMELIANA MARIA MAGNO</v>
      </c>
      <c r="C3196" s="40" t="str">
        <f>IFERROR(__xludf.DUMMYFUNCTION("""COMPUTED_VALUE"""),"Belum disetujui")</f>
        <v>Belum disetujui</v>
      </c>
      <c r="D3196" s="40"/>
      <c r="E3196" s="40" t="s">
        <v>11460</v>
      </c>
      <c r="F3196" s="40" t="s">
        <v>871</v>
      </c>
      <c r="G3196" s="40" t="s">
        <v>11461</v>
      </c>
      <c r="H3196" s="40" t="s">
        <v>11424</v>
      </c>
    </row>
    <row r="3197">
      <c r="A3197" s="39">
        <f>IFERROR(__xludf.DUMMYFUNCTION("""COMPUTED_VALUE"""),45987.546733981486)</f>
        <v>45987.54673</v>
      </c>
      <c r="B3197" s="40" t="str">
        <f>IFERROR(__xludf.DUMMYFUNCTION("""COMPUTED_VALUE"""),"ANAK AGUNG SRI WULANTIWI")</f>
        <v>ANAK AGUNG SRI WULANTIWI</v>
      </c>
      <c r="C3197" s="40" t="str">
        <f>IFERROR(__xludf.DUMMYFUNCTION("""COMPUTED_VALUE"""),"Belum disetujui")</f>
        <v>Belum disetujui</v>
      </c>
      <c r="D3197" s="40"/>
      <c r="E3197" s="40" t="s">
        <v>11492</v>
      </c>
      <c r="F3197" s="40" t="s">
        <v>205</v>
      </c>
      <c r="G3197" s="40" t="s">
        <v>11493</v>
      </c>
      <c r="H3197" s="40" t="s">
        <v>11419</v>
      </c>
    </row>
    <row r="3198">
      <c r="A3198" s="39">
        <f>IFERROR(__xludf.DUMMYFUNCTION("""COMPUTED_VALUE"""),45987.548872974534)</f>
        <v>45987.54887</v>
      </c>
      <c r="B3198" s="40" t="str">
        <f>IFERROR(__xludf.DUMMYFUNCTION("""COMPUTED_VALUE"""),"ROS YANE KANA LUDJI")</f>
        <v>ROS YANE KANA LUDJI</v>
      </c>
      <c r="C3198" s="40" t="str">
        <f>IFERROR(__xludf.DUMMYFUNCTION("""COMPUTED_VALUE"""),"Belum disetujui")</f>
        <v>Belum disetujui</v>
      </c>
      <c r="D3198" s="40"/>
      <c r="E3198" s="40" t="s">
        <v>11437</v>
      </c>
      <c r="F3198" s="40" t="s">
        <v>204</v>
      </c>
      <c r="G3198" s="40" t="s">
        <v>11438</v>
      </c>
      <c r="H3198" s="40" t="s">
        <v>11399</v>
      </c>
    </row>
    <row r="3199">
      <c r="A3199" s="39">
        <f>IFERROR(__xludf.DUMMYFUNCTION("""COMPUTED_VALUE"""),45987.55868853009)</f>
        <v>45987.55869</v>
      </c>
      <c r="B3199" s="40" t="str">
        <f>IFERROR(__xludf.DUMMYFUNCTION("""COMPUTED_VALUE"""),"IDMAL YUSDIRAN YUSUF")</f>
        <v>IDMAL YUSDIRAN YUSUF</v>
      </c>
      <c r="C3199" s="40" t="str">
        <f>IFERROR(__xludf.DUMMYFUNCTION("""COMPUTED_VALUE"""),"Dapat limit tapi belum diproses")</f>
        <v>Dapat limit tapi belum diproses</v>
      </c>
      <c r="D3199" s="40" t="str">
        <f>IFERROR(__xludf.DUMMYFUNCTION("""COMPUTED_VALUE"""),"Y21d series")</f>
        <v>Y21d series</v>
      </c>
      <c r="E3199" s="40" t="s">
        <v>11417</v>
      </c>
      <c r="F3199" s="40" t="s">
        <v>257</v>
      </c>
      <c r="G3199" s="40" t="s">
        <v>11418</v>
      </c>
      <c r="H3199" s="40" t="s">
        <v>11419</v>
      </c>
    </row>
    <row r="3200">
      <c r="A3200" s="39">
        <f>IFERROR(__xludf.DUMMYFUNCTION("""COMPUTED_VALUE"""),45987.56148527777)</f>
        <v>45987.56149</v>
      </c>
      <c r="B3200" s="40" t="str">
        <f>IFERROR(__xludf.DUMMYFUNCTION("""COMPUTED_VALUE"""),"YOMELIANA MARIA MAGNO")</f>
        <v>YOMELIANA MARIA MAGNO</v>
      </c>
      <c r="C3200" s="40" t="str">
        <f>IFERROR(__xludf.DUMMYFUNCTION("""COMPUTED_VALUE"""),"Belum disetujui")</f>
        <v>Belum disetujui</v>
      </c>
      <c r="D3200" s="40"/>
      <c r="E3200" s="40" t="s">
        <v>11460</v>
      </c>
      <c r="F3200" s="40" t="s">
        <v>871</v>
      </c>
      <c r="G3200" s="40" t="s">
        <v>11461</v>
      </c>
      <c r="H3200" s="40" t="s">
        <v>11424</v>
      </c>
    </row>
    <row r="3201">
      <c r="A3201" s="39">
        <f>IFERROR(__xludf.DUMMYFUNCTION("""COMPUTED_VALUE"""),45987.60642315972)</f>
        <v>45987.60642</v>
      </c>
      <c r="B3201" s="40" t="str">
        <f>IFERROR(__xludf.DUMMYFUNCTION("""COMPUTED_VALUE"""),"BERGITHA NIA OLIN")</f>
        <v>BERGITHA NIA OLIN</v>
      </c>
      <c r="C3201" s="40" t="str">
        <f>IFERROR(__xludf.DUMMYFUNCTION("""COMPUTED_VALUE"""),"Dapat limit tapi belum diproses")</f>
        <v>Dapat limit tapi belum diproses</v>
      </c>
      <c r="D3201" s="40" t="str">
        <f>IFERROR(__xludf.DUMMYFUNCTION("""COMPUTED_VALUE"""),"Y21d series")</f>
        <v>Y21d series</v>
      </c>
      <c r="E3201" s="40" t="s">
        <v>11431</v>
      </c>
      <c r="F3201" s="40" t="s">
        <v>313</v>
      </c>
      <c r="G3201" s="40" t="s">
        <v>11432</v>
      </c>
      <c r="H3201" s="40" t="s">
        <v>11424</v>
      </c>
    </row>
    <row r="3202">
      <c r="A3202" s="39">
        <f>IFERROR(__xludf.DUMMYFUNCTION("""COMPUTED_VALUE"""),45987.61498326389)</f>
        <v>45987.61498</v>
      </c>
      <c r="B3202" s="40" t="str">
        <f>IFERROR(__xludf.DUMMYFUNCTION("""COMPUTED_VALUE"""),"IDMAL YUSDIRAN YUSUF")</f>
        <v>IDMAL YUSDIRAN YUSUF</v>
      </c>
      <c r="C3202" s="40" t="str">
        <f>IFERROR(__xludf.DUMMYFUNCTION("""COMPUTED_VALUE"""),"Belum disetujui")</f>
        <v>Belum disetujui</v>
      </c>
      <c r="D3202" s="40"/>
      <c r="E3202" s="40" t="s">
        <v>11417</v>
      </c>
      <c r="F3202" s="40" t="s">
        <v>257</v>
      </c>
      <c r="G3202" s="40" t="s">
        <v>11418</v>
      </c>
      <c r="H3202" s="40" t="s">
        <v>11419</v>
      </c>
    </row>
    <row r="3203">
      <c r="A3203" s="39">
        <f>IFERROR(__xludf.DUMMYFUNCTION("""COMPUTED_VALUE"""),45987.62585363426)</f>
        <v>45987.62585</v>
      </c>
      <c r="B3203" s="40" t="str">
        <f>IFERROR(__xludf.DUMMYFUNCTION("""COMPUTED_VALUE"""),"ADRIANA")</f>
        <v>ADRIANA</v>
      </c>
      <c r="C3203" s="40" t="str">
        <f>IFERROR(__xludf.DUMMYFUNCTION("""COMPUTED_VALUE"""),"Belum disetujui")</f>
        <v>Belum disetujui</v>
      </c>
      <c r="D3203" s="40"/>
      <c r="E3203" s="40" t="s">
        <v>11433</v>
      </c>
      <c r="F3203" s="40" t="s">
        <v>313</v>
      </c>
      <c r="G3203" s="40" t="s">
        <v>11434</v>
      </c>
      <c r="H3203" s="40" t="s">
        <v>11424</v>
      </c>
    </row>
    <row r="3204">
      <c r="A3204" s="39">
        <f>IFERROR(__xludf.DUMMYFUNCTION("""COMPUTED_VALUE"""),45987.65335695602)</f>
        <v>45987.65336</v>
      </c>
      <c r="B3204" s="40" t="str">
        <f>IFERROR(__xludf.DUMMYFUNCTION("""COMPUTED_VALUE"""),"ANITA ANA AMAH")</f>
        <v>ANITA ANA AMAH</v>
      </c>
      <c r="C3204" s="40" t="str">
        <f>IFERROR(__xludf.DUMMYFUNCTION("""COMPUTED_VALUE"""),"Belum disetujui")</f>
        <v>Belum disetujui</v>
      </c>
      <c r="D3204" s="40"/>
      <c r="E3204" s="40" t="s">
        <v>11425</v>
      </c>
      <c r="F3204" s="40" t="s">
        <v>205</v>
      </c>
      <c r="G3204" s="40" t="s">
        <v>11426</v>
      </c>
      <c r="H3204" s="40" t="s">
        <v>11419</v>
      </c>
    </row>
    <row r="3205">
      <c r="A3205" s="39">
        <f>IFERROR(__xludf.DUMMYFUNCTION("""COMPUTED_VALUE"""),45987.65636001158)</f>
        <v>45987.65636</v>
      </c>
      <c r="B3205" s="40" t="str">
        <f>IFERROR(__xludf.DUMMYFUNCTION("""COMPUTED_VALUE"""),"ALITA D PAU")</f>
        <v>ALITA D PAU</v>
      </c>
      <c r="C3205" s="40" t="str">
        <f>IFERROR(__xludf.DUMMYFUNCTION("""COMPUTED_VALUE"""),"ACC")</f>
        <v>ACC</v>
      </c>
      <c r="D3205" s="40" t="str">
        <f>IFERROR(__xludf.DUMMYFUNCTION("""COMPUTED_VALUE"""),"Y21d series")</f>
        <v>Y21d series</v>
      </c>
      <c r="E3205" s="40" t="s">
        <v>11447</v>
      </c>
      <c r="F3205" s="40" t="s">
        <v>205</v>
      </c>
      <c r="G3205" s="40" t="s">
        <v>11448</v>
      </c>
      <c r="H3205" s="40" t="s">
        <v>11419</v>
      </c>
    </row>
    <row r="3206">
      <c r="A3206" s="39">
        <f>IFERROR(__xludf.DUMMYFUNCTION("""COMPUTED_VALUE"""),45987.70187945602)</f>
        <v>45987.70188</v>
      </c>
      <c r="B3206" s="40" t="str">
        <f>IFERROR(__xludf.DUMMYFUNCTION("""COMPUTED_VALUE"""),"SULIS NURAINI INSYATUN")</f>
        <v>SULIS NURAINI INSYATUN</v>
      </c>
      <c r="C3206" s="40" t="str">
        <f>IFERROR(__xludf.DUMMYFUNCTION("""COMPUTED_VALUE"""),"ACC")</f>
        <v>ACC</v>
      </c>
      <c r="D3206" s="40" t="str">
        <f>IFERROR(__xludf.DUMMYFUNCTION("""COMPUTED_VALUE"""),"Y21d series")</f>
        <v>Y21d series</v>
      </c>
      <c r="E3206" s="40" t="s">
        <v>11429</v>
      </c>
      <c r="F3206" s="40" t="s">
        <v>257</v>
      </c>
      <c r="G3206" s="40" t="s">
        <v>11430</v>
      </c>
      <c r="H3206" s="40" t="s">
        <v>11419</v>
      </c>
    </row>
    <row r="3207">
      <c r="A3207" s="39">
        <f>IFERROR(__xludf.DUMMYFUNCTION("""COMPUTED_VALUE"""),45987.7068116088)</f>
        <v>45987.70681</v>
      </c>
      <c r="B3207" s="40" t="str">
        <f>IFERROR(__xludf.DUMMYFUNCTION("""COMPUTED_VALUE"""),"ADRIANA")</f>
        <v>ADRIANA</v>
      </c>
      <c r="C3207" s="40" t="str">
        <f>IFERROR(__xludf.DUMMYFUNCTION("""COMPUTED_VALUE"""),"Belum disetujui")</f>
        <v>Belum disetujui</v>
      </c>
      <c r="D3207" s="40"/>
      <c r="E3207" s="40" t="s">
        <v>11433</v>
      </c>
      <c r="F3207" s="40" t="s">
        <v>313</v>
      </c>
      <c r="G3207" s="40" t="s">
        <v>11434</v>
      </c>
      <c r="H3207" s="40" t="s">
        <v>11424</v>
      </c>
    </row>
    <row r="3208">
      <c r="A3208" s="39">
        <f>IFERROR(__xludf.DUMMYFUNCTION("""COMPUTED_VALUE"""),45987.70893631945)</f>
        <v>45987.70894</v>
      </c>
      <c r="B3208" s="40" t="str">
        <f>IFERROR(__xludf.DUMMYFUNCTION("""COMPUTED_VALUE"""),"AZ ZAHRA SITI ZAINAB")</f>
        <v>AZ ZAHRA SITI ZAINAB</v>
      </c>
      <c r="C3208" s="40" t="str">
        <f>IFERROR(__xludf.DUMMYFUNCTION("""COMPUTED_VALUE"""),"Belum disetujui")</f>
        <v>Belum disetujui</v>
      </c>
      <c r="D3208" s="40"/>
      <c r="E3208" s="40" t="s">
        <v>11462</v>
      </c>
      <c r="F3208" s="40" t="s">
        <v>257</v>
      </c>
      <c r="G3208" s="40" t="s">
        <v>11463</v>
      </c>
      <c r="H3208" s="40" t="s">
        <v>11419</v>
      </c>
    </row>
    <row r="3209">
      <c r="A3209" s="39">
        <f>IFERROR(__xludf.DUMMYFUNCTION("""COMPUTED_VALUE"""),45987.71167675926)</f>
        <v>45987.71168</v>
      </c>
      <c r="B3209" s="40" t="str">
        <f>IFERROR(__xludf.DUMMYFUNCTION("""COMPUTED_VALUE"""),"NABILA RAHMAWATI")</f>
        <v>NABILA RAHMAWATI</v>
      </c>
      <c r="C3209" s="40" t="str">
        <f>IFERROR(__xludf.DUMMYFUNCTION("""COMPUTED_VALUE"""),"Belum disetujui")</f>
        <v>Belum disetujui</v>
      </c>
      <c r="D3209" s="40"/>
      <c r="E3209" s="40" t="s">
        <v>11464</v>
      </c>
      <c r="F3209" s="40" t="s">
        <v>257</v>
      </c>
      <c r="G3209" s="40" t="s">
        <v>11465</v>
      </c>
      <c r="H3209" s="40" t="s">
        <v>11419</v>
      </c>
    </row>
    <row r="3210">
      <c r="A3210" s="39">
        <f>IFERROR(__xludf.DUMMYFUNCTION("""COMPUTED_VALUE"""),45987.73606908565)</f>
        <v>45987.73607</v>
      </c>
      <c r="B3210" s="40" t="str">
        <f>IFERROR(__xludf.DUMMYFUNCTION("""COMPUTED_VALUE"""),"EMPI FRANGKI LIEM")</f>
        <v>EMPI FRANGKI LIEM</v>
      </c>
      <c r="C3210" s="40" t="str">
        <f>IFERROR(__xludf.DUMMYFUNCTION("""COMPUTED_VALUE"""),"Belum disetujui")</f>
        <v>Belum disetujui</v>
      </c>
      <c r="D3210" s="40"/>
      <c r="E3210" s="40" t="s">
        <v>11397</v>
      </c>
      <c r="F3210" s="40" t="s">
        <v>220</v>
      </c>
      <c r="G3210" s="40" t="s">
        <v>11398</v>
      </c>
      <c r="H3210" s="40" t="s">
        <v>11399</v>
      </c>
    </row>
    <row r="3211">
      <c r="A3211" s="39">
        <f>IFERROR(__xludf.DUMMYFUNCTION("""COMPUTED_VALUE"""),45987.76029503472)</f>
        <v>45987.7603</v>
      </c>
      <c r="B3211" s="40" t="str">
        <f>IFERROR(__xludf.DUMMYFUNCTION("""COMPUTED_VALUE"""),"PATRIANI MENGI ULY")</f>
        <v>PATRIANI MENGI ULY</v>
      </c>
      <c r="C3211" s="40" t="str">
        <f>IFERROR(__xludf.DUMMYFUNCTION("""COMPUTED_VALUE"""),"Dapat limit tapi belum diproses")</f>
        <v>Dapat limit tapi belum diproses</v>
      </c>
      <c r="D3211" s="40" t="str">
        <f>IFERROR(__xludf.DUMMYFUNCTION("""COMPUTED_VALUE"""),"Y21d series")</f>
        <v>Y21d series</v>
      </c>
      <c r="E3211" s="40" t="s">
        <v>11402</v>
      </c>
      <c r="F3211" s="40" t="s">
        <v>204</v>
      </c>
      <c r="G3211" s="40" t="s">
        <v>11403</v>
      </c>
      <c r="H3211" s="40" t="s">
        <v>11399</v>
      </c>
    </row>
    <row r="3212">
      <c r="A3212" s="39">
        <f>IFERROR(__xludf.DUMMYFUNCTION("""COMPUTED_VALUE"""),45987.77585268518)</f>
        <v>45987.77585</v>
      </c>
      <c r="B3212" s="40" t="str">
        <f>IFERROR(__xludf.DUMMYFUNCTION("""COMPUTED_VALUE"""),"EMPI FRANGKI LIEM")</f>
        <v>EMPI FRANGKI LIEM</v>
      </c>
      <c r="C3212" s="40" t="str">
        <f>IFERROR(__xludf.DUMMYFUNCTION("""COMPUTED_VALUE"""),"ACC")</f>
        <v>ACC</v>
      </c>
      <c r="D3212" s="40" t="str">
        <f>IFERROR(__xludf.DUMMYFUNCTION("""COMPUTED_VALUE"""),"Y21d series")</f>
        <v>Y21d series</v>
      </c>
      <c r="E3212" s="40" t="s">
        <v>11397</v>
      </c>
      <c r="F3212" s="40" t="s">
        <v>220</v>
      </c>
      <c r="G3212" s="40" t="s">
        <v>11398</v>
      </c>
      <c r="H3212" s="40" t="s">
        <v>11399</v>
      </c>
    </row>
    <row r="3213">
      <c r="A3213" s="39">
        <f>IFERROR(__xludf.DUMMYFUNCTION("""COMPUTED_VALUE"""),45987.77591012732)</f>
        <v>45987.77591</v>
      </c>
      <c r="B3213" s="40" t="str">
        <f>IFERROR(__xludf.DUMMYFUNCTION("""COMPUTED_VALUE"""),"NENY MERLIANTI NA'U")</f>
        <v>NENY MERLIANTI NA'U</v>
      </c>
      <c r="C3213" s="40" t="str">
        <f>IFERROR(__xludf.DUMMYFUNCTION("""COMPUTED_VALUE"""),"Belum disetujui")</f>
        <v>Belum disetujui</v>
      </c>
      <c r="D3213" s="40"/>
      <c r="E3213" s="40" t="s">
        <v>11476</v>
      </c>
      <c r="F3213" s="40" t="s">
        <v>204</v>
      </c>
      <c r="G3213" s="40" t="s">
        <v>11477</v>
      </c>
      <c r="H3213" s="40" t="s">
        <v>11399</v>
      </c>
    </row>
    <row r="3214">
      <c r="A3214" s="39">
        <f>IFERROR(__xludf.DUMMYFUNCTION("""COMPUTED_VALUE"""),45987.79017594907)</f>
        <v>45987.79018</v>
      </c>
      <c r="B3214" s="40" t="str">
        <f>IFERROR(__xludf.DUMMYFUNCTION("""COMPUTED_VALUE"""),"NENY MERLIANTI NA'U")</f>
        <v>NENY MERLIANTI NA'U</v>
      </c>
      <c r="C3214" s="40" t="str">
        <f>IFERROR(__xludf.DUMMYFUNCTION("""COMPUTED_VALUE"""),"Belum disetujui")</f>
        <v>Belum disetujui</v>
      </c>
      <c r="D3214" s="40"/>
      <c r="E3214" s="40" t="s">
        <v>11476</v>
      </c>
      <c r="F3214" s="40" t="s">
        <v>204</v>
      </c>
      <c r="G3214" s="40" t="s">
        <v>11477</v>
      </c>
      <c r="H3214" s="40" t="s">
        <v>11399</v>
      </c>
    </row>
    <row r="3215">
      <c r="A3215" s="39">
        <f>IFERROR(__xludf.DUMMYFUNCTION("""COMPUTED_VALUE"""),45987.79362172454)</f>
        <v>45987.79362</v>
      </c>
      <c r="B3215" s="40" t="str">
        <f>IFERROR(__xludf.DUMMYFUNCTION("""COMPUTED_VALUE"""),"NENY MERLIANTI NA'U")</f>
        <v>NENY MERLIANTI NA'U</v>
      </c>
      <c r="C3215" s="40" t="str">
        <f>IFERROR(__xludf.DUMMYFUNCTION("""COMPUTED_VALUE"""),"Dapat limit tapi belum diproses")</f>
        <v>Dapat limit tapi belum diproses</v>
      </c>
      <c r="D3215" s="40" t="str">
        <f>IFERROR(__xludf.DUMMYFUNCTION("""COMPUTED_VALUE"""),"Y21d series")</f>
        <v>Y21d series</v>
      </c>
      <c r="E3215" s="40" t="s">
        <v>11476</v>
      </c>
      <c r="F3215" s="40" t="s">
        <v>204</v>
      </c>
      <c r="G3215" s="40" t="s">
        <v>11477</v>
      </c>
      <c r="H3215" s="40" t="s">
        <v>11399</v>
      </c>
    </row>
    <row r="3216">
      <c r="A3216" s="39">
        <f>IFERROR(__xludf.DUMMYFUNCTION("""COMPUTED_VALUE"""),45987.82209574073)</f>
        <v>45987.8221</v>
      </c>
      <c r="B3216" s="40" t="str">
        <f>IFERROR(__xludf.DUMMYFUNCTION("""COMPUTED_VALUE"""),"BERGITHA NIA OLIN")</f>
        <v>BERGITHA NIA OLIN</v>
      </c>
      <c r="C3216" s="40" t="str">
        <f>IFERROR(__xludf.DUMMYFUNCTION("""COMPUTED_VALUE"""),"Belum disetujui")</f>
        <v>Belum disetujui</v>
      </c>
      <c r="D3216" s="40"/>
      <c r="E3216" s="40" t="s">
        <v>11431</v>
      </c>
      <c r="F3216" s="40" t="s">
        <v>313</v>
      </c>
      <c r="G3216" s="40" t="s">
        <v>11432</v>
      </c>
      <c r="H3216" s="40" t="s">
        <v>11424</v>
      </c>
    </row>
    <row r="3217">
      <c r="A3217" s="39">
        <f>IFERROR(__xludf.DUMMYFUNCTION("""COMPUTED_VALUE"""),45987.825963749994)</f>
        <v>45987.82596</v>
      </c>
      <c r="B3217" s="40" t="str">
        <f>IFERROR(__xludf.DUMMYFUNCTION("""COMPUTED_VALUE"""),"ADRIANA")</f>
        <v>ADRIANA</v>
      </c>
      <c r="C3217" s="40" t="str">
        <f>IFERROR(__xludf.DUMMYFUNCTION("""COMPUTED_VALUE"""),"Belum disetujui")</f>
        <v>Belum disetujui</v>
      </c>
      <c r="D3217" s="40"/>
      <c r="E3217" s="40" t="s">
        <v>11433</v>
      </c>
      <c r="F3217" s="40" t="s">
        <v>313</v>
      </c>
      <c r="G3217" s="40" t="s">
        <v>11434</v>
      </c>
      <c r="H3217" s="40" t="s">
        <v>11424</v>
      </c>
    </row>
    <row r="3218">
      <c r="A3218" s="39">
        <f>IFERROR(__xludf.DUMMYFUNCTION("""COMPUTED_VALUE"""),45987.82945253472)</f>
        <v>45987.82945</v>
      </c>
      <c r="B3218" s="40" t="str">
        <f>IFERROR(__xludf.DUMMYFUNCTION("""COMPUTED_VALUE"""),"NENY MERLIANTI NA'U")</f>
        <v>NENY MERLIANTI NA'U</v>
      </c>
      <c r="C3218" s="40" t="str">
        <f>IFERROR(__xludf.DUMMYFUNCTION("""COMPUTED_VALUE"""),"Dapat limit tapi belum diproses")</f>
        <v>Dapat limit tapi belum diproses</v>
      </c>
      <c r="D3218" s="40" t="str">
        <f>IFERROR(__xludf.DUMMYFUNCTION("""COMPUTED_VALUE"""),"Y21d series")</f>
        <v>Y21d series</v>
      </c>
      <c r="E3218" s="40" t="s">
        <v>11476</v>
      </c>
      <c r="F3218" s="40" t="s">
        <v>204</v>
      </c>
      <c r="G3218" s="40" t="s">
        <v>11477</v>
      </c>
      <c r="H3218" s="40" t="s">
        <v>11399</v>
      </c>
    </row>
    <row r="3219">
      <c r="A3219" s="39">
        <f>IFERROR(__xludf.DUMMYFUNCTION("""COMPUTED_VALUE"""),45987.82999303241)</f>
        <v>45987.82999</v>
      </c>
      <c r="B3219" s="40" t="str">
        <f>IFERROR(__xludf.DUMMYFUNCTION("""COMPUTED_VALUE"""),"ALDIANA WELIA PANIE")</f>
        <v>ALDIANA WELIA PANIE</v>
      </c>
      <c r="C3219" s="40" t="str">
        <f>IFERROR(__xludf.DUMMYFUNCTION("""COMPUTED_VALUE"""),"Belum disetujui")</f>
        <v>Belum disetujui</v>
      </c>
      <c r="D3219" s="40"/>
      <c r="E3219" s="40" t="s">
        <v>11422</v>
      </c>
      <c r="F3219" s="40" t="s">
        <v>215</v>
      </c>
      <c r="G3219" s="40" t="s">
        <v>11423</v>
      </c>
      <c r="H3219" s="40" t="s">
        <v>11424</v>
      </c>
    </row>
    <row r="3220">
      <c r="A3220" s="39">
        <f>IFERROR(__xludf.DUMMYFUNCTION("""COMPUTED_VALUE"""),45987.83306888889)</f>
        <v>45987.83307</v>
      </c>
      <c r="B3220" s="40" t="str">
        <f>IFERROR(__xludf.DUMMYFUNCTION("""COMPUTED_VALUE"""),"MERDA PUTRI BUNGSU KENAT")</f>
        <v>MERDA PUTRI BUNGSU KENAT</v>
      </c>
      <c r="C3220" s="40" t="str">
        <f>IFERROR(__xludf.DUMMYFUNCTION("""COMPUTED_VALUE"""),"Belum disetujui")</f>
        <v>Belum disetujui</v>
      </c>
      <c r="D3220" s="40"/>
      <c r="E3220" s="40" t="s">
        <v>11422</v>
      </c>
      <c r="F3220" s="40" t="s">
        <v>215</v>
      </c>
      <c r="G3220" s="40" t="s">
        <v>11423</v>
      </c>
      <c r="H3220" s="40" t="s">
        <v>11424</v>
      </c>
    </row>
    <row r="3221">
      <c r="A3221" s="39">
        <f>IFERROR(__xludf.DUMMYFUNCTION("""COMPUTED_VALUE"""),45987.84738091435)</f>
        <v>45987.84738</v>
      </c>
      <c r="B3221" s="40" t="str">
        <f>IFERROR(__xludf.DUMMYFUNCTION("""COMPUTED_VALUE"""),"DWITNEY PRETY WANGGANDIMA")</f>
        <v>DWITNEY PRETY WANGGANDIMA</v>
      </c>
      <c r="C3221" s="40" t="str">
        <f>IFERROR(__xludf.DUMMYFUNCTION("""COMPUTED_VALUE"""),"Belum disetujui")</f>
        <v>Belum disetujui</v>
      </c>
      <c r="D3221" s="40"/>
      <c r="E3221" s="40" t="s">
        <v>11443</v>
      </c>
      <c r="F3221" s="40" t="s">
        <v>220</v>
      </c>
      <c r="G3221" s="40" t="s">
        <v>11444</v>
      </c>
      <c r="H3221" s="40" t="s">
        <v>11399</v>
      </c>
    </row>
    <row r="3222">
      <c r="A3222" s="39">
        <f>IFERROR(__xludf.DUMMYFUNCTION("""COMPUTED_VALUE"""),45987.86735539352)</f>
        <v>45987.86736</v>
      </c>
      <c r="B3222" s="40" t="str">
        <f>IFERROR(__xludf.DUMMYFUNCTION("""COMPUTED_VALUE"""),"MEXY ALEXANDER HETMINA")</f>
        <v>MEXY ALEXANDER HETMINA</v>
      </c>
      <c r="C3222" s="40" t="str">
        <f>IFERROR(__xludf.DUMMYFUNCTION("""COMPUTED_VALUE"""),"ACC")</f>
        <v>ACC</v>
      </c>
      <c r="D3222" s="40" t="str">
        <f>IFERROR(__xludf.DUMMYFUNCTION("""COMPUTED_VALUE"""),"Y21d series")</f>
        <v>Y21d series</v>
      </c>
      <c r="E3222" s="40" t="s">
        <v>11413</v>
      </c>
      <c r="F3222" s="40" t="s">
        <v>204</v>
      </c>
      <c r="G3222" s="40" t="s">
        <v>11414</v>
      </c>
      <c r="H3222" s="40" t="s">
        <v>11399</v>
      </c>
    </row>
    <row r="3223">
      <c r="A3223" s="39">
        <f>IFERROR(__xludf.DUMMYFUNCTION("""COMPUTED_VALUE"""),45987.86756844907)</f>
        <v>45987.86757</v>
      </c>
      <c r="B3223" s="40" t="str">
        <f>IFERROR(__xludf.DUMMYFUNCTION("""COMPUTED_VALUE"""),"YOHANIS TIPNONI")</f>
        <v>YOHANIS TIPNONI</v>
      </c>
      <c r="C3223" s="40" t="str">
        <f>IFERROR(__xludf.DUMMYFUNCTION("""COMPUTED_VALUE"""),"Dapat limit tapi belum diproses")</f>
        <v>Dapat limit tapi belum diproses</v>
      </c>
      <c r="D3223" s="40" t="str">
        <f>IFERROR(__xludf.DUMMYFUNCTION("""COMPUTED_VALUE"""),"Y21d series")</f>
        <v>Y21d series</v>
      </c>
      <c r="E3223" s="40" t="s">
        <v>11405</v>
      </c>
      <c r="F3223" s="40" t="s">
        <v>220</v>
      </c>
      <c r="G3223" s="40" t="s">
        <v>11406</v>
      </c>
      <c r="H3223" s="40" t="s">
        <v>11399</v>
      </c>
    </row>
    <row r="3224">
      <c r="A3224" s="39">
        <f>IFERROR(__xludf.DUMMYFUNCTION("""COMPUTED_VALUE"""),45988.43672988426)</f>
        <v>45988.43673</v>
      </c>
      <c r="B3224" s="40" t="str">
        <f>IFERROR(__xludf.DUMMYFUNCTION("""COMPUTED_VALUE"""),"DEWI RAHMAN")</f>
        <v>DEWI RAHMAN</v>
      </c>
      <c r="C3224" s="40" t="str">
        <f>IFERROR(__xludf.DUMMYFUNCTION("""COMPUTED_VALUE"""),"Belum disetujui")</f>
        <v>Belum disetujui</v>
      </c>
      <c r="D3224" s="40"/>
      <c r="E3224" s="40" t="s">
        <v>11449</v>
      </c>
      <c r="F3224" s="40" t="s">
        <v>11450</v>
      </c>
      <c r="G3224" s="40" t="s">
        <v>11451</v>
      </c>
      <c r="H3224" s="40" t="s">
        <v>11424</v>
      </c>
    </row>
    <row r="3225">
      <c r="A3225" s="39">
        <f>IFERROR(__xludf.DUMMYFUNCTION("""COMPUTED_VALUE"""),45988.4431825)</f>
        <v>45988.44318</v>
      </c>
      <c r="B3225" s="40" t="str">
        <f>IFERROR(__xludf.DUMMYFUNCTION("""COMPUTED_VALUE"""),"YUNITA TAMELAB")</f>
        <v>YUNITA TAMELAB</v>
      </c>
      <c r="C3225" s="40" t="str">
        <f>IFERROR(__xludf.DUMMYFUNCTION("""COMPUTED_VALUE"""),"Belum disetujui")</f>
        <v>Belum disetujui</v>
      </c>
      <c r="D3225" s="40"/>
      <c r="E3225" s="40" t="s">
        <v>11472</v>
      </c>
      <c r="F3225" s="40" t="s">
        <v>667</v>
      </c>
      <c r="G3225" s="40" t="s">
        <v>11473</v>
      </c>
      <c r="H3225" s="40" t="s">
        <v>11424</v>
      </c>
    </row>
    <row r="3226">
      <c r="A3226" s="39">
        <f>IFERROR(__xludf.DUMMYFUNCTION("""COMPUTED_VALUE"""),45988.444565196754)</f>
        <v>45988.44457</v>
      </c>
      <c r="B3226" s="40" t="str">
        <f>IFERROR(__xludf.DUMMYFUNCTION("""COMPUTED_VALUE"""),"YUNITA TAMELAB")</f>
        <v>YUNITA TAMELAB</v>
      </c>
      <c r="C3226" s="40" t="str">
        <f>IFERROR(__xludf.DUMMYFUNCTION("""COMPUTED_VALUE"""),"Belum disetujui")</f>
        <v>Belum disetujui</v>
      </c>
      <c r="D3226" s="40"/>
      <c r="E3226" s="40" t="s">
        <v>11472</v>
      </c>
      <c r="F3226" s="40" t="s">
        <v>667</v>
      </c>
      <c r="G3226" s="40" t="s">
        <v>11473</v>
      </c>
      <c r="H3226" s="40" t="s">
        <v>11424</v>
      </c>
    </row>
    <row r="3227">
      <c r="A3227" s="39">
        <f>IFERROR(__xludf.DUMMYFUNCTION("""COMPUTED_VALUE"""),45988.45211282407)</f>
        <v>45988.45211</v>
      </c>
      <c r="B3227" s="40" t="str">
        <f>IFERROR(__xludf.DUMMYFUNCTION("""COMPUTED_VALUE"""),"ASTUTI BELA WAWO")</f>
        <v>ASTUTI BELA WAWO</v>
      </c>
      <c r="C3227" s="40" t="str">
        <f>IFERROR(__xludf.DUMMYFUNCTION("""COMPUTED_VALUE"""),"Belum disetujui")</f>
        <v>Belum disetujui</v>
      </c>
      <c r="D3227" s="40"/>
      <c r="E3227" s="40" t="s">
        <v>11427</v>
      </c>
      <c r="F3227" s="40" t="s">
        <v>257</v>
      </c>
      <c r="G3227" s="40" t="s">
        <v>11428</v>
      </c>
      <c r="H3227" s="40" t="s">
        <v>11419</v>
      </c>
    </row>
    <row r="3228">
      <c r="A3228" s="39">
        <f>IFERROR(__xludf.DUMMYFUNCTION("""COMPUTED_VALUE"""),45988.45274400464)</f>
        <v>45988.45274</v>
      </c>
      <c r="B3228" s="40" t="str">
        <f>IFERROR(__xludf.DUMMYFUNCTION("""COMPUTED_VALUE"""),"ANNA RAHMATIA JUFRI")</f>
        <v>ANNA RAHMATIA JUFRI</v>
      </c>
      <c r="C3228" s="40" t="str">
        <f>IFERROR(__xludf.DUMMYFUNCTION("""COMPUTED_VALUE"""),"Dapat limit tapi belum diproses")</f>
        <v>Dapat limit tapi belum diproses</v>
      </c>
      <c r="D3228" s="40" t="str">
        <f>IFERROR(__xludf.DUMMYFUNCTION("""COMPUTED_VALUE"""),"Y21d series")</f>
        <v>Y21d series</v>
      </c>
      <c r="E3228" s="40" t="s">
        <v>11484</v>
      </c>
      <c r="F3228" s="40" t="s">
        <v>11450</v>
      </c>
      <c r="G3228" s="40" t="s">
        <v>11485</v>
      </c>
      <c r="H3228" s="40" t="s">
        <v>11424</v>
      </c>
    </row>
    <row r="3229">
      <c r="A3229" s="39">
        <f>IFERROR(__xludf.DUMMYFUNCTION("""COMPUTED_VALUE"""),45988.45792810185)</f>
        <v>45988.45793</v>
      </c>
      <c r="B3229" s="40" t="str">
        <f>IFERROR(__xludf.DUMMYFUNCTION("""COMPUTED_VALUE"""),"EMPI FRANGKI LIEM")</f>
        <v>EMPI FRANGKI LIEM</v>
      </c>
      <c r="C3229" s="40" t="str">
        <f>IFERROR(__xludf.DUMMYFUNCTION("""COMPUTED_VALUE"""),"Belum disetujui")</f>
        <v>Belum disetujui</v>
      </c>
      <c r="D3229" s="40"/>
      <c r="E3229" s="40" t="s">
        <v>11397</v>
      </c>
      <c r="F3229" s="40" t="s">
        <v>220</v>
      </c>
      <c r="G3229" s="40" t="s">
        <v>11398</v>
      </c>
      <c r="H3229" s="40" t="s">
        <v>11399</v>
      </c>
    </row>
    <row r="3230">
      <c r="A3230" s="39">
        <f>IFERROR(__xludf.DUMMYFUNCTION("""COMPUTED_VALUE"""),45988.485534189815)</f>
        <v>45988.48553</v>
      </c>
      <c r="B3230" s="40" t="str">
        <f>IFERROR(__xludf.DUMMYFUNCTION("""COMPUTED_VALUE"""),"MERDA PUTRI BUNGSU KENAT")</f>
        <v>MERDA PUTRI BUNGSU KENAT</v>
      </c>
      <c r="C3230" s="40" t="str">
        <f>IFERROR(__xludf.DUMMYFUNCTION("""COMPUTED_VALUE"""),"ACC")</f>
        <v>ACC</v>
      </c>
      <c r="D3230" s="40" t="str">
        <f>IFERROR(__xludf.DUMMYFUNCTION("""COMPUTED_VALUE"""),"Y21d series")</f>
        <v>Y21d series</v>
      </c>
      <c r="E3230" s="40" t="s">
        <v>11422</v>
      </c>
      <c r="F3230" s="40" t="s">
        <v>215</v>
      </c>
      <c r="G3230" s="40" t="s">
        <v>11423</v>
      </c>
      <c r="H3230" s="40" t="s">
        <v>11424</v>
      </c>
    </row>
    <row r="3231">
      <c r="A3231" s="39">
        <f>IFERROR(__xludf.DUMMYFUNCTION("""COMPUTED_VALUE"""),45988.525714999996)</f>
        <v>45988.52572</v>
      </c>
      <c r="B3231" s="40" t="str">
        <f>IFERROR(__xludf.DUMMYFUNCTION("""COMPUTED_VALUE"""),"PATRIANI MENGI ULY")</f>
        <v>PATRIANI MENGI ULY</v>
      </c>
      <c r="C3231" s="40" t="str">
        <f>IFERROR(__xludf.DUMMYFUNCTION("""COMPUTED_VALUE"""),"Belum disetujui")</f>
        <v>Belum disetujui</v>
      </c>
      <c r="D3231" s="40"/>
      <c r="E3231" s="40" t="s">
        <v>11402</v>
      </c>
      <c r="F3231" s="40" t="s">
        <v>204</v>
      </c>
      <c r="G3231" s="40" t="s">
        <v>11403</v>
      </c>
      <c r="H3231" s="40" t="s">
        <v>11399</v>
      </c>
    </row>
    <row r="3232">
      <c r="A3232" s="39">
        <f>IFERROR(__xludf.DUMMYFUNCTION("""COMPUTED_VALUE"""),45988.5477671412)</f>
        <v>45988.54777</v>
      </c>
      <c r="B3232" s="40" t="str">
        <f>IFERROR(__xludf.DUMMYFUNCTION("""COMPUTED_VALUE"""),"HERONIMUS NAMU WALI")</f>
        <v>HERONIMUS NAMU WALI</v>
      </c>
      <c r="C3232" s="40" t="str">
        <f>IFERROR(__xludf.DUMMYFUNCTION("""COMPUTED_VALUE"""),"ACC")</f>
        <v>ACC</v>
      </c>
      <c r="D3232" s="40" t="str">
        <f>IFERROR(__xludf.DUMMYFUNCTION("""COMPUTED_VALUE"""),"Y21d series")</f>
        <v>Y21d series</v>
      </c>
      <c r="E3232" s="40" t="s">
        <v>11452</v>
      </c>
      <c r="F3232" s="40" t="s">
        <v>205</v>
      </c>
      <c r="G3232" s="40" t="s">
        <v>11453</v>
      </c>
      <c r="H3232" s="40" t="s">
        <v>11419</v>
      </c>
    </row>
    <row r="3233">
      <c r="A3233" s="39">
        <f>IFERROR(__xludf.DUMMYFUNCTION("""COMPUTED_VALUE"""),45988.568068506946)</f>
        <v>45988.56807</v>
      </c>
      <c r="B3233" s="40" t="str">
        <f>IFERROR(__xludf.DUMMYFUNCTION("""COMPUTED_VALUE"""),"MERDA PUTRI BUNGSU KENAT")</f>
        <v>MERDA PUTRI BUNGSU KENAT</v>
      </c>
      <c r="C3233" s="40" t="str">
        <f>IFERROR(__xludf.DUMMYFUNCTION("""COMPUTED_VALUE"""),"Belum disetujui")</f>
        <v>Belum disetujui</v>
      </c>
      <c r="D3233" s="40"/>
      <c r="E3233" s="40" t="s">
        <v>11422</v>
      </c>
      <c r="F3233" s="40" t="s">
        <v>215</v>
      </c>
      <c r="G3233" s="40" t="s">
        <v>11423</v>
      </c>
      <c r="H3233" s="40" t="s">
        <v>11424</v>
      </c>
    </row>
    <row r="3234">
      <c r="A3234" s="39">
        <f>IFERROR(__xludf.DUMMYFUNCTION("""COMPUTED_VALUE"""),45988.57528549769)</f>
        <v>45988.57529</v>
      </c>
      <c r="B3234" s="40" t="str">
        <f>IFERROR(__xludf.DUMMYFUNCTION("""COMPUTED_VALUE"""),"YUNITA TAMELAB")</f>
        <v>YUNITA TAMELAB</v>
      </c>
      <c r="C3234" s="40" t="str">
        <f>IFERROR(__xludf.DUMMYFUNCTION("""COMPUTED_VALUE"""),"ACC")</f>
        <v>ACC</v>
      </c>
      <c r="D3234" s="40" t="str">
        <f>IFERROR(__xludf.DUMMYFUNCTION("""COMPUTED_VALUE"""),"Y21d series")</f>
        <v>Y21d series</v>
      </c>
      <c r="E3234" s="40" t="s">
        <v>11472</v>
      </c>
      <c r="F3234" s="40" t="s">
        <v>667</v>
      </c>
      <c r="G3234" s="40" t="s">
        <v>11473</v>
      </c>
      <c r="H3234" s="40" t="s">
        <v>11424</v>
      </c>
    </row>
    <row r="3235">
      <c r="A3235" s="39">
        <f>IFERROR(__xludf.DUMMYFUNCTION("""COMPUTED_VALUE"""),45988.61038581018)</f>
        <v>45988.61039</v>
      </c>
      <c r="B3235" s="40" t="str">
        <f>IFERROR(__xludf.DUMMYFUNCTION("""COMPUTED_VALUE"""),"ROS YANE KANA LUDJI")</f>
        <v>ROS YANE KANA LUDJI</v>
      </c>
      <c r="C3235" s="40" t="str">
        <f>IFERROR(__xludf.DUMMYFUNCTION("""COMPUTED_VALUE"""),"Belum disetujui")</f>
        <v>Belum disetujui</v>
      </c>
      <c r="D3235" s="40"/>
      <c r="E3235" s="40" t="s">
        <v>11437</v>
      </c>
      <c r="F3235" s="40" t="s">
        <v>204</v>
      </c>
      <c r="G3235" s="40" t="s">
        <v>11438</v>
      </c>
      <c r="H3235" s="40" t="s">
        <v>11399</v>
      </c>
    </row>
    <row r="3236">
      <c r="A3236" s="39">
        <f>IFERROR(__xludf.DUMMYFUNCTION("""COMPUTED_VALUE"""),45988.6108069213)</f>
        <v>45988.61081</v>
      </c>
      <c r="B3236" s="40" t="str">
        <f>IFERROR(__xludf.DUMMYFUNCTION("""COMPUTED_VALUE"""),"ADRIANA")</f>
        <v>ADRIANA</v>
      </c>
      <c r="C3236" s="40" t="str">
        <f>IFERROR(__xludf.DUMMYFUNCTION("""COMPUTED_VALUE"""),"ACC")</f>
        <v>ACC</v>
      </c>
      <c r="D3236" s="40" t="str">
        <f>IFERROR(__xludf.DUMMYFUNCTION("""COMPUTED_VALUE"""),"Y21d series")</f>
        <v>Y21d series</v>
      </c>
      <c r="E3236" s="40" t="s">
        <v>11433</v>
      </c>
      <c r="F3236" s="40" t="s">
        <v>313</v>
      </c>
      <c r="G3236" s="40" t="s">
        <v>11434</v>
      </c>
      <c r="H3236" s="40" t="s">
        <v>11424</v>
      </c>
    </row>
    <row r="3237">
      <c r="A3237" s="39">
        <f>IFERROR(__xludf.DUMMYFUNCTION("""COMPUTED_VALUE"""),45988.61516550926)</f>
        <v>45988.61517</v>
      </c>
      <c r="B3237" s="40" t="str">
        <f>IFERROR(__xludf.DUMMYFUNCTION("""COMPUTED_VALUE"""),"IDMAL YUSDIRAN YUSUF")</f>
        <v>IDMAL YUSDIRAN YUSUF</v>
      </c>
      <c r="C3237" s="40" t="str">
        <f>IFERROR(__xludf.DUMMYFUNCTION("""COMPUTED_VALUE"""),"ACC")</f>
        <v>ACC</v>
      </c>
      <c r="D3237" s="40" t="str">
        <f>IFERROR(__xludf.DUMMYFUNCTION("""COMPUTED_VALUE"""),"Y21d series")</f>
        <v>Y21d series</v>
      </c>
      <c r="E3237" s="40" t="s">
        <v>11417</v>
      </c>
      <c r="F3237" s="40" t="s">
        <v>257</v>
      </c>
      <c r="G3237" s="40" t="s">
        <v>11418</v>
      </c>
      <c r="H3237" s="40" t="s">
        <v>11419</v>
      </c>
    </row>
    <row r="3238">
      <c r="A3238" s="39">
        <f>IFERROR(__xludf.DUMMYFUNCTION("""COMPUTED_VALUE"""),45988.61832070602)</f>
        <v>45988.61832</v>
      </c>
      <c r="B3238" s="40" t="str">
        <f>IFERROR(__xludf.DUMMYFUNCTION("""COMPUTED_VALUE"""),"YENDRI ELISHABET BERELOE")</f>
        <v>YENDRI ELISHABET BERELOE</v>
      </c>
      <c r="C3238" s="40" t="str">
        <f>IFERROR(__xludf.DUMMYFUNCTION("""COMPUTED_VALUE"""),"Belum disetujui")</f>
        <v>Belum disetujui</v>
      </c>
      <c r="D3238" s="40"/>
      <c r="E3238" s="40" t="s">
        <v>11490</v>
      </c>
      <c r="F3238" s="40" t="s">
        <v>220</v>
      </c>
      <c r="G3238" s="40" t="s">
        <v>11491</v>
      </c>
      <c r="H3238" s="40" t="s">
        <v>11399</v>
      </c>
    </row>
    <row r="3239">
      <c r="A3239" s="39">
        <f>IFERROR(__xludf.DUMMYFUNCTION("""COMPUTED_VALUE"""),45988.63720525463)</f>
        <v>45988.63721</v>
      </c>
      <c r="B3239" s="40" t="str">
        <f>IFERROR(__xludf.DUMMYFUNCTION("""COMPUTED_VALUE"""),"IDMAL YUSDIRAN YUSUF")</f>
        <v>IDMAL YUSDIRAN YUSUF</v>
      </c>
      <c r="C3239" s="40" t="str">
        <f>IFERROR(__xludf.DUMMYFUNCTION("""COMPUTED_VALUE"""),"Belum disetujui")</f>
        <v>Belum disetujui</v>
      </c>
      <c r="D3239" s="40"/>
      <c r="E3239" s="40" t="s">
        <v>11417</v>
      </c>
      <c r="F3239" s="40" t="s">
        <v>257</v>
      </c>
      <c r="G3239" s="40" t="s">
        <v>11418</v>
      </c>
      <c r="H3239" s="40" t="s">
        <v>11419</v>
      </c>
    </row>
    <row r="3240">
      <c r="A3240" s="39">
        <f>IFERROR(__xludf.DUMMYFUNCTION("""COMPUTED_VALUE"""),45988.65227277778)</f>
        <v>45988.65227</v>
      </c>
      <c r="B3240" s="40" t="str">
        <f>IFERROR(__xludf.DUMMYFUNCTION("""COMPUTED_VALUE"""),"IDMAL YUSDIRAN YUSUF")</f>
        <v>IDMAL YUSDIRAN YUSUF</v>
      </c>
      <c r="C3240" s="40" t="str">
        <f>IFERROR(__xludf.DUMMYFUNCTION("""COMPUTED_VALUE"""),"Belum disetujui")</f>
        <v>Belum disetujui</v>
      </c>
      <c r="D3240" s="40"/>
      <c r="E3240" s="40" t="s">
        <v>11417</v>
      </c>
      <c r="F3240" s="40" t="s">
        <v>257</v>
      </c>
      <c r="G3240" s="40" t="s">
        <v>11418</v>
      </c>
      <c r="H3240" s="40" t="s">
        <v>11419</v>
      </c>
    </row>
    <row r="3241">
      <c r="A3241" s="39">
        <f>IFERROR(__xludf.DUMMYFUNCTION("""COMPUTED_VALUE"""),45988.6619453588)</f>
        <v>45988.66195</v>
      </c>
      <c r="B3241" s="40" t="str">
        <f>IFERROR(__xludf.DUMMYFUNCTION("""COMPUTED_VALUE"""),"DEWI RAHMAN")</f>
        <v>DEWI RAHMAN</v>
      </c>
      <c r="C3241" s="40" t="str">
        <f>IFERROR(__xludf.DUMMYFUNCTION("""COMPUTED_VALUE"""),"ACC")</f>
        <v>ACC</v>
      </c>
      <c r="D3241" s="40" t="str">
        <f>IFERROR(__xludf.DUMMYFUNCTION("""COMPUTED_VALUE"""),"V60 Lite series")</f>
        <v>V60 Lite series</v>
      </c>
      <c r="E3241" s="40" t="s">
        <v>11449</v>
      </c>
      <c r="F3241" s="40" t="s">
        <v>11450</v>
      </c>
      <c r="G3241" s="40" t="s">
        <v>11451</v>
      </c>
      <c r="H3241" s="40" t="s">
        <v>11424</v>
      </c>
    </row>
    <row r="3242">
      <c r="A3242" s="39">
        <f>IFERROR(__xludf.DUMMYFUNCTION("""COMPUTED_VALUE"""),45988.69717321759)</f>
        <v>45988.69717</v>
      </c>
      <c r="B3242" s="40" t="str">
        <f>IFERROR(__xludf.DUMMYFUNCTION("""COMPUTED_VALUE"""),"YASINTHA MBU")</f>
        <v>YASINTHA MBU</v>
      </c>
      <c r="C3242" s="40" t="str">
        <f>IFERROR(__xludf.DUMMYFUNCTION("""COMPUTED_VALUE"""),"Dapat limit tapi belum diproses")</f>
        <v>Dapat limit tapi belum diproses</v>
      </c>
      <c r="D3242" s="40" t="str">
        <f>IFERROR(__xludf.DUMMYFUNCTION("""COMPUTED_VALUE"""),"Y400 series")</f>
        <v>Y400 series</v>
      </c>
      <c r="E3242" s="40" t="s">
        <v>11407</v>
      </c>
      <c r="F3242" s="40" t="s">
        <v>220</v>
      </c>
      <c r="G3242" s="40" t="s">
        <v>11408</v>
      </c>
      <c r="H3242" s="40" t="s">
        <v>11399</v>
      </c>
    </row>
    <row r="3243">
      <c r="A3243" s="39">
        <f>IFERROR(__xludf.DUMMYFUNCTION("""COMPUTED_VALUE"""),45988.710444930555)</f>
        <v>45988.71044</v>
      </c>
      <c r="B3243" s="40" t="str">
        <f>IFERROR(__xludf.DUMMYFUNCTION("""COMPUTED_VALUE"""),"AZ ZAHRA SITI ZAINAB")</f>
        <v>AZ ZAHRA SITI ZAINAB</v>
      </c>
      <c r="C3243" s="40" t="str">
        <f>IFERROR(__xludf.DUMMYFUNCTION("""COMPUTED_VALUE"""),"Dapat limit tapi belum diproses")</f>
        <v>Dapat limit tapi belum diproses</v>
      </c>
      <c r="D3243" s="40" t="str">
        <f>IFERROR(__xludf.DUMMYFUNCTION("""COMPUTED_VALUE"""),"Y400 series")</f>
        <v>Y400 series</v>
      </c>
      <c r="E3243" s="40" t="s">
        <v>11462</v>
      </c>
      <c r="F3243" s="40" t="s">
        <v>257</v>
      </c>
      <c r="G3243" s="40" t="s">
        <v>11463</v>
      </c>
      <c r="H3243" s="40" t="s">
        <v>11419</v>
      </c>
    </row>
    <row r="3244">
      <c r="A3244" s="39">
        <f>IFERROR(__xludf.DUMMYFUNCTION("""COMPUTED_VALUE"""),45988.72233230324)</f>
        <v>45988.72233</v>
      </c>
      <c r="B3244" s="40" t="str">
        <f>IFERROR(__xludf.DUMMYFUNCTION("""COMPUTED_VALUE"""),"ASTUTI BELA WAWO")</f>
        <v>ASTUTI BELA WAWO</v>
      </c>
      <c r="C3244" s="40" t="str">
        <f>IFERROR(__xludf.DUMMYFUNCTION("""COMPUTED_VALUE"""),"Belum disetujui")</f>
        <v>Belum disetujui</v>
      </c>
      <c r="D3244" s="40"/>
      <c r="E3244" s="40" t="s">
        <v>11427</v>
      </c>
      <c r="F3244" s="40" t="s">
        <v>257</v>
      </c>
      <c r="G3244" s="40" t="s">
        <v>11428</v>
      </c>
      <c r="H3244" s="40" t="s">
        <v>11419</v>
      </c>
    </row>
    <row r="3245">
      <c r="A3245" s="39">
        <f>IFERROR(__xludf.DUMMYFUNCTION("""COMPUTED_VALUE"""),45988.72775045139)</f>
        <v>45988.72775</v>
      </c>
      <c r="B3245" s="40" t="str">
        <f>IFERROR(__xludf.DUMMYFUNCTION("""COMPUTED_VALUE"""),"PATRIANI MENGI ULY")</f>
        <v>PATRIANI MENGI ULY</v>
      </c>
      <c r="C3245" s="40" t="str">
        <f>IFERROR(__xludf.DUMMYFUNCTION("""COMPUTED_VALUE"""),"Belum disetujui")</f>
        <v>Belum disetujui</v>
      </c>
      <c r="D3245" s="40"/>
      <c r="E3245" s="40" t="s">
        <v>11402</v>
      </c>
      <c r="F3245" s="40" t="s">
        <v>204</v>
      </c>
      <c r="G3245" s="40" t="s">
        <v>11403</v>
      </c>
      <c r="H3245" s="40" t="s">
        <v>11399</v>
      </c>
    </row>
    <row r="3246">
      <c r="A3246" s="39">
        <f>IFERROR(__xludf.DUMMYFUNCTION("""COMPUTED_VALUE"""),45988.74781195601)</f>
        <v>45988.74781</v>
      </c>
      <c r="B3246" s="40" t="str">
        <f>IFERROR(__xludf.DUMMYFUNCTION("""COMPUTED_VALUE"""),"BERGITHA NIA OLIN")</f>
        <v>BERGITHA NIA OLIN</v>
      </c>
      <c r="C3246" s="40" t="str">
        <f>IFERROR(__xludf.DUMMYFUNCTION("""COMPUTED_VALUE"""),"ACC")</f>
        <v>ACC</v>
      </c>
      <c r="D3246" s="40" t="str">
        <f>IFERROR(__xludf.DUMMYFUNCTION("""COMPUTED_VALUE"""),"Y400 series")</f>
        <v>Y400 series</v>
      </c>
      <c r="E3246" s="40" t="s">
        <v>11431</v>
      </c>
      <c r="F3246" s="40" t="s">
        <v>313</v>
      </c>
      <c r="G3246" s="40" t="s">
        <v>11432</v>
      </c>
      <c r="H3246" s="40" t="s">
        <v>11424</v>
      </c>
    </row>
    <row r="3247">
      <c r="A3247" s="39">
        <f>IFERROR(__xludf.DUMMYFUNCTION("""COMPUTED_VALUE"""),45988.76063493055)</f>
        <v>45988.76063</v>
      </c>
      <c r="B3247" s="40" t="str">
        <f>IFERROR(__xludf.DUMMYFUNCTION("""COMPUTED_VALUE"""),"AINI RAHMATINI NATALIA MOESTAKIM")</f>
        <v>AINI RAHMATINI NATALIA MOESTAKIM</v>
      </c>
      <c r="C3247" s="40" t="str">
        <f>IFERROR(__xludf.DUMMYFUNCTION("""COMPUTED_VALUE"""),"Belum disetujui")</f>
        <v>Belum disetujui</v>
      </c>
      <c r="D3247" s="40"/>
      <c r="E3247" s="40" t="s">
        <v>11409</v>
      </c>
      <c r="F3247" s="40" t="s">
        <v>204</v>
      </c>
      <c r="G3247" s="40" t="s">
        <v>11410</v>
      </c>
      <c r="H3247" s="40" t="s">
        <v>11399</v>
      </c>
    </row>
    <row r="3248">
      <c r="A3248" s="39">
        <f>IFERROR(__xludf.DUMMYFUNCTION("""COMPUTED_VALUE"""),45988.76088030092)</f>
        <v>45988.76088</v>
      </c>
      <c r="B3248" s="40" t="str">
        <f>IFERROR(__xludf.DUMMYFUNCTION("""COMPUTED_VALUE"""),"SULIS NURAINI INSYATUN")</f>
        <v>SULIS NURAINI INSYATUN</v>
      </c>
      <c r="C3248" s="40" t="str">
        <f>IFERROR(__xludf.DUMMYFUNCTION("""COMPUTED_VALUE"""),"Belum disetujui")</f>
        <v>Belum disetujui</v>
      </c>
      <c r="D3248" s="40"/>
      <c r="E3248" s="40" t="s">
        <v>11429</v>
      </c>
      <c r="F3248" s="40" t="s">
        <v>257</v>
      </c>
      <c r="G3248" s="40" t="s">
        <v>11430</v>
      </c>
      <c r="H3248" s="40" t="s">
        <v>11419</v>
      </c>
    </row>
    <row r="3249">
      <c r="A3249" s="39">
        <f>IFERROR(__xludf.DUMMYFUNCTION("""COMPUTED_VALUE"""),45988.76181249999)</f>
        <v>45988.76181</v>
      </c>
      <c r="B3249" s="40" t="str">
        <f>IFERROR(__xludf.DUMMYFUNCTION("""COMPUTED_VALUE"""),"NUR FATIMAH MOLBANG")</f>
        <v>NUR FATIMAH MOLBANG</v>
      </c>
      <c r="C3249" s="40" t="str">
        <f>IFERROR(__xludf.DUMMYFUNCTION("""COMPUTED_VALUE"""),"Belum disetujui")</f>
        <v>Belum disetujui</v>
      </c>
      <c r="D3249" s="40"/>
      <c r="E3249" s="40" t="s">
        <v>11439</v>
      </c>
      <c r="F3249" s="40" t="s">
        <v>313</v>
      </c>
      <c r="G3249" s="40" t="s">
        <v>11440</v>
      </c>
      <c r="H3249" s="40" t="s">
        <v>11424</v>
      </c>
    </row>
    <row r="3250">
      <c r="A3250" s="39">
        <f>IFERROR(__xludf.DUMMYFUNCTION("""COMPUTED_VALUE"""),45988.76182798611)</f>
        <v>45988.76183</v>
      </c>
      <c r="B3250" s="40" t="str">
        <f>IFERROR(__xludf.DUMMYFUNCTION("""COMPUTED_VALUE"""),"AINI RAHMATINI NATALIA MOESTAKIM")</f>
        <v>AINI RAHMATINI NATALIA MOESTAKIM</v>
      </c>
      <c r="C3250" s="40" t="str">
        <f>IFERROR(__xludf.DUMMYFUNCTION("""COMPUTED_VALUE"""),"Belum disetujui")</f>
        <v>Belum disetujui</v>
      </c>
      <c r="D3250" s="40"/>
      <c r="E3250" s="40" t="s">
        <v>11409</v>
      </c>
      <c r="F3250" s="40" t="s">
        <v>204</v>
      </c>
      <c r="G3250" s="40" t="s">
        <v>11410</v>
      </c>
      <c r="H3250" s="40" t="s">
        <v>11399</v>
      </c>
    </row>
    <row r="3251">
      <c r="A3251" s="39">
        <f>IFERROR(__xludf.DUMMYFUNCTION("""COMPUTED_VALUE"""),45988.763083240745)</f>
        <v>45988.76308</v>
      </c>
      <c r="B3251" s="40" t="str">
        <f>IFERROR(__xludf.DUMMYFUNCTION("""COMPUTED_VALUE"""),"AINI RAHMATINI NATALIA MOESTAKIM")</f>
        <v>AINI RAHMATINI NATALIA MOESTAKIM</v>
      </c>
      <c r="C3251" s="40" t="str">
        <f>IFERROR(__xludf.DUMMYFUNCTION("""COMPUTED_VALUE"""),"Belum disetujui")</f>
        <v>Belum disetujui</v>
      </c>
      <c r="D3251" s="40"/>
      <c r="E3251" s="40" t="s">
        <v>11409</v>
      </c>
      <c r="F3251" s="40" t="s">
        <v>204</v>
      </c>
      <c r="G3251" s="40" t="s">
        <v>11410</v>
      </c>
      <c r="H3251" s="40" t="s">
        <v>11399</v>
      </c>
    </row>
    <row r="3252">
      <c r="A3252" s="39">
        <f>IFERROR(__xludf.DUMMYFUNCTION("""COMPUTED_VALUE"""),45988.76930010416)</f>
        <v>45988.7693</v>
      </c>
      <c r="B3252" s="40" t="str">
        <f>IFERROR(__xludf.DUMMYFUNCTION("""COMPUTED_VALUE"""),"SKOLASTIKA B TAUNAES")</f>
        <v>SKOLASTIKA B TAUNAES</v>
      </c>
      <c r="C3252" s="40" t="str">
        <f>IFERROR(__xludf.DUMMYFUNCTION("""COMPUTED_VALUE"""),"Dapat limit tapi belum diproses")</f>
        <v>Dapat limit tapi belum diproses</v>
      </c>
      <c r="D3252" s="40" t="str">
        <f>IFERROR(__xludf.DUMMYFUNCTION("""COMPUTED_VALUE"""),"Y21d series")</f>
        <v>Y21d series</v>
      </c>
      <c r="E3252" s="40" t="s">
        <v>11413</v>
      </c>
      <c r="F3252" s="40" t="s">
        <v>204</v>
      </c>
      <c r="G3252" s="40" t="s">
        <v>11414</v>
      </c>
      <c r="H3252" s="40" t="s">
        <v>11399</v>
      </c>
    </row>
    <row r="3253">
      <c r="A3253" s="39">
        <f>IFERROR(__xludf.DUMMYFUNCTION("""COMPUTED_VALUE"""),45988.77138170139)</f>
        <v>45988.77138</v>
      </c>
      <c r="B3253" s="40" t="str">
        <f>IFERROR(__xludf.DUMMYFUNCTION("""COMPUTED_VALUE"""),"SKOLASTIKA B TAUNAES")</f>
        <v>SKOLASTIKA B TAUNAES</v>
      </c>
      <c r="C3253" s="40" t="str">
        <f>IFERROR(__xludf.DUMMYFUNCTION("""COMPUTED_VALUE"""),"ACC")</f>
        <v>ACC</v>
      </c>
      <c r="D3253" s="40" t="str">
        <f>IFERROR(__xludf.DUMMYFUNCTION("""COMPUTED_VALUE"""),"V60 Lite series")</f>
        <v>V60 Lite series</v>
      </c>
      <c r="E3253" s="40" t="s">
        <v>11413</v>
      </c>
      <c r="F3253" s="40" t="s">
        <v>204</v>
      </c>
      <c r="G3253" s="40" t="s">
        <v>11414</v>
      </c>
      <c r="H3253" s="40" t="s">
        <v>11399</v>
      </c>
    </row>
    <row r="3254">
      <c r="A3254" s="39">
        <f>IFERROR(__xludf.DUMMYFUNCTION("""COMPUTED_VALUE"""),45988.77283854167)</f>
        <v>45988.77284</v>
      </c>
      <c r="B3254" s="40" t="str">
        <f>IFERROR(__xludf.DUMMYFUNCTION("""COMPUTED_VALUE"""),"SKOLASTIKA B TAUNAES")</f>
        <v>SKOLASTIKA B TAUNAES</v>
      </c>
      <c r="C3254" s="40" t="str">
        <f>IFERROR(__xludf.DUMMYFUNCTION("""COMPUTED_VALUE"""),"Belum disetujui")</f>
        <v>Belum disetujui</v>
      </c>
      <c r="D3254" s="40"/>
      <c r="E3254" s="40" t="s">
        <v>11413</v>
      </c>
      <c r="F3254" s="40" t="s">
        <v>204</v>
      </c>
      <c r="G3254" s="40" t="s">
        <v>11414</v>
      </c>
      <c r="H3254" s="40" t="s">
        <v>11399</v>
      </c>
    </row>
    <row r="3255">
      <c r="A3255" s="39">
        <f>IFERROR(__xludf.DUMMYFUNCTION("""COMPUTED_VALUE"""),45988.77492111111)</f>
        <v>45988.77492</v>
      </c>
      <c r="B3255" s="40" t="str">
        <f>IFERROR(__xludf.DUMMYFUNCTION("""COMPUTED_VALUE"""),"SKOLASTIKA B TAUNAES")</f>
        <v>SKOLASTIKA B TAUNAES</v>
      </c>
      <c r="C3255" s="40" t="str">
        <f>IFERROR(__xludf.DUMMYFUNCTION("""COMPUTED_VALUE"""),"Belum disetujui")</f>
        <v>Belum disetujui</v>
      </c>
      <c r="D3255" s="40"/>
      <c r="E3255" s="40" t="s">
        <v>11413</v>
      </c>
      <c r="F3255" s="40" t="s">
        <v>204</v>
      </c>
      <c r="G3255" s="40" t="s">
        <v>11414</v>
      </c>
      <c r="H3255" s="40" t="s">
        <v>11399</v>
      </c>
    </row>
    <row r="3256">
      <c r="A3256" s="39">
        <f>IFERROR(__xludf.DUMMYFUNCTION("""COMPUTED_VALUE"""),45988.78900575232)</f>
        <v>45988.78901</v>
      </c>
      <c r="B3256" s="40" t="str">
        <f>IFERROR(__xludf.DUMMYFUNCTION("""COMPUTED_VALUE"""),"SKOLASTIKA B TAUNAES")</f>
        <v>SKOLASTIKA B TAUNAES</v>
      </c>
      <c r="C3256" s="40" t="str">
        <f>IFERROR(__xludf.DUMMYFUNCTION("""COMPUTED_VALUE"""),"Belum disetujui")</f>
        <v>Belum disetujui</v>
      </c>
      <c r="D3256" s="40"/>
      <c r="E3256" s="40" t="s">
        <v>11413</v>
      </c>
      <c r="F3256" s="40" t="s">
        <v>204</v>
      </c>
      <c r="G3256" s="40" t="s">
        <v>11414</v>
      </c>
      <c r="H3256" s="40" t="s">
        <v>11399</v>
      </c>
    </row>
    <row r="3257">
      <c r="A3257" s="39">
        <f>IFERROR(__xludf.DUMMYFUNCTION("""COMPUTED_VALUE"""),45988.79206974537)</f>
        <v>45988.79207</v>
      </c>
      <c r="B3257" s="40" t="str">
        <f>IFERROR(__xludf.DUMMYFUNCTION("""COMPUTED_VALUE"""),"SKOLASTIKA B TAUNAES")</f>
        <v>SKOLASTIKA B TAUNAES</v>
      </c>
      <c r="C3257" s="40" t="str">
        <f>IFERROR(__xludf.DUMMYFUNCTION("""COMPUTED_VALUE"""),"Belum disetujui")</f>
        <v>Belum disetujui</v>
      </c>
      <c r="D3257" s="40"/>
      <c r="E3257" s="40" t="s">
        <v>11413</v>
      </c>
      <c r="F3257" s="40" t="s">
        <v>204</v>
      </c>
      <c r="G3257" s="40" t="s">
        <v>11414</v>
      </c>
      <c r="H3257" s="40" t="s">
        <v>11399</v>
      </c>
    </row>
    <row r="3258">
      <c r="A3258" s="39">
        <f>IFERROR(__xludf.DUMMYFUNCTION("""COMPUTED_VALUE"""),45988.8024346875)</f>
        <v>45988.80243</v>
      </c>
      <c r="B3258" s="40" t="str">
        <f>IFERROR(__xludf.DUMMYFUNCTION("""COMPUTED_VALUE"""),"NUR FATIMAH MOLBANG")</f>
        <v>NUR FATIMAH MOLBANG</v>
      </c>
      <c r="C3258" s="40" t="str">
        <f>IFERROR(__xludf.DUMMYFUNCTION("""COMPUTED_VALUE"""),"Belum disetujui")</f>
        <v>Belum disetujui</v>
      </c>
      <c r="D3258" s="40"/>
      <c r="E3258" s="40" t="s">
        <v>11439</v>
      </c>
      <c r="F3258" s="40" t="s">
        <v>313</v>
      </c>
      <c r="G3258" s="40" t="s">
        <v>11440</v>
      </c>
      <c r="H3258" s="40" t="s">
        <v>11424</v>
      </c>
    </row>
    <row r="3259">
      <c r="A3259" s="39">
        <f>IFERROR(__xludf.DUMMYFUNCTION("""COMPUTED_VALUE"""),45988.8039143287)</f>
        <v>45988.80391</v>
      </c>
      <c r="B3259" s="40" t="str">
        <f>IFERROR(__xludf.DUMMYFUNCTION("""COMPUTED_VALUE"""),"NUR FATIMAH MOLBANG")</f>
        <v>NUR FATIMAH MOLBANG</v>
      </c>
      <c r="C3259" s="40" t="str">
        <f>IFERROR(__xludf.DUMMYFUNCTION("""COMPUTED_VALUE"""),"Belum disetujui")</f>
        <v>Belum disetujui</v>
      </c>
      <c r="D3259" s="40"/>
      <c r="E3259" s="40" t="s">
        <v>11439</v>
      </c>
      <c r="F3259" s="40" t="s">
        <v>313</v>
      </c>
      <c r="G3259" s="40" t="s">
        <v>11440</v>
      </c>
      <c r="H3259" s="40" t="s">
        <v>11424</v>
      </c>
    </row>
    <row r="3260">
      <c r="A3260" s="39">
        <f>IFERROR(__xludf.DUMMYFUNCTION("""COMPUTED_VALUE"""),45988.810512337965)</f>
        <v>45988.81051</v>
      </c>
      <c r="B3260" s="40" t="str">
        <f>IFERROR(__xludf.DUMMYFUNCTION("""COMPUTED_VALUE"""),"YOMELIANA MARIA MAGNO")</f>
        <v>YOMELIANA MARIA MAGNO</v>
      </c>
      <c r="C3260" s="40" t="str">
        <f>IFERROR(__xludf.DUMMYFUNCTION("""COMPUTED_VALUE"""),"ACC")</f>
        <v>ACC</v>
      </c>
      <c r="D3260" s="40" t="str">
        <f>IFERROR(__xludf.DUMMYFUNCTION("""COMPUTED_VALUE"""),"Y21d series")</f>
        <v>Y21d series</v>
      </c>
      <c r="E3260" s="40" t="s">
        <v>11460</v>
      </c>
      <c r="F3260" s="40" t="s">
        <v>871</v>
      </c>
      <c r="G3260" s="40" t="s">
        <v>11461</v>
      </c>
      <c r="H3260" s="40" t="s">
        <v>11424</v>
      </c>
    </row>
    <row r="3261">
      <c r="A3261" s="39">
        <f>IFERROR(__xludf.DUMMYFUNCTION("""COMPUTED_VALUE"""),45988.81218586805)</f>
        <v>45988.81219</v>
      </c>
      <c r="B3261" s="40" t="str">
        <f>IFERROR(__xludf.DUMMYFUNCTION("""COMPUTED_VALUE"""),"ANAK AGUNG SRI WULANTIWI")</f>
        <v>ANAK AGUNG SRI WULANTIWI</v>
      </c>
      <c r="C3261" s="40" t="str">
        <f>IFERROR(__xludf.DUMMYFUNCTION("""COMPUTED_VALUE"""),"Belum disetujui")</f>
        <v>Belum disetujui</v>
      </c>
      <c r="D3261" s="40"/>
      <c r="E3261" s="40" t="s">
        <v>11492</v>
      </c>
      <c r="F3261" s="40" t="s">
        <v>205</v>
      </c>
      <c r="G3261" s="40" t="s">
        <v>11493</v>
      </c>
      <c r="H3261" s="40" t="s">
        <v>11419</v>
      </c>
    </row>
    <row r="3262">
      <c r="A3262" s="39">
        <f>IFERROR(__xludf.DUMMYFUNCTION("""COMPUTED_VALUE"""),45988.81352695602)</f>
        <v>45988.81353</v>
      </c>
      <c r="B3262" s="40" t="str">
        <f>IFERROR(__xludf.DUMMYFUNCTION("""COMPUTED_VALUE"""),"AMBU BAIQ JUMENAH")</f>
        <v>AMBU BAIQ JUMENAH</v>
      </c>
      <c r="C3262" s="40" t="str">
        <f>IFERROR(__xludf.DUMMYFUNCTION("""COMPUTED_VALUE"""),"Belum disetujui")</f>
        <v>Belum disetujui</v>
      </c>
      <c r="D3262" s="40"/>
      <c r="E3262" s="40" t="s">
        <v>11458</v>
      </c>
      <c r="F3262" s="40" t="s">
        <v>205</v>
      </c>
      <c r="G3262" s="40" t="s">
        <v>11459</v>
      </c>
      <c r="H3262" s="40" t="s">
        <v>11419</v>
      </c>
    </row>
    <row r="3263">
      <c r="A3263" s="39">
        <f>IFERROR(__xludf.DUMMYFUNCTION("""COMPUTED_VALUE"""),45988.81804553241)</f>
        <v>45988.81805</v>
      </c>
      <c r="B3263" s="40" t="str">
        <f>IFERROR(__xludf.DUMMYFUNCTION("""COMPUTED_VALUE"""),"YOVANDA KATRINA NAE")</f>
        <v>YOVANDA KATRINA NAE</v>
      </c>
      <c r="C3263" s="40" t="str">
        <f>IFERROR(__xludf.DUMMYFUNCTION("""COMPUTED_VALUE"""),"Belum disetujui")</f>
        <v>Belum disetujui</v>
      </c>
      <c r="D3263" s="40"/>
      <c r="E3263" s="40" t="s">
        <v>11425</v>
      </c>
      <c r="F3263" s="40" t="s">
        <v>205</v>
      </c>
      <c r="G3263" s="40" t="s">
        <v>11426</v>
      </c>
      <c r="H3263" s="40" t="s">
        <v>11419</v>
      </c>
    </row>
    <row r="3264">
      <c r="A3264" s="39">
        <f>IFERROR(__xludf.DUMMYFUNCTION("""COMPUTED_VALUE"""),45988.83616978009)</f>
        <v>45988.83617</v>
      </c>
      <c r="B3264" s="40" t="str">
        <f>IFERROR(__xludf.DUMMYFUNCTION("""COMPUTED_VALUE"""),"NENY MERLIANTI NA'U")</f>
        <v>NENY MERLIANTI NA'U</v>
      </c>
      <c r="C3264" s="40" t="str">
        <f>IFERROR(__xludf.DUMMYFUNCTION("""COMPUTED_VALUE"""),"Belum disetujui")</f>
        <v>Belum disetujui</v>
      </c>
      <c r="D3264" s="40"/>
      <c r="E3264" s="40" t="s">
        <v>11476</v>
      </c>
      <c r="F3264" s="40" t="s">
        <v>204</v>
      </c>
      <c r="G3264" s="40" t="s">
        <v>11477</v>
      </c>
      <c r="H3264" s="40" t="s">
        <v>11399</v>
      </c>
    </row>
    <row r="3265">
      <c r="A3265" s="39">
        <f>IFERROR(__xludf.DUMMYFUNCTION("""COMPUTED_VALUE"""),45988.8378591088)</f>
        <v>45988.83786</v>
      </c>
      <c r="B3265" s="40" t="str">
        <f>IFERROR(__xludf.DUMMYFUNCTION("""COMPUTED_VALUE"""),"NENY MERLIANTI NA'U")</f>
        <v>NENY MERLIANTI NA'U</v>
      </c>
      <c r="C3265" s="40" t="str">
        <f>IFERROR(__xludf.DUMMYFUNCTION("""COMPUTED_VALUE"""),"Dapat limit tapi belum diproses")</f>
        <v>Dapat limit tapi belum diproses</v>
      </c>
      <c r="D3265" s="40" t="str">
        <f>IFERROR(__xludf.DUMMYFUNCTION("""COMPUTED_VALUE"""),"V60 Lite series")</f>
        <v>V60 Lite series</v>
      </c>
      <c r="E3265" s="40" t="s">
        <v>11476</v>
      </c>
      <c r="F3265" s="40" t="s">
        <v>204</v>
      </c>
      <c r="G3265" s="40" t="s">
        <v>11477</v>
      </c>
      <c r="H3265" s="40" t="s">
        <v>11399</v>
      </c>
    </row>
    <row r="3266">
      <c r="A3266" s="39">
        <f>IFERROR(__xludf.DUMMYFUNCTION("""COMPUTED_VALUE"""),45988.848030810186)</f>
        <v>45988.84803</v>
      </c>
      <c r="B3266" s="40" t="str">
        <f>IFERROR(__xludf.DUMMYFUNCTION("""COMPUTED_VALUE"""),"SULIS NURAINI INSYATUN")</f>
        <v>SULIS NURAINI INSYATUN</v>
      </c>
      <c r="C3266" s="40" t="str">
        <f>IFERROR(__xludf.DUMMYFUNCTION("""COMPUTED_VALUE"""),"Dapat limit tapi belum diproses")</f>
        <v>Dapat limit tapi belum diproses</v>
      </c>
      <c r="D3266" s="40" t="str">
        <f>IFERROR(__xludf.DUMMYFUNCTION("""COMPUTED_VALUE"""),"Y21d series")</f>
        <v>Y21d series</v>
      </c>
      <c r="E3266" s="40" t="s">
        <v>11429</v>
      </c>
      <c r="F3266" s="40" t="s">
        <v>257</v>
      </c>
      <c r="G3266" s="40" t="s">
        <v>11430</v>
      </c>
      <c r="H3266" s="40" t="s">
        <v>11419</v>
      </c>
    </row>
    <row r="3267">
      <c r="A3267" s="39">
        <f>IFERROR(__xludf.DUMMYFUNCTION("""COMPUTED_VALUE"""),45988.867297164354)</f>
        <v>45988.8673</v>
      </c>
      <c r="B3267" s="40" t="str">
        <f>IFERROR(__xludf.DUMMYFUNCTION("""COMPUTED_VALUE"""),"ANAK AGUNG SRI WULANTIWI")</f>
        <v>ANAK AGUNG SRI WULANTIWI</v>
      </c>
      <c r="C3267" s="40" t="str">
        <f>IFERROR(__xludf.DUMMYFUNCTION("""COMPUTED_VALUE"""),"ACC")</f>
        <v>ACC</v>
      </c>
      <c r="D3267" s="40" t="str">
        <f>IFERROR(__xludf.DUMMYFUNCTION("""COMPUTED_VALUE"""),"Y21d series")</f>
        <v>Y21d series</v>
      </c>
      <c r="E3267" s="40" t="s">
        <v>11492</v>
      </c>
      <c r="F3267" s="40" t="s">
        <v>205</v>
      </c>
      <c r="G3267" s="40" t="s">
        <v>11493</v>
      </c>
      <c r="H3267" s="40" t="s">
        <v>11419</v>
      </c>
    </row>
    <row r="3268">
      <c r="A3268" s="39">
        <f>IFERROR(__xludf.DUMMYFUNCTION("""COMPUTED_VALUE"""),45988.88548010416)</f>
        <v>45988.88548</v>
      </c>
      <c r="B3268" s="40" t="str">
        <f>IFERROR(__xludf.DUMMYFUNCTION("""COMPUTED_VALUE"""),"ANGELA BOUKA BERI")</f>
        <v>ANGELA BOUKA BERI</v>
      </c>
      <c r="C3268" s="40" t="str">
        <f>IFERROR(__xludf.DUMMYFUNCTION("""COMPUTED_VALUE"""),"Dapat limit tapi belum diproses")</f>
        <v>Dapat limit tapi belum diproses</v>
      </c>
      <c r="D3268" s="40" t="str">
        <f>IFERROR(__xludf.DUMMYFUNCTION("""COMPUTED_VALUE"""),"Y21d series")</f>
        <v>Y21d series</v>
      </c>
      <c r="E3268" s="40" t="s">
        <v>11486</v>
      </c>
      <c r="F3268" s="40" t="s">
        <v>11450</v>
      </c>
      <c r="G3268" s="40" t="s">
        <v>11487</v>
      </c>
      <c r="H3268" s="40" t="s">
        <v>11424</v>
      </c>
    </row>
    <row r="3269">
      <c r="A3269" s="39">
        <f>IFERROR(__xludf.DUMMYFUNCTION("""COMPUTED_VALUE"""),45988.89799761574)</f>
        <v>45988.898</v>
      </c>
      <c r="B3269" s="40" t="str">
        <f>IFERROR(__xludf.DUMMYFUNCTION("""COMPUTED_VALUE"""),"ARMINDA TEKU MANEK")</f>
        <v>ARMINDA TEKU MANEK</v>
      </c>
      <c r="C3269" s="40" t="str">
        <f>IFERROR(__xludf.DUMMYFUNCTION("""COMPUTED_VALUE"""),"Belum disetujui")</f>
        <v>Belum disetujui</v>
      </c>
      <c r="D3269" s="40"/>
      <c r="E3269" s="40" t="s">
        <v>11474</v>
      </c>
      <c r="F3269" s="40" t="s">
        <v>313</v>
      </c>
      <c r="G3269" s="40" t="s">
        <v>11475</v>
      </c>
      <c r="H3269" s="40" t="s">
        <v>11424</v>
      </c>
    </row>
    <row r="3270">
      <c r="A3270" s="39">
        <f>IFERROR(__xludf.DUMMYFUNCTION("""COMPUTED_VALUE"""),45988.902078391206)</f>
        <v>45988.90208</v>
      </c>
      <c r="B3270" s="40" t="str">
        <f>IFERROR(__xludf.DUMMYFUNCTION("""COMPUTED_VALUE"""),"DWITNEY PRETY WANGGANDIMA")</f>
        <v>DWITNEY PRETY WANGGANDIMA</v>
      </c>
      <c r="C3270" s="40" t="str">
        <f>IFERROR(__xludf.DUMMYFUNCTION("""COMPUTED_VALUE"""),"Belum disetujui")</f>
        <v>Belum disetujui</v>
      </c>
      <c r="D3270" s="40"/>
      <c r="E3270" s="40" t="s">
        <v>11443</v>
      </c>
      <c r="F3270" s="40" t="s">
        <v>220</v>
      </c>
      <c r="G3270" s="40" t="s">
        <v>11444</v>
      </c>
      <c r="H3270" s="40" t="s">
        <v>11399</v>
      </c>
    </row>
    <row r="3271">
      <c r="A3271" s="39">
        <f>IFERROR(__xludf.DUMMYFUNCTION("""COMPUTED_VALUE"""),45989.40967875)</f>
        <v>45989.40968</v>
      </c>
      <c r="B3271" s="40" t="str">
        <f>IFERROR(__xludf.DUMMYFUNCTION("""COMPUTED_VALUE"""),"PRETI SISILIA SILA")</f>
        <v>PRETI SISILIA SILA</v>
      </c>
      <c r="C3271" s="40" t="str">
        <f>IFERROR(__xludf.DUMMYFUNCTION("""COMPUTED_VALUE"""),"ACC")</f>
        <v>ACC</v>
      </c>
      <c r="D3271" s="40" t="str">
        <f>IFERROR(__xludf.DUMMYFUNCTION("""COMPUTED_VALUE"""),"V50 Lite series")</f>
        <v>V50 Lite series</v>
      </c>
      <c r="E3271" s="40" t="s">
        <v>11456</v>
      </c>
      <c r="F3271" s="40" t="s">
        <v>667</v>
      </c>
      <c r="G3271" s="40" t="s">
        <v>11457</v>
      </c>
      <c r="H3271" s="40" t="s">
        <v>11424</v>
      </c>
    </row>
    <row r="3272">
      <c r="A3272" s="39">
        <f>IFERROR(__xludf.DUMMYFUNCTION("""COMPUTED_VALUE"""),45989.47060172454)</f>
        <v>45989.4706</v>
      </c>
      <c r="B3272" s="40" t="str">
        <f>IFERROR(__xludf.DUMMYFUNCTION("""COMPUTED_VALUE"""),"YOMELIANA MARIA MAGNO")</f>
        <v>YOMELIANA MARIA MAGNO</v>
      </c>
      <c r="C3272" s="40" t="str">
        <f>IFERROR(__xludf.DUMMYFUNCTION("""COMPUTED_VALUE"""),"Belum disetujui")</f>
        <v>Belum disetujui</v>
      </c>
      <c r="D3272" s="40"/>
      <c r="E3272" s="40" t="s">
        <v>11460</v>
      </c>
      <c r="F3272" s="40" t="s">
        <v>871</v>
      </c>
      <c r="G3272" s="40" t="s">
        <v>11461</v>
      </c>
      <c r="H3272" s="40" t="s">
        <v>11424</v>
      </c>
    </row>
    <row r="3273">
      <c r="A3273" s="39">
        <f>IFERROR(__xludf.DUMMYFUNCTION("""COMPUTED_VALUE"""),45989.5307467824)</f>
        <v>45989.53075</v>
      </c>
      <c r="B3273" s="40" t="str">
        <f>IFERROR(__xludf.DUMMYFUNCTION("""COMPUTED_VALUE"""),"MARNITHA JUWIKE TIMORATI RUNESI")</f>
        <v>MARNITHA JUWIKE TIMORATI RUNESI</v>
      </c>
      <c r="C3273" s="40" t="str">
        <f>IFERROR(__xludf.DUMMYFUNCTION("""COMPUTED_VALUE"""),"Belum disetujui")</f>
        <v>Belum disetujui</v>
      </c>
      <c r="D3273" s="40"/>
      <c r="E3273" s="40" t="s">
        <v>11420</v>
      </c>
      <c r="F3273" s="40" t="s">
        <v>204</v>
      </c>
      <c r="G3273" s="40" t="s">
        <v>11421</v>
      </c>
      <c r="H3273" s="40" t="s">
        <v>11399</v>
      </c>
    </row>
    <row r="3274">
      <c r="A3274" s="39">
        <f>IFERROR(__xludf.DUMMYFUNCTION("""COMPUTED_VALUE"""),45989.56045646991)</f>
        <v>45989.56046</v>
      </c>
      <c r="B3274" s="40" t="str">
        <f>IFERROR(__xludf.DUMMYFUNCTION("""COMPUTED_VALUE"""),"PRETI SISILIA SILA")</f>
        <v>PRETI SISILIA SILA</v>
      </c>
      <c r="C3274" s="40" t="str">
        <f>IFERROR(__xludf.DUMMYFUNCTION("""COMPUTED_VALUE"""),"ACC")</f>
        <v>ACC</v>
      </c>
      <c r="D3274" s="40" t="str">
        <f>IFERROR(__xludf.DUMMYFUNCTION("""COMPUTED_VALUE"""),"Y400 series")</f>
        <v>Y400 series</v>
      </c>
      <c r="E3274" s="40" t="s">
        <v>11456</v>
      </c>
      <c r="F3274" s="40" t="s">
        <v>667</v>
      </c>
      <c r="G3274" s="40" t="s">
        <v>11457</v>
      </c>
      <c r="H3274" s="40" t="s">
        <v>11424</v>
      </c>
    </row>
    <row r="3275">
      <c r="A3275" s="39">
        <f>IFERROR(__xludf.DUMMYFUNCTION("""COMPUTED_VALUE"""),45989.5628780787)</f>
        <v>45989.56288</v>
      </c>
      <c r="B3275" s="40" t="str">
        <f>IFERROR(__xludf.DUMMYFUNCTION("""COMPUTED_VALUE"""),"MARNITHA JUWIKE TIMORATI RUNESI")</f>
        <v>MARNITHA JUWIKE TIMORATI RUNESI</v>
      </c>
      <c r="C3275" s="40" t="str">
        <f>IFERROR(__xludf.DUMMYFUNCTION("""COMPUTED_VALUE"""),"Belum disetujui")</f>
        <v>Belum disetujui</v>
      </c>
      <c r="D3275" s="40"/>
      <c r="E3275" s="40" t="s">
        <v>11420</v>
      </c>
      <c r="F3275" s="40" t="s">
        <v>204</v>
      </c>
      <c r="G3275" s="40" t="s">
        <v>11421</v>
      </c>
      <c r="H3275" s="40" t="s">
        <v>11399</v>
      </c>
    </row>
    <row r="3276">
      <c r="A3276" s="39">
        <f>IFERROR(__xludf.DUMMYFUNCTION("""COMPUTED_VALUE"""),45989.56840362268)</f>
        <v>45989.5684</v>
      </c>
      <c r="B3276" s="40" t="str">
        <f>IFERROR(__xludf.DUMMYFUNCTION("""COMPUTED_VALUE"""),"PATRIANI MENGI ULY")</f>
        <v>PATRIANI MENGI ULY</v>
      </c>
      <c r="C3276" s="40" t="str">
        <f>IFERROR(__xludf.DUMMYFUNCTION("""COMPUTED_VALUE"""),"Belum disetujui")</f>
        <v>Belum disetujui</v>
      </c>
      <c r="D3276" s="40"/>
      <c r="E3276" s="40" t="s">
        <v>11402</v>
      </c>
      <c r="F3276" s="40" t="s">
        <v>204</v>
      </c>
      <c r="G3276" s="40" t="s">
        <v>11403</v>
      </c>
      <c r="H3276" s="40" t="s">
        <v>11399</v>
      </c>
    </row>
    <row r="3277">
      <c r="A3277" s="39">
        <f>IFERROR(__xludf.DUMMYFUNCTION("""COMPUTED_VALUE"""),45989.608979282406)</f>
        <v>45989.60898</v>
      </c>
      <c r="B3277" s="40" t="str">
        <f>IFERROR(__xludf.DUMMYFUNCTION("""COMPUTED_VALUE"""),"LASTRIANA PALUS")</f>
        <v>LASTRIANA PALUS</v>
      </c>
      <c r="C3277" s="40" t="str">
        <f>IFERROR(__xludf.DUMMYFUNCTION("""COMPUTED_VALUE"""),"Dapat limit tapi belum diproses")</f>
        <v>Dapat limit tapi belum diproses</v>
      </c>
      <c r="D3277" s="40" t="str">
        <f>IFERROR(__xludf.DUMMYFUNCTION("""COMPUTED_VALUE"""),"Y21d series")</f>
        <v>Y21d series</v>
      </c>
      <c r="E3277" s="40" t="s">
        <v>11468</v>
      </c>
      <c r="F3277" s="40" t="s">
        <v>257</v>
      </c>
      <c r="G3277" s="40" t="s">
        <v>11469</v>
      </c>
      <c r="H3277" s="40" t="s">
        <v>11419</v>
      </c>
    </row>
    <row r="3278">
      <c r="A3278" s="39">
        <f>IFERROR(__xludf.DUMMYFUNCTION("""COMPUTED_VALUE"""),45989.61844341435)</f>
        <v>45989.61844</v>
      </c>
      <c r="B3278" s="40" t="str">
        <f>IFERROR(__xludf.DUMMYFUNCTION("""COMPUTED_VALUE"""),"HERONIMUS NAMU WALI")</f>
        <v>HERONIMUS NAMU WALI</v>
      </c>
      <c r="C3278" s="40" t="str">
        <f>IFERROR(__xludf.DUMMYFUNCTION("""COMPUTED_VALUE"""),"Belum disetujui")</f>
        <v>Belum disetujui</v>
      </c>
      <c r="D3278" s="40"/>
      <c r="E3278" s="40" t="s">
        <v>11452</v>
      </c>
      <c r="F3278" s="40" t="s">
        <v>205</v>
      </c>
      <c r="G3278" s="40" t="s">
        <v>11453</v>
      </c>
      <c r="H3278" s="40" t="s">
        <v>11419</v>
      </c>
    </row>
    <row r="3279">
      <c r="A3279" s="39">
        <f>IFERROR(__xludf.DUMMYFUNCTION("""COMPUTED_VALUE"""),45989.63561311343)</f>
        <v>45989.63561</v>
      </c>
      <c r="B3279" s="40" t="str">
        <f>IFERROR(__xludf.DUMMYFUNCTION("""COMPUTED_VALUE"""),"PRETI SISILIA SILA")</f>
        <v>PRETI SISILIA SILA</v>
      </c>
      <c r="C3279" s="40" t="str">
        <f>IFERROR(__xludf.DUMMYFUNCTION("""COMPUTED_VALUE"""),"Belum disetujui")</f>
        <v>Belum disetujui</v>
      </c>
      <c r="D3279" s="40"/>
      <c r="E3279" s="40" t="s">
        <v>11456</v>
      </c>
      <c r="F3279" s="40" t="s">
        <v>667</v>
      </c>
      <c r="G3279" s="40" t="s">
        <v>11457</v>
      </c>
      <c r="H3279" s="40" t="s">
        <v>11424</v>
      </c>
    </row>
    <row r="3280">
      <c r="A3280" s="39">
        <f>IFERROR(__xludf.DUMMYFUNCTION("""COMPUTED_VALUE"""),45989.63862328704)</f>
        <v>45989.63862</v>
      </c>
      <c r="B3280" s="40" t="str">
        <f>IFERROR(__xludf.DUMMYFUNCTION("""COMPUTED_VALUE"""),"IDMAL YUSDIRAN YUSUF")</f>
        <v>IDMAL YUSDIRAN YUSUF</v>
      </c>
      <c r="C3280" s="40" t="str">
        <f>IFERROR(__xludf.DUMMYFUNCTION("""COMPUTED_VALUE"""),"Belum disetujui")</f>
        <v>Belum disetujui</v>
      </c>
      <c r="D3280" s="40"/>
      <c r="E3280" s="40" t="s">
        <v>11417</v>
      </c>
      <c r="F3280" s="40" t="s">
        <v>257</v>
      </c>
      <c r="G3280" s="40" t="s">
        <v>11418</v>
      </c>
      <c r="H3280" s="40" t="s">
        <v>11419</v>
      </c>
    </row>
    <row r="3281">
      <c r="A3281" s="39">
        <f>IFERROR(__xludf.DUMMYFUNCTION("""COMPUTED_VALUE"""),45989.6462883912)</f>
        <v>45989.64629</v>
      </c>
      <c r="B3281" s="40" t="str">
        <f>IFERROR(__xludf.DUMMYFUNCTION("""COMPUTED_VALUE"""),"SULIS NURAINI INSYATUN")</f>
        <v>SULIS NURAINI INSYATUN</v>
      </c>
      <c r="C3281" s="40" t="str">
        <f>IFERROR(__xludf.DUMMYFUNCTION("""COMPUTED_VALUE"""),"Belum disetujui")</f>
        <v>Belum disetujui</v>
      </c>
      <c r="D3281" s="40"/>
      <c r="E3281" s="40" t="s">
        <v>11429</v>
      </c>
      <c r="F3281" s="40" t="s">
        <v>257</v>
      </c>
      <c r="G3281" s="40" t="s">
        <v>11430</v>
      </c>
      <c r="H3281" s="40" t="s">
        <v>11419</v>
      </c>
    </row>
    <row r="3282">
      <c r="A3282" s="39">
        <f>IFERROR(__xludf.DUMMYFUNCTION("""COMPUTED_VALUE"""),45989.667635150465)</f>
        <v>45989.66764</v>
      </c>
      <c r="B3282" s="40" t="str">
        <f>IFERROR(__xludf.DUMMYFUNCTION("""COMPUTED_VALUE"""),"YASINTHA MBU")</f>
        <v>YASINTHA MBU</v>
      </c>
      <c r="C3282" s="40" t="str">
        <f>IFERROR(__xludf.DUMMYFUNCTION("""COMPUTED_VALUE"""),"ACC")</f>
        <v>ACC</v>
      </c>
      <c r="D3282" s="40" t="str">
        <f>IFERROR(__xludf.DUMMYFUNCTION("""COMPUTED_VALUE"""),"Y21d series")</f>
        <v>Y21d series</v>
      </c>
      <c r="E3282" s="40" t="s">
        <v>11407</v>
      </c>
      <c r="F3282" s="40" t="s">
        <v>220</v>
      </c>
      <c r="G3282" s="40" t="s">
        <v>11408</v>
      </c>
      <c r="H3282" s="40" t="s">
        <v>11399</v>
      </c>
    </row>
    <row r="3283">
      <c r="A3283" s="39">
        <f>IFERROR(__xludf.DUMMYFUNCTION("""COMPUTED_VALUE"""),45989.670002719904)</f>
        <v>45989.67</v>
      </c>
      <c r="B3283" s="40" t="str">
        <f>IFERROR(__xludf.DUMMYFUNCTION("""COMPUTED_VALUE"""),"YOMELIANA MARIA MAGNO")</f>
        <v>YOMELIANA MARIA MAGNO</v>
      </c>
      <c r="C3283" s="40" t="str">
        <f>IFERROR(__xludf.DUMMYFUNCTION("""COMPUTED_VALUE"""),"Belum disetujui")</f>
        <v>Belum disetujui</v>
      </c>
      <c r="D3283" s="40"/>
      <c r="E3283" s="40" t="s">
        <v>11460</v>
      </c>
      <c r="F3283" s="40" t="s">
        <v>871</v>
      </c>
      <c r="G3283" s="40" t="s">
        <v>11461</v>
      </c>
      <c r="H3283" s="40" t="s">
        <v>11424</v>
      </c>
    </row>
    <row r="3284">
      <c r="A3284" s="39">
        <f>IFERROR(__xludf.DUMMYFUNCTION("""COMPUTED_VALUE"""),45989.69166358797)</f>
        <v>45989.69166</v>
      </c>
      <c r="B3284" s="40" t="str">
        <f>IFERROR(__xludf.DUMMYFUNCTION("""COMPUTED_VALUE"""),"MEXY ALEXANDER HETMINA")</f>
        <v>MEXY ALEXANDER HETMINA</v>
      </c>
      <c r="C3284" s="40" t="str">
        <f>IFERROR(__xludf.DUMMYFUNCTION("""COMPUTED_VALUE"""),"Belum disetujui")</f>
        <v>Belum disetujui</v>
      </c>
      <c r="D3284" s="40"/>
      <c r="E3284" s="40" t="s">
        <v>11413</v>
      </c>
      <c r="F3284" s="40" t="s">
        <v>204</v>
      </c>
      <c r="G3284" s="40" t="s">
        <v>11414</v>
      </c>
      <c r="H3284" s="40" t="s">
        <v>11399</v>
      </c>
    </row>
    <row r="3285">
      <c r="A3285" s="39">
        <f>IFERROR(__xludf.DUMMYFUNCTION("""COMPUTED_VALUE"""),45989.70697140046)</f>
        <v>45989.70697</v>
      </c>
      <c r="B3285" s="40" t="str">
        <f>IFERROR(__xludf.DUMMYFUNCTION("""COMPUTED_VALUE"""),"MARNITHA JUWIKE TIMORATI RUNESI")</f>
        <v>MARNITHA JUWIKE TIMORATI RUNESI</v>
      </c>
      <c r="C3285" s="40" t="str">
        <f>IFERROR(__xludf.DUMMYFUNCTION("""COMPUTED_VALUE"""),"Dapat limit tapi belum diproses")</f>
        <v>Dapat limit tapi belum diproses</v>
      </c>
      <c r="D3285" s="40" t="str">
        <f>IFERROR(__xludf.DUMMYFUNCTION("""COMPUTED_VALUE"""),"Y21d series")</f>
        <v>Y21d series</v>
      </c>
      <c r="E3285" s="40" t="s">
        <v>11420</v>
      </c>
      <c r="F3285" s="40" t="s">
        <v>204</v>
      </c>
      <c r="G3285" s="40" t="s">
        <v>11421</v>
      </c>
      <c r="H3285" s="40" t="s">
        <v>11399</v>
      </c>
    </row>
    <row r="3286">
      <c r="A3286" s="39">
        <f>IFERROR(__xludf.DUMMYFUNCTION("""COMPUTED_VALUE"""),45989.73661871527)</f>
        <v>45989.73662</v>
      </c>
      <c r="B3286" s="40" t="str">
        <f>IFERROR(__xludf.DUMMYFUNCTION("""COMPUTED_VALUE"""),"ANNA RAHMATIA JUFRI")</f>
        <v>ANNA RAHMATIA JUFRI</v>
      </c>
      <c r="C3286" s="40" t="str">
        <f>IFERROR(__xludf.DUMMYFUNCTION("""COMPUTED_VALUE"""),"Belum disetujui")</f>
        <v>Belum disetujui</v>
      </c>
      <c r="D3286" s="40"/>
      <c r="E3286" s="40" t="s">
        <v>11484</v>
      </c>
      <c r="F3286" s="40" t="s">
        <v>11450</v>
      </c>
      <c r="G3286" s="40" t="s">
        <v>11485</v>
      </c>
      <c r="H3286" s="40" t="s">
        <v>11424</v>
      </c>
    </row>
    <row r="3287">
      <c r="A3287" s="39">
        <f>IFERROR(__xludf.DUMMYFUNCTION("""COMPUTED_VALUE"""),45989.74507032407)</f>
        <v>45989.74507</v>
      </c>
      <c r="B3287" s="40" t="str">
        <f>IFERROR(__xludf.DUMMYFUNCTION("""COMPUTED_VALUE"""),"ANGELA BOUKA BERI")</f>
        <v>ANGELA BOUKA BERI</v>
      </c>
      <c r="C3287" s="40" t="str">
        <f>IFERROR(__xludf.DUMMYFUNCTION("""COMPUTED_VALUE"""),"Belum disetujui")</f>
        <v>Belum disetujui</v>
      </c>
      <c r="D3287" s="40"/>
      <c r="E3287" s="40" t="s">
        <v>11486</v>
      </c>
      <c r="F3287" s="40" t="s">
        <v>11450</v>
      </c>
      <c r="G3287" s="40" t="s">
        <v>11487</v>
      </c>
      <c r="H3287" s="40" t="s">
        <v>11424</v>
      </c>
    </row>
    <row r="3288">
      <c r="A3288" s="39">
        <f>IFERROR(__xludf.DUMMYFUNCTION("""COMPUTED_VALUE"""),45989.747746030094)</f>
        <v>45989.74775</v>
      </c>
      <c r="B3288" s="40" t="str">
        <f>IFERROR(__xludf.DUMMYFUNCTION("""COMPUTED_VALUE"""),"ANGELA BOUKA BERI")</f>
        <v>ANGELA BOUKA BERI</v>
      </c>
      <c r="C3288" s="40" t="str">
        <f>IFERROR(__xludf.DUMMYFUNCTION("""COMPUTED_VALUE"""),"Dapat limit tapi belum diproses")</f>
        <v>Dapat limit tapi belum diproses</v>
      </c>
      <c r="D3288" s="40" t="str">
        <f>IFERROR(__xludf.DUMMYFUNCTION("""COMPUTED_VALUE"""),"Y21d series")</f>
        <v>Y21d series</v>
      </c>
      <c r="E3288" s="40" t="s">
        <v>11486</v>
      </c>
      <c r="F3288" s="40" t="s">
        <v>11450</v>
      </c>
      <c r="G3288" s="40" t="s">
        <v>11487</v>
      </c>
      <c r="H3288" s="40" t="s">
        <v>11424</v>
      </c>
    </row>
    <row r="3289">
      <c r="A3289" s="39">
        <f>IFERROR(__xludf.DUMMYFUNCTION("""COMPUTED_VALUE"""),45989.75699591436)</f>
        <v>45989.757</v>
      </c>
      <c r="B3289" s="40" t="str">
        <f>IFERROR(__xludf.DUMMYFUNCTION("""COMPUTED_VALUE"""),"MARATHA MARLINDA FANGGIDAE")</f>
        <v>MARATHA MARLINDA FANGGIDAE</v>
      </c>
      <c r="C3289" s="40" t="str">
        <f>IFERROR(__xludf.DUMMYFUNCTION("""COMPUTED_VALUE"""),"Belum disetujui")</f>
        <v>Belum disetujui</v>
      </c>
      <c r="D3289" s="40"/>
      <c r="E3289" s="40" t="s">
        <v>11435</v>
      </c>
      <c r="F3289" s="40" t="s">
        <v>215</v>
      </c>
      <c r="G3289" s="40" t="s">
        <v>11436</v>
      </c>
      <c r="H3289" s="40" t="s">
        <v>11424</v>
      </c>
    </row>
    <row r="3290">
      <c r="A3290" s="39">
        <f>IFERROR(__xludf.DUMMYFUNCTION("""COMPUTED_VALUE"""),45989.76004642361)</f>
        <v>45989.76005</v>
      </c>
      <c r="B3290" s="40" t="str">
        <f>IFERROR(__xludf.DUMMYFUNCTION("""COMPUTED_VALUE"""),"NOVLIANA BARBALINA MISA")</f>
        <v>NOVLIANA BARBALINA MISA</v>
      </c>
      <c r="C3290" s="40" t="str">
        <f>IFERROR(__xludf.DUMMYFUNCTION("""COMPUTED_VALUE"""),"Dapat limit tapi belum diproses")</f>
        <v>Dapat limit tapi belum diproses</v>
      </c>
      <c r="D3290" s="40" t="str">
        <f>IFERROR(__xludf.DUMMYFUNCTION("""COMPUTED_VALUE"""),"V60 series")</f>
        <v>V60 series</v>
      </c>
      <c r="E3290" s="40" t="s">
        <v>11454</v>
      </c>
      <c r="F3290" s="40" t="s">
        <v>205</v>
      </c>
      <c r="G3290" s="40" t="s">
        <v>11455</v>
      </c>
      <c r="H3290" s="40" t="s">
        <v>11419</v>
      </c>
    </row>
    <row r="3291">
      <c r="A3291" s="39">
        <f>IFERROR(__xludf.DUMMYFUNCTION("""COMPUTED_VALUE"""),45989.76315355324)</f>
        <v>45989.76315</v>
      </c>
      <c r="B3291" s="40" t="str">
        <f>IFERROR(__xludf.DUMMYFUNCTION("""COMPUTED_VALUE"""),"ASTUTI BELA WAWO")</f>
        <v>ASTUTI BELA WAWO</v>
      </c>
      <c r="C3291" s="40" t="str">
        <f>IFERROR(__xludf.DUMMYFUNCTION("""COMPUTED_VALUE"""),"Belum disetujui")</f>
        <v>Belum disetujui</v>
      </c>
      <c r="D3291" s="40"/>
      <c r="E3291" s="40" t="s">
        <v>11427</v>
      </c>
      <c r="F3291" s="40" t="s">
        <v>257</v>
      </c>
      <c r="G3291" s="40" t="s">
        <v>11428</v>
      </c>
      <c r="H3291" s="40" t="s">
        <v>11419</v>
      </c>
    </row>
    <row r="3292">
      <c r="A3292" s="39">
        <f>IFERROR(__xludf.DUMMYFUNCTION("""COMPUTED_VALUE"""),45989.768154108795)</f>
        <v>45989.76815</v>
      </c>
      <c r="B3292" s="40" t="str">
        <f>IFERROR(__xludf.DUMMYFUNCTION("""COMPUTED_VALUE"""),"YENDRI ELISHABET BERELOE")</f>
        <v>YENDRI ELISHABET BERELOE</v>
      </c>
      <c r="C3292" s="40" t="str">
        <f>IFERROR(__xludf.DUMMYFUNCTION("""COMPUTED_VALUE"""),"Dapat limit tapi belum diproses")</f>
        <v>Dapat limit tapi belum diproses</v>
      </c>
      <c r="D3292" s="40" t="str">
        <f>IFERROR(__xludf.DUMMYFUNCTION("""COMPUTED_VALUE"""),"Y21d series")</f>
        <v>Y21d series</v>
      </c>
      <c r="E3292" s="40" t="s">
        <v>11490</v>
      </c>
      <c r="F3292" s="40" t="s">
        <v>220</v>
      </c>
      <c r="G3292" s="40" t="s">
        <v>11491</v>
      </c>
      <c r="H3292" s="40" t="s">
        <v>11399</v>
      </c>
    </row>
    <row r="3293">
      <c r="A3293" s="39">
        <f>IFERROR(__xludf.DUMMYFUNCTION("""COMPUTED_VALUE"""),45989.79506086806)</f>
        <v>45989.79506</v>
      </c>
      <c r="B3293" s="40" t="str">
        <f>IFERROR(__xludf.DUMMYFUNCTION("""COMPUTED_VALUE"""),"AZ ZAHRA SITI ZAINAB")</f>
        <v>AZ ZAHRA SITI ZAINAB</v>
      </c>
      <c r="C3293" s="40" t="str">
        <f>IFERROR(__xludf.DUMMYFUNCTION("""COMPUTED_VALUE"""),"Dapat limit tapi belum diproses")</f>
        <v>Dapat limit tapi belum diproses</v>
      </c>
      <c r="D3293" s="40" t="str">
        <f>IFERROR(__xludf.DUMMYFUNCTION("""COMPUTED_VALUE"""),"Y400 series")</f>
        <v>Y400 series</v>
      </c>
      <c r="E3293" s="40" t="s">
        <v>11462</v>
      </c>
      <c r="F3293" s="40" t="s">
        <v>257</v>
      </c>
      <c r="G3293" s="40" t="s">
        <v>11463</v>
      </c>
      <c r="H3293" s="40" t="s">
        <v>11419</v>
      </c>
    </row>
    <row r="3294">
      <c r="A3294" s="39">
        <f>IFERROR(__xludf.DUMMYFUNCTION("""COMPUTED_VALUE"""),45989.79822916667)</f>
        <v>45989.79823</v>
      </c>
      <c r="B3294" s="40" t="str">
        <f>IFERROR(__xludf.DUMMYFUNCTION("""COMPUTED_VALUE"""),"MEXY ALEXANDER HETMINA")</f>
        <v>MEXY ALEXANDER HETMINA</v>
      </c>
      <c r="C3294" s="40" t="str">
        <f>IFERROR(__xludf.DUMMYFUNCTION("""COMPUTED_VALUE"""),"Dapat limit tapi belum diproses")</f>
        <v>Dapat limit tapi belum diproses</v>
      </c>
      <c r="D3294" s="40" t="str">
        <f>IFERROR(__xludf.DUMMYFUNCTION("""COMPUTED_VALUE"""),"Y21d series")</f>
        <v>Y21d series</v>
      </c>
      <c r="E3294" s="40" t="s">
        <v>11413</v>
      </c>
      <c r="F3294" s="40" t="s">
        <v>204</v>
      </c>
      <c r="G3294" s="40" t="s">
        <v>11414</v>
      </c>
      <c r="H3294" s="40" t="s">
        <v>11399</v>
      </c>
    </row>
    <row r="3295">
      <c r="A3295" s="39">
        <f>IFERROR(__xludf.DUMMYFUNCTION("""COMPUTED_VALUE"""),45989.80521265046)</f>
        <v>45989.80521</v>
      </c>
      <c r="B3295" s="40" t="str">
        <f>IFERROR(__xludf.DUMMYFUNCTION("""COMPUTED_VALUE"""),"AMBU BAIQ JUMENAH")</f>
        <v>AMBU BAIQ JUMENAH</v>
      </c>
      <c r="C3295" s="40" t="str">
        <f>IFERROR(__xludf.DUMMYFUNCTION("""COMPUTED_VALUE"""),"Belum disetujui")</f>
        <v>Belum disetujui</v>
      </c>
      <c r="D3295" s="40"/>
      <c r="E3295" s="40" t="s">
        <v>11458</v>
      </c>
      <c r="F3295" s="40" t="s">
        <v>205</v>
      </c>
      <c r="G3295" s="40" t="s">
        <v>11459</v>
      </c>
      <c r="H3295" s="40" t="s">
        <v>11419</v>
      </c>
    </row>
    <row r="3296">
      <c r="A3296" s="39">
        <f>IFERROR(__xludf.DUMMYFUNCTION("""COMPUTED_VALUE"""),45989.81350440972)</f>
        <v>45989.8135</v>
      </c>
      <c r="B3296" s="40" t="str">
        <f>IFERROR(__xludf.DUMMYFUNCTION("""COMPUTED_VALUE"""),"NUR FATIMAH MOLBANG")</f>
        <v>NUR FATIMAH MOLBANG</v>
      </c>
      <c r="C3296" s="40" t="str">
        <f>IFERROR(__xludf.DUMMYFUNCTION("""COMPUTED_VALUE"""),"Belum disetujui")</f>
        <v>Belum disetujui</v>
      </c>
      <c r="D3296" s="40"/>
      <c r="E3296" s="40" t="s">
        <v>11439</v>
      </c>
      <c r="F3296" s="40" t="s">
        <v>313</v>
      </c>
      <c r="G3296" s="40" t="s">
        <v>11440</v>
      </c>
      <c r="H3296" s="40" t="s">
        <v>11424</v>
      </c>
    </row>
    <row r="3297">
      <c r="A3297" s="39">
        <f>IFERROR(__xludf.DUMMYFUNCTION("""COMPUTED_VALUE"""),45989.8258549537)</f>
        <v>45989.82585</v>
      </c>
      <c r="B3297" s="40" t="str">
        <f>IFERROR(__xludf.DUMMYFUNCTION("""COMPUTED_VALUE"""),"DWITNEY PRETY WANGGANDIMA")</f>
        <v>DWITNEY PRETY WANGGANDIMA</v>
      </c>
      <c r="C3297" s="40" t="str">
        <f>IFERROR(__xludf.DUMMYFUNCTION("""COMPUTED_VALUE"""),"Belum disetujui")</f>
        <v>Belum disetujui</v>
      </c>
      <c r="D3297" s="40"/>
      <c r="E3297" s="40" t="s">
        <v>11443</v>
      </c>
      <c r="F3297" s="40" t="s">
        <v>220</v>
      </c>
      <c r="G3297" s="40" t="s">
        <v>11444</v>
      </c>
      <c r="H3297" s="40" t="s">
        <v>11399</v>
      </c>
    </row>
    <row r="3298">
      <c r="A3298" s="39">
        <f>IFERROR(__xludf.DUMMYFUNCTION("""COMPUTED_VALUE"""),45989.84897668982)</f>
        <v>45989.84898</v>
      </c>
      <c r="B3298" s="40" t="str">
        <f>IFERROR(__xludf.DUMMYFUNCTION("""COMPUTED_VALUE"""),"ANAK AGUNG SRI WULANTIWI")</f>
        <v>ANAK AGUNG SRI WULANTIWI</v>
      </c>
      <c r="C3298" s="40" t="str">
        <f>IFERROR(__xludf.DUMMYFUNCTION("""COMPUTED_VALUE"""),"Belum disetujui")</f>
        <v>Belum disetujui</v>
      </c>
      <c r="D3298" s="40"/>
      <c r="E3298" s="40" t="s">
        <v>11492</v>
      </c>
      <c r="F3298" s="40" t="s">
        <v>205</v>
      </c>
      <c r="G3298" s="40" t="s">
        <v>11493</v>
      </c>
      <c r="H3298" s="40" t="s">
        <v>11419</v>
      </c>
    </row>
    <row r="3299">
      <c r="A3299" s="39">
        <f>IFERROR(__xludf.DUMMYFUNCTION("""COMPUTED_VALUE"""),45989.87085931713)</f>
        <v>45989.87086</v>
      </c>
      <c r="B3299" s="40" t="str">
        <f>IFERROR(__xludf.DUMMYFUNCTION("""COMPUTED_VALUE"""),"EMPI FRANGKI LIEM")</f>
        <v>EMPI FRANGKI LIEM</v>
      </c>
      <c r="C3299" s="40" t="str">
        <f>IFERROR(__xludf.DUMMYFUNCTION("""COMPUTED_VALUE"""),"Belum disetujui")</f>
        <v>Belum disetujui</v>
      </c>
      <c r="D3299" s="40"/>
      <c r="E3299" s="40" t="s">
        <v>11397</v>
      </c>
      <c r="F3299" s="40" t="s">
        <v>220</v>
      </c>
      <c r="G3299" s="40" t="s">
        <v>11398</v>
      </c>
      <c r="H3299" s="40" t="s">
        <v>11399</v>
      </c>
    </row>
    <row r="3300">
      <c r="A3300" s="39">
        <f>IFERROR(__xludf.DUMMYFUNCTION("""COMPUTED_VALUE"""),45989.89333880787)</f>
        <v>45989.89334</v>
      </c>
      <c r="B3300" s="40" t="str">
        <f>IFERROR(__xludf.DUMMYFUNCTION("""COMPUTED_VALUE"""),"DWITNEY PRETY WANGGANDIMA")</f>
        <v>DWITNEY PRETY WANGGANDIMA</v>
      </c>
      <c r="C3300" s="40" t="str">
        <f>IFERROR(__xludf.DUMMYFUNCTION("""COMPUTED_VALUE"""),"Belum disetujui")</f>
        <v>Belum disetujui</v>
      </c>
      <c r="D3300" s="40"/>
      <c r="E3300" s="40" t="s">
        <v>11443</v>
      </c>
      <c r="F3300" s="40" t="s">
        <v>220</v>
      </c>
      <c r="G3300" s="40" t="s">
        <v>11444</v>
      </c>
      <c r="H3300" s="40" t="s">
        <v>11399</v>
      </c>
    </row>
    <row r="3301">
      <c r="A3301" s="39">
        <f>IFERROR(__xludf.DUMMYFUNCTION("""COMPUTED_VALUE"""),45990.37143657407)</f>
        <v>45990.37144</v>
      </c>
      <c r="B3301" s="40" t="str">
        <f>IFERROR(__xludf.DUMMYFUNCTION("""COMPUTED_VALUE"""),"ESTER LUDJI")</f>
        <v>ESTER LUDJI</v>
      </c>
      <c r="C3301" s="40" t="str">
        <f>IFERROR(__xludf.DUMMYFUNCTION("""COMPUTED_VALUE"""),"ACC")</f>
        <v>ACC</v>
      </c>
      <c r="D3301" s="40" t="str">
        <f>IFERROR(__xludf.DUMMYFUNCTION("""COMPUTED_VALUE"""),"Y400 series")</f>
        <v>Y400 series</v>
      </c>
      <c r="E3301" s="40" t="s">
        <v>11441</v>
      </c>
      <c r="F3301" s="40" t="s">
        <v>205</v>
      </c>
      <c r="G3301" s="40" t="s">
        <v>11442</v>
      </c>
      <c r="H3301" s="40" t="s">
        <v>11419</v>
      </c>
    </row>
    <row r="3302">
      <c r="A3302" s="39">
        <f>IFERROR(__xludf.DUMMYFUNCTION("""COMPUTED_VALUE"""),45990.41650017361)</f>
        <v>45990.4165</v>
      </c>
      <c r="B3302" s="40" t="str">
        <f>IFERROR(__xludf.DUMMYFUNCTION("""COMPUTED_VALUE"""),"YOMELIANA MARIA MAGNO")</f>
        <v>YOMELIANA MARIA MAGNO</v>
      </c>
      <c r="C3302" s="40" t="str">
        <f>IFERROR(__xludf.DUMMYFUNCTION("""COMPUTED_VALUE"""),"Belum disetujui")</f>
        <v>Belum disetujui</v>
      </c>
      <c r="D3302" s="40"/>
      <c r="E3302" s="40" t="s">
        <v>11460</v>
      </c>
      <c r="F3302" s="40" t="s">
        <v>871</v>
      </c>
      <c r="G3302" s="40" t="s">
        <v>11461</v>
      </c>
      <c r="H3302" s="40" t="s">
        <v>11424</v>
      </c>
    </row>
    <row r="3303">
      <c r="A3303" s="39">
        <f>IFERROR(__xludf.DUMMYFUNCTION("""COMPUTED_VALUE"""),45990.475624618055)</f>
        <v>45990.47562</v>
      </c>
      <c r="B3303" s="40" t="str">
        <f>IFERROR(__xludf.DUMMYFUNCTION("""COMPUTED_VALUE"""),"PRETI SISILIA SILA")</f>
        <v>PRETI SISILIA SILA</v>
      </c>
      <c r="C3303" s="40" t="str">
        <f>IFERROR(__xludf.DUMMYFUNCTION("""COMPUTED_VALUE"""),"Belum disetujui")</f>
        <v>Belum disetujui</v>
      </c>
      <c r="D3303" s="40"/>
      <c r="E3303" s="40" t="s">
        <v>11456</v>
      </c>
      <c r="F3303" s="40" t="s">
        <v>667</v>
      </c>
      <c r="G3303" s="40" t="s">
        <v>11457</v>
      </c>
      <c r="H3303" s="40" t="s">
        <v>11424</v>
      </c>
    </row>
    <row r="3304">
      <c r="A3304" s="39">
        <f>IFERROR(__xludf.DUMMYFUNCTION("""COMPUTED_VALUE"""),45990.47993583333)</f>
        <v>45990.47994</v>
      </c>
      <c r="B3304" s="40" t="str">
        <f>IFERROR(__xludf.DUMMYFUNCTION("""COMPUTED_VALUE"""),"EMPI FRANGKI LIEM")</f>
        <v>EMPI FRANGKI LIEM</v>
      </c>
      <c r="C3304" s="40" t="str">
        <f>IFERROR(__xludf.DUMMYFUNCTION("""COMPUTED_VALUE"""),"Belum disetujui")</f>
        <v>Belum disetujui</v>
      </c>
      <c r="D3304" s="40"/>
      <c r="E3304" s="40" t="s">
        <v>11397</v>
      </c>
      <c r="F3304" s="40" t="s">
        <v>220</v>
      </c>
      <c r="G3304" s="40" t="s">
        <v>11398</v>
      </c>
      <c r="H3304" s="40" t="s">
        <v>11399</v>
      </c>
    </row>
    <row r="3305">
      <c r="A3305" s="39">
        <f>IFERROR(__xludf.DUMMYFUNCTION("""COMPUTED_VALUE"""),45990.48699466435)</f>
        <v>45990.48699</v>
      </c>
      <c r="B3305" s="40" t="str">
        <f>IFERROR(__xludf.DUMMYFUNCTION("""COMPUTED_VALUE"""),"AINI RAHMATINI NATALIA MOESTAKIM")</f>
        <v>AINI RAHMATINI NATALIA MOESTAKIM</v>
      </c>
      <c r="C3305" s="40" t="str">
        <f>IFERROR(__xludf.DUMMYFUNCTION("""COMPUTED_VALUE"""),"Belum disetujui")</f>
        <v>Belum disetujui</v>
      </c>
      <c r="D3305" s="40"/>
      <c r="E3305" s="40" t="s">
        <v>11409</v>
      </c>
      <c r="F3305" s="40" t="s">
        <v>204</v>
      </c>
      <c r="G3305" s="40" t="s">
        <v>11410</v>
      </c>
      <c r="H3305" s="40" t="s">
        <v>11399</v>
      </c>
    </row>
    <row r="3306">
      <c r="A3306" s="39">
        <f>IFERROR(__xludf.DUMMYFUNCTION("""COMPUTED_VALUE"""),45990.504914375)</f>
        <v>45990.50491</v>
      </c>
      <c r="B3306" s="40" t="str">
        <f>IFERROR(__xludf.DUMMYFUNCTION("""COMPUTED_VALUE"""),"AINI RAHMATINI NATALIA MOESTAKIM")</f>
        <v>AINI RAHMATINI NATALIA MOESTAKIM</v>
      </c>
      <c r="C3306" s="40" t="str">
        <f>IFERROR(__xludf.DUMMYFUNCTION("""COMPUTED_VALUE"""),"Belum disetujui")</f>
        <v>Belum disetujui</v>
      </c>
      <c r="D3306" s="40"/>
      <c r="E3306" s="40" t="s">
        <v>11409</v>
      </c>
      <c r="F3306" s="40" t="s">
        <v>204</v>
      </c>
      <c r="G3306" s="40" t="s">
        <v>11410</v>
      </c>
      <c r="H3306" s="40" t="s">
        <v>11399</v>
      </c>
    </row>
    <row r="3307">
      <c r="A3307" s="39">
        <f>IFERROR(__xludf.DUMMYFUNCTION("""COMPUTED_VALUE"""),45990.50724054398)</f>
        <v>45990.50724</v>
      </c>
      <c r="B3307" s="40" t="str">
        <f>IFERROR(__xludf.DUMMYFUNCTION("""COMPUTED_VALUE"""),"AINI RAHMATINI NATALIA MOESTAKIM")</f>
        <v>AINI RAHMATINI NATALIA MOESTAKIM</v>
      </c>
      <c r="C3307" s="40" t="str">
        <f>IFERROR(__xludf.DUMMYFUNCTION("""COMPUTED_VALUE"""),"Belum disetujui")</f>
        <v>Belum disetujui</v>
      </c>
      <c r="D3307" s="40"/>
      <c r="E3307" s="40" t="s">
        <v>11409</v>
      </c>
      <c r="F3307" s="40" t="s">
        <v>204</v>
      </c>
      <c r="G3307" s="40" t="s">
        <v>11410</v>
      </c>
      <c r="H3307" s="40" t="s">
        <v>11399</v>
      </c>
    </row>
    <row r="3308">
      <c r="A3308" s="39">
        <f>IFERROR(__xludf.DUMMYFUNCTION("""COMPUTED_VALUE"""),45990.5095375)</f>
        <v>45990.50954</v>
      </c>
      <c r="B3308" s="40" t="str">
        <f>IFERROR(__xludf.DUMMYFUNCTION("""COMPUTED_VALUE"""),"PATRIANI MENGI ULY")</f>
        <v>PATRIANI MENGI ULY</v>
      </c>
      <c r="C3308" s="40" t="str">
        <f>IFERROR(__xludf.DUMMYFUNCTION("""COMPUTED_VALUE"""),"Dapat limit tapi belum diproses")</f>
        <v>Dapat limit tapi belum diproses</v>
      </c>
      <c r="D3308" s="40" t="str">
        <f>IFERROR(__xludf.DUMMYFUNCTION("""COMPUTED_VALUE"""),"V60 Lite series")</f>
        <v>V60 Lite series</v>
      </c>
      <c r="E3308" s="40" t="s">
        <v>11402</v>
      </c>
      <c r="F3308" s="40" t="s">
        <v>204</v>
      </c>
      <c r="G3308" s="40" t="s">
        <v>11403</v>
      </c>
      <c r="H3308" s="40" t="s">
        <v>11399</v>
      </c>
    </row>
    <row r="3309">
      <c r="A3309" s="39">
        <f>IFERROR(__xludf.DUMMYFUNCTION("""COMPUTED_VALUE"""),45990.55425638889)</f>
        <v>45990.55426</v>
      </c>
      <c r="B3309" s="40" t="str">
        <f>IFERROR(__xludf.DUMMYFUNCTION("""COMPUTED_VALUE"""),"AINI RAHMATINI NATALIA MOESTAKIM")</f>
        <v>AINI RAHMATINI NATALIA MOESTAKIM</v>
      </c>
      <c r="C3309" s="40" t="str">
        <f>IFERROR(__xludf.DUMMYFUNCTION("""COMPUTED_VALUE"""),"Belum disetujui")</f>
        <v>Belum disetujui</v>
      </c>
      <c r="D3309" s="40"/>
      <c r="E3309" s="40" t="s">
        <v>11409</v>
      </c>
      <c r="F3309" s="40" t="s">
        <v>204</v>
      </c>
      <c r="G3309" s="40" t="s">
        <v>11410</v>
      </c>
      <c r="H3309" s="40" t="s">
        <v>11399</v>
      </c>
    </row>
    <row r="3310">
      <c r="A3310" s="39">
        <f>IFERROR(__xludf.DUMMYFUNCTION("""COMPUTED_VALUE"""),45990.558139872686)</f>
        <v>45990.55814</v>
      </c>
      <c r="B3310" s="40" t="str">
        <f>IFERROR(__xludf.DUMMYFUNCTION("""COMPUTED_VALUE"""),"ASRI NINGSI RAMBU ATA ENDI")</f>
        <v>ASRI NINGSI RAMBU ATA ENDI</v>
      </c>
      <c r="C3310" s="40" t="str">
        <f>IFERROR(__xludf.DUMMYFUNCTION("""COMPUTED_VALUE"""),"ACC")</f>
        <v>ACC</v>
      </c>
      <c r="D3310" s="40" t="str">
        <f>IFERROR(__xludf.DUMMYFUNCTION("""COMPUTED_VALUE"""),"Y400 series")</f>
        <v>Y400 series</v>
      </c>
      <c r="E3310" s="40" t="s">
        <v>11441</v>
      </c>
      <c r="F3310" s="40" t="s">
        <v>205</v>
      </c>
      <c r="G3310" s="40" t="s">
        <v>11442</v>
      </c>
      <c r="H3310" s="40" t="s">
        <v>11419</v>
      </c>
    </row>
    <row r="3311">
      <c r="A3311" s="39">
        <f>IFERROR(__xludf.DUMMYFUNCTION("""COMPUTED_VALUE"""),45990.574054467594)</f>
        <v>45990.57405</v>
      </c>
      <c r="B3311" s="40" t="str">
        <f>IFERROR(__xludf.DUMMYFUNCTION("""COMPUTED_VALUE"""),"AINI RAHMATINI NATALIA MOESTAKIM")</f>
        <v>AINI RAHMATINI NATALIA MOESTAKIM</v>
      </c>
      <c r="C3311" s="40" t="str">
        <f>IFERROR(__xludf.DUMMYFUNCTION("""COMPUTED_VALUE"""),"Belum disetujui")</f>
        <v>Belum disetujui</v>
      </c>
      <c r="D3311" s="40"/>
      <c r="E3311" s="40" t="s">
        <v>11409</v>
      </c>
      <c r="F3311" s="40" t="s">
        <v>204</v>
      </c>
      <c r="G3311" s="40" t="s">
        <v>11410</v>
      </c>
      <c r="H3311" s="40" t="s">
        <v>11399</v>
      </c>
    </row>
    <row r="3312">
      <c r="A3312" s="39">
        <f>IFERROR(__xludf.DUMMYFUNCTION("""COMPUTED_VALUE"""),45990.57438358796)</f>
        <v>45990.57438</v>
      </c>
      <c r="B3312" s="40" t="str">
        <f>IFERROR(__xludf.DUMMYFUNCTION("""COMPUTED_VALUE"""),"EMPI FRANGKI LIEM")</f>
        <v>EMPI FRANGKI LIEM</v>
      </c>
      <c r="C3312" s="40" t="str">
        <f>IFERROR(__xludf.DUMMYFUNCTION("""COMPUTED_VALUE"""),"Belum disetujui")</f>
        <v>Belum disetujui</v>
      </c>
      <c r="D3312" s="40"/>
      <c r="E3312" s="40" t="s">
        <v>11397</v>
      </c>
      <c r="F3312" s="40" t="s">
        <v>220</v>
      </c>
      <c r="G3312" s="40" t="s">
        <v>11398</v>
      </c>
      <c r="H3312" s="40" t="s">
        <v>11399</v>
      </c>
    </row>
    <row r="3313">
      <c r="A3313" s="39">
        <f>IFERROR(__xludf.DUMMYFUNCTION("""COMPUTED_VALUE"""),45990.575188090275)</f>
        <v>45990.57519</v>
      </c>
      <c r="B3313" s="40" t="str">
        <f>IFERROR(__xludf.DUMMYFUNCTION("""COMPUTED_VALUE"""),"AINI RAHMATINI NATALIA MOESTAKIM")</f>
        <v>AINI RAHMATINI NATALIA MOESTAKIM</v>
      </c>
      <c r="C3313" s="40" t="str">
        <f>IFERROR(__xludf.DUMMYFUNCTION("""COMPUTED_VALUE"""),"Belum disetujui")</f>
        <v>Belum disetujui</v>
      </c>
      <c r="D3313" s="40"/>
      <c r="E3313" s="40" t="s">
        <v>11409</v>
      </c>
      <c r="F3313" s="40" t="s">
        <v>204</v>
      </c>
      <c r="G3313" s="40" t="s">
        <v>11410</v>
      </c>
      <c r="H3313" s="40" t="s">
        <v>11399</v>
      </c>
    </row>
    <row r="3314">
      <c r="A3314" s="39">
        <f>IFERROR(__xludf.DUMMYFUNCTION("""COMPUTED_VALUE"""),45990.58114525463)</f>
        <v>45990.58115</v>
      </c>
      <c r="B3314" s="40" t="str">
        <f>IFERROR(__xludf.DUMMYFUNCTION("""COMPUTED_VALUE"""),"YUNITA TAMELAB")</f>
        <v>YUNITA TAMELAB</v>
      </c>
      <c r="C3314" s="40" t="str">
        <f>IFERROR(__xludf.DUMMYFUNCTION("""COMPUTED_VALUE"""),"Dapat limit tapi belum diproses")</f>
        <v>Dapat limit tapi belum diproses</v>
      </c>
      <c r="D3314" s="40" t="str">
        <f>IFERROR(__xludf.DUMMYFUNCTION("""COMPUTED_VALUE"""),"Y400 series")</f>
        <v>Y400 series</v>
      </c>
      <c r="E3314" s="40" t="s">
        <v>11472</v>
      </c>
      <c r="F3314" s="40" t="s">
        <v>667</v>
      </c>
      <c r="G3314" s="40" t="s">
        <v>11473</v>
      </c>
      <c r="H3314" s="40" t="s">
        <v>11424</v>
      </c>
    </row>
    <row r="3315">
      <c r="A3315" s="39">
        <f>IFERROR(__xludf.DUMMYFUNCTION("""COMPUTED_VALUE"""),45990.58884108796)</f>
        <v>45990.58884</v>
      </c>
      <c r="B3315" s="40" t="str">
        <f>IFERROR(__xludf.DUMMYFUNCTION("""COMPUTED_VALUE"""),"IDMAL YUSDIRAN YUSUF")</f>
        <v>IDMAL YUSDIRAN YUSUF</v>
      </c>
      <c r="C3315" s="40" t="str">
        <f>IFERROR(__xludf.DUMMYFUNCTION("""COMPUTED_VALUE"""),"Belum disetujui")</f>
        <v>Belum disetujui</v>
      </c>
      <c r="D3315" s="40"/>
      <c r="E3315" s="40" t="s">
        <v>11417</v>
      </c>
      <c r="F3315" s="40" t="s">
        <v>257</v>
      </c>
      <c r="G3315" s="40" t="s">
        <v>11418</v>
      </c>
      <c r="H3315" s="40" t="s">
        <v>11419</v>
      </c>
    </row>
    <row r="3316">
      <c r="A3316" s="39">
        <f>IFERROR(__xludf.DUMMYFUNCTION("""COMPUTED_VALUE"""),45990.591572835656)</f>
        <v>45990.59157</v>
      </c>
      <c r="B3316" s="40" t="str">
        <f>IFERROR(__xludf.DUMMYFUNCTION("""COMPUTED_VALUE"""),"YUNITA TAMELAB")</f>
        <v>YUNITA TAMELAB</v>
      </c>
      <c r="C3316" s="40" t="str">
        <f>IFERROR(__xludf.DUMMYFUNCTION("""COMPUTED_VALUE"""),"Belum disetujui")</f>
        <v>Belum disetujui</v>
      </c>
      <c r="D3316" s="40"/>
      <c r="E3316" s="40" t="s">
        <v>11472</v>
      </c>
      <c r="F3316" s="40" t="s">
        <v>667</v>
      </c>
      <c r="G3316" s="40" t="s">
        <v>11473</v>
      </c>
      <c r="H3316" s="40" t="s">
        <v>11424</v>
      </c>
    </row>
    <row r="3317">
      <c r="A3317" s="39">
        <f>IFERROR(__xludf.DUMMYFUNCTION("""COMPUTED_VALUE"""),45990.59509877315)</f>
        <v>45990.5951</v>
      </c>
      <c r="B3317" s="40" t="str">
        <f>IFERROR(__xludf.DUMMYFUNCTION("""COMPUTED_VALUE"""),"YOVANDA KATRINA NAE")</f>
        <v>YOVANDA KATRINA NAE</v>
      </c>
      <c r="C3317" s="40" t="str">
        <f>IFERROR(__xludf.DUMMYFUNCTION("""COMPUTED_VALUE"""),"ACC")</f>
        <v>ACC</v>
      </c>
      <c r="D3317" s="40" t="str">
        <f>IFERROR(__xludf.DUMMYFUNCTION("""COMPUTED_VALUE"""),"Y400 series")</f>
        <v>Y400 series</v>
      </c>
      <c r="E3317" s="40" t="s">
        <v>11425</v>
      </c>
      <c r="F3317" s="40" t="s">
        <v>205</v>
      </c>
      <c r="G3317" s="40" t="s">
        <v>11426</v>
      </c>
      <c r="H3317" s="40" t="s">
        <v>11419</v>
      </c>
    </row>
    <row r="3318">
      <c r="A3318" s="39">
        <f>IFERROR(__xludf.DUMMYFUNCTION("""COMPUTED_VALUE"""),45990.5990112963)</f>
        <v>45990.59901</v>
      </c>
      <c r="B3318" s="40" t="str">
        <f>IFERROR(__xludf.DUMMYFUNCTION("""COMPUTED_VALUE"""),"ANGELA BOUKA BERI")</f>
        <v>ANGELA BOUKA BERI</v>
      </c>
      <c r="C3318" s="40" t="str">
        <f>IFERROR(__xludf.DUMMYFUNCTION("""COMPUTED_VALUE"""),"Dapat limit tapi belum diproses")</f>
        <v>Dapat limit tapi belum diproses</v>
      </c>
      <c r="D3318" s="40" t="str">
        <f>IFERROR(__xludf.DUMMYFUNCTION("""COMPUTED_VALUE"""),"Y21d series")</f>
        <v>Y21d series</v>
      </c>
      <c r="E3318" s="40" t="s">
        <v>11486</v>
      </c>
      <c r="F3318" s="40" t="s">
        <v>11450</v>
      </c>
      <c r="G3318" s="40" t="s">
        <v>11487</v>
      </c>
      <c r="H3318" s="40" t="s">
        <v>11424</v>
      </c>
    </row>
    <row r="3319">
      <c r="A3319" s="39">
        <f>IFERROR(__xludf.DUMMYFUNCTION("""COMPUTED_VALUE"""),45990.61238648149)</f>
        <v>45990.61239</v>
      </c>
      <c r="B3319" s="40" t="str">
        <f>IFERROR(__xludf.DUMMYFUNCTION("""COMPUTED_VALUE"""),"AZ ZAHRA SITI ZAINAB")</f>
        <v>AZ ZAHRA SITI ZAINAB</v>
      </c>
      <c r="C3319" s="40" t="str">
        <f>IFERROR(__xludf.DUMMYFUNCTION("""COMPUTED_VALUE"""),"ACC")</f>
        <v>ACC</v>
      </c>
      <c r="D3319" s="40" t="str">
        <f>IFERROR(__xludf.DUMMYFUNCTION("""COMPUTED_VALUE"""),"Y400 series")</f>
        <v>Y400 series</v>
      </c>
      <c r="E3319" s="40" t="s">
        <v>11462</v>
      </c>
      <c r="F3319" s="40" t="s">
        <v>257</v>
      </c>
      <c r="G3319" s="40" t="s">
        <v>11463</v>
      </c>
      <c r="H3319" s="40" t="s">
        <v>11419</v>
      </c>
    </row>
    <row r="3320">
      <c r="A3320" s="39">
        <f>IFERROR(__xludf.DUMMYFUNCTION("""COMPUTED_VALUE"""),45990.62385228009)</f>
        <v>45990.62385</v>
      </c>
      <c r="B3320" s="40" t="str">
        <f>IFERROR(__xludf.DUMMYFUNCTION("""COMPUTED_VALUE"""),"IDMAL YUSDIRAN YUSUF")</f>
        <v>IDMAL YUSDIRAN YUSUF</v>
      </c>
      <c r="C3320" s="40" t="str">
        <f>IFERROR(__xludf.DUMMYFUNCTION("""COMPUTED_VALUE"""),"Belum disetujui")</f>
        <v>Belum disetujui</v>
      </c>
      <c r="D3320" s="40"/>
      <c r="E3320" s="40" t="s">
        <v>11417</v>
      </c>
      <c r="F3320" s="40" t="s">
        <v>257</v>
      </c>
      <c r="G3320" s="40" t="s">
        <v>11418</v>
      </c>
      <c r="H3320" s="40" t="s">
        <v>11419</v>
      </c>
    </row>
    <row r="3321">
      <c r="A3321" s="39">
        <f>IFERROR(__xludf.DUMMYFUNCTION("""COMPUTED_VALUE"""),45990.633714282405)</f>
        <v>45990.63371</v>
      </c>
      <c r="B3321" s="40" t="str">
        <f>IFERROR(__xludf.DUMMYFUNCTION("""COMPUTED_VALUE"""),"ARMINDA TEKU MANEK")</f>
        <v>ARMINDA TEKU MANEK</v>
      </c>
      <c r="C3321" s="40" t="str">
        <f>IFERROR(__xludf.DUMMYFUNCTION("""COMPUTED_VALUE"""),"Belum disetujui")</f>
        <v>Belum disetujui</v>
      </c>
      <c r="D3321" s="40"/>
      <c r="E3321" s="40" t="s">
        <v>11474</v>
      </c>
      <c r="F3321" s="40" t="s">
        <v>313</v>
      </c>
      <c r="G3321" s="40" t="s">
        <v>11475</v>
      </c>
      <c r="H3321" s="40" t="s">
        <v>11424</v>
      </c>
    </row>
    <row r="3322">
      <c r="A3322" s="39">
        <f>IFERROR(__xludf.DUMMYFUNCTION("""COMPUTED_VALUE"""),45990.63397858796)</f>
        <v>45990.63398</v>
      </c>
      <c r="B3322" s="40" t="str">
        <f>IFERROR(__xludf.DUMMYFUNCTION("""COMPUTED_VALUE"""),"MERDA PUTRI BUNGSU KENAT")</f>
        <v>MERDA PUTRI BUNGSU KENAT</v>
      </c>
      <c r="C3322" s="40" t="str">
        <f>IFERROR(__xludf.DUMMYFUNCTION("""COMPUTED_VALUE"""),"Dapat limit tapi belum diproses")</f>
        <v>Dapat limit tapi belum diproses</v>
      </c>
      <c r="D3322" s="40" t="str">
        <f>IFERROR(__xludf.DUMMYFUNCTION("""COMPUTED_VALUE"""),"V60 series")</f>
        <v>V60 series</v>
      </c>
      <c r="E3322" s="40" t="s">
        <v>11422</v>
      </c>
      <c r="F3322" s="40" t="s">
        <v>215</v>
      </c>
      <c r="G3322" s="40" t="s">
        <v>11423</v>
      </c>
      <c r="H3322" s="40" t="s">
        <v>11424</v>
      </c>
    </row>
    <row r="3323">
      <c r="A3323" s="39">
        <f>IFERROR(__xludf.DUMMYFUNCTION("""COMPUTED_VALUE"""),45990.63698269676)</f>
        <v>45990.63698</v>
      </c>
      <c r="B3323" s="40" t="str">
        <f>IFERROR(__xludf.DUMMYFUNCTION("""COMPUTED_VALUE"""),"ADRIANA")</f>
        <v>ADRIANA</v>
      </c>
      <c r="C3323" s="40" t="str">
        <f>IFERROR(__xludf.DUMMYFUNCTION("""COMPUTED_VALUE"""),"Dapat limit tapi belum diproses")</f>
        <v>Dapat limit tapi belum diproses</v>
      </c>
      <c r="D3323" s="40" t="str">
        <f>IFERROR(__xludf.DUMMYFUNCTION("""COMPUTED_VALUE"""),"Y21d series")</f>
        <v>Y21d series</v>
      </c>
      <c r="E3323" s="40" t="s">
        <v>11433</v>
      </c>
      <c r="F3323" s="40" t="s">
        <v>313</v>
      </c>
      <c r="G3323" s="40" t="s">
        <v>11434</v>
      </c>
      <c r="H3323" s="40" t="s">
        <v>11424</v>
      </c>
    </row>
    <row r="3324">
      <c r="A3324" s="39">
        <f>IFERROR(__xludf.DUMMYFUNCTION("""COMPUTED_VALUE"""),45990.64976756945)</f>
        <v>45990.64977</v>
      </c>
      <c r="B3324" s="40" t="str">
        <f>IFERROR(__xludf.DUMMYFUNCTION("""COMPUTED_VALUE"""),"IDMAL YUSDIRAN YUSUF")</f>
        <v>IDMAL YUSDIRAN YUSUF</v>
      </c>
      <c r="C3324" s="40" t="str">
        <f>IFERROR(__xludf.DUMMYFUNCTION("""COMPUTED_VALUE"""),"Belum disetujui")</f>
        <v>Belum disetujui</v>
      </c>
      <c r="D3324" s="40"/>
      <c r="E3324" s="40" t="s">
        <v>11417</v>
      </c>
      <c r="F3324" s="40" t="s">
        <v>257</v>
      </c>
      <c r="G3324" s="40" t="s">
        <v>11418</v>
      </c>
      <c r="H3324" s="40" t="s">
        <v>11419</v>
      </c>
    </row>
    <row r="3325">
      <c r="A3325" s="39">
        <f>IFERROR(__xludf.DUMMYFUNCTION("""COMPUTED_VALUE"""),45990.67542681713)</f>
        <v>45990.67543</v>
      </c>
      <c r="B3325" s="40" t="str">
        <f>IFERROR(__xludf.DUMMYFUNCTION("""COMPUTED_VALUE"""),"IDMAL YUSDIRAN YUSUF")</f>
        <v>IDMAL YUSDIRAN YUSUF</v>
      </c>
      <c r="C3325" s="40" t="str">
        <f>IFERROR(__xludf.DUMMYFUNCTION("""COMPUTED_VALUE"""),"Belum disetujui")</f>
        <v>Belum disetujui</v>
      </c>
      <c r="D3325" s="40"/>
      <c r="E3325" s="40" t="s">
        <v>11417</v>
      </c>
      <c r="F3325" s="40" t="s">
        <v>257</v>
      </c>
      <c r="G3325" s="40" t="s">
        <v>11418</v>
      </c>
      <c r="H3325" s="40" t="s">
        <v>11419</v>
      </c>
    </row>
    <row r="3326">
      <c r="A3326" s="39">
        <f>IFERROR(__xludf.DUMMYFUNCTION("""COMPUTED_VALUE"""),45990.72281577546)</f>
        <v>45990.72282</v>
      </c>
      <c r="B3326" s="40" t="str">
        <f>IFERROR(__xludf.DUMMYFUNCTION("""COMPUTED_VALUE"""),"AZ ZAHRA SITI ZAINAB")</f>
        <v>AZ ZAHRA SITI ZAINAB</v>
      </c>
      <c r="C3326" s="40" t="str">
        <f>IFERROR(__xludf.DUMMYFUNCTION("""COMPUTED_VALUE"""),"Belum disetujui")</f>
        <v>Belum disetujui</v>
      </c>
      <c r="D3326" s="40"/>
      <c r="E3326" s="40" t="s">
        <v>11462</v>
      </c>
      <c r="F3326" s="40" t="s">
        <v>257</v>
      </c>
      <c r="G3326" s="40" t="s">
        <v>11463</v>
      </c>
      <c r="H3326" s="40" t="s">
        <v>11419</v>
      </c>
    </row>
    <row r="3327">
      <c r="A3327" s="39">
        <f>IFERROR(__xludf.DUMMYFUNCTION("""COMPUTED_VALUE"""),45990.73241408564)</f>
        <v>45990.73241</v>
      </c>
      <c r="B3327" s="40" t="str">
        <f>IFERROR(__xludf.DUMMYFUNCTION("""COMPUTED_VALUE"""),"ALDIANA WELIA PANIE")</f>
        <v>ALDIANA WELIA PANIE</v>
      </c>
      <c r="C3327" s="40" t="str">
        <f>IFERROR(__xludf.DUMMYFUNCTION("""COMPUTED_VALUE"""),"Belum disetujui")</f>
        <v>Belum disetujui</v>
      </c>
      <c r="D3327" s="40"/>
      <c r="E3327" s="40" t="s">
        <v>11422</v>
      </c>
      <c r="F3327" s="40" t="s">
        <v>215</v>
      </c>
      <c r="G3327" s="40" t="s">
        <v>11423</v>
      </c>
      <c r="H3327" s="40" t="s">
        <v>11424</v>
      </c>
    </row>
    <row r="3328">
      <c r="A3328" s="39">
        <f>IFERROR(__xludf.DUMMYFUNCTION("""COMPUTED_VALUE"""),45990.73267934028)</f>
        <v>45990.73268</v>
      </c>
      <c r="B3328" s="40" t="str">
        <f>IFERROR(__xludf.DUMMYFUNCTION("""COMPUTED_VALUE"""),"MARATHA MARLINDA FANGGIDAE")</f>
        <v>MARATHA MARLINDA FANGGIDAE</v>
      </c>
      <c r="C3328" s="40" t="str">
        <f>IFERROR(__xludf.DUMMYFUNCTION("""COMPUTED_VALUE"""),"Belum disetujui")</f>
        <v>Belum disetujui</v>
      </c>
      <c r="D3328" s="40"/>
      <c r="E3328" s="40" t="s">
        <v>11435</v>
      </c>
      <c r="F3328" s="40" t="s">
        <v>215</v>
      </c>
      <c r="G3328" s="40" t="s">
        <v>11436</v>
      </c>
      <c r="H3328" s="40" t="s">
        <v>11424</v>
      </c>
    </row>
    <row r="3329">
      <c r="A3329" s="39">
        <f>IFERROR(__xludf.DUMMYFUNCTION("""COMPUTED_VALUE"""),45990.733554895836)</f>
        <v>45990.73355</v>
      </c>
      <c r="B3329" s="40" t="str">
        <f>IFERROR(__xludf.DUMMYFUNCTION("""COMPUTED_VALUE"""),"MARATHA MARLINDA FANGGIDAE")</f>
        <v>MARATHA MARLINDA FANGGIDAE</v>
      </c>
      <c r="C3329" s="40" t="str">
        <f>IFERROR(__xludf.DUMMYFUNCTION("""COMPUTED_VALUE"""),"Belum disetujui")</f>
        <v>Belum disetujui</v>
      </c>
      <c r="D3329" s="40"/>
      <c r="E3329" s="40" t="s">
        <v>11435</v>
      </c>
      <c r="F3329" s="40" t="s">
        <v>215</v>
      </c>
      <c r="G3329" s="40" t="s">
        <v>11436</v>
      </c>
      <c r="H3329" s="40" t="s">
        <v>11424</v>
      </c>
    </row>
    <row r="3330">
      <c r="A3330" s="39">
        <f>IFERROR(__xludf.DUMMYFUNCTION("""COMPUTED_VALUE"""),45990.73499277778)</f>
        <v>45990.73499</v>
      </c>
      <c r="B3330" s="40" t="str">
        <f>IFERROR(__xludf.DUMMYFUNCTION("""COMPUTED_VALUE"""),"KESIA NATALIA I. BENU")</f>
        <v>KESIA NATALIA I. BENU</v>
      </c>
      <c r="C3330" s="40" t="str">
        <f>IFERROR(__xludf.DUMMYFUNCTION("""COMPUTED_VALUE"""),"ACC")</f>
        <v>ACC</v>
      </c>
      <c r="D3330" s="40" t="str">
        <f>IFERROR(__xludf.DUMMYFUNCTION("""COMPUTED_VALUE"""),"Y21d series")</f>
        <v>Y21d series</v>
      </c>
      <c r="E3330" s="40" t="s">
        <v>11417</v>
      </c>
      <c r="F3330" s="40" t="s">
        <v>257</v>
      </c>
      <c r="G3330" s="40" t="s">
        <v>11418</v>
      </c>
      <c r="H3330" s="40" t="s">
        <v>11419</v>
      </c>
    </row>
    <row r="3331">
      <c r="A3331" s="39">
        <f>IFERROR(__xludf.DUMMYFUNCTION("""COMPUTED_VALUE"""),45990.739468287036)</f>
        <v>45990.73947</v>
      </c>
      <c r="B3331" s="40" t="str">
        <f>IFERROR(__xludf.DUMMYFUNCTION("""COMPUTED_VALUE"""),"KESIA NATALIA I. BENU")</f>
        <v>KESIA NATALIA I. BENU</v>
      </c>
      <c r="C3331" s="40" t="str">
        <f>IFERROR(__xludf.DUMMYFUNCTION("""COMPUTED_VALUE"""),"Belum disetujui")</f>
        <v>Belum disetujui</v>
      </c>
      <c r="D3331" s="40"/>
      <c r="E3331" s="40" t="s">
        <v>11417</v>
      </c>
      <c r="F3331" s="40" t="s">
        <v>257</v>
      </c>
      <c r="G3331" s="40" t="s">
        <v>11418</v>
      </c>
      <c r="H3331" s="40" t="s">
        <v>11419</v>
      </c>
    </row>
    <row r="3332">
      <c r="A3332" s="39">
        <f>IFERROR(__xludf.DUMMYFUNCTION("""COMPUTED_VALUE"""),45990.740899062504)</f>
        <v>45990.7409</v>
      </c>
      <c r="B3332" s="40" t="str">
        <f>IFERROR(__xludf.DUMMYFUNCTION("""COMPUTED_VALUE"""),"KESIA NATALIA I. BENU")</f>
        <v>KESIA NATALIA I. BENU</v>
      </c>
      <c r="C3332" s="40" t="str">
        <f>IFERROR(__xludf.DUMMYFUNCTION("""COMPUTED_VALUE"""),"Belum disetujui")</f>
        <v>Belum disetujui</v>
      </c>
      <c r="D3332" s="40"/>
      <c r="E3332" s="40" t="s">
        <v>11417</v>
      </c>
      <c r="F3332" s="40" t="s">
        <v>257</v>
      </c>
      <c r="G3332" s="40" t="s">
        <v>11418</v>
      </c>
      <c r="H3332" s="40" t="s">
        <v>11419</v>
      </c>
    </row>
    <row r="3333">
      <c r="A3333" s="39">
        <f>IFERROR(__xludf.DUMMYFUNCTION("""COMPUTED_VALUE"""),45990.74244255787)</f>
        <v>45990.74244</v>
      </c>
      <c r="B3333" s="40" t="str">
        <f>IFERROR(__xludf.DUMMYFUNCTION("""COMPUTED_VALUE"""),"KESIA NATALIA I. BENU")</f>
        <v>KESIA NATALIA I. BENU</v>
      </c>
      <c r="C3333" s="40" t="str">
        <f>IFERROR(__xludf.DUMMYFUNCTION("""COMPUTED_VALUE"""),"Belum disetujui")</f>
        <v>Belum disetujui</v>
      </c>
      <c r="D3333" s="40"/>
      <c r="E3333" s="40" t="s">
        <v>11417</v>
      </c>
      <c r="F3333" s="40" t="s">
        <v>257</v>
      </c>
      <c r="G3333" s="40" t="s">
        <v>11418</v>
      </c>
      <c r="H3333" s="40" t="s">
        <v>11419</v>
      </c>
    </row>
    <row r="3334">
      <c r="A3334" s="39">
        <f>IFERROR(__xludf.DUMMYFUNCTION("""COMPUTED_VALUE"""),45990.74803578704)</f>
        <v>45990.74804</v>
      </c>
      <c r="B3334" s="40" t="str">
        <f>IFERROR(__xludf.DUMMYFUNCTION("""COMPUTED_VALUE"""),"KESIA NATALIA I. BENU")</f>
        <v>KESIA NATALIA I. BENU</v>
      </c>
      <c r="C3334" s="40" t="str">
        <f>IFERROR(__xludf.DUMMYFUNCTION("""COMPUTED_VALUE"""),"Belum disetujui")</f>
        <v>Belum disetujui</v>
      </c>
      <c r="D3334" s="40"/>
      <c r="E3334" s="40" t="s">
        <v>11417</v>
      </c>
      <c r="F3334" s="40" t="s">
        <v>257</v>
      </c>
      <c r="G3334" s="40" t="s">
        <v>11418</v>
      </c>
      <c r="H3334" s="40" t="s">
        <v>11419</v>
      </c>
    </row>
    <row r="3335">
      <c r="A3335" s="39">
        <f>IFERROR(__xludf.DUMMYFUNCTION("""COMPUTED_VALUE"""),45990.749322800926)</f>
        <v>45990.74932</v>
      </c>
      <c r="B3335" s="40" t="str">
        <f>IFERROR(__xludf.DUMMYFUNCTION("""COMPUTED_VALUE"""),"KESIA NATALIA I. BENU")</f>
        <v>KESIA NATALIA I. BENU</v>
      </c>
      <c r="C3335" s="40" t="str">
        <f>IFERROR(__xludf.DUMMYFUNCTION("""COMPUTED_VALUE"""),"Belum disetujui")</f>
        <v>Belum disetujui</v>
      </c>
      <c r="D3335" s="40"/>
      <c r="E3335" s="40" t="s">
        <v>11417</v>
      </c>
      <c r="F3335" s="40" t="s">
        <v>257</v>
      </c>
      <c r="G3335" s="40" t="s">
        <v>11418</v>
      </c>
      <c r="H3335" s="40" t="s">
        <v>11419</v>
      </c>
    </row>
    <row r="3336">
      <c r="A3336" s="39">
        <f>IFERROR(__xludf.DUMMYFUNCTION("""COMPUTED_VALUE"""),45990.75099148149)</f>
        <v>45990.75099</v>
      </c>
      <c r="B3336" s="40" t="str">
        <f>IFERROR(__xludf.DUMMYFUNCTION("""COMPUTED_VALUE"""),"DEWI RAHMAN")</f>
        <v>DEWI RAHMAN</v>
      </c>
      <c r="C3336" s="40" t="str">
        <f>IFERROR(__xludf.DUMMYFUNCTION("""COMPUTED_VALUE"""),"Belum disetujui")</f>
        <v>Belum disetujui</v>
      </c>
      <c r="D3336" s="40"/>
      <c r="E3336" s="40" t="s">
        <v>11449</v>
      </c>
      <c r="F3336" s="40" t="s">
        <v>11450</v>
      </c>
      <c r="G3336" s="40" t="s">
        <v>11451</v>
      </c>
      <c r="H3336" s="40" t="s">
        <v>11424</v>
      </c>
    </row>
    <row r="3337">
      <c r="A3337" s="39">
        <f>IFERROR(__xludf.DUMMYFUNCTION("""COMPUTED_VALUE"""),45990.75116630787)</f>
        <v>45990.75117</v>
      </c>
      <c r="B3337" s="40" t="str">
        <f>IFERROR(__xludf.DUMMYFUNCTION("""COMPUTED_VALUE"""),"KESIA NATALIA I. BENU")</f>
        <v>KESIA NATALIA I. BENU</v>
      </c>
      <c r="C3337" s="40" t="str">
        <f>IFERROR(__xludf.DUMMYFUNCTION("""COMPUTED_VALUE"""),"Dapat limit tapi belum diproses")</f>
        <v>Dapat limit tapi belum diproses</v>
      </c>
      <c r="D3337" s="40" t="str">
        <f>IFERROR(__xludf.DUMMYFUNCTION("""COMPUTED_VALUE"""),"Y21d series")</f>
        <v>Y21d series</v>
      </c>
      <c r="E3337" s="40" t="s">
        <v>11417</v>
      </c>
      <c r="F3337" s="40" t="s">
        <v>257</v>
      </c>
      <c r="G3337" s="40" t="s">
        <v>11418</v>
      </c>
      <c r="H3337" s="40" t="s">
        <v>11419</v>
      </c>
    </row>
    <row r="3338">
      <c r="A3338" s="39">
        <f>IFERROR(__xludf.DUMMYFUNCTION("""COMPUTED_VALUE"""),45990.751974189814)</f>
        <v>45990.75197</v>
      </c>
      <c r="B3338" s="40" t="str">
        <f>IFERROR(__xludf.DUMMYFUNCTION("""COMPUTED_VALUE"""),"AINI RAHMATINI NATALIA MOESTAKIM")</f>
        <v>AINI RAHMATINI NATALIA MOESTAKIM</v>
      </c>
      <c r="C3338" s="40" t="str">
        <f>IFERROR(__xludf.DUMMYFUNCTION("""COMPUTED_VALUE"""),"Belum disetujui")</f>
        <v>Belum disetujui</v>
      </c>
      <c r="D3338" s="40"/>
      <c r="E3338" s="40" t="s">
        <v>11409</v>
      </c>
      <c r="F3338" s="40" t="s">
        <v>204</v>
      </c>
      <c r="G3338" s="40" t="s">
        <v>11410</v>
      </c>
      <c r="H3338" s="40" t="s">
        <v>11399</v>
      </c>
    </row>
    <row r="3339">
      <c r="A3339" s="39">
        <f>IFERROR(__xludf.DUMMYFUNCTION("""COMPUTED_VALUE"""),45990.77438259259)</f>
        <v>45990.77438</v>
      </c>
      <c r="B3339" s="40" t="str">
        <f>IFERROR(__xludf.DUMMYFUNCTION("""COMPUTED_VALUE"""),"YASINTHA MBU")</f>
        <v>YASINTHA MBU</v>
      </c>
      <c r="C3339" s="40" t="str">
        <f>IFERROR(__xludf.DUMMYFUNCTION("""COMPUTED_VALUE"""),"Belum disetujui")</f>
        <v>Belum disetujui</v>
      </c>
      <c r="D3339" s="40"/>
      <c r="E3339" s="40" t="s">
        <v>11407</v>
      </c>
      <c r="F3339" s="40" t="s">
        <v>220</v>
      </c>
      <c r="G3339" s="40" t="s">
        <v>11408</v>
      </c>
      <c r="H3339" s="40" t="s">
        <v>11399</v>
      </c>
    </row>
    <row r="3340">
      <c r="A3340" s="39">
        <f>IFERROR(__xludf.DUMMYFUNCTION("""COMPUTED_VALUE"""),45990.77724456019)</f>
        <v>45990.77724</v>
      </c>
      <c r="B3340" s="40" t="str">
        <f>IFERROR(__xludf.DUMMYFUNCTION("""COMPUTED_VALUE"""),"DWITNEY PRETY WANGGANDIMA")</f>
        <v>DWITNEY PRETY WANGGANDIMA</v>
      </c>
      <c r="C3340" s="40" t="str">
        <f>IFERROR(__xludf.DUMMYFUNCTION("""COMPUTED_VALUE"""),"Belum disetujui")</f>
        <v>Belum disetujui</v>
      </c>
      <c r="D3340" s="40"/>
      <c r="E3340" s="40" t="s">
        <v>11443</v>
      </c>
      <c r="F3340" s="40" t="s">
        <v>220</v>
      </c>
      <c r="G3340" s="40" t="s">
        <v>11444</v>
      </c>
      <c r="H3340" s="40" t="s">
        <v>11399</v>
      </c>
    </row>
    <row r="3341">
      <c r="A3341" s="39">
        <f>IFERROR(__xludf.DUMMYFUNCTION("""COMPUTED_VALUE"""),45990.78031043981)</f>
        <v>45990.78031</v>
      </c>
      <c r="B3341" s="40" t="str">
        <f>IFERROR(__xludf.DUMMYFUNCTION("""COMPUTED_VALUE"""),"YUNITA TAMELAB")</f>
        <v>YUNITA TAMELAB</v>
      </c>
      <c r="C3341" s="40" t="str">
        <f>IFERROR(__xludf.DUMMYFUNCTION("""COMPUTED_VALUE"""),"Belum disetujui")</f>
        <v>Belum disetujui</v>
      </c>
      <c r="D3341" s="40"/>
      <c r="E3341" s="40" t="s">
        <v>11472</v>
      </c>
      <c r="F3341" s="40" t="s">
        <v>667</v>
      </c>
      <c r="G3341" s="40" t="s">
        <v>11473</v>
      </c>
      <c r="H3341" s="40" t="s">
        <v>11424</v>
      </c>
    </row>
    <row r="3342">
      <c r="A3342" s="39">
        <f>IFERROR(__xludf.DUMMYFUNCTION("""COMPUTED_VALUE"""),45990.78778974537)</f>
        <v>45990.78779</v>
      </c>
      <c r="B3342" s="40" t="str">
        <f>IFERROR(__xludf.DUMMYFUNCTION("""COMPUTED_VALUE"""),"ALDIANA WELIA PANIE")</f>
        <v>ALDIANA WELIA PANIE</v>
      </c>
      <c r="C3342" s="40" t="str">
        <f>IFERROR(__xludf.DUMMYFUNCTION("""COMPUTED_VALUE"""),"Belum disetujui")</f>
        <v>Belum disetujui</v>
      </c>
      <c r="D3342" s="40"/>
      <c r="E3342" s="40" t="s">
        <v>11422</v>
      </c>
      <c r="F3342" s="40" t="s">
        <v>215</v>
      </c>
      <c r="G3342" s="40" t="s">
        <v>11423</v>
      </c>
      <c r="H3342" s="40" t="s">
        <v>11424</v>
      </c>
    </row>
    <row r="3343">
      <c r="A3343" s="39">
        <f>IFERROR(__xludf.DUMMYFUNCTION("""COMPUTED_VALUE"""),45990.80911648148)</f>
        <v>45990.80912</v>
      </c>
      <c r="B3343" s="40" t="str">
        <f>IFERROR(__xludf.DUMMYFUNCTION("""COMPUTED_VALUE"""),"AINI RAHMATINI NATALIA MOESTAKIM")</f>
        <v>AINI RAHMATINI NATALIA MOESTAKIM</v>
      </c>
      <c r="C3343" s="40" t="str">
        <f>IFERROR(__xludf.DUMMYFUNCTION("""COMPUTED_VALUE"""),"Dapat limit tapi belum diproses")</f>
        <v>Dapat limit tapi belum diproses</v>
      </c>
      <c r="D3343" s="40" t="str">
        <f>IFERROR(__xludf.DUMMYFUNCTION("""COMPUTED_VALUE"""),"Y400 series")</f>
        <v>Y400 series</v>
      </c>
      <c r="E3343" s="40" t="s">
        <v>11409</v>
      </c>
      <c r="F3343" s="40" t="s">
        <v>204</v>
      </c>
      <c r="G3343" s="40" t="s">
        <v>11410</v>
      </c>
      <c r="H3343" s="40" t="s">
        <v>11399</v>
      </c>
    </row>
    <row r="3344">
      <c r="A3344" s="39">
        <f>IFERROR(__xludf.DUMMYFUNCTION("""COMPUTED_VALUE"""),45990.82991761574)</f>
        <v>45990.82992</v>
      </c>
      <c r="B3344" s="40" t="str">
        <f>IFERROR(__xludf.DUMMYFUNCTION("""COMPUTED_VALUE"""),"ADRIANA")</f>
        <v>ADRIANA</v>
      </c>
      <c r="C3344" s="40" t="str">
        <f>IFERROR(__xludf.DUMMYFUNCTION("""COMPUTED_VALUE"""),"ACC")</f>
        <v>ACC</v>
      </c>
      <c r="D3344" s="40" t="str">
        <f>IFERROR(__xludf.DUMMYFUNCTION("""COMPUTED_VALUE"""),"V60 Lite series")</f>
        <v>V60 Lite series</v>
      </c>
      <c r="E3344" s="40" t="s">
        <v>11433</v>
      </c>
      <c r="F3344" s="40" t="s">
        <v>313</v>
      </c>
      <c r="G3344" s="40" t="s">
        <v>11434</v>
      </c>
      <c r="H3344" s="40" t="s">
        <v>11424</v>
      </c>
    </row>
    <row r="3345">
      <c r="A3345" s="39">
        <f>IFERROR(__xludf.DUMMYFUNCTION("""COMPUTED_VALUE"""),45990.84350715278)</f>
        <v>45990.84351</v>
      </c>
      <c r="B3345" s="40" t="str">
        <f>IFERROR(__xludf.DUMMYFUNCTION("""COMPUTED_VALUE"""),"AINI RAHMATINI NATALIA MOESTAKIM")</f>
        <v>AINI RAHMATINI NATALIA MOESTAKIM</v>
      </c>
      <c r="C3345" s="40" t="str">
        <f>IFERROR(__xludf.DUMMYFUNCTION("""COMPUTED_VALUE"""),"Belum disetujui")</f>
        <v>Belum disetujui</v>
      </c>
      <c r="D3345" s="40"/>
      <c r="E3345" s="40" t="s">
        <v>11409</v>
      </c>
      <c r="F3345" s="40" t="s">
        <v>204</v>
      </c>
      <c r="G3345" s="40" t="s">
        <v>11410</v>
      </c>
      <c r="H3345" s="40" t="s">
        <v>11399</v>
      </c>
    </row>
    <row r="3346">
      <c r="A3346" s="39">
        <f>IFERROR(__xludf.DUMMYFUNCTION("""COMPUTED_VALUE"""),45990.84671871528)</f>
        <v>45990.84672</v>
      </c>
      <c r="B3346" s="40" t="str">
        <f>IFERROR(__xludf.DUMMYFUNCTION("""COMPUTED_VALUE"""),"PATRIANI MENGI ULY")</f>
        <v>PATRIANI MENGI ULY</v>
      </c>
      <c r="C3346" s="40" t="str">
        <f>IFERROR(__xludf.DUMMYFUNCTION("""COMPUTED_VALUE"""),"Dapat limit tapi belum diproses")</f>
        <v>Dapat limit tapi belum diproses</v>
      </c>
      <c r="D3346" s="40" t="str">
        <f>IFERROR(__xludf.DUMMYFUNCTION("""COMPUTED_VALUE"""),"Y400 series")</f>
        <v>Y400 series</v>
      </c>
      <c r="E3346" s="40" t="s">
        <v>11402</v>
      </c>
      <c r="F3346" s="40" t="s">
        <v>204</v>
      </c>
      <c r="G3346" s="40" t="s">
        <v>11403</v>
      </c>
      <c r="H3346" s="40" t="s">
        <v>11399</v>
      </c>
    </row>
    <row r="3347">
      <c r="A3347" s="39">
        <f>IFERROR(__xludf.DUMMYFUNCTION("""COMPUTED_VALUE"""),45990.848339039345)</f>
        <v>45990.84834</v>
      </c>
      <c r="B3347" s="40" t="str">
        <f>IFERROR(__xludf.DUMMYFUNCTION("""COMPUTED_VALUE"""),"YASINTHA MBU")</f>
        <v>YASINTHA MBU</v>
      </c>
      <c r="C3347" s="40" t="str">
        <f>IFERROR(__xludf.DUMMYFUNCTION("""COMPUTED_VALUE"""),"Belum disetujui")</f>
        <v>Belum disetujui</v>
      </c>
      <c r="D3347" s="40"/>
      <c r="E3347" s="40" t="s">
        <v>11407</v>
      </c>
      <c r="F3347" s="40" t="s">
        <v>220</v>
      </c>
      <c r="G3347" s="40" t="s">
        <v>11408</v>
      </c>
      <c r="H3347" s="40" t="s">
        <v>11399</v>
      </c>
    </row>
    <row r="3348">
      <c r="A3348" s="39">
        <f>IFERROR(__xludf.DUMMYFUNCTION("""COMPUTED_VALUE"""),45990.85340275463)</f>
        <v>45990.8534</v>
      </c>
      <c r="B3348" s="40" t="str">
        <f>IFERROR(__xludf.DUMMYFUNCTION("""COMPUTED_VALUE"""),"NENY MERLIANTI NA'U")</f>
        <v>NENY MERLIANTI NA'U</v>
      </c>
      <c r="C3348" s="40" t="str">
        <f>IFERROR(__xludf.DUMMYFUNCTION("""COMPUTED_VALUE"""),"Belum disetujui")</f>
        <v>Belum disetujui</v>
      </c>
      <c r="D3348" s="40"/>
      <c r="E3348" s="40" t="s">
        <v>11476</v>
      </c>
      <c r="F3348" s="40" t="s">
        <v>204</v>
      </c>
      <c r="G3348" s="40" t="s">
        <v>11477</v>
      </c>
      <c r="H3348" s="40" t="s">
        <v>11399</v>
      </c>
    </row>
    <row r="3349">
      <c r="A3349" s="39">
        <f>IFERROR(__xludf.DUMMYFUNCTION("""COMPUTED_VALUE"""),45990.85584583333)</f>
        <v>45990.85585</v>
      </c>
      <c r="B3349" s="40" t="str">
        <f>IFERROR(__xludf.DUMMYFUNCTION("""COMPUTED_VALUE"""),"NENY MERLIANTI NA'U")</f>
        <v>NENY MERLIANTI NA'U</v>
      </c>
      <c r="C3349" s="40" t="str">
        <f>IFERROR(__xludf.DUMMYFUNCTION("""COMPUTED_VALUE"""),"Dapat limit tapi belum diproses")</f>
        <v>Dapat limit tapi belum diproses</v>
      </c>
      <c r="D3349" s="40" t="str">
        <f>IFERROR(__xludf.DUMMYFUNCTION("""COMPUTED_VALUE"""),"Y21d series")</f>
        <v>Y21d series</v>
      </c>
      <c r="E3349" s="40" t="s">
        <v>11476</v>
      </c>
      <c r="F3349" s="40" t="s">
        <v>204</v>
      </c>
      <c r="G3349" s="40" t="s">
        <v>11477</v>
      </c>
      <c r="H3349" s="40" t="s">
        <v>11399</v>
      </c>
    </row>
    <row r="3350">
      <c r="A3350" s="39">
        <f>IFERROR(__xludf.DUMMYFUNCTION("""COMPUTED_VALUE"""),45990.856746944446)</f>
        <v>45990.85675</v>
      </c>
      <c r="B3350" s="40" t="str">
        <f>IFERROR(__xludf.DUMMYFUNCTION("""COMPUTED_VALUE"""),"SKOLASTIKA B TAUNAES")</f>
        <v>SKOLASTIKA B TAUNAES</v>
      </c>
      <c r="C3350" s="40" t="str">
        <f>IFERROR(__xludf.DUMMYFUNCTION("""COMPUTED_VALUE"""),"Belum disetujui")</f>
        <v>Belum disetujui</v>
      </c>
      <c r="D3350" s="40"/>
      <c r="E3350" s="40" t="s">
        <v>11413</v>
      </c>
      <c r="F3350" s="40" t="s">
        <v>204</v>
      </c>
      <c r="G3350" s="40" t="s">
        <v>11414</v>
      </c>
      <c r="H3350" s="40" t="s">
        <v>11399</v>
      </c>
    </row>
    <row r="3351">
      <c r="A3351" s="39">
        <f>IFERROR(__xludf.DUMMYFUNCTION("""COMPUTED_VALUE"""),45990.85749333334)</f>
        <v>45990.85749</v>
      </c>
      <c r="B3351" s="40" t="str">
        <f>IFERROR(__xludf.DUMMYFUNCTION("""COMPUTED_VALUE"""),"AINI RAHMATINI NATALIA MOESTAKIM")</f>
        <v>AINI RAHMATINI NATALIA MOESTAKIM</v>
      </c>
      <c r="C3351" s="40" t="str">
        <f>IFERROR(__xludf.DUMMYFUNCTION("""COMPUTED_VALUE"""),"Belum disetujui")</f>
        <v>Belum disetujui</v>
      </c>
      <c r="D3351" s="40"/>
      <c r="E3351" s="40" t="s">
        <v>11409</v>
      </c>
      <c r="F3351" s="40" t="s">
        <v>204</v>
      </c>
      <c r="G3351" s="40" t="s">
        <v>11410</v>
      </c>
      <c r="H3351" s="40" t="s">
        <v>11399</v>
      </c>
    </row>
    <row r="3352">
      <c r="A3352" s="39">
        <f>IFERROR(__xludf.DUMMYFUNCTION("""COMPUTED_VALUE"""),45990.858085231484)</f>
        <v>45990.85809</v>
      </c>
      <c r="B3352" s="40" t="str">
        <f>IFERROR(__xludf.DUMMYFUNCTION("""COMPUTED_VALUE"""),"NENY MERLIANTI NA'U")</f>
        <v>NENY MERLIANTI NA'U</v>
      </c>
      <c r="C3352" s="40" t="str">
        <f>IFERROR(__xludf.DUMMYFUNCTION("""COMPUTED_VALUE"""),"Dapat limit tapi belum diproses")</f>
        <v>Dapat limit tapi belum diproses</v>
      </c>
      <c r="D3352" s="40" t="str">
        <f>IFERROR(__xludf.DUMMYFUNCTION("""COMPUTED_VALUE"""),"Y21d series")</f>
        <v>Y21d series</v>
      </c>
      <c r="E3352" s="40" t="s">
        <v>11476</v>
      </c>
      <c r="F3352" s="40" t="s">
        <v>204</v>
      </c>
      <c r="G3352" s="40" t="s">
        <v>11477</v>
      </c>
      <c r="H3352" s="40" t="s">
        <v>11399</v>
      </c>
    </row>
    <row r="3353">
      <c r="A3353" s="39">
        <f>IFERROR(__xludf.DUMMYFUNCTION("""COMPUTED_VALUE"""),45990.85866243055)</f>
        <v>45990.85866</v>
      </c>
      <c r="B3353" s="40" t="str">
        <f>IFERROR(__xludf.DUMMYFUNCTION("""COMPUTED_VALUE"""),"SKOLASTIKA B TAUNAES")</f>
        <v>SKOLASTIKA B TAUNAES</v>
      </c>
      <c r="C3353" s="40" t="str">
        <f>IFERROR(__xludf.DUMMYFUNCTION("""COMPUTED_VALUE"""),"Belum disetujui")</f>
        <v>Belum disetujui</v>
      </c>
      <c r="D3353" s="40"/>
      <c r="E3353" s="40" t="s">
        <v>11413</v>
      </c>
      <c r="F3353" s="40" t="s">
        <v>204</v>
      </c>
      <c r="G3353" s="40" t="s">
        <v>11414</v>
      </c>
      <c r="H3353" s="40" t="s">
        <v>11399</v>
      </c>
    </row>
    <row r="3354">
      <c r="A3354" s="39">
        <f>IFERROR(__xludf.DUMMYFUNCTION("""COMPUTED_VALUE"""),45990.86076425926)</f>
        <v>45990.86076</v>
      </c>
      <c r="B3354" s="40" t="str">
        <f>IFERROR(__xludf.DUMMYFUNCTION("""COMPUTED_VALUE"""),"SKOLASTIKA B TAUNAES")</f>
        <v>SKOLASTIKA B TAUNAES</v>
      </c>
      <c r="C3354" s="40" t="str">
        <f>IFERROR(__xludf.DUMMYFUNCTION("""COMPUTED_VALUE"""),"Belum disetujui")</f>
        <v>Belum disetujui</v>
      </c>
      <c r="D3354" s="40"/>
      <c r="E3354" s="40" t="s">
        <v>11413</v>
      </c>
      <c r="F3354" s="40" t="s">
        <v>204</v>
      </c>
      <c r="G3354" s="40" t="s">
        <v>11414</v>
      </c>
      <c r="H3354" s="40" t="s">
        <v>11399</v>
      </c>
    </row>
    <row r="3355">
      <c r="A3355" s="39">
        <f>IFERROR(__xludf.DUMMYFUNCTION("""COMPUTED_VALUE"""),45990.86277226852)</f>
        <v>45990.86277</v>
      </c>
      <c r="B3355" s="40" t="str">
        <f>IFERROR(__xludf.DUMMYFUNCTION("""COMPUTED_VALUE"""),"YOVANDA KATRINA NAE")</f>
        <v>YOVANDA KATRINA NAE</v>
      </c>
      <c r="C3355" s="40" t="str">
        <f>IFERROR(__xludf.DUMMYFUNCTION("""COMPUTED_VALUE"""),"ACC")</f>
        <v>ACC</v>
      </c>
      <c r="D3355" s="40" t="str">
        <f>IFERROR(__xludf.DUMMYFUNCTION("""COMPUTED_VALUE"""),"Y21d series")</f>
        <v>Y21d series</v>
      </c>
      <c r="E3355" s="40" t="s">
        <v>11425</v>
      </c>
      <c r="F3355" s="40" t="s">
        <v>205</v>
      </c>
      <c r="G3355" s="40" t="s">
        <v>11426</v>
      </c>
      <c r="H3355" s="40" t="s">
        <v>11419</v>
      </c>
    </row>
    <row r="3356">
      <c r="A3356" s="39">
        <f>IFERROR(__xludf.DUMMYFUNCTION("""COMPUTED_VALUE"""),45990.86417804398)</f>
        <v>45990.86418</v>
      </c>
      <c r="B3356" s="40" t="str">
        <f>IFERROR(__xludf.DUMMYFUNCTION("""COMPUTED_VALUE"""),"SKOLASTIKA B TAUNAES")</f>
        <v>SKOLASTIKA B TAUNAES</v>
      </c>
      <c r="C3356" s="40" t="str">
        <f>IFERROR(__xludf.DUMMYFUNCTION("""COMPUTED_VALUE"""),"Belum disetujui")</f>
        <v>Belum disetujui</v>
      </c>
      <c r="D3356" s="40"/>
      <c r="E3356" s="40" t="s">
        <v>11413</v>
      </c>
      <c r="F3356" s="40" t="s">
        <v>204</v>
      </c>
      <c r="G3356" s="40" t="s">
        <v>11414</v>
      </c>
      <c r="H3356" s="40" t="s">
        <v>11399</v>
      </c>
    </row>
    <row r="3357">
      <c r="A3357" s="39">
        <f>IFERROR(__xludf.DUMMYFUNCTION("""COMPUTED_VALUE"""),45990.86634509259)</f>
        <v>45990.86635</v>
      </c>
      <c r="B3357" s="40" t="str">
        <f>IFERROR(__xludf.DUMMYFUNCTION("""COMPUTED_VALUE"""),"SKOLASTIKA B TAUNAES")</f>
        <v>SKOLASTIKA B TAUNAES</v>
      </c>
      <c r="C3357" s="40" t="str">
        <f>IFERROR(__xludf.DUMMYFUNCTION("""COMPUTED_VALUE"""),"Belum disetujui")</f>
        <v>Belum disetujui</v>
      </c>
      <c r="D3357" s="40"/>
      <c r="E3357" s="40" t="s">
        <v>11413</v>
      </c>
      <c r="F3357" s="40" t="s">
        <v>204</v>
      </c>
      <c r="G3357" s="40" t="s">
        <v>11414</v>
      </c>
      <c r="H3357" s="40" t="s">
        <v>11399</v>
      </c>
    </row>
    <row r="3358">
      <c r="A3358" s="39">
        <f>IFERROR(__xludf.DUMMYFUNCTION("""COMPUTED_VALUE"""),45990.86824924769)</f>
        <v>45990.86825</v>
      </c>
      <c r="B3358" s="40" t="str">
        <f>IFERROR(__xludf.DUMMYFUNCTION("""COMPUTED_VALUE"""),"SKOLASTIKA B TAUNAES")</f>
        <v>SKOLASTIKA B TAUNAES</v>
      </c>
      <c r="C3358" s="40" t="str">
        <f>IFERROR(__xludf.DUMMYFUNCTION("""COMPUTED_VALUE"""),"Belum disetujui")</f>
        <v>Belum disetujui</v>
      </c>
      <c r="D3358" s="40"/>
      <c r="E3358" s="40" t="s">
        <v>11413</v>
      </c>
      <c r="F3358" s="40" t="s">
        <v>204</v>
      </c>
      <c r="G3358" s="40" t="s">
        <v>11414</v>
      </c>
      <c r="H3358" s="40" t="s">
        <v>11399</v>
      </c>
    </row>
    <row r="3359">
      <c r="A3359" s="39">
        <f>IFERROR(__xludf.DUMMYFUNCTION("""COMPUTED_VALUE"""),45990.870842222226)</f>
        <v>45990.87084</v>
      </c>
      <c r="B3359" s="40" t="str">
        <f>IFERROR(__xludf.DUMMYFUNCTION("""COMPUTED_VALUE"""),"SKOLASTIKA B TAUNAES")</f>
        <v>SKOLASTIKA B TAUNAES</v>
      </c>
      <c r="C3359" s="40" t="str">
        <f>IFERROR(__xludf.DUMMYFUNCTION("""COMPUTED_VALUE"""),"Belum disetujui")</f>
        <v>Belum disetujui</v>
      </c>
      <c r="D3359" s="40"/>
      <c r="E3359" s="40" t="s">
        <v>11413</v>
      </c>
      <c r="F3359" s="40" t="s">
        <v>204</v>
      </c>
      <c r="G3359" s="40" t="s">
        <v>11414</v>
      </c>
      <c r="H3359" s="40" t="s">
        <v>11399</v>
      </c>
    </row>
    <row r="3360">
      <c r="A3360" s="39">
        <f>IFERROR(__xludf.DUMMYFUNCTION("""COMPUTED_VALUE"""),45990.873963564816)</f>
        <v>45990.87396</v>
      </c>
      <c r="B3360" s="40" t="str">
        <f>IFERROR(__xludf.DUMMYFUNCTION("""COMPUTED_VALUE"""),"SKOLASTIKA B TAUNAES")</f>
        <v>SKOLASTIKA B TAUNAES</v>
      </c>
      <c r="C3360" s="40" t="str">
        <f>IFERROR(__xludf.DUMMYFUNCTION("""COMPUTED_VALUE"""),"Belum disetujui")</f>
        <v>Belum disetujui</v>
      </c>
      <c r="D3360" s="40"/>
      <c r="E3360" s="40" t="s">
        <v>11413</v>
      </c>
      <c r="F3360" s="40" t="s">
        <v>204</v>
      </c>
      <c r="G3360" s="40" t="s">
        <v>11414</v>
      </c>
      <c r="H3360" s="40" t="s">
        <v>11399</v>
      </c>
    </row>
    <row r="3361">
      <c r="A3361" s="39">
        <f>IFERROR(__xludf.DUMMYFUNCTION("""COMPUTED_VALUE"""),45990.87563813657)</f>
        <v>45990.87564</v>
      </c>
      <c r="B3361" s="40" t="str">
        <f>IFERROR(__xludf.DUMMYFUNCTION("""COMPUTED_VALUE"""),"SKOLASTIKA B TAUNAES")</f>
        <v>SKOLASTIKA B TAUNAES</v>
      </c>
      <c r="C3361" s="40" t="str">
        <f>IFERROR(__xludf.DUMMYFUNCTION("""COMPUTED_VALUE"""),"Belum disetujui")</f>
        <v>Belum disetujui</v>
      </c>
      <c r="D3361" s="40"/>
      <c r="E3361" s="40" t="s">
        <v>11413</v>
      </c>
      <c r="F3361" s="40" t="s">
        <v>204</v>
      </c>
      <c r="G3361" s="40" t="s">
        <v>11414</v>
      </c>
      <c r="H3361" s="40" t="s">
        <v>11399</v>
      </c>
    </row>
    <row r="3362">
      <c r="A3362" s="39">
        <f>IFERROR(__xludf.DUMMYFUNCTION("""COMPUTED_VALUE"""),45991.479948460656)</f>
        <v>45991.47995</v>
      </c>
      <c r="B3362" s="40" t="str">
        <f>IFERROR(__xludf.DUMMYFUNCTION("""COMPUTED_VALUE"""),"NUR FATIMAH MOLBANG")</f>
        <v>NUR FATIMAH MOLBANG</v>
      </c>
      <c r="C3362" s="40" t="str">
        <f>IFERROR(__xludf.DUMMYFUNCTION("""COMPUTED_VALUE"""),"Dapat limit tapi belum diproses")</f>
        <v>Dapat limit tapi belum diproses</v>
      </c>
      <c r="D3362" s="40" t="str">
        <f>IFERROR(__xludf.DUMMYFUNCTION("""COMPUTED_VALUE"""),"Y21d series")</f>
        <v>Y21d series</v>
      </c>
      <c r="E3362" s="40" t="s">
        <v>11439</v>
      </c>
      <c r="F3362" s="40" t="s">
        <v>313</v>
      </c>
      <c r="G3362" s="40" t="s">
        <v>11440</v>
      </c>
      <c r="H3362" s="40" t="s">
        <v>11424</v>
      </c>
    </row>
    <row r="3363">
      <c r="A3363" s="39">
        <f>IFERROR(__xludf.DUMMYFUNCTION("""COMPUTED_VALUE"""),45991.552601620366)</f>
        <v>45991.5526</v>
      </c>
      <c r="B3363" s="40" t="str">
        <f>IFERROR(__xludf.DUMMYFUNCTION("""COMPUTED_VALUE"""),"AZ ZAHRA SITI ZAINAB")</f>
        <v>AZ ZAHRA SITI ZAINAB</v>
      </c>
      <c r="C3363" s="40" t="str">
        <f>IFERROR(__xludf.DUMMYFUNCTION("""COMPUTED_VALUE"""),"ACC")</f>
        <v>ACC</v>
      </c>
      <c r="D3363" s="40" t="str">
        <f>IFERROR(__xludf.DUMMYFUNCTION("""COMPUTED_VALUE"""),"Y400 series")</f>
        <v>Y400 series</v>
      </c>
      <c r="E3363" s="40" t="s">
        <v>11462</v>
      </c>
      <c r="F3363" s="40" t="s">
        <v>257</v>
      </c>
      <c r="G3363" s="40" t="s">
        <v>11463</v>
      </c>
      <c r="H3363" s="40" t="s">
        <v>11419</v>
      </c>
    </row>
    <row r="3364">
      <c r="A3364" s="39">
        <f>IFERROR(__xludf.DUMMYFUNCTION("""COMPUTED_VALUE"""),45991.5536330787)</f>
        <v>45991.55363</v>
      </c>
      <c r="B3364" s="40" t="str">
        <f>IFERROR(__xludf.DUMMYFUNCTION("""COMPUTED_VALUE"""),"PRETI SISILIA SILA")</f>
        <v>PRETI SISILIA SILA</v>
      </c>
      <c r="C3364" s="40" t="str">
        <f>IFERROR(__xludf.DUMMYFUNCTION("""COMPUTED_VALUE"""),"Belum disetujui")</f>
        <v>Belum disetujui</v>
      </c>
      <c r="D3364" s="40"/>
      <c r="E3364" s="40" t="s">
        <v>11456</v>
      </c>
      <c r="F3364" s="40" t="s">
        <v>667</v>
      </c>
      <c r="G3364" s="40" t="s">
        <v>11457</v>
      </c>
      <c r="H3364" s="40" t="s">
        <v>11424</v>
      </c>
    </row>
    <row r="3365">
      <c r="A3365" s="39">
        <f>IFERROR(__xludf.DUMMYFUNCTION("""COMPUTED_VALUE"""),45991.633660150466)</f>
        <v>45991.63366</v>
      </c>
      <c r="B3365" s="40" t="str">
        <f>IFERROR(__xludf.DUMMYFUNCTION("""COMPUTED_VALUE"""),"NABILA RAHMAWATI")</f>
        <v>NABILA RAHMAWATI</v>
      </c>
      <c r="C3365" s="40" t="str">
        <f>IFERROR(__xludf.DUMMYFUNCTION("""COMPUTED_VALUE"""),"Belum disetujui")</f>
        <v>Belum disetujui</v>
      </c>
      <c r="D3365" s="40"/>
      <c r="E3365" s="40" t="s">
        <v>11464</v>
      </c>
      <c r="F3365" s="40" t="s">
        <v>257</v>
      </c>
      <c r="G3365" s="40" t="s">
        <v>11465</v>
      </c>
      <c r="H3365" s="40" t="s">
        <v>11419</v>
      </c>
    </row>
    <row r="3366">
      <c r="A3366" s="39">
        <f>IFERROR(__xludf.DUMMYFUNCTION("""COMPUTED_VALUE"""),45991.63457667825)</f>
        <v>45991.63458</v>
      </c>
      <c r="B3366" s="40" t="str">
        <f>IFERROR(__xludf.DUMMYFUNCTION("""COMPUTED_VALUE"""),"NABILA RAHMAWATI")</f>
        <v>NABILA RAHMAWATI</v>
      </c>
      <c r="C3366" s="40" t="str">
        <f>IFERROR(__xludf.DUMMYFUNCTION("""COMPUTED_VALUE"""),"Belum disetujui")</f>
        <v>Belum disetujui</v>
      </c>
      <c r="D3366" s="40"/>
      <c r="E3366" s="40" t="s">
        <v>11464</v>
      </c>
      <c r="F3366" s="40" t="s">
        <v>257</v>
      </c>
      <c r="G3366" s="40" t="s">
        <v>11465</v>
      </c>
      <c r="H3366" s="40" t="s">
        <v>11419</v>
      </c>
    </row>
    <row r="3367">
      <c r="A3367" s="39">
        <f>IFERROR(__xludf.DUMMYFUNCTION("""COMPUTED_VALUE"""),45991.668899097225)</f>
        <v>45991.6689</v>
      </c>
      <c r="B3367" s="40" t="str">
        <f>IFERROR(__xludf.DUMMYFUNCTION("""COMPUTED_VALUE"""),"NUR FATIMAH MOLBANG")</f>
        <v>NUR FATIMAH MOLBANG</v>
      </c>
      <c r="C3367" s="40" t="str">
        <f>IFERROR(__xludf.DUMMYFUNCTION("""COMPUTED_VALUE"""),"Belum disetujui")</f>
        <v>Belum disetujui</v>
      </c>
      <c r="D3367" s="40"/>
      <c r="E3367" s="40" t="s">
        <v>11439</v>
      </c>
      <c r="F3367" s="40" t="s">
        <v>313</v>
      </c>
      <c r="G3367" s="40" t="s">
        <v>11440</v>
      </c>
      <c r="H3367" s="40" t="s">
        <v>11424</v>
      </c>
    </row>
    <row r="3368">
      <c r="A3368" s="39">
        <f>IFERROR(__xludf.DUMMYFUNCTION("""COMPUTED_VALUE"""),45991.67800811342)</f>
        <v>45991.67801</v>
      </c>
      <c r="B3368" s="40" t="str">
        <f>IFERROR(__xludf.DUMMYFUNCTION("""COMPUTED_VALUE"""),"NUR FATIMAH MOLBANG")</f>
        <v>NUR FATIMAH MOLBANG</v>
      </c>
      <c r="C3368" s="40" t="str">
        <f>IFERROR(__xludf.DUMMYFUNCTION("""COMPUTED_VALUE"""),"Belum disetujui")</f>
        <v>Belum disetujui</v>
      </c>
      <c r="D3368" s="40"/>
      <c r="E3368" s="40" t="s">
        <v>11439</v>
      </c>
      <c r="F3368" s="40" t="s">
        <v>313</v>
      </c>
      <c r="G3368" s="40" t="s">
        <v>11440</v>
      </c>
      <c r="H3368" s="40" t="s">
        <v>11424</v>
      </c>
    </row>
    <row r="3369">
      <c r="A3369" s="39">
        <f>IFERROR(__xludf.DUMMYFUNCTION("""COMPUTED_VALUE"""),45991.69945518518)</f>
        <v>45991.69946</v>
      </c>
      <c r="B3369" s="40" t="str">
        <f>IFERROR(__xludf.DUMMYFUNCTION("""COMPUTED_VALUE"""),"ASRI NINGSI RAMBU ATA ENDI")</f>
        <v>ASRI NINGSI RAMBU ATA ENDI</v>
      </c>
      <c r="C3369" s="40" t="str">
        <f>IFERROR(__xludf.DUMMYFUNCTION("""COMPUTED_VALUE"""),"Belum disetujui")</f>
        <v>Belum disetujui</v>
      </c>
      <c r="D3369" s="40"/>
      <c r="E3369" s="40" t="s">
        <v>11441</v>
      </c>
      <c r="F3369" s="40" t="s">
        <v>205</v>
      </c>
      <c r="G3369" s="40" t="s">
        <v>11442</v>
      </c>
      <c r="H3369" s="40" t="s">
        <v>11419</v>
      </c>
    </row>
    <row r="3370">
      <c r="A3370" s="39">
        <f>IFERROR(__xludf.DUMMYFUNCTION("""COMPUTED_VALUE"""),45991.707155081014)</f>
        <v>45991.70716</v>
      </c>
      <c r="B3370" s="40" t="str">
        <f>IFERROR(__xludf.DUMMYFUNCTION("""COMPUTED_VALUE"""),"YOMELIANA MARIA MAGNO")</f>
        <v>YOMELIANA MARIA MAGNO</v>
      </c>
      <c r="C3370" s="40" t="str">
        <f>IFERROR(__xludf.DUMMYFUNCTION("""COMPUTED_VALUE"""),"Belum disetujui")</f>
        <v>Belum disetujui</v>
      </c>
      <c r="D3370" s="40"/>
      <c r="E3370" s="40" t="s">
        <v>11460</v>
      </c>
      <c r="F3370" s="40" t="s">
        <v>871</v>
      </c>
      <c r="G3370" s="40" t="s">
        <v>11461</v>
      </c>
      <c r="H3370" s="40" t="s">
        <v>11424</v>
      </c>
    </row>
    <row r="3371">
      <c r="A3371" s="39">
        <f>IFERROR(__xludf.DUMMYFUNCTION("""COMPUTED_VALUE"""),45991.71962043981)</f>
        <v>45991.71962</v>
      </c>
      <c r="B3371" s="40" t="str">
        <f>IFERROR(__xludf.DUMMYFUNCTION("""COMPUTED_VALUE"""),"IDMAL YUSDIRAN YUSUF")</f>
        <v>IDMAL YUSDIRAN YUSUF</v>
      </c>
      <c r="C3371" s="40" t="str">
        <f>IFERROR(__xludf.DUMMYFUNCTION("""COMPUTED_VALUE"""),"Belum disetujui")</f>
        <v>Belum disetujui</v>
      </c>
      <c r="D3371" s="40"/>
      <c r="E3371" s="40" t="s">
        <v>11417</v>
      </c>
      <c r="F3371" s="40" t="s">
        <v>257</v>
      </c>
      <c r="G3371" s="40" t="s">
        <v>11418</v>
      </c>
      <c r="H3371" s="40" t="s">
        <v>11419</v>
      </c>
    </row>
    <row r="3372">
      <c r="A3372" s="39">
        <f>IFERROR(__xludf.DUMMYFUNCTION("""COMPUTED_VALUE"""),45991.81685614583)</f>
        <v>45991.81686</v>
      </c>
      <c r="B3372" s="40" t="str">
        <f>IFERROR(__xludf.DUMMYFUNCTION("""COMPUTED_VALUE"""),"AINI RAHMATINI NATALIA MOESTAKIM")</f>
        <v>AINI RAHMATINI NATALIA MOESTAKIM</v>
      </c>
      <c r="C3372" s="40" t="str">
        <f>IFERROR(__xludf.DUMMYFUNCTION("""COMPUTED_VALUE"""),"Belum disetujui")</f>
        <v>Belum disetujui</v>
      </c>
      <c r="D3372" s="40"/>
      <c r="E3372" s="40" t="s">
        <v>11409</v>
      </c>
      <c r="F3372" s="40" t="s">
        <v>204</v>
      </c>
      <c r="G3372" s="40" t="s">
        <v>11410</v>
      </c>
      <c r="H3372" s="40" t="s">
        <v>11399</v>
      </c>
    </row>
    <row r="3373">
      <c r="A3373" s="39">
        <f>IFERROR(__xludf.DUMMYFUNCTION("""COMPUTED_VALUE"""),45991.81776822917)</f>
        <v>45991.81777</v>
      </c>
      <c r="B3373" s="40" t="str">
        <f>IFERROR(__xludf.DUMMYFUNCTION("""COMPUTED_VALUE"""),"DWITNEY PRETY WANGGANDIMA")</f>
        <v>DWITNEY PRETY WANGGANDIMA</v>
      </c>
      <c r="C3373" s="40" t="str">
        <f>IFERROR(__xludf.DUMMYFUNCTION("""COMPUTED_VALUE"""),"Belum disetujui")</f>
        <v>Belum disetujui</v>
      </c>
      <c r="D3373" s="40"/>
      <c r="E3373" s="40" t="s">
        <v>11443</v>
      </c>
      <c r="F3373" s="40" t="s">
        <v>220</v>
      </c>
      <c r="G3373" s="40" t="s">
        <v>11444</v>
      </c>
      <c r="H3373" s="40" t="s">
        <v>11399</v>
      </c>
    </row>
    <row r="3374">
      <c r="A3374" s="39">
        <f>IFERROR(__xludf.DUMMYFUNCTION("""COMPUTED_VALUE"""),45991.81925756944)</f>
        <v>45991.81926</v>
      </c>
      <c r="B3374" s="40" t="str">
        <f>IFERROR(__xludf.DUMMYFUNCTION("""COMPUTED_VALUE"""),"DWITNEY PRETY WANGGANDIMA")</f>
        <v>DWITNEY PRETY WANGGANDIMA</v>
      </c>
      <c r="C3374" s="40" t="str">
        <f>IFERROR(__xludf.DUMMYFUNCTION("""COMPUTED_VALUE"""),"Belum disetujui")</f>
        <v>Belum disetujui</v>
      </c>
      <c r="D3374" s="40"/>
      <c r="E3374" s="40" t="s">
        <v>11443</v>
      </c>
      <c r="F3374" s="40" t="s">
        <v>220</v>
      </c>
      <c r="G3374" s="40" t="s">
        <v>11444</v>
      </c>
      <c r="H3374" s="40" t="s">
        <v>11399</v>
      </c>
    </row>
    <row r="3375">
      <c r="A3375" s="39">
        <f>IFERROR(__xludf.DUMMYFUNCTION("""COMPUTED_VALUE"""),45991.835408680556)</f>
        <v>45991.83541</v>
      </c>
      <c r="B3375" s="40" t="str">
        <f>IFERROR(__xludf.DUMMYFUNCTION("""COMPUTED_VALUE"""),"NABILA RAHMAWATI")</f>
        <v>NABILA RAHMAWATI</v>
      </c>
      <c r="C3375" s="40" t="str">
        <f>IFERROR(__xludf.DUMMYFUNCTION("""COMPUTED_VALUE"""),"Belum disetujui")</f>
        <v>Belum disetujui</v>
      </c>
      <c r="D3375" s="40"/>
      <c r="E3375" s="40" t="s">
        <v>11464</v>
      </c>
      <c r="F3375" s="40" t="s">
        <v>257</v>
      </c>
      <c r="G3375" s="40" t="s">
        <v>11465</v>
      </c>
      <c r="H3375" s="40" t="s">
        <v>11419</v>
      </c>
    </row>
    <row r="3376">
      <c r="A3376" s="39">
        <f>IFERROR(__xludf.DUMMYFUNCTION("""COMPUTED_VALUE"""),45991.8367949537)</f>
        <v>45991.83679</v>
      </c>
      <c r="B3376" s="40" t="str">
        <f>IFERROR(__xludf.DUMMYFUNCTION("""COMPUTED_VALUE"""),"ALDIANA WELIA PANIE")</f>
        <v>ALDIANA WELIA PANIE</v>
      </c>
      <c r="C3376" s="40" t="str">
        <f>IFERROR(__xludf.DUMMYFUNCTION("""COMPUTED_VALUE"""),"Belum disetujui")</f>
        <v>Belum disetujui</v>
      </c>
      <c r="D3376" s="40"/>
      <c r="E3376" s="40" t="s">
        <v>11422</v>
      </c>
      <c r="F3376" s="40" t="s">
        <v>215</v>
      </c>
      <c r="G3376" s="40" t="s">
        <v>11423</v>
      </c>
      <c r="H3376" s="40" t="s">
        <v>11424</v>
      </c>
    </row>
    <row r="3377">
      <c r="A3377" s="39">
        <f>IFERROR(__xludf.DUMMYFUNCTION("""COMPUTED_VALUE"""),45991.8369334838)</f>
        <v>45991.83693</v>
      </c>
      <c r="B3377" s="40" t="str">
        <f>IFERROR(__xludf.DUMMYFUNCTION("""COMPUTED_VALUE"""),"SANDRA LAU")</f>
        <v>SANDRA LAU</v>
      </c>
      <c r="C3377" s="40" t="str">
        <f>IFERROR(__xludf.DUMMYFUNCTION("""COMPUTED_VALUE"""),"Belum disetujui")</f>
        <v>Belum disetujui</v>
      </c>
      <c r="D3377" s="40"/>
      <c r="E3377" s="40" t="s">
        <v>11460</v>
      </c>
      <c r="F3377" s="40" t="s">
        <v>871</v>
      </c>
      <c r="G3377" s="40" t="s">
        <v>11461</v>
      </c>
      <c r="H3377" s="40" t="s">
        <v>11424</v>
      </c>
    </row>
    <row r="3378">
      <c r="A3378" s="39">
        <f>IFERROR(__xludf.DUMMYFUNCTION("""COMPUTED_VALUE"""),45991.8437525)</f>
        <v>45991.84375</v>
      </c>
      <c r="B3378" s="40" t="str">
        <f>IFERROR(__xludf.DUMMYFUNCTION("""COMPUTED_VALUE"""),"ASRI NINGSI RAMBU ATA ENDI")</f>
        <v>ASRI NINGSI RAMBU ATA ENDI</v>
      </c>
      <c r="C3378" s="40" t="str">
        <f>IFERROR(__xludf.DUMMYFUNCTION("""COMPUTED_VALUE"""),"Belum disetujui")</f>
        <v>Belum disetujui</v>
      </c>
      <c r="D3378" s="40"/>
      <c r="E3378" s="40" t="s">
        <v>11441</v>
      </c>
      <c r="F3378" s="40" t="s">
        <v>205</v>
      </c>
      <c r="G3378" s="40" t="s">
        <v>11442</v>
      </c>
      <c r="H3378" s="40" t="s">
        <v>11419</v>
      </c>
    </row>
    <row r="3379">
      <c r="A3379" s="39">
        <f>IFERROR(__xludf.DUMMYFUNCTION("""COMPUTED_VALUE"""),45991.85805333334)</f>
        <v>45991.85805</v>
      </c>
      <c r="B3379" s="40" t="str">
        <f>IFERROR(__xludf.DUMMYFUNCTION("""COMPUTED_VALUE"""),"ALDIANA WELIA PANIE")</f>
        <v>ALDIANA WELIA PANIE</v>
      </c>
      <c r="C3379" s="40" t="str">
        <f>IFERROR(__xludf.DUMMYFUNCTION("""COMPUTED_VALUE"""),"Belum disetujui")</f>
        <v>Belum disetujui</v>
      </c>
      <c r="D3379" s="40"/>
      <c r="E3379" s="40" t="s">
        <v>11422</v>
      </c>
      <c r="F3379" s="40" t="s">
        <v>215</v>
      </c>
      <c r="G3379" s="40" t="s">
        <v>11423</v>
      </c>
      <c r="H3379" s="40" t="s">
        <v>11424</v>
      </c>
    </row>
    <row r="3380">
      <c r="A3380" s="39">
        <f>IFERROR(__xludf.DUMMYFUNCTION("""COMPUTED_VALUE"""),45991.8741175926)</f>
        <v>45991.87412</v>
      </c>
      <c r="B3380" s="40" t="str">
        <f>IFERROR(__xludf.DUMMYFUNCTION("""COMPUTED_VALUE"""),"AINI RAHMATINI NATALIA MOESTAKIM")</f>
        <v>AINI RAHMATINI NATALIA MOESTAKIM</v>
      </c>
      <c r="C3380" s="40" t="str">
        <f>IFERROR(__xludf.DUMMYFUNCTION("""COMPUTED_VALUE"""),"Belum disetujui")</f>
        <v>Belum disetujui</v>
      </c>
      <c r="D3380" s="40"/>
      <c r="E3380" s="40" t="s">
        <v>11409</v>
      </c>
      <c r="F3380" s="40" t="s">
        <v>204</v>
      </c>
      <c r="G3380" s="40" t="s">
        <v>11410</v>
      </c>
      <c r="H3380" s="40" t="s">
        <v>11399</v>
      </c>
    </row>
    <row r="3381">
      <c r="A3381" s="39">
        <f>IFERROR(__xludf.DUMMYFUNCTION("""COMPUTED_VALUE"""),45991.874995763894)</f>
        <v>45991.875</v>
      </c>
      <c r="B3381" s="40" t="str">
        <f>IFERROR(__xludf.DUMMYFUNCTION("""COMPUTED_VALUE"""),"AINI RAHMATINI NATALIA MOESTAKIM")</f>
        <v>AINI RAHMATINI NATALIA MOESTAKIM</v>
      </c>
      <c r="C3381" s="40" t="str">
        <f>IFERROR(__xludf.DUMMYFUNCTION("""COMPUTED_VALUE"""),"Belum disetujui")</f>
        <v>Belum disetujui</v>
      </c>
      <c r="D3381" s="40"/>
      <c r="E3381" s="40" t="s">
        <v>11409</v>
      </c>
      <c r="F3381" s="40" t="s">
        <v>204</v>
      </c>
      <c r="G3381" s="40" t="s">
        <v>11410</v>
      </c>
      <c r="H3381" s="40" t="s">
        <v>11399</v>
      </c>
    </row>
    <row r="3382">
      <c r="A3382" s="39">
        <f>IFERROR(__xludf.DUMMYFUNCTION("""COMPUTED_VALUE"""),45991.87840908564)</f>
        <v>45991.87841</v>
      </c>
      <c r="B3382" s="40" t="str">
        <f>IFERROR(__xludf.DUMMYFUNCTION("""COMPUTED_VALUE"""),"AZ ZAHRA SITI ZAINAB")</f>
        <v>AZ ZAHRA SITI ZAINAB</v>
      </c>
      <c r="C3382" s="40" t="str">
        <f>IFERROR(__xludf.DUMMYFUNCTION("""COMPUTED_VALUE"""),"ACC")</f>
        <v>ACC</v>
      </c>
      <c r="D3382" s="40" t="str">
        <f>IFERROR(__xludf.DUMMYFUNCTION("""COMPUTED_VALUE"""),"Y21d series")</f>
        <v>Y21d series</v>
      </c>
      <c r="E3382" s="40" t="s">
        <v>11462</v>
      </c>
      <c r="F3382" s="40" t="s">
        <v>257</v>
      </c>
      <c r="G3382" s="40" t="s">
        <v>11463</v>
      </c>
      <c r="H3382" s="40" t="s">
        <v>11419</v>
      </c>
    </row>
    <row r="3383">
      <c r="A3383" s="39">
        <f>IFERROR(__xludf.DUMMYFUNCTION("""COMPUTED_VALUE"""),45991.87864052083)</f>
        <v>45991.87864</v>
      </c>
      <c r="B3383" s="40" t="str">
        <f>IFERROR(__xludf.DUMMYFUNCTION("""COMPUTED_VALUE"""),"SULIS NURAINI INSYATUN")</f>
        <v>SULIS NURAINI INSYATUN</v>
      </c>
      <c r="C3383" s="40" t="str">
        <f>IFERROR(__xludf.DUMMYFUNCTION("""COMPUTED_VALUE"""),"ACC")</f>
        <v>ACC</v>
      </c>
      <c r="D3383" s="40" t="str">
        <f>IFERROR(__xludf.DUMMYFUNCTION("""COMPUTED_VALUE"""),"Y21d series")</f>
        <v>Y21d series</v>
      </c>
      <c r="E3383" s="40" t="s">
        <v>11429</v>
      </c>
      <c r="F3383" s="40" t="s">
        <v>257</v>
      </c>
      <c r="G3383" s="40" t="s">
        <v>11430</v>
      </c>
      <c r="H3383" s="40" t="s">
        <v>11419</v>
      </c>
    </row>
    <row r="3384">
      <c r="A3384" s="39">
        <f>IFERROR(__xludf.DUMMYFUNCTION("""COMPUTED_VALUE"""),45991.895110474536)</f>
        <v>45991.89511</v>
      </c>
      <c r="B3384" s="40" t="str">
        <f>IFERROR(__xludf.DUMMYFUNCTION("""COMPUTED_VALUE"""),"ALDIANA WELIA PANIE")</f>
        <v>ALDIANA WELIA PANIE</v>
      </c>
      <c r="C3384" s="40" t="str">
        <f>IFERROR(__xludf.DUMMYFUNCTION("""COMPUTED_VALUE"""),"Belum disetujui")</f>
        <v>Belum disetujui</v>
      </c>
      <c r="D3384" s="40"/>
      <c r="E3384" s="40" t="s">
        <v>11422</v>
      </c>
      <c r="F3384" s="40" t="s">
        <v>215</v>
      </c>
      <c r="G3384" s="40" t="s">
        <v>11423</v>
      </c>
      <c r="H3384" s="40" t="s">
        <v>11424</v>
      </c>
    </row>
    <row r="3385">
      <c r="A3385" s="39">
        <f>IFERROR(__xludf.DUMMYFUNCTION("""COMPUTED_VALUE"""),45991.90683931713)</f>
        <v>45991.90684</v>
      </c>
      <c r="B3385" s="40" t="str">
        <f>IFERROR(__xludf.DUMMYFUNCTION("""COMPUTED_VALUE"""),"ALDIANA WELIA PANIE")</f>
        <v>ALDIANA WELIA PANIE</v>
      </c>
      <c r="C3385" s="40" t="str">
        <f>IFERROR(__xludf.DUMMYFUNCTION("""COMPUTED_VALUE"""),"Belum disetujui")</f>
        <v>Belum disetujui</v>
      </c>
      <c r="D3385" s="40"/>
      <c r="E3385" s="40" t="s">
        <v>11422</v>
      </c>
      <c r="F3385" s="40" t="s">
        <v>215</v>
      </c>
      <c r="G3385" s="40" t="s">
        <v>11423</v>
      </c>
      <c r="H3385" s="40" t="s">
        <v>11424</v>
      </c>
    </row>
    <row r="3386">
      <c r="A3386" s="39">
        <f>IFERROR(__xludf.DUMMYFUNCTION("""COMPUTED_VALUE"""),45991.9378433912)</f>
        <v>45991.93784</v>
      </c>
      <c r="B3386" s="40" t="str">
        <f>IFERROR(__xludf.DUMMYFUNCTION("""COMPUTED_VALUE"""),"RESTIANY MARIA LUAN KALI")</f>
        <v>RESTIANY MARIA LUAN KALI</v>
      </c>
      <c r="C3386" s="40" t="str">
        <f>IFERROR(__xludf.DUMMYFUNCTION("""COMPUTED_VALUE"""),"Dapat limit tapi belum diproses")</f>
        <v>Dapat limit tapi belum diproses</v>
      </c>
      <c r="D3386" s="40" t="str">
        <f>IFERROR(__xludf.DUMMYFUNCTION("""COMPUTED_VALUE"""),"V60 series")</f>
        <v>V60 series</v>
      </c>
      <c r="E3386" s="40" t="s">
        <v>11400</v>
      </c>
      <c r="F3386" s="40" t="s">
        <v>204</v>
      </c>
      <c r="G3386" s="40" t="s">
        <v>11401</v>
      </c>
      <c r="H3386" s="40" t="s">
        <v>11399</v>
      </c>
    </row>
    <row r="3387">
      <c r="A3387" s="39">
        <f>IFERROR(__xludf.DUMMYFUNCTION("""COMPUTED_VALUE"""),45991.94548984954)</f>
        <v>45991.94549</v>
      </c>
      <c r="B3387" s="40" t="str">
        <f>IFERROR(__xludf.DUMMYFUNCTION("""COMPUTED_VALUE"""),"DWITNEY PRETY WANGGANDIMA")</f>
        <v>DWITNEY PRETY WANGGANDIMA</v>
      </c>
      <c r="C3387" s="40" t="str">
        <f>IFERROR(__xludf.DUMMYFUNCTION("""COMPUTED_VALUE"""),"Belum disetujui")</f>
        <v>Belum disetujui</v>
      </c>
      <c r="D3387" s="40"/>
      <c r="E3387" s="40" t="s">
        <v>11443</v>
      </c>
      <c r="F3387" s="40" t="s">
        <v>220</v>
      </c>
      <c r="G3387" s="40" t="s">
        <v>11444</v>
      </c>
      <c r="H3387" s="40" t="s">
        <v>11399</v>
      </c>
    </row>
    <row r="3388">
      <c r="A3388" s="39">
        <f>IFERROR(__xludf.DUMMYFUNCTION("""COMPUTED_VALUE"""),45991.95329503472)</f>
        <v>45991.9533</v>
      </c>
      <c r="B3388" s="40" t="str">
        <f>IFERROR(__xludf.DUMMYFUNCTION("""COMPUTED_VALUE"""),"DWITNEY PRETY WANGGANDIMA")</f>
        <v>DWITNEY PRETY WANGGANDIMA</v>
      </c>
      <c r="C3388" s="40" t="str">
        <f>IFERROR(__xludf.DUMMYFUNCTION("""COMPUTED_VALUE"""),"Belum disetujui")</f>
        <v>Belum disetujui</v>
      </c>
      <c r="D3388" s="40"/>
      <c r="E3388" s="40" t="s">
        <v>11443</v>
      </c>
      <c r="F3388" s="40" t="s">
        <v>220</v>
      </c>
      <c r="G3388" s="40" t="s">
        <v>11444</v>
      </c>
      <c r="H3388" s="40" t="s">
        <v>11399</v>
      </c>
    </row>
    <row r="3389">
      <c r="A3389" s="39">
        <f>IFERROR(__xludf.DUMMYFUNCTION("""COMPUTED_VALUE"""),45991.95662776621)</f>
        <v>45991.95663</v>
      </c>
      <c r="B3389" s="40" t="str">
        <f>IFERROR(__xludf.DUMMYFUNCTION("""COMPUTED_VALUE"""),"MEXY ALEXANDER HETMINA")</f>
        <v>MEXY ALEXANDER HETMINA</v>
      </c>
      <c r="C3389" s="40" t="str">
        <f>IFERROR(__xludf.DUMMYFUNCTION("""COMPUTED_VALUE"""),"Belum disetujui")</f>
        <v>Belum disetujui</v>
      </c>
      <c r="D3389" s="40"/>
      <c r="E3389" s="40" t="s">
        <v>11413</v>
      </c>
      <c r="F3389" s="40" t="s">
        <v>204</v>
      </c>
      <c r="G3389" s="40" t="s">
        <v>11414</v>
      </c>
      <c r="H3389" s="40" t="s">
        <v>11399</v>
      </c>
    </row>
    <row r="3390">
      <c r="A3390" s="39">
        <f>IFERROR(__xludf.DUMMYFUNCTION("""COMPUTED_VALUE"""),45991.958666875)</f>
        <v>45991.95867</v>
      </c>
      <c r="B3390" s="40" t="str">
        <f>IFERROR(__xludf.DUMMYFUNCTION("""COMPUTED_VALUE"""),"MEXY ALEXANDER HETMINA")</f>
        <v>MEXY ALEXANDER HETMINA</v>
      </c>
      <c r="C3390" s="40" t="str">
        <f>IFERROR(__xludf.DUMMYFUNCTION("""COMPUTED_VALUE"""),"Belum disetujui")</f>
        <v>Belum disetujui</v>
      </c>
      <c r="D3390" s="40"/>
      <c r="E3390" s="40" t="s">
        <v>11413</v>
      </c>
      <c r="F3390" s="40" t="s">
        <v>204</v>
      </c>
      <c r="G3390" s="40" t="s">
        <v>11414</v>
      </c>
      <c r="H3390" s="40" t="s">
        <v>11399</v>
      </c>
    </row>
    <row r="3391">
      <c r="A3391" s="39">
        <f>IFERROR(__xludf.DUMMYFUNCTION("""COMPUTED_VALUE"""),45991.95888377315)</f>
        <v>45991.95888</v>
      </c>
      <c r="B3391" s="40" t="str">
        <f>IFERROR(__xludf.DUMMYFUNCTION("""COMPUTED_VALUE"""),"YOHANA NOVIANA MARIANA GAA")</f>
        <v>YOHANA NOVIANA MARIANA GAA</v>
      </c>
      <c r="C3391" s="40" t="str">
        <f>IFERROR(__xludf.DUMMYFUNCTION("""COMPUTED_VALUE"""),"Belum disetujui")</f>
        <v>Belum disetujui</v>
      </c>
      <c r="D3391" s="40"/>
      <c r="E3391" s="40" t="s">
        <v>11400</v>
      </c>
      <c r="F3391" s="40" t="s">
        <v>204</v>
      </c>
      <c r="G3391" s="40" t="s">
        <v>11401</v>
      </c>
      <c r="H3391" s="40" t="s">
        <v>11399</v>
      </c>
    </row>
    <row r="3392">
      <c r="A3392" s="39">
        <f>IFERROR(__xludf.DUMMYFUNCTION("""COMPUTED_VALUE"""),45991.96047853009)</f>
        <v>45991.96048</v>
      </c>
      <c r="B3392" s="40" t="str">
        <f>IFERROR(__xludf.DUMMYFUNCTION("""COMPUTED_VALUE"""),"MEXY ALEXANDER HETMINA")</f>
        <v>MEXY ALEXANDER HETMINA</v>
      </c>
      <c r="C3392" s="40" t="str">
        <f>IFERROR(__xludf.DUMMYFUNCTION("""COMPUTED_VALUE"""),"Belum disetujui")</f>
        <v>Belum disetujui</v>
      </c>
      <c r="D3392" s="40"/>
      <c r="E3392" s="40" t="s">
        <v>11413</v>
      </c>
      <c r="F3392" s="40" t="s">
        <v>204</v>
      </c>
      <c r="G3392" s="40" t="s">
        <v>11414</v>
      </c>
      <c r="H3392" s="40" t="s">
        <v>11399</v>
      </c>
    </row>
    <row r="3393">
      <c r="A3393" s="39">
        <f>IFERROR(__xludf.DUMMYFUNCTION("""COMPUTED_VALUE"""),45991.9613016088)</f>
        <v>45991.9613</v>
      </c>
      <c r="B3393" s="40" t="str">
        <f>IFERROR(__xludf.DUMMYFUNCTION("""COMPUTED_VALUE"""),"YOHANA NOVIANA MARIANA GAA")</f>
        <v>YOHANA NOVIANA MARIANA GAA</v>
      </c>
      <c r="C3393" s="40" t="str">
        <f>IFERROR(__xludf.DUMMYFUNCTION("""COMPUTED_VALUE"""),"Belum disetujui")</f>
        <v>Belum disetujui</v>
      </c>
      <c r="D3393" s="40"/>
      <c r="E3393" s="40" t="s">
        <v>11400</v>
      </c>
      <c r="F3393" s="40" t="s">
        <v>204</v>
      </c>
      <c r="G3393" s="40" t="s">
        <v>11401</v>
      </c>
      <c r="H3393" s="40" t="s">
        <v>11399</v>
      </c>
    </row>
    <row r="3394">
      <c r="A3394" s="39">
        <f>IFERROR(__xludf.DUMMYFUNCTION("""COMPUTED_VALUE"""),45991.962752280095)</f>
        <v>45991.96275</v>
      </c>
      <c r="B3394" s="40" t="str">
        <f>IFERROR(__xludf.DUMMYFUNCTION("""COMPUTED_VALUE"""),"YOHANA NOVIANA MARIANA GAA")</f>
        <v>YOHANA NOVIANA MARIANA GAA</v>
      </c>
      <c r="C3394" s="40" t="str">
        <f>IFERROR(__xludf.DUMMYFUNCTION("""COMPUTED_VALUE"""),"Belum disetujui")</f>
        <v>Belum disetujui</v>
      </c>
      <c r="D3394" s="40"/>
      <c r="E3394" s="40" t="s">
        <v>11400</v>
      </c>
      <c r="F3394" s="40" t="s">
        <v>204</v>
      </c>
      <c r="G3394" s="40" t="s">
        <v>11401</v>
      </c>
      <c r="H3394" s="40" t="s">
        <v>11399</v>
      </c>
    </row>
    <row r="3395">
      <c r="A3395" s="39">
        <f>IFERROR(__xludf.DUMMYFUNCTION("""COMPUTED_VALUE"""),45991.963287743056)</f>
        <v>45991.96329</v>
      </c>
      <c r="B3395" s="40" t="str">
        <f>IFERROR(__xludf.DUMMYFUNCTION("""COMPUTED_VALUE"""),"MEXY ALEXANDER HETMINA")</f>
        <v>MEXY ALEXANDER HETMINA</v>
      </c>
      <c r="C3395" s="40" t="str">
        <f>IFERROR(__xludf.DUMMYFUNCTION("""COMPUTED_VALUE"""),"Belum disetujui")</f>
        <v>Belum disetujui</v>
      </c>
      <c r="D3395" s="40"/>
      <c r="E3395" s="40" t="s">
        <v>11413</v>
      </c>
      <c r="F3395" s="40" t="s">
        <v>204</v>
      </c>
      <c r="G3395" s="40" t="s">
        <v>11414</v>
      </c>
      <c r="H3395" s="40" t="s">
        <v>11399</v>
      </c>
    </row>
    <row r="3396">
      <c r="A3396" s="39">
        <f>IFERROR(__xludf.DUMMYFUNCTION("""COMPUTED_VALUE"""),45991.96364619213)</f>
        <v>45991.96365</v>
      </c>
      <c r="B3396" s="40" t="str">
        <f>IFERROR(__xludf.DUMMYFUNCTION("""COMPUTED_VALUE"""),"ROS YANE KANA LUDJI")</f>
        <v>ROS YANE KANA LUDJI</v>
      </c>
      <c r="C3396" s="40" t="str">
        <f>IFERROR(__xludf.DUMMYFUNCTION("""COMPUTED_VALUE"""),"Belum disetujui")</f>
        <v>Belum disetujui</v>
      </c>
      <c r="D3396" s="40"/>
      <c r="E3396" s="40" t="s">
        <v>11437</v>
      </c>
      <c r="F3396" s="40" t="s">
        <v>204</v>
      </c>
      <c r="G3396" s="40" t="s">
        <v>11438</v>
      </c>
      <c r="H3396" s="40" t="s">
        <v>11399</v>
      </c>
    </row>
    <row r="3397">
      <c r="A3397" s="39">
        <f>IFERROR(__xludf.DUMMYFUNCTION("""COMPUTED_VALUE"""),45991.964248310185)</f>
        <v>45991.96425</v>
      </c>
      <c r="B3397" s="40" t="str">
        <f>IFERROR(__xludf.DUMMYFUNCTION("""COMPUTED_VALUE"""),"YOHANA NOVIANA MARIANA GAA")</f>
        <v>YOHANA NOVIANA MARIANA GAA</v>
      </c>
      <c r="C3397" s="40" t="str">
        <f>IFERROR(__xludf.DUMMYFUNCTION("""COMPUTED_VALUE"""),"Belum disetujui")</f>
        <v>Belum disetujui</v>
      </c>
      <c r="D3397" s="40"/>
      <c r="E3397" s="40" t="s">
        <v>11400</v>
      </c>
      <c r="F3397" s="40" t="s">
        <v>204</v>
      </c>
      <c r="G3397" s="40" t="s">
        <v>11401</v>
      </c>
      <c r="H3397" s="40" t="s">
        <v>11399</v>
      </c>
    </row>
    <row r="3398">
      <c r="A3398" s="39">
        <f>IFERROR(__xludf.DUMMYFUNCTION("""COMPUTED_VALUE"""),45991.96466924768)</f>
        <v>45991.96467</v>
      </c>
      <c r="B3398" s="40" t="str">
        <f>IFERROR(__xludf.DUMMYFUNCTION("""COMPUTED_VALUE"""),"MEXY ALEXANDER HETMINA")</f>
        <v>MEXY ALEXANDER HETMINA</v>
      </c>
      <c r="C3398" s="40" t="str">
        <f>IFERROR(__xludf.DUMMYFUNCTION("""COMPUTED_VALUE"""),"Belum disetujui")</f>
        <v>Belum disetujui</v>
      </c>
      <c r="D3398" s="40"/>
      <c r="E3398" s="40" t="s">
        <v>11413</v>
      </c>
      <c r="F3398" s="40" t="s">
        <v>204</v>
      </c>
      <c r="G3398" s="40" t="s">
        <v>11414</v>
      </c>
      <c r="H3398" s="40" t="s">
        <v>11399</v>
      </c>
    </row>
    <row r="3399">
      <c r="A3399" s="39">
        <f>IFERROR(__xludf.DUMMYFUNCTION("""COMPUTED_VALUE"""),45991.96591099537)</f>
        <v>45991.96591</v>
      </c>
      <c r="B3399" s="40" t="str">
        <f>IFERROR(__xludf.DUMMYFUNCTION("""COMPUTED_VALUE"""),"MEXY ALEXANDER HETMINA")</f>
        <v>MEXY ALEXANDER HETMINA</v>
      </c>
      <c r="C3399" s="40" t="str">
        <f>IFERROR(__xludf.DUMMYFUNCTION("""COMPUTED_VALUE"""),"Belum disetujui")</f>
        <v>Belum disetujui</v>
      </c>
      <c r="D3399" s="40"/>
      <c r="E3399" s="40" t="s">
        <v>11413</v>
      </c>
      <c r="F3399" s="40" t="s">
        <v>204</v>
      </c>
      <c r="G3399" s="40" t="s">
        <v>11414</v>
      </c>
      <c r="H3399" s="40" t="s">
        <v>11399</v>
      </c>
    </row>
    <row r="3400">
      <c r="A3400" s="39">
        <f>IFERROR(__xludf.DUMMYFUNCTION("""COMPUTED_VALUE"""),45991.96597298611)</f>
        <v>45991.96597</v>
      </c>
      <c r="B3400" s="40" t="str">
        <f>IFERROR(__xludf.DUMMYFUNCTION("""COMPUTED_VALUE"""),"YOHANA NOVIANA MARIANA GAA")</f>
        <v>YOHANA NOVIANA MARIANA GAA</v>
      </c>
      <c r="C3400" s="40" t="str">
        <f>IFERROR(__xludf.DUMMYFUNCTION("""COMPUTED_VALUE"""),"Belum disetujui")</f>
        <v>Belum disetujui</v>
      </c>
      <c r="D3400" s="40"/>
      <c r="E3400" s="40" t="s">
        <v>11400</v>
      </c>
      <c r="F3400" s="40" t="s">
        <v>204</v>
      </c>
      <c r="G3400" s="40" t="s">
        <v>11401</v>
      </c>
      <c r="H3400" s="40" t="s">
        <v>11399</v>
      </c>
    </row>
    <row r="3401">
      <c r="A3401" s="39">
        <f>IFERROR(__xludf.DUMMYFUNCTION("""COMPUTED_VALUE"""),45991.966952476854)</f>
        <v>45991.96695</v>
      </c>
      <c r="B3401" s="40" t="str">
        <f>IFERROR(__xludf.DUMMYFUNCTION("""COMPUTED_VALUE"""),"MEXY ALEXANDER HETMINA")</f>
        <v>MEXY ALEXANDER HETMINA</v>
      </c>
      <c r="C3401" s="40" t="str">
        <f>IFERROR(__xludf.DUMMYFUNCTION("""COMPUTED_VALUE"""),"Belum disetujui")</f>
        <v>Belum disetujui</v>
      </c>
      <c r="D3401" s="40"/>
      <c r="E3401" s="40" t="s">
        <v>11413</v>
      </c>
      <c r="F3401" s="40" t="s">
        <v>204</v>
      </c>
      <c r="G3401" s="40" t="s">
        <v>11414</v>
      </c>
      <c r="H3401" s="40" t="s">
        <v>11399</v>
      </c>
    </row>
    <row r="3402">
      <c r="A3402" s="39">
        <f>IFERROR(__xludf.DUMMYFUNCTION("""COMPUTED_VALUE"""),45991.967040648145)</f>
        <v>45991.96704</v>
      </c>
      <c r="B3402" s="40" t="str">
        <f>IFERROR(__xludf.DUMMYFUNCTION("""COMPUTED_VALUE"""),"YOHANA NOVIANA MARIANA GAA")</f>
        <v>YOHANA NOVIANA MARIANA GAA</v>
      </c>
      <c r="C3402" s="40" t="str">
        <f>IFERROR(__xludf.DUMMYFUNCTION("""COMPUTED_VALUE"""),"Belum disetujui")</f>
        <v>Belum disetujui</v>
      </c>
      <c r="D3402" s="40"/>
      <c r="E3402" s="40" t="s">
        <v>11400</v>
      </c>
      <c r="F3402" s="40" t="s">
        <v>204</v>
      </c>
      <c r="G3402" s="40" t="s">
        <v>11401</v>
      </c>
      <c r="H3402" s="40" t="s">
        <v>11399</v>
      </c>
    </row>
    <row r="3403">
      <c r="A3403" s="39">
        <f>IFERROR(__xludf.DUMMYFUNCTION("""COMPUTED_VALUE"""),45991.96834135417)</f>
        <v>45991.96834</v>
      </c>
      <c r="B3403" s="40" t="str">
        <f>IFERROR(__xludf.DUMMYFUNCTION("""COMPUTED_VALUE"""),"YOHANA NOVIANA MARIANA GAA")</f>
        <v>YOHANA NOVIANA MARIANA GAA</v>
      </c>
      <c r="C3403" s="40" t="str">
        <f>IFERROR(__xludf.DUMMYFUNCTION("""COMPUTED_VALUE"""),"Belum disetujui")</f>
        <v>Belum disetujui</v>
      </c>
      <c r="D3403" s="40"/>
      <c r="E3403" s="40" t="s">
        <v>11400</v>
      </c>
      <c r="F3403" s="40" t="s">
        <v>204</v>
      </c>
      <c r="G3403" s="40" t="s">
        <v>11401</v>
      </c>
      <c r="H3403" s="40" t="s">
        <v>11399</v>
      </c>
    </row>
    <row r="3404">
      <c r="A3404" s="39">
        <f>IFERROR(__xludf.DUMMYFUNCTION("""COMPUTED_VALUE"""),45991.96851803241)</f>
        <v>45991.96852</v>
      </c>
      <c r="B3404" s="40" t="str">
        <f>IFERROR(__xludf.DUMMYFUNCTION("""COMPUTED_VALUE"""),"DWITNEY PRETY WANGGANDIMA")</f>
        <v>DWITNEY PRETY WANGGANDIMA</v>
      </c>
      <c r="C3404" s="40" t="str">
        <f>IFERROR(__xludf.DUMMYFUNCTION("""COMPUTED_VALUE"""),"Belum disetujui")</f>
        <v>Belum disetujui</v>
      </c>
      <c r="D3404" s="40"/>
      <c r="E3404" s="40" t="s">
        <v>11443</v>
      </c>
      <c r="F3404" s="40" t="s">
        <v>220</v>
      </c>
      <c r="G3404" s="40" t="s">
        <v>11444</v>
      </c>
      <c r="H3404" s="40" t="s">
        <v>11399</v>
      </c>
    </row>
    <row r="3405">
      <c r="A3405" s="39">
        <f>IFERROR(__xludf.DUMMYFUNCTION("""COMPUTED_VALUE"""),45991.9687432639)</f>
        <v>45991.96874</v>
      </c>
      <c r="B3405" s="40" t="str">
        <f>IFERROR(__xludf.DUMMYFUNCTION("""COMPUTED_VALUE"""),"MEXY ALEXANDER HETMINA")</f>
        <v>MEXY ALEXANDER HETMINA</v>
      </c>
      <c r="C3405" s="40" t="str">
        <f>IFERROR(__xludf.DUMMYFUNCTION("""COMPUTED_VALUE"""),"Belum disetujui")</f>
        <v>Belum disetujui</v>
      </c>
      <c r="D3405" s="40"/>
      <c r="E3405" s="40" t="s">
        <v>11413</v>
      </c>
      <c r="F3405" s="40" t="s">
        <v>204</v>
      </c>
      <c r="G3405" s="40" t="s">
        <v>11414</v>
      </c>
      <c r="H3405" s="40" t="s">
        <v>11399</v>
      </c>
    </row>
    <row r="3406">
      <c r="A3406" s="39">
        <f>IFERROR(__xludf.DUMMYFUNCTION("""COMPUTED_VALUE"""),45991.96945642361)</f>
        <v>45991.96946</v>
      </c>
      <c r="B3406" s="40" t="str">
        <f>IFERROR(__xludf.DUMMYFUNCTION("""COMPUTED_VALUE"""),"YOHANA NOVIANA MARIANA GAA")</f>
        <v>YOHANA NOVIANA MARIANA GAA</v>
      </c>
      <c r="C3406" s="40" t="str">
        <f>IFERROR(__xludf.DUMMYFUNCTION("""COMPUTED_VALUE"""),"Belum disetujui")</f>
        <v>Belum disetujui</v>
      </c>
      <c r="D3406" s="40"/>
      <c r="E3406" s="40" t="s">
        <v>11400</v>
      </c>
      <c r="F3406" s="40" t="s">
        <v>204</v>
      </c>
      <c r="G3406" s="40" t="s">
        <v>11401</v>
      </c>
      <c r="H3406" s="40" t="s">
        <v>11399</v>
      </c>
    </row>
    <row r="3407">
      <c r="A3407" s="39">
        <f>IFERROR(__xludf.DUMMYFUNCTION("""COMPUTED_VALUE"""),45991.96991697917)</f>
        <v>45991.96992</v>
      </c>
      <c r="B3407" s="40" t="str">
        <f>IFERROR(__xludf.DUMMYFUNCTION("""COMPUTED_VALUE"""),"MEXY ALEXANDER HETMINA")</f>
        <v>MEXY ALEXANDER HETMINA</v>
      </c>
      <c r="C3407" s="40" t="str">
        <f>IFERROR(__xludf.DUMMYFUNCTION("""COMPUTED_VALUE"""),"Belum disetujui")</f>
        <v>Belum disetujui</v>
      </c>
      <c r="D3407" s="40"/>
      <c r="E3407" s="40" t="s">
        <v>11413</v>
      </c>
      <c r="F3407" s="40" t="s">
        <v>204</v>
      </c>
      <c r="G3407" s="40" t="s">
        <v>11414</v>
      </c>
      <c r="H3407" s="40" t="s">
        <v>11399</v>
      </c>
    </row>
    <row r="3408">
      <c r="A3408" s="39">
        <f>IFERROR(__xludf.DUMMYFUNCTION("""COMPUTED_VALUE"""),45991.970715497686)</f>
        <v>45991.97072</v>
      </c>
      <c r="B3408" s="40" t="str">
        <f>IFERROR(__xludf.DUMMYFUNCTION("""COMPUTED_VALUE"""),"YOHANA NOVIANA MARIANA GAA")</f>
        <v>YOHANA NOVIANA MARIANA GAA</v>
      </c>
      <c r="C3408" s="40" t="str">
        <f>IFERROR(__xludf.DUMMYFUNCTION("""COMPUTED_VALUE"""),"Belum disetujui")</f>
        <v>Belum disetujui</v>
      </c>
      <c r="D3408" s="40"/>
      <c r="E3408" s="40" t="s">
        <v>11400</v>
      </c>
      <c r="F3408" s="40" t="s">
        <v>204</v>
      </c>
      <c r="G3408" s="40" t="s">
        <v>11401</v>
      </c>
      <c r="H3408" s="40" t="s">
        <v>11399</v>
      </c>
    </row>
    <row r="3409">
      <c r="A3409" s="39">
        <f>IFERROR(__xludf.DUMMYFUNCTION("""COMPUTED_VALUE"""),45991.974688912036)</f>
        <v>45991.97469</v>
      </c>
      <c r="B3409" s="40" t="str">
        <f>IFERROR(__xludf.DUMMYFUNCTION("""COMPUTED_VALUE"""),"YOHANA NOVIANA MARIANA GAA")</f>
        <v>YOHANA NOVIANA MARIANA GAA</v>
      </c>
      <c r="C3409" s="40" t="str">
        <f>IFERROR(__xludf.DUMMYFUNCTION("""COMPUTED_VALUE"""),"Belum disetujui")</f>
        <v>Belum disetujui</v>
      </c>
      <c r="D3409" s="40"/>
      <c r="E3409" s="40" t="s">
        <v>11400</v>
      </c>
      <c r="F3409" s="40" t="s">
        <v>204</v>
      </c>
      <c r="G3409" s="40" t="s">
        <v>11401</v>
      </c>
      <c r="H3409" s="40" t="s">
        <v>11399</v>
      </c>
    </row>
    <row r="3410">
      <c r="A3410" s="39">
        <f>IFERROR(__xludf.DUMMYFUNCTION("""COMPUTED_VALUE"""),45991.9746896875)</f>
        <v>45991.97469</v>
      </c>
      <c r="B3410" s="40" t="str">
        <f>IFERROR(__xludf.DUMMYFUNCTION("""COMPUTED_VALUE"""),"ROS YANE KANA LUDJI")</f>
        <v>ROS YANE KANA LUDJI</v>
      </c>
      <c r="C3410" s="40" t="str">
        <f>IFERROR(__xludf.DUMMYFUNCTION("""COMPUTED_VALUE"""),"Dapat limit tapi belum diproses")</f>
        <v>Dapat limit tapi belum diproses</v>
      </c>
      <c r="D3410" s="40" t="str">
        <f>IFERROR(__xludf.DUMMYFUNCTION("""COMPUTED_VALUE"""),"Y400 series")</f>
        <v>Y400 series</v>
      </c>
      <c r="E3410" s="40" t="s">
        <v>11437</v>
      </c>
      <c r="F3410" s="40" t="s">
        <v>204</v>
      </c>
      <c r="G3410" s="40" t="s">
        <v>11438</v>
      </c>
      <c r="H3410" s="40" t="s">
        <v>11399</v>
      </c>
    </row>
    <row r="3411">
      <c r="A3411" s="39">
        <f>IFERROR(__xludf.DUMMYFUNCTION("""COMPUTED_VALUE"""),45991.97662513889)</f>
        <v>45991.97663</v>
      </c>
      <c r="B3411" s="40" t="str">
        <f>IFERROR(__xludf.DUMMYFUNCTION("""COMPUTED_VALUE"""),"ROS YANE KANA LUDJI")</f>
        <v>ROS YANE KANA LUDJI</v>
      </c>
      <c r="C3411" s="40" t="str">
        <f>IFERROR(__xludf.DUMMYFUNCTION("""COMPUTED_VALUE"""),"Belum disetujui")</f>
        <v>Belum disetujui</v>
      </c>
      <c r="D3411" s="40"/>
      <c r="E3411" s="40" t="s">
        <v>11437</v>
      </c>
      <c r="F3411" s="40" t="s">
        <v>204</v>
      </c>
      <c r="G3411" s="40" t="s">
        <v>11438</v>
      </c>
      <c r="H3411" s="40" t="s">
        <v>11399</v>
      </c>
    </row>
    <row r="3412">
      <c r="A3412" s="39">
        <f>IFERROR(__xludf.DUMMYFUNCTION("""COMPUTED_VALUE"""),45991.97775443287)</f>
        <v>45991.97775</v>
      </c>
      <c r="B3412" s="40" t="str">
        <f>IFERROR(__xludf.DUMMYFUNCTION("""COMPUTED_VALUE"""),"ROS YANE KANA LUDJI")</f>
        <v>ROS YANE KANA LUDJI</v>
      </c>
      <c r="C3412" s="40" t="str">
        <f>IFERROR(__xludf.DUMMYFUNCTION("""COMPUTED_VALUE"""),"Belum disetujui")</f>
        <v>Belum disetujui</v>
      </c>
      <c r="D3412" s="40"/>
      <c r="E3412" s="40" t="s">
        <v>11437</v>
      </c>
      <c r="F3412" s="40" t="s">
        <v>204</v>
      </c>
      <c r="G3412" s="40" t="s">
        <v>11438</v>
      </c>
      <c r="H3412" s="40" t="s">
        <v>11399</v>
      </c>
    </row>
    <row r="3413">
      <c r="A3413" s="39">
        <f>IFERROR(__xludf.DUMMYFUNCTION("""COMPUTED_VALUE"""),45991.977983599536)</f>
        <v>45991.97798</v>
      </c>
      <c r="B3413" s="40" t="str">
        <f>IFERROR(__xludf.DUMMYFUNCTION("""COMPUTED_VALUE"""),"PATRIANI MENGI ULY")</f>
        <v>PATRIANI MENGI ULY</v>
      </c>
      <c r="C3413" s="40" t="str">
        <f>IFERROR(__xludf.DUMMYFUNCTION("""COMPUTED_VALUE"""),"Belum disetujui")</f>
        <v>Belum disetujui</v>
      </c>
      <c r="D3413" s="40"/>
      <c r="E3413" s="40" t="s">
        <v>11402</v>
      </c>
      <c r="F3413" s="40" t="s">
        <v>204</v>
      </c>
      <c r="G3413" s="40" t="s">
        <v>11403</v>
      </c>
      <c r="H3413" s="40" t="s">
        <v>11399</v>
      </c>
    </row>
    <row r="3414">
      <c r="A3414" s="39">
        <f>IFERROR(__xludf.DUMMYFUNCTION("""COMPUTED_VALUE"""),45991.97809135417)</f>
        <v>45991.97809</v>
      </c>
      <c r="B3414" s="40" t="str">
        <f>IFERROR(__xludf.DUMMYFUNCTION("""COMPUTED_VALUE"""),"YOHANA NOVIANA MARIANA GAA")</f>
        <v>YOHANA NOVIANA MARIANA GAA</v>
      </c>
      <c r="C3414" s="40" t="str">
        <f>IFERROR(__xludf.DUMMYFUNCTION("""COMPUTED_VALUE"""),"Belum disetujui")</f>
        <v>Belum disetujui</v>
      </c>
      <c r="D3414" s="40"/>
      <c r="E3414" s="40" t="s">
        <v>11400</v>
      </c>
      <c r="F3414" s="40" t="s">
        <v>204</v>
      </c>
      <c r="G3414" s="40" t="s">
        <v>11401</v>
      </c>
      <c r="H3414" s="40" t="s">
        <v>11399</v>
      </c>
    </row>
    <row r="3415">
      <c r="A3415" s="39">
        <f>IFERROR(__xludf.DUMMYFUNCTION("""COMPUTED_VALUE"""),45991.97899737269)</f>
        <v>45991.979</v>
      </c>
      <c r="B3415" s="40" t="str">
        <f>IFERROR(__xludf.DUMMYFUNCTION("""COMPUTED_VALUE"""),"YOHANA NOVIANA MARIANA GAA")</f>
        <v>YOHANA NOVIANA MARIANA GAA</v>
      </c>
      <c r="C3415" s="40" t="str">
        <f>IFERROR(__xludf.DUMMYFUNCTION("""COMPUTED_VALUE"""),"Belum disetujui")</f>
        <v>Belum disetujui</v>
      </c>
      <c r="D3415" s="40"/>
      <c r="E3415" s="40" t="s">
        <v>11400</v>
      </c>
      <c r="F3415" s="40" t="s">
        <v>204</v>
      </c>
      <c r="G3415" s="40" t="s">
        <v>11401</v>
      </c>
      <c r="H3415" s="40" t="s">
        <v>11399</v>
      </c>
    </row>
    <row r="3416">
      <c r="A3416" s="39">
        <f>IFERROR(__xludf.DUMMYFUNCTION("""COMPUTED_VALUE"""),45991.97988719907)</f>
        <v>45991.97989</v>
      </c>
      <c r="B3416" s="40" t="str">
        <f>IFERROR(__xludf.DUMMYFUNCTION("""COMPUTED_VALUE"""),"PATRIANI MENGI ULY")</f>
        <v>PATRIANI MENGI ULY</v>
      </c>
      <c r="C3416" s="40" t="str">
        <f>IFERROR(__xludf.DUMMYFUNCTION("""COMPUTED_VALUE"""),"Belum disetujui")</f>
        <v>Belum disetujui</v>
      </c>
      <c r="D3416" s="40"/>
      <c r="E3416" s="40" t="s">
        <v>11402</v>
      </c>
      <c r="F3416" s="40" t="s">
        <v>204</v>
      </c>
      <c r="G3416" s="40" t="s">
        <v>11403</v>
      </c>
      <c r="H3416" s="40" t="s">
        <v>11399</v>
      </c>
    </row>
    <row r="3417">
      <c r="A3417" s="39">
        <f>IFERROR(__xludf.DUMMYFUNCTION("""COMPUTED_VALUE"""),45991.9812634375)</f>
        <v>45991.98126</v>
      </c>
      <c r="B3417" s="40" t="str">
        <f>IFERROR(__xludf.DUMMYFUNCTION("""COMPUTED_VALUE"""),"YOHANA NOVIANA MARIANA GAA")</f>
        <v>YOHANA NOVIANA MARIANA GAA</v>
      </c>
      <c r="C3417" s="40" t="str">
        <f>IFERROR(__xludf.DUMMYFUNCTION("""COMPUTED_VALUE"""),"Dapat limit tapi belum diproses")</f>
        <v>Dapat limit tapi belum diproses</v>
      </c>
      <c r="D3417" s="40" t="str">
        <f>IFERROR(__xludf.DUMMYFUNCTION("""COMPUTED_VALUE"""),"Y400 series")</f>
        <v>Y400 series</v>
      </c>
      <c r="E3417" s="40" t="s">
        <v>11400</v>
      </c>
      <c r="F3417" s="40" t="s">
        <v>204</v>
      </c>
      <c r="G3417" s="40" t="s">
        <v>11401</v>
      </c>
      <c r="H3417" s="40" t="s">
        <v>11399</v>
      </c>
    </row>
    <row r="3418">
      <c r="A3418" s="39">
        <f>IFERROR(__xludf.DUMMYFUNCTION("""COMPUTED_VALUE"""),45991.98256688658)</f>
        <v>45991.98257</v>
      </c>
      <c r="B3418" s="40" t="str">
        <f>IFERROR(__xludf.DUMMYFUNCTION("""COMPUTED_VALUE"""),"YOHANA NOVIANA MARIANA GAA")</f>
        <v>YOHANA NOVIANA MARIANA GAA</v>
      </c>
      <c r="C3418" s="40" t="str">
        <f>IFERROR(__xludf.DUMMYFUNCTION("""COMPUTED_VALUE"""),"Belum disetujui")</f>
        <v>Belum disetujui</v>
      </c>
      <c r="D3418" s="40"/>
      <c r="E3418" s="40" t="s">
        <v>11400</v>
      </c>
      <c r="F3418" s="40" t="s">
        <v>204</v>
      </c>
      <c r="G3418" s="40" t="s">
        <v>11401</v>
      </c>
      <c r="H3418" s="40" t="s">
        <v>11399</v>
      </c>
    </row>
    <row r="3419">
      <c r="A3419" s="39">
        <f>IFERROR(__xludf.DUMMYFUNCTION("""COMPUTED_VALUE"""),45991.98358760416)</f>
        <v>45991.98359</v>
      </c>
      <c r="B3419" s="40" t="str">
        <f>IFERROR(__xludf.DUMMYFUNCTION("""COMPUTED_VALUE"""),"YOHANA NOVIANA MARIANA GAA")</f>
        <v>YOHANA NOVIANA MARIANA GAA</v>
      </c>
      <c r="C3419" s="40" t="str">
        <f>IFERROR(__xludf.DUMMYFUNCTION("""COMPUTED_VALUE"""),"Belum disetujui")</f>
        <v>Belum disetujui</v>
      </c>
      <c r="D3419" s="40"/>
      <c r="E3419" s="40" t="s">
        <v>11400</v>
      </c>
      <c r="F3419" s="40" t="s">
        <v>204</v>
      </c>
      <c r="G3419" s="40" t="s">
        <v>11401</v>
      </c>
      <c r="H3419" s="40" t="s">
        <v>11399</v>
      </c>
    </row>
    <row r="3420">
      <c r="A3420" s="39">
        <f>IFERROR(__xludf.DUMMYFUNCTION("""COMPUTED_VALUE"""),45991.98499892362)</f>
        <v>45991.985</v>
      </c>
      <c r="B3420" s="40" t="str">
        <f>IFERROR(__xludf.DUMMYFUNCTION("""COMPUTED_VALUE"""),"YOHANA NOVIANA MARIANA GAA")</f>
        <v>YOHANA NOVIANA MARIANA GAA</v>
      </c>
      <c r="C3420" s="40" t="str">
        <f>IFERROR(__xludf.DUMMYFUNCTION("""COMPUTED_VALUE"""),"Belum disetujui")</f>
        <v>Belum disetujui</v>
      </c>
      <c r="D3420" s="40"/>
      <c r="E3420" s="40" t="s">
        <v>11400</v>
      </c>
      <c r="F3420" s="40" t="s">
        <v>204</v>
      </c>
      <c r="G3420" s="40" t="s">
        <v>11401</v>
      </c>
      <c r="H3420" s="40" t="s">
        <v>11399</v>
      </c>
    </row>
    <row r="3421">
      <c r="A3421" s="39">
        <f>IFERROR(__xludf.DUMMYFUNCTION("""COMPUTED_VALUE"""),45991.98674259259)</f>
        <v>45991.98674</v>
      </c>
      <c r="B3421" s="40" t="str">
        <f>IFERROR(__xludf.DUMMYFUNCTION("""COMPUTED_VALUE"""),"YOHANA NOVIANA MARIANA GAA")</f>
        <v>YOHANA NOVIANA MARIANA GAA</v>
      </c>
      <c r="C3421" s="40" t="str">
        <f>IFERROR(__xludf.DUMMYFUNCTION("""COMPUTED_VALUE"""),"Belum disetujui")</f>
        <v>Belum disetujui</v>
      </c>
      <c r="D3421" s="40"/>
      <c r="E3421" s="40" t="s">
        <v>11400</v>
      </c>
      <c r="F3421" s="40" t="s">
        <v>204</v>
      </c>
      <c r="G3421" s="40" t="s">
        <v>11401</v>
      </c>
      <c r="H3421" s="40" t="s">
        <v>11399</v>
      </c>
    </row>
    <row r="3422">
      <c r="A3422" s="39">
        <f>IFERROR(__xludf.DUMMYFUNCTION("""COMPUTED_VALUE"""),45991.9875980324)</f>
        <v>45991.9876</v>
      </c>
      <c r="B3422" s="40" t="str">
        <f>IFERROR(__xludf.DUMMYFUNCTION("""COMPUTED_VALUE"""),"YOHANA NOVIANA MARIANA GAA")</f>
        <v>YOHANA NOVIANA MARIANA GAA</v>
      </c>
      <c r="C3422" s="40" t="str">
        <f>IFERROR(__xludf.DUMMYFUNCTION("""COMPUTED_VALUE"""),"Belum disetujui")</f>
        <v>Belum disetujui</v>
      </c>
      <c r="D3422" s="40"/>
      <c r="E3422" s="40" t="s">
        <v>11400</v>
      </c>
      <c r="F3422" s="40" t="s">
        <v>204</v>
      </c>
      <c r="G3422" s="40" t="s">
        <v>11401</v>
      </c>
      <c r="H3422" s="40" t="s">
        <v>11399</v>
      </c>
    </row>
    <row r="3423">
      <c r="A3423" s="39">
        <f>IFERROR(__xludf.DUMMYFUNCTION("""COMPUTED_VALUE"""),45991.98901574074)</f>
        <v>45991.98902</v>
      </c>
      <c r="B3423" s="40" t="str">
        <f>IFERROR(__xludf.DUMMYFUNCTION("""COMPUTED_VALUE"""),"YOHANA NOVIANA MARIANA GAA")</f>
        <v>YOHANA NOVIANA MARIANA GAA</v>
      </c>
      <c r="C3423" s="40" t="str">
        <f>IFERROR(__xludf.DUMMYFUNCTION("""COMPUTED_VALUE"""),"Belum disetujui")</f>
        <v>Belum disetujui</v>
      </c>
      <c r="D3423" s="40"/>
      <c r="E3423" s="40" t="s">
        <v>11400</v>
      </c>
      <c r="F3423" s="40" t="s">
        <v>204</v>
      </c>
      <c r="G3423" s="40" t="s">
        <v>11401</v>
      </c>
      <c r="H3423" s="40" t="s">
        <v>11399</v>
      </c>
    </row>
    <row r="3424">
      <c r="A3424" s="39">
        <f>IFERROR(__xludf.DUMMYFUNCTION("""COMPUTED_VALUE"""),45991.99016922453)</f>
        <v>45991.99017</v>
      </c>
      <c r="B3424" s="40" t="str">
        <f>IFERROR(__xludf.DUMMYFUNCTION("""COMPUTED_VALUE"""),"YOHANA NOVIANA MARIANA GAA")</f>
        <v>YOHANA NOVIANA MARIANA GAA</v>
      </c>
      <c r="C3424" s="40" t="str">
        <f>IFERROR(__xludf.DUMMYFUNCTION("""COMPUTED_VALUE"""),"Belum disetujui")</f>
        <v>Belum disetujui</v>
      </c>
      <c r="D3424" s="40"/>
      <c r="E3424" s="40" t="s">
        <v>11400</v>
      </c>
      <c r="F3424" s="40" t="s">
        <v>204</v>
      </c>
      <c r="G3424" s="40" t="s">
        <v>11401</v>
      </c>
      <c r="H3424" s="40" t="s">
        <v>11399</v>
      </c>
    </row>
    <row r="3425">
      <c r="A3425" s="39">
        <f>IFERROR(__xludf.DUMMYFUNCTION("""COMPUTED_VALUE"""),45991.99109913194)</f>
        <v>45991.9911</v>
      </c>
      <c r="B3425" s="40" t="str">
        <f>IFERROR(__xludf.DUMMYFUNCTION("""COMPUTED_VALUE"""),"YOHANA NOVIANA MARIANA GAA")</f>
        <v>YOHANA NOVIANA MARIANA GAA</v>
      </c>
      <c r="C3425" s="40" t="str">
        <f>IFERROR(__xludf.DUMMYFUNCTION("""COMPUTED_VALUE"""),"Belum disetujui")</f>
        <v>Belum disetujui</v>
      </c>
      <c r="D3425" s="40"/>
      <c r="E3425" s="40" t="s">
        <v>11400</v>
      </c>
      <c r="F3425" s="40" t="s">
        <v>204</v>
      </c>
      <c r="G3425" s="40" t="s">
        <v>11401</v>
      </c>
      <c r="H3425" s="40" t="s">
        <v>11399</v>
      </c>
    </row>
    <row r="3426">
      <c r="A3426" s="39">
        <f>IFERROR(__xludf.DUMMYFUNCTION("""COMPUTED_VALUE"""),45991.99199644676)</f>
        <v>45991.992</v>
      </c>
      <c r="B3426" s="40" t="str">
        <f>IFERROR(__xludf.DUMMYFUNCTION("""COMPUTED_VALUE"""),"YOHANA NOVIANA MARIANA GAA")</f>
        <v>YOHANA NOVIANA MARIANA GAA</v>
      </c>
      <c r="C3426" s="40" t="str">
        <f>IFERROR(__xludf.DUMMYFUNCTION("""COMPUTED_VALUE"""),"Belum disetujui")</f>
        <v>Belum disetujui</v>
      </c>
      <c r="D3426" s="40"/>
      <c r="E3426" s="40" t="s">
        <v>11400</v>
      </c>
      <c r="F3426" s="40" t="s">
        <v>204</v>
      </c>
      <c r="G3426" s="40" t="s">
        <v>11401</v>
      </c>
      <c r="H3426" s="40" t="s">
        <v>11399</v>
      </c>
    </row>
    <row r="3427">
      <c r="A3427" s="39">
        <f>IFERROR(__xludf.DUMMYFUNCTION("""COMPUTED_VALUE"""),45991.995753414354)</f>
        <v>45991.99575</v>
      </c>
      <c r="B3427" s="40" t="str">
        <f>IFERROR(__xludf.DUMMYFUNCTION("""COMPUTED_VALUE"""),"YOHANA NOVIANA MARIANA GAA")</f>
        <v>YOHANA NOVIANA MARIANA GAA</v>
      </c>
      <c r="C3427" s="40" t="str">
        <f>IFERROR(__xludf.DUMMYFUNCTION("""COMPUTED_VALUE"""),"Belum disetujui")</f>
        <v>Belum disetujui</v>
      </c>
      <c r="D3427" s="40"/>
      <c r="E3427" s="40" t="s">
        <v>11400</v>
      </c>
      <c r="F3427" s="40" t="s">
        <v>204</v>
      </c>
      <c r="G3427" s="40" t="s">
        <v>11401</v>
      </c>
      <c r="H3427" s="40" t="s">
        <v>11399</v>
      </c>
    </row>
    <row r="3428">
      <c r="A3428" s="39">
        <f>IFERROR(__xludf.DUMMYFUNCTION("""COMPUTED_VALUE"""),45991.996026319444)</f>
        <v>45991.99603</v>
      </c>
      <c r="B3428" s="40" t="str">
        <f>IFERROR(__xludf.DUMMYFUNCTION("""COMPUTED_VALUE"""),"ROS YANE KANA LUDJI")</f>
        <v>ROS YANE KANA LUDJI</v>
      </c>
      <c r="C3428" s="40" t="str">
        <f>IFERROR(__xludf.DUMMYFUNCTION("""COMPUTED_VALUE"""),"Belum disetujui")</f>
        <v>Belum disetujui</v>
      </c>
      <c r="D3428" s="40"/>
      <c r="E3428" s="40" t="s">
        <v>11437</v>
      </c>
      <c r="F3428" s="40" t="s">
        <v>204</v>
      </c>
      <c r="G3428" s="40" t="s">
        <v>11438</v>
      </c>
      <c r="H3428" s="40" t="s">
        <v>11399</v>
      </c>
    </row>
    <row r="3429">
      <c r="A3429" s="39">
        <f>IFERROR(__xludf.DUMMYFUNCTION("""COMPUTED_VALUE"""),45991.99683145833)</f>
        <v>45991.99683</v>
      </c>
      <c r="B3429" s="40" t="str">
        <f>IFERROR(__xludf.DUMMYFUNCTION("""COMPUTED_VALUE"""),"YOHANA NOVIANA MARIANA GAA")</f>
        <v>YOHANA NOVIANA MARIANA GAA</v>
      </c>
      <c r="C3429" s="40" t="str">
        <f>IFERROR(__xludf.DUMMYFUNCTION("""COMPUTED_VALUE"""),"Belum disetujui")</f>
        <v>Belum disetujui</v>
      </c>
      <c r="D3429" s="40"/>
      <c r="E3429" s="40" t="s">
        <v>11400</v>
      </c>
      <c r="F3429" s="40" t="s">
        <v>204</v>
      </c>
      <c r="G3429" s="40" t="s">
        <v>11401</v>
      </c>
      <c r="H3429" s="40" t="s">
        <v>11399</v>
      </c>
    </row>
    <row r="3430">
      <c r="A3430" s="39">
        <f>IFERROR(__xludf.DUMMYFUNCTION("""COMPUTED_VALUE"""),45991.998053807874)</f>
        <v>45991.99805</v>
      </c>
      <c r="B3430" s="40" t="str">
        <f>IFERROR(__xludf.DUMMYFUNCTION("""COMPUTED_VALUE"""),"ROS YANE KANA LUDJI")</f>
        <v>ROS YANE KANA LUDJI</v>
      </c>
      <c r="C3430" s="40" t="str">
        <f>IFERROR(__xludf.DUMMYFUNCTION("""COMPUTED_VALUE"""),"Belum disetujui")</f>
        <v>Belum disetujui</v>
      </c>
      <c r="D3430" s="40"/>
      <c r="E3430" s="40" t="s">
        <v>11437</v>
      </c>
      <c r="F3430" s="40" t="s">
        <v>204</v>
      </c>
      <c r="G3430" s="40" t="s">
        <v>11438</v>
      </c>
      <c r="H3430" s="40" t="s">
        <v>11399</v>
      </c>
    </row>
    <row r="3431">
      <c r="A3431" s="39">
        <f>IFERROR(__xludf.DUMMYFUNCTION("""COMPUTED_VALUE"""),45991.999147002316)</f>
        <v>45991.99915</v>
      </c>
      <c r="B3431" s="40" t="str">
        <f>IFERROR(__xludf.DUMMYFUNCTION("""COMPUTED_VALUE"""),"ROS YANE KANA LUDJI")</f>
        <v>ROS YANE KANA LUDJI</v>
      </c>
      <c r="C3431" s="40" t="str">
        <f>IFERROR(__xludf.DUMMYFUNCTION("""COMPUTED_VALUE"""),"Belum disetujui")</f>
        <v>Belum disetujui</v>
      </c>
      <c r="D3431" s="40"/>
      <c r="E3431" s="40" t="s">
        <v>11437</v>
      </c>
      <c r="F3431" s="40" t="s">
        <v>204</v>
      </c>
      <c r="G3431" s="40" t="s">
        <v>11438</v>
      </c>
      <c r="H3431" s="40" t="s">
        <v>11399</v>
      </c>
    </row>
    <row r="3432">
      <c r="A3432" s="39">
        <f>IFERROR(__xludf.DUMMYFUNCTION("""COMPUTED_VALUE"""),45992.000220925926)</f>
        <v>45992.00022</v>
      </c>
      <c r="B3432" s="40" t="str">
        <f>IFERROR(__xludf.DUMMYFUNCTION("""COMPUTED_VALUE"""),"ROS YANE KANA LUDJI")</f>
        <v>ROS YANE KANA LUDJI</v>
      </c>
      <c r="C3432" s="40" t="str">
        <f>IFERROR(__xludf.DUMMYFUNCTION("""COMPUTED_VALUE"""),"Belum disetujui")</f>
        <v>Belum disetujui</v>
      </c>
      <c r="D3432" s="40"/>
      <c r="E3432" s="40" t="s">
        <v>11437</v>
      </c>
      <c r="F3432" s="40" t="s">
        <v>204</v>
      </c>
      <c r="G3432" s="40" t="s">
        <v>11438</v>
      </c>
      <c r="H3432" s="40" t="s">
        <v>11399</v>
      </c>
    </row>
    <row r="3433">
      <c r="A3433" s="39">
        <f>IFERROR(__xludf.DUMMYFUNCTION("""COMPUTED_VALUE"""),45992.39247590278)</f>
        <v>45992.39248</v>
      </c>
      <c r="B3433" s="40" t="str">
        <f>IFERROR(__xludf.DUMMYFUNCTION("""COMPUTED_VALUE"""),"MARNITHA JUWIKE TIMORATI RUNESI")</f>
        <v>MARNITHA JUWIKE TIMORATI RUNESI</v>
      </c>
      <c r="C3433" s="40" t="str">
        <f>IFERROR(__xludf.DUMMYFUNCTION("""COMPUTED_VALUE"""),"Belum disetujui")</f>
        <v>Belum disetujui</v>
      </c>
      <c r="D3433" s="40"/>
      <c r="E3433" s="40" t="s">
        <v>11420</v>
      </c>
      <c r="F3433" s="40" t="s">
        <v>204</v>
      </c>
      <c r="G3433" s="40" t="s">
        <v>11421</v>
      </c>
      <c r="H3433" s="40" t="s">
        <v>11399</v>
      </c>
    </row>
    <row r="3434">
      <c r="A3434" s="39">
        <f>IFERROR(__xludf.DUMMYFUNCTION("""COMPUTED_VALUE"""),45992.41216761574)</f>
        <v>45992.41217</v>
      </c>
      <c r="B3434" s="40" t="str">
        <f>IFERROR(__xludf.DUMMYFUNCTION("""COMPUTED_VALUE"""),"ROS YANE KANA LUDJI")</f>
        <v>ROS YANE KANA LUDJI</v>
      </c>
      <c r="C3434" s="40" t="str">
        <f>IFERROR(__xludf.DUMMYFUNCTION("""COMPUTED_VALUE"""),"Belum disetujui")</f>
        <v>Belum disetujui</v>
      </c>
      <c r="D3434" s="40"/>
      <c r="E3434" s="40" t="s">
        <v>11437</v>
      </c>
      <c r="F3434" s="40" t="s">
        <v>204</v>
      </c>
      <c r="G3434" s="40" t="s">
        <v>11438</v>
      </c>
      <c r="H3434" s="40" t="s">
        <v>11399</v>
      </c>
    </row>
    <row r="3435">
      <c r="A3435" s="39">
        <f>IFERROR(__xludf.DUMMYFUNCTION("""COMPUTED_VALUE"""),45992.42242364584)</f>
        <v>45992.42242</v>
      </c>
      <c r="B3435" s="40" t="str">
        <f>IFERROR(__xludf.DUMMYFUNCTION("""COMPUTED_VALUE"""),"ANDHIKA ULLY")</f>
        <v>ANDHIKA ULLY</v>
      </c>
      <c r="C3435" s="40" t="str">
        <f>IFERROR(__xludf.DUMMYFUNCTION("""COMPUTED_VALUE"""),"Belum disetujui")</f>
        <v>Belum disetujui</v>
      </c>
      <c r="D3435" s="40"/>
      <c r="E3435" s="40" t="s">
        <v>11482</v>
      </c>
      <c r="F3435" s="40" t="s">
        <v>220</v>
      </c>
      <c r="G3435" s="40" t="s">
        <v>11483</v>
      </c>
      <c r="H3435" s="40" t="s">
        <v>11399</v>
      </c>
    </row>
    <row r="3436">
      <c r="A3436" s="39">
        <f>IFERROR(__xludf.DUMMYFUNCTION("""COMPUTED_VALUE"""),45992.42366331018)</f>
        <v>45992.42366</v>
      </c>
      <c r="B3436" s="40" t="str">
        <f>IFERROR(__xludf.DUMMYFUNCTION("""COMPUTED_VALUE"""),"MARNITHA JUWIKE TIMORATI RUNESI")</f>
        <v>MARNITHA JUWIKE TIMORATI RUNESI</v>
      </c>
      <c r="C3436" s="40" t="str">
        <f>IFERROR(__xludf.DUMMYFUNCTION("""COMPUTED_VALUE"""),"Belum disetujui")</f>
        <v>Belum disetujui</v>
      </c>
      <c r="D3436" s="40"/>
      <c r="E3436" s="40" t="s">
        <v>11420</v>
      </c>
      <c r="F3436" s="40" t="s">
        <v>204</v>
      </c>
      <c r="G3436" s="40" t="s">
        <v>11421</v>
      </c>
      <c r="H3436" s="40" t="s">
        <v>11399</v>
      </c>
    </row>
    <row r="3437">
      <c r="A3437" s="39">
        <f>IFERROR(__xludf.DUMMYFUNCTION("""COMPUTED_VALUE"""),45992.43756385417)</f>
        <v>45992.43756</v>
      </c>
      <c r="B3437" s="40" t="str">
        <f>IFERROR(__xludf.DUMMYFUNCTION("""COMPUTED_VALUE"""),"AINI RAHMATINI NATALIA MOESTAKIM")</f>
        <v>AINI RAHMATINI NATALIA MOESTAKIM</v>
      </c>
      <c r="C3437" s="40" t="str">
        <f>IFERROR(__xludf.DUMMYFUNCTION("""COMPUTED_VALUE"""),"Dapat limit tapi belum diproses")</f>
        <v>Dapat limit tapi belum diproses</v>
      </c>
      <c r="D3437" s="40" t="str">
        <f>IFERROR(__xludf.DUMMYFUNCTION("""COMPUTED_VALUE"""),"Y21d series")</f>
        <v>Y21d series</v>
      </c>
      <c r="E3437" s="40" t="s">
        <v>11409</v>
      </c>
      <c r="F3437" s="40" t="s">
        <v>204</v>
      </c>
      <c r="G3437" s="40" t="s">
        <v>11410</v>
      </c>
      <c r="H3437" s="40" t="s">
        <v>11399</v>
      </c>
    </row>
    <row r="3438">
      <c r="A3438" s="39">
        <f>IFERROR(__xludf.DUMMYFUNCTION("""COMPUTED_VALUE"""),45992.46769275463)</f>
        <v>45992.46769</v>
      </c>
      <c r="B3438" s="40" t="str">
        <f>IFERROR(__xludf.DUMMYFUNCTION("""COMPUTED_VALUE"""),"EMPI FRANGKI LIEM")</f>
        <v>EMPI FRANGKI LIEM</v>
      </c>
      <c r="C3438" s="40" t="str">
        <f>IFERROR(__xludf.DUMMYFUNCTION("""COMPUTED_VALUE"""),"Belum disetujui")</f>
        <v>Belum disetujui</v>
      </c>
      <c r="D3438" s="40"/>
      <c r="E3438" s="40" t="s">
        <v>11397</v>
      </c>
      <c r="F3438" s="40" t="s">
        <v>220</v>
      </c>
      <c r="G3438" s="40" t="s">
        <v>11398</v>
      </c>
      <c r="H3438" s="40" t="s">
        <v>11399</v>
      </c>
    </row>
    <row r="3439">
      <c r="A3439" s="39">
        <f>IFERROR(__xludf.DUMMYFUNCTION("""COMPUTED_VALUE"""),45992.50544042824)</f>
        <v>45992.50544</v>
      </c>
      <c r="B3439" s="40" t="str">
        <f>IFERROR(__xludf.DUMMYFUNCTION("""COMPUTED_VALUE"""),"YENDRI ELISHABET BERELOE")</f>
        <v>YENDRI ELISHABET BERELOE</v>
      </c>
      <c r="C3439" s="40" t="str">
        <f>IFERROR(__xludf.DUMMYFUNCTION("""COMPUTED_VALUE"""),"Belum disetujui")</f>
        <v>Belum disetujui</v>
      </c>
      <c r="D3439" s="40"/>
      <c r="E3439" s="40" t="s">
        <v>11490</v>
      </c>
      <c r="F3439" s="40" t="s">
        <v>220</v>
      </c>
      <c r="G3439" s="40" t="s">
        <v>11491</v>
      </c>
      <c r="H3439" s="40" t="s">
        <v>11399</v>
      </c>
    </row>
    <row r="3440">
      <c r="A3440" s="39">
        <f>IFERROR(__xludf.DUMMYFUNCTION("""COMPUTED_VALUE"""),45992.564250324074)</f>
        <v>45992.56425</v>
      </c>
      <c r="B3440" s="40" t="str">
        <f>IFERROR(__xludf.DUMMYFUNCTION("""COMPUTED_VALUE"""),"ANNA RAHMATIA JUFRI")</f>
        <v>ANNA RAHMATIA JUFRI</v>
      </c>
      <c r="C3440" s="40" t="str">
        <f>IFERROR(__xludf.DUMMYFUNCTION("""COMPUTED_VALUE"""),"Belum disetujui")</f>
        <v>Belum disetujui</v>
      </c>
      <c r="D3440" s="40"/>
      <c r="E3440" s="40" t="s">
        <v>11484</v>
      </c>
      <c r="F3440" s="40" t="s">
        <v>11450</v>
      </c>
      <c r="G3440" s="40" t="s">
        <v>11485</v>
      </c>
      <c r="H3440" s="40" t="s">
        <v>11424</v>
      </c>
    </row>
    <row r="3441">
      <c r="A3441" s="39">
        <f>IFERROR(__xludf.DUMMYFUNCTION("""COMPUTED_VALUE"""),45992.568997662034)</f>
        <v>45992.569</v>
      </c>
      <c r="B3441" s="40" t="str">
        <f>IFERROR(__xludf.DUMMYFUNCTION("""COMPUTED_VALUE"""),"SANTI MARIA LUKMINI NAHAK")</f>
        <v>SANTI MARIA LUKMINI NAHAK</v>
      </c>
      <c r="C3441" s="40" t="str">
        <f>IFERROR(__xludf.DUMMYFUNCTION("""COMPUTED_VALUE"""),"Belum disetujui")</f>
        <v>Belum disetujui</v>
      </c>
      <c r="D3441" s="40"/>
      <c r="E3441" s="40" t="s">
        <v>11460</v>
      </c>
      <c r="F3441" s="40" t="s">
        <v>871</v>
      </c>
      <c r="G3441" s="40" t="s">
        <v>11461</v>
      </c>
      <c r="H3441" s="40" t="s">
        <v>11424</v>
      </c>
    </row>
    <row r="3442">
      <c r="A3442" s="39">
        <f>IFERROR(__xludf.DUMMYFUNCTION("""COMPUTED_VALUE"""),45992.56975221065)</f>
        <v>45992.56975</v>
      </c>
      <c r="B3442" s="40" t="str">
        <f>IFERROR(__xludf.DUMMYFUNCTION("""COMPUTED_VALUE"""),"RESTIANY MARIA LUAN KALI")</f>
        <v>RESTIANY MARIA LUAN KALI</v>
      </c>
      <c r="C3442" s="40" t="str">
        <f>IFERROR(__xludf.DUMMYFUNCTION("""COMPUTED_VALUE"""),"Belum disetujui")</f>
        <v>Belum disetujui</v>
      </c>
      <c r="D3442" s="40"/>
      <c r="E3442" s="40" t="s">
        <v>11400</v>
      </c>
      <c r="F3442" s="40" t="s">
        <v>204</v>
      </c>
      <c r="G3442" s="40" t="s">
        <v>11401</v>
      </c>
      <c r="H3442" s="40" t="s">
        <v>11399</v>
      </c>
    </row>
    <row r="3443">
      <c r="A3443" s="39">
        <f>IFERROR(__xludf.DUMMYFUNCTION("""COMPUTED_VALUE"""),45992.575315960654)</f>
        <v>45992.57532</v>
      </c>
      <c r="B3443" s="40" t="str">
        <f>IFERROR(__xludf.DUMMYFUNCTION("""COMPUTED_VALUE"""),"NUR FATIMAH MOLBANG")</f>
        <v>NUR FATIMAH MOLBANG</v>
      </c>
      <c r="C3443" s="40" t="str">
        <f>IFERROR(__xludf.DUMMYFUNCTION("""COMPUTED_VALUE"""),"Belum disetujui")</f>
        <v>Belum disetujui</v>
      </c>
      <c r="D3443" s="40"/>
      <c r="E3443" s="40" t="s">
        <v>11439</v>
      </c>
      <c r="F3443" s="40" t="s">
        <v>313</v>
      </c>
      <c r="G3443" s="40" t="s">
        <v>11440</v>
      </c>
      <c r="H3443" s="40" t="s">
        <v>11424</v>
      </c>
    </row>
    <row r="3444">
      <c r="A3444" s="39">
        <f>IFERROR(__xludf.DUMMYFUNCTION("""COMPUTED_VALUE"""),45992.5792065162)</f>
        <v>45992.57921</v>
      </c>
      <c r="B3444" s="40" t="str">
        <f>IFERROR(__xludf.DUMMYFUNCTION("""COMPUTED_VALUE"""),"NUR FATIMAH MOLBANG")</f>
        <v>NUR FATIMAH MOLBANG</v>
      </c>
      <c r="C3444" s="40" t="str">
        <f>IFERROR(__xludf.DUMMYFUNCTION("""COMPUTED_VALUE"""),"Belum disetujui")</f>
        <v>Belum disetujui</v>
      </c>
      <c r="D3444" s="40"/>
      <c r="E3444" s="40" t="s">
        <v>11439</v>
      </c>
      <c r="F3444" s="40" t="s">
        <v>313</v>
      </c>
      <c r="G3444" s="40" t="s">
        <v>11440</v>
      </c>
      <c r="H3444" s="40" t="s">
        <v>11424</v>
      </c>
    </row>
    <row r="3445">
      <c r="A3445" s="39">
        <f>IFERROR(__xludf.DUMMYFUNCTION("""COMPUTED_VALUE"""),45992.583182372684)</f>
        <v>45992.58318</v>
      </c>
      <c r="B3445" s="40" t="str">
        <f>IFERROR(__xludf.DUMMYFUNCTION("""COMPUTED_VALUE"""),"PATRIANI MENGI ULY")</f>
        <v>PATRIANI MENGI ULY</v>
      </c>
      <c r="C3445" s="40" t="str">
        <f>IFERROR(__xludf.DUMMYFUNCTION("""COMPUTED_VALUE"""),"Belum disetujui")</f>
        <v>Belum disetujui</v>
      </c>
      <c r="D3445" s="40"/>
      <c r="E3445" s="40" t="s">
        <v>11402</v>
      </c>
      <c r="F3445" s="40" t="s">
        <v>204</v>
      </c>
      <c r="G3445" s="40" t="s">
        <v>11403</v>
      </c>
      <c r="H3445" s="40" t="s">
        <v>11399</v>
      </c>
    </row>
    <row r="3446">
      <c r="A3446" s="39">
        <f>IFERROR(__xludf.DUMMYFUNCTION("""COMPUTED_VALUE"""),45992.60638649306)</f>
        <v>45992.60639</v>
      </c>
      <c r="B3446" s="40" t="str">
        <f>IFERROR(__xludf.DUMMYFUNCTION("""COMPUTED_VALUE"""),"BERGITHA NIA OLIN")</f>
        <v>BERGITHA NIA OLIN</v>
      </c>
      <c r="C3446" s="40" t="str">
        <f>IFERROR(__xludf.DUMMYFUNCTION("""COMPUTED_VALUE"""),"Belum disetujui")</f>
        <v>Belum disetujui</v>
      </c>
      <c r="D3446" s="40"/>
      <c r="E3446" s="40" t="s">
        <v>11431</v>
      </c>
      <c r="F3446" s="40" t="s">
        <v>313</v>
      </c>
      <c r="G3446" s="40" t="s">
        <v>11432</v>
      </c>
      <c r="H3446" s="40" t="s">
        <v>11424</v>
      </c>
    </row>
    <row r="3447">
      <c r="A3447" s="39">
        <f>IFERROR(__xludf.DUMMYFUNCTION("""COMPUTED_VALUE"""),45992.61478524306)</f>
        <v>45992.61479</v>
      </c>
      <c r="B3447" s="40" t="str">
        <f>IFERROR(__xludf.DUMMYFUNCTION("""COMPUTED_VALUE"""),"YENDRI ELISHABET BERELOE")</f>
        <v>YENDRI ELISHABET BERELOE</v>
      </c>
      <c r="C3447" s="40" t="str">
        <f>IFERROR(__xludf.DUMMYFUNCTION("""COMPUTED_VALUE"""),"Dapat limit tapi belum diproses")</f>
        <v>Dapat limit tapi belum diproses</v>
      </c>
      <c r="D3447" s="40" t="str">
        <f>IFERROR(__xludf.DUMMYFUNCTION("""COMPUTED_VALUE"""),"Y21d series")</f>
        <v>Y21d series</v>
      </c>
      <c r="E3447" s="40" t="s">
        <v>11490</v>
      </c>
      <c r="F3447" s="40" t="s">
        <v>220</v>
      </c>
      <c r="G3447" s="40" t="s">
        <v>11491</v>
      </c>
      <c r="H3447" s="40" t="s">
        <v>11399</v>
      </c>
    </row>
    <row r="3448">
      <c r="A3448" s="39">
        <f>IFERROR(__xludf.DUMMYFUNCTION("""COMPUTED_VALUE"""),45992.67328905092)</f>
        <v>45992.67329</v>
      </c>
      <c r="B3448" s="40" t="str">
        <f>IFERROR(__xludf.DUMMYFUNCTION("""COMPUTED_VALUE"""),"NABILA RAHMAWATI")</f>
        <v>NABILA RAHMAWATI</v>
      </c>
      <c r="C3448" s="40" t="str">
        <f>IFERROR(__xludf.DUMMYFUNCTION("""COMPUTED_VALUE"""),"Belum disetujui")</f>
        <v>Belum disetujui</v>
      </c>
      <c r="D3448" s="40"/>
      <c r="E3448" s="40" t="s">
        <v>11464</v>
      </c>
      <c r="F3448" s="40" t="s">
        <v>257</v>
      </c>
      <c r="G3448" s="40" t="s">
        <v>11465</v>
      </c>
      <c r="H3448" s="40" t="s">
        <v>11419</v>
      </c>
    </row>
    <row r="3449">
      <c r="A3449" s="39">
        <f>IFERROR(__xludf.DUMMYFUNCTION("""COMPUTED_VALUE"""),45992.728126319445)</f>
        <v>45992.72813</v>
      </c>
      <c r="B3449" s="40" t="str">
        <f>IFERROR(__xludf.DUMMYFUNCTION("""COMPUTED_VALUE"""),"WARDIA")</f>
        <v>WARDIA</v>
      </c>
      <c r="C3449" s="40" t="str">
        <f>IFERROR(__xludf.DUMMYFUNCTION("""COMPUTED_VALUE"""),"Belum disetujui")</f>
        <v>Belum disetujui</v>
      </c>
      <c r="D3449" s="40"/>
      <c r="E3449" s="40" t="s">
        <v>11409</v>
      </c>
      <c r="F3449" s="40" t="s">
        <v>204</v>
      </c>
      <c r="G3449" s="40" t="s">
        <v>11410</v>
      </c>
      <c r="H3449" s="40" t="s">
        <v>11399</v>
      </c>
    </row>
    <row r="3450">
      <c r="A3450" s="39">
        <f>IFERROR(__xludf.DUMMYFUNCTION("""COMPUTED_VALUE"""),45992.74368403935)</f>
        <v>45992.74368</v>
      </c>
      <c r="B3450" s="40" t="str">
        <f>IFERROR(__xludf.DUMMYFUNCTION("""COMPUTED_VALUE"""),"ESTER LUDJI")</f>
        <v>ESTER LUDJI</v>
      </c>
      <c r="C3450" s="40" t="str">
        <f>IFERROR(__xludf.DUMMYFUNCTION("""COMPUTED_VALUE"""),"ACC")</f>
        <v>ACC</v>
      </c>
      <c r="D3450" s="40" t="str">
        <f>IFERROR(__xludf.DUMMYFUNCTION("""COMPUTED_VALUE"""),"Y21d series")</f>
        <v>Y21d series</v>
      </c>
      <c r="E3450" s="40" t="s">
        <v>11441</v>
      </c>
      <c r="F3450" s="40" t="s">
        <v>205</v>
      </c>
      <c r="G3450" s="40" t="s">
        <v>11442</v>
      </c>
      <c r="H3450" s="40" t="s">
        <v>11419</v>
      </c>
    </row>
    <row r="3451">
      <c r="A3451" s="39">
        <f>IFERROR(__xludf.DUMMYFUNCTION("""COMPUTED_VALUE"""),45992.767859479165)</f>
        <v>45992.76786</v>
      </c>
      <c r="B3451" s="40" t="str">
        <f>IFERROR(__xludf.DUMMYFUNCTION("""COMPUTED_VALUE"""),"ESTER LUDJI")</f>
        <v>ESTER LUDJI</v>
      </c>
      <c r="C3451" s="40" t="str">
        <f>IFERROR(__xludf.DUMMYFUNCTION("""COMPUTED_VALUE"""),"Belum disetujui")</f>
        <v>Belum disetujui</v>
      </c>
      <c r="D3451" s="40"/>
      <c r="E3451" s="40" t="s">
        <v>11441</v>
      </c>
      <c r="F3451" s="40" t="s">
        <v>205</v>
      </c>
      <c r="G3451" s="40" t="s">
        <v>11442</v>
      </c>
      <c r="H3451" s="40" t="s">
        <v>11419</v>
      </c>
    </row>
    <row r="3452">
      <c r="A3452" s="39">
        <f>IFERROR(__xludf.DUMMYFUNCTION("""COMPUTED_VALUE"""),45992.77763405093)</f>
        <v>45992.77763</v>
      </c>
      <c r="B3452" s="40" t="str">
        <f>IFERROR(__xludf.DUMMYFUNCTION("""COMPUTED_VALUE"""),"ASRI NINGSI RAMBU ATA ENDI")</f>
        <v>ASRI NINGSI RAMBU ATA ENDI</v>
      </c>
      <c r="C3452" s="40" t="str">
        <f>IFERROR(__xludf.DUMMYFUNCTION("""COMPUTED_VALUE"""),"Dapat limit tapi belum diproses")</f>
        <v>Dapat limit tapi belum diproses</v>
      </c>
      <c r="D3452" s="40" t="str">
        <f>IFERROR(__xludf.DUMMYFUNCTION("""COMPUTED_VALUE"""),"Y400 series")</f>
        <v>Y400 series</v>
      </c>
      <c r="E3452" s="40" t="s">
        <v>11441</v>
      </c>
      <c r="F3452" s="40" t="s">
        <v>205</v>
      </c>
      <c r="G3452" s="40" t="s">
        <v>11442</v>
      </c>
      <c r="H3452" s="40" t="s">
        <v>11419</v>
      </c>
    </row>
    <row r="3453">
      <c r="A3453" s="39">
        <f>IFERROR(__xludf.DUMMYFUNCTION("""COMPUTED_VALUE"""),45992.77939128473)</f>
        <v>45992.77939</v>
      </c>
      <c r="B3453" s="40" t="str">
        <f>IFERROR(__xludf.DUMMYFUNCTION("""COMPUTED_VALUE"""),"ROS YANE KANA LUDJI")</f>
        <v>ROS YANE KANA LUDJI</v>
      </c>
      <c r="C3453" s="40" t="str">
        <f>IFERROR(__xludf.DUMMYFUNCTION("""COMPUTED_VALUE"""),"Belum disetujui")</f>
        <v>Belum disetujui</v>
      </c>
      <c r="D3453" s="40"/>
      <c r="E3453" s="40" t="s">
        <v>11437</v>
      </c>
      <c r="F3453" s="40" t="s">
        <v>204</v>
      </c>
      <c r="G3453" s="40" t="s">
        <v>11438</v>
      </c>
      <c r="H3453" s="40" t="s">
        <v>11399</v>
      </c>
    </row>
    <row r="3454">
      <c r="A3454" s="39">
        <f>IFERROR(__xludf.DUMMYFUNCTION("""COMPUTED_VALUE"""),45992.78130732638)</f>
        <v>45992.78131</v>
      </c>
      <c r="B3454" s="40" t="str">
        <f>IFERROR(__xludf.DUMMYFUNCTION("""COMPUTED_VALUE"""),"BERGITHA NIA OLIN")</f>
        <v>BERGITHA NIA OLIN</v>
      </c>
      <c r="C3454" s="40" t="str">
        <f>IFERROR(__xludf.DUMMYFUNCTION("""COMPUTED_VALUE"""),"ACC")</f>
        <v>ACC</v>
      </c>
      <c r="D3454" s="40" t="str">
        <f>IFERROR(__xludf.DUMMYFUNCTION("""COMPUTED_VALUE"""),"V60 Lite series")</f>
        <v>V60 Lite series</v>
      </c>
      <c r="E3454" s="40" t="s">
        <v>11431</v>
      </c>
      <c r="F3454" s="40" t="s">
        <v>313</v>
      </c>
      <c r="G3454" s="40" t="s">
        <v>11432</v>
      </c>
      <c r="H3454" s="40" t="s">
        <v>11424</v>
      </c>
    </row>
    <row r="3455">
      <c r="A3455" s="39">
        <f>IFERROR(__xludf.DUMMYFUNCTION("""COMPUTED_VALUE"""),45992.796267280086)</f>
        <v>45992.79627</v>
      </c>
      <c r="B3455" s="40" t="str">
        <f>IFERROR(__xludf.DUMMYFUNCTION("""COMPUTED_VALUE"""),"SANTI MARIA LUKMINI NAHAK")</f>
        <v>SANTI MARIA LUKMINI NAHAK</v>
      </c>
      <c r="C3455" s="40" t="str">
        <f>IFERROR(__xludf.DUMMYFUNCTION("""COMPUTED_VALUE"""),"Belum disetujui")</f>
        <v>Belum disetujui</v>
      </c>
      <c r="D3455" s="40"/>
      <c r="E3455" s="40" t="s">
        <v>11460</v>
      </c>
      <c r="F3455" s="40" t="s">
        <v>871</v>
      </c>
      <c r="G3455" s="40" t="s">
        <v>11461</v>
      </c>
      <c r="H3455" s="40" t="s">
        <v>11424</v>
      </c>
    </row>
    <row r="3456">
      <c r="A3456" s="39">
        <f>IFERROR(__xludf.DUMMYFUNCTION("""COMPUTED_VALUE"""),45992.819738726845)</f>
        <v>45992.81974</v>
      </c>
      <c r="B3456" s="40" t="str">
        <f>IFERROR(__xludf.DUMMYFUNCTION("""COMPUTED_VALUE"""),"YOVANDA KATRINA NAE")</f>
        <v>YOVANDA KATRINA NAE</v>
      </c>
      <c r="C3456" s="40" t="str">
        <f>IFERROR(__xludf.DUMMYFUNCTION("""COMPUTED_VALUE"""),"Belum disetujui")</f>
        <v>Belum disetujui</v>
      </c>
      <c r="D3456" s="40"/>
      <c r="E3456" s="40" t="s">
        <v>11425</v>
      </c>
      <c r="F3456" s="40" t="s">
        <v>205</v>
      </c>
      <c r="G3456" s="40" t="s">
        <v>11426</v>
      </c>
      <c r="H3456" s="40" t="s">
        <v>11419</v>
      </c>
    </row>
    <row r="3457">
      <c r="A3457" s="39">
        <f>IFERROR(__xludf.DUMMYFUNCTION("""COMPUTED_VALUE"""),45992.83968498843)</f>
        <v>45992.83968</v>
      </c>
      <c r="B3457" s="40" t="str">
        <f>IFERROR(__xludf.DUMMYFUNCTION("""COMPUTED_VALUE"""),"WINDRI MANOE")</f>
        <v>WINDRI MANOE</v>
      </c>
      <c r="C3457" s="40" t="str">
        <f>IFERROR(__xludf.DUMMYFUNCTION("""COMPUTED_VALUE"""),"Belum disetujui")</f>
        <v>Belum disetujui</v>
      </c>
      <c r="D3457" s="40"/>
      <c r="E3457" s="40" t="s">
        <v>11443</v>
      </c>
      <c r="F3457" s="40" t="s">
        <v>220</v>
      </c>
      <c r="G3457" s="40" t="s">
        <v>11444</v>
      </c>
      <c r="H3457" s="40" t="s">
        <v>11399</v>
      </c>
    </row>
    <row r="3458">
      <c r="A3458" s="39">
        <f>IFERROR(__xludf.DUMMYFUNCTION("""COMPUTED_VALUE"""),45992.840489166665)</f>
        <v>45992.84049</v>
      </c>
      <c r="B3458" s="40" t="str">
        <f>IFERROR(__xludf.DUMMYFUNCTION("""COMPUTED_VALUE"""),"WINDRI MANOE")</f>
        <v>WINDRI MANOE</v>
      </c>
      <c r="C3458" s="40" t="str">
        <f>IFERROR(__xludf.DUMMYFUNCTION("""COMPUTED_VALUE"""),"Belum disetujui")</f>
        <v>Belum disetujui</v>
      </c>
      <c r="D3458" s="40"/>
      <c r="E3458" s="40" t="s">
        <v>11443</v>
      </c>
      <c r="F3458" s="40" t="s">
        <v>220</v>
      </c>
      <c r="G3458" s="40" t="s">
        <v>11444</v>
      </c>
      <c r="H3458" s="40" t="s">
        <v>11399</v>
      </c>
    </row>
    <row r="3459">
      <c r="A3459" s="39">
        <f>IFERROR(__xludf.DUMMYFUNCTION("""COMPUTED_VALUE"""),45992.85128471065)</f>
        <v>45992.85128</v>
      </c>
      <c r="B3459" s="40" t="str">
        <f>IFERROR(__xludf.DUMMYFUNCTION("""COMPUTED_VALUE"""),"DWITNEY PRETY WANGGANDIMA")</f>
        <v>DWITNEY PRETY WANGGANDIMA</v>
      </c>
      <c r="C3459" s="40" t="str">
        <f>IFERROR(__xludf.DUMMYFUNCTION("""COMPUTED_VALUE"""),"Belum disetujui")</f>
        <v>Belum disetujui</v>
      </c>
      <c r="D3459" s="40"/>
      <c r="E3459" s="40" t="s">
        <v>11443</v>
      </c>
      <c r="F3459" s="40" t="s">
        <v>220</v>
      </c>
      <c r="G3459" s="40" t="s">
        <v>11444</v>
      </c>
      <c r="H3459" s="40" t="s">
        <v>11399</v>
      </c>
    </row>
    <row r="3460">
      <c r="A3460" s="39">
        <f>IFERROR(__xludf.DUMMYFUNCTION("""COMPUTED_VALUE"""),45992.85280275463)</f>
        <v>45992.8528</v>
      </c>
      <c r="B3460" s="40" t="str">
        <f>IFERROR(__xludf.DUMMYFUNCTION("""COMPUTED_VALUE"""),"DWITNEY PRETY WANGGANDIMA")</f>
        <v>DWITNEY PRETY WANGGANDIMA</v>
      </c>
      <c r="C3460" s="40" t="str">
        <f>IFERROR(__xludf.DUMMYFUNCTION("""COMPUTED_VALUE"""),"Belum disetujui")</f>
        <v>Belum disetujui</v>
      </c>
      <c r="D3460" s="40"/>
      <c r="E3460" s="40" t="s">
        <v>11443</v>
      </c>
      <c r="F3460" s="40" t="s">
        <v>220</v>
      </c>
      <c r="G3460" s="40" t="s">
        <v>11444</v>
      </c>
      <c r="H3460" s="40" t="s">
        <v>11399</v>
      </c>
    </row>
    <row r="3461">
      <c r="A3461" s="39">
        <f>IFERROR(__xludf.DUMMYFUNCTION("""COMPUTED_VALUE"""),45992.866584537034)</f>
        <v>45992.86658</v>
      </c>
      <c r="B3461" s="40" t="str">
        <f>IFERROR(__xludf.DUMMYFUNCTION("""COMPUTED_VALUE"""),"YOVANDA KATRINA NAE")</f>
        <v>YOVANDA KATRINA NAE</v>
      </c>
      <c r="C3461" s="40" t="str">
        <f>IFERROR(__xludf.DUMMYFUNCTION("""COMPUTED_VALUE"""),"ACC")</f>
        <v>ACC</v>
      </c>
      <c r="D3461" s="40" t="str">
        <f>IFERROR(__xludf.DUMMYFUNCTION("""COMPUTED_VALUE"""),"Y21d series")</f>
        <v>Y21d series</v>
      </c>
      <c r="E3461" s="40" t="s">
        <v>11425</v>
      </c>
      <c r="F3461" s="40" t="s">
        <v>205</v>
      </c>
      <c r="G3461" s="40" t="s">
        <v>11426</v>
      </c>
      <c r="H3461" s="40" t="s">
        <v>11419</v>
      </c>
    </row>
    <row r="3462">
      <c r="A3462" s="39">
        <f>IFERROR(__xludf.DUMMYFUNCTION("""COMPUTED_VALUE"""),45992.90303767362)</f>
        <v>45992.90304</v>
      </c>
      <c r="B3462" s="40" t="str">
        <f>IFERROR(__xludf.DUMMYFUNCTION("""COMPUTED_VALUE"""),"HERONIMUS NAMU WALI")</f>
        <v>HERONIMUS NAMU WALI</v>
      </c>
      <c r="C3462" s="40" t="str">
        <f>IFERROR(__xludf.DUMMYFUNCTION("""COMPUTED_VALUE"""),"ACC")</f>
        <v>ACC</v>
      </c>
      <c r="D3462" s="40" t="str">
        <f>IFERROR(__xludf.DUMMYFUNCTION("""COMPUTED_VALUE"""),"Y21d series")</f>
        <v>Y21d series</v>
      </c>
      <c r="E3462" s="40" t="s">
        <v>11452</v>
      </c>
      <c r="F3462" s="40" t="s">
        <v>205</v>
      </c>
      <c r="G3462" s="40" t="s">
        <v>11453</v>
      </c>
      <c r="H3462" s="40" t="s">
        <v>11419</v>
      </c>
    </row>
    <row r="3463">
      <c r="A3463" s="39">
        <f>IFERROR(__xludf.DUMMYFUNCTION("""COMPUTED_VALUE"""),45992.90552940972)</f>
        <v>45992.90553</v>
      </c>
      <c r="B3463" s="40" t="str">
        <f>IFERROR(__xludf.DUMMYFUNCTION("""COMPUTED_VALUE"""),"HERONIMUS NAMU WALI")</f>
        <v>HERONIMUS NAMU WALI</v>
      </c>
      <c r="C3463" s="40" t="str">
        <f>IFERROR(__xludf.DUMMYFUNCTION("""COMPUTED_VALUE"""),"Belum disetujui")</f>
        <v>Belum disetujui</v>
      </c>
      <c r="D3463" s="40"/>
      <c r="E3463" s="40" t="s">
        <v>11452</v>
      </c>
      <c r="F3463" s="40" t="s">
        <v>205</v>
      </c>
      <c r="G3463" s="40" t="s">
        <v>11453</v>
      </c>
      <c r="H3463" s="40" t="s">
        <v>11419</v>
      </c>
    </row>
    <row r="3464">
      <c r="A3464" s="39">
        <f>IFERROR(__xludf.DUMMYFUNCTION("""COMPUTED_VALUE"""),45993.40507277778)</f>
        <v>45993.40507</v>
      </c>
      <c r="B3464" s="40" t="str">
        <f>IFERROR(__xludf.DUMMYFUNCTION("""COMPUTED_VALUE"""),"AZ ZAHRA SITI ZAINAB")</f>
        <v>AZ ZAHRA SITI ZAINAB</v>
      </c>
      <c r="C3464" s="40" t="str">
        <f>IFERROR(__xludf.DUMMYFUNCTION("""COMPUTED_VALUE"""),"Belum disetujui")</f>
        <v>Belum disetujui</v>
      </c>
      <c r="D3464" s="40"/>
      <c r="E3464" s="40" t="s">
        <v>11462</v>
      </c>
      <c r="F3464" s="40" t="s">
        <v>257</v>
      </c>
      <c r="G3464" s="40" t="s">
        <v>11463</v>
      </c>
      <c r="H3464" s="40" t="s">
        <v>11419</v>
      </c>
    </row>
    <row r="3465">
      <c r="A3465" s="39">
        <f>IFERROR(__xludf.DUMMYFUNCTION("""COMPUTED_VALUE"""),45993.41075219907)</f>
        <v>45993.41075</v>
      </c>
      <c r="B3465" s="40" t="str">
        <f>IFERROR(__xludf.DUMMYFUNCTION("""COMPUTED_VALUE"""),"YUNITA TAMELAB")</f>
        <v>YUNITA TAMELAB</v>
      </c>
      <c r="C3465" s="40" t="str">
        <f>IFERROR(__xludf.DUMMYFUNCTION("""COMPUTED_VALUE"""),"Belum disetujui")</f>
        <v>Belum disetujui</v>
      </c>
      <c r="D3465" s="40"/>
      <c r="E3465" s="40" t="s">
        <v>11472</v>
      </c>
      <c r="F3465" s="40" t="s">
        <v>667</v>
      </c>
      <c r="G3465" s="40" t="s">
        <v>11473</v>
      </c>
      <c r="H3465" s="40" t="s">
        <v>11424</v>
      </c>
    </row>
    <row r="3466">
      <c r="A3466" s="39">
        <f>IFERROR(__xludf.DUMMYFUNCTION("""COMPUTED_VALUE"""),45993.416915821756)</f>
        <v>45993.41692</v>
      </c>
      <c r="B3466" s="40" t="str">
        <f>IFERROR(__xludf.DUMMYFUNCTION("""COMPUTED_VALUE"""),"PUSPA ANGGREINI")</f>
        <v>PUSPA ANGGREINI</v>
      </c>
      <c r="C3466" s="40" t="str">
        <f>IFERROR(__xludf.DUMMYFUNCTION("""COMPUTED_VALUE"""),"Dapat limit tapi belum diproses")</f>
        <v>Dapat limit tapi belum diproses</v>
      </c>
      <c r="D3466" s="40" t="str">
        <f>IFERROR(__xludf.DUMMYFUNCTION("""COMPUTED_VALUE"""),"Y21d series")</f>
        <v>Y21d series</v>
      </c>
      <c r="E3466" s="40" t="s">
        <v>11427</v>
      </c>
      <c r="F3466" s="40" t="s">
        <v>257</v>
      </c>
      <c r="G3466" s="40" t="s">
        <v>11428</v>
      </c>
      <c r="H3466" s="40" t="s">
        <v>11419</v>
      </c>
    </row>
    <row r="3467">
      <c r="A3467" s="39">
        <f>IFERROR(__xludf.DUMMYFUNCTION("""COMPUTED_VALUE"""),45993.43785559028)</f>
        <v>45993.43786</v>
      </c>
      <c r="B3467" s="40" t="str">
        <f>IFERROR(__xludf.DUMMYFUNCTION("""COMPUTED_VALUE"""),"ASTUTI BELA WAWO")</f>
        <v>ASTUTI BELA WAWO</v>
      </c>
      <c r="C3467" s="40" t="str">
        <f>IFERROR(__xludf.DUMMYFUNCTION("""COMPUTED_VALUE"""),"Belum disetujui")</f>
        <v>Belum disetujui</v>
      </c>
      <c r="D3467" s="40"/>
      <c r="E3467" s="40" t="s">
        <v>11427</v>
      </c>
      <c r="F3467" s="40" t="s">
        <v>257</v>
      </c>
      <c r="G3467" s="40" t="s">
        <v>11428</v>
      </c>
      <c r="H3467" s="40" t="s">
        <v>11419</v>
      </c>
    </row>
    <row r="3468">
      <c r="A3468" s="39">
        <f>IFERROR(__xludf.DUMMYFUNCTION("""COMPUTED_VALUE"""),45993.43924400463)</f>
        <v>45993.43924</v>
      </c>
      <c r="B3468" s="40" t="str">
        <f>IFERROR(__xludf.DUMMYFUNCTION("""COMPUTED_VALUE"""),"ASTUTI BELA WAWO")</f>
        <v>ASTUTI BELA WAWO</v>
      </c>
      <c r="C3468" s="40" t="str">
        <f>IFERROR(__xludf.DUMMYFUNCTION("""COMPUTED_VALUE"""),"Belum disetujui")</f>
        <v>Belum disetujui</v>
      </c>
      <c r="D3468" s="40"/>
      <c r="E3468" s="40" t="s">
        <v>11427</v>
      </c>
      <c r="F3468" s="40" t="s">
        <v>257</v>
      </c>
      <c r="G3468" s="40" t="s">
        <v>11428</v>
      </c>
      <c r="H3468" s="40" t="s">
        <v>11419</v>
      </c>
    </row>
    <row r="3469">
      <c r="A3469" s="39">
        <f>IFERROR(__xludf.DUMMYFUNCTION("""COMPUTED_VALUE"""),45993.440446458335)</f>
        <v>45993.44045</v>
      </c>
      <c r="B3469" s="40" t="str">
        <f>IFERROR(__xludf.DUMMYFUNCTION("""COMPUTED_VALUE"""),"ASTUTI BELA WAWO")</f>
        <v>ASTUTI BELA WAWO</v>
      </c>
      <c r="C3469" s="40" t="str">
        <f>IFERROR(__xludf.DUMMYFUNCTION("""COMPUTED_VALUE"""),"Belum disetujui")</f>
        <v>Belum disetujui</v>
      </c>
      <c r="D3469" s="40"/>
      <c r="E3469" s="40" t="s">
        <v>11427</v>
      </c>
      <c r="F3469" s="40" t="s">
        <v>257</v>
      </c>
      <c r="G3469" s="40" t="s">
        <v>11428</v>
      </c>
      <c r="H3469" s="40" t="s">
        <v>11419</v>
      </c>
    </row>
    <row r="3470">
      <c r="A3470" s="39">
        <f>IFERROR(__xludf.DUMMYFUNCTION("""COMPUTED_VALUE"""),45993.47803436343)</f>
        <v>45993.47803</v>
      </c>
      <c r="B3470" s="40" t="str">
        <f>IFERROR(__xludf.DUMMYFUNCTION("""COMPUTED_VALUE"""),"PRETI SISILIA SILA")</f>
        <v>PRETI SISILIA SILA</v>
      </c>
      <c r="C3470" s="40" t="str">
        <f>IFERROR(__xludf.DUMMYFUNCTION("""COMPUTED_VALUE"""),"Dapat limit tapi belum diproses")</f>
        <v>Dapat limit tapi belum diproses</v>
      </c>
      <c r="D3470" s="40" t="str">
        <f>IFERROR(__xludf.DUMMYFUNCTION("""COMPUTED_VALUE"""),"Y21d series")</f>
        <v>Y21d series</v>
      </c>
      <c r="E3470" s="40" t="s">
        <v>11456</v>
      </c>
      <c r="F3470" s="40" t="s">
        <v>667</v>
      </c>
      <c r="G3470" s="40" t="s">
        <v>11457</v>
      </c>
      <c r="H3470" s="40" t="s">
        <v>11424</v>
      </c>
    </row>
    <row r="3471">
      <c r="A3471" s="39">
        <f>IFERROR(__xludf.DUMMYFUNCTION("""COMPUTED_VALUE"""),45993.49545135416)</f>
        <v>45993.49545</v>
      </c>
      <c r="B3471" s="40" t="str">
        <f>IFERROR(__xludf.DUMMYFUNCTION("""COMPUTED_VALUE"""),"MARATHA MARLINDA FANGGIDAE")</f>
        <v>MARATHA MARLINDA FANGGIDAE</v>
      </c>
      <c r="C3471" s="40" t="str">
        <f>IFERROR(__xludf.DUMMYFUNCTION("""COMPUTED_VALUE"""),"Dapat limit tapi belum diproses")</f>
        <v>Dapat limit tapi belum diproses</v>
      </c>
      <c r="D3471" s="40" t="str">
        <f>IFERROR(__xludf.DUMMYFUNCTION("""COMPUTED_VALUE"""),"Y21d series")</f>
        <v>Y21d series</v>
      </c>
      <c r="E3471" s="40" t="s">
        <v>11435</v>
      </c>
      <c r="F3471" s="40" t="s">
        <v>215</v>
      </c>
      <c r="G3471" s="40" t="s">
        <v>11436</v>
      </c>
      <c r="H3471" s="40" t="s">
        <v>11424</v>
      </c>
    </row>
    <row r="3472">
      <c r="A3472" s="39">
        <f>IFERROR(__xludf.DUMMYFUNCTION("""COMPUTED_VALUE"""),45993.49679296297)</f>
        <v>45993.49679</v>
      </c>
      <c r="B3472" s="40" t="str">
        <f>IFERROR(__xludf.DUMMYFUNCTION("""COMPUTED_VALUE"""),"NOVLIANA BARBALINA MISA")</f>
        <v>NOVLIANA BARBALINA MISA</v>
      </c>
      <c r="C3472" s="40" t="str">
        <f>IFERROR(__xludf.DUMMYFUNCTION("""COMPUTED_VALUE"""),"Belum disetujui")</f>
        <v>Belum disetujui</v>
      </c>
      <c r="D3472" s="40"/>
      <c r="E3472" s="40" t="s">
        <v>11454</v>
      </c>
      <c r="F3472" s="40" t="s">
        <v>205</v>
      </c>
      <c r="G3472" s="40" t="s">
        <v>11455</v>
      </c>
      <c r="H3472" s="40" t="s">
        <v>11419</v>
      </c>
    </row>
    <row r="3473">
      <c r="A3473" s="39">
        <f>IFERROR(__xludf.DUMMYFUNCTION("""COMPUTED_VALUE"""),45993.50505728009)</f>
        <v>45993.50506</v>
      </c>
      <c r="B3473" s="40" t="str">
        <f>IFERROR(__xludf.DUMMYFUNCTION("""COMPUTED_VALUE"""),"MARIA MELAN ANANCE BILI")</f>
        <v>MARIA MELAN ANANCE BILI</v>
      </c>
      <c r="C3473" s="40" t="str">
        <f>IFERROR(__xludf.DUMMYFUNCTION("""COMPUTED_VALUE"""),"Belum disetujui")</f>
        <v>Belum disetujui</v>
      </c>
      <c r="D3473" s="40"/>
      <c r="E3473" s="40" t="s">
        <v>11466</v>
      </c>
      <c r="F3473" s="40" t="s">
        <v>257</v>
      </c>
      <c r="G3473" s="40" t="s">
        <v>11467</v>
      </c>
      <c r="H3473" s="40" t="s">
        <v>11419</v>
      </c>
    </row>
    <row r="3474">
      <c r="A3474" s="39">
        <f>IFERROR(__xludf.DUMMYFUNCTION("""COMPUTED_VALUE"""),45993.522510324074)</f>
        <v>45993.52251</v>
      </c>
      <c r="B3474" s="40" t="str">
        <f>IFERROR(__xludf.DUMMYFUNCTION("""COMPUTED_VALUE"""),"ANDHIKA ULLY")</f>
        <v>ANDHIKA ULLY</v>
      </c>
      <c r="C3474" s="40" t="str">
        <f>IFERROR(__xludf.DUMMYFUNCTION("""COMPUTED_VALUE"""),"Belum disetujui")</f>
        <v>Belum disetujui</v>
      </c>
      <c r="D3474" s="40"/>
      <c r="E3474" s="40" t="s">
        <v>11482</v>
      </c>
      <c r="F3474" s="40" t="s">
        <v>220</v>
      </c>
      <c r="G3474" s="40" t="s">
        <v>11483</v>
      </c>
      <c r="H3474" s="40" t="s">
        <v>11399</v>
      </c>
    </row>
    <row r="3475">
      <c r="A3475" s="39">
        <f>IFERROR(__xludf.DUMMYFUNCTION("""COMPUTED_VALUE"""),45993.53238291667)</f>
        <v>45993.53238</v>
      </c>
      <c r="B3475" s="40" t="str">
        <f>IFERROR(__xludf.DUMMYFUNCTION("""COMPUTED_VALUE"""),"NOVLIANA BARBALINA MISA")</f>
        <v>NOVLIANA BARBALINA MISA</v>
      </c>
      <c r="C3475" s="40" t="str">
        <f>IFERROR(__xludf.DUMMYFUNCTION("""COMPUTED_VALUE"""),"Dapat limit tapi belum diproses")</f>
        <v>Dapat limit tapi belum diproses</v>
      </c>
      <c r="D3475" s="40" t="str">
        <f>IFERROR(__xludf.DUMMYFUNCTION("""COMPUTED_VALUE"""),"Y21d series")</f>
        <v>Y21d series</v>
      </c>
      <c r="E3475" s="40" t="s">
        <v>11454</v>
      </c>
      <c r="F3475" s="40" t="s">
        <v>205</v>
      </c>
      <c r="G3475" s="40" t="s">
        <v>11455</v>
      </c>
      <c r="H3475" s="40" t="s">
        <v>11419</v>
      </c>
    </row>
    <row r="3476">
      <c r="A3476" s="39">
        <f>IFERROR(__xludf.DUMMYFUNCTION("""COMPUTED_VALUE"""),45993.53481921297)</f>
        <v>45993.53482</v>
      </c>
      <c r="B3476" s="40" t="str">
        <f>IFERROR(__xludf.DUMMYFUNCTION("""COMPUTED_VALUE"""),"IDMAL YUSDIRAN YUSUF")</f>
        <v>IDMAL YUSDIRAN YUSUF</v>
      </c>
      <c r="C3476" s="40" t="str">
        <f>IFERROR(__xludf.DUMMYFUNCTION("""COMPUTED_VALUE"""),"Belum disetujui")</f>
        <v>Belum disetujui</v>
      </c>
      <c r="D3476" s="40"/>
      <c r="E3476" s="40" t="s">
        <v>11417</v>
      </c>
      <c r="F3476" s="40" t="s">
        <v>257</v>
      </c>
      <c r="G3476" s="40" t="s">
        <v>11418</v>
      </c>
      <c r="H3476" s="40" t="s">
        <v>11419</v>
      </c>
    </row>
    <row r="3477">
      <c r="A3477" s="39">
        <f>IFERROR(__xludf.DUMMYFUNCTION("""COMPUTED_VALUE"""),45993.544780335644)</f>
        <v>45993.54478</v>
      </c>
      <c r="B3477" s="40" t="str">
        <f>IFERROR(__xludf.DUMMYFUNCTION("""COMPUTED_VALUE"""),"ROS YANE KANA LUDJI")</f>
        <v>ROS YANE KANA LUDJI</v>
      </c>
      <c r="C3477" s="40" t="str">
        <f>IFERROR(__xludf.DUMMYFUNCTION("""COMPUTED_VALUE"""),"Belum disetujui")</f>
        <v>Belum disetujui</v>
      </c>
      <c r="D3477" s="40"/>
      <c r="E3477" s="40" t="s">
        <v>11437</v>
      </c>
      <c r="F3477" s="40" t="s">
        <v>204</v>
      </c>
      <c r="G3477" s="40" t="s">
        <v>11438</v>
      </c>
      <c r="H3477" s="40" t="s">
        <v>11399</v>
      </c>
    </row>
    <row r="3478">
      <c r="A3478" s="39">
        <f>IFERROR(__xludf.DUMMYFUNCTION("""COMPUTED_VALUE"""),45993.54682649305)</f>
        <v>45993.54683</v>
      </c>
      <c r="B3478" s="40" t="str">
        <f>IFERROR(__xludf.DUMMYFUNCTION("""COMPUTED_VALUE"""),"SANTI MARIA LUKMINI NAHAK")</f>
        <v>SANTI MARIA LUKMINI NAHAK</v>
      </c>
      <c r="C3478" s="40" t="str">
        <f>IFERROR(__xludf.DUMMYFUNCTION("""COMPUTED_VALUE"""),"Belum disetujui")</f>
        <v>Belum disetujui</v>
      </c>
      <c r="D3478" s="40"/>
      <c r="E3478" s="40" t="s">
        <v>11460</v>
      </c>
      <c r="F3478" s="40" t="s">
        <v>871</v>
      </c>
      <c r="G3478" s="40" t="s">
        <v>11461</v>
      </c>
      <c r="H3478" s="40" t="s">
        <v>11424</v>
      </c>
    </row>
    <row r="3479">
      <c r="A3479" s="39">
        <f>IFERROR(__xludf.DUMMYFUNCTION("""COMPUTED_VALUE"""),45993.54807872685)</f>
        <v>45993.54808</v>
      </c>
      <c r="B3479" s="40" t="str">
        <f>IFERROR(__xludf.DUMMYFUNCTION("""COMPUTED_VALUE"""),"ROS YANE KANA LUDJI")</f>
        <v>ROS YANE KANA LUDJI</v>
      </c>
      <c r="C3479" s="40" t="str">
        <f>IFERROR(__xludf.DUMMYFUNCTION("""COMPUTED_VALUE"""),"Belum disetujui")</f>
        <v>Belum disetujui</v>
      </c>
      <c r="D3479" s="40"/>
      <c r="E3479" s="40" t="s">
        <v>11437</v>
      </c>
      <c r="F3479" s="40" t="s">
        <v>204</v>
      </c>
      <c r="G3479" s="40" t="s">
        <v>11438</v>
      </c>
      <c r="H3479" s="40" t="s">
        <v>11399</v>
      </c>
    </row>
    <row r="3480">
      <c r="A3480" s="39">
        <f>IFERROR(__xludf.DUMMYFUNCTION("""COMPUTED_VALUE"""),45993.55046239583)</f>
        <v>45993.55046</v>
      </c>
      <c r="B3480" s="40" t="str">
        <f>IFERROR(__xludf.DUMMYFUNCTION("""COMPUTED_VALUE"""),"MARNITHA JUWIKE TIMORATI RUNESI")</f>
        <v>MARNITHA JUWIKE TIMORATI RUNESI</v>
      </c>
      <c r="C3480" s="40" t="str">
        <f>IFERROR(__xludf.DUMMYFUNCTION("""COMPUTED_VALUE"""),"Belum disetujui")</f>
        <v>Belum disetujui</v>
      </c>
      <c r="D3480" s="40"/>
      <c r="E3480" s="40" t="s">
        <v>11420</v>
      </c>
      <c r="F3480" s="40" t="s">
        <v>204</v>
      </c>
      <c r="G3480" s="40" t="s">
        <v>11421</v>
      </c>
      <c r="H3480" s="40" t="s">
        <v>11399</v>
      </c>
    </row>
    <row r="3481">
      <c r="A3481" s="39">
        <f>IFERROR(__xludf.DUMMYFUNCTION("""COMPUTED_VALUE"""),45993.554693541664)</f>
        <v>45993.55469</v>
      </c>
      <c r="B3481" s="40" t="str">
        <f>IFERROR(__xludf.DUMMYFUNCTION("""COMPUTED_VALUE"""),"ASRI NINGSI RAMBU ATA ENDI")</f>
        <v>ASRI NINGSI RAMBU ATA ENDI</v>
      </c>
      <c r="C3481" s="40" t="str">
        <f>IFERROR(__xludf.DUMMYFUNCTION("""COMPUTED_VALUE"""),"Belum disetujui")</f>
        <v>Belum disetujui</v>
      </c>
      <c r="D3481" s="40"/>
      <c r="E3481" s="40" t="s">
        <v>11441</v>
      </c>
      <c r="F3481" s="40" t="s">
        <v>205</v>
      </c>
      <c r="G3481" s="40" t="s">
        <v>11442</v>
      </c>
      <c r="H3481" s="40" t="s">
        <v>11419</v>
      </c>
    </row>
    <row r="3482">
      <c r="A3482" s="39">
        <f>IFERROR(__xludf.DUMMYFUNCTION("""COMPUTED_VALUE"""),45993.65028991898)</f>
        <v>45993.65029</v>
      </c>
      <c r="B3482" s="40" t="str">
        <f>IFERROR(__xludf.DUMMYFUNCTION("""COMPUTED_VALUE"""),"NOVLIANA BARBALINA MISA")</f>
        <v>NOVLIANA BARBALINA MISA</v>
      </c>
      <c r="C3482" s="40" t="str">
        <f>IFERROR(__xludf.DUMMYFUNCTION("""COMPUTED_VALUE"""),"ACC")</f>
        <v>ACC</v>
      </c>
      <c r="D3482" s="40" t="str">
        <f>IFERROR(__xludf.DUMMYFUNCTION("""COMPUTED_VALUE"""),"Y21d series")</f>
        <v>Y21d series</v>
      </c>
      <c r="E3482" s="40" t="s">
        <v>11454</v>
      </c>
      <c r="F3482" s="40" t="s">
        <v>205</v>
      </c>
      <c r="G3482" s="40" t="s">
        <v>11455</v>
      </c>
      <c r="H3482" s="40" t="s">
        <v>11419</v>
      </c>
    </row>
    <row r="3483">
      <c r="A3483" s="39">
        <f>IFERROR(__xludf.DUMMYFUNCTION("""COMPUTED_VALUE"""),45993.66795928241)</f>
        <v>45993.66796</v>
      </c>
      <c r="B3483" s="40" t="str">
        <f>IFERROR(__xludf.DUMMYFUNCTION("""COMPUTED_VALUE"""),"ASRI NINGSI RAMBU ATA ENDI")</f>
        <v>ASRI NINGSI RAMBU ATA ENDI</v>
      </c>
      <c r="C3483" s="40" t="str">
        <f>IFERROR(__xludf.DUMMYFUNCTION("""COMPUTED_VALUE"""),"Belum disetujui")</f>
        <v>Belum disetujui</v>
      </c>
      <c r="D3483" s="40"/>
      <c r="E3483" s="40" t="s">
        <v>11441</v>
      </c>
      <c r="F3483" s="40" t="s">
        <v>205</v>
      </c>
      <c r="G3483" s="40" t="s">
        <v>11442</v>
      </c>
      <c r="H3483" s="40" t="s">
        <v>11419</v>
      </c>
    </row>
    <row r="3484">
      <c r="A3484" s="39">
        <f>IFERROR(__xludf.DUMMYFUNCTION("""COMPUTED_VALUE"""),45993.69571012732)</f>
        <v>45993.69571</v>
      </c>
      <c r="B3484" s="40" t="str">
        <f>IFERROR(__xludf.DUMMYFUNCTION("""COMPUTED_VALUE"""),"NUR FATIMAH MOLBANG")</f>
        <v>NUR FATIMAH MOLBANG</v>
      </c>
      <c r="C3484" s="40" t="str">
        <f>IFERROR(__xludf.DUMMYFUNCTION("""COMPUTED_VALUE"""),"ACC")</f>
        <v>ACC</v>
      </c>
      <c r="D3484" s="40" t="str">
        <f>IFERROR(__xludf.DUMMYFUNCTION("""COMPUTED_VALUE"""),"Y21d series")</f>
        <v>Y21d series</v>
      </c>
      <c r="E3484" s="40" t="s">
        <v>11439</v>
      </c>
      <c r="F3484" s="40" t="s">
        <v>313</v>
      </c>
      <c r="G3484" s="40" t="s">
        <v>11440</v>
      </c>
      <c r="H3484" s="40" t="s">
        <v>11424</v>
      </c>
    </row>
    <row r="3485">
      <c r="A3485" s="39">
        <f>IFERROR(__xludf.DUMMYFUNCTION("""COMPUTED_VALUE"""),45993.69793998842)</f>
        <v>45993.69794</v>
      </c>
      <c r="B3485" s="40" t="str">
        <f>IFERROR(__xludf.DUMMYFUNCTION("""COMPUTED_VALUE"""),"NUR FATIMAH MOLBANG")</f>
        <v>NUR FATIMAH MOLBANG</v>
      </c>
      <c r="C3485" s="40" t="str">
        <f>IFERROR(__xludf.DUMMYFUNCTION("""COMPUTED_VALUE"""),"ACC")</f>
        <v>ACC</v>
      </c>
      <c r="D3485" s="40" t="str">
        <f>IFERROR(__xludf.DUMMYFUNCTION("""COMPUTED_VALUE"""),"Y21d series")</f>
        <v>Y21d series</v>
      </c>
      <c r="E3485" s="40" t="s">
        <v>11439</v>
      </c>
      <c r="F3485" s="40" t="s">
        <v>313</v>
      </c>
      <c r="G3485" s="40" t="s">
        <v>11440</v>
      </c>
      <c r="H3485" s="40" t="s">
        <v>11424</v>
      </c>
    </row>
    <row r="3486">
      <c r="A3486" s="39">
        <f>IFERROR(__xludf.DUMMYFUNCTION("""COMPUTED_VALUE"""),45993.69931180555)</f>
        <v>45993.69931</v>
      </c>
      <c r="B3486" s="40" t="str">
        <f>IFERROR(__xludf.DUMMYFUNCTION("""COMPUTED_VALUE"""),"WINDRI MANOE")</f>
        <v>WINDRI MANOE</v>
      </c>
      <c r="C3486" s="40" t="str">
        <f>IFERROR(__xludf.DUMMYFUNCTION("""COMPUTED_VALUE"""),"Belum disetujui")</f>
        <v>Belum disetujui</v>
      </c>
      <c r="D3486" s="40"/>
      <c r="E3486" s="40" t="s">
        <v>11443</v>
      </c>
      <c r="F3486" s="40" t="s">
        <v>220</v>
      </c>
      <c r="G3486" s="40" t="s">
        <v>11444</v>
      </c>
      <c r="H3486" s="40" t="s">
        <v>11399</v>
      </c>
    </row>
    <row r="3487">
      <c r="A3487" s="39">
        <f>IFERROR(__xludf.DUMMYFUNCTION("""COMPUTED_VALUE"""),45993.70677390046)</f>
        <v>45993.70677</v>
      </c>
      <c r="B3487" s="40" t="str">
        <f>IFERROR(__xludf.DUMMYFUNCTION("""COMPUTED_VALUE"""),"SULIS NURAINI INSYATUN")</f>
        <v>SULIS NURAINI INSYATUN</v>
      </c>
      <c r="C3487" s="40" t="str">
        <f>IFERROR(__xludf.DUMMYFUNCTION("""COMPUTED_VALUE"""),"Belum disetujui")</f>
        <v>Belum disetujui</v>
      </c>
      <c r="D3487" s="40"/>
      <c r="E3487" s="40" t="s">
        <v>11429</v>
      </c>
      <c r="F3487" s="40" t="s">
        <v>257</v>
      </c>
      <c r="G3487" s="40" t="s">
        <v>11430</v>
      </c>
      <c r="H3487" s="40" t="s">
        <v>11419</v>
      </c>
    </row>
    <row r="3488">
      <c r="A3488" s="39">
        <f>IFERROR(__xludf.DUMMYFUNCTION("""COMPUTED_VALUE"""),45993.724381273154)</f>
        <v>45993.72438</v>
      </c>
      <c r="B3488" s="40" t="str">
        <f>IFERROR(__xludf.DUMMYFUNCTION("""COMPUTED_VALUE"""),"ASRI NINGSI RAMBU ATA ENDI")</f>
        <v>ASRI NINGSI RAMBU ATA ENDI</v>
      </c>
      <c r="C3488" s="40" t="str">
        <f>IFERROR(__xludf.DUMMYFUNCTION("""COMPUTED_VALUE"""),"Belum disetujui")</f>
        <v>Belum disetujui</v>
      </c>
      <c r="D3488" s="40"/>
      <c r="E3488" s="40" t="s">
        <v>11441</v>
      </c>
      <c r="F3488" s="40" t="s">
        <v>205</v>
      </c>
      <c r="G3488" s="40" t="s">
        <v>11442</v>
      </c>
      <c r="H3488" s="40" t="s">
        <v>11419</v>
      </c>
    </row>
    <row r="3489">
      <c r="A3489" s="39">
        <f>IFERROR(__xludf.DUMMYFUNCTION("""COMPUTED_VALUE"""),45993.728520543984)</f>
        <v>45993.72852</v>
      </c>
      <c r="B3489" s="40" t="str">
        <f>IFERROR(__xludf.DUMMYFUNCTION("""COMPUTED_VALUE"""),"ESTER LUDJI")</f>
        <v>ESTER LUDJI</v>
      </c>
      <c r="C3489" s="40" t="str">
        <f>IFERROR(__xludf.DUMMYFUNCTION("""COMPUTED_VALUE"""),"Belum disetujui")</f>
        <v>Belum disetujui</v>
      </c>
      <c r="D3489" s="40"/>
      <c r="E3489" s="40" t="s">
        <v>11441</v>
      </c>
      <c r="F3489" s="40" t="s">
        <v>205</v>
      </c>
      <c r="G3489" s="40" t="s">
        <v>11442</v>
      </c>
      <c r="H3489" s="40" t="s">
        <v>11419</v>
      </c>
    </row>
    <row r="3490">
      <c r="A3490" s="39">
        <f>IFERROR(__xludf.DUMMYFUNCTION("""COMPUTED_VALUE"""),45993.73269866898)</f>
        <v>45993.7327</v>
      </c>
      <c r="B3490" s="40" t="str">
        <f>IFERROR(__xludf.DUMMYFUNCTION("""COMPUTED_VALUE"""),"NOVLIANA BARBALINA MISA")</f>
        <v>NOVLIANA BARBALINA MISA</v>
      </c>
      <c r="C3490" s="40" t="str">
        <f>IFERROR(__xludf.DUMMYFUNCTION("""COMPUTED_VALUE"""),"ACC")</f>
        <v>ACC</v>
      </c>
      <c r="D3490" s="40" t="str">
        <f>IFERROR(__xludf.DUMMYFUNCTION("""COMPUTED_VALUE"""),"Y21d series")</f>
        <v>Y21d series</v>
      </c>
      <c r="E3490" s="40" t="s">
        <v>11454</v>
      </c>
      <c r="F3490" s="40" t="s">
        <v>205</v>
      </c>
      <c r="G3490" s="40" t="s">
        <v>11455</v>
      </c>
      <c r="H3490" s="40" t="s">
        <v>11419</v>
      </c>
    </row>
    <row r="3491">
      <c r="A3491" s="39">
        <f>IFERROR(__xludf.DUMMYFUNCTION("""COMPUTED_VALUE"""),45993.741195787035)</f>
        <v>45993.7412</v>
      </c>
      <c r="B3491" s="40" t="str">
        <f>IFERROR(__xludf.DUMMYFUNCTION("""COMPUTED_VALUE"""),"WARDIA")</f>
        <v>WARDIA</v>
      </c>
      <c r="C3491" s="40" t="str">
        <f>IFERROR(__xludf.DUMMYFUNCTION("""COMPUTED_VALUE"""),"Belum disetujui")</f>
        <v>Belum disetujui</v>
      </c>
      <c r="D3491" s="40"/>
      <c r="E3491" s="40" t="s">
        <v>11409</v>
      </c>
      <c r="F3491" s="40" t="s">
        <v>204</v>
      </c>
      <c r="G3491" s="40" t="s">
        <v>11410</v>
      </c>
      <c r="H3491" s="40" t="s">
        <v>11399</v>
      </c>
    </row>
    <row r="3492">
      <c r="A3492" s="39">
        <f>IFERROR(__xludf.DUMMYFUNCTION("""COMPUTED_VALUE"""),45993.7423109375)</f>
        <v>45993.74231</v>
      </c>
      <c r="B3492" s="40" t="str">
        <f>IFERROR(__xludf.DUMMYFUNCTION("""COMPUTED_VALUE"""),"MARNITHA JUWIKE TIMORATI RUNESI")</f>
        <v>MARNITHA JUWIKE TIMORATI RUNESI</v>
      </c>
      <c r="C3492" s="40" t="str">
        <f>IFERROR(__xludf.DUMMYFUNCTION("""COMPUTED_VALUE"""),"ACC")</f>
        <v>ACC</v>
      </c>
      <c r="D3492" s="40" t="str">
        <f>IFERROR(__xludf.DUMMYFUNCTION("""COMPUTED_VALUE"""),"Y21d series")</f>
        <v>Y21d series</v>
      </c>
      <c r="E3492" s="40" t="s">
        <v>11420</v>
      </c>
      <c r="F3492" s="40" t="s">
        <v>204</v>
      </c>
      <c r="G3492" s="40" t="s">
        <v>11421</v>
      </c>
      <c r="H3492" s="40" t="s">
        <v>11399</v>
      </c>
    </row>
    <row r="3493">
      <c r="A3493" s="39">
        <f>IFERROR(__xludf.DUMMYFUNCTION("""COMPUTED_VALUE"""),45993.75063717592)</f>
        <v>45993.75064</v>
      </c>
      <c r="B3493" s="40" t="str">
        <f>IFERROR(__xludf.DUMMYFUNCTION("""COMPUTED_VALUE"""),"NENY MERLIANTI NA'U")</f>
        <v>NENY MERLIANTI NA'U</v>
      </c>
      <c r="C3493" s="40" t="str">
        <f>IFERROR(__xludf.DUMMYFUNCTION("""COMPUTED_VALUE"""),"Dapat limit tapi belum diproses")</f>
        <v>Dapat limit tapi belum diproses</v>
      </c>
      <c r="D3493" s="40" t="str">
        <f>IFERROR(__xludf.DUMMYFUNCTION("""COMPUTED_VALUE"""),"Y21d series")</f>
        <v>Y21d series</v>
      </c>
      <c r="E3493" s="40" t="s">
        <v>11476</v>
      </c>
      <c r="F3493" s="40" t="s">
        <v>204</v>
      </c>
      <c r="G3493" s="40" t="s">
        <v>11477</v>
      </c>
      <c r="H3493" s="40" t="s">
        <v>11399</v>
      </c>
    </row>
    <row r="3494">
      <c r="A3494" s="39">
        <f>IFERROR(__xludf.DUMMYFUNCTION("""COMPUTED_VALUE"""),45993.770085069445)</f>
        <v>45993.77009</v>
      </c>
      <c r="B3494" s="40" t="str">
        <f>IFERROR(__xludf.DUMMYFUNCTION("""COMPUTED_VALUE"""),"YOVANDA KATRINA NAE")</f>
        <v>YOVANDA KATRINA NAE</v>
      </c>
      <c r="C3494" s="40" t="str">
        <f>IFERROR(__xludf.DUMMYFUNCTION("""COMPUTED_VALUE"""),"Belum disetujui")</f>
        <v>Belum disetujui</v>
      </c>
      <c r="D3494" s="40"/>
      <c r="E3494" s="40" t="s">
        <v>11425</v>
      </c>
      <c r="F3494" s="40" t="s">
        <v>205</v>
      </c>
      <c r="G3494" s="40" t="s">
        <v>11426</v>
      </c>
      <c r="H3494" s="40" t="s">
        <v>11419</v>
      </c>
    </row>
    <row r="3495">
      <c r="A3495" s="39">
        <f>IFERROR(__xludf.DUMMYFUNCTION("""COMPUTED_VALUE"""),45993.77797498842)</f>
        <v>45993.77797</v>
      </c>
      <c r="B3495" s="40" t="str">
        <f>IFERROR(__xludf.DUMMYFUNCTION("""COMPUTED_VALUE"""),"YOVANDA KATRINA NAE")</f>
        <v>YOVANDA KATRINA NAE</v>
      </c>
      <c r="C3495" s="40" t="str">
        <f>IFERROR(__xludf.DUMMYFUNCTION("""COMPUTED_VALUE"""),"Belum disetujui")</f>
        <v>Belum disetujui</v>
      </c>
      <c r="D3495" s="40"/>
      <c r="E3495" s="40" t="s">
        <v>11425</v>
      </c>
      <c r="F3495" s="40" t="s">
        <v>205</v>
      </c>
      <c r="G3495" s="40" t="s">
        <v>11426</v>
      </c>
      <c r="H3495" s="40" t="s">
        <v>11419</v>
      </c>
    </row>
    <row r="3496">
      <c r="A3496" s="39">
        <f>IFERROR(__xludf.DUMMYFUNCTION("""COMPUTED_VALUE"""),45993.78051347222)</f>
        <v>45993.78051</v>
      </c>
      <c r="B3496" s="40" t="str">
        <f>IFERROR(__xludf.DUMMYFUNCTION("""COMPUTED_VALUE"""),"ANYARMITHA SOPHIA SUEK")</f>
        <v>ANYARMITHA SOPHIA SUEK</v>
      </c>
      <c r="C3496" s="40" t="str">
        <f>IFERROR(__xludf.DUMMYFUNCTION("""COMPUTED_VALUE"""),"Belum disetujui")</f>
        <v>Belum disetujui</v>
      </c>
      <c r="D3496" s="40"/>
      <c r="E3496" s="40" t="s">
        <v>11443</v>
      </c>
      <c r="F3496" s="40" t="s">
        <v>220</v>
      </c>
      <c r="G3496" s="40" t="s">
        <v>11444</v>
      </c>
      <c r="H3496" s="40" t="s">
        <v>11399</v>
      </c>
    </row>
    <row r="3497">
      <c r="A3497" s="39">
        <f>IFERROR(__xludf.DUMMYFUNCTION("""COMPUTED_VALUE"""),45993.78811693287)</f>
        <v>45993.78812</v>
      </c>
      <c r="B3497" s="40" t="str">
        <f>IFERROR(__xludf.DUMMYFUNCTION("""COMPUTED_VALUE"""),"ASTUTI BELA WAWO")</f>
        <v>ASTUTI BELA WAWO</v>
      </c>
      <c r="C3497" s="40" t="str">
        <f>IFERROR(__xludf.DUMMYFUNCTION("""COMPUTED_VALUE"""),"Dapat limit tapi belum diproses")</f>
        <v>Dapat limit tapi belum diproses</v>
      </c>
      <c r="D3497" s="40" t="str">
        <f>IFERROR(__xludf.DUMMYFUNCTION("""COMPUTED_VALUE"""),"Y21d series")</f>
        <v>Y21d series</v>
      </c>
      <c r="E3497" s="40" t="s">
        <v>11427</v>
      </c>
      <c r="F3497" s="40" t="s">
        <v>257</v>
      </c>
      <c r="G3497" s="40" t="s">
        <v>11428</v>
      </c>
      <c r="H3497" s="40" t="s">
        <v>11419</v>
      </c>
    </row>
    <row r="3498">
      <c r="A3498" s="39">
        <f>IFERROR(__xludf.DUMMYFUNCTION("""COMPUTED_VALUE"""),45993.80144224537)</f>
        <v>45993.80144</v>
      </c>
      <c r="B3498" s="40" t="str">
        <f>IFERROR(__xludf.DUMMYFUNCTION("""COMPUTED_VALUE"""),"AZ ZAHRA SITI ZAINAB")</f>
        <v>AZ ZAHRA SITI ZAINAB</v>
      </c>
      <c r="C3498" s="40" t="str">
        <f>IFERROR(__xludf.DUMMYFUNCTION("""COMPUTED_VALUE"""),"Belum disetujui")</f>
        <v>Belum disetujui</v>
      </c>
      <c r="D3498" s="40"/>
      <c r="E3498" s="40" t="s">
        <v>11462</v>
      </c>
      <c r="F3498" s="40" t="s">
        <v>257</v>
      </c>
      <c r="G3498" s="40" t="s">
        <v>11463</v>
      </c>
      <c r="H3498" s="40" t="s">
        <v>11419</v>
      </c>
    </row>
    <row r="3499">
      <c r="A3499" s="39">
        <f>IFERROR(__xludf.DUMMYFUNCTION("""COMPUTED_VALUE"""),45993.812384212964)</f>
        <v>45993.81238</v>
      </c>
      <c r="B3499" s="40" t="str">
        <f>IFERROR(__xludf.DUMMYFUNCTION("""COMPUTED_VALUE"""),"IRENE NOVALIA KADJU")</f>
        <v>IRENE NOVALIA KADJU</v>
      </c>
      <c r="C3499" s="40" t="str">
        <f>IFERROR(__xludf.DUMMYFUNCTION("""COMPUTED_VALUE"""),"Belum disetujui")</f>
        <v>Belum disetujui</v>
      </c>
      <c r="D3499" s="40"/>
      <c r="E3499" s="40" t="s">
        <v>11445</v>
      </c>
      <c r="F3499" s="40" t="s">
        <v>204</v>
      </c>
      <c r="G3499" s="40" t="s">
        <v>11446</v>
      </c>
      <c r="H3499" s="40" t="s">
        <v>11399</v>
      </c>
    </row>
    <row r="3500">
      <c r="A3500" s="39">
        <f>IFERROR(__xludf.DUMMYFUNCTION("""COMPUTED_VALUE"""),45993.814452673614)</f>
        <v>45993.81445</v>
      </c>
      <c r="B3500" s="40" t="str">
        <f>IFERROR(__xludf.DUMMYFUNCTION("""COMPUTED_VALUE"""),"PRETI SISILIA SILA")</f>
        <v>PRETI SISILIA SILA</v>
      </c>
      <c r="C3500" s="40" t="str">
        <f>IFERROR(__xludf.DUMMYFUNCTION("""COMPUTED_VALUE"""),"Dapat limit tapi belum diproses")</f>
        <v>Dapat limit tapi belum diproses</v>
      </c>
      <c r="D3500" s="40" t="str">
        <f>IFERROR(__xludf.DUMMYFUNCTION("""COMPUTED_VALUE"""),"V60 series")</f>
        <v>V60 series</v>
      </c>
      <c r="E3500" s="40" t="s">
        <v>11456</v>
      </c>
      <c r="F3500" s="40" t="s">
        <v>667</v>
      </c>
      <c r="G3500" s="40" t="s">
        <v>11457</v>
      </c>
      <c r="H3500" s="40" t="s">
        <v>11424</v>
      </c>
    </row>
    <row r="3501">
      <c r="A3501" s="39">
        <f>IFERROR(__xludf.DUMMYFUNCTION("""COMPUTED_VALUE"""),45993.837161180556)</f>
        <v>45993.83716</v>
      </c>
      <c r="B3501" s="40" t="str">
        <f>IFERROR(__xludf.DUMMYFUNCTION("""COMPUTED_VALUE"""),"ADRIANA")</f>
        <v>ADRIANA</v>
      </c>
      <c r="C3501" s="40" t="str">
        <f>IFERROR(__xludf.DUMMYFUNCTION("""COMPUTED_VALUE"""),"Dapat limit tapi belum diproses")</f>
        <v>Dapat limit tapi belum diproses</v>
      </c>
      <c r="D3501" s="40" t="str">
        <f>IFERROR(__xludf.DUMMYFUNCTION("""COMPUTED_VALUE"""),"Y21d series")</f>
        <v>Y21d series</v>
      </c>
      <c r="E3501" s="40" t="s">
        <v>11433</v>
      </c>
      <c r="F3501" s="40" t="s">
        <v>313</v>
      </c>
      <c r="G3501" s="40" t="s">
        <v>11434</v>
      </c>
      <c r="H3501" s="40" t="s">
        <v>11424</v>
      </c>
    </row>
    <row r="3502">
      <c r="A3502" s="39">
        <f>IFERROR(__xludf.DUMMYFUNCTION("""COMPUTED_VALUE"""),45993.845966863424)</f>
        <v>45993.84597</v>
      </c>
      <c r="B3502" s="40" t="str">
        <f>IFERROR(__xludf.DUMMYFUNCTION("""COMPUTED_VALUE"""),"MARIA MELAN ANANCE BILI")</f>
        <v>MARIA MELAN ANANCE BILI</v>
      </c>
      <c r="C3502" s="40" t="str">
        <f>IFERROR(__xludf.DUMMYFUNCTION("""COMPUTED_VALUE"""),"ACC")</f>
        <v>ACC</v>
      </c>
      <c r="D3502" s="40" t="str">
        <f>IFERROR(__xludf.DUMMYFUNCTION("""COMPUTED_VALUE"""),"V60 Lite series")</f>
        <v>V60 Lite series</v>
      </c>
      <c r="E3502" s="40" t="s">
        <v>11466</v>
      </c>
      <c r="F3502" s="40" t="s">
        <v>257</v>
      </c>
      <c r="G3502" s="40" t="s">
        <v>11467</v>
      </c>
      <c r="H3502" s="40" t="s">
        <v>11419</v>
      </c>
    </row>
    <row r="3503">
      <c r="A3503" s="39">
        <f>IFERROR(__xludf.DUMMYFUNCTION("""COMPUTED_VALUE"""),45993.8541271412)</f>
        <v>45993.85413</v>
      </c>
      <c r="B3503" s="40" t="str">
        <f>IFERROR(__xludf.DUMMYFUNCTION("""COMPUTED_VALUE"""),"NUR FATIMAH MOLBANG")</f>
        <v>NUR FATIMAH MOLBANG</v>
      </c>
      <c r="C3503" s="40" t="str">
        <f>IFERROR(__xludf.DUMMYFUNCTION("""COMPUTED_VALUE"""),"Belum disetujui")</f>
        <v>Belum disetujui</v>
      </c>
      <c r="D3503" s="40"/>
      <c r="E3503" s="40" t="s">
        <v>11439</v>
      </c>
      <c r="F3503" s="40" t="s">
        <v>313</v>
      </c>
      <c r="G3503" s="40" t="s">
        <v>11440</v>
      </c>
      <c r="H3503" s="40" t="s">
        <v>11424</v>
      </c>
    </row>
    <row r="3504">
      <c r="A3504" s="39">
        <f>IFERROR(__xludf.DUMMYFUNCTION("""COMPUTED_VALUE"""),45993.91202762732)</f>
        <v>45993.91203</v>
      </c>
      <c r="B3504" s="40" t="str">
        <f>IFERROR(__xludf.DUMMYFUNCTION("""COMPUTED_VALUE"""),"ESTER LUDJI")</f>
        <v>ESTER LUDJI</v>
      </c>
      <c r="C3504" s="40" t="str">
        <f>IFERROR(__xludf.DUMMYFUNCTION("""COMPUTED_VALUE"""),"ACC")</f>
        <v>ACC</v>
      </c>
      <c r="D3504" s="40" t="str">
        <f>IFERROR(__xludf.DUMMYFUNCTION("""COMPUTED_VALUE"""),"Y400 series")</f>
        <v>Y400 series</v>
      </c>
      <c r="E3504" s="40" t="s">
        <v>11441</v>
      </c>
      <c r="F3504" s="40" t="s">
        <v>205</v>
      </c>
      <c r="G3504" s="40" t="s">
        <v>11442</v>
      </c>
      <c r="H3504" s="40" t="s">
        <v>11419</v>
      </c>
    </row>
    <row r="3505">
      <c r="A3505" s="39">
        <f>IFERROR(__xludf.DUMMYFUNCTION("""COMPUTED_VALUE"""),45993.94131409722)</f>
        <v>45993.94131</v>
      </c>
      <c r="B3505" s="40" t="str">
        <f>IFERROR(__xludf.DUMMYFUNCTION("""COMPUTED_VALUE"""),"SANTI MARIA LUKMINI NAHAK")</f>
        <v>SANTI MARIA LUKMINI NAHAK</v>
      </c>
      <c r="C3505" s="40" t="str">
        <f>IFERROR(__xludf.DUMMYFUNCTION("""COMPUTED_VALUE"""),"Belum disetujui")</f>
        <v>Belum disetujui</v>
      </c>
      <c r="D3505" s="40"/>
      <c r="E3505" s="40" t="s">
        <v>11460</v>
      </c>
      <c r="F3505" s="40" t="s">
        <v>871</v>
      </c>
      <c r="G3505" s="40" t="s">
        <v>11461</v>
      </c>
      <c r="H3505" s="40" t="s">
        <v>11424</v>
      </c>
    </row>
    <row r="3506">
      <c r="A3506" s="39">
        <f>IFERROR(__xludf.DUMMYFUNCTION("""COMPUTED_VALUE"""),45994.42721375)</f>
        <v>45994.42721</v>
      </c>
      <c r="B3506" s="40" t="str">
        <f>IFERROR(__xludf.DUMMYFUNCTION("""COMPUTED_VALUE"""),"MARIA MELAN ANANCE BILI")</f>
        <v>MARIA MELAN ANANCE BILI</v>
      </c>
      <c r="C3506" s="40" t="str">
        <f>IFERROR(__xludf.DUMMYFUNCTION("""COMPUTED_VALUE"""),"Belum disetujui")</f>
        <v>Belum disetujui</v>
      </c>
      <c r="D3506" s="40"/>
      <c r="E3506" s="40" t="s">
        <v>11466</v>
      </c>
      <c r="F3506" s="40" t="s">
        <v>257</v>
      </c>
      <c r="G3506" s="40" t="s">
        <v>11467</v>
      </c>
      <c r="H3506" s="40" t="s">
        <v>11419</v>
      </c>
    </row>
    <row r="3507">
      <c r="A3507" s="39">
        <f>IFERROR(__xludf.DUMMYFUNCTION("""COMPUTED_VALUE"""),45994.428609675924)</f>
        <v>45994.42861</v>
      </c>
      <c r="B3507" s="40" t="str">
        <f>IFERROR(__xludf.DUMMYFUNCTION("""COMPUTED_VALUE"""),"MARIA MELAN ANANCE BILI")</f>
        <v>MARIA MELAN ANANCE BILI</v>
      </c>
      <c r="C3507" s="40" t="str">
        <f>IFERROR(__xludf.DUMMYFUNCTION("""COMPUTED_VALUE"""),"Belum disetujui")</f>
        <v>Belum disetujui</v>
      </c>
      <c r="D3507" s="40"/>
      <c r="E3507" s="40" t="s">
        <v>11466</v>
      </c>
      <c r="F3507" s="40" t="s">
        <v>257</v>
      </c>
      <c r="G3507" s="40" t="s">
        <v>11467</v>
      </c>
      <c r="H3507" s="40" t="s">
        <v>11419</v>
      </c>
    </row>
    <row r="3508">
      <c r="A3508" s="39">
        <f>IFERROR(__xludf.DUMMYFUNCTION("""COMPUTED_VALUE"""),45994.42870438657)</f>
        <v>45994.4287</v>
      </c>
      <c r="B3508" s="40" t="str">
        <f>IFERROR(__xludf.DUMMYFUNCTION("""COMPUTED_VALUE"""),"PRETI SISILIA SILA")</f>
        <v>PRETI SISILIA SILA</v>
      </c>
      <c r="C3508" s="40" t="str">
        <f>IFERROR(__xludf.DUMMYFUNCTION("""COMPUTED_VALUE"""),"Belum disetujui")</f>
        <v>Belum disetujui</v>
      </c>
      <c r="D3508" s="40"/>
      <c r="E3508" s="40" t="s">
        <v>11456</v>
      </c>
      <c r="F3508" s="40" t="s">
        <v>667</v>
      </c>
      <c r="G3508" s="40" t="s">
        <v>11457</v>
      </c>
      <c r="H3508" s="40" t="s">
        <v>11424</v>
      </c>
    </row>
    <row r="3509">
      <c r="A3509" s="39">
        <f>IFERROR(__xludf.DUMMYFUNCTION("""COMPUTED_VALUE"""),45994.43426706018)</f>
        <v>45994.43427</v>
      </c>
      <c r="B3509" s="40" t="str">
        <f>IFERROR(__xludf.DUMMYFUNCTION("""COMPUTED_VALUE"""),"YUNITA TAMELAB")</f>
        <v>YUNITA TAMELAB</v>
      </c>
      <c r="C3509" s="40" t="str">
        <f>IFERROR(__xludf.DUMMYFUNCTION("""COMPUTED_VALUE"""),"Belum disetujui")</f>
        <v>Belum disetujui</v>
      </c>
      <c r="D3509" s="40"/>
      <c r="E3509" s="40" t="s">
        <v>11472</v>
      </c>
      <c r="F3509" s="40" t="s">
        <v>667</v>
      </c>
      <c r="G3509" s="40" t="s">
        <v>11473</v>
      </c>
      <c r="H3509" s="40" t="s">
        <v>11424</v>
      </c>
    </row>
    <row r="3510">
      <c r="A3510" s="39">
        <f>IFERROR(__xludf.DUMMYFUNCTION("""COMPUTED_VALUE"""),45994.46554200232)</f>
        <v>45994.46554</v>
      </c>
      <c r="B3510" s="40" t="str">
        <f>IFERROR(__xludf.DUMMYFUNCTION("""COMPUTED_VALUE"""),"NOVANTRY RUTHANIA NAFFIE")</f>
        <v>NOVANTRY RUTHANIA NAFFIE</v>
      </c>
      <c r="C3510" s="40" t="str">
        <f>IFERROR(__xludf.DUMMYFUNCTION("""COMPUTED_VALUE"""),"Belum disetujui")</f>
        <v>Belum disetujui</v>
      </c>
      <c r="D3510" s="40"/>
      <c r="E3510" s="40" t="s">
        <v>11397</v>
      </c>
      <c r="F3510" s="40" t="s">
        <v>220</v>
      </c>
      <c r="G3510" s="40" t="s">
        <v>11398</v>
      </c>
      <c r="H3510" s="40" t="s">
        <v>11399</v>
      </c>
    </row>
    <row r="3511">
      <c r="A3511" s="39">
        <f>IFERROR(__xludf.DUMMYFUNCTION("""COMPUTED_VALUE"""),45994.46812059028)</f>
        <v>45994.46812</v>
      </c>
      <c r="B3511" s="40" t="str">
        <f>IFERROR(__xludf.DUMMYFUNCTION("""COMPUTED_VALUE"""),"FEBRIANTHY ELISABET NA'U")</f>
        <v>FEBRIANTHY ELISABET NA'U</v>
      </c>
      <c r="C3511" s="40" t="str">
        <f>IFERROR(__xludf.DUMMYFUNCTION("""COMPUTED_VALUE"""),"Belum disetujui")</f>
        <v>Belum disetujui</v>
      </c>
      <c r="D3511" s="40"/>
      <c r="E3511" s="40" t="s">
        <v>11415</v>
      </c>
      <c r="F3511" s="40" t="s">
        <v>204</v>
      </c>
      <c r="G3511" s="40" t="s">
        <v>11416</v>
      </c>
      <c r="H3511" s="40" t="s">
        <v>11399</v>
      </c>
    </row>
    <row r="3512">
      <c r="A3512" s="39">
        <f>IFERROR(__xludf.DUMMYFUNCTION("""COMPUTED_VALUE"""),45994.48669936343)</f>
        <v>45994.4867</v>
      </c>
      <c r="B3512" s="40" t="str">
        <f>IFERROR(__xludf.DUMMYFUNCTION("""COMPUTED_VALUE"""),"AZ ZAHRA SITI ZAINAB")</f>
        <v>AZ ZAHRA SITI ZAINAB</v>
      </c>
      <c r="C3512" s="40" t="str">
        <f>IFERROR(__xludf.DUMMYFUNCTION("""COMPUTED_VALUE"""),"ACC")</f>
        <v>ACC</v>
      </c>
      <c r="D3512" s="40" t="str">
        <f>IFERROR(__xludf.DUMMYFUNCTION("""COMPUTED_VALUE"""),"Y400 series")</f>
        <v>Y400 series</v>
      </c>
      <c r="E3512" s="40" t="s">
        <v>11462</v>
      </c>
      <c r="F3512" s="40" t="s">
        <v>257</v>
      </c>
      <c r="G3512" s="40" t="s">
        <v>11463</v>
      </c>
      <c r="H3512" s="40" t="s">
        <v>11419</v>
      </c>
    </row>
    <row r="3513">
      <c r="A3513" s="39">
        <f>IFERROR(__xludf.DUMMYFUNCTION("""COMPUTED_VALUE"""),45994.48809438658)</f>
        <v>45994.48809</v>
      </c>
      <c r="B3513" s="40" t="str">
        <f>IFERROR(__xludf.DUMMYFUNCTION("""COMPUTED_VALUE"""),"ROS YANE KANA LUDJI")</f>
        <v>ROS YANE KANA LUDJI</v>
      </c>
      <c r="C3513" s="40" t="str">
        <f>IFERROR(__xludf.DUMMYFUNCTION("""COMPUTED_VALUE"""),"Belum disetujui")</f>
        <v>Belum disetujui</v>
      </c>
      <c r="D3513" s="40"/>
      <c r="E3513" s="40" t="s">
        <v>11437</v>
      </c>
      <c r="F3513" s="40" t="s">
        <v>204</v>
      </c>
      <c r="G3513" s="40" t="s">
        <v>11438</v>
      </c>
      <c r="H3513" s="40" t="s">
        <v>11399</v>
      </c>
    </row>
    <row r="3514">
      <c r="A3514" s="39">
        <f>IFERROR(__xludf.DUMMYFUNCTION("""COMPUTED_VALUE"""),45994.497347476856)</f>
        <v>45994.49735</v>
      </c>
      <c r="B3514" s="40" t="str">
        <f>IFERROR(__xludf.DUMMYFUNCTION("""COMPUTED_VALUE"""),"KESIA NATALIA I. BENU")</f>
        <v>KESIA NATALIA I. BENU</v>
      </c>
      <c r="C3514" s="40" t="str">
        <f>IFERROR(__xludf.DUMMYFUNCTION("""COMPUTED_VALUE"""),"ACC")</f>
        <v>ACC</v>
      </c>
      <c r="D3514" s="40" t="str">
        <f>IFERROR(__xludf.DUMMYFUNCTION("""COMPUTED_VALUE"""),"Y400 series")</f>
        <v>Y400 series</v>
      </c>
      <c r="E3514" s="40" t="s">
        <v>11417</v>
      </c>
      <c r="F3514" s="40" t="s">
        <v>257</v>
      </c>
      <c r="G3514" s="40" t="s">
        <v>11418</v>
      </c>
      <c r="H3514" s="40" t="s">
        <v>11419</v>
      </c>
    </row>
    <row r="3515">
      <c r="A3515" s="39">
        <f>IFERROR(__xludf.DUMMYFUNCTION("""COMPUTED_VALUE"""),45994.50929259259)</f>
        <v>45994.50929</v>
      </c>
      <c r="B3515" s="40" t="str">
        <f>IFERROR(__xludf.DUMMYFUNCTION("""COMPUTED_VALUE"""),"NABILA RAHMAWATI")</f>
        <v>NABILA RAHMAWATI</v>
      </c>
      <c r="C3515" s="40" t="str">
        <f>IFERROR(__xludf.DUMMYFUNCTION("""COMPUTED_VALUE"""),"Belum disetujui")</f>
        <v>Belum disetujui</v>
      </c>
      <c r="D3515" s="40"/>
      <c r="E3515" s="40" t="s">
        <v>11464</v>
      </c>
      <c r="F3515" s="40" t="s">
        <v>257</v>
      </c>
      <c r="G3515" s="40" t="s">
        <v>11465</v>
      </c>
      <c r="H3515" s="40" t="s">
        <v>11419</v>
      </c>
    </row>
    <row r="3516">
      <c r="A3516" s="39">
        <f>IFERROR(__xludf.DUMMYFUNCTION("""COMPUTED_VALUE"""),45994.51020031251)</f>
        <v>45994.5102</v>
      </c>
      <c r="B3516" s="40" t="str">
        <f>IFERROR(__xludf.DUMMYFUNCTION("""COMPUTED_VALUE"""),"ASTUTI BELA WAWO")</f>
        <v>ASTUTI BELA WAWO</v>
      </c>
      <c r="C3516" s="40" t="str">
        <f>IFERROR(__xludf.DUMMYFUNCTION("""COMPUTED_VALUE"""),"Dapat limit tapi belum diproses")</f>
        <v>Dapat limit tapi belum diproses</v>
      </c>
      <c r="D3516" s="40" t="str">
        <f>IFERROR(__xludf.DUMMYFUNCTION("""COMPUTED_VALUE"""),"Y21d series")</f>
        <v>Y21d series</v>
      </c>
      <c r="E3516" s="40" t="s">
        <v>11427</v>
      </c>
      <c r="F3516" s="40" t="s">
        <v>257</v>
      </c>
      <c r="G3516" s="40" t="s">
        <v>11428</v>
      </c>
      <c r="H3516" s="40" t="s">
        <v>11419</v>
      </c>
    </row>
    <row r="3517">
      <c r="A3517" s="39">
        <f>IFERROR(__xludf.DUMMYFUNCTION("""COMPUTED_VALUE"""),45994.513593692136)</f>
        <v>45994.51359</v>
      </c>
      <c r="B3517" s="40" t="str">
        <f>IFERROR(__xludf.DUMMYFUNCTION("""COMPUTED_VALUE"""),"ALDIANA WELIA PANIE")</f>
        <v>ALDIANA WELIA PANIE</v>
      </c>
      <c r="C3517" s="40" t="str">
        <f>IFERROR(__xludf.DUMMYFUNCTION("""COMPUTED_VALUE"""),"Belum disetujui")</f>
        <v>Belum disetujui</v>
      </c>
      <c r="D3517" s="40"/>
      <c r="E3517" s="40" t="s">
        <v>11422</v>
      </c>
      <c r="F3517" s="40" t="s">
        <v>215</v>
      </c>
      <c r="G3517" s="40" t="s">
        <v>11423</v>
      </c>
      <c r="H3517" s="40" t="s">
        <v>11424</v>
      </c>
    </row>
    <row r="3518">
      <c r="A3518" s="39">
        <f>IFERROR(__xludf.DUMMYFUNCTION("""COMPUTED_VALUE"""),45994.51465967592)</f>
        <v>45994.51466</v>
      </c>
      <c r="B3518" s="40" t="str">
        <f>IFERROR(__xludf.DUMMYFUNCTION("""COMPUTED_VALUE"""),"RESTIANY MARIA LUAN KALI")</f>
        <v>RESTIANY MARIA LUAN KALI</v>
      </c>
      <c r="C3518" s="40" t="str">
        <f>IFERROR(__xludf.DUMMYFUNCTION("""COMPUTED_VALUE"""),"Belum disetujui")</f>
        <v>Belum disetujui</v>
      </c>
      <c r="D3518" s="40"/>
      <c r="E3518" s="40" t="s">
        <v>11400</v>
      </c>
      <c r="F3518" s="40" t="s">
        <v>204</v>
      </c>
      <c r="G3518" s="40" t="s">
        <v>11401</v>
      </c>
      <c r="H3518" s="40" t="s">
        <v>11399</v>
      </c>
    </row>
    <row r="3519">
      <c r="A3519" s="39">
        <f>IFERROR(__xludf.DUMMYFUNCTION("""COMPUTED_VALUE"""),45994.51734414352)</f>
        <v>45994.51734</v>
      </c>
      <c r="B3519" s="40" t="str">
        <f>IFERROR(__xludf.DUMMYFUNCTION("""COMPUTED_VALUE"""),"BERGITHA NIA OLIN")</f>
        <v>BERGITHA NIA OLIN</v>
      </c>
      <c r="C3519" s="40" t="str">
        <f>IFERROR(__xludf.DUMMYFUNCTION("""COMPUTED_VALUE"""),"Belum disetujui")</f>
        <v>Belum disetujui</v>
      </c>
      <c r="D3519" s="40"/>
      <c r="E3519" s="40" t="s">
        <v>11431</v>
      </c>
      <c r="F3519" s="40" t="s">
        <v>313</v>
      </c>
      <c r="G3519" s="40" t="s">
        <v>11432</v>
      </c>
      <c r="H3519" s="40" t="s">
        <v>11424</v>
      </c>
    </row>
    <row r="3520">
      <c r="A3520" s="39">
        <f>IFERROR(__xludf.DUMMYFUNCTION("""COMPUTED_VALUE"""),45994.53813782408)</f>
        <v>45994.53814</v>
      </c>
      <c r="B3520" s="40" t="str">
        <f>IFERROR(__xludf.DUMMYFUNCTION("""COMPUTED_VALUE"""),"ANYARMITHA SOPHIA SUEK")</f>
        <v>ANYARMITHA SOPHIA SUEK</v>
      </c>
      <c r="C3520" s="40" t="str">
        <f>IFERROR(__xludf.DUMMYFUNCTION("""COMPUTED_VALUE"""),"Belum disetujui")</f>
        <v>Belum disetujui</v>
      </c>
      <c r="D3520" s="40"/>
      <c r="E3520" s="40" t="s">
        <v>11443</v>
      </c>
      <c r="F3520" s="40" t="s">
        <v>220</v>
      </c>
      <c r="G3520" s="40" t="s">
        <v>11444</v>
      </c>
      <c r="H3520" s="40" t="s">
        <v>11399</v>
      </c>
    </row>
    <row r="3521">
      <c r="A3521" s="39">
        <f>IFERROR(__xludf.DUMMYFUNCTION("""COMPUTED_VALUE"""),45994.54844388889)</f>
        <v>45994.54844</v>
      </c>
      <c r="B3521" s="40" t="str">
        <f>IFERROR(__xludf.DUMMYFUNCTION("""COMPUTED_VALUE"""),"YASINTHA MBU")</f>
        <v>YASINTHA MBU</v>
      </c>
      <c r="C3521" s="40" t="str">
        <f>IFERROR(__xludf.DUMMYFUNCTION("""COMPUTED_VALUE"""),"Belum disetujui")</f>
        <v>Belum disetujui</v>
      </c>
      <c r="D3521" s="40"/>
      <c r="E3521" s="40" t="s">
        <v>11407</v>
      </c>
      <c r="F3521" s="40" t="s">
        <v>220</v>
      </c>
      <c r="G3521" s="40" t="s">
        <v>11408</v>
      </c>
      <c r="H3521" s="40" t="s">
        <v>11399</v>
      </c>
    </row>
    <row r="3522">
      <c r="A3522" s="39">
        <f>IFERROR(__xludf.DUMMYFUNCTION("""COMPUTED_VALUE"""),45994.577952210646)</f>
        <v>45994.57795</v>
      </c>
      <c r="B3522" s="40" t="str">
        <f>IFERROR(__xludf.DUMMYFUNCTION("""COMPUTED_VALUE"""),"ASTUTI BELA WAWO")</f>
        <v>ASTUTI BELA WAWO</v>
      </c>
      <c r="C3522" s="40" t="str">
        <f>IFERROR(__xludf.DUMMYFUNCTION("""COMPUTED_VALUE"""),"Belum disetujui")</f>
        <v>Belum disetujui</v>
      </c>
      <c r="D3522" s="40"/>
      <c r="E3522" s="40" t="s">
        <v>11427</v>
      </c>
      <c r="F3522" s="40" t="s">
        <v>257</v>
      </c>
      <c r="G3522" s="40" t="s">
        <v>11428</v>
      </c>
      <c r="H3522" s="40" t="s">
        <v>11419</v>
      </c>
    </row>
    <row r="3523">
      <c r="A3523" s="39">
        <f>IFERROR(__xludf.DUMMYFUNCTION("""COMPUTED_VALUE"""),45994.58770231482)</f>
        <v>45994.5877</v>
      </c>
      <c r="B3523" s="40" t="str">
        <f>IFERROR(__xludf.DUMMYFUNCTION("""COMPUTED_VALUE"""),"YUNITA TAMELAB")</f>
        <v>YUNITA TAMELAB</v>
      </c>
      <c r="C3523" s="40" t="str">
        <f>IFERROR(__xludf.DUMMYFUNCTION("""COMPUTED_VALUE"""),"Belum disetujui")</f>
        <v>Belum disetujui</v>
      </c>
      <c r="D3523" s="40"/>
      <c r="E3523" s="40" t="s">
        <v>11472</v>
      </c>
      <c r="F3523" s="40" t="s">
        <v>667</v>
      </c>
      <c r="G3523" s="40" t="s">
        <v>11473</v>
      </c>
      <c r="H3523" s="40" t="s">
        <v>11424</v>
      </c>
    </row>
    <row r="3524">
      <c r="A3524" s="39">
        <f>IFERROR(__xludf.DUMMYFUNCTION("""COMPUTED_VALUE"""),45994.59161390046)</f>
        <v>45994.59161</v>
      </c>
      <c r="B3524" s="40" t="str">
        <f>IFERROR(__xludf.DUMMYFUNCTION("""COMPUTED_VALUE"""),"ANYARMITHA SOPHIA SUEK")</f>
        <v>ANYARMITHA SOPHIA SUEK</v>
      </c>
      <c r="C3524" s="40" t="str">
        <f>IFERROR(__xludf.DUMMYFUNCTION("""COMPUTED_VALUE"""),"Belum disetujui")</f>
        <v>Belum disetujui</v>
      </c>
      <c r="D3524" s="40"/>
      <c r="E3524" s="40" t="s">
        <v>11443</v>
      </c>
      <c r="F3524" s="40" t="s">
        <v>220</v>
      </c>
      <c r="G3524" s="40" t="s">
        <v>11444</v>
      </c>
      <c r="H3524" s="40" t="s">
        <v>11399</v>
      </c>
    </row>
    <row r="3525">
      <c r="A3525" s="39">
        <f>IFERROR(__xludf.DUMMYFUNCTION("""COMPUTED_VALUE"""),45994.60704673611)</f>
        <v>45994.60705</v>
      </c>
      <c r="B3525" s="40" t="str">
        <f>IFERROR(__xludf.DUMMYFUNCTION("""COMPUTED_VALUE"""),"ADRIANA")</f>
        <v>ADRIANA</v>
      </c>
      <c r="C3525" s="40" t="str">
        <f>IFERROR(__xludf.DUMMYFUNCTION("""COMPUTED_VALUE"""),"Belum disetujui")</f>
        <v>Belum disetujui</v>
      </c>
      <c r="D3525" s="40"/>
      <c r="E3525" s="40" t="s">
        <v>11433</v>
      </c>
      <c r="F3525" s="40" t="s">
        <v>313</v>
      </c>
      <c r="G3525" s="40" t="s">
        <v>11434</v>
      </c>
      <c r="H3525" s="40" t="s">
        <v>11424</v>
      </c>
    </row>
    <row r="3526">
      <c r="A3526" s="39">
        <f>IFERROR(__xludf.DUMMYFUNCTION("""COMPUTED_VALUE"""),45994.60910775463)</f>
        <v>45994.60911</v>
      </c>
      <c r="B3526" s="40" t="str">
        <f>IFERROR(__xludf.DUMMYFUNCTION("""COMPUTED_VALUE"""),"ADRIANA")</f>
        <v>ADRIANA</v>
      </c>
      <c r="C3526" s="40" t="str">
        <f>IFERROR(__xludf.DUMMYFUNCTION("""COMPUTED_VALUE"""),"Belum disetujui")</f>
        <v>Belum disetujui</v>
      </c>
      <c r="D3526" s="40"/>
      <c r="E3526" s="40" t="s">
        <v>11433</v>
      </c>
      <c r="F3526" s="40" t="s">
        <v>313</v>
      </c>
      <c r="G3526" s="40" t="s">
        <v>11434</v>
      </c>
      <c r="H3526" s="40" t="s">
        <v>11424</v>
      </c>
    </row>
    <row r="3527">
      <c r="A3527" s="39">
        <f>IFERROR(__xludf.DUMMYFUNCTION("""COMPUTED_VALUE"""),45994.61069847223)</f>
        <v>45994.6107</v>
      </c>
      <c r="B3527" s="40" t="str">
        <f>IFERROR(__xludf.DUMMYFUNCTION("""COMPUTED_VALUE"""),"ADRIANA")</f>
        <v>ADRIANA</v>
      </c>
      <c r="C3527" s="40" t="str">
        <f>IFERROR(__xludf.DUMMYFUNCTION("""COMPUTED_VALUE"""),"Dapat limit tapi belum diproses")</f>
        <v>Dapat limit tapi belum diproses</v>
      </c>
      <c r="D3527" s="40" t="str">
        <f>IFERROR(__xludf.DUMMYFUNCTION("""COMPUTED_VALUE"""),"Y21d series")</f>
        <v>Y21d series</v>
      </c>
      <c r="E3527" s="40" t="s">
        <v>11433</v>
      </c>
      <c r="F3527" s="40" t="s">
        <v>313</v>
      </c>
      <c r="G3527" s="40" t="s">
        <v>11434</v>
      </c>
      <c r="H3527" s="40" t="s">
        <v>11424</v>
      </c>
    </row>
    <row r="3528">
      <c r="A3528" s="39">
        <f>IFERROR(__xludf.DUMMYFUNCTION("""COMPUTED_VALUE"""),45994.61302736111)</f>
        <v>45994.61303</v>
      </c>
      <c r="B3528" s="40" t="str">
        <f>IFERROR(__xludf.DUMMYFUNCTION("""COMPUTED_VALUE"""),"ASRI NINGSI RAMBU ATA ENDI")</f>
        <v>ASRI NINGSI RAMBU ATA ENDI</v>
      </c>
      <c r="C3528" s="40" t="str">
        <f>IFERROR(__xludf.DUMMYFUNCTION("""COMPUTED_VALUE"""),"ACC")</f>
        <v>ACC</v>
      </c>
      <c r="D3528" s="40" t="str">
        <f>IFERROR(__xludf.DUMMYFUNCTION("""COMPUTED_VALUE"""),"Y21d series")</f>
        <v>Y21d series</v>
      </c>
      <c r="E3528" s="40" t="s">
        <v>11441</v>
      </c>
      <c r="F3528" s="40" t="s">
        <v>205</v>
      </c>
      <c r="G3528" s="40" t="s">
        <v>11442</v>
      </c>
      <c r="H3528" s="40" t="s">
        <v>11419</v>
      </c>
    </row>
    <row r="3529">
      <c r="A3529" s="39">
        <f>IFERROR(__xludf.DUMMYFUNCTION("""COMPUTED_VALUE"""),45994.62247973379)</f>
        <v>45994.62248</v>
      </c>
      <c r="B3529" s="40" t="str">
        <f>IFERROR(__xludf.DUMMYFUNCTION("""COMPUTED_VALUE"""),"SANTI MARIA LUKMINI NAHAK")</f>
        <v>SANTI MARIA LUKMINI NAHAK</v>
      </c>
      <c r="C3529" s="40" t="str">
        <f>IFERROR(__xludf.DUMMYFUNCTION("""COMPUTED_VALUE"""),"Dapat limit tapi belum diproses")</f>
        <v>Dapat limit tapi belum diproses</v>
      </c>
      <c r="D3529" s="40" t="str">
        <f>IFERROR(__xludf.DUMMYFUNCTION("""COMPUTED_VALUE"""),"Y400 series")</f>
        <v>Y400 series</v>
      </c>
      <c r="E3529" s="40" t="s">
        <v>11460</v>
      </c>
      <c r="F3529" s="40" t="s">
        <v>871</v>
      </c>
      <c r="G3529" s="40" t="s">
        <v>11461</v>
      </c>
      <c r="H3529" s="40" t="s">
        <v>11424</v>
      </c>
    </row>
    <row r="3530">
      <c r="A3530" s="39">
        <f>IFERROR(__xludf.DUMMYFUNCTION("""COMPUTED_VALUE"""),45994.625472280095)</f>
        <v>45994.62547</v>
      </c>
      <c r="B3530" s="40" t="str">
        <f>IFERROR(__xludf.DUMMYFUNCTION("""COMPUTED_VALUE"""),"NABILA RAHMAWATI")</f>
        <v>NABILA RAHMAWATI</v>
      </c>
      <c r="C3530" s="40" t="str">
        <f>IFERROR(__xludf.DUMMYFUNCTION("""COMPUTED_VALUE"""),"Dapat limit tapi belum diproses")</f>
        <v>Dapat limit tapi belum diproses</v>
      </c>
      <c r="D3530" s="40" t="str">
        <f>IFERROR(__xludf.DUMMYFUNCTION("""COMPUTED_VALUE"""),"Y21d series")</f>
        <v>Y21d series</v>
      </c>
      <c r="E3530" s="40" t="s">
        <v>11464</v>
      </c>
      <c r="F3530" s="40" t="s">
        <v>257</v>
      </c>
      <c r="G3530" s="40" t="s">
        <v>11465</v>
      </c>
      <c r="H3530" s="40" t="s">
        <v>11419</v>
      </c>
    </row>
    <row r="3531">
      <c r="A3531" s="39">
        <f>IFERROR(__xludf.DUMMYFUNCTION("""COMPUTED_VALUE"""),45994.625763414355)</f>
        <v>45994.62576</v>
      </c>
      <c r="B3531" s="40" t="str">
        <f>IFERROR(__xludf.DUMMYFUNCTION("""COMPUTED_VALUE"""),"AZ ZAHRA SITI ZAINAB")</f>
        <v>AZ ZAHRA SITI ZAINAB</v>
      </c>
      <c r="C3531" s="40" t="str">
        <f>IFERROR(__xludf.DUMMYFUNCTION("""COMPUTED_VALUE"""),"ACC")</f>
        <v>ACC</v>
      </c>
      <c r="D3531" s="40" t="str">
        <f>IFERROR(__xludf.DUMMYFUNCTION("""COMPUTED_VALUE"""),"Y21d series")</f>
        <v>Y21d series</v>
      </c>
      <c r="E3531" s="40" t="s">
        <v>11462</v>
      </c>
      <c r="F3531" s="40" t="s">
        <v>257</v>
      </c>
      <c r="G3531" s="40" t="s">
        <v>11463</v>
      </c>
      <c r="H3531" s="40" t="s">
        <v>11419</v>
      </c>
    </row>
    <row r="3532">
      <c r="A3532" s="39">
        <f>IFERROR(__xludf.DUMMYFUNCTION("""COMPUTED_VALUE"""),45994.638187083336)</f>
        <v>45994.63819</v>
      </c>
      <c r="B3532" s="40" t="str">
        <f>IFERROR(__xludf.DUMMYFUNCTION("""COMPUTED_VALUE"""),"MARNITHA JUWIKE TIMORATI RUNESI")</f>
        <v>MARNITHA JUWIKE TIMORATI RUNESI</v>
      </c>
      <c r="C3532" s="40" t="str">
        <f>IFERROR(__xludf.DUMMYFUNCTION("""COMPUTED_VALUE"""),"ACC")</f>
        <v>ACC</v>
      </c>
      <c r="D3532" s="40" t="str">
        <f>IFERROR(__xludf.DUMMYFUNCTION("""COMPUTED_VALUE"""),"Y21d series")</f>
        <v>Y21d series</v>
      </c>
      <c r="E3532" s="40" t="s">
        <v>11420</v>
      </c>
      <c r="F3532" s="40" t="s">
        <v>204</v>
      </c>
      <c r="G3532" s="40" t="s">
        <v>11421</v>
      </c>
      <c r="H3532" s="40" t="s">
        <v>11399</v>
      </c>
    </row>
    <row r="3533">
      <c r="A3533" s="39">
        <f>IFERROR(__xludf.DUMMYFUNCTION("""COMPUTED_VALUE"""),45994.64643987269)</f>
        <v>45994.64644</v>
      </c>
      <c r="B3533" s="40" t="str">
        <f>IFERROR(__xludf.DUMMYFUNCTION("""COMPUTED_VALUE"""),"YUNITA TAMELAB")</f>
        <v>YUNITA TAMELAB</v>
      </c>
      <c r="C3533" s="40" t="str">
        <f>IFERROR(__xludf.DUMMYFUNCTION("""COMPUTED_VALUE"""),"Belum disetujui")</f>
        <v>Belum disetujui</v>
      </c>
      <c r="D3533" s="40"/>
      <c r="E3533" s="40" t="s">
        <v>11472</v>
      </c>
      <c r="F3533" s="40" t="s">
        <v>667</v>
      </c>
      <c r="G3533" s="40" t="s">
        <v>11473</v>
      </c>
      <c r="H3533" s="40" t="s">
        <v>11424</v>
      </c>
    </row>
    <row r="3534">
      <c r="A3534" s="39">
        <f>IFERROR(__xludf.DUMMYFUNCTION("""COMPUTED_VALUE"""),45994.647694074076)</f>
        <v>45994.64769</v>
      </c>
      <c r="B3534" s="40" t="str">
        <f>IFERROR(__xludf.DUMMYFUNCTION("""COMPUTED_VALUE"""),"MARNITHA JUWIKE TIMORATI RUNESI")</f>
        <v>MARNITHA JUWIKE TIMORATI RUNESI</v>
      </c>
      <c r="C3534" s="40" t="str">
        <f>IFERROR(__xludf.DUMMYFUNCTION("""COMPUTED_VALUE"""),"Belum disetujui")</f>
        <v>Belum disetujui</v>
      </c>
      <c r="D3534" s="40"/>
      <c r="E3534" s="40" t="s">
        <v>11420</v>
      </c>
      <c r="F3534" s="40" t="s">
        <v>204</v>
      </c>
      <c r="G3534" s="40" t="s">
        <v>11421</v>
      </c>
      <c r="H3534" s="40" t="s">
        <v>11399</v>
      </c>
    </row>
    <row r="3535">
      <c r="A3535" s="39">
        <f>IFERROR(__xludf.DUMMYFUNCTION("""COMPUTED_VALUE"""),45994.68137020833)</f>
        <v>45994.68137</v>
      </c>
      <c r="B3535" s="40" t="str">
        <f>IFERROR(__xludf.DUMMYFUNCTION("""COMPUTED_VALUE"""),"ANITA ANA AMAH")</f>
        <v>ANITA ANA AMAH</v>
      </c>
      <c r="C3535" s="40" t="str">
        <f>IFERROR(__xludf.DUMMYFUNCTION("""COMPUTED_VALUE"""),"Belum disetujui")</f>
        <v>Belum disetujui</v>
      </c>
      <c r="D3535" s="40"/>
      <c r="E3535" s="40" t="s">
        <v>11425</v>
      </c>
      <c r="F3535" s="40" t="s">
        <v>205</v>
      </c>
      <c r="G3535" s="40" t="s">
        <v>11426</v>
      </c>
      <c r="H3535" s="40" t="s">
        <v>11419</v>
      </c>
    </row>
    <row r="3536">
      <c r="A3536" s="39">
        <f>IFERROR(__xludf.DUMMYFUNCTION("""COMPUTED_VALUE"""),45994.686726493055)</f>
        <v>45994.68673</v>
      </c>
      <c r="B3536" s="40" t="str">
        <f>IFERROR(__xludf.DUMMYFUNCTION("""COMPUTED_VALUE"""),"SULIS NURAINI INSYATUN")</f>
        <v>SULIS NURAINI INSYATUN</v>
      </c>
      <c r="C3536" s="40" t="str">
        <f>IFERROR(__xludf.DUMMYFUNCTION("""COMPUTED_VALUE"""),"Belum disetujui")</f>
        <v>Belum disetujui</v>
      </c>
      <c r="D3536" s="40"/>
      <c r="E3536" s="40" t="s">
        <v>11429</v>
      </c>
      <c r="F3536" s="40" t="s">
        <v>257</v>
      </c>
      <c r="G3536" s="40" t="s">
        <v>11430</v>
      </c>
      <c r="H3536" s="40" t="s">
        <v>11419</v>
      </c>
    </row>
    <row r="3537">
      <c r="A3537" s="39">
        <f>IFERROR(__xludf.DUMMYFUNCTION("""COMPUTED_VALUE"""),45994.71881302083)</f>
        <v>45994.71881</v>
      </c>
      <c r="B3537" s="40" t="str">
        <f>IFERROR(__xludf.DUMMYFUNCTION("""COMPUTED_VALUE"""),"HERONIMUS NAMU WALI")</f>
        <v>HERONIMUS NAMU WALI</v>
      </c>
      <c r="C3537" s="40" t="str">
        <f>IFERROR(__xludf.DUMMYFUNCTION("""COMPUTED_VALUE"""),"Belum disetujui")</f>
        <v>Belum disetujui</v>
      </c>
      <c r="D3537" s="40"/>
      <c r="E3537" s="40" t="s">
        <v>11452</v>
      </c>
      <c r="F3537" s="40" t="s">
        <v>205</v>
      </c>
      <c r="G3537" s="40" t="s">
        <v>11453</v>
      </c>
      <c r="H3537" s="40" t="s">
        <v>11419</v>
      </c>
    </row>
    <row r="3538">
      <c r="A3538" s="39">
        <f>IFERROR(__xludf.DUMMYFUNCTION("""COMPUTED_VALUE"""),45994.72595172453)</f>
        <v>45994.72595</v>
      </c>
      <c r="B3538" s="40" t="str">
        <f>IFERROR(__xludf.DUMMYFUNCTION("""COMPUTED_VALUE"""),"ARMINDA TEKU MANEK")</f>
        <v>ARMINDA TEKU MANEK</v>
      </c>
      <c r="C3538" s="40" t="str">
        <f>IFERROR(__xludf.DUMMYFUNCTION("""COMPUTED_VALUE"""),"Belum disetujui")</f>
        <v>Belum disetujui</v>
      </c>
      <c r="D3538" s="40"/>
      <c r="E3538" s="40" t="s">
        <v>11474</v>
      </c>
      <c r="F3538" s="40" t="s">
        <v>313</v>
      </c>
      <c r="G3538" s="40" t="s">
        <v>11475</v>
      </c>
      <c r="H3538" s="40" t="s">
        <v>11424</v>
      </c>
    </row>
    <row r="3539">
      <c r="A3539" s="39">
        <f>IFERROR(__xludf.DUMMYFUNCTION("""COMPUTED_VALUE"""),45994.727402557866)</f>
        <v>45994.7274</v>
      </c>
      <c r="B3539" s="40" t="str">
        <f>IFERROR(__xludf.DUMMYFUNCTION("""COMPUTED_VALUE"""),"ARMINDA TEKU MANEK")</f>
        <v>ARMINDA TEKU MANEK</v>
      </c>
      <c r="C3539" s="40" t="str">
        <f>IFERROR(__xludf.DUMMYFUNCTION("""COMPUTED_VALUE"""),"Belum disetujui")</f>
        <v>Belum disetujui</v>
      </c>
      <c r="D3539" s="40"/>
      <c r="E3539" s="40" t="s">
        <v>11474</v>
      </c>
      <c r="F3539" s="40" t="s">
        <v>313</v>
      </c>
      <c r="G3539" s="40" t="s">
        <v>11475</v>
      </c>
      <c r="H3539" s="40" t="s">
        <v>11424</v>
      </c>
    </row>
    <row r="3540">
      <c r="A3540" s="39">
        <f>IFERROR(__xludf.DUMMYFUNCTION("""COMPUTED_VALUE"""),45994.74891674769)</f>
        <v>45994.74892</v>
      </c>
      <c r="B3540" s="40" t="str">
        <f>IFERROR(__xludf.DUMMYFUNCTION("""COMPUTED_VALUE"""),"ASTUTI BELA WAWO")</f>
        <v>ASTUTI BELA WAWO</v>
      </c>
      <c r="C3540" s="40" t="str">
        <f>IFERROR(__xludf.DUMMYFUNCTION("""COMPUTED_VALUE"""),"ACC")</f>
        <v>ACC</v>
      </c>
      <c r="D3540" s="40" t="str">
        <f>IFERROR(__xludf.DUMMYFUNCTION("""COMPUTED_VALUE"""),"V60 Lite series")</f>
        <v>V60 Lite series</v>
      </c>
      <c r="E3540" s="40" t="s">
        <v>11427</v>
      </c>
      <c r="F3540" s="40" t="s">
        <v>257</v>
      </c>
      <c r="G3540" s="40" t="s">
        <v>11428</v>
      </c>
      <c r="H3540" s="40" t="s">
        <v>11419</v>
      </c>
    </row>
    <row r="3541">
      <c r="A3541" s="39">
        <f>IFERROR(__xludf.DUMMYFUNCTION("""COMPUTED_VALUE"""),45994.75395608796)</f>
        <v>45994.75396</v>
      </c>
      <c r="B3541" s="40" t="str">
        <f>IFERROR(__xludf.DUMMYFUNCTION("""COMPUTED_VALUE"""),"ASTUTI BELA WAWO")</f>
        <v>ASTUTI BELA WAWO</v>
      </c>
      <c r="C3541" s="40" t="str">
        <f>IFERROR(__xludf.DUMMYFUNCTION("""COMPUTED_VALUE"""),"ACC")</f>
        <v>ACC</v>
      </c>
      <c r="D3541" s="40" t="str">
        <f>IFERROR(__xludf.DUMMYFUNCTION("""COMPUTED_VALUE"""),"V60 Lite series")</f>
        <v>V60 Lite series</v>
      </c>
      <c r="E3541" s="40" t="s">
        <v>11427</v>
      </c>
      <c r="F3541" s="40" t="s">
        <v>257</v>
      </c>
      <c r="G3541" s="40" t="s">
        <v>11428</v>
      </c>
      <c r="H3541" s="40" t="s">
        <v>11419</v>
      </c>
    </row>
    <row r="3542">
      <c r="A3542" s="39">
        <f>IFERROR(__xludf.DUMMYFUNCTION("""COMPUTED_VALUE"""),45994.78007144676)</f>
        <v>45994.78007</v>
      </c>
      <c r="B3542" s="40" t="str">
        <f>IFERROR(__xludf.DUMMYFUNCTION("""COMPUTED_VALUE"""),"MERDA PUTRI BUNGSU KENAT")</f>
        <v>MERDA PUTRI BUNGSU KENAT</v>
      </c>
      <c r="C3542" s="40" t="str">
        <f>IFERROR(__xludf.DUMMYFUNCTION("""COMPUTED_VALUE"""),"ACC")</f>
        <v>ACC</v>
      </c>
      <c r="D3542" s="40" t="str">
        <f>IFERROR(__xludf.DUMMYFUNCTION("""COMPUTED_VALUE"""),"Y21d series")</f>
        <v>Y21d series</v>
      </c>
      <c r="E3542" s="40" t="s">
        <v>11422</v>
      </c>
      <c r="F3542" s="40" t="s">
        <v>215</v>
      </c>
      <c r="G3542" s="40" t="s">
        <v>11423</v>
      </c>
      <c r="H3542" s="40" t="s">
        <v>11424</v>
      </c>
    </row>
    <row r="3543">
      <c r="A3543" s="39">
        <f>IFERROR(__xludf.DUMMYFUNCTION("""COMPUTED_VALUE"""),45994.78623741898)</f>
        <v>45994.78624</v>
      </c>
      <c r="B3543" s="40" t="str">
        <f>IFERROR(__xludf.DUMMYFUNCTION("""COMPUTED_VALUE"""),"ADRIANA")</f>
        <v>ADRIANA</v>
      </c>
      <c r="C3543" s="40" t="str">
        <f>IFERROR(__xludf.DUMMYFUNCTION("""COMPUTED_VALUE"""),"Belum disetujui")</f>
        <v>Belum disetujui</v>
      </c>
      <c r="D3543" s="40"/>
      <c r="E3543" s="40" t="s">
        <v>11433</v>
      </c>
      <c r="F3543" s="40" t="s">
        <v>313</v>
      </c>
      <c r="G3543" s="40" t="s">
        <v>11434</v>
      </c>
      <c r="H3543" s="40" t="s">
        <v>11424</v>
      </c>
    </row>
    <row r="3544">
      <c r="A3544" s="39">
        <f>IFERROR(__xludf.DUMMYFUNCTION("""COMPUTED_VALUE"""),45994.79397736111)</f>
        <v>45994.79398</v>
      </c>
      <c r="B3544" s="40" t="str">
        <f>IFERROR(__xludf.DUMMYFUNCTION("""COMPUTED_VALUE"""),"YASINTHA MBU")</f>
        <v>YASINTHA MBU</v>
      </c>
      <c r="C3544" s="40" t="str">
        <f>IFERROR(__xludf.DUMMYFUNCTION("""COMPUTED_VALUE"""),"Belum disetujui")</f>
        <v>Belum disetujui</v>
      </c>
      <c r="D3544" s="40"/>
      <c r="E3544" s="40" t="s">
        <v>11407</v>
      </c>
      <c r="F3544" s="40" t="s">
        <v>220</v>
      </c>
      <c r="G3544" s="40" t="s">
        <v>11408</v>
      </c>
      <c r="H3544" s="40" t="s">
        <v>11399</v>
      </c>
    </row>
    <row r="3545">
      <c r="A3545" s="39">
        <f>IFERROR(__xludf.DUMMYFUNCTION("""COMPUTED_VALUE"""),45994.80653670139)</f>
        <v>45994.80654</v>
      </c>
      <c r="B3545" s="40" t="str">
        <f>IFERROR(__xludf.DUMMYFUNCTION("""COMPUTED_VALUE"""),"BERGITHA NIA OLIN")</f>
        <v>BERGITHA NIA OLIN</v>
      </c>
      <c r="C3545" s="40" t="str">
        <f>IFERROR(__xludf.DUMMYFUNCTION("""COMPUTED_VALUE"""),"ACC")</f>
        <v>ACC</v>
      </c>
      <c r="D3545" s="40" t="str">
        <f>IFERROR(__xludf.DUMMYFUNCTION("""COMPUTED_VALUE"""),"Y400 series")</f>
        <v>Y400 series</v>
      </c>
      <c r="E3545" s="40" t="s">
        <v>11431</v>
      </c>
      <c r="F3545" s="40" t="s">
        <v>313</v>
      </c>
      <c r="G3545" s="40" t="s">
        <v>11432</v>
      </c>
      <c r="H3545" s="40" t="s">
        <v>11424</v>
      </c>
    </row>
    <row r="3546">
      <c r="A3546" s="39">
        <f>IFERROR(__xludf.DUMMYFUNCTION("""COMPUTED_VALUE"""),45994.81497853009)</f>
        <v>45994.81498</v>
      </c>
      <c r="B3546" s="40" t="str">
        <f>IFERROR(__xludf.DUMMYFUNCTION("""COMPUTED_VALUE"""),"ANAK AGUNG SRI WULANTIWI")</f>
        <v>ANAK AGUNG SRI WULANTIWI</v>
      </c>
      <c r="C3546" s="40" t="str">
        <f>IFERROR(__xludf.DUMMYFUNCTION("""COMPUTED_VALUE"""),"Belum disetujui")</f>
        <v>Belum disetujui</v>
      </c>
      <c r="D3546" s="40"/>
      <c r="E3546" s="40" t="s">
        <v>11492</v>
      </c>
      <c r="F3546" s="40" t="s">
        <v>205</v>
      </c>
      <c r="G3546" s="40" t="s">
        <v>11493</v>
      </c>
      <c r="H3546" s="40" t="s">
        <v>11419</v>
      </c>
    </row>
    <row r="3547">
      <c r="A3547" s="39">
        <f>IFERROR(__xludf.DUMMYFUNCTION("""COMPUTED_VALUE"""),45994.85486556713)</f>
        <v>45994.85487</v>
      </c>
      <c r="B3547" s="40" t="str">
        <f>IFERROR(__xludf.DUMMYFUNCTION("""COMPUTED_VALUE"""),"DWITNEY PRETY WANGGANDIMA")</f>
        <v>DWITNEY PRETY WANGGANDIMA</v>
      </c>
      <c r="C3547" s="40" t="str">
        <f>IFERROR(__xludf.DUMMYFUNCTION("""COMPUTED_VALUE"""),"Belum disetujui")</f>
        <v>Belum disetujui</v>
      </c>
      <c r="D3547" s="40"/>
      <c r="E3547" s="40" t="s">
        <v>11443</v>
      </c>
      <c r="F3547" s="40" t="s">
        <v>220</v>
      </c>
      <c r="G3547" s="40" t="s">
        <v>11444</v>
      </c>
      <c r="H3547" s="40" t="s">
        <v>11399</v>
      </c>
    </row>
    <row r="3548">
      <c r="A3548" s="39">
        <f>IFERROR(__xludf.DUMMYFUNCTION("""COMPUTED_VALUE"""),45994.85967427083)</f>
        <v>45994.85967</v>
      </c>
      <c r="B3548" s="40" t="str">
        <f>IFERROR(__xludf.DUMMYFUNCTION("""COMPUTED_VALUE"""),"MEXY ALEXANDER HETMINA")</f>
        <v>MEXY ALEXANDER HETMINA</v>
      </c>
      <c r="C3548" s="40" t="str">
        <f>IFERROR(__xludf.DUMMYFUNCTION("""COMPUTED_VALUE"""),"Belum disetujui")</f>
        <v>Belum disetujui</v>
      </c>
      <c r="D3548" s="40"/>
      <c r="E3548" s="40" t="s">
        <v>11413</v>
      </c>
      <c r="F3548" s="40" t="s">
        <v>204</v>
      </c>
      <c r="G3548" s="40" t="s">
        <v>11414</v>
      </c>
      <c r="H3548" s="40" t="s">
        <v>11399</v>
      </c>
    </row>
    <row r="3549">
      <c r="A3549" s="39">
        <f>IFERROR(__xludf.DUMMYFUNCTION("""COMPUTED_VALUE"""),45994.86043517361)</f>
        <v>45994.86044</v>
      </c>
      <c r="B3549" s="40" t="str">
        <f>IFERROR(__xludf.DUMMYFUNCTION("""COMPUTED_VALUE"""),"SELVINCE BAKO")</f>
        <v>SELVINCE BAKO</v>
      </c>
      <c r="C3549" s="40" t="str">
        <f>IFERROR(__xludf.DUMMYFUNCTION("""COMPUTED_VALUE"""),"Belum disetujui")</f>
        <v>Belum disetujui</v>
      </c>
      <c r="D3549" s="40"/>
      <c r="E3549" s="40" t="s">
        <v>11413</v>
      </c>
      <c r="F3549" s="40" t="s">
        <v>204</v>
      </c>
      <c r="G3549" s="40" t="s">
        <v>11414</v>
      </c>
      <c r="H3549" s="40" t="s">
        <v>11399</v>
      </c>
    </row>
    <row r="3550">
      <c r="A3550" s="39">
        <f>IFERROR(__xludf.DUMMYFUNCTION("""COMPUTED_VALUE"""),45994.86643046296)</f>
        <v>45994.86643</v>
      </c>
      <c r="B3550" s="40" t="str">
        <f>IFERROR(__xludf.DUMMYFUNCTION("""COMPUTED_VALUE"""),"NOVLIANA BARBALINA MISA")</f>
        <v>NOVLIANA BARBALINA MISA</v>
      </c>
      <c r="C3550" s="40" t="str">
        <f>IFERROR(__xludf.DUMMYFUNCTION("""COMPUTED_VALUE"""),"ACC")</f>
        <v>ACC</v>
      </c>
      <c r="D3550" s="40" t="str">
        <f>IFERROR(__xludf.DUMMYFUNCTION("""COMPUTED_VALUE"""),"Y400 series")</f>
        <v>Y400 series</v>
      </c>
      <c r="E3550" s="40" t="s">
        <v>11454</v>
      </c>
      <c r="F3550" s="40" t="s">
        <v>205</v>
      </c>
      <c r="G3550" s="40" t="s">
        <v>11455</v>
      </c>
      <c r="H3550" s="40" t="s">
        <v>11419</v>
      </c>
    </row>
    <row r="3551">
      <c r="A3551" s="39">
        <f>IFERROR(__xludf.DUMMYFUNCTION("""COMPUTED_VALUE"""),45994.90085454861)</f>
        <v>45994.90085</v>
      </c>
      <c r="B3551" s="40" t="str">
        <f>IFERROR(__xludf.DUMMYFUNCTION("""COMPUTED_VALUE"""),"RESTIANY MARIA LUAN KALI")</f>
        <v>RESTIANY MARIA LUAN KALI</v>
      </c>
      <c r="C3551" s="40" t="str">
        <f>IFERROR(__xludf.DUMMYFUNCTION("""COMPUTED_VALUE"""),"ACC")</f>
        <v>ACC</v>
      </c>
      <c r="D3551" s="40" t="str">
        <f>IFERROR(__xludf.DUMMYFUNCTION("""COMPUTED_VALUE"""),"Y400 series")</f>
        <v>Y400 series</v>
      </c>
      <c r="E3551" s="40" t="s">
        <v>11400</v>
      </c>
      <c r="F3551" s="40" t="s">
        <v>204</v>
      </c>
      <c r="G3551" s="40" t="s">
        <v>11401</v>
      </c>
      <c r="H3551" s="40" t="s">
        <v>11399</v>
      </c>
    </row>
    <row r="3552">
      <c r="A3552" s="39">
        <f>IFERROR(__xludf.DUMMYFUNCTION("""COMPUTED_VALUE"""),45995.42173383102)</f>
        <v>45995.42173</v>
      </c>
      <c r="B3552" s="40" t="str">
        <f>IFERROR(__xludf.DUMMYFUNCTION("""COMPUTED_VALUE"""),"NUR FATIMAH MOLBANG")</f>
        <v>NUR FATIMAH MOLBANG</v>
      </c>
      <c r="C3552" s="40" t="str">
        <f>IFERROR(__xludf.DUMMYFUNCTION("""COMPUTED_VALUE"""),"Belum disetujui")</f>
        <v>Belum disetujui</v>
      </c>
      <c r="D3552" s="40"/>
      <c r="E3552" s="40" t="s">
        <v>11439</v>
      </c>
      <c r="F3552" s="40" t="s">
        <v>313</v>
      </c>
      <c r="G3552" s="40" t="s">
        <v>11440</v>
      </c>
      <c r="H3552" s="40" t="s">
        <v>11424</v>
      </c>
    </row>
    <row r="3553">
      <c r="A3553" s="39">
        <f>IFERROR(__xludf.DUMMYFUNCTION("""COMPUTED_VALUE"""),45995.42338434028)</f>
        <v>45995.42338</v>
      </c>
      <c r="B3553" s="40" t="str">
        <f>IFERROR(__xludf.DUMMYFUNCTION("""COMPUTED_VALUE"""),"ANDHIKA ULLY")</f>
        <v>ANDHIKA ULLY</v>
      </c>
      <c r="C3553" s="40" t="str">
        <f>IFERROR(__xludf.DUMMYFUNCTION("""COMPUTED_VALUE"""),"Belum disetujui")</f>
        <v>Belum disetujui</v>
      </c>
      <c r="D3553" s="40"/>
      <c r="E3553" s="40" t="s">
        <v>11482</v>
      </c>
      <c r="F3553" s="40" t="s">
        <v>220</v>
      </c>
      <c r="G3553" s="40" t="s">
        <v>11483</v>
      </c>
      <c r="H3553" s="40" t="s">
        <v>11399</v>
      </c>
    </row>
    <row r="3554">
      <c r="A3554" s="39">
        <f>IFERROR(__xludf.DUMMYFUNCTION("""COMPUTED_VALUE"""),45995.42546540509)</f>
        <v>45995.42547</v>
      </c>
      <c r="B3554" s="40" t="str">
        <f>IFERROR(__xludf.DUMMYFUNCTION("""COMPUTED_VALUE"""),"ANNA RAHMATIA JUFRI")</f>
        <v>ANNA RAHMATIA JUFRI</v>
      </c>
      <c r="C3554" s="40" t="str">
        <f>IFERROR(__xludf.DUMMYFUNCTION("""COMPUTED_VALUE"""),"ACC")</f>
        <v>ACC</v>
      </c>
      <c r="D3554" s="40" t="str">
        <f>IFERROR(__xludf.DUMMYFUNCTION("""COMPUTED_VALUE"""),"Y400 series")</f>
        <v>Y400 series</v>
      </c>
      <c r="E3554" s="40" t="s">
        <v>11484</v>
      </c>
      <c r="F3554" s="40" t="s">
        <v>11450</v>
      </c>
      <c r="G3554" s="40" t="s">
        <v>11485</v>
      </c>
      <c r="H3554" s="40" t="s">
        <v>11424</v>
      </c>
    </row>
    <row r="3555">
      <c r="A3555" s="39">
        <f>IFERROR(__xludf.DUMMYFUNCTION("""COMPUTED_VALUE"""),45995.4619746875)</f>
        <v>45995.46197</v>
      </c>
      <c r="B3555" s="40" t="str">
        <f>IFERROR(__xludf.DUMMYFUNCTION("""COMPUTED_VALUE"""),"BERGITHA NIA OLIN")</f>
        <v>BERGITHA NIA OLIN</v>
      </c>
      <c r="C3555" s="40" t="str">
        <f>IFERROR(__xludf.DUMMYFUNCTION("""COMPUTED_VALUE"""),"Belum disetujui")</f>
        <v>Belum disetujui</v>
      </c>
      <c r="D3555" s="40"/>
      <c r="E3555" s="40" t="s">
        <v>11431</v>
      </c>
      <c r="F3555" s="40" t="s">
        <v>313</v>
      </c>
      <c r="G3555" s="40" t="s">
        <v>11432</v>
      </c>
      <c r="H3555" s="40" t="s">
        <v>11424</v>
      </c>
    </row>
    <row r="3556">
      <c r="A3556" s="39">
        <f>IFERROR(__xludf.DUMMYFUNCTION("""COMPUTED_VALUE"""),45995.46906707176)</f>
        <v>45995.46907</v>
      </c>
      <c r="B3556" s="40" t="str">
        <f>IFERROR(__xludf.DUMMYFUNCTION("""COMPUTED_VALUE"""),"MARNITHA JUWIKE TIMORATI RUNESI")</f>
        <v>MARNITHA JUWIKE TIMORATI RUNESI</v>
      </c>
      <c r="C3556" s="40" t="str">
        <f>IFERROR(__xludf.DUMMYFUNCTION("""COMPUTED_VALUE"""),"Dapat limit tapi belum diproses")</f>
        <v>Dapat limit tapi belum diproses</v>
      </c>
      <c r="D3556" s="40" t="str">
        <f>IFERROR(__xludf.DUMMYFUNCTION("""COMPUTED_VALUE"""),"Y21d series")</f>
        <v>Y21d series</v>
      </c>
      <c r="E3556" s="40" t="s">
        <v>11420</v>
      </c>
      <c r="F3556" s="40" t="s">
        <v>204</v>
      </c>
      <c r="G3556" s="40" t="s">
        <v>11421</v>
      </c>
      <c r="H3556" s="40" t="s">
        <v>11399</v>
      </c>
    </row>
    <row r="3557">
      <c r="A3557" s="39">
        <f>IFERROR(__xludf.DUMMYFUNCTION("""COMPUTED_VALUE"""),45995.4792240625)</f>
        <v>45995.47922</v>
      </c>
      <c r="B3557" s="40" t="str">
        <f>IFERROR(__xludf.DUMMYFUNCTION("""COMPUTED_VALUE"""),"IDMAL YUSDIRAN YUSUF")</f>
        <v>IDMAL YUSDIRAN YUSUF</v>
      </c>
      <c r="C3557" s="40" t="str">
        <f>IFERROR(__xludf.DUMMYFUNCTION("""COMPUTED_VALUE"""),"Belum disetujui")</f>
        <v>Belum disetujui</v>
      </c>
      <c r="D3557" s="40"/>
      <c r="E3557" s="40" t="s">
        <v>11417</v>
      </c>
      <c r="F3557" s="40" t="s">
        <v>257</v>
      </c>
      <c r="G3557" s="40" t="s">
        <v>11418</v>
      </c>
      <c r="H3557" s="40" t="s">
        <v>11419</v>
      </c>
    </row>
    <row r="3558">
      <c r="A3558" s="39">
        <f>IFERROR(__xludf.DUMMYFUNCTION("""COMPUTED_VALUE"""),45995.48243873842)</f>
        <v>45995.48244</v>
      </c>
      <c r="B3558" s="40" t="str">
        <f>IFERROR(__xludf.DUMMYFUNCTION("""COMPUTED_VALUE"""),"ASRI NINGSI RAMBU ATA ENDI")</f>
        <v>ASRI NINGSI RAMBU ATA ENDI</v>
      </c>
      <c r="C3558" s="40" t="str">
        <f>IFERROR(__xludf.DUMMYFUNCTION("""COMPUTED_VALUE"""),"Belum disetujui")</f>
        <v>Belum disetujui</v>
      </c>
      <c r="D3558" s="40"/>
      <c r="E3558" s="40" t="s">
        <v>11441</v>
      </c>
      <c r="F3558" s="40" t="s">
        <v>205</v>
      </c>
      <c r="G3558" s="40" t="s">
        <v>11442</v>
      </c>
      <c r="H3558" s="40" t="s">
        <v>11419</v>
      </c>
    </row>
    <row r="3559">
      <c r="A3559" s="39">
        <f>IFERROR(__xludf.DUMMYFUNCTION("""COMPUTED_VALUE"""),45995.48673803241)</f>
        <v>45995.48674</v>
      </c>
      <c r="B3559" s="40" t="str">
        <f>IFERROR(__xludf.DUMMYFUNCTION("""COMPUTED_VALUE"""),"YASINTHA MBU")</f>
        <v>YASINTHA MBU</v>
      </c>
      <c r="C3559" s="40" t="str">
        <f>IFERROR(__xludf.DUMMYFUNCTION("""COMPUTED_VALUE"""),"Dapat limit tapi belum diproses")</f>
        <v>Dapat limit tapi belum diproses</v>
      </c>
      <c r="D3559" s="40" t="str">
        <f>IFERROR(__xludf.DUMMYFUNCTION("""COMPUTED_VALUE"""),"Y400 series")</f>
        <v>Y400 series</v>
      </c>
      <c r="E3559" s="40" t="s">
        <v>11407</v>
      </c>
      <c r="F3559" s="40" t="s">
        <v>220</v>
      </c>
      <c r="G3559" s="40" t="s">
        <v>11408</v>
      </c>
      <c r="H3559" s="40" t="s">
        <v>11399</v>
      </c>
    </row>
    <row r="3560">
      <c r="A3560" s="39">
        <f>IFERROR(__xludf.DUMMYFUNCTION("""COMPUTED_VALUE"""),45995.49667166667)</f>
        <v>45995.49667</v>
      </c>
      <c r="B3560" s="40" t="str">
        <f>IFERROR(__xludf.DUMMYFUNCTION("""COMPUTED_VALUE"""),"KESIA NATALIA I. BENU")</f>
        <v>KESIA NATALIA I. BENU</v>
      </c>
      <c r="C3560" s="40" t="str">
        <f>IFERROR(__xludf.DUMMYFUNCTION("""COMPUTED_VALUE"""),"Belum disetujui")</f>
        <v>Belum disetujui</v>
      </c>
      <c r="D3560" s="40"/>
      <c r="E3560" s="40" t="s">
        <v>11417</v>
      </c>
      <c r="F3560" s="40" t="s">
        <v>257</v>
      </c>
      <c r="G3560" s="40" t="s">
        <v>11418</v>
      </c>
      <c r="H3560" s="40" t="s">
        <v>11419</v>
      </c>
    </row>
    <row r="3561">
      <c r="A3561" s="39">
        <f>IFERROR(__xludf.DUMMYFUNCTION("""COMPUTED_VALUE"""),45995.52410055556)</f>
        <v>45995.5241</v>
      </c>
      <c r="B3561" s="40" t="str">
        <f>IFERROR(__xludf.DUMMYFUNCTION("""COMPUTED_VALUE"""),"BERGITHA NIA OLIN")</f>
        <v>BERGITHA NIA OLIN</v>
      </c>
      <c r="C3561" s="40" t="str">
        <f>IFERROR(__xludf.DUMMYFUNCTION("""COMPUTED_VALUE"""),"Belum disetujui")</f>
        <v>Belum disetujui</v>
      </c>
      <c r="D3561" s="40"/>
      <c r="E3561" s="40" t="s">
        <v>11431</v>
      </c>
      <c r="F3561" s="40" t="s">
        <v>313</v>
      </c>
      <c r="G3561" s="40" t="s">
        <v>11432</v>
      </c>
      <c r="H3561" s="40" t="s">
        <v>11424</v>
      </c>
    </row>
    <row r="3562">
      <c r="A3562" s="39">
        <f>IFERROR(__xludf.DUMMYFUNCTION("""COMPUTED_VALUE"""),45995.52877949074)</f>
        <v>45995.52878</v>
      </c>
      <c r="B3562" s="40" t="str">
        <f>IFERROR(__xludf.DUMMYFUNCTION("""COMPUTED_VALUE"""),"NOVLIANA BARBALINA MISA")</f>
        <v>NOVLIANA BARBALINA MISA</v>
      </c>
      <c r="C3562" s="40" t="str">
        <f>IFERROR(__xludf.DUMMYFUNCTION("""COMPUTED_VALUE"""),"Belum disetujui")</f>
        <v>Belum disetujui</v>
      </c>
      <c r="D3562" s="40"/>
      <c r="E3562" s="40" t="s">
        <v>11454</v>
      </c>
      <c r="F3562" s="40" t="s">
        <v>205</v>
      </c>
      <c r="G3562" s="40" t="s">
        <v>11455</v>
      </c>
      <c r="H3562" s="40" t="s">
        <v>11419</v>
      </c>
    </row>
    <row r="3563">
      <c r="A3563" s="39">
        <f>IFERROR(__xludf.DUMMYFUNCTION("""COMPUTED_VALUE"""),45995.54664217593)</f>
        <v>45995.54664</v>
      </c>
      <c r="B3563" s="40" t="str">
        <f>IFERROR(__xludf.DUMMYFUNCTION("""COMPUTED_VALUE"""),"ESTER LUDJI")</f>
        <v>ESTER LUDJI</v>
      </c>
      <c r="C3563" s="40" t="str">
        <f>IFERROR(__xludf.DUMMYFUNCTION("""COMPUTED_VALUE"""),"Belum disetujui")</f>
        <v>Belum disetujui</v>
      </c>
      <c r="D3563" s="40"/>
      <c r="E3563" s="40" t="s">
        <v>11441</v>
      </c>
      <c r="F3563" s="40" t="s">
        <v>205</v>
      </c>
      <c r="G3563" s="40" t="s">
        <v>11442</v>
      </c>
      <c r="H3563" s="40" t="s">
        <v>11419</v>
      </c>
    </row>
    <row r="3564">
      <c r="A3564" s="39">
        <f>IFERROR(__xludf.DUMMYFUNCTION("""COMPUTED_VALUE"""),45995.551039282414)</f>
        <v>45995.55104</v>
      </c>
      <c r="B3564" s="40" t="str">
        <f>IFERROR(__xludf.DUMMYFUNCTION("""COMPUTED_VALUE"""),"ANAK AGUNG SRI WULANTIWI")</f>
        <v>ANAK AGUNG SRI WULANTIWI</v>
      </c>
      <c r="C3564" s="40" t="str">
        <f>IFERROR(__xludf.DUMMYFUNCTION("""COMPUTED_VALUE"""),"ACC")</f>
        <v>ACC</v>
      </c>
      <c r="D3564" s="40" t="str">
        <f>IFERROR(__xludf.DUMMYFUNCTION("""COMPUTED_VALUE"""),"Y400 series")</f>
        <v>Y400 series</v>
      </c>
      <c r="E3564" s="40" t="s">
        <v>11492</v>
      </c>
      <c r="F3564" s="40" t="s">
        <v>205</v>
      </c>
      <c r="G3564" s="40" t="s">
        <v>11493</v>
      </c>
      <c r="H3564" s="40" t="s">
        <v>11419</v>
      </c>
    </row>
    <row r="3565">
      <c r="A3565" s="39">
        <f>IFERROR(__xludf.DUMMYFUNCTION("""COMPUTED_VALUE"""),45995.55121774306)</f>
        <v>45995.55122</v>
      </c>
      <c r="B3565" s="40" t="str">
        <f>IFERROR(__xludf.DUMMYFUNCTION("""COMPUTED_VALUE"""),"AZ ZAHRA SITI ZAINAB")</f>
        <v>AZ ZAHRA SITI ZAINAB</v>
      </c>
      <c r="C3565" s="40" t="str">
        <f>IFERROR(__xludf.DUMMYFUNCTION("""COMPUTED_VALUE"""),"ACC")</f>
        <v>ACC</v>
      </c>
      <c r="D3565" s="40" t="str">
        <f>IFERROR(__xludf.DUMMYFUNCTION("""COMPUTED_VALUE"""),"Y400 series")</f>
        <v>Y400 series</v>
      </c>
      <c r="E3565" s="40" t="s">
        <v>11462</v>
      </c>
      <c r="F3565" s="40" t="s">
        <v>257</v>
      </c>
      <c r="G3565" s="40" t="s">
        <v>11463</v>
      </c>
      <c r="H3565" s="40" t="s">
        <v>11419</v>
      </c>
    </row>
    <row r="3566">
      <c r="A3566" s="39">
        <f>IFERROR(__xludf.DUMMYFUNCTION("""COMPUTED_VALUE"""),45995.55906042824)</f>
        <v>45995.55906</v>
      </c>
      <c r="B3566" s="40" t="str">
        <f>IFERROR(__xludf.DUMMYFUNCTION("""COMPUTED_VALUE"""),"ANITA ANA AMAH")</f>
        <v>ANITA ANA AMAH</v>
      </c>
      <c r="C3566" s="40" t="str">
        <f>IFERROR(__xludf.DUMMYFUNCTION("""COMPUTED_VALUE"""),"Belum disetujui")</f>
        <v>Belum disetujui</v>
      </c>
      <c r="D3566" s="40"/>
      <c r="E3566" s="40" t="s">
        <v>11425</v>
      </c>
      <c r="F3566" s="40" t="s">
        <v>205</v>
      </c>
      <c r="G3566" s="40" t="s">
        <v>11426</v>
      </c>
      <c r="H3566" s="40" t="s">
        <v>11419</v>
      </c>
    </row>
    <row r="3567">
      <c r="A3567" s="39">
        <f>IFERROR(__xludf.DUMMYFUNCTION("""COMPUTED_VALUE"""),45995.57041645834)</f>
        <v>45995.57042</v>
      </c>
      <c r="B3567" s="40" t="str">
        <f>IFERROR(__xludf.DUMMYFUNCTION("""COMPUTED_VALUE"""),"ROS YANE KANA LUDJI")</f>
        <v>ROS YANE KANA LUDJI</v>
      </c>
      <c r="C3567" s="40" t="str">
        <f>IFERROR(__xludf.DUMMYFUNCTION("""COMPUTED_VALUE"""),"Dapat limit tapi belum diproses")</f>
        <v>Dapat limit tapi belum diproses</v>
      </c>
      <c r="D3567" s="40" t="str">
        <f>IFERROR(__xludf.DUMMYFUNCTION("""COMPUTED_VALUE"""),"V60 Lite series")</f>
        <v>V60 Lite series</v>
      </c>
      <c r="E3567" s="40" t="s">
        <v>11437</v>
      </c>
      <c r="F3567" s="40" t="s">
        <v>204</v>
      </c>
      <c r="G3567" s="40" t="s">
        <v>11438</v>
      </c>
      <c r="H3567" s="40" t="s">
        <v>11399</v>
      </c>
    </row>
    <row r="3568">
      <c r="A3568" s="39">
        <f>IFERROR(__xludf.DUMMYFUNCTION("""COMPUTED_VALUE"""),45995.570850034725)</f>
        <v>45995.57085</v>
      </c>
      <c r="B3568" s="40" t="str">
        <f>IFERROR(__xludf.DUMMYFUNCTION("""COMPUTED_VALUE"""),"KESIA NATALIA I. BENU")</f>
        <v>KESIA NATALIA I. BENU</v>
      </c>
      <c r="C3568" s="40" t="str">
        <f>IFERROR(__xludf.DUMMYFUNCTION("""COMPUTED_VALUE"""),"Belum disetujui")</f>
        <v>Belum disetujui</v>
      </c>
      <c r="D3568" s="40"/>
      <c r="E3568" s="40" t="s">
        <v>11417</v>
      </c>
      <c r="F3568" s="40" t="s">
        <v>257</v>
      </c>
      <c r="G3568" s="40" t="s">
        <v>11418</v>
      </c>
      <c r="H3568" s="40" t="s">
        <v>11419</v>
      </c>
    </row>
    <row r="3569">
      <c r="A3569" s="39">
        <f>IFERROR(__xludf.DUMMYFUNCTION("""COMPUTED_VALUE"""),45995.670584467596)</f>
        <v>45995.67058</v>
      </c>
      <c r="B3569" s="40" t="str">
        <f>IFERROR(__xludf.DUMMYFUNCTION("""COMPUTED_VALUE"""),"LASTRIANA PALUS")</f>
        <v>LASTRIANA PALUS</v>
      </c>
      <c r="C3569" s="40" t="str">
        <f>IFERROR(__xludf.DUMMYFUNCTION("""COMPUTED_VALUE"""),"ACC")</f>
        <v>ACC</v>
      </c>
      <c r="D3569" s="40" t="str">
        <f>IFERROR(__xludf.DUMMYFUNCTION("""COMPUTED_VALUE"""),"Y400 series")</f>
        <v>Y400 series</v>
      </c>
      <c r="E3569" s="40" t="s">
        <v>11468</v>
      </c>
      <c r="F3569" s="40" t="s">
        <v>257</v>
      </c>
      <c r="G3569" s="40" t="s">
        <v>11469</v>
      </c>
      <c r="H3569" s="40" t="s">
        <v>11419</v>
      </c>
    </row>
    <row r="3570">
      <c r="A3570" s="39">
        <f>IFERROR(__xludf.DUMMYFUNCTION("""COMPUTED_VALUE"""),45995.677021828706)</f>
        <v>45995.67702</v>
      </c>
      <c r="B3570" s="40" t="str">
        <f>IFERROR(__xludf.DUMMYFUNCTION("""COMPUTED_VALUE"""),"KESIA NATALIA I. BENU")</f>
        <v>KESIA NATALIA I. BENU</v>
      </c>
      <c r="C3570" s="40" t="str">
        <f>IFERROR(__xludf.DUMMYFUNCTION("""COMPUTED_VALUE"""),"ACC")</f>
        <v>ACC</v>
      </c>
      <c r="D3570" s="40" t="str">
        <f>IFERROR(__xludf.DUMMYFUNCTION("""COMPUTED_VALUE"""),"Y400 series")</f>
        <v>Y400 series</v>
      </c>
      <c r="E3570" s="40" t="s">
        <v>11417</v>
      </c>
      <c r="F3570" s="40" t="s">
        <v>257</v>
      </c>
      <c r="G3570" s="40" t="s">
        <v>11418</v>
      </c>
      <c r="H3570" s="40" t="s">
        <v>11419</v>
      </c>
    </row>
    <row r="3571">
      <c r="A3571" s="39">
        <f>IFERROR(__xludf.DUMMYFUNCTION("""COMPUTED_VALUE"""),45995.68611076389)</f>
        <v>45995.68611</v>
      </c>
      <c r="B3571" s="40" t="str">
        <f>IFERROR(__xludf.DUMMYFUNCTION("""COMPUTED_VALUE"""),"PRETI SISILIA SILA")</f>
        <v>PRETI SISILIA SILA</v>
      </c>
      <c r="C3571" s="40" t="str">
        <f>IFERROR(__xludf.DUMMYFUNCTION("""COMPUTED_VALUE"""),"Dapat limit tapi belum diproses")</f>
        <v>Dapat limit tapi belum diproses</v>
      </c>
      <c r="D3571" s="40" t="str">
        <f>IFERROR(__xludf.DUMMYFUNCTION("""COMPUTED_VALUE"""),"V60 series")</f>
        <v>V60 series</v>
      </c>
      <c r="E3571" s="40" t="s">
        <v>11456</v>
      </c>
      <c r="F3571" s="40" t="s">
        <v>667</v>
      </c>
      <c r="G3571" s="40" t="s">
        <v>11457</v>
      </c>
      <c r="H3571" s="40" t="s">
        <v>11424</v>
      </c>
    </row>
    <row r="3572">
      <c r="A3572" s="39">
        <f>IFERROR(__xludf.DUMMYFUNCTION("""COMPUTED_VALUE"""),45995.713920995375)</f>
        <v>45995.71392</v>
      </c>
      <c r="B3572" s="40" t="str">
        <f>IFERROR(__xludf.DUMMYFUNCTION("""COMPUTED_VALUE"""),"AMBU BAIQ JUMENAH")</f>
        <v>AMBU BAIQ JUMENAH</v>
      </c>
      <c r="C3572" s="40" t="str">
        <f>IFERROR(__xludf.DUMMYFUNCTION("""COMPUTED_VALUE"""),"Belum disetujui")</f>
        <v>Belum disetujui</v>
      </c>
      <c r="D3572" s="40"/>
      <c r="E3572" s="40" t="s">
        <v>11458</v>
      </c>
      <c r="F3572" s="40" t="s">
        <v>205</v>
      </c>
      <c r="G3572" s="40" t="s">
        <v>11459</v>
      </c>
      <c r="H3572" s="40" t="s">
        <v>11419</v>
      </c>
    </row>
    <row r="3573">
      <c r="A3573" s="39">
        <f>IFERROR(__xludf.DUMMYFUNCTION("""COMPUTED_VALUE"""),45995.72087060185)</f>
        <v>45995.72087</v>
      </c>
      <c r="B3573" s="40" t="str">
        <f>IFERROR(__xludf.DUMMYFUNCTION("""COMPUTED_VALUE"""),"ARMINDA TEKU MANEK")</f>
        <v>ARMINDA TEKU MANEK</v>
      </c>
      <c r="C3573" s="40" t="str">
        <f>IFERROR(__xludf.DUMMYFUNCTION("""COMPUTED_VALUE"""),"Dapat limit tapi belum diproses")</f>
        <v>Dapat limit tapi belum diproses</v>
      </c>
      <c r="D3573" s="40" t="str">
        <f>IFERROR(__xludf.DUMMYFUNCTION("""COMPUTED_VALUE"""),"Y21d series")</f>
        <v>Y21d series</v>
      </c>
      <c r="E3573" s="40" t="s">
        <v>11474</v>
      </c>
      <c r="F3573" s="40" t="s">
        <v>313</v>
      </c>
      <c r="G3573" s="40" t="s">
        <v>11475</v>
      </c>
      <c r="H3573" s="40" t="s">
        <v>11424</v>
      </c>
    </row>
    <row r="3574">
      <c r="A3574" s="39">
        <f>IFERROR(__xludf.DUMMYFUNCTION("""COMPUTED_VALUE"""),45995.726824722224)</f>
        <v>45995.72682</v>
      </c>
      <c r="B3574" s="40" t="str">
        <f>IFERROR(__xludf.DUMMYFUNCTION("""COMPUTED_VALUE"""),"BERGITHA NIA OLIN")</f>
        <v>BERGITHA NIA OLIN</v>
      </c>
      <c r="C3574" s="40" t="str">
        <f>IFERROR(__xludf.DUMMYFUNCTION("""COMPUTED_VALUE"""),"Belum disetujui")</f>
        <v>Belum disetujui</v>
      </c>
      <c r="D3574" s="40"/>
      <c r="E3574" s="40" t="s">
        <v>11431</v>
      </c>
      <c r="F3574" s="40" t="s">
        <v>313</v>
      </c>
      <c r="G3574" s="40" t="s">
        <v>11432</v>
      </c>
      <c r="H3574" s="40" t="s">
        <v>11424</v>
      </c>
    </row>
    <row r="3575">
      <c r="A3575" s="39">
        <f>IFERROR(__xludf.DUMMYFUNCTION("""COMPUTED_VALUE"""),45995.727202442125)</f>
        <v>45995.7272</v>
      </c>
      <c r="B3575" s="40" t="str">
        <f>IFERROR(__xludf.DUMMYFUNCTION("""COMPUTED_VALUE"""),"DWITNEY PRETY WANGGANDIMA")</f>
        <v>DWITNEY PRETY WANGGANDIMA</v>
      </c>
      <c r="C3575" s="40" t="str">
        <f>IFERROR(__xludf.DUMMYFUNCTION("""COMPUTED_VALUE"""),"Belum disetujui")</f>
        <v>Belum disetujui</v>
      </c>
      <c r="D3575" s="40"/>
      <c r="E3575" s="40" t="s">
        <v>11443</v>
      </c>
      <c r="F3575" s="40" t="s">
        <v>220</v>
      </c>
      <c r="G3575" s="40" t="s">
        <v>11444</v>
      </c>
      <c r="H3575" s="40" t="s">
        <v>11399</v>
      </c>
    </row>
    <row r="3576">
      <c r="A3576" s="39">
        <f>IFERROR(__xludf.DUMMYFUNCTION("""COMPUTED_VALUE"""),45995.74778849538)</f>
        <v>45995.74779</v>
      </c>
      <c r="B3576" s="40" t="str">
        <f>IFERROR(__xludf.DUMMYFUNCTION("""COMPUTED_VALUE"""),"MERDA PUTRI BUNGSU KENAT")</f>
        <v>MERDA PUTRI BUNGSU KENAT</v>
      </c>
      <c r="C3576" s="40" t="str">
        <f>IFERROR(__xludf.DUMMYFUNCTION("""COMPUTED_VALUE"""),"Belum disetujui")</f>
        <v>Belum disetujui</v>
      </c>
      <c r="D3576" s="40"/>
      <c r="E3576" s="40" t="s">
        <v>11422</v>
      </c>
      <c r="F3576" s="40" t="s">
        <v>215</v>
      </c>
      <c r="G3576" s="40" t="s">
        <v>11423</v>
      </c>
      <c r="H3576" s="40" t="s">
        <v>11424</v>
      </c>
    </row>
    <row r="3577">
      <c r="A3577" s="39">
        <f>IFERROR(__xludf.DUMMYFUNCTION("""COMPUTED_VALUE"""),45995.75298793981)</f>
        <v>45995.75299</v>
      </c>
      <c r="B3577" s="40" t="str">
        <f>IFERROR(__xludf.DUMMYFUNCTION("""COMPUTED_VALUE"""),"MEXY ALEXANDER HETMINA")</f>
        <v>MEXY ALEXANDER HETMINA</v>
      </c>
      <c r="C3577" s="40" t="str">
        <f>IFERROR(__xludf.DUMMYFUNCTION("""COMPUTED_VALUE"""),"Belum disetujui")</f>
        <v>Belum disetujui</v>
      </c>
      <c r="D3577" s="40"/>
      <c r="E3577" s="40" t="s">
        <v>11413</v>
      </c>
      <c r="F3577" s="40" t="s">
        <v>204</v>
      </c>
      <c r="G3577" s="40" t="s">
        <v>11414</v>
      </c>
      <c r="H3577" s="40" t="s">
        <v>11399</v>
      </c>
    </row>
    <row r="3578">
      <c r="A3578" s="39">
        <f>IFERROR(__xludf.DUMMYFUNCTION("""COMPUTED_VALUE"""),45995.75777640047)</f>
        <v>45995.75778</v>
      </c>
      <c r="B3578" s="40" t="str">
        <f>IFERROR(__xludf.DUMMYFUNCTION("""COMPUTED_VALUE"""),"FREDERIKA ALVONSIA LENGO")</f>
        <v>FREDERIKA ALVONSIA LENGO</v>
      </c>
      <c r="C3578" s="40" t="str">
        <f>IFERROR(__xludf.DUMMYFUNCTION("""COMPUTED_VALUE"""),"Belum disetujui")</f>
        <v>Belum disetujui</v>
      </c>
      <c r="D3578" s="40"/>
      <c r="E3578" s="40" t="s">
        <v>11488</v>
      </c>
      <c r="F3578" s="40" t="s">
        <v>204</v>
      </c>
      <c r="G3578" s="40" t="s">
        <v>11489</v>
      </c>
      <c r="H3578" s="40" t="s">
        <v>11399</v>
      </c>
    </row>
    <row r="3579">
      <c r="A3579" s="39">
        <f>IFERROR(__xludf.DUMMYFUNCTION("""COMPUTED_VALUE"""),45995.7676609375)</f>
        <v>45995.76766</v>
      </c>
      <c r="B3579" s="40" t="str">
        <f>IFERROR(__xludf.DUMMYFUNCTION("""COMPUTED_VALUE"""),"MARNITHA JUWIKE TIMORATI RUNESI")</f>
        <v>MARNITHA JUWIKE TIMORATI RUNESI</v>
      </c>
      <c r="C3579" s="40" t="str">
        <f>IFERROR(__xludf.DUMMYFUNCTION("""COMPUTED_VALUE"""),"ACC")</f>
        <v>ACC</v>
      </c>
      <c r="D3579" s="40" t="str">
        <f>IFERROR(__xludf.DUMMYFUNCTION("""COMPUTED_VALUE"""),"Y400 series")</f>
        <v>Y400 series</v>
      </c>
      <c r="E3579" s="40" t="s">
        <v>11420</v>
      </c>
      <c r="F3579" s="40" t="s">
        <v>204</v>
      </c>
      <c r="G3579" s="40" t="s">
        <v>11421</v>
      </c>
      <c r="H3579" s="40" t="s">
        <v>11399</v>
      </c>
    </row>
    <row r="3580">
      <c r="A3580" s="39">
        <f>IFERROR(__xludf.DUMMYFUNCTION("""COMPUTED_VALUE"""),45995.77629425925)</f>
        <v>45995.77629</v>
      </c>
      <c r="B3580" s="40" t="str">
        <f>IFERROR(__xludf.DUMMYFUNCTION("""COMPUTED_VALUE"""),"LASTRIANA PALUS")</f>
        <v>LASTRIANA PALUS</v>
      </c>
      <c r="C3580" s="40" t="str">
        <f>IFERROR(__xludf.DUMMYFUNCTION("""COMPUTED_VALUE"""),"Belum disetujui")</f>
        <v>Belum disetujui</v>
      </c>
      <c r="D3580" s="40"/>
      <c r="E3580" s="40" t="s">
        <v>11468</v>
      </c>
      <c r="F3580" s="40" t="s">
        <v>257</v>
      </c>
      <c r="G3580" s="40" t="s">
        <v>11469</v>
      </c>
      <c r="H3580" s="40" t="s">
        <v>11419</v>
      </c>
    </row>
    <row r="3581">
      <c r="A3581" s="39">
        <f>IFERROR(__xludf.DUMMYFUNCTION("""COMPUTED_VALUE"""),45995.781779432866)</f>
        <v>45995.78178</v>
      </c>
      <c r="B3581" s="40" t="str">
        <f>IFERROR(__xludf.DUMMYFUNCTION("""COMPUTED_VALUE"""),"NENY MERLIANTI NA'U")</f>
        <v>NENY MERLIANTI NA'U</v>
      </c>
      <c r="C3581" s="40" t="str">
        <f>IFERROR(__xludf.DUMMYFUNCTION("""COMPUTED_VALUE"""),"Belum disetujui")</f>
        <v>Belum disetujui</v>
      </c>
      <c r="D3581" s="40"/>
      <c r="E3581" s="40" t="s">
        <v>11476</v>
      </c>
      <c r="F3581" s="40" t="s">
        <v>204</v>
      </c>
      <c r="G3581" s="40" t="s">
        <v>11477</v>
      </c>
      <c r="H3581" s="40" t="s">
        <v>11399</v>
      </c>
    </row>
    <row r="3582">
      <c r="A3582" s="39">
        <f>IFERROR(__xludf.DUMMYFUNCTION("""COMPUTED_VALUE"""),45995.78575862268)</f>
        <v>45995.78576</v>
      </c>
      <c r="B3582" s="40" t="str">
        <f>IFERROR(__xludf.DUMMYFUNCTION("""COMPUTED_VALUE"""),"ESTER LUDJI")</f>
        <v>ESTER LUDJI</v>
      </c>
      <c r="C3582" s="40" t="str">
        <f>IFERROR(__xludf.DUMMYFUNCTION("""COMPUTED_VALUE"""),"ACC")</f>
        <v>ACC</v>
      </c>
      <c r="D3582" s="40" t="str">
        <f>IFERROR(__xludf.DUMMYFUNCTION("""COMPUTED_VALUE"""),"Y400 series")</f>
        <v>Y400 series</v>
      </c>
      <c r="E3582" s="40" t="s">
        <v>11441</v>
      </c>
      <c r="F3582" s="40" t="s">
        <v>205</v>
      </c>
      <c r="G3582" s="40" t="s">
        <v>11442</v>
      </c>
      <c r="H3582" s="40" t="s">
        <v>11419</v>
      </c>
    </row>
    <row r="3583">
      <c r="A3583" s="39">
        <f>IFERROR(__xludf.DUMMYFUNCTION("""COMPUTED_VALUE"""),45995.80474835648)</f>
        <v>45995.80475</v>
      </c>
      <c r="B3583" s="40" t="str">
        <f>IFERROR(__xludf.DUMMYFUNCTION("""COMPUTED_VALUE"""),"NOVLIANA BARBALINA MISA")</f>
        <v>NOVLIANA BARBALINA MISA</v>
      </c>
      <c r="C3583" s="40" t="str">
        <f>IFERROR(__xludf.DUMMYFUNCTION("""COMPUTED_VALUE"""),"ACC")</f>
        <v>ACC</v>
      </c>
      <c r="D3583" s="40" t="str">
        <f>IFERROR(__xludf.DUMMYFUNCTION("""COMPUTED_VALUE"""),"V60 Lite series")</f>
        <v>V60 Lite series</v>
      </c>
      <c r="E3583" s="40" t="s">
        <v>11454</v>
      </c>
      <c r="F3583" s="40" t="s">
        <v>205</v>
      </c>
      <c r="G3583" s="40" t="s">
        <v>11455</v>
      </c>
      <c r="H3583" s="40" t="s">
        <v>11419</v>
      </c>
    </row>
    <row r="3584">
      <c r="A3584" s="39">
        <f>IFERROR(__xludf.DUMMYFUNCTION("""COMPUTED_VALUE"""),45995.818189328704)</f>
        <v>45995.81819</v>
      </c>
      <c r="B3584" s="40" t="str">
        <f>IFERROR(__xludf.DUMMYFUNCTION("""COMPUTED_VALUE"""),"MARIA MELAN ANANCE BILI")</f>
        <v>MARIA MELAN ANANCE BILI</v>
      </c>
      <c r="C3584" s="40" t="str">
        <f>IFERROR(__xludf.DUMMYFUNCTION("""COMPUTED_VALUE"""),"ACC")</f>
        <v>ACC</v>
      </c>
      <c r="D3584" s="40" t="str">
        <f>IFERROR(__xludf.DUMMYFUNCTION("""COMPUTED_VALUE"""),"Y400 series")</f>
        <v>Y400 series</v>
      </c>
      <c r="E3584" s="40" t="s">
        <v>11466</v>
      </c>
      <c r="F3584" s="40" t="s">
        <v>257</v>
      </c>
      <c r="G3584" s="40" t="s">
        <v>11467</v>
      </c>
      <c r="H3584" s="40" t="s">
        <v>11419</v>
      </c>
    </row>
    <row r="3585">
      <c r="A3585" s="39">
        <f>IFERROR(__xludf.DUMMYFUNCTION("""COMPUTED_VALUE"""),45995.83189736111)</f>
        <v>45995.8319</v>
      </c>
      <c r="B3585" s="40" t="str">
        <f>IFERROR(__xludf.DUMMYFUNCTION("""COMPUTED_VALUE"""),"ASRI NINGSI RAMBU ATA ENDI")</f>
        <v>ASRI NINGSI RAMBU ATA ENDI</v>
      </c>
      <c r="C3585" s="40" t="str">
        <f>IFERROR(__xludf.DUMMYFUNCTION("""COMPUTED_VALUE"""),"Belum disetujui")</f>
        <v>Belum disetujui</v>
      </c>
      <c r="D3585" s="40"/>
      <c r="E3585" s="40" t="s">
        <v>11441</v>
      </c>
      <c r="F3585" s="40" t="s">
        <v>205</v>
      </c>
      <c r="G3585" s="40" t="s">
        <v>11442</v>
      </c>
      <c r="H3585" s="40" t="s">
        <v>11419</v>
      </c>
    </row>
    <row r="3586">
      <c r="A3586" s="39">
        <f>IFERROR(__xludf.DUMMYFUNCTION("""COMPUTED_VALUE"""),45995.83743915509)</f>
        <v>45995.83744</v>
      </c>
      <c r="B3586" s="40" t="str">
        <f>IFERROR(__xludf.DUMMYFUNCTION("""COMPUTED_VALUE"""),"ESTER LUDJI")</f>
        <v>ESTER LUDJI</v>
      </c>
      <c r="C3586" s="40" t="str">
        <f>IFERROR(__xludf.DUMMYFUNCTION("""COMPUTED_VALUE"""),"Belum disetujui")</f>
        <v>Belum disetujui</v>
      </c>
      <c r="D3586" s="40"/>
      <c r="E3586" s="40" t="s">
        <v>11441</v>
      </c>
      <c r="F3586" s="40" t="s">
        <v>205</v>
      </c>
      <c r="G3586" s="40" t="s">
        <v>11442</v>
      </c>
      <c r="H3586" s="40" t="s">
        <v>11419</v>
      </c>
    </row>
    <row r="3587">
      <c r="A3587" s="39">
        <f>IFERROR(__xludf.DUMMYFUNCTION("""COMPUTED_VALUE"""),45995.870348553246)</f>
        <v>45995.87035</v>
      </c>
      <c r="B3587" s="40" t="str">
        <f>IFERROR(__xludf.DUMMYFUNCTION("""COMPUTED_VALUE"""),"DEWI RAHMAN")</f>
        <v>DEWI RAHMAN</v>
      </c>
      <c r="C3587" s="40" t="str">
        <f>IFERROR(__xludf.DUMMYFUNCTION("""COMPUTED_VALUE"""),"Belum disetujui")</f>
        <v>Belum disetujui</v>
      </c>
      <c r="D3587" s="40"/>
      <c r="E3587" s="40" t="s">
        <v>11449</v>
      </c>
      <c r="F3587" s="40" t="s">
        <v>11450</v>
      </c>
      <c r="G3587" s="40" t="s">
        <v>11451</v>
      </c>
      <c r="H3587" s="40" t="s">
        <v>11424</v>
      </c>
    </row>
    <row r="3588">
      <c r="A3588" s="39">
        <f>IFERROR(__xludf.DUMMYFUNCTION("""COMPUTED_VALUE"""),45995.87105149306)</f>
        <v>45995.87105</v>
      </c>
      <c r="B3588" s="40" t="str">
        <f>IFERROR(__xludf.DUMMYFUNCTION("""COMPUTED_VALUE"""),"WARDIA")</f>
        <v>WARDIA</v>
      </c>
      <c r="C3588" s="40" t="str">
        <f>IFERROR(__xludf.DUMMYFUNCTION("""COMPUTED_VALUE"""),"Belum disetujui")</f>
        <v>Belum disetujui</v>
      </c>
      <c r="D3588" s="40"/>
      <c r="E3588" s="40" t="s">
        <v>11409</v>
      </c>
      <c r="F3588" s="40" t="s">
        <v>204</v>
      </c>
      <c r="G3588" s="40" t="s">
        <v>11410</v>
      </c>
      <c r="H3588" s="40" t="s">
        <v>11399</v>
      </c>
    </row>
    <row r="3589">
      <c r="A3589" s="39">
        <f>IFERROR(__xludf.DUMMYFUNCTION("""COMPUTED_VALUE"""),45995.88263393519)</f>
        <v>45995.88263</v>
      </c>
      <c r="B3589" s="40" t="str">
        <f>IFERROR(__xludf.DUMMYFUNCTION("""COMPUTED_VALUE"""),"HERONIMUS NAMU WALI")</f>
        <v>HERONIMUS NAMU WALI</v>
      </c>
      <c r="C3589" s="40" t="str">
        <f>IFERROR(__xludf.DUMMYFUNCTION("""COMPUTED_VALUE"""),"ACC")</f>
        <v>ACC</v>
      </c>
      <c r="D3589" s="40" t="str">
        <f>IFERROR(__xludf.DUMMYFUNCTION("""COMPUTED_VALUE"""),"V60 Lite series")</f>
        <v>V60 Lite series</v>
      </c>
      <c r="E3589" s="40" t="s">
        <v>11452</v>
      </c>
      <c r="F3589" s="40" t="s">
        <v>205</v>
      </c>
      <c r="G3589" s="40" t="s">
        <v>11453</v>
      </c>
      <c r="H3589" s="40" t="s">
        <v>11419</v>
      </c>
    </row>
    <row r="3590">
      <c r="A3590" s="39">
        <f>IFERROR(__xludf.DUMMYFUNCTION("""COMPUTED_VALUE"""),45995.912959699075)</f>
        <v>45995.91296</v>
      </c>
      <c r="B3590" s="40" t="str">
        <f>IFERROR(__xludf.DUMMYFUNCTION("""COMPUTED_VALUE"""),"WINDRI MANOE")</f>
        <v>WINDRI MANOE</v>
      </c>
      <c r="C3590" s="40" t="str">
        <f>IFERROR(__xludf.DUMMYFUNCTION("""COMPUTED_VALUE"""),"Belum disetujui")</f>
        <v>Belum disetujui</v>
      </c>
      <c r="D3590" s="40"/>
      <c r="E3590" s="40" t="s">
        <v>11443</v>
      </c>
      <c r="F3590" s="40" t="s">
        <v>220</v>
      </c>
      <c r="G3590" s="40" t="s">
        <v>11444</v>
      </c>
      <c r="H3590" s="40" t="s">
        <v>11399</v>
      </c>
    </row>
    <row r="3591">
      <c r="A3591" s="39">
        <f>IFERROR(__xludf.DUMMYFUNCTION("""COMPUTED_VALUE"""),45995.92299629629)</f>
        <v>45995.923</v>
      </c>
      <c r="B3591" s="40" t="str">
        <f>IFERROR(__xludf.DUMMYFUNCTION("""COMPUTED_VALUE"""),"ROS YANE KANA LUDJI")</f>
        <v>ROS YANE KANA LUDJI</v>
      </c>
      <c r="C3591" s="40" t="str">
        <f>IFERROR(__xludf.DUMMYFUNCTION("""COMPUTED_VALUE"""),"ACC")</f>
        <v>ACC</v>
      </c>
      <c r="D3591" s="40" t="str">
        <f>IFERROR(__xludf.DUMMYFUNCTION("""COMPUTED_VALUE"""),"Y21d series")</f>
        <v>Y21d series</v>
      </c>
      <c r="E3591" s="40" t="s">
        <v>11437</v>
      </c>
      <c r="F3591" s="40" t="s">
        <v>204</v>
      </c>
      <c r="G3591" s="40" t="s">
        <v>11438</v>
      </c>
      <c r="H3591" s="40" t="s">
        <v>11399</v>
      </c>
    </row>
    <row r="3592">
      <c r="A3592" s="39">
        <f>IFERROR(__xludf.DUMMYFUNCTION("""COMPUTED_VALUE"""),45996.417226111116)</f>
        <v>45996.41723</v>
      </c>
      <c r="B3592" s="40" t="str">
        <f>IFERROR(__xludf.DUMMYFUNCTION("""COMPUTED_VALUE"""),"PUSPA ANGGREINI")</f>
        <v>PUSPA ANGGREINI</v>
      </c>
      <c r="C3592" s="40" t="str">
        <f>IFERROR(__xludf.DUMMYFUNCTION("""COMPUTED_VALUE"""),"Belum disetujui")</f>
        <v>Belum disetujui</v>
      </c>
      <c r="D3592" s="40"/>
      <c r="E3592" s="40" t="s">
        <v>11427</v>
      </c>
      <c r="F3592" s="40" t="s">
        <v>257</v>
      </c>
      <c r="G3592" s="40" t="s">
        <v>11428</v>
      </c>
      <c r="H3592" s="40" t="s">
        <v>11419</v>
      </c>
    </row>
    <row r="3593">
      <c r="A3593" s="39">
        <f>IFERROR(__xludf.DUMMYFUNCTION("""COMPUTED_VALUE"""),45996.466726770836)</f>
        <v>45996.46673</v>
      </c>
      <c r="B3593" s="40" t="str">
        <f>IFERROR(__xludf.DUMMYFUNCTION("""COMPUTED_VALUE"""),"EMPI FRANGKI LIEM")</f>
        <v>EMPI FRANGKI LIEM</v>
      </c>
      <c r="C3593" s="40" t="str">
        <f>IFERROR(__xludf.DUMMYFUNCTION("""COMPUTED_VALUE"""),"Belum disetujui")</f>
        <v>Belum disetujui</v>
      </c>
      <c r="D3593" s="40"/>
      <c r="E3593" s="40" t="s">
        <v>11397</v>
      </c>
      <c r="F3593" s="40" t="s">
        <v>220</v>
      </c>
      <c r="G3593" s="40" t="s">
        <v>11398</v>
      </c>
      <c r="H3593" s="40" t="s">
        <v>11399</v>
      </c>
    </row>
    <row r="3594">
      <c r="A3594" s="39">
        <f>IFERROR(__xludf.DUMMYFUNCTION("""COMPUTED_VALUE"""),45996.47080290509)</f>
        <v>45996.4708</v>
      </c>
      <c r="B3594" s="40" t="str">
        <f>IFERROR(__xludf.DUMMYFUNCTION("""COMPUTED_VALUE"""),"MARNITHA JUWIKE TIMORATI RUNESI")</f>
        <v>MARNITHA JUWIKE TIMORATI RUNESI</v>
      </c>
      <c r="C3594" s="40" t="str">
        <f>IFERROR(__xludf.DUMMYFUNCTION("""COMPUTED_VALUE"""),"Belum disetujui")</f>
        <v>Belum disetujui</v>
      </c>
      <c r="D3594" s="40"/>
      <c r="E3594" s="40" t="s">
        <v>11420</v>
      </c>
      <c r="F3594" s="40" t="s">
        <v>204</v>
      </c>
      <c r="G3594" s="40" t="s">
        <v>11421</v>
      </c>
      <c r="H3594" s="40" t="s">
        <v>11399</v>
      </c>
    </row>
    <row r="3595">
      <c r="A3595" s="39">
        <f>IFERROR(__xludf.DUMMYFUNCTION("""COMPUTED_VALUE"""),45996.513632500006)</f>
        <v>45996.51363</v>
      </c>
      <c r="B3595" s="40" t="str">
        <f>IFERROR(__xludf.DUMMYFUNCTION("""COMPUTED_VALUE"""),"MARATHA MARLINDA FANGGIDAE")</f>
        <v>MARATHA MARLINDA FANGGIDAE</v>
      </c>
      <c r="C3595" s="40" t="str">
        <f>IFERROR(__xludf.DUMMYFUNCTION("""COMPUTED_VALUE"""),"ACC")</f>
        <v>ACC</v>
      </c>
      <c r="D3595" s="40" t="str">
        <f>IFERROR(__xludf.DUMMYFUNCTION("""COMPUTED_VALUE"""),"Y21d series")</f>
        <v>Y21d series</v>
      </c>
      <c r="E3595" s="40" t="s">
        <v>11435</v>
      </c>
      <c r="F3595" s="40" t="s">
        <v>215</v>
      </c>
      <c r="G3595" s="40" t="s">
        <v>11436</v>
      </c>
      <c r="H3595" s="40" t="s">
        <v>11424</v>
      </c>
    </row>
    <row r="3596">
      <c r="A3596" s="39">
        <f>IFERROR(__xludf.DUMMYFUNCTION("""COMPUTED_VALUE"""),45996.52655850694)</f>
        <v>45996.52656</v>
      </c>
      <c r="B3596" s="40" t="str">
        <f>IFERROR(__xludf.DUMMYFUNCTION("""COMPUTED_VALUE"""),"ANAK AGUNG SRI WULANTIWI")</f>
        <v>ANAK AGUNG SRI WULANTIWI</v>
      </c>
      <c r="C3596" s="40" t="str">
        <f>IFERROR(__xludf.DUMMYFUNCTION("""COMPUTED_VALUE"""),"Belum disetujui")</f>
        <v>Belum disetujui</v>
      </c>
      <c r="D3596" s="40"/>
      <c r="E3596" s="40" t="s">
        <v>11492</v>
      </c>
      <c r="F3596" s="40" t="s">
        <v>205</v>
      </c>
      <c r="G3596" s="40" t="s">
        <v>11493</v>
      </c>
      <c r="H3596" s="40" t="s">
        <v>11419</v>
      </c>
    </row>
    <row r="3597">
      <c r="A3597" s="39">
        <f>IFERROR(__xludf.DUMMYFUNCTION("""COMPUTED_VALUE"""),45996.527492546295)</f>
        <v>45996.52749</v>
      </c>
      <c r="B3597" s="40" t="str">
        <f>IFERROR(__xludf.DUMMYFUNCTION("""COMPUTED_VALUE"""),"ALDIANA WELIA PANIE")</f>
        <v>ALDIANA WELIA PANIE</v>
      </c>
      <c r="C3597" s="40" t="str">
        <f>IFERROR(__xludf.DUMMYFUNCTION("""COMPUTED_VALUE"""),"Belum disetujui")</f>
        <v>Belum disetujui</v>
      </c>
      <c r="D3597" s="40"/>
      <c r="E3597" s="40" t="s">
        <v>11422</v>
      </c>
      <c r="F3597" s="40" t="s">
        <v>215</v>
      </c>
      <c r="G3597" s="40" t="s">
        <v>11423</v>
      </c>
      <c r="H3597" s="40" t="s">
        <v>11424</v>
      </c>
    </row>
    <row r="3598">
      <c r="A3598" s="39">
        <f>IFERROR(__xludf.DUMMYFUNCTION("""COMPUTED_VALUE"""),45996.53171766204)</f>
        <v>45996.53172</v>
      </c>
      <c r="B3598" s="40" t="str">
        <f>IFERROR(__xludf.DUMMYFUNCTION("""COMPUTED_VALUE"""),"YUNITA TAMELAB")</f>
        <v>YUNITA TAMELAB</v>
      </c>
      <c r="C3598" s="40" t="str">
        <f>IFERROR(__xludf.DUMMYFUNCTION("""COMPUTED_VALUE"""),"ACC")</f>
        <v>ACC</v>
      </c>
      <c r="D3598" s="40" t="str">
        <f>IFERROR(__xludf.DUMMYFUNCTION("""COMPUTED_VALUE"""),"Y21d series")</f>
        <v>Y21d series</v>
      </c>
      <c r="E3598" s="40" t="s">
        <v>11472</v>
      </c>
      <c r="F3598" s="40" t="s">
        <v>667</v>
      </c>
      <c r="G3598" s="40" t="s">
        <v>11473</v>
      </c>
      <c r="H3598" s="40" t="s">
        <v>11424</v>
      </c>
    </row>
    <row r="3599">
      <c r="A3599" s="39">
        <f>IFERROR(__xludf.DUMMYFUNCTION("""COMPUTED_VALUE"""),45996.535503043975)</f>
        <v>45996.5355</v>
      </c>
      <c r="B3599" s="40" t="str">
        <f>IFERROR(__xludf.DUMMYFUNCTION("""COMPUTED_VALUE"""),"NUR FATIMAH MOLBANG")</f>
        <v>NUR FATIMAH MOLBANG</v>
      </c>
      <c r="C3599" s="40" t="str">
        <f>IFERROR(__xludf.DUMMYFUNCTION("""COMPUTED_VALUE"""),"Belum disetujui")</f>
        <v>Belum disetujui</v>
      </c>
      <c r="D3599" s="40"/>
      <c r="E3599" s="40" t="s">
        <v>11439</v>
      </c>
      <c r="F3599" s="40" t="s">
        <v>313</v>
      </c>
      <c r="G3599" s="40" t="s">
        <v>11440</v>
      </c>
      <c r="H3599" s="40" t="s">
        <v>11424</v>
      </c>
    </row>
    <row r="3600">
      <c r="A3600" s="39">
        <f>IFERROR(__xludf.DUMMYFUNCTION("""COMPUTED_VALUE"""),45996.53705710648)</f>
        <v>45996.53706</v>
      </c>
      <c r="B3600" s="40" t="str">
        <f>IFERROR(__xludf.DUMMYFUNCTION("""COMPUTED_VALUE"""),"NUR FATIMAH MOLBANG")</f>
        <v>NUR FATIMAH MOLBANG</v>
      </c>
      <c r="C3600" s="40" t="str">
        <f>IFERROR(__xludf.DUMMYFUNCTION("""COMPUTED_VALUE"""),"Belum disetujui")</f>
        <v>Belum disetujui</v>
      </c>
      <c r="D3600" s="40"/>
      <c r="E3600" s="40" t="s">
        <v>11439</v>
      </c>
      <c r="F3600" s="40" t="s">
        <v>313</v>
      </c>
      <c r="G3600" s="40" t="s">
        <v>11440</v>
      </c>
      <c r="H3600" s="40" t="s">
        <v>11424</v>
      </c>
    </row>
    <row r="3601">
      <c r="A3601" s="39">
        <f>IFERROR(__xludf.DUMMYFUNCTION("""COMPUTED_VALUE"""),45996.539250104164)</f>
        <v>45996.53925</v>
      </c>
      <c r="B3601" s="40" t="str">
        <f>IFERROR(__xludf.DUMMYFUNCTION("""COMPUTED_VALUE"""),"ASRI NINGSI RAMBU ATA ENDI")</f>
        <v>ASRI NINGSI RAMBU ATA ENDI</v>
      </c>
      <c r="C3601" s="40" t="str">
        <f>IFERROR(__xludf.DUMMYFUNCTION("""COMPUTED_VALUE"""),"ACC")</f>
        <v>ACC</v>
      </c>
      <c r="D3601" s="40" t="str">
        <f>IFERROR(__xludf.DUMMYFUNCTION("""COMPUTED_VALUE"""),"Y400 series")</f>
        <v>Y400 series</v>
      </c>
      <c r="E3601" s="40" t="s">
        <v>11441</v>
      </c>
      <c r="F3601" s="40" t="s">
        <v>205</v>
      </c>
      <c r="G3601" s="40" t="s">
        <v>11442</v>
      </c>
      <c r="H3601" s="40" t="s">
        <v>11419</v>
      </c>
    </row>
    <row r="3602">
      <c r="A3602" s="39">
        <f>IFERROR(__xludf.DUMMYFUNCTION("""COMPUTED_VALUE"""),45996.54023824075)</f>
        <v>45996.54024</v>
      </c>
      <c r="B3602" s="40" t="str">
        <f>IFERROR(__xludf.DUMMYFUNCTION("""COMPUTED_VALUE"""),"NUR FATIMAH MOLBANG")</f>
        <v>NUR FATIMAH MOLBANG</v>
      </c>
      <c r="C3602" s="40" t="str">
        <f>IFERROR(__xludf.DUMMYFUNCTION("""COMPUTED_VALUE"""),"Belum disetujui")</f>
        <v>Belum disetujui</v>
      </c>
      <c r="D3602" s="40"/>
      <c r="E3602" s="40" t="s">
        <v>11439</v>
      </c>
      <c r="F3602" s="40" t="s">
        <v>313</v>
      </c>
      <c r="G3602" s="40" t="s">
        <v>11440</v>
      </c>
      <c r="H3602" s="40" t="s">
        <v>11424</v>
      </c>
    </row>
    <row r="3603">
      <c r="A3603" s="39">
        <f>IFERROR(__xludf.DUMMYFUNCTION("""COMPUTED_VALUE"""),45996.54125711805)</f>
        <v>45996.54126</v>
      </c>
      <c r="B3603" s="40" t="str">
        <f>IFERROR(__xludf.DUMMYFUNCTION("""COMPUTED_VALUE"""),"IDMAL YUSDIRAN YUSUF")</f>
        <v>IDMAL YUSDIRAN YUSUF</v>
      </c>
      <c r="C3603" s="40" t="str">
        <f>IFERROR(__xludf.DUMMYFUNCTION("""COMPUTED_VALUE"""),"Belum disetujui")</f>
        <v>Belum disetujui</v>
      </c>
      <c r="D3603" s="40"/>
      <c r="E3603" s="40" t="s">
        <v>11417</v>
      </c>
      <c r="F3603" s="40" t="s">
        <v>257</v>
      </c>
      <c r="G3603" s="40" t="s">
        <v>11418</v>
      </c>
      <c r="H3603" s="40" t="s">
        <v>11419</v>
      </c>
    </row>
    <row r="3604">
      <c r="A3604" s="39">
        <f>IFERROR(__xludf.DUMMYFUNCTION("""COMPUTED_VALUE"""),45996.541924386576)</f>
        <v>45996.54192</v>
      </c>
      <c r="B3604" s="40" t="str">
        <f>IFERROR(__xludf.DUMMYFUNCTION("""COMPUTED_VALUE"""),"ESTER LUDJI")</f>
        <v>ESTER LUDJI</v>
      </c>
      <c r="C3604" s="40" t="str">
        <f>IFERROR(__xludf.DUMMYFUNCTION("""COMPUTED_VALUE"""),"Belum disetujui")</f>
        <v>Belum disetujui</v>
      </c>
      <c r="D3604" s="40"/>
      <c r="E3604" s="40" t="s">
        <v>11441</v>
      </c>
      <c r="F3604" s="40" t="s">
        <v>205</v>
      </c>
      <c r="G3604" s="40" t="s">
        <v>11442</v>
      </c>
      <c r="H3604" s="40" t="s">
        <v>11419</v>
      </c>
    </row>
    <row r="3605">
      <c r="A3605" s="39">
        <f>IFERROR(__xludf.DUMMYFUNCTION("""COMPUTED_VALUE"""),45996.54374988426)</f>
        <v>45996.54375</v>
      </c>
      <c r="B3605" s="40" t="str">
        <f>IFERROR(__xludf.DUMMYFUNCTION("""COMPUTED_VALUE"""),"YUNITA TAMELAB")</f>
        <v>YUNITA TAMELAB</v>
      </c>
      <c r="C3605" s="40" t="str">
        <f>IFERROR(__xludf.DUMMYFUNCTION("""COMPUTED_VALUE"""),"ACC")</f>
        <v>ACC</v>
      </c>
      <c r="D3605" s="40" t="str">
        <f>IFERROR(__xludf.DUMMYFUNCTION("""COMPUTED_VALUE"""),"Y21d series")</f>
        <v>Y21d series</v>
      </c>
      <c r="E3605" s="40" t="s">
        <v>11472</v>
      </c>
      <c r="F3605" s="40" t="s">
        <v>667</v>
      </c>
      <c r="G3605" s="40" t="s">
        <v>11473</v>
      </c>
      <c r="H3605" s="40" t="s">
        <v>11424</v>
      </c>
    </row>
    <row r="3606">
      <c r="A3606" s="39">
        <f>IFERROR(__xludf.DUMMYFUNCTION("""COMPUTED_VALUE"""),45996.582601759255)</f>
        <v>45996.5826</v>
      </c>
      <c r="B3606" s="40" t="str">
        <f>IFERROR(__xludf.DUMMYFUNCTION("""COMPUTED_VALUE"""),"ADRIANA")</f>
        <v>ADRIANA</v>
      </c>
      <c r="C3606" s="40" t="str">
        <f>IFERROR(__xludf.DUMMYFUNCTION("""COMPUTED_VALUE"""),"Belum disetujui")</f>
        <v>Belum disetujui</v>
      </c>
      <c r="D3606" s="40"/>
      <c r="E3606" s="40" t="s">
        <v>11433</v>
      </c>
      <c r="F3606" s="40" t="s">
        <v>313</v>
      </c>
      <c r="G3606" s="40" t="s">
        <v>11434</v>
      </c>
      <c r="H3606" s="40" t="s">
        <v>11424</v>
      </c>
    </row>
    <row r="3607">
      <c r="A3607" s="39">
        <f>IFERROR(__xludf.DUMMYFUNCTION("""COMPUTED_VALUE"""),45996.61163494213)</f>
        <v>45996.61163</v>
      </c>
      <c r="B3607" s="40" t="str">
        <f>IFERROR(__xludf.DUMMYFUNCTION("""COMPUTED_VALUE"""),"LASTRIANA PALUS")</f>
        <v>LASTRIANA PALUS</v>
      </c>
      <c r="C3607" s="40" t="str">
        <f>IFERROR(__xludf.DUMMYFUNCTION("""COMPUTED_VALUE"""),"Belum disetujui")</f>
        <v>Belum disetujui</v>
      </c>
      <c r="D3607" s="40"/>
      <c r="E3607" s="40" t="s">
        <v>11468</v>
      </c>
      <c r="F3607" s="40" t="s">
        <v>257</v>
      </c>
      <c r="G3607" s="40" t="s">
        <v>11469</v>
      </c>
      <c r="H3607" s="40" t="s">
        <v>11419</v>
      </c>
    </row>
    <row r="3608">
      <c r="A3608" s="39">
        <f>IFERROR(__xludf.DUMMYFUNCTION("""COMPUTED_VALUE"""),45996.61397839121)</f>
        <v>45996.61398</v>
      </c>
      <c r="B3608" s="40" t="str">
        <f>IFERROR(__xludf.DUMMYFUNCTION("""COMPUTED_VALUE"""),"LASTRIANA PALUS")</f>
        <v>LASTRIANA PALUS</v>
      </c>
      <c r="C3608" s="40" t="str">
        <f>IFERROR(__xludf.DUMMYFUNCTION("""COMPUTED_VALUE"""),"Belum disetujui")</f>
        <v>Belum disetujui</v>
      </c>
      <c r="D3608" s="40"/>
      <c r="E3608" s="40" t="s">
        <v>11468</v>
      </c>
      <c r="F3608" s="40" t="s">
        <v>257</v>
      </c>
      <c r="G3608" s="40" t="s">
        <v>11469</v>
      </c>
      <c r="H3608" s="40" t="s">
        <v>11419</v>
      </c>
    </row>
    <row r="3609">
      <c r="A3609" s="39">
        <f>IFERROR(__xludf.DUMMYFUNCTION("""COMPUTED_VALUE"""),45996.64542973379)</f>
        <v>45996.64543</v>
      </c>
      <c r="B3609" s="40" t="str">
        <f>IFERROR(__xludf.DUMMYFUNCTION("""COMPUTED_VALUE"""),"WARDIA")</f>
        <v>WARDIA</v>
      </c>
      <c r="C3609" s="40" t="str">
        <f>IFERROR(__xludf.DUMMYFUNCTION("""COMPUTED_VALUE"""),"Dapat limit tapi belum diproses")</f>
        <v>Dapat limit tapi belum diproses</v>
      </c>
      <c r="D3609" s="40" t="str">
        <f>IFERROR(__xludf.DUMMYFUNCTION("""COMPUTED_VALUE"""),"Y21d series")</f>
        <v>Y21d series</v>
      </c>
      <c r="E3609" s="40" t="s">
        <v>11409</v>
      </c>
      <c r="F3609" s="40" t="s">
        <v>204</v>
      </c>
      <c r="G3609" s="40" t="s">
        <v>11410</v>
      </c>
      <c r="H3609" s="40" t="s">
        <v>11399</v>
      </c>
    </row>
    <row r="3610">
      <c r="A3610" s="39">
        <f>IFERROR(__xludf.DUMMYFUNCTION("""COMPUTED_VALUE"""),45996.65242027778)</f>
        <v>45996.65242</v>
      </c>
      <c r="B3610" s="40" t="str">
        <f>IFERROR(__xludf.DUMMYFUNCTION("""COMPUTED_VALUE"""),"YOMELIANA MARIA MAGNO")</f>
        <v>YOMELIANA MARIA MAGNO</v>
      </c>
      <c r="C3610" s="40" t="str">
        <f>IFERROR(__xludf.DUMMYFUNCTION("""COMPUTED_VALUE"""),"Belum disetujui")</f>
        <v>Belum disetujui</v>
      </c>
      <c r="D3610" s="40"/>
      <c r="E3610" s="40" t="s">
        <v>11460</v>
      </c>
      <c r="F3610" s="40" t="s">
        <v>871</v>
      </c>
      <c r="G3610" s="40" t="s">
        <v>11461</v>
      </c>
      <c r="H3610" s="40" t="s">
        <v>11424</v>
      </c>
    </row>
    <row r="3611">
      <c r="A3611" s="39">
        <f>IFERROR(__xludf.DUMMYFUNCTION("""COMPUTED_VALUE"""),45996.661874583326)</f>
        <v>45996.66187</v>
      </c>
      <c r="B3611" s="40" t="str">
        <f>IFERROR(__xludf.DUMMYFUNCTION("""COMPUTED_VALUE"""),"HERONIMUS NAMU WALI")</f>
        <v>HERONIMUS NAMU WALI</v>
      </c>
      <c r="C3611" s="40" t="str">
        <f>IFERROR(__xludf.DUMMYFUNCTION("""COMPUTED_VALUE"""),"ACC")</f>
        <v>ACC</v>
      </c>
      <c r="D3611" s="40" t="str">
        <f>IFERROR(__xludf.DUMMYFUNCTION("""COMPUTED_VALUE"""),"Y400 series")</f>
        <v>Y400 series</v>
      </c>
      <c r="E3611" s="40" t="s">
        <v>11452</v>
      </c>
      <c r="F3611" s="40" t="s">
        <v>205</v>
      </c>
      <c r="G3611" s="40" t="s">
        <v>11453</v>
      </c>
      <c r="H3611" s="40" t="s">
        <v>11419</v>
      </c>
    </row>
    <row r="3612">
      <c r="A3612" s="39">
        <f>IFERROR(__xludf.DUMMYFUNCTION("""COMPUTED_VALUE"""),45996.68831283565)</f>
        <v>45996.68831</v>
      </c>
      <c r="B3612" s="40" t="str">
        <f>IFERROR(__xludf.DUMMYFUNCTION("""COMPUTED_VALUE"""),"SULIS NURAINI INSYATUN")</f>
        <v>SULIS NURAINI INSYATUN</v>
      </c>
      <c r="C3612" s="40" t="str">
        <f>IFERROR(__xludf.DUMMYFUNCTION("""COMPUTED_VALUE"""),"Belum disetujui")</f>
        <v>Belum disetujui</v>
      </c>
      <c r="D3612" s="40"/>
      <c r="E3612" s="40" t="s">
        <v>11429</v>
      </c>
      <c r="F3612" s="40" t="s">
        <v>257</v>
      </c>
      <c r="G3612" s="40" t="s">
        <v>11430</v>
      </c>
      <c r="H3612" s="40" t="s">
        <v>11419</v>
      </c>
    </row>
    <row r="3613">
      <c r="A3613" s="39">
        <f>IFERROR(__xludf.DUMMYFUNCTION("""COMPUTED_VALUE"""),45996.722003634255)</f>
        <v>45996.722</v>
      </c>
      <c r="B3613" s="40" t="str">
        <f>IFERROR(__xludf.DUMMYFUNCTION("""COMPUTED_VALUE"""),"LASTRIANA PALUS")</f>
        <v>LASTRIANA PALUS</v>
      </c>
      <c r="C3613" s="40" t="str">
        <f>IFERROR(__xludf.DUMMYFUNCTION("""COMPUTED_VALUE"""),"Belum disetujui")</f>
        <v>Belum disetujui</v>
      </c>
      <c r="D3613" s="40"/>
      <c r="E3613" s="40" t="s">
        <v>11468</v>
      </c>
      <c r="F3613" s="40" t="s">
        <v>257</v>
      </c>
      <c r="G3613" s="40" t="s">
        <v>11469</v>
      </c>
      <c r="H3613" s="40" t="s">
        <v>11419</v>
      </c>
    </row>
    <row r="3614">
      <c r="A3614" s="39">
        <f>IFERROR(__xludf.DUMMYFUNCTION("""COMPUTED_VALUE"""),45996.7256158449)</f>
        <v>45996.72562</v>
      </c>
      <c r="B3614" s="40" t="str">
        <f>IFERROR(__xludf.DUMMYFUNCTION("""COMPUTED_VALUE"""),"MARNITHA JUWIKE TIMORATI RUNESI")</f>
        <v>MARNITHA JUWIKE TIMORATI RUNESI</v>
      </c>
      <c r="C3614" s="40" t="str">
        <f>IFERROR(__xludf.DUMMYFUNCTION("""COMPUTED_VALUE"""),"Belum disetujui")</f>
        <v>Belum disetujui</v>
      </c>
      <c r="D3614" s="40"/>
      <c r="E3614" s="40" t="s">
        <v>11420</v>
      </c>
      <c r="F3614" s="40" t="s">
        <v>204</v>
      </c>
      <c r="G3614" s="40" t="s">
        <v>11421</v>
      </c>
      <c r="H3614" s="40" t="s">
        <v>11399</v>
      </c>
    </row>
    <row r="3615">
      <c r="A3615" s="39">
        <f>IFERROR(__xludf.DUMMYFUNCTION("""COMPUTED_VALUE"""),45996.739580625)</f>
        <v>45996.73958</v>
      </c>
      <c r="B3615" s="40" t="str">
        <f>IFERROR(__xludf.DUMMYFUNCTION("""COMPUTED_VALUE"""),"MARNITHA JUWIKE TIMORATI RUNESI")</f>
        <v>MARNITHA JUWIKE TIMORATI RUNESI</v>
      </c>
      <c r="C3615" s="40" t="str">
        <f>IFERROR(__xludf.DUMMYFUNCTION("""COMPUTED_VALUE"""),"Belum disetujui")</f>
        <v>Belum disetujui</v>
      </c>
      <c r="D3615" s="40"/>
      <c r="E3615" s="40" t="s">
        <v>11420</v>
      </c>
      <c r="F3615" s="40" t="s">
        <v>204</v>
      </c>
      <c r="G3615" s="40" t="s">
        <v>11421</v>
      </c>
      <c r="H3615" s="40" t="s">
        <v>11399</v>
      </c>
    </row>
    <row r="3616">
      <c r="A3616" s="39">
        <f>IFERROR(__xludf.DUMMYFUNCTION("""COMPUTED_VALUE"""),45996.77892236111)</f>
        <v>45996.77892</v>
      </c>
      <c r="B3616" s="40" t="str">
        <f>IFERROR(__xludf.DUMMYFUNCTION("""COMPUTED_VALUE"""),"NUR FATIMAH MOLBANG")</f>
        <v>NUR FATIMAH MOLBANG</v>
      </c>
      <c r="C3616" s="40" t="str">
        <f>IFERROR(__xludf.DUMMYFUNCTION("""COMPUTED_VALUE"""),"Belum disetujui")</f>
        <v>Belum disetujui</v>
      </c>
      <c r="D3616" s="40"/>
      <c r="E3616" s="40" t="s">
        <v>11439</v>
      </c>
      <c r="F3616" s="40" t="s">
        <v>313</v>
      </c>
      <c r="G3616" s="40" t="s">
        <v>11440</v>
      </c>
      <c r="H3616" s="40" t="s">
        <v>11424</v>
      </c>
    </row>
    <row r="3617">
      <c r="A3617" s="39">
        <f>IFERROR(__xludf.DUMMYFUNCTION("""COMPUTED_VALUE"""),45996.78195614583)</f>
        <v>45996.78196</v>
      </c>
      <c r="B3617" s="40" t="str">
        <f>IFERROR(__xludf.DUMMYFUNCTION("""COMPUTED_VALUE"""),"BERGITHA NIA OLIN")</f>
        <v>BERGITHA NIA OLIN</v>
      </c>
      <c r="C3617" s="40" t="str">
        <f>IFERROR(__xludf.DUMMYFUNCTION("""COMPUTED_VALUE"""),"Dapat limit tapi belum diproses")</f>
        <v>Dapat limit tapi belum diproses</v>
      </c>
      <c r="D3617" s="40" t="str">
        <f>IFERROR(__xludf.DUMMYFUNCTION("""COMPUTED_VALUE"""),"Y21d series")</f>
        <v>Y21d series</v>
      </c>
      <c r="E3617" s="40" t="s">
        <v>11431</v>
      </c>
      <c r="F3617" s="40" t="s">
        <v>313</v>
      </c>
      <c r="G3617" s="40" t="s">
        <v>11432</v>
      </c>
      <c r="H3617" s="40" t="s">
        <v>11424</v>
      </c>
    </row>
    <row r="3618">
      <c r="A3618" s="39">
        <f>IFERROR(__xludf.DUMMYFUNCTION("""COMPUTED_VALUE"""),45996.78392248842)</f>
        <v>45996.78392</v>
      </c>
      <c r="B3618" s="40" t="str">
        <f>IFERROR(__xludf.DUMMYFUNCTION("""COMPUTED_VALUE"""),"PATRIANI MENGI ULY")</f>
        <v>PATRIANI MENGI ULY</v>
      </c>
      <c r="C3618" s="40" t="str">
        <f>IFERROR(__xludf.DUMMYFUNCTION("""COMPUTED_VALUE"""),"Belum disetujui")</f>
        <v>Belum disetujui</v>
      </c>
      <c r="D3618" s="40"/>
      <c r="E3618" s="40" t="s">
        <v>11402</v>
      </c>
      <c r="F3618" s="40" t="s">
        <v>204</v>
      </c>
      <c r="G3618" s="40" t="s">
        <v>11403</v>
      </c>
      <c r="H3618" s="40" t="s">
        <v>11399</v>
      </c>
    </row>
    <row r="3619">
      <c r="A3619" s="39">
        <f>IFERROR(__xludf.DUMMYFUNCTION("""COMPUTED_VALUE"""),45996.80262891204)</f>
        <v>45996.80263</v>
      </c>
      <c r="B3619" s="40" t="str">
        <f>IFERROR(__xludf.DUMMYFUNCTION("""COMPUTED_VALUE"""),"ESTER LUDJI")</f>
        <v>ESTER LUDJI</v>
      </c>
      <c r="C3619" s="40" t="str">
        <f>IFERROR(__xludf.DUMMYFUNCTION("""COMPUTED_VALUE"""),"ACC")</f>
        <v>ACC</v>
      </c>
      <c r="D3619" s="40" t="str">
        <f>IFERROR(__xludf.DUMMYFUNCTION("""COMPUTED_VALUE"""),"Y21d series")</f>
        <v>Y21d series</v>
      </c>
      <c r="E3619" s="40" t="s">
        <v>11441</v>
      </c>
      <c r="F3619" s="40" t="s">
        <v>205</v>
      </c>
      <c r="G3619" s="40" t="s">
        <v>11442</v>
      </c>
      <c r="H3619" s="40" t="s">
        <v>11419</v>
      </c>
    </row>
    <row r="3620">
      <c r="A3620" s="39">
        <f>IFERROR(__xludf.DUMMYFUNCTION("""COMPUTED_VALUE"""),45996.812503657406)</f>
        <v>45996.8125</v>
      </c>
      <c r="B3620" s="40" t="str">
        <f>IFERROR(__xludf.DUMMYFUNCTION("""COMPUTED_VALUE"""),"DEWI RAHMAN")</f>
        <v>DEWI RAHMAN</v>
      </c>
      <c r="C3620" s="40" t="str">
        <f>IFERROR(__xludf.DUMMYFUNCTION("""COMPUTED_VALUE"""),"ACC")</f>
        <v>ACC</v>
      </c>
      <c r="D3620" s="40" t="str">
        <f>IFERROR(__xludf.DUMMYFUNCTION("""COMPUTED_VALUE"""),"Y400 series")</f>
        <v>Y400 series</v>
      </c>
      <c r="E3620" s="40" t="s">
        <v>11449</v>
      </c>
      <c r="F3620" s="40" t="s">
        <v>11450</v>
      </c>
      <c r="G3620" s="40" t="s">
        <v>11451</v>
      </c>
      <c r="H3620" s="40" t="s">
        <v>11424</v>
      </c>
    </row>
    <row r="3621">
      <c r="A3621" s="39">
        <f>IFERROR(__xludf.DUMMYFUNCTION("""COMPUTED_VALUE"""),45996.82035685185)</f>
        <v>45996.82036</v>
      </c>
      <c r="B3621" s="40" t="str">
        <f>IFERROR(__xludf.DUMMYFUNCTION("""COMPUTED_VALUE"""),"MEXY ALEXANDER HETMINA")</f>
        <v>MEXY ALEXANDER HETMINA</v>
      </c>
      <c r="C3621" s="40" t="str">
        <f>IFERROR(__xludf.DUMMYFUNCTION("""COMPUTED_VALUE"""),"Belum disetujui")</f>
        <v>Belum disetujui</v>
      </c>
      <c r="D3621" s="40"/>
      <c r="E3621" s="40" t="s">
        <v>11413</v>
      </c>
      <c r="F3621" s="40" t="s">
        <v>204</v>
      </c>
      <c r="G3621" s="40" t="s">
        <v>11414</v>
      </c>
      <c r="H3621" s="40" t="s">
        <v>11399</v>
      </c>
    </row>
    <row r="3622">
      <c r="A3622" s="39">
        <f>IFERROR(__xludf.DUMMYFUNCTION("""COMPUTED_VALUE"""),45996.820818900465)</f>
        <v>45996.82082</v>
      </c>
      <c r="B3622" s="40" t="str">
        <f>IFERROR(__xludf.DUMMYFUNCTION("""COMPUTED_VALUE"""),"ADRIANA")</f>
        <v>ADRIANA</v>
      </c>
      <c r="C3622" s="40" t="str">
        <f>IFERROR(__xludf.DUMMYFUNCTION("""COMPUTED_VALUE"""),"Dapat limit tapi belum diproses")</f>
        <v>Dapat limit tapi belum diproses</v>
      </c>
      <c r="D3622" s="40" t="str">
        <f>IFERROR(__xludf.DUMMYFUNCTION("""COMPUTED_VALUE"""),"V60 series")</f>
        <v>V60 series</v>
      </c>
      <c r="E3622" s="40" t="s">
        <v>11433</v>
      </c>
      <c r="F3622" s="40" t="s">
        <v>313</v>
      </c>
      <c r="G3622" s="40" t="s">
        <v>11434</v>
      </c>
      <c r="H3622" s="40" t="s">
        <v>11424</v>
      </c>
    </row>
    <row r="3623">
      <c r="A3623" s="39">
        <f>IFERROR(__xludf.DUMMYFUNCTION("""COMPUTED_VALUE"""),45996.82265112269)</f>
        <v>45996.82265</v>
      </c>
      <c r="B3623" s="40" t="str">
        <f>IFERROR(__xludf.DUMMYFUNCTION("""COMPUTED_VALUE"""),"ADRIANA")</f>
        <v>ADRIANA</v>
      </c>
      <c r="C3623" s="40" t="str">
        <f>IFERROR(__xludf.DUMMYFUNCTION("""COMPUTED_VALUE"""),"Dapat limit tapi belum diproses")</f>
        <v>Dapat limit tapi belum diproses</v>
      </c>
      <c r="D3623" s="40" t="str">
        <f>IFERROR(__xludf.DUMMYFUNCTION("""COMPUTED_VALUE"""),"Y21d series")</f>
        <v>Y21d series</v>
      </c>
      <c r="E3623" s="40" t="s">
        <v>11433</v>
      </c>
      <c r="F3623" s="40" t="s">
        <v>313</v>
      </c>
      <c r="G3623" s="40" t="s">
        <v>11434</v>
      </c>
      <c r="H3623" s="40" t="s">
        <v>11424</v>
      </c>
    </row>
    <row r="3624">
      <c r="A3624" s="39">
        <f>IFERROR(__xludf.DUMMYFUNCTION("""COMPUTED_VALUE"""),45996.83367738426)</f>
        <v>45996.83368</v>
      </c>
      <c r="B3624" s="40" t="str">
        <f>IFERROR(__xludf.DUMMYFUNCTION("""COMPUTED_VALUE"""),"ANITA ANA AMAH")</f>
        <v>ANITA ANA AMAH</v>
      </c>
      <c r="C3624" s="40" t="str">
        <f>IFERROR(__xludf.DUMMYFUNCTION("""COMPUTED_VALUE"""),"Belum disetujui")</f>
        <v>Belum disetujui</v>
      </c>
      <c r="D3624" s="40"/>
      <c r="E3624" s="40" t="s">
        <v>11425</v>
      </c>
      <c r="F3624" s="40" t="s">
        <v>205</v>
      </c>
      <c r="G3624" s="40" t="s">
        <v>11426</v>
      </c>
      <c r="H3624" s="40" t="s">
        <v>11419</v>
      </c>
    </row>
    <row r="3625">
      <c r="A3625" s="39">
        <f>IFERROR(__xludf.DUMMYFUNCTION("""COMPUTED_VALUE"""),45996.860518217596)</f>
        <v>45996.86052</v>
      </c>
      <c r="B3625" s="40" t="str">
        <f>IFERROR(__xludf.DUMMYFUNCTION("""COMPUTED_VALUE"""),"EMPI FRANGKI LIEM")</f>
        <v>EMPI FRANGKI LIEM</v>
      </c>
      <c r="C3625" s="40" t="str">
        <f>IFERROR(__xludf.DUMMYFUNCTION("""COMPUTED_VALUE"""),"ACC")</f>
        <v>ACC</v>
      </c>
      <c r="D3625" s="40" t="str">
        <f>IFERROR(__xludf.DUMMYFUNCTION("""COMPUTED_VALUE"""),"Y400 series")</f>
        <v>Y400 series</v>
      </c>
      <c r="E3625" s="40" t="s">
        <v>11397</v>
      </c>
      <c r="F3625" s="40" t="s">
        <v>220</v>
      </c>
      <c r="G3625" s="40" t="s">
        <v>11398</v>
      </c>
      <c r="H3625" s="40" t="s">
        <v>11399</v>
      </c>
    </row>
    <row r="3626">
      <c r="A3626" s="39">
        <f>IFERROR(__xludf.DUMMYFUNCTION("""COMPUTED_VALUE"""),45996.86687740741)</f>
        <v>45996.86688</v>
      </c>
      <c r="B3626" s="40" t="str">
        <f>IFERROR(__xludf.DUMMYFUNCTION("""COMPUTED_VALUE"""),"ANAK AGUNG SRI WULANTIWI")</f>
        <v>ANAK AGUNG SRI WULANTIWI</v>
      </c>
      <c r="C3626" s="40" t="str">
        <f>IFERROR(__xludf.DUMMYFUNCTION("""COMPUTED_VALUE"""),"ACC")</f>
        <v>ACC</v>
      </c>
      <c r="D3626" s="40" t="str">
        <f>IFERROR(__xludf.DUMMYFUNCTION("""COMPUTED_VALUE"""),"Y21d series")</f>
        <v>Y21d series</v>
      </c>
      <c r="E3626" s="40" t="s">
        <v>11492</v>
      </c>
      <c r="F3626" s="40" t="s">
        <v>205</v>
      </c>
      <c r="G3626" s="40" t="s">
        <v>11493</v>
      </c>
      <c r="H3626" s="40" t="s">
        <v>11419</v>
      </c>
    </row>
    <row r="3627">
      <c r="A3627" s="39">
        <f>IFERROR(__xludf.DUMMYFUNCTION("""COMPUTED_VALUE"""),45996.88487090277)</f>
        <v>45996.88487</v>
      </c>
      <c r="B3627" s="40" t="str">
        <f>IFERROR(__xludf.DUMMYFUNCTION("""COMPUTED_VALUE"""),"AINI RAHMATINI NATALIA MOESTAKIM")</f>
        <v>AINI RAHMATINI NATALIA MOESTAKIM</v>
      </c>
      <c r="C3627" s="40" t="str">
        <f>IFERROR(__xludf.DUMMYFUNCTION("""COMPUTED_VALUE"""),"Belum disetujui")</f>
        <v>Belum disetujui</v>
      </c>
      <c r="D3627" s="40"/>
      <c r="E3627" s="40" t="s">
        <v>11409</v>
      </c>
      <c r="F3627" s="40" t="s">
        <v>204</v>
      </c>
      <c r="G3627" s="40" t="s">
        <v>11410</v>
      </c>
      <c r="H3627" s="40" t="s">
        <v>11399</v>
      </c>
    </row>
    <row r="3628">
      <c r="A3628" s="39">
        <f>IFERROR(__xludf.DUMMYFUNCTION("""COMPUTED_VALUE"""),45996.88855224537)</f>
        <v>45996.88855</v>
      </c>
      <c r="B3628" s="40" t="str">
        <f>IFERROR(__xludf.DUMMYFUNCTION("""COMPUTED_VALUE"""),"AINI RAHMATINI NATALIA MOESTAKIM")</f>
        <v>AINI RAHMATINI NATALIA MOESTAKIM</v>
      </c>
      <c r="C3628" s="40" t="str">
        <f>IFERROR(__xludf.DUMMYFUNCTION("""COMPUTED_VALUE"""),"Belum disetujui")</f>
        <v>Belum disetujui</v>
      </c>
      <c r="D3628" s="40"/>
      <c r="E3628" s="40" t="s">
        <v>11409</v>
      </c>
      <c r="F3628" s="40" t="s">
        <v>204</v>
      </c>
      <c r="G3628" s="40" t="s">
        <v>11410</v>
      </c>
      <c r="H3628" s="40" t="s">
        <v>11399</v>
      </c>
    </row>
    <row r="3629">
      <c r="A3629" s="39">
        <f>IFERROR(__xludf.DUMMYFUNCTION("""COMPUTED_VALUE"""),45996.952081944444)</f>
        <v>45996.95208</v>
      </c>
      <c r="B3629" s="40" t="str">
        <f>IFERROR(__xludf.DUMMYFUNCTION("""COMPUTED_VALUE"""),"ANYARMITHA SOPHIA SUEK")</f>
        <v>ANYARMITHA SOPHIA SUEK</v>
      </c>
      <c r="C3629" s="40" t="str">
        <f>IFERROR(__xludf.DUMMYFUNCTION("""COMPUTED_VALUE"""),"Belum disetujui")</f>
        <v>Belum disetujui</v>
      </c>
      <c r="D3629" s="40"/>
      <c r="E3629" s="40" t="s">
        <v>11443</v>
      </c>
      <c r="F3629" s="40" t="s">
        <v>220</v>
      </c>
      <c r="G3629" s="40" t="s">
        <v>11444</v>
      </c>
      <c r="H3629" s="40" t="s">
        <v>11399</v>
      </c>
    </row>
    <row r="3630">
      <c r="A3630" s="39">
        <f>IFERROR(__xludf.DUMMYFUNCTION("""COMPUTED_VALUE"""),45997.42670952546)</f>
        <v>45997.42671</v>
      </c>
      <c r="B3630" s="40" t="str">
        <f>IFERROR(__xludf.DUMMYFUNCTION("""COMPUTED_VALUE"""),"DEWI RAHMAN")</f>
        <v>DEWI RAHMAN</v>
      </c>
      <c r="C3630" s="40" t="str">
        <f>IFERROR(__xludf.DUMMYFUNCTION("""COMPUTED_VALUE"""),"ACC")</f>
        <v>ACC</v>
      </c>
      <c r="D3630" s="40" t="str">
        <f>IFERROR(__xludf.DUMMYFUNCTION("""COMPUTED_VALUE"""),"Y21d series")</f>
        <v>Y21d series</v>
      </c>
      <c r="E3630" s="40" t="s">
        <v>11449</v>
      </c>
      <c r="F3630" s="40" t="s">
        <v>11450</v>
      </c>
      <c r="G3630" s="40" t="s">
        <v>11451</v>
      </c>
      <c r="H3630" s="40" t="s">
        <v>11424</v>
      </c>
    </row>
    <row r="3631">
      <c r="A3631" s="39">
        <f>IFERROR(__xludf.DUMMYFUNCTION("""COMPUTED_VALUE"""),45997.43634043981)</f>
        <v>45997.43634</v>
      </c>
      <c r="B3631" s="40" t="str">
        <f>IFERROR(__xludf.DUMMYFUNCTION("""COMPUTED_VALUE"""),"ALDIANA WELIA PANIE")</f>
        <v>ALDIANA WELIA PANIE</v>
      </c>
      <c r="C3631" s="40" t="str">
        <f>IFERROR(__xludf.DUMMYFUNCTION("""COMPUTED_VALUE"""),"Belum disetujui")</f>
        <v>Belum disetujui</v>
      </c>
      <c r="D3631" s="40"/>
      <c r="E3631" s="40" t="s">
        <v>11422</v>
      </c>
      <c r="F3631" s="40" t="s">
        <v>215</v>
      </c>
      <c r="G3631" s="40" t="s">
        <v>11423</v>
      </c>
      <c r="H3631" s="40" t="s">
        <v>11424</v>
      </c>
    </row>
    <row r="3632">
      <c r="A3632" s="39">
        <f>IFERROR(__xludf.DUMMYFUNCTION("""COMPUTED_VALUE"""),45997.45388079861)</f>
        <v>45997.45388</v>
      </c>
      <c r="B3632" s="40" t="str">
        <f>IFERROR(__xludf.DUMMYFUNCTION("""COMPUTED_VALUE"""),"NUR FATIMAH MOLBANG")</f>
        <v>NUR FATIMAH MOLBANG</v>
      </c>
      <c r="C3632" s="40" t="str">
        <f>IFERROR(__xludf.DUMMYFUNCTION("""COMPUTED_VALUE"""),"Belum disetujui")</f>
        <v>Belum disetujui</v>
      </c>
      <c r="D3632" s="40"/>
      <c r="E3632" s="40" t="s">
        <v>11439</v>
      </c>
      <c r="F3632" s="40" t="s">
        <v>313</v>
      </c>
      <c r="G3632" s="40" t="s">
        <v>11440</v>
      </c>
      <c r="H3632" s="40" t="s">
        <v>11424</v>
      </c>
    </row>
    <row r="3633">
      <c r="A3633" s="39">
        <f>IFERROR(__xludf.DUMMYFUNCTION("""COMPUTED_VALUE"""),45997.473387696766)</f>
        <v>45997.47339</v>
      </c>
      <c r="B3633" s="40" t="str">
        <f>IFERROR(__xludf.DUMMYFUNCTION("""COMPUTED_VALUE"""),"AMBU BAIQ JUMENAH")</f>
        <v>AMBU BAIQ JUMENAH</v>
      </c>
      <c r="C3633" s="40" t="str">
        <f>IFERROR(__xludf.DUMMYFUNCTION("""COMPUTED_VALUE"""),"Belum disetujui")</f>
        <v>Belum disetujui</v>
      </c>
      <c r="D3633" s="40"/>
      <c r="E3633" s="40" t="s">
        <v>11458</v>
      </c>
      <c r="F3633" s="40" t="s">
        <v>205</v>
      </c>
      <c r="G3633" s="40" t="s">
        <v>11459</v>
      </c>
      <c r="H3633" s="40" t="s">
        <v>11419</v>
      </c>
    </row>
    <row r="3634">
      <c r="A3634" s="39">
        <f>IFERROR(__xludf.DUMMYFUNCTION("""COMPUTED_VALUE"""),45997.47649857639)</f>
        <v>45997.4765</v>
      </c>
      <c r="B3634" s="40" t="str">
        <f>IFERROR(__xludf.DUMMYFUNCTION("""COMPUTED_VALUE"""),"MARIA MELAN ANANCE BILI")</f>
        <v>MARIA MELAN ANANCE BILI</v>
      </c>
      <c r="C3634" s="40" t="str">
        <f>IFERROR(__xludf.DUMMYFUNCTION("""COMPUTED_VALUE"""),"Belum disetujui")</f>
        <v>Belum disetujui</v>
      </c>
      <c r="D3634" s="40"/>
      <c r="E3634" s="40" t="s">
        <v>11466</v>
      </c>
      <c r="F3634" s="40" t="s">
        <v>257</v>
      </c>
      <c r="G3634" s="40" t="s">
        <v>11467</v>
      </c>
      <c r="H3634" s="40" t="s">
        <v>11419</v>
      </c>
    </row>
    <row r="3635">
      <c r="A3635" s="39">
        <f>IFERROR(__xludf.DUMMYFUNCTION("""COMPUTED_VALUE"""),45997.47819037037)</f>
        <v>45997.47819</v>
      </c>
      <c r="B3635" s="40" t="str">
        <f>IFERROR(__xludf.DUMMYFUNCTION("""COMPUTED_VALUE"""),"YOVANDA KATRINA NAE")</f>
        <v>YOVANDA KATRINA NAE</v>
      </c>
      <c r="C3635" s="40" t="str">
        <f>IFERROR(__xludf.DUMMYFUNCTION("""COMPUTED_VALUE"""),"Belum disetujui")</f>
        <v>Belum disetujui</v>
      </c>
      <c r="D3635" s="40"/>
      <c r="E3635" s="40" t="s">
        <v>11425</v>
      </c>
      <c r="F3635" s="40" t="s">
        <v>205</v>
      </c>
      <c r="G3635" s="40" t="s">
        <v>11426</v>
      </c>
      <c r="H3635" s="40" t="s">
        <v>11419</v>
      </c>
    </row>
    <row r="3636">
      <c r="A3636" s="39">
        <f>IFERROR(__xludf.DUMMYFUNCTION("""COMPUTED_VALUE"""),45997.483259733795)</f>
        <v>45997.48326</v>
      </c>
      <c r="B3636" s="40" t="str">
        <f>IFERROR(__xludf.DUMMYFUNCTION("""COMPUTED_VALUE"""),"EMPI FRANGKI LIEM")</f>
        <v>EMPI FRANGKI LIEM</v>
      </c>
      <c r="C3636" s="40" t="str">
        <f>IFERROR(__xludf.DUMMYFUNCTION("""COMPUTED_VALUE"""),"Dapat limit tapi belum diproses")</f>
        <v>Dapat limit tapi belum diproses</v>
      </c>
      <c r="D3636" s="40" t="str">
        <f>IFERROR(__xludf.DUMMYFUNCTION("""COMPUTED_VALUE"""),"Y21d series")</f>
        <v>Y21d series</v>
      </c>
      <c r="E3636" s="40" t="s">
        <v>11397</v>
      </c>
      <c r="F3636" s="40" t="s">
        <v>220</v>
      </c>
      <c r="G3636" s="40" t="s">
        <v>11398</v>
      </c>
      <c r="H3636" s="40" t="s">
        <v>11399</v>
      </c>
    </row>
    <row r="3637">
      <c r="A3637" s="39">
        <f>IFERROR(__xludf.DUMMYFUNCTION("""COMPUTED_VALUE"""),45997.48912034722)</f>
        <v>45997.48912</v>
      </c>
      <c r="B3637" s="40" t="str">
        <f>IFERROR(__xludf.DUMMYFUNCTION("""COMPUTED_VALUE"""),"SANTI MARIA LUKMINI NAHAK")</f>
        <v>SANTI MARIA LUKMINI NAHAK</v>
      </c>
      <c r="C3637" s="40" t="str">
        <f>IFERROR(__xludf.DUMMYFUNCTION("""COMPUTED_VALUE"""),"Belum disetujui")</f>
        <v>Belum disetujui</v>
      </c>
      <c r="D3637" s="40"/>
      <c r="E3637" s="40" t="s">
        <v>11460</v>
      </c>
      <c r="F3637" s="40" t="s">
        <v>871</v>
      </c>
      <c r="G3637" s="40" t="s">
        <v>11461</v>
      </c>
      <c r="H3637" s="40" t="s">
        <v>11424</v>
      </c>
    </row>
    <row r="3638">
      <c r="A3638" s="39">
        <f>IFERROR(__xludf.DUMMYFUNCTION("""COMPUTED_VALUE"""),45997.52438074074)</f>
        <v>45997.52438</v>
      </c>
      <c r="B3638" s="40" t="str">
        <f>IFERROR(__xludf.DUMMYFUNCTION("""COMPUTED_VALUE"""),"ASRI NINGSI RAMBU ATA ENDI")</f>
        <v>ASRI NINGSI RAMBU ATA ENDI</v>
      </c>
      <c r="C3638" s="40" t="str">
        <f>IFERROR(__xludf.DUMMYFUNCTION("""COMPUTED_VALUE"""),"Belum disetujui")</f>
        <v>Belum disetujui</v>
      </c>
      <c r="D3638" s="40"/>
      <c r="E3638" s="40" t="s">
        <v>11441</v>
      </c>
      <c r="F3638" s="40" t="s">
        <v>205</v>
      </c>
      <c r="G3638" s="40" t="s">
        <v>11442</v>
      </c>
      <c r="H3638" s="40" t="s">
        <v>11419</v>
      </c>
    </row>
    <row r="3639">
      <c r="A3639" s="39">
        <f>IFERROR(__xludf.DUMMYFUNCTION("""COMPUTED_VALUE"""),45997.53753247685)</f>
        <v>45997.53753</v>
      </c>
      <c r="B3639" s="40" t="str">
        <f>IFERROR(__xludf.DUMMYFUNCTION("""COMPUTED_VALUE"""),"ARMINDA TEKU MANEK")</f>
        <v>ARMINDA TEKU MANEK</v>
      </c>
      <c r="C3639" s="40" t="str">
        <f>IFERROR(__xludf.DUMMYFUNCTION("""COMPUTED_VALUE"""),"Belum disetujui")</f>
        <v>Belum disetujui</v>
      </c>
      <c r="D3639" s="40"/>
      <c r="E3639" s="40" t="s">
        <v>11474</v>
      </c>
      <c r="F3639" s="40" t="s">
        <v>313</v>
      </c>
      <c r="G3639" s="40" t="s">
        <v>11475</v>
      </c>
      <c r="H3639" s="40" t="s">
        <v>11424</v>
      </c>
    </row>
    <row r="3640">
      <c r="A3640" s="39">
        <f>IFERROR(__xludf.DUMMYFUNCTION("""COMPUTED_VALUE"""),45997.538390127316)</f>
        <v>45997.53839</v>
      </c>
      <c r="B3640" s="40" t="str">
        <f>IFERROR(__xludf.DUMMYFUNCTION("""COMPUTED_VALUE"""),"YUNITA TAMELAB")</f>
        <v>YUNITA TAMELAB</v>
      </c>
      <c r="C3640" s="40" t="str">
        <f>IFERROR(__xludf.DUMMYFUNCTION("""COMPUTED_VALUE"""),"Belum disetujui")</f>
        <v>Belum disetujui</v>
      </c>
      <c r="D3640" s="40"/>
      <c r="E3640" s="40" t="s">
        <v>11472</v>
      </c>
      <c r="F3640" s="40" t="s">
        <v>667</v>
      </c>
      <c r="G3640" s="40" t="s">
        <v>11473</v>
      </c>
      <c r="H3640" s="40" t="s">
        <v>11424</v>
      </c>
    </row>
    <row r="3641">
      <c r="A3641" s="39">
        <f>IFERROR(__xludf.DUMMYFUNCTION("""COMPUTED_VALUE"""),45997.54011241898)</f>
        <v>45997.54011</v>
      </c>
      <c r="B3641" s="40" t="str">
        <f>IFERROR(__xludf.DUMMYFUNCTION("""COMPUTED_VALUE"""),"MARATHA MARLINDA FANGGIDAE")</f>
        <v>MARATHA MARLINDA FANGGIDAE</v>
      </c>
      <c r="C3641" s="40" t="str">
        <f>IFERROR(__xludf.DUMMYFUNCTION("""COMPUTED_VALUE"""),"ACC")</f>
        <v>ACC</v>
      </c>
      <c r="D3641" s="40" t="str">
        <f>IFERROR(__xludf.DUMMYFUNCTION("""COMPUTED_VALUE"""),"Y21d series")</f>
        <v>Y21d series</v>
      </c>
      <c r="E3641" s="40" t="s">
        <v>11435</v>
      </c>
      <c r="F3641" s="40" t="s">
        <v>215</v>
      </c>
      <c r="G3641" s="40" t="s">
        <v>11436</v>
      </c>
      <c r="H3641" s="40" t="s">
        <v>11424</v>
      </c>
    </row>
    <row r="3642">
      <c r="A3642" s="39">
        <f>IFERROR(__xludf.DUMMYFUNCTION("""COMPUTED_VALUE"""),45997.54388253473)</f>
        <v>45997.54388</v>
      </c>
      <c r="B3642" s="40" t="str">
        <f>IFERROR(__xludf.DUMMYFUNCTION("""COMPUTED_VALUE"""),"ASRI NINGSI RAMBU ATA ENDI")</f>
        <v>ASRI NINGSI RAMBU ATA ENDI</v>
      </c>
      <c r="C3642" s="40" t="str">
        <f>IFERROR(__xludf.DUMMYFUNCTION("""COMPUTED_VALUE"""),"Belum disetujui")</f>
        <v>Belum disetujui</v>
      </c>
      <c r="D3642" s="40"/>
      <c r="E3642" s="40" t="s">
        <v>11441</v>
      </c>
      <c r="F3642" s="40" t="s">
        <v>205</v>
      </c>
      <c r="G3642" s="40" t="s">
        <v>11442</v>
      </c>
      <c r="H3642" s="40" t="s">
        <v>11419</v>
      </c>
    </row>
    <row r="3643">
      <c r="A3643" s="39">
        <f>IFERROR(__xludf.DUMMYFUNCTION("""COMPUTED_VALUE"""),45997.55861313658)</f>
        <v>45997.55861</v>
      </c>
      <c r="B3643" s="40" t="str">
        <f>IFERROR(__xludf.DUMMYFUNCTION("""COMPUTED_VALUE"""),"YOVANDA KATRINA NAE")</f>
        <v>YOVANDA KATRINA NAE</v>
      </c>
      <c r="C3643" s="40" t="str">
        <f>IFERROR(__xludf.DUMMYFUNCTION("""COMPUTED_VALUE"""),"ACC")</f>
        <v>ACC</v>
      </c>
      <c r="D3643" s="40" t="str">
        <f>IFERROR(__xludf.DUMMYFUNCTION("""COMPUTED_VALUE"""),"Y400 series")</f>
        <v>Y400 series</v>
      </c>
      <c r="E3643" s="40" t="s">
        <v>11425</v>
      </c>
      <c r="F3643" s="40" t="s">
        <v>205</v>
      </c>
      <c r="G3643" s="40" t="s">
        <v>11426</v>
      </c>
      <c r="H3643" s="40" t="s">
        <v>11419</v>
      </c>
    </row>
    <row r="3644">
      <c r="A3644" s="39">
        <f>IFERROR(__xludf.DUMMYFUNCTION("""COMPUTED_VALUE"""),45997.56815574074)</f>
        <v>45997.56816</v>
      </c>
      <c r="B3644" s="40" t="str">
        <f>IFERROR(__xludf.DUMMYFUNCTION("""COMPUTED_VALUE"""),"NUR FATIMAH MOLBANG")</f>
        <v>NUR FATIMAH MOLBANG</v>
      </c>
      <c r="C3644" s="40" t="str">
        <f>IFERROR(__xludf.DUMMYFUNCTION("""COMPUTED_VALUE"""),"ACC")</f>
        <v>ACC</v>
      </c>
      <c r="D3644" s="40" t="str">
        <f>IFERROR(__xludf.DUMMYFUNCTION("""COMPUTED_VALUE"""),"Y21d series")</f>
        <v>Y21d series</v>
      </c>
      <c r="E3644" s="40" t="s">
        <v>11439</v>
      </c>
      <c r="F3644" s="40" t="s">
        <v>313</v>
      </c>
      <c r="G3644" s="40" t="s">
        <v>11440</v>
      </c>
      <c r="H3644" s="40" t="s">
        <v>11424</v>
      </c>
    </row>
    <row r="3645">
      <c r="A3645" s="39">
        <f>IFERROR(__xludf.DUMMYFUNCTION("""COMPUTED_VALUE"""),45997.57805881944)</f>
        <v>45997.57806</v>
      </c>
      <c r="B3645" s="40" t="str">
        <f>IFERROR(__xludf.DUMMYFUNCTION("""COMPUTED_VALUE"""),"KESIA NATALIA I. BENU")</f>
        <v>KESIA NATALIA I. BENU</v>
      </c>
      <c r="C3645" s="40" t="str">
        <f>IFERROR(__xludf.DUMMYFUNCTION("""COMPUTED_VALUE"""),"ACC")</f>
        <v>ACC</v>
      </c>
      <c r="D3645" s="40" t="str">
        <f>IFERROR(__xludf.DUMMYFUNCTION("""COMPUTED_VALUE"""),"Y21d series")</f>
        <v>Y21d series</v>
      </c>
      <c r="E3645" s="40" t="s">
        <v>11417</v>
      </c>
      <c r="F3645" s="40" t="s">
        <v>257</v>
      </c>
      <c r="G3645" s="40" t="s">
        <v>11418</v>
      </c>
      <c r="H3645" s="40" t="s">
        <v>11419</v>
      </c>
    </row>
    <row r="3646">
      <c r="A3646" s="39">
        <f>IFERROR(__xludf.DUMMYFUNCTION("""COMPUTED_VALUE"""),45997.587457407404)</f>
        <v>45997.58746</v>
      </c>
      <c r="B3646" s="40" t="str">
        <f>IFERROR(__xludf.DUMMYFUNCTION("""COMPUTED_VALUE"""),"ANITA ANA AMAH")</f>
        <v>ANITA ANA AMAH</v>
      </c>
      <c r="C3646" s="40" t="str">
        <f>IFERROR(__xludf.DUMMYFUNCTION("""COMPUTED_VALUE"""),"Belum disetujui")</f>
        <v>Belum disetujui</v>
      </c>
      <c r="D3646" s="40"/>
      <c r="E3646" s="40" t="s">
        <v>11425</v>
      </c>
      <c r="F3646" s="40" t="s">
        <v>205</v>
      </c>
      <c r="G3646" s="40" t="s">
        <v>11426</v>
      </c>
      <c r="H3646" s="40" t="s">
        <v>11419</v>
      </c>
    </row>
    <row r="3647">
      <c r="A3647" s="39">
        <f>IFERROR(__xludf.DUMMYFUNCTION("""COMPUTED_VALUE"""),45997.60909131944)</f>
        <v>45997.60909</v>
      </c>
      <c r="B3647" s="40" t="str">
        <f>IFERROR(__xludf.DUMMYFUNCTION("""COMPUTED_VALUE"""),"NABILA RAHMAWATI")</f>
        <v>NABILA RAHMAWATI</v>
      </c>
      <c r="C3647" s="40" t="str">
        <f>IFERROR(__xludf.DUMMYFUNCTION("""COMPUTED_VALUE"""),"ACC")</f>
        <v>ACC</v>
      </c>
      <c r="D3647" s="40" t="str">
        <f>IFERROR(__xludf.DUMMYFUNCTION("""COMPUTED_VALUE"""),"Y21d series")</f>
        <v>Y21d series</v>
      </c>
      <c r="E3647" s="40" t="s">
        <v>11464</v>
      </c>
      <c r="F3647" s="40" t="s">
        <v>257</v>
      </c>
      <c r="G3647" s="40" t="s">
        <v>11465</v>
      </c>
      <c r="H3647" s="40" t="s">
        <v>11419</v>
      </c>
    </row>
    <row r="3648">
      <c r="A3648" s="39">
        <f>IFERROR(__xludf.DUMMYFUNCTION("""COMPUTED_VALUE"""),45997.61122976852)</f>
        <v>45997.61123</v>
      </c>
      <c r="B3648" s="40" t="str">
        <f>IFERROR(__xludf.DUMMYFUNCTION("""COMPUTED_VALUE"""),"NABILA RAHMAWATI")</f>
        <v>NABILA RAHMAWATI</v>
      </c>
      <c r="C3648" s="40" t="str">
        <f>IFERROR(__xludf.DUMMYFUNCTION("""COMPUTED_VALUE"""),"Belum disetujui")</f>
        <v>Belum disetujui</v>
      </c>
      <c r="D3648" s="40"/>
      <c r="E3648" s="40" t="s">
        <v>11464</v>
      </c>
      <c r="F3648" s="40" t="s">
        <v>257</v>
      </c>
      <c r="G3648" s="40" t="s">
        <v>11465</v>
      </c>
      <c r="H3648" s="40" t="s">
        <v>11419</v>
      </c>
    </row>
    <row r="3649">
      <c r="A3649" s="39">
        <f>IFERROR(__xludf.DUMMYFUNCTION("""COMPUTED_VALUE"""),45997.624714259255)</f>
        <v>45997.62471</v>
      </c>
      <c r="B3649" s="40" t="str">
        <f>IFERROR(__xludf.DUMMYFUNCTION("""COMPUTED_VALUE"""),"AZ ZAHRA SITI ZAINAB")</f>
        <v>AZ ZAHRA SITI ZAINAB</v>
      </c>
      <c r="C3649" s="40" t="str">
        <f>IFERROR(__xludf.DUMMYFUNCTION("""COMPUTED_VALUE"""),"ACC")</f>
        <v>ACC</v>
      </c>
      <c r="D3649" s="40" t="str">
        <f>IFERROR(__xludf.DUMMYFUNCTION("""COMPUTED_VALUE"""),"Y400 series")</f>
        <v>Y400 series</v>
      </c>
      <c r="E3649" s="40" t="s">
        <v>11462</v>
      </c>
      <c r="F3649" s="40" t="s">
        <v>257</v>
      </c>
      <c r="G3649" s="40" t="s">
        <v>11463</v>
      </c>
      <c r="H3649" s="40" t="s">
        <v>11419</v>
      </c>
    </row>
    <row r="3650">
      <c r="A3650" s="39">
        <f>IFERROR(__xludf.DUMMYFUNCTION("""COMPUTED_VALUE"""),45997.633663043984)</f>
        <v>45997.63366</v>
      </c>
      <c r="B3650" s="40" t="str">
        <f>IFERROR(__xludf.DUMMYFUNCTION("""COMPUTED_VALUE"""),"YUNITA TAMELAB")</f>
        <v>YUNITA TAMELAB</v>
      </c>
      <c r="C3650" s="40" t="str">
        <f>IFERROR(__xludf.DUMMYFUNCTION("""COMPUTED_VALUE"""),"Belum disetujui")</f>
        <v>Belum disetujui</v>
      </c>
      <c r="D3650" s="40"/>
      <c r="E3650" s="40" t="s">
        <v>11472</v>
      </c>
      <c r="F3650" s="40" t="s">
        <v>667</v>
      </c>
      <c r="G3650" s="40" t="s">
        <v>11473</v>
      </c>
      <c r="H3650" s="40" t="s">
        <v>11424</v>
      </c>
    </row>
    <row r="3651">
      <c r="A3651" s="39">
        <f>IFERROR(__xludf.DUMMYFUNCTION("""COMPUTED_VALUE"""),45997.64939474537)</f>
        <v>45997.64939</v>
      </c>
      <c r="B3651" s="40" t="str">
        <f>IFERROR(__xludf.DUMMYFUNCTION("""COMPUTED_VALUE"""),"YOMELIANA MARIA MAGNO")</f>
        <v>YOMELIANA MARIA MAGNO</v>
      </c>
      <c r="C3651" s="40" t="str">
        <f>IFERROR(__xludf.DUMMYFUNCTION("""COMPUTED_VALUE"""),"Dapat limit tapi belum diproses")</f>
        <v>Dapat limit tapi belum diproses</v>
      </c>
      <c r="D3651" s="40" t="str">
        <f>IFERROR(__xludf.DUMMYFUNCTION("""COMPUTED_VALUE"""),"Y21d series")</f>
        <v>Y21d series</v>
      </c>
      <c r="E3651" s="40" t="s">
        <v>11460</v>
      </c>
      <c r="F3651" s="40" t="s">
        <v>871</v>
      </c>
      <c r="G3651" s="40" t="s">
        <v>11461</v>
      </c>
      <c r="H3651" s="40" t="s">
        <v>11424</v>
      </c>
    </row>
    <row r="3652">
      <c r="A3652" s="39">
        <f>IFERROR(__xludf.DUMMYFUNCTION("""COMPUTED_VALUE"""),45997.68860436343)</f>
        <v>45997.6886</v>
      </c>
      <c r="B3652" s="40" t="str">
        <f>IFERROR(__xludf.DUMMYFUNCTION("""COMPUTED_VALUE"""),"NABILA RAHMAWATI")</f>
        <v>NABILA RAHMAWATI</v>
      </c>
      <c r="C3652" s="40" t="str">
        <f>IFERROR(__xludf.DUMMYFUNCTION("""COMPUTED_VALUE"""),"Belum disetujui")</f>
        <v>Belum disetujui</v>
      </c>
      <c r="D3652" s="40"/>
      <c r="E3652" s="40" t="s">
        <v>11464</v>
      </c>
      <c r="F3652" s="40" t="s">
        <v>257</v>
      </c>
      <c r="G3652" s="40" t="s">
        <v>11465</v>
      </c>
      <c r="H3652" s="40" t="s">
        <v>11419</v>
      </c>
    </row>
    <row r="3653">
      <c r="A3653" s="39">
        <f>IFERROR(__xludf.DUMMYFUNCTION("""COMPUTED_VALUE"""),45997.70555863426)</f>
        <v>45997.70556</v>
      </c>
      <c r="B3653" s="40" t="str">
        <f>IFERROR(__xludf.DUMMYFUNCTION("""COMPUTED_VALUE"""),"MARIA MELAN ANANCE BILI")</f>
        <v>MARIA MELAN ANANCE BILI</v>
      </c>
      <c r="C3653" s="40" t="str">
        <f>IFERROR(__xludf.DUMMYFUNCTION("""COMPUTED_VALUE"""),"Belum disetujui")</f>
        <v>Belum disetujui</v>
      </c>
      <c r="D3653" s="40"/>
      <c r="E3653" s="40" t="s">
        <v>11466</v>
      </c>
      <c r="F3653" s="40" t="s">
        <v>257</v>
      </c>
      <c r="G3653" s="40" t="s">
        <v>11467</v>
      </c>
      <c r="H3653" s="40" t="s">
        <v>11419</v>
      </c>
    </row>
    <row r="3654">
      <c r="A3654" s="39">
        <f>IFERROR(__xludf.DUMMYFUNCTION("""COMPUTED_VALUE"""),45997.7084102662)</f>
        <v>45997.70841</v>
      </c>
      <c r="B3654" s="40" t="str">
        <f>IFERROR(__xludf.DUMMYFUNCTION("""COMPUTED_VALUE"""),"DWITNEY PRETY WANGGANDIMA")</f>
        <v>DWITNEY PRETY WANGGANDIMA</v>
      </c>
      <c r="C3654" s="40" t="str">
        <f>IFERROR(__xludf.DUMMYFUNCTION("""COMPUTED_VALUE"""),"Belum disetujui")</f>
        <v>Belum disetujui</v>
      </c>
      <c r="D3654" s="40"/>
      <c r="E3654" s="40" t="s">
        <v>11443</v>
      </c>
      <c r="F3654" s="40" t="s">
        <v>220</v>
      </c>
      <c r="G3654" s="40" t="s">
        <v>11444</v>
      </c>
      <c r="H3654" s="40" t="s">
        <v>11399</v>
      </c>
    </row>
    <row r="3655">
      <c r="A3655" s="39">
        <f>IFERROR(__xludf.DUMMYFUNCTION("""COMPUTED_VALUE"""),45997.7203117824)</f>
        <v>45997.72031</v>
      </c>
      <c r="B3655" s="40" t="str">
        <f>IFERROR(__xludf.DUMMYFUNCTION("""COMPUTED_VALUE"""),"ESTER LUDJI")</f>
        <v>ESTER LUDJI</v>
      </c>
      <c r="C3655" s="40" t="str">
        <f>IFERROR(__xludf.DUMMYFUNCTION("""COMPUTED_VALUE"""),"ACC")</f>
        <v>ACC</v>
      </c>
      <c r="D3655" s="40" t="str">
        <f>IFERROR(__xludf.DUMMYFUNCTION("""COMPUTED_VALUE"""),"Y400 series")</f>
        <v>Y400 series</v>
      </c>
      <c r="E3655" s="40" t="s">
        <v>11441</v>
      </c>
      <c r="F3655" s="40" t="s">
        <v>205</v>
      </c>
      <c r="G3655" s="40" t="s">
        <v>11442</v>
      </c>
      <c r="H3655" s="40" t="s">
        <v>11419</v>
      </c>
    </row>
    <row r="3656">
      <c r="A3656" s="39">
        <f>IFERROR(__xludf.DUMMYFUNCTION("""COMPUTED_VALUE"""),45997.72850596065)</f>
        <v>45997.72851</v>
      </c>
      <c r="B3656" s="40" t="str">
        <f>IFERROR(__xludf.DUMMYFUNCTION("""COMPUTED_VALUE"""),"WARDIA")</f>
        <v>WARDIA</v>
      </c>
      <c r="C3656" s="40" t="str">
        <f>IFERROR(__xludf.DUMMYFUNCTION("""COMPUTED_VALUE"""),"Belum disetujui")</f>
        <v>Belum disetujui</v>
      </c>
      <c r="D3656" s="40"/>
      <c r="E3656" s="40" t="s">
        <v>11409</v>
      </c>
      <c r="F3656" s="40" t="s">
        <v>204</v>
      </c>
      <c r="G3656" s="40" t="s">
        <v>11410</v>
      </c>
      <c r="H3656" s="40" t="s">
        <v>11399</v>
      </c>
    </row>
    <row r="3657">
      <c r="A3657" s="39">
        <f>IFERROR(__xludf.DUMMYFUNCTION("""COMPUTED_VALUE"""),45997.734667870376)</f>
        <v>45997.73467</v>
      </c>
      <c r="B3657" s="40" t="str">
        <f>IFERROR(__xludf.DUMMYFUNCTION("""COMPUTED_VALUE"""),"ROS YANE KANA LUDJI")</f>
        <v>ROS YANE KANA LUDJI</v>
      </c>
      <c r="C3657" s="40" t="str">
        <f>IFERROR(__xludf.DUMMYFUNCTION("""COMPUTED_VALUE"""),"Belum disetujui")</f>
        <v>Belum disetujui</v>
      </c>
      <c r="D3657" s="40"/>
      <c r="E3657" s="40" t="s">
        <v>11437</v>
      </c>
      <c r="F3657" s="40" t="s">
        <v>204</v>
      </c>
      <c r="G3657" s="40" t="s">
        <v>11438</v>
      </c>
      <c r="H3657" s="40" t="s">
        <v>11399</v>
      </c>
    </row>
    <row r="3658">
      <c r="A3658" s="39">
        <f>IFERROR(__xludf.DUMMYFUNCTION("""COMPUTED_VALUE"""),45997.74531574074)</f>
        <v>45997.74532</v>
      </c>
      <c r="B3658" s="40" t="str">
        <f>IFERROR(__xludf.DUMMYFUNCTION("""COMPUTED_VALUE"""),"ROS YANE KANA LUDJI")</f>
        <v>ROS YANE KANA LUDJI</v>
      </c>
      <c r="C3658" s="40" t="str">
        <f>IFERROR(__xludf.DUMMYFUNCTION("""COMPUTED_VALUE"""),"Belum disetujui")</f>
        <v>Belum disetujui</v>
      </c>
      <c r="D3658" s="40"/>
      <c r="E3658" s="40" t="s">
        <v>11437</v>
      </c>
      <c r="F3658" s="40" t="s">
        <v>204</v>
      </c>
      <c r="G3658" s="40" t="s">
        <v>11438</v>
      </c>
      <c r="H3658" s="40" t="s">
        <v>11399</v>
      </c>
    </row>
    <row r="3659">
      <c r="A3659" s="39">
        <f>IFERROR(__xludf.DUMMYFUNCTION("""COMPUTED_VALUE"""),45997.77187863426)</f>
        <v>45997.77188</v>
      </c>
      <c r="B3659" s="40" t="str">
        <f>IFERROR(__xludf.DUMMYFUNCTION("""COMPUTED_VALUE"""),"WINDRI MANOE")</f>
        <v>WINDRI MANOE</v>
      </c>
      <c r="C3659" s="40" t="str">
        <f>IFERROR(__xludf.DUMMYFUNCTION("""COMPUTED_VALUE"""),"Belum disetujui")</f>
        <v>Belum disetujui</v>
      </c>
      <c r="D3659" s="40"/>
      <c r="E3659" s="40" t="s">
        <v>11443</v>
      </c>
      <c r="F3659" s="40" t="s">
        <v>220</v>
      </c>
      <c r="G3659" s="40" t="s">
        <v>11444</v>
      </c>
      <c r="H3659" s="40" t="s">
        <v>11399</v>
      </c>
    </row>
    <row r="3660">
      <c r="A3660" s="39">
        <f>IFERROR(__xludf.DUMMYFUNCTION("""COMPUTED_VALUE"""),45997.77346552084)</f>
        <v>45997.77347</v>
      </c>
      <c r="B3660" s="40" t="str">
        <f>IFERROR(__xludf.DUMMYFUNCTION("""COMPUTED_VALUE"""),"WINDRI MANOE")</f>
        <v>WINDRI MANOE</v>
      </c>
      <c r="C3660" s="40" t="str">
        <f>IFERROR(__xludf.DUMMYFUNCTION("""COMPUTED_VALUE"""),"Belum disetujui")</f>
        <v>Belum disetujui</v>
      </c>
      <c r="D3660" s="40"/>
      <c r="E3660" s="40" t="s">
        <v>11443</v>
      </c>
      <c r="F3660" s="40" t="s">
        <v>220</v>
      </c>
      <c r="G3660" s="40" t="s">
        <v>11444</v>
      </c>
      <c r="H3660" s="40" t="s">
        <v>11399</v>
      </c>
    </row>
    <row r="3661">
      <c r="A3661" s="39">
        <f>IFERROR(__xludf.DUMMYFUNCTION("""COMPUTED_VALUE"""),45997.77506987268)</f>
        <v>45997.77507</v>
      </c>
      <c r="B3661" s="40" t="str">
        <f>IFERROR(__xludf.DUMMYFUNCTION("""COMPUTED_VALUE"""),"WINDRI MANOE")</f>
        <v>WINDRI MANOE</v>
      </c>
      <c r="C3661" s="40" t="str">
        <f>IFERROR(__xludf.DUMMYFUNCTION("""COMPUTED_VALUE"""),"Belum disetujui")</f>
        <v>Belum disetujui</v>
      </c>
      <c r="D3661" s="40"/>
      <c r="E3661" s="40" t="s">
        <v>11443</v>
      </c>
      <c r="F3661" s="40" t="s">
        <v>220</v>
      </c>
      <c r="G3661" s="40" t="s">
        <v>11444</v>
      </c>
      <c r="H3661" s="40" t="s">
        <v>11399</v>
      </c>
    </row>
    <row r="3662">
      <c r="A3662" s="39">
        <f>IFERROR(__xludf.DUMMYFUNCTION("""COMPUTED_VALUE"""),45997.77668077547)</f>
        <v>45997.77668</v>
      </c>
      <c r="B3662" s="40" t="str">
        <f>IFERROR(__xludf.DUMMYFUNCTION("""COMPUTED_VALUE"""),"WINDRI MANOE")</f>
        <v>WINDRI MANOE</v>
      </c>
      <c r="C3662" s="40" t="str">
        <f>IFERROR(__xludf.DUMMYFUNCTION("""COMPUTED_VALUE"""),"Belum disetujui")</f>
        <v>Belum disetujui</v>
      </c>
      <c r="D3662" s="40"/>
      <c r="E3662" s="40" t="s">
        <v>11443</v>
      </c>
      <c r="F3662" s="40" t="s">
        <v>220</v>
      </c>
      <c r="G3662" s="40" t="s">
        <v>11444</v>
      </c>
      <c r="H3662" s="40" t="s">
        <v>11399</v>
      </c>
    </row>
    <row r="3663">
      <c r="A3663" s="39">
        <f>IFERROR(__xludf.DUMMYFUNCTION("""COMPUTED_VALUE"""),45997.780448564816)</f>
        <v>45997.78045</v>
      </c>
      <c r="B3663" s="40" t="str">
        <f>IFERROR(__xludf.DUMMYFUNCTION("""COMPUTED_VALUE"""),"MARNITHA JUWIKE TIMORATI RUNESI")</f>
        <v>MARNITHA JUWIKE TIMORATI RUNESI</v>
      </c>
      <c r="C3663" s="40" t="str">
        <f>IFERROR(__xludf.DUMMYFUNCTION("""COMPUTED_VALUE"""),"Belum disetujui")</f>
        <v>Belum disetujui</v>
      </c>
      <c r="D3663" s="40"/>
      <c r="E3663" s="40" t="s">
        <v>11420</v>
      </c>
      <c r="F3663" s="40" t="s">
        <v>204</v>
      </c>
      <c r="G3663" s="40" t="s">
        <v>11421</v>
      </c>
      <c r="H3663" s="40" t="s">
        <v>11399</v>
      </c>
    </row>
    <row r="3664">
      <c r="A3664" s="39">
        <f>IFERROR(__xludf.DUMMYFUNCTION("""COMPUTED_VALUE"""),45997.79760498843)</f>
        <v>45997.7976</v>
      </c>
      <c r="B3664" s="40" t="str">
        <f>IFERROR(__xludf.DUMMYFUNCTION("""COMPUTED_VALUE"""),"MEXY ALEXANDER HETMINA")</f>
        <v>MEXY ALEXANDER HETMINA</v>
      </c>
      <c r="C3664" s="40" t="str">
        <f>IFERROR(__xludf.DUMMYFUNCTION("""COMPUTED_VALUE"""),"Belum disetujui")</f>
        <v>Belum disetujui</v>
      </c>
      <c r="D3664" s="40"/>
      <c r="E3664" s="40" t="s">
        <v>11413</v>
      </c>
      <c r="F3664" s="40" t="s">
        <v>204</v>
      </c>
      <c r="G3664" s="40" t="s">
        <v>11414</v>
      </c>
      <c r="H3664" s="40" t="s">
        <v>11399</v>
      </c>
    </row>
    <row r="3665">
      <c r="A3665" s="39">
        <f>IFERROR(__xludf.DUMMYFUNCTION("""COMPUTED_VALUE"""),45997.80201585648)</f>
        <v>45997.80202</v>
      </c>
      <c r="B3665" s="40" t="str">
        <f>IFERROR(__xludf.DUMMYFUNCTION("""COMPUTED_VALUE"""),"WINDRI MANOE")</f>
        <v>WINDRI MANOE</v>
      </c>
      <c r="C3665" s="40" t="str">
        <f>IFERROR(__xludf.DUMMYFUNCTION("""COMPUTED_VALUE"""),"Belum disetujui")</f>
        <v>Belum disetujui</v>
      </c>
      <c r="D3665" s="40"/>
      <c r="E3665" s="40" t="s">
        <v>11443</v>
      </c>
      <c r="F3665" s="40" t="s">
        <v>220</v>
      </c>
      <c r="G3665" s="40" t="s">
        <v>11444</v>
      </c>
      <c r="H3665" s="40" t="s">
        <v>11399</v>
      </c>
    </row>
    <row r="3666">
      <c r="A3666" s="39">
        <f>IFERROR(__xludf.DUMMYFUNCTION("""COMPUTED_VALUE"""),45997.81228100695)</f>
        <v>45997.81228</v>
      </c>
      <c r="B3666" s="40" t="str">
        <f>IFERROR(__xludf.DUMMYFUNCTION("""COMPUTED_VALUE"""),"YOMELIANA MARIA MAGNO")</f>
        <v>YOMELIANA MARIA MAGNO</v>
      </c>
      <c r="C3666" s="40" t="str">
        <f>IFERROR(__xludf.DUMMYFUNCTION("""COMPUTED_VALUE"""),"Dapat limit tapi belum diproses")</f>
        <v>Dapat limit tapi belum diproses</v>
      </c>
      <c r="D3666" s="40" t="str">
        <f>IFERROR(__xludf.DUMMYFUNCTION("""COMPUTED_VALUE"""),"Y21d series")</f>
        <v>Y21d series</v>
      </c>
      <c r="E3666" s="40" t="s">
        <v>11460</v>
      </c>
      <c r="F3666" s="40" t="s">
        <v>871</v>
      </c>
      <c r="G3666" s="40" t="s">
        <v>11461</v>
      </c>
      <c r="H3666" s="40" t="s">
        <v>11424</v>
      </c>
    </row>
    <row r="3667">
      <c r="A3667" s="39">
        <f>IFERROR(__xludf.DUMMYFUNCTION("""COMPUTED_VALUE"""),45997.81609937499)</f>
        <v>45997.8161</v>
      </c>
      <c r="B3667" s="40" t="str">
        <f>IFERROR(__xludf.DUMMYFUNCTION("""COMPUTED_VALUE"""),"YOVANDA KATRINA NAE")</f>
        <v>YOVANDA KATRINA NAE</v>
      </c>
      <c r="C3667" s="40" t="str">
        <f>IFERROR(__xludf.DUMMYFUNCTION("""COMPUTED_VALUE"""),"ACC")</f>
        <v>ACC</v>
      </c>
      <c r="D3667" s="40" t="str">
        <f>IFERROR(__xludf.DUMMYFUNCTION("""COMPUTED_VALUE"""),"Y21d series")</f>
        <v>Y21d series</v>
      </c>
      <c r="E3667" s="40" t="s">
        <v>11425</v>
      </c>
      <c r="F3667" s="40" t="s">
        <v>205</v>
      </c>
      <c r="G3667" s="40" t="s">
        <v>11426</v>
      </c>
      <c r="H3667" s="40" t="s">
        <v>11419</v>
      </c>
    </row>
    <row r="3668">
      <c r="A3668" s="39">
        <f>IFERROR(__xludf.DUMMYFUNCTION("""COMPUTED_VALUE"""),45997.821510393514)</f>
        <v>45997.82151</v>
      </c>
      <c r="B3668" s="40" t="str">
        <f>IFERROR(__xludf.DUMMYFUNCTION("""COMPUTED_VALUE"""),"ADRIANA")</f>
        <v>ADRIANA</v>
      </c>
      <c r="C3668" s="40" t="str">
        <f>IFERROR(__xludf.DUMMYFUNCTION("""COMPUTED_VALUE"""),"Belum disetujui")</f>
        <v>Belum disetujui</v>
      </c>
      <c r="D3668" s="40"/>
      <c r="E3668" s="40" t="s">
        <v>11433</v>
      </c>
      <c r="F3668" s="40" t="s">
        <v>313</v>
      </c>
      <c r="G3668" s="40" t="s">
        <v>11434</v>
      </c>
      <c r="H3668" s="40" t="s">
        <v>11424</v>
      </c>
    </row>
    <row r="3669">
      <c r="A3669" s="39">
        <f>IFERROR(__xludf.DUMMYFUNCTION("""COMPUTED_VALUE"""),45997.828237002315)</f>
        <v>45997.82824</v>
      </c>
      <c r="B3669" s="40" t="str">
        <f>IFERROR(__xludf.DUMMYFUNCTION("""COMPUTED_VALUE"""),"MARNITHA JUWIKE TIMORATI RUNESI")</f>
        <v>MARNITHA JUWIKE TIMORATI RUNESI</v>
      </c>
      <c r="C3669" s="40" t="str">
        <f>IFERROR(__xludf.DUMMYFUNCTION("""COMPUTED_VALUE"""),"Belum disetujui")</f>
        <v>Belum disetujui</v>
      </c>
      <c r="D3669" s="40"/>
      <c r="E3669" s="40" t="s">
        <v>11420</v>
      </c>
      <c r="F3669" s="40" t="s">
        <v>204</v>
      </c>
      <c r="G3669" s="40" t="s">
        <v>11421</v>
      </c>
      <c r="H3669" s="40" t="s">
        <v>11399</v>
      </c>
    </row>
    <row r="3670">
      <c r="A3670" s="39">
        <f>IFERROR(__xludf.DUMMYFUNCTION("""COMPUTED_VALUE"""),45997.83819278935)</f>
        <v>45997.83819</v>
      </c>
      <c r="B3670" s="40" t="str">
        <f>IFERROR(__xludf.DUMMYFUNCTION("""COMPUTED_VALUE"""),"NENY MERLIANTI NA'U")</f>
        <v>NENY MERLIANTI NA'U</v>
      </c>
      <c r="C3670" s="40" t="str">
        <f>IFERROR(__xludf.DUMMYFUNCTION("""COMPUTED_VALUE"""),"Belum disetujui")</f>
        <v>Belum disetujui</v>
      </c>
      <c r="D3670" s="40"/>
      <c r="E3670" s="40" t="s">
        <v>11476</v>
      </c>
      <c r="F3670" s="40" t="s">
        <v>204</v>
      </c>
      <c r="G3670" s="40" t="s">
        <v>11477</v>
      </c>
      <c r="H3670" s="40" t="s">
        <v>11399</v>
      </c>
    </row>
    <row r="3671">
      <c r="A3671" s="39">
        <f>IFERROR(__xludf.DUMMYFUNCTION("""COMPUTED_VALUE"""),45997.846657291666)</f>
        <v>45997.84666</v>
      </c>
      <c r="B3671" s="40" t="str">
        <f>IFERROR(__xludf.DUMMYFUNCTION("""COMPUTED_VALUE"""),"MERDA PUTRI BUNGSU KENAT")</f>
        <v>MERDA PUTRI BUNGSU KENAT</v>
      </c>
      <c r="C3671" s="40" t="str">
        <f>IFERROR(__xludf.DUMMYFUNCTION("""COMPUTED_VALUE"""),"ACC")</f>
        <v>ACC</v>
      </c>
      <c r="D3671" s="40" t="str">
        <f>IFERROR(__xludf.DUMMYFUNCTION("""COMPUTED_VALUE"""),"Y400 series")</f>
        <v>Y400 series</v>
      </c>
      <c r="E3671" s="40" t="s">
        <v>11422</v>
      </c>
      <c r="F3671" s="40" t="s">
        <v>215</v>
      </c>
      <c r="G3671" s="40" t="s">
        <v>11423</v>
      </c>
      <c r="H3671" s="40" t="s">
        <v>11424</v>
      </c>
    </row>
    <row r="3672">
      <c r="A3672" s="39">
        <f>IFERROR(__xludf.DUMMYFUNCTION("""COMPUTED_VALUE"""),45997.857422754634)</f>
        <v>45997.85742</v>
      </c>
      <c r="B3672" s="40" t="str">
        <f>IFERROR(__xludf.DUMMYFUNCTION("""COMPUTED_VALUE"""),"YOHANIS TIPNONI")</f>
        <v>YOHANIS TIPNONI</v>
      </c>
      <c r="C3672" s="40" t="str">
        <f>IFERROR(__xludf.DUMMYFUNCTION("""COMPUTED_VALUE"""),"Belum disetujui")</f>
        <v>Belum disetujui</v>
      </c>
      <c r="D3672" s="40"/>
      <c r="E3672" s="40" t="s">
        <v>11405</v>
      </c>
      <c r="F3672" s="40" t="s">
        <v>220</v>
      </c>
      <c r="G3672" s="40" t="s">
        <v>11406</v>
      </c>
      <c r="H3672" s="40" t="s">
        <v>11399</v>
      </c>
    </row>
    <row r="3673">
      <c r="A3673" s="39">
        <f>IFERROR(__xludf.DUMMYFUNCTION("""COMPUTED_VALUE"""),45997.87732719907)</f>
        <v>45997.87733</v>
      </c>
      <c r="B3673" s="40" t="str">
        <f>IFERROR(__xludf.DUMMYFUNCTION("""COMPUTED_VALUE"""),"TERSIANA KADJA PAU")</f>
        <v>TERSIANA KADJA PAU</v>
      </c>
      <c r="C3673" s="40" t="str">
        <f>IFERROR(__xludf.DUMMYFUNCTION("""COMPUTED_VALUE"""),"Belum disetujui")</f>
        <v>Belum disetujui</v>
      </c>
      <c r="D3673" s="40"/>
      <c r="E3673" s="40" t="s">
        <v>11411</v>
      </c>
      <c r="F3673" s="40" t="s">
        <v>220</v>
      </c>
      <c r="G3673" s="40" t="s">
        <v>11412</v>
      </c>
      <c r="H3673" s="40" t="s">
        <v>11399</v>
      </c>
    </row>
    <row r="3674">
      <c r="A3674" s="39">
        <f>IFERROR(__xludf.DUMMYFUNCTION("""COMPUTED_VALUE"""),45998.48102175926)</f>
        <v>45998.48102</v>
      </c>
      <c r="B3674" s="40" t="str">
        <f>IFERROR(__xludf.DUMMYFUNCTION("""COMPUTED_VALUE"""),"AZ ZAHRA SITI ZAINAB")</f>
        <v>AZ ZAHRA SITI ZAINAB</v>
      </c>
      <c r="C3674" s="40" t="str">
        <f>IFERROR(__xludf.DUMMYFUNCTION("""COMPUTED_VALUE"""),"ACC")</f>
        <v>ACC</v>
      </c>
      <c r="D3674" s="40" t="str">
        <f>IFERROR(__xludf.DUMMYFUNCTION("""COMPUTED_VALUE"""),"Y21d series")</f>
        <v>Y21d series</v>
      </c>
      <c r="E3674" s="40" t="s">
        <v>11462</v>
      </c>
      <c r="F3674" s="40" t="s">
        <v>257</v>
      </c>
      <c r="G3674" s="40" t="s">
        <v>11463</v>
      </c>
      <c r="H3674" s="40" t="s">
        <v>11419</v>
      </c>
    </row>
    <row r="3675">
      <c r="A3675" s="39">
        <f>IFERROR(__xludf.DUMMYFUNCTION("""COMPUTED_VALUE"""),45998.48248009259)</f>
        <v>45998.48248</v>
      </c>
      <c r="B3675" s="40" t="str">
        <f>IFERROR(__xludf.DUMMYFUNCTION("""COMPUTED_VALUE"""),"AZ ZAHRA SITI ZAINAB")</f>
        <v>AZ ZAHRA SITI ZAINAB</v>
      </c>
      <c r="C3675" s="40" t="str">
        <f>IFERROR(__xludf.DUMMYFUNCTION("""COMPUTED_VALUE"""),"Belum disetujui")</f>
        <v>Belum disetujui</v>
      </c>
      <c r="D3675" s="40"/>
      <c r="E3675" s="40" t="s">
        <v>11462</v>
      </c>
      <c r="F3675" s="40" t="s">
        <v>257</v>
      </c>
      <c r="G3675" s="40" t="s">
        <v>11463</v>
      </c>
      <c r="H3675" s="40" t="s">
        <v>11419</v>
      </c>
    </row>
    <row r="3676">
      <c r="A3676" s="39">
        <f>IFERROR(__xludf.DUMMYFUNCTION("""COMPUTED_VALUE"""),45998.64120935186)</f>
        <v>45998.64121</v>
      </c>
      <c r="B3676" s="40" t="str">
        <f>IFERROR(__xludf.DUMMYFUNCTION("""COMPUTED_VALUE"""),"SULIS NURAINI INSYATUN")</f>
        <v>SULIS NURAINI INSYATUN</v>
      </c>
      <c r="C3676" s="40" t="str">
        <f>IFERROR(__xludf.DUMMYFUNCTION("""COMPUTED_VALUE"""),"Belum disetujui")</f>
        <v>Belum disetujui</v>
      </c>
      <c r="D3676" s="40"/>
      <c r="E3676" s="40" t="s">
        <v>11429</v>
      </c>
      <c r="F3676" s="40" t="s">
        <v>257</v>
      </c>
      <c r="G3676" s="40" t="s">
        <v>11430</v>
      </c>
      <c r="H3676" s="40" t="s">
        <v>11419</v>
      </c>
    </row>
    <row r="3677">
      <c r="A3677" s="39">
        <f>IFERROR(__xludf.DUMMYFUNCTION("""COMPUTED_VALUE"""),45998.702564803236)</f>
        <v>45998.70256</v>
      </c>
      <c r="B3677" s="40" t="str">
        <f>IFERROR(__xludf.DUMMYFUNCTION("""COMPUTED_VALUE"""),"AZ ZAHRA SITI ZAINAB")</f>
        <v>AZ ZAHRA SITI ZAINAB</v>
      </c>
      <c r="C3677" s="40" t="str">
        <f>IFERROR(__xludf.DUMMYFUNCTION("""COMPUTED_VALUE"""),"ACC")</f>
        <v>ACC</v>
      </c>
      <c r="D3677" s="40" t="str">
        <f>IFERROR(__xludf.DUMMYFUNCTION("""COMPUTED_VALUE"""),"Y400 series")</f>
        <v>Y400 series</v>
      </c>
      <c r="E3677" s="40" t="s">
        <v>11462</v>
      </c>
      <c r="F3677" s="40" t="s">
        <v>257</v>
      </c>
      <c r="G3677" s="40" t="s">
        <v>11463</v>
      </c>
      <c r="H3677" s="40" t="s">
        <v>11419</v>
      </c>
    </row>
    <row r="3678">
      <c r="A3678" s="39">
        <f>IFERROR(__xludf.DUMMYFUNCTION("""COMPUTED_VALUE"""),45998.7091015625)</f>
        <v>45998.7091</v>
      </c>
      <c r="B3678" s="40" t="str">
        <f>IFERROR(__xludf.DUMMYFUNCTION("""COMPUTED_VALUE"""),"ESTER LUDJI")</f>
        <v>ESTER LUDJI</v>
      </c>
      <c r="C3678" s="40" t="str">
        <f>IFERROR(__xludf.DUMMYFUNCTION("""COMPUTED_VALUE"""),"Belum disetujui")</f>
        <v>Belum disetujui</v>
      </c>
      <c r="D3678" s="40"/>
      <c r="E3678" s="40" t="s">
        <v>11441</v>
      </c>
      <c r="F3678" s="40" t="s">
        <v>205</v>
      </c>
      <c r="G3678" s="40" t="s">
        <v>11442</v>
      </c>
      <c r="H3678" s="40" t="s">
        <v>11419</v>
      </c>
    </row>
    <row r="3679">
      <c r="A3679" s="39">
        <f>IFERROR(__xludf.DUMMYFUNCTION("""COMPUTED_VALUE"""),45998.86980577547)</f>
        <v>45998.86981</v>
      </c>
      <c r="B3679" s="40" t="str">
        <f>IFERROR(__xludf.DUMMYFUNCTION("""COMPUTED_VALUE"""),"HERONIMUS NAMU WALI")</f>
        <v>HERONIMUS NAMU WALI</v>
      </c>
      <c r="C3679" s="40" t="str">
        <f>IFERROR(__xludf.DUMMYFUNCTION("""COMPUTED_VALUE"""),"Belum disetujui")</f>
        <v>Belum disetujui</v>
      </c>
      <c r="D3679" s="40"/>
      <c r="E3679" s="40" t="s">
        <v>11452</v>
      </c>
      <c r="F3679" s="40" t="s">
        <v>205</v>
      </c>
      <c r="G3679" s="40" t="s">
        <v>11453</v>
      </c>
      <c r="H3679" s="40" t="s">
        <v>11419</v>
      </c>
    </row>
    <row r="3680">
      <c r="A3680" s="39">
        <f>IFERROR(__xludf.DUMMYFUNCTION("""COMPUTED_VALUE"""),45999.41123969907)</f>
        <v>45999.41124</v>
      </c>
      <c r="B3680" s="40" t="str">
        <f>IFERROR(__xludf.DUMMYFUNCTION("""COMPUTED_VALUE"""),"PRETI SISILIA SILA")</f>
        <v>PRETI SISILIA SILA</v>
      </c>
      <c r="C3680" s="40" t="str">
        <f>IFERROR(__xludf.DUMMYFUNCTION("""COMPUTED_VALUE"""),"Belum disetujui")</f>
        <v>Belum disetujui</v>
      </c>
      <c r="D3680" s="40"/>
      <c r="E3680" s="40" t="s">
        <v>11456</v>
      </c>
      <c r="F3680" s="40" t="s">
        <v>667</v>
      </c>
      <c r="G3680" s="40" t="s">
        <v>11457</v>
      </c>
      <c r="H3680" s="40" t="s">
        <v>11424</v>
      </c>
    </row>
    <row r="3681">
      <c r="A3681" s="39">
        <f>IFERROR(__xludf.DUMMYFUNCTION("""COMPUTED_VALUE"""),45999.42533203703)</f>
        <v>45999.42533</v>
      </c>
      <c r="B3681" s="40" t="str">
        <f>IFERROR(__xludf.DUMMYFUNCTION("""COMPUTED_VALUE"""),"NABILA RAHMAWATI")</f>
        <v>NABILA RAHMAWATI</v>
      </c>
      <c r="C3681" s="40" t="str">
        <f>IFERROR(__xludf.DUMMYFUNCTION("""COMPUTED_VALUE"""),"Dapat limit tapi belum diproses")</f>
        <v>Dapat limit tapi belum diproses</v>
      </c>
      <c r="D3681" s="40" t="str">
        <f>IFERROR(__xludf.DUMMYFUNCTION("""COMPUTED_VALUE"""),"Y21d series")</f>
        <v>Y21d series</v>
      </c>
      <c r="E3681" s="40" t="s">
        <v>11464</v>
      </c>
      <c r="F3681" s="40" t="s">
        <v>257</v>
      </c>
      <c r="G3681" s="40" t="s">
        <v>11465</v>
      </c>
      <c r="H3681" s="40" t="s">
        <v>11419</v>
      </c>
    </row>
    <row r="3682">
      <c r="A3682" s="39">
        <f>IFERROR(__xludf.DUMMYFUNCTION("""COMPUTED_VALUE"""),45999.426621481485)</f>
        <v>45999.42662</v>
      </c>
      <c r="B3682" s="40" t="str">
        <f>IFERROR(__xludf.DUMMYFUNCTION("""COMPUTED_VALUE"""),"NABILA RAHMAWATI")</f>
        <v>NABILA RAHMAWATI</v>
      </c>
      <c r="C3682" s="40" t="str">
        <f>IFERROR(__xludf.DUMMYFUNCTION("""COMPUTED_VALUE"""),"Belum disetujui")</f>
        <v>Belum disetujui</v>
      </c>
      <c r="D3682" s="40"/>
      <c r="E3682" s="40" t="s">
        <v>11464</v>
      </c>
      <c r="F3682" s="40" t="s">
        <v>257</v>
      </c>
      <c r="G3682" s="40" t="s">
        <v>11465</v>
      </c>
      <c r="H3682" s="40" t="s">
        <v>11419</v>
      </c>
    </row>
    <row r="3683">
      <c r="A3683" s="39">
        <f>IFERROR(__xludf.DUMMYFUNCTION("""COMPUTED_VALUE"""),45999.45061134259)</f>
        <v>45999.45061</v>
      </c>
      <c r="B3683" s="40" t="str">
        <f>IFERROR(__xludf.DUMMYFUNCTION("""COMPUTED_VALUE"""),"PRETI SISILIA SILA")</f>
        <v>PRETI SISILIA SILA</v>
      </c>
      <c r="C3683" s="40" t="str">
        <f>IFERROR(__xludf.DUMMYFUNCTION("""COMPUTED_VALUE"""),"Belum disetujui")</f>
        <v>Belum disetujui</v>
      </c>
      <c r="D3683" s="40"/>
      <c r="E3683" s="40" t="s">
        <v>11456</v>
      </c>
      <c r="F3683" s="40" t="s">
        <v>667</v>
      </c>
      <c r="G3683" s="40" t="s">
        <v>11457</v>
      </c>
      <c r="H3683" s="40" t="s">
        <v>11424</v>
      </c>
    </row>
    <row r="3684">
      <c r="A3684" s="39">
        <f>IFERROR(__xludf.DUMMYFUNCTION("""COMPUTED_VALUE"""),45999.46363702546)</f>
        <v>45999.46364</v>
      </c>
      <c r="B3684" s="40" t="str">
        <f>IFERROR(__xludf.DUMMYFUNCTION("""COMPUTED_VALUE"""),"ARMINDA TEKU MANEK")</f>
        <v>ARMINDA TEKU MANEK</v>
      </c>
      <c r="C3684" s="40" t="str">
        <f>IFERROR(__xludf.DUMMYFUNCTION("""COMPUTED_VALUE"""),"Belum disetujui")</f>
        <v>Belum disetujui</v>
      </c>
      <c r="D3684" s="40"/>
      <c r="E3684" s="40" t="s">
        <v>11474</v>
      </c>
      <c r="F3684" s="40" t="s">
        <v>313</v>
      </c>
      <c r="G3684" s="40" t="s">
        <v>11475</v>
      </c>
      <c r="H3684" s="40" t="s">
        <v>11424</v>
      </c>
    </row>
    <row r="3685">
      <c r="A3685" s="39">
        <f>IFERROR(__xludf.DUMMYFUNCTION("""COMPUTED_VALUE"""),45999.46550579862)</f>
        <v>45999.46551</v>
      </c>
      <c r="B3685" s="40" t="str">
        <f>IFERROR(__xludf.DUMMYFUNCTION("""COMPUTED_VALUE"""),"ARMINDA TEKU MANEK")</f>
        <v>ARMINDA TEKU MANEK</v>
      </c>
      <c r="C3685" s="40" t="str">
        <f>IFERROR(__xludf.DUMMYFUNCTION("""COMPUTED_VALUE"""),"Belum disetujui")</f>
        <v>Belum disetujui</v>
      </c>
      <c r="D3685" s="40"/>
      <c r="E3685" s="40" t="s">
        <v>11474</v>
      </c>
      <c r="F3685" s="40" t="s">
        <v>313</v>
      </c>
      <c r="G3685" s="40" t="s">
        <v>11475</v>
      </c>
      <c r="H3685" s="40" t="s">
        <v>11424</v>
      </c>
    </row>
    <row r="3686">
      <c r="A3686" s="39">
        <f>IFERROR(__xludf.DUMMYFUNCTION("""COMPUTED_VALUE"""),45999.46759760416)</f>
        <v>45999.4676</v>
      </c>
      <c r="B3686" s="40" t="str">
        <f>IFERROR(__xludf.DUMMYFUNCTION("""COMPUTED_VALUE"""),"ARMINDA TEKU MANEK")</f>
        <v>ARMINDA TEKU MANEK</v>
      </c>
      <c r="C3686" s="40" t="str">
        <f>IFERROR(__xludf.DUMMYFUNCTION("""COMPUTED_VALUE"""),"Belum disetujui")</f>
        <v>Belum disetujui</v>
      </c>
      <c r="D3686" s="40"/>
      <c r="E3686" s="40" t="s">
        <v>11474</v>
      </c>
      <c r="F3686" s="40" t="s">
        <v>313</v>
      </c>
      <c r="G3686" s="40" t="s">
        <v>11475</v>
      </c>
      <c r="H3686" s="40" t="s">
        <v>11424</v>
      </c>
    </row>
    <row r="3687">
      <c r="A3687" s="39">
        <f>IFERROR(__xludf.DUMMYFUNCTION("""COMPUTED_VALUE"""),45999.48285512732)</f>
        <v>45999.48286</v>
      </c>
      <c r="B3687" s="40" t="str">
        <f>IFERROR(__xludf.DUMMYFUNCTION("""COMPUTED_VALUE"""),"ALDIANA WELIA PANIE")</f>
        <v>ALDIANA WELIA PANIE</v>
      </c>
      <c r="C3687" s="40" t="str">
        <f>IFERROR(__xludf.DUMMYFUNCTION("""COMPUTED_VALUE"""),"ACC")</f>
        <v>ACC</v>
      </c>
      <c r="D3687" s="40" t="str">
        <f>IFERROR(__xludf.DUMMYFUNCTION("""COMPUTED_VALUE"""),"Y400 series")</f>
        <v>Y400 series</v>
      </c>
      <c r="E3687" s="40" t="s">
        <v>11422</v>
      </c>
      <c r="F3687" s="40" t="s">
        <v>215</v>
      </c>
      <c r="G3687" s="40" t="s">
        <v>11423</v>
      </c>
      <c r="H3687" s="40" t="s">
        <v>11424</v>
      </c>
    </row>
    <row r="3688">
      <c r="A3688" s="39">
        <f>IFERROR(__xludf.DUMMYFUNCTION("""COMPUTED_VALUE"""),45999.48578206018)</f>
        <v>45999.48578</v>
      </c>
      <c r="B3688" s="40" t="str">
        <f>IFERROR(__xludf.DUMMYFUNCTION("""COMPUTED_VALUE"""),"AZ ZAHRA SITI ZAINAB")</f>
        <v>AZ ZAHRA SITI ZAINAB</v>
      </c>
      <c r="C3688" s="40" t="str">
        <f>IFERROR(__xludf.DUMMYFUNCTION("""COMPUTED_VALUE"""),"Belum disetujui")</f>
        <v>Belum disetujui</v>
      </c>
      <c r="D3688" s="40"/>
      <c r="E3688" s="40" t="s">
        <v>11462</v>
      </c>
      <c r="F3688" s="40" t="s">
        <v>257</v>
      </c>
      <c r="G3688" s="40" t="s">
        <v>11463</v>
      </c>
      <c r="H3688" s="40" t="s">
        <v>11419</v>
      </c>
    </row>
    <row r="3689">
      <c r="A3689" s="39">
        <f>IFERROR(__xludf.DUMMYFUNCTION("""COMPUTED_VALUE"""),45999.491246921294)</f>
        <v>45999.49125</v>
      </c>
      <c r="B3689" s="40" t="str">
        <f>IFERROR(__xludf.DUMMYFUNCTION("""COMPUTED_VALUE"""),"MARATHA MARLINDA FANGGIDAE")</f>
        <v>MARATHA MARLINDA FANGGIDAE</v>
      </c>
      <c r="C3689" s="40" t="str">
        <f>IFERROR(__xludf.DUMMYFUNCTION("""COMPUTED_VALUE"""),"Belum disetujui")</f>
        <v>Belum disetujui</v>
      </c>
      <c r="D3689" s="40"/>
      <c r="E3689" s="40" t="s">
        <v>11435</v>
      </c>
      <c r="F3689" s="40" t="s">
        <v>215</v>
      </c>
      <c r="G3689" s="40" t="s">
        <v>11436</v>
      </c>
      <c r="H3689" s="40" t="s">
        <v>11424</v>
      </c>
    </row>
    <row r="3690">
      <c r="A3690" s="39">
        <f>IFERROR(__xludf.DUMMYFUNCTION("""COMPUTED_VALUE"""),45999.49874398149)</f>
        <v>45999.49874</v>
      </c>
      <c r="B3690" s="40" t="str">
        <f>IFERROR(__xludf.DUMMYFUNCTION("""COMPUTED_VALUE"""),"MARIA MELAN ANANCE BILI")</f>
        <v>MARIA MELAN ANANCE BILI</v>
      </c>
      <c r="C3690" s="40" t="str">
        <f>IFERROR(__xludf.DUMMYFUNCTION("""COMPUTED_VALUE"""),"Dapat limit tapi belum diproses")</f>
        <v>Dapat limit tapi belum diproses</v>
      </c>
      <c r="D3690" s="40" t="str">
        <f>IFERROR(__xludf.DUMMYFUNCTION("""COMPUTED_VALUE"""),"Y400 series")</f>
        <v>Y400 series</v>
      </c>
      <c r="E3690" s="40" t="s">
        <v>11466</v>
      </c>
      <c r="F3690" s="40" t="s">
        <v>257</v>
      </c>
      <c r="G3690" s="40" t="s">
        <v>11467</v>
      </c>
      <c r="H3690" s="40" t="s">
        <v>11419</v>
      </c>
    </row>
    <row r="3691">
      <c r="A3691" s="39">
        <f>IFERROR(__xludf.DUMMYFUNCTION("""COMPUTED_VALUE"""),45999.50130832176)</f>
        <v>45999.50131</v>
      </c>
      <c r="B3691" s="40" t="str">
        <f>IFERROR(__xludf.DUMMYFUNCTION("""COMPUTED_VALUE"""),"ANGELA BOUKA BERI")</f>
        <v>ANGELA BOUKA BERI</v>
      </c>
      <c r="C3691" s="40" t="str">
        <f>IFERROR(__xludf.DUMMYFUNCTION("""COMPUTED_VALUE"""),"Belum disetujui")</f>
        <v>Belum disetujui</v>
      </c>
      <c r="D3691" s="40"/>
      <c r="E3691" s="40" t="s">
        <v>11486</v>
      </c>
      <c r="F3691" s="40" t="s">
        <v>11450</v>
      </c>
      <c r="G3691" s="40" t="s">
        <v>11487</v>
      </c>
      <c r="H3691" s="40" t="s">
        <v>11424</v>
      </c>
    </row>
    <row r="3692">
      <c r="A3692" s="39">
        <f>IFERROR(__xludf.DUMMYFUNCTION("""COMPUTED_VALUE"""),45999.50403215277)</f>
        <v>45999.50403</v>
      </c>
      <c r="B3692" s="40" t="str">
        <f>IFERROR(__xludf.DUMMYFUNCTION("""COMPUTED_VALUE"""),"ANGELA BOUKA BERI")</f>
        <v>ANGELA BOUKA BERI</v>
      </c>
      <c r="C3692" s="40" t="str">
        <f>IFERROR(__xludf.DUMMYFUNCTION("""COMPUTED_VALUE"""),"Belum disetujui")</f>
        <v>Belum disetujui</v>
      </c>
      <c r="D3692" s="40"/>
      <c r="E3692" s="40" t="s">
        <v>11486</v>
      </c>
      <c r="F3692" s="40" t="s">
        <v>11450</v>
      </c>
      <c r="G3692" s="40" t="s">
        <v>11487</v>
      </c>
      <c r="H3692" s="40" t="s">
        <v>11424</v>
      </c>
    </row>
    <row r="3693">
      <c r="A3693" s="39">
        <f>IFERROR(__xludf.DUMMYFUNCTION("""COMPUTED_VALUE"""),45999.52671439815)</f>
        <v>45999.52671</v>
      </c>
      <c r="B3693" s="40" t="str">
        <f>IFERROR(__xludf.DUMMYFUNCTION("""COMPUTED_VALUE"""),"AZ ZAHRA SITI ZAINAB")</f>
        <v>AZ ZAHRA SITI ZAINAB</v>
      </c>
      <c r="C3693" s="40" t="str">
        <f>IFERROR(__xludf.DUMMYFUNCTION("""COMPUTED_VALUE"""),"ACC")</f>
        <v>ACC</v>
      </c>
      <c r="D3693" s="40" t="str">
        <f>IFERROR(__xludf.DUMMYFUNCTION("""COMPUTED_VALUE"""),"Y21d series")</f>
        <v>Y21d series</v>
      </c>
      <c r="E3693" s="40" t="s">
        <v>11462</v>
      </c>
      <c r="F3693" s="40" t="s">
        <v>257</v>
      </c>
      <c r="G3693" s="40" t="s">
        <v>11463</v>
      </c>
      <c r="H3693" s="40" t="s">
        <v>11419</v>
      </c>
    </row>
    <row r="3694">
      <c r="A3694" s="39">
        <f>IFERROR(__xludf.DUMMYFUNCTION("""COMPUTED_VALUE"""),45999.53493715278)</f>
        <v>45999.53494</v>
      </c>
      <c r="B3694" s="40" t="str">
        <f>IFERROR(__xludf.DUMMYFUNCTION("""COMPUTED_VALUE"""),"PATRIANI MENGI ULY")</f>
        <v>PATRIANI MENGI ULY</v>
      </c>
      <c r="C3694" s="40" t="str">
        <f>IFERROR(__xludf.DUMMYFUNCTION("""COMPUTED_VALUE"""),"Belum disetujui")</f>
        <v>Belum disetujui</v>
      </c>
      <c r="D3694" s="40"/>
      <c r="E3694" s="40" t="s">
        <v>11402</v>
      </c>
      <c r="F3694" s="40" t="s">
        <v>204</v>
      </c>
      <c r="G3694" s="40" t="s">
        <v>11403</v>
      </c>
      <c r="H3694" s="40" t="s">
        <v>11399</v>
      </c>
    </row>
    <row r="3695">
      <c r="A3695" s="39">
        <f>IFERROR(__xludf.DUMMYFUNCTION("""COMPUTED_VALUE"""),45999.55191084491)</f>
        <v>45999.55191</v>
      </c>
      <c r="B3695" s="40" t="str">
        <f>IFERROR(__xludf.DUMMYFUNCTION("""COMPUTED_VALUE"""),"AZ ZAHRA SITI ZAINAB")</f>
        <v>AZ ZAHRA SITI ZAINAB</v>
      </c>
      <c r="C3695" s="40" t="str">
        <f>IFERROR(__xludf.DUMMYFUNCTION("""COMPUTED_VALUE"""),"Belum disetujui")</f>
        <v>Belum disetujui</v>
      </c>
      <c r="D3695" s="40"/>
      <c r="E3695" s="40" t="s">
        <v>11462</v>
      </c>
      <c r="F3695" s="40" t="s">
        <v>257</v>
      </c>
      <c r="G3695" s="40" t="s">
        <v>11463</v>
      </c>
      <c r="H3695" s="40" t="s">
        <v>11419</v>
      </c>
    </row>
    <row r="3696">
      <c r="A3696" s="39">
        <f>IFERROR(__xludf.DUMMYFUNCTION("""COMPUTED_VALUE"""),45999.56019759259)</f>
        <v>45999.5602</v>
      </c>
      <c r="B3696" s="40" t="str">
        <f>IFERROR(__xludf.DUMMYFUNCTION("""COMPUTED_VALUE"""),"AINI RAHMATINI NATALIA MOESTAKIM")</f>
        <v>AINI RAHMATINI NATALIA MOESTAKIM</v>
      </c>
      <c r="C3696" s="40" t="str">
        <f>IFERROR(__xludf.DUMMYFUNCTION("""COMPUTED_VALUE"""),"Belum disetujui")</f>
        <v>Belum disetujui</v>
      </c>
      <c r="D3696" s="40"/>
      <c r="E3696" s="40" t="s">
        <v>11409</v>
      </c>
      <c r="F3696" s="40" t="s">
        <v>204</v>
      </c>
      <c r="G3696" s="40" t="s">
        <v>11410</v>
      </c>
      <c r="H3696" s="40" t="s">
        <v>11399</v>
      </c>
    </row>
    <row r="3697">
      <c r="A3697" s="39">
        <f>IFERROR(__xludf.DUMMYFUNCTION("""COMPUTED_VALUE"""),45999.56130194444)</f>
        <v>45999.5613</v>
      </c>
      <c r="B3697" s="40" t="str">
        <f>IFERROR(__xludf.DUMMYFUNCTION("""COMPUTED_VALUE"""),"SANDRA LAU")</f>
        <v>SANDRA LAU</v>
      </c>
      <c r="C3697" s="40" t="str">
        <f>IFERROR(__xludf.DUMMYFUNCTION("""COMPUTED_VALUE"""),"Belum disetujui")</f>
        <v>Belum disetujui</v>
      </c>
      <c r="D3697" s="40"/>
      <c r="E3697" s="40" t="s">
        <v>11460</v>
      </c>
      <c r="F3697" s="40" t="s">
        <v>871</v>
      </c>
      <c r="G3697" s="40" t="s">
        <v>11461</v>
      </c>
      <c r="H3697" s="40" t="s">
        <v>11424</v>
      </c>
    </row>
    <row r="3698">
      <c r="A3698" s="39">
        <f>IFERROR(__xludf.DUMMYFUNCTION("""COMPUTED_VALUE"""),45999.56226023148)</f>
        <v>45999.56226</v>
      </c>
      <c r="B3698" s="40" t="str">
        <f>IFERROR(__xludf.DUMMYFUNCTION("""COMPUTED_VALUE"""),"SELVINCE BAKO")</f>
        <v>SELVINCE BAKO</v>
      </c>
      <c r="C3698" s="40" t="str">
        <f>IFERROR(__xludf.DUMMYFUNCTION("""COMPUTED_VALUE"""),"Belum disetujui")</f>
        <v>Belum disetujui</v>
      </c>
      <c r="D3698" s="40"/>
      <c r="E3698" s="40" t="s">
        <v>11413</v>
      </c>
      <c r="F3698" s="40" t="s">
        <v>204</v>
      </c>
      <c r="G3698" s="40" t="s">
        <v>11414</v>
      </c>
      <c r="H3698" s="40" t="s">
        <v>11399</v>
      </c>
    </row>
    <row r="3699">
      <c r="A3699" s="39">
        <f>IFERROR(__xludf.DUMMYFUNCTION("""COMPUTED_VALUE"""),45999.56291025463)</f>
        <v>45999.56291</v>
      </c>
      <c r="B3699" s="40" t="str">
        <f>IFERROR(__xludf.DUMMYFUNCTION("""COMPUTED_VALUE"""),"YUNITA TAMELAB")</f>
        <v>YUNITA TAMELAB</v>
      </c>
      <c r="C3699" s="40" t="str">
        <f>IFERROR(__xludf.DUMMYFUNCTION("""COMPUTED_VALUE"""),"ACC")</f>
        <v>ACC</v>
      </c>
      <c r="D3699" s="40" t="str">
        <f>IFERROR(__xludf.DUMMYFUNCTION("""COMPUTED_VALUE"""),"Y21d series")</f>
        <v>Y21d series</v>
      </c>
      <c r="E3699" s="40" t="s">
        <v>11472</v>
      </c>
      <c r="F3699" s="40" t="s">
        <v>667</v>
      </c>
      <c r="G3699" s="40" t="s">
        <v>11473</v>
      </c>
      <c r="H3699" s="40" t="s">
        <v>11424</v>
      </c>
    </row>
    <row r="3700">
      <c r="A3700" s="39">
        <f>IFERROR(__xludf.DUMMYFUNCTION("""COMPUTED_VALUE"""),45999.56429894677)</f>
        <v>45999.5643</v>
      </c>
      <c r="B3700" s="40" t="str">
        <f>IFERROR(__xludf.DUMMYFUNCTION("""COMPUTED_VALUE"""),"SANDRA LAU")</f>
        <v>SANDRA LAU</v>
      </c>
      <c r="C3700" s="40" t="str">
        <f>IFERROR(__xludf.DUMMYFUNCTION("""COMPUTED_VALUE"""),"Belum disetujui")</f>
        <v>Belum disetujui</v>
      </c>
      <c r="D3700" s="40"/>
      <c r="E3700" s="40" t="s">
        <v>11460</v>
      </c>
      <c r="F3700" s="40" t="s">
        <v>871</v>
      </c>
      <c r="G3700" s="40" t="s">
        <v>11461</v>
      </c>
      <c r="H3700" s="40" t="s">
        <v>11424</v>
      </c>
    </row>
    <row r="3701">
      <c r="A3701" s="39">
        <f>IFERROR(__xludf.DUMMYFUNCTION("""COMPUTED_VALUE"""),45999.57469612269)</f>
        <v>45999.5747</v>
      </c>
      <c r="B3701" s="40" t="str">
        <f>IFERROR(__xludf.DUMMYFUNCTION("""COMPUTED_VALUE"""),"MERDA PUTRI BUNGSU KENAT")</f>
        <v>MERDA PUTRI BUNGSU KENAT</v>
      </c>
      <c r="C3701" s="40" t="str">
        <f>IFERROR(__xludf.DUMMYFUNCTION("""COMPUTED_VALUE"""),"Belum disetujui")</f>
        <v>Belum disetujui</v>
      </c>
      <c r="D3701" s="40"/>
      <c r="E3701" s="40" t="s">
        <v>11422</v>
      </c>
      <c r="F3701" s="40" t="s">
        <v>215</v>
      </c>
      <c r="G3701" s="40" t="s">
        <v>11423</v>
      </c>
      <c r="H3701" s="40" t="s">
        <v>11424</v>
      </c>
    </row>
    <row r="3702">
      <c r="A3702" s="39">
        <f>IFERROR(__xludf.DUMMYFUNCTION("""COMPUTED_VALUE"""),45999.577912395835)</f>
        <v>45999.57791</v>
      </c>
      <c r="B3702" s="40" t="str">
        <f>IFERROR(__xludf.DUMMYFUNCTION("""COMPUTED_VALUE"""),"MERDA PUTRI BUNGSU KENAT")</f>
        <v>MERDA PUTRI BUNGSU KENAT</v>
      </c>
      <c r="C3702" s="40" t="str">
        <f>IFERROR(__xludf.DUMMYFUNCTION("""COMPUTED_VALUE"""),"Belum disetujui")</f>
        <v>Belum disetujui</v>
      </c>
      <c r="D3702" s="40"/>
      <c r="E3702" s="40" t="s">
        <v>11422</v>
      </c>
      <c r="F3702" s="40" t="s">
        <v>215</v>
      </c>
      <c r="G3702" s="40" t="s">
        <v>11423</v>
      </c>
      <c r="H3702" s="40" t="s">
        <v>11424</v>
      </c>
    </row>
    <row r="3703">
      <c r="A3703" s="39">
        <f>IFERROR(__xludf.DUMMYFUNCTION("""COMPUTED_VALUE"""),45999.59573090278)</f>
        <v>45999.59573</v>
      </c>
      <c r="B3703" s="40" t="str">
        <f>IFERROR(__xludf.DUMMYFUNCTION("""COMPUTED_VALUE"""),"MARNITHA JUWIKE TIMORATI RUNESI")</f>
        <v>MARNITHA JUWIKE TIMORATI RUNESI</v>
      </c>
      <c r="C3703" s="40" t="str">
        <f>IFERROR(__xludf.DUMMYFUNCTION("""COMPUTED_VALUE"""),"Belum disetujui")</f>
        <v>Belum disetujui</v>
      </c>
      <c r="D3703" s="40"/>
      <c r="E3703" s="40" t="s">
        <v>11420</v>
      </c>
      <c r="F3703" s="40" t="s">
        <v>204</v>
      </c>
      <c r="G3703" s="40" t="s">
        <v>11421</v>
      </c>
      <c r="H3703" s="40" t="s">
        <v>11399</v>
      </c>
    </row>
    <row r="3704">
      <c r="A3704" s="39">
        <f>IFERROR(__xludf.DUMMYFUNCTION("""COMPUTED_VALUE"""),45999.636121261574)</f>
        <v>45999.63612</v>
      </c>
      <c r="B3704" s="40" t="str">
        <f>IFERROR(__xludf.DUMMYFUNCTION("""COMPUTED_VALUE"""),"ANYARMITHA SOPHIA SUEK")</f>
        <v>ANYARMITHA SOPHIA SUEK</v>
      </c>
      <c r="C3704" s="40" t="str">
        <f>IFERROR(__xludf.DUMMYFUNCTION("""COMPUTED_VALUE"""),"Belum disetujui")</f>
        <v>Belum disetujui</v>
      </c>
      <c r="D3704" s="40"/>
      <c r="E3704" s="40" t="s">
        <v>11443</v>
      </c>
      <c r="F3704" s="40" t="s">
        <v>220</v>
      </c>
      <c r="G3704" s="40" t="s">
        <v>11444</v>
      </c>
      <c r="H3704" s="40" t="s">
        <v>11399</v>
      </c>
    </row>
    <row r="3705">
      <c r="A3705" s="39">
        <f>IFERROR(__xludf.DUMMYFUNCTION("""COMPUTED_VALUE"""),45999.66057663194)</f>
        <v>45999.66058</v>
      </c>
      <c r="B3705" s="40" t="str">
        <f>IFERROR(__xludf.DUMMYFUNCTION("""COMPUTED_VALUE"""),"AZ ZAHRA SITI ZAINAB")</f>
        <v>AZ ZAHRA SITI ZAINAB</v>
      </c>
      <c r="C3705" s="40" t="str">
        <f>IFERROR(__xludf.DUMMYFUNCTION("""COMPUTED_VALUE"""),"ACC")</f>
        <v>ACC</v>
      </c>
      <c r="D3705" s="40" t="str">
        <f>IFERROR(__xludf.DUMMYFUNCTION("""COMPUTED_VALUE"""),"Y400 series")</f>
        <v>Y400 series</v>
      </c>
      <c r="E3705" s="40" t="s">
        <v>11462</v>
      </c>
      <c r="F3705" s="40" t="s">
        <v>257</v>
      </c>
      <c r="G3705" s="40" t="s">
        <v>11463</v>
      </c>
      <c r="H3705" s="40" t="s">
        <v>11419</v>
      </c>
    </row>
    <row r="3706">
      <c r="A3706" s="39">
        <f>IFERROR(__xludf.DUMMYFUNCTION("""COMPUTED_VALUE"""),45999.66705196759)</f>
        <v>45999.66705</v>
      </c>
      <c r="B3706" s="40" t="str">
        <f>IFERROR(__xludf.DUMMYFUNCTION("""COMPUTED_VALUE"""),"ESTER LUDJI")</f>
        <v>ESTER LUDJI</v>
      </c>
      <c r="C3706" s="40" t="str">
        <f>IFERROR(__xludf.DUMMYFUNCTION("""COMPUTED_VALUE"""),"Dapat limit tapi belum diproses")</f>
        <v>Dapat limit tapi belum diproses</v>
      </c>
      <c r="D3706" s="40" t="str">
        <f>IFERROR(__xludf.DUMMYFUNCTION("""COMPUTED_VALUE"""),"Y400 series")</f>
        <v>Y400 series</v>
      </c>
      <c r="E3706" s="40" t="s">
        <v>11441</v>
      </c>
      <c r="F3706" s="40" t="s">
        <v>205</v>
      </c>
      <c r="G3706" s="40" t="s">
        <v>11442</v>
      </c>
      <c r="H3706" s="40" t="s">
        <v>11419</v>
      </c>
    </row>
    <row r="3707">
      <c r="A3707" s="39">
        <f>IFERROR(__xludf.DUMMYFUNCTION("""COMPUTED_VALUE"""),45999.705360266205)</f>
        <v>45999.70536</v>
      </c>
      <c r="B3707" s="40" t="str">
        <f>IFERROR(__xludf.DUMMYFUNCTION("""COMPUTED_VALUE"""),"HERONIMUS NAMU WALI")</f>
        <v>HERONIMUS NAMU WALI</v>
      </c>
      <c r="C3707" s="40" t="str">
        <f>IFERROR(__xludf.DUMMYFUNCTION("""COMPUTED_VALUE"""),"ACC")</f>
        <v>ACC</v>
      </c>
      <c r="D3707" s="40" t="str">
        <f>IFERROR(__xludf.DUMMYFUNCTION("""COMPUTED_VALUE"""),"Y21d series")</f>
        <v>Y21d series</v>
      </c>
      <c r="E3707" s="40" t="s">
        <v>11452</v>
      </c>
      <c r="F3707" s="40" t="s">
        <v>205</v>
      </c>
      <c r="G3707" s="40" t="s">
        <v>11453</v>
      </c>
      <c r="H3707" s="40" t="s">
        <v>11419</v>
      </c>
    </row>
    <row r="3708">
      <c r="A3708" s="39">
        <f>IFERROR(__xludf.DUMMYFUNCTION("""COMPUTED_VALUE"""),45999.711757164354)</f>
        <v>45999.71176</v>
      </c>
      <c r="B3708" s="40" t="str">
        <f>IFERROR(__xludf.DUMMYFUNCTION("""COMPUTED_VALUE"""),"SULIS NURAINI INSYATUN")</f>
        <v>SULIS NURAINI INSYATUN</v>
      </c>
      <c r="C3708" s="40" t="str">
        <f>IFERROR(__xludf.DUMMYFUNCTION("""COMPUTED_VALUE"""),"ACC")</f>
        <v>ACC</v>
      </c>
      <c r="D3708" s="40" t="str">
        <f>IFERROR(__xludf.DUMMYFUNCTION("""COMPUTED_VALUE"""),"Y21d series")</f>
        <v>Y21d series</v>
      </c>
      <c r="E3708" s="40" t="s">
        <v>11429</v>
      </c>
      <c r="F3708" s="40" t="s">
        <v>257</v>
      </c>
      <c r="G3708" s="40" t="s">
        <v>11430</v>
      </c>
      <c r="H3708" s="40" t="s">
        <v>11419</v>
      </c>
    </row>
    <row r="3709">
      <c r="A3709" s="39">
        <f>IFERROR(__xludf.DUMMYFUNCTION("""COMPUTED_VALUE"""),45999.73038637732)</f>
        <v>45999.73039</v>
      </c>
      <c r="B3709" s="40" t="str">
        <f>IFERROR(__xludf.DUMMYFUNCTION("""COMPUTED_VALUE"""),"BERGITHA NIA OLIN")</f>
        <v>BERGITHA NIA OLIN</v>
      </c>
      <c r="C3709" s="40" t="str">
        <f>IFERROR(__xludf.DUMMYFUNCTION("""COMPUTED_VALUE"""),"ACC")</f>
        <v>ACC</v>
      </c>
      <c r="D3709" s="40" t="str">
        <f>IFERROR(__xludf.DUMMYFUNCTION("""COMPUTED_VALUE"""),"Y21d series")</f>
        <v>Y21d series</v>
      </c>
      <c r="E3709" s="40" t="s">
        <v>11431</v>
      </c>
      <c r="F3709" s="40" t="s">
        <v>313</v>
      </c>
      <c r="G3709" s="40" t="s">
        <v>11432</v>
      </c>
      <c r="H3709" s="40" t="s">
        <v>11424</v>
      </c>
    </row>
    <row r="3710">
      <c r="A3710" s="39">
        <f>IFERROR(__xludf.DUMMYFUNCTION("""COMPUTED_VALUE"""),45999.73374778935)</f>
        <v>45999.73375</v>
      </c>
      <c r="B3710" s="40" t="str">
        <f>IFERROR(__xludf.DUMMYFUNCTION("""COMPUTED_VALUE"""),"MARNITHA JUWIKE TIMORATI RUNESI")</f>
        <v>MARNITHA JUWIKE TIMORATI RUNESI</v>
      </c>
      <c r="C3710" s="40" t="str">
        <f>IFERROR(__xludf.DUMMYFUNCTION("""COMPUTED_VALUE"""),"ACC")</f>
        <v>ACC</v>
      </c>
      <c r="D3710" s="40" t="str">
        <f>IFERROR(__xludf.DUMMYFUNCTION("""COMPUTED_VALUE"""),"Y21d series")</f>
        <v>Y21d series</v>
      </c>
      <c r="E3710" s="40" t="s">
        <v>11420</v>
      </c>
      <c r="F3710" s="40" t="s">
        <v>204</v>
      </c>
      <c r="G3710" s="40" t="s">
        <v>11421</v>
      </c>
      <c r="H3710" s="40" t="s">
        <v>11399</v>
      </c>
    </row>
    <row r="3711">
      <c r="A3711" s="39">
        <f>IFERROR(__xludf.DUMMYFUNCTION("""COMPUTED_VALUE"""),45999.76038194445)</f>
        <v>45999.76038</v>
      </c>
      <c r="B3711" s="40" t="str">
        <f>IFERROR(__xludf.DUMMYFUNCTION("""COMPUTED_VALUE"""),"KESIA NATALIA I. BENU")</f>
        <v>KESIA NATALIA I. BENU</v>
      </c>
      <c r="C3711" s="40" t="str">
        <f>IFERROR(__xludf.DUMMYFUNCTION("""COMPUTED_VALUE"""),"Belum disetujui")</f>
        <v>Belum disetujui</v>
      </c>
      <c r="D3711" s="40"/>
      <c r="E3711" s="40" t="s">
        <v>11417</v>
      </c>
      <c r="F3711" s="40" t="s">
        <v>257</v>
      </c>
      <c r="G3711" s="40" t="s">
        <v>11418</v>
      </c>
      <c r="H3711" s="40" t="s">
        <v>11419</v>
      </c>
    </row>
    <row r="3712">
      <c r="A3712" s="39">
        <f>IFERROR(__xludf.DUMMYFUNCTION("""COMPUTED_VALUE"""),45999.76287840278)</f>
        <v>45999.76288</v>
      </c>
      <c r="B3712" s="40" t="str">
        <f>IFERROR(__xludf.DUMMYFUNCTION("""COMPUTED_VALUE"""),"KESIA NATALIA I. BENU")</f>
        <v>KESIA NATALIA I. BENU</v>
      </c>
      <c r="C3712" s="40" t="str">
        <f>IFERROR(__xludf.DUMMYFUNCTION("""COMPUTED_VALUE"""),"Belum disetujui")</f>
        <v>Belum disetujui</v>
      </c>
      <c r="D3712" s="40"/>
      <c r="E3712" s="40" t="s">
        <v>11417</v>
      </c>
      <c r="F3712" s="40" t="s">
        <v>257</v>
      </c>
      <c r="G3712" s="40" t="s">
        <v>11418</v>
      </c>
      <c r="H3712" s="40" t="s">
        <v>11419</v>
      </c>
    </row>
    <row r="3713">
      <c r="A3713" s="39">
        <f>IFERROR(__xludf.DUMMYFUNCTION("""COMPUTED_VALUE"""),45999.76473495371)</f>
        <v>45999.76473</v>
      </c>
      <c r="B3713" s="40" t="str">
        <f>IFERROR(__xludf.DUMMYFUNCTION("""COMPUTED_VALUE"""),"KESIA NATALIA I. BENU")</f>
        <v>KESIA NATALIA I. BENU</v>
      </c>
      <c r="C3713" s="40" t="str">
        <f>IFERROR(__xludf.DUMMYFUNCTION("""COMPUTED_VALUE"""),"Belum disetujui")</f>
        <v>Belum disetujui</v>
      </c>
      <c r="D3713" s="40"/>
      <c r="E3713" s="40" t="s">
        <v>11417</v>
      </c>
      <c r="F3713" s="40" t="s">
        <v>257</v>
      </c>
      <c r="G3713" s="40" t="s">
        <v>11418</v>
      </c>
      <c r="H3713" s="40" t="s">
        <v>11419</v>
      </c>
    </row>
    <row r="3714">
      <c r="A3714" s="39">
        <f>IFERROR(__xludf.DUMMYFUNCTION("""COMPUTED_VALUE"""),45999.76640030093)</f>
        <v>45999.7664</v>
      </c>
      <c r="B3714" s="40" t="str">
        <f>IFERROR(__xludf.DUMMYFUNCTION("""COMPUTED_VALUE"""),"KESIA NATALIA I. BENU")</f>
        <v>KESIA NATALIA I. BENU</v>
      </c>
      <c r="C3714" s="40" t="str">
        <f>IFERROR(__xludf.DUMMYFUNCTION("""COMPUTED_VALUE"""),"Belum disetujui")</f>
        <v>Belum disetujui</v>
      </c>
      <c r="D3714" s="40"/>
      <c r="E3714" s="40" t="s">
        <v>11417</v>
      </c>
      <c r="F3714" s="40" t="s">
        <v>257</v>
      </c>
      <c r="G3714" s="40" t="s">
        <v>11418</v>
      </c>
      <c r="H3714" s="40" t="s">
        <v>11419</v>
      </c>
    </row>
    <row r="3715">
      <c r="A3715" s="39">
        <f>IFERROR(__xludf.DUMMYFUNCTION("""COMPUTED_VALUE"""),45999.76744921296)</f>
        <v>45999.76745</v>
      </c>
      <c r="B3715" s="40" t="str">
        <f>IFERROR(__xludf.DUMMYFUNCTION("""COMPUTED_VALUE"""),"SANTI MARIA LUKMINI NAHAK")</f>
        <v>SANTI MARIA LUKMINI NAHAK</v>
      </c>
      <c r="C3715" s="40" t="str">
        <f>IFERROR(__xludf.DUMMYFUNCTION("""COMPUTED_VALUE"""),"Dapat limit tapi belum diproses")</f>
        <v>Dapat limit tapi belum diproses</v>
      </c>
      <c r="D3715" s="40" t="str">
        <f>IFERROR(__xludf.DUMMYFUNCTION("""COMPUTED_VALUE"""),"Y21d series")</f>
        <v>Y21d series</v>
      </c>
      <c r="E3715" s="40" t="s">
        <v>11460</v>
      </c>
      <c r="F3715" s="40" t="s">
        <v>871</v>
      </c>
      <c r="G3715" s="40" t="s">
        <v>11461</v>
      </c>
      <c r="H3715" s="40" t="s">
        <v>11424</v>
      </c>
    </row>
    <row r="3716">
      <c r="A3716" s="39">
        <f>IFERROR(__xludf.DUMMYFUNCTION("""COMPUTED_VALUE"""),45999.76871800926)</f>
        <v>45999.76872</v>
      </c>
      <c r="B3716" s="40" t="str">
        <f>IFERROR(__xludf.DUMMYFUNCTION("""COMPUTED_VALUE"""),"NUR FATIMAH MOLBANG")</f>
        <v>NUR FATIMAH MOLBANG</v>
      </c>
      <c r="C3716" s="40" t="str">
        <f>IFERROR(__xludf.DUMMYFUNCTION("""COMPUTED_VALUE"""),"Belum disetujui")</f>
        <v>Belum disetujui</v>
      </c>
      <c r="D3716" s="40"/>
      <c r="E3716" s="40" t="s">
        <v>11439</v>
      </c>
      <c r="F3716" s="40" t="s">
        <v>313</v>
      </c>
      <c r="G3716" s="40" t="s">
        <v>11440</v>
      </c>
      <c r="H3716" s="40" t="s">
        <v>11424</v>
      </c>
    </row>
    <row r="3717">
      <c r="A3717" s="39">
        <f>IFERROR(__xludf.DUMMYFUNCTION("""COMPUTED_VALUE"""),45999.77039464121)</f>
        <v>45999.77039</v>
      </c>
      <c r="B3717" s="40" t="str">
        <f>IFERROR(__xludf.DUMMYFUNCTION("""COMPUTED_VALUE"""),"NUR FATIMAH MOLBANG")</f>
        <v>NUR FATIMAH MOLBANG</v>
      </c>
      <c r="C3717" s="40" t="str">
        <f>IFERROR(__xludf.DUMMYFUNCTION("""COMPUTED_VALUE"""),"ACC")</f>
        <v>ACC</v>
      </c>
      <c r="D3717" s="40" t="str">
        <f>IFERROR(__xludf.DUMMYFUNCTION("""COMPUTED_VALUE"""),"Y400 series")</f>
        <v>Y400 series</v>
      </c>
      <c r="E3717" s="40" t="s">
        <v>11439</v>
      </c>
      <c r="F3717" s="40" t="s">
        <v>313</v>
      </c>
      <c r="G3717" s="40" t="s">
        <v>11440</v>
      </c>
      <c r="H3717" s="40" t="s">
        <v>11424</v>
      </c>
    </row>
    <row r="3718">
      <c r="A3718" s="39">
        <f>IFERROR(__xludf.DUMMYFUNCTION("""COMPUTED_VALUE"""),45999.77905489583)</f>
        <v>45999.77905</v>
      </c>
      <c r="B3718" s="40" t="str">
        <f>IFERROR(__xludf.DUMMYFUNCTION("""COMPUTED_VALUE"""),"ASTUTI BELA WAWO")</f>
        <v>ASTUTI BELA WAWO</v>
      </c>
      <c r="C3718" s="40" t="str">
        <f>IFERROR(__xludf.DUMMYFUNCTION("""COMPUTED_VALUE"""),"Belum disetujui")</f>
        <v>Belum disetujui</v>
      </c>
      <c r="D3718" s="40"/>
      <c r="E3718" s="40" t="s">
        <v>11427</v>
      </c>
      <c r="F3718" s="40" t="s">
        <v>257</v>
      </c>
      <c r="G3718" s="40" t="s">
        <v>11428</v>
      </c>
      <c r="H3718" s="40" t="s">
        <v>11419</v>
      </c>
    </row>
    <row r="3719">
      <c r="A3719" s="39">
        <f>IFERROR(__xludf.DUMMYFUNCTION("""COMPUTED_VALUE"""),45999.781524224534)</f>
        <v>45999.78152</v>
      </c>
      <c r="B3719" s="40" t="str">
        <f>IFERROR(__xludf.DUMMYFUNCTION("""COMPUTED_VALUE"""),"MERDA PUTRI BUNGSU KENAT")</f>
        <v>MERDA PUTRI BUNGSU KENAT</v>
      </c>
      <c r="C3719" s="40" t="str">
        <f>IFERROR(__xludf.DUMMYFUNCTION("""COMPUTED_VALUE"""),"Dapat limit tapi belum diproses")</f>
        <v>Dapat limit tapi belum diproses</v>
      </c>
      <c r="D3719" s="40" t="str">
        <f>IFERROR(__xludf.DUMMYFUNCTION("""COMPUTED_VALUE"""),"Y21d series")</f>
        <v>Y21d series</v>
      </c>
      <c r="E3719" s="40" t="s">
        <v>11422</v>
      </c>
      <c r="F3719" s="40" t="s">
        <v>215</v>
      </c>
      <c r="G3719" s="40" t="s">
        <v>11423</v>
      </c>
      <c r="H3719" s="40" t="s">
        <v>11424</v>
      </c>
    </row>
    <row r="3720">
      <c r="A3720" s="39">
        <f>IFERROR(__xludf.DUMMYFUNCTION("""COMPUTED_VALUE"""),45999.80253696759)</f>
        <v>45999.80254</v>
      </c>
      <c r="B3720" s="40" t="str">
        <f>IFERROR(__xludf.DUMMYFUNCTION("""COMPUTED_VALUE"""),"AZ ZAHRA SITI ZAINAB")</f>
        <v>AZ ZAHRA SITI ZAINAB</v>
      </c>
      <c r="C3720" s="40" t="str">
        <f>IFERROR(__xludf.DUMMYFUNCTION("""COMPUTED_VALUE"""),"ACC")</f>
        <v>ACC</v>
      </c>
      <c r="D3720" s="40" t="str">
        <f>IFERROR(__xludf.DUMMYFUNCTION("""COMPUTED_VALUE"""),"Y21d series")</f>
        <v>Y21d series</v>
      </c>
      <c r="E3720" s="40" t="s">
        <v>11462</v>
      </c>
      <c r="F3720" s="40" t="s">
        <v>257</v>
      </c>
      <c r="G3720" s="40" t="s">
        <v>11463</v>
      </c>
      <c r="H3720" s="40" t="s">
        <v>11419</v>
      </c>
    </row>
    <row r="3721">
      <c r="A3721" s="39">
        <f>IFERROR(__xludf.DUMMYFUNCTION("""COMPUTED_VALUE"""),45999.81355423611)</f>
        <v>45999.81355</v>
      </c>
      <c r="B3721" s="40" t="str">
        <f>IFERROR(__xludf.DUMMYFUNCTION("""COMPUTED_VALUE"""),"YOHANIS TIPNONI")</f>
        <v>YOHANIS TIPNONI</v>
      </c>
      <c r="C3721" s="40" t="str">
        <f>IFERROR(__xludf.DUMMYFUNCTION("""COMPUTED_VALUE"""),"Belum disetujui")</f>
        <v>Belum disetujui</v>
      </c>
      <c r="D3721" s="40"/>
      <c r="E3721" s="40" t="s">
        <v>11405</v>
      </c>
      <c r="F3721" s="40" t="s">
        <v>220</v>
      </c>
      <c r="G3721" s="40" t="s">
        <v>11406</v>
      </c>
      <c r="H3721" s="40" t="s">
        <v>11399</v>
      </c>
    </row>
    <row r="3722">
      <c r="A3722" s="39">
        <f>IFERROR(__xludf.DUMMYFUNCTION("""COMPUTED_VALUE"""),45999.81617603009)</f>
        <v>45999.81618</v>
      </c>
      <c r="B3722" s="40" t="str">
        <f>IFERROR(__xludf.DUMMYFUNCTION("""COMPUTED_VALUE"""),"YOHANIS TIPNONI")</f>
        <v>YOHANIS TIPNONI</v>
      </c>
      <c r="C3722" s="40" t="str">
        <f>IFERROR(__xludf.DUMMYFUNCTION("""COMPUTED_VALUE"""),"Belum disetujui")</f>
        <v>Belum disetujui</v>
      </c>
      <c r="D3722" s="40"/>
      <c r="E3722" s="40" t="s">
        <v>11405</v>
      </c>
      <c r="F3722" s="40" t="s">
        <v>220</v>
      </c>
      <c r="G3722" s="40" t="s">
        <v>11406</v>
      </c>
      <c r="H3722" s="40" t="s">
        <v>11399</v>
      </c>
    </row>
    <row r="3723">
      <c r="A3723" s="39">
        <f>IFERROR(__xludf.DUMMYFUNCTION("""COMPUTED_VALUE"""),45999.82169460648)</f>
        <v>45999.82169</v>
      </c>
      <c r="B3723" s="40" t="str">
        <f>IFERROR(__xludf.DUMMYFUNCTION("""COMPUTED_VALUE"""),"YOHANIS TIPNONI")</f>
        <v>YOHANIS TIPNONI</v>
      </c>
      <c r="C3723" s="40" t="str">
        <f>IFERROR(__xludf.DUMMYFUNCTION("""COMPUTED_VALUE"""),"Belum disetujui")</f>
        <v>Belum disetujui</v>
      </c>
      <c r="D3723" s="40"/>
      <c r="E3723" s="40" t="s">
        <v>11405</v>
      </c>
      <c r="F3723" s="40" t="s">
        <v>220</v>
      </c>
      <c r="G3723" s="40" t="s">
        <v>11406</v>
      </c>
      <c r="H3723" s="40" t="s">
        <v>11399</v>
      </c>
    </row>
    <row r="3724">
      <c r="A3724" s="39">
        <f>IFERROR(__xludf.DUMMYFUNCTION("""COMPUTED_VALUE"""),45999.84456253472)</f>
        <v>45999.84456</v>
      </c>
      <c r="B3724" s="40" t="str">
        <f>IFERROR(__xludf.DUMMYFUNCTION("""COMPUTED_VALUE"""),"ESTER LUDJI")</f>
        <v>ESTER LUDJI</v>
      </c>
      <c r="C3724" s="40" t="str">
        <f>IFERROR(__xludf.DUMMYFUNCTION("""COMPUTED_VALUE"""),"ACC")</f>
        <v>ACC</v>
      </c>
      <c r="D3724" s="40" t="str">
        <f>IFERROR(__xludf.DUMMYFUNCTION("""COMPUTED_VALUE"""),"V60 series")</f>
        <v>V60 series</v>
      </c>
      <c r="E3724" s="40" t="s">
        <v>11441</v>
      </c>
      <c r="F3724" s="40" t="s">
        <v>205</v>
      </c>
      <c r="G3724" s="40" t="s">
        <v>11442</v>
      </c>
      <c r="H3724" s="40" t="s">
        <v>11419</v>
      </c>
    </row>
    <row r="3725">
      <c r="A3725" s="39">
        <f>IFERROR(__xludf.DUMMYFUNCTION("""COMPUTED_VALUE"""),45999.847876342596)</f>
        <v>45999.84788</v>
      </c>
      <c r="B3725" s="40" t="str">
        <f>IFERROR(__xludf.DUMMYFUNCTION("""COMPUTED_VALUE"""),"ESTER LUDJI")</f>
        <v>ESTER LUDJI</v>
      </c>
      <c r="C3725" s="40" t="str">
        <f>IFERROR(__xludf.DUMMYFUNCTION("""COMPUTED_VALUE"""),"ACC")</f>
        <v>ACC</v>
      </c>
      <c r="D3725" s="40" t="str">
        <f>IFERROR(__xludf.DUMMYFUNCTION("""COMPUTED_VALUE"""),"V60 Lite series")</f>
        <v>V60 Lite series</v>
      </c>
      <c r="E3725" s="40" t="s">
        <v>11441</v>
      </c>
      <c r="F3725" s="40" t="s">
        <v>205</v>
      </c>
      <c r="G3725" s="40" t="s">
        <v>11442</v>
      </c>
      <c r="H3725" s="40" t="s">
        <v>11419</v>
      </c>
    </row>
    <row r="3726">
      <c r="A3726" s="39">
        <f>IFERROR(__xludf.DUMMYFUNCTION("""COMPUTED_VALUE"""),45999.850541493055)</f>
        <v>45999.85054</v>
      </c>
      <c r="B3726" s="40" t="str">
        <f>IFERROR(__xludf.DUMMYFUNCTION("""COMPUTED_VALUE"""),"ESTER LUDJI")</f>
        <v>ESTER LUDJI</v>
      </c>
      <c r="C3726" s="40" t="str">
        <f>IFERROR(__xludf.DUMMYFUNCTION("""COMPUTED_VALUE"""),"ACC")</f>
        <v>ACC</v>
      </c>
      <c r="D3726" s="40" t="str">
        <f>IFERROR(__xludf.DUMMYFUNCTION("""COMPUTED_VALUE"""),"Y21d series")</f>
        <v>Y21d series</v>
      </c>
      <c r="E3726" s="40" t="s">
        <v>11441</v>
      </c>
      <c r="F3726" s="40" t="s">
        <v>205</v>
      </c>
      <c r="G3726" s="40" t="s">
        <v>11442</v>
      </c>
      <c r="H3726" s="40" t="s">
        <v>11419</v>
      </c>
    </row>
    <row r="3727">
      <c r="A3727" s="39">
        <f>IFERROR(__xludf.DUMMYFUNCTION("""COMPUTED_VALUE"""),45999.851136840276)</f>
        <v>45999.85114</v>
      </c>
      <c r="B3727" s="40" t="str">
        <f>IFERROR(__xludf.DUMMYFUNCTION("""COMPUTED_VALUE"""),"DWITNEY PRETY WANGGANDIMA")</f>
        <v>DWITNEY PRETY WANGGANDIMA</v>
      </c>
      <c r="C3727" s="40" t="str">
        <f>IFERROR(__xludf.DUMMYFUNCTION("""COMPUTED_VALUE"""),"Belum disetujui")</f>
        <v>Belum disetujui</v>
      </c>
      <c r="D3727" s="40"/>
      <c r="E3727" s="40" t="s">
        <v>11443</v>
      </c>
      <c r="F3727" s="40" t="s">
        <v>220</v>
      </c>
      <c r="G3727" s="40" t="s">
        <v>11444</v>
      </c>
      <c r="H3727" s="40" t="s">
        <v>11399</v>
      </c>
    </row>
    <row r="3728">
      <c r="A3728" s="39">
        <f>IFERROR(__xludf.DUMMYFUNCTION("""COMPUTED_VALUE"""),45999.851389826385)</f>
        <v>45999.85139</v>
      </c>
      <c r="B3728" s="40" t="str">
        <f>IFERROR(__xludf.DUMMYFUNCTION("""COMPUTED_VALUE"""),"YOVANDA KATRINA NAE")</f>
        <v>YOVANDA KATRINA NAE</v>
      </c>
      <c r="C3728" s="40" t="str">
        <f>IFERROR(__xludf.DUMMYFUNCTION("""COMPUTED_VALUE"""),"ACC")</f>
        <v>ACC</v>
      </c>
      <c r="D3728" s="40" t="str">
        <f>IFERROR(__xludf.DUMMYFUNCTION("""COMPUTED_VALUE"""),"Y21d series")</f>
        <v>Y21d series</v>
      </c>
      <c r="E3728" s="40" t="s">
        <v>11425</v>
      </c>
      <c r="F3728" s="40" t="s">
        <v>205</v>
      </c>
      <c r="G3728" s="40" t="s">
        <v>11426</v>
      </c>
      <c r="H3728" s="40" t="s">
        <v>11419</v>
      </c>
    </row>
    <row r="3729">
      <c r="A3729" s="39">
        <f>IFERROR(__xludf.DUMMYFUNCTION("""COMPUTED_VALUE"""),45999.853733692136)</f>
        <v>45999.85373</v>
      </c>
      <c r="B3729" s="40" t="str">
        <f>IFERROR(__xludf.DUMMYFUNCTION("""COMPUTED_VALUE"""),"ESTER LUDJI")</f>
        <v>ESTER LUDJI</v>
      </c>
      <c r="C3729" s="40" t="str">
        <f>IFERROR(__xludf.DUMMYFUNCTION("""COMPUTED_VALUE"""),"ACC")</f>
        <v>ACC</v>
      </c>
      <c r="D3729" s="40" t="str">
        <f>IFERROR(__xludf.DUMMYFUNCTION("""COMPUTED_VALUE"""),"Y400 series")</f>
        <v>Y400 series</v>
      </c>
      <c r="E3729" s="40" t="s">
        <v>11441</v>
      </c>
      <c r="F3729" s="40" t="s">
        <v>205</v>
      </c>
      <c r="G3729" s="40" t="s">
        <v>11442</v>
      </c>
      <c r="H3729" s="40" t="s">
        <v>11419</v>
      </c>
    </row>
    <row r="3730">
      <c r="A3730" s="39">
        <f>IFERROR(__xludf.DUMMYFUNCTION("""COMPUTED_VALUE"""),45999.86493185186)</f>
        <v>45999.86493</v>
      </c>
      <c r="B3730" s="40" t="str">
        <f>IFERROR(__xludf.DUMMYFUNCTION("""COMPUTED_VALUE"""),"DWITNEY PRETY WANGGANDIMA")</f>
        <v>DWITNEY PRETY WANGGANDIMA</v>
      </c>
      <c r="C3730" s="40" t="str">
        <f>IFERROR(__xludf.DUMMYFUNCTION("""COMPUTED_VALUE"""),"Belum disetujui")</f>
        <v>Belum disetujui</v>
      </c>
      <c r="D3730" s="40"/>
      <c r="E3730" s="40" t="s">
        <v>11443</v>
      </c>
      <c r="F3730" s="40" t="s">
        <v>220</v>
      </c>
      <c r="G3730" s="40" t="s">
        <v>11444</v>
      </c>
      <c r="H3730" s="40" t="s">
        <v>11399</v>
      </c>
    </row>
    <row r="3731">
      <c r="A3731" s="39">
        <f>IFERROR(__xludf.DUMMYFUNCTION("""COMPUTED_VALUE"""),45999.86971136574)</f>
        <v>45999.86971</v>
      </c>
      <c r="B3731" s="40" t="str">
        <f>IFERROR(__xludf.DUMMYFUNCTION("""COMPUTED_VALUE"""),"ESTER LUDJI")</f>
        <v>ESTER LUDJI</v>
      </c>
      <c r="C3731" s="40" t="str">
        <f>IFERROR(__xludf.DUMMYFUNCTION("""COMPUTED_VALUE"""),"Belum disetujui")</f>
        <v>Belum disetujui</v>
      </c>
      <c r="D3731" s="40"/>
      <c r="E3731" s="40" t="s">
        <v>11441</v>
      </c>
      <c r="F3731" s="40" t="s">
        <v>205</v>
      </c>
      <c r="G3731" s="40" t="s">
        <v>11442</v>
      </c>
      <c r="H3731" s="40" t="s">
        <v>11419</v>
      </c>
    </row>
    <row r="3732">
      <c r="A3732" s="39">
        <f>IFERROR(__xludf.DUMMYFUNCTION("""COMPUTED_VALUE"""),45999.87781743055)</f>
        <v>45999.87782</v>
      </c>
      <c r="B3732" s="40" t="str">
        <f>IFERROR(__xludf.DUMMYFUNCTION("""COMPUTED_VALUE"""),"ESTER LUDJI")</f>
        <v>ESTER LUDJI</v>
      </c>
      <c r="C3732" s="40" t="str">
        <f>IFERROR(__xludf.DUMMYFUNCTION("""COMPUTED_VALUE"""),"Belum disetujui")</f>
        <v>Belum disetujui</v>
      </c>
      <c r="D3732" s="40"/>
      <c r="E3732" s="40" t="s">
        <v>11441</v>
      </c>
      <c r="F3732" s="40" t="s">
        <v>205</v>
      </c>
      <c r="G3732" s="40" t="s">
        <v>11442</v>
      </c>
      <c r="H3732" s="40" t="s">
        <v>11419</v>
      </c>
    </row>
    <row r="3733">
      <c r="A3733" s="39">
        <f>IFERROR(__xludf.DUMMYFUNCTION("""COMPUTED_VALUE"""),45999.88932263889)</f>
        <v>45999.88932</v>
      </c>
      <c r="B3733" s="40" t="str">
        <f>IFERROR(__xludf.DUMMYFUNCTION("""COMPUTED_VALUE"""),"HERONIMUS NAMU WALI")</f>
        <v>HERONIMUS NAMU WALI</v>
      </c>
      <c r="C3733" s="40" t="str">
        <f>IFERROR(__xludf.DUMMYFUNCTION("""COMPUTED_VALUE"""),"ACC")</f>
        <v>ACC</v>
      </c>
      <c r="D3733" s="40" t="str">
        <f>IFERROR(__xludf.DUMMYFUNCTION("""COMPUTED_VALUE"""),"Y21d series")</f>
        <v>Y21d series</v>
      </c>
      <c r="E3733" s="40" t="s">
        <v>11452</v>
      </c>
      <c r="F3733" s="40" t="s">
        <v>205</v>
      </c>
      <c r="G3733" s="40" t="s">
        <v>11453</v>
      </c>
      <c r="H3733" s="40" t="s">
        <v>11419</v>
      </c>
    </row>
    <row r="3734">
      <c r="A3734" s="39">
        <f>IFERROR(__xludf.DUMMYFUNCTION("""COMPUTED_VALUE"""),46000.350426481484)</f>
        <v>46000.35043</v>
      </c>
      <c r="B3734" s="40" t="str">
        <f>IFERROR(__xludf.DUMMYFUNCTION("""COMPUTED_VALUE"""),"JULIA DESY CASANDRA DA SILVA FREITAS")</f>
        <v>JULIA DESY CASANDRA DA SILVA FREITAS</v>
      </c>
      <c r="C3734" s="40" t="str">
        <f>IFERROR(__xludf.DUMMYFUNCTION("""COMPUTED_VALUE"""),"Belum disetujui")</f>
        <v>Belum disetujui</v>
      </c>
      <c r="D3734" s="40"/>
      <c r="E3734" s="40" t="s">
        <v>11480</v>
      </c>
      <c r="F3734" s="40" t="s">
        <v>220</v>
      </c>
      <c r="G3734" s="40" t="s">
        <v>11481</v>
      </c>
      <c r="H3734" s="40" t="s">
        <v>11399</v>
      </c>
    </row>
    <row r="3735">
      <c r="A3735" s="39">
        <f>IFERROR(__xludf.DUMMYFUNCTION("""COMPUTED_VALUE"""),46000.410462025466)</f>
        <v>46000.41046</v>
      </c>
      <c r="B3735" s="40" t="str">
        <f>IFERROR(__xludf.DUMMYFUNCTION("""COMPUTED_VALUE"""),"ARMINDA TEKU MANEK")</f>
        <v>ARMINDA TEKU MANEK</v>
      </c>
      <c r="C3735" s="40" t="str">
        <f>IFERROR(__xludf.DUMMYFUNCTION("""COMPUTED_VALUE"""),"Belum disetujui")</f>
        <v>Belum disetujui</v>
      </c>
      <c r="D3735" s="40"/>
      <c r="E3735" s="40" t="s">
        <v>11474</v>
      </c>
      <c r="F3735" s="40" t="s">
        <v>313</v>
      </c>
      <c r="G3735" s="40" t="s">
        <v>11475</v>
      </c>
      <c r="H3735" s="40" t="s">
        <v>11424</v>
      </c>
    </row>
    <row r="3736">
      <c r="A3736" s="39">
        <f>IFERROR(__xludf.DUMMYFUNCTION("""COMPUTED_VALUE"""),46000.41137392361)</f>
        <v>46000.41137</v>
      </c>
      <c r="B3736" s="40" t="str">
        <f>IFERROR(__xludf.DUMMYFUNCTION("""COMPUTED_VALUE"""),"ALDIANA WELIA PANIE")</f>
        <v>ALDIANA WELIA PANIE</v>
      </c>
      <c r="C3736" s="40" t="str">
        <f>IFERROR(__xludf.DUMMYFUNCTION("""COMPUTED_VALUE"""),"ACC")</f>
        <v>ACC</v>
      </c>
      <c r="D3736" s="40" t="str">
        <f>IFERROR(__xludf.DUMMYFUNCTION("""COMPUTED_VALUE"""),"V60 series")</f>
        <v>V60 series</v>
      </c>
      <c r="E3736" s="40" t="s">
        <v>11422</v>
      </c>
      <c r="F3736" s="40" t="s">
        <v>215</v>
      </c>
      <c r="G3736" s="40" t="s">
        <v>11423</v>
      </c>
      <c r="H3736" s="40" t="s">
        <v>11424</v>
      </c>
    </row>
    <row r="3737">
      <c r="A3737" s="39">
        <f>IFERROR(__xludf.DUMMYFUNCTION("""COMPUTED_VALUE"""),46000.411498483794)</f>
        <v>46000.4115</v>
      </c>
      <c r="B3737" s="40" t="str">
        <f>IFERROR(__xludf.DUMMYFUNCTION("""COMPUTED_VALUE"""),"ASTUTI BELA WAWO")</f>
        <v>ASTUTI BELA WAWO</v>
      </c>
      <c r="C3737" s="40" t="str">
        <f>IFERROR(__xludf.DUMMYFUNCTION("""COMPUTED_VALUE"""),"Belum disetujui")</f>
        <v>Belum disetujui</v>
      </c>
      <c r="D3737" s="40"/>
      <c r="E3737" s="40" t="s">
        <v>11427</v>
      </c>
      <c r="F3737" s="40" t="s">
        <v>257</v>
      </c>
      <c r="G3737" s="40" t="s">
        <v>11428</v>
      </c>
      <c r="H3737" s="40" t="s">
        <v>11419</v>
      </c>
    </row>
    <row r="3738">
      <c r="A3738" s="39">
        <f>IFERROR(__xludf.DUMMYFUNCTION("""COMPUTED_VALUE"""),46000.414873194444)</f>
        <v>46000.41487</v>
      </c>
      <c r="B3738" s="40" t="str">
        <f>IFERROR(__xludf.DUMMYFUNCTION("""COMPUTED_VALUE"""),"ALDIANA WELIA PANIE")</f>
        <v>ALDIANA WELIA PANIE</v>
      </c>
      <c r="C3738" s="40" t="str">
        <f>IFERROR(__xludf.DUMMYFUNCTION("""COMPUTED_VALUE"""),"Belum disetujui")</f>
        <v>Belum disetujui</v>
      </c>
      <c r="D3738" s="40"/>
      <c r="E3738" s="40" t="s">
        <v>11422</v>
      </c>
      <c r="F3738" s="40" t="s">
        <v>215</v>
      </c>
      <c r="G3738" s="40" t="s">
        <v>11423</v>
      </c>
      <c r="H3738" s="40" t="s">
        <v>11424</v>
      </c>
    </row>
    <row r="3739">
      <c r="A3739" s="39">
        <f>IFERROR(__xludf.DUMMYFUNCTION("""COMPUTED_VALUE"""),46000.44316833333)</f>
        <v>46000.44317</v>
      </c>
      <c r="B3739" s="40" t="str">
        <f>IFERROR(__xludf.DUMMYFUNCTION("""COMPUTED_VALUE"""),"JULIA DESY CASANDRA DA SILVA FREITAS")</f>
        <v>JULIA DESY CASANDRA DA SILVA FREITAS</v>
      </c>
      <c r="C3739" s="40" t="str">
        <f>IFERROR(__xludf.DUMMYFUNCTION("""COMPUTED_VALUE"""),"Belum disetujui")</f>
        <v>Belum disetujui</v>
      </c>
      <c r="D3739" s="40"/>
      <c r="E3739" s="40" t="s">
        <v>11480</v>
      </c>
      <c r="F3739" s="40" t="s">
        <v>220</v>
      </c>
      <c r="G3739" s="40" t="s">
        <v>11481</v>
      </c>
      <c r="H3739" s="40" t="s">
        <v>11399</v>
      </c>
    </row>
    <row r="3740">
      <c r="A3740" s="39">
        <f>IFERROR(__xludf.DUMMYFUNCTION("""COMPUTED_VALUE"""),46000.44424237269)</f>
        <v>46000.44424</v>
      </c>
      <c r="B3740" s="40" t="str">
        <f>IFERROR(__xludf.DUMMYFUNCTION("""COMPUTED_VALUE"""),"JULIA DESY CASANDRA DA SILVA FREITAS")</f>
        <v>JULIA DESY CASANDRA DA SILVA FREITAS</v>
      </c>
      <c r="C3740" s="40" t="str">
        <f>IFERROR(__xludf.DUMMYFUNCTION("""COMPUTED_VALUE"""),"Dapat limit tapi belum diproses")</f>
        <v>Dapat limit tapi belum diproses</v>
      </c>
      <c r="D3740" s="40" t="str">
        <f>IFERROR(__xludf.DUMMYFUNCTION("""COMPUTED_VALUE"""),"Y21d series")</f>
        <v>Y21d series</v>
      </c>
      <c r="E3740" s="40" t="s">
        <v>11480</v>
      </c>
      <c r="F3740" s="40" t="s">
        <v>220</v>
      </c>
      <c r="G3740" s="40" t="s">
        <v>11481</v>
      </c>
      <c r="H3740" s="40" t="s">
        <v>11399</v>
      </c>
    </row>
    <row r="3741">
      <c r="A3741" s="39">
        <f>IFERROR(__xludf.DUMMYFUNCTION("""COMPUTED_VALUE"""),46000.446707835654)</f>
        <v>46000.44671</v>
      </c>
      <c r="B3741" s="40" t="str">
        <f>IFERROR(__xludf.DUMMYFUNCTION("""COMPUTED_VALUE"""),"YUNITA TAMELAB")</f>
        <v>YUNITA TAMELAB</v>
      </c>
      <c r="C3741" s="40" t="str">
        <f>IFERROR(__xludf.DUMMYFUNCTION("""COMPUTED_VALUE"""),"Belum disetujui")</f>
        <v>Belum disetujui</v>
      </c>
      <c r="D3741" s="40"/>
      <c r="E3741" s="40" t="s">
        <v>11472</v>
      </c>
      <c r="F3741" s="40" t="s">
        <v>667</v>
      </c>
      <c r="G3741" s="40" t="s">
        <v>11473</v>
      </c>
      <c r="H3741" s="40" t="s">
        <v>11424</v>
      </c>
    </row>
    <row r="3742">
      <c r="A3742" s="39">
        <f>IFERROR(__xludf.DUMMYFUNCTION("""COMPUTED_VALUE"""),46000.47491965278)</f>
        <v>46000.47492</v>
      </c>
      <c r="B3742" s="40" t="str">
        <f>IFERROR(__xludf.DUMMYFUNCTION("""COMPUTED_VALUE"""),"MARIA MELAN ANANCE BILI")</f>
        <v>MARIA MELAN ANANCE BILI</v>
      </c>
      <c r="C3742" s="40" t="str">
        <f>IFERROR(__xludf.DUMMYFUNCTION("""COMPUTED_VALUE"""),"Belum disetujui")</f>
        <v>Belum disetujui</v>
      </c>
      <c r="D3742" s="40"/>
      <c r="E3742" s="40" t="s">
        <v>11466</v>
      </c>
      <c r="F3742" s="40" t="s">
        <v>257</v>
      </c>
      <c r="G3742" s="40" t="s">
        <v>11467</v>
      </c>
      <c r="H3742" s="40" t="s">
        <v>11419</v>
      </c>
    </row>
    <row r="3743">
      <c r="A3743" s="39">
        <f>IFERROR(__xludf.DUMMYFUNCTION("""COMPUTED_VALUE"""),46000.48011670139)</f>
        <v>46000.48012</v>
      </c>
      <c r="B3743" s="40" t="str">
        <f>IFERROR(__xludf.DUMMYFUNCTION("""COMPUTED_VALUE"""),"NABILA RAHMAWATI")</f>
        <v>NABILA RAHMAWATI</v>
      </c>
      <c r="C3743" s="40" t="str">
        <f>IFERROR(__xludf.DUMMYFUNCTION("""COMPUTED_VALUE"""),"Belum disetujui")</f>
        <v>Belum disetujui</v>
      </c>
      <c r="D3743" s="40"/>
      <c r="E3743" s="40" t="s">
        <v>11464</v>
      </c>
      <c r="F3743" s="40" t="s">
        <v>257</v>
      </c>
      <c r="G3743" s="40" t="s">
        <v>11465</v>
      </c>
      <c r="H3743" s="40" t="s">
        <v>11419</v>
      </c>
    </row>
    <row r="3744">
      <c r="A3744" s="39">
        <f>IFERROR(__xludf.DUMMYFUNCTION("""COMPUTED_VALUE"""),46000.50961607639)</f>
        <v>46000.50962</v>
      </c>
      <c r="B3744" s="40" t="str">
        <f>IFERROR(__xludf.DUMMYFUNCTION("""COMPUTED_VALUE"""),"SANTI MARIA LUKMINI NAHAK")</f>
        <v>SANTI MARIA LUKMINI NAHAK</v>
      </c>
      <c r="C3744" s="40" t="str">
        <f>IFERROR(__xludf.DUMMYFUNCTION("""COMPUTED_VALUE"""),"Dapat limit tapi belum diproses")</f>
        <v>Dapat limit tapi belum diproses</v>
      </c>
      <c r="D3744" s="40" t="str">
        <f>IFERROR(__xludf.DUMMYFUNCTION("""COMPUTED_VALUE"""),"Y21d series")</f>
        <v>Y21d series</v>
      </c>
      <c r="E3744" s="40" t="s">
        <v>11460</v>
      </c>
      <c r="F3744" s="40" t="s">
        <v>871</v>
      </c>
      <c r="G3744" s="40" t="s">
        <v>11461</v>
      </c>
      <c r="H3744" s="40" t="s">
        <v>11424</v>
      </c>
    </row>
    <row r="3745">
      <c r="A3745" s="39">
        <f>IFERROR(__xludf.DUMMYFUNCTION("""COMPUTED_VALUE"""),46000.51197527778)</f>
        <v>46000.51198</v>
      </c>
      <c r="B3745" s="40" t="str">
        <f>IFERROR(__xludf.DUMMYFUNCTION("""COMPUTED_VALUE"""),"AINI RAHMATINI NATALIA MOESTAKIM")</f>
        <v>AINI RAHMATINI NATALIA MOESTAKIM</v>
      </c>
      <c r="C3745" s="40" t="str">
        <f>IFERROR(__xludf.DUMMYFUNCTION("""COMPUTED_VALUE"""),"Belum disetujui")</f>
        <v>Belum disetujui</v>
      </c>
      <c r="D3745" s="40"/>
      <c r="E3745" s="40" t="s">
        <v>11409</v>
      </c>
      <c r="F3745" s="40" t="s">
        <v>204</v>
      </c>
      <c r="G3745" s="40" t="s">
        <v>11410</v>
      </c>
      <c r="H3745" s="40" t="s">
        <v>11399</v>
      </c>
    </row>
    <row r="3746">
      <c r="A3746" s="39">
        <f>IFERROR(__xludf.DUMMYFUNCTION("""COMPUTED_VALUE"""),46000.5127274537)</f>
        <v>46000.51273</v>
      </c>
      <c r="B3746" s="40" t="str">
        <f>IFERROR(__xludf.DUMMYFUNCTION("""COMPUTED_VALUE"""),"ROS YANE KANA LUDJI")</f>
        <v>ROS YANE KANA LUDJI</v>
      </c>
      <c r="C3746" s="40" t="str">
        <f>IFERROR(__xludf.DUMMYFUNCTION("""COMPUTED_VALUE"""),"Belum disetujui")</f>
        <v>Belum disetujui</v>
      </c>
      <c r="D3746" s="40"/>
      <c r="E3746" s="40" t="s">
        <v>11437</v>
      </c>
      <c r="F3746" s="40" t="s">
        <v>204</v>
      </c>
      <c r="G3746" s="40" t="s">
        <v>11438</v>
      </c>
      <c r="H3746" s="40" t="s">
        <v>11399</v>
      </c>
    </row>
    <row r="3747">
      <c r="A3747" s="39">
        <f>IFERROR(__xludf.DUMMYFUNCTION("""COMPUTED_VALUE"""),46000.51791510417)</f>
        <v>46000.51792</v>
      </c>
      <c r="B3747" s="40" t="str">
        <f>IFERROR(__xludf.DUMMYFUNCTION("""COMPUTED_VALUE"""),"MARNITHA JUWIKE TIMORATI RUNESI")</f>
        <v>MARNITHA JUWIKE TIMORATI RUNESI</v>
      </c>
      <c r="C3747" s="40" t="str">
        <f>IFERROR(__xludf.DUMMYFUNCTION("""COMPUTED_VALUE"""),"Belum disetujui")</f>
        <v>Belum disetujui</v>
      </c>
      <c r="D3747" s="40"/>
      <c r="E3747" s="40" t="s">
        <v>11420</v>
      </c>
      <c r="F3747" s="40" t="s">
        <v>204</v>
      </c>
      <c r="G3747" s="40" t="s">
        <v>11421</v>
      </c>
      <c r="H3747" s="40" t="s">
        <v>11399</v>
      </c>
    </row>
    <row r="3748">
      <c r="A3748" s="39">
        <f>IFERROR(__xludf.DUMMYFUNCTION("""COMPUTED_VALUE"""),46000.523833425934)</f>
        <v>46000.52383</v>
      </c>
      <c r="B3748" s="40" t="str">
        <f>IFERROR(__xludf.DUMMYFUNCTION("""COMPUTED_VALUE"""),"FREDERIKA ALVONSIA LENGO")</f>
        <v>FREDERIKA ALVONSIA LENGO</v>
      </c>
      <c r="C3748" s="40" t="str">
        <f>IFERROR(__xludf.DUMMYFUNCTION("""COMPUTED_VALUE"""),"Belum disetujui")</f>
        <v>Belum disetujui</v>
      </c>
      <c r="D3748" s="40"/>
      <c r="E3748" s="40" t="s">
        <v>11488</v>
      </c>
      <c r="F3748" s="40" t="s">
        <v>204</v>
      </c>
      <c r="G3748" s="40" t="s">
        <v>11489</v>
      </c>
      <c r="H3748" s="40" t="s">
        <v>11399</v>
      </c>
    </row>
    <row r="3749">
      <c r="A3749" s="39">
        <f>IFERROR(__xludf.DUMMYFUNCTION("""COMPUTED_VALUE"""),46000.531493877315)</f>
        <v>46000.53149</v>
      </c>
      <c r="B3749" s="40" t="str">
        <f>IFERROR(__xludf.DUMMYFUNCTION("""COMPUTED_VALUE"""),"YOHANA NOVIANA MARIANA GAA")</f>
        <v>YOHANA NOVIANA MARIANA GAA</v>
      </c>
      <c r="C3749" s="40" t="str">
        <f>IFERROR(__xludf.DUMMYFUNCTION("""COMPUTED_VALUE"""),"Belum disetujui")</f>
        <v>Belum disetujui</v>
      </c>
      <c r="D3749" s="40"/>
      <c r="E3749" s="40" t="s">
        <v>11400</v>
      </c>
      <c r="F3749" s="40" t="s">
        <v>204</v>
      </c>
      <c r="G3749" s="40" t="s">
        <v>11401</v>
      </c>
      <c r="H3749" s="40" t="s">
        <v>11399</v>
      </c>
    </row>
    <row r="3750">
      <c r="A3750" s="39">
        <f>IFERROR(__xludf.DUMMYFUNCTION("""COMPUTED_VALUE"""),46000.53325466435)</f>
        <v>46000.53325</v>
      </c>
      <c r="B3750" s="40" t="str">
        <f>IFERROR(__xludf.DUMMYFUNCTION("""COMPUTED_VALUE"""),"YOHANA NOVIANA MARIANA GAA")</f>
        <v>YOHANA NOVIANA MARIANA GAA</v>
      </c>
      <c r="C3750" s="40" t="str">
        <f>IFERROR(__xludf.DUMMYFUNCTION("""COMPUTED_VALUE"""),"Belum disetujui")</f>
        <v>Belum disetujui</v>
      </c>
      <c r="D3750" s="40"/>
      <c r="E3750" s="40" t="s">
        <v>11400</v>
      </c>
      <c r="F3750" s="40" t="s">
        <v>204</v>
      </c>
      <c r="G3750" s="40" t="s">
        <v>11401</v>
      </c>
      <c r="H3750" s="40" t="s">
        <v>11399</v>
      </c>
    </row>
    <row r="3751">
      <c r="A3751" s="39">
        <f>IFERROR(__xludf.DUMMYFUNCTION("""COMPUTED_VALUE"""),46000.53451153935)</f>
        <v>46000.53451</v>
      </c>
      <c r="B3751" s="40" t="str">
        <f>IFERROR(__xludf.DUMMYFUNCTION("""COMPUTED_VALUE"""),"YOHANA NOVIANA MARIANA GAA")</f>
        <v>YOHANA NOVIANA MARIANA GAA</v>
      </c>
      <c r="C3751" s="40" t="str">
        <f>IFERROR(__xludf.DUMMYFUNCTION("""COMPUTED_VALUE"""),"Belum disetujui")</f>
        <v>Belum disetujui</v>
      </c>
      <c r="D3751" s="40"/>
      <c r="E3751" s="40" t="s">
        <v>11400</v>
      </c>
      <c r="F3751" s="40" t="s">
        <v>204</v>
      </c>
      <c r="G3751" s="40" t="s">
        <v>11401</v>
      </c>
      <c r="H3751" s="40" t="s">
        <v>11399</v>
      </c>
    </row>
    <row r="3752">
      <c r="A3752" s="39">
        <f>IFERROR(__xludf.DUMMYFUNCTION("""COMPUTED_VALUE"""),46000.53643961806)</f>
        <v>46000.53644</v>
      </c>
      <c r="B3752" s="40" t="str">
        <f>IFERROR(__xludf.DUMMYFUNCTION("""COMPUTED_VALUE"""),"YOHANA NOVIANA MARIANA GAA")</f>
        <v>YOHANA NOVIANA MARIANA GAA</v>
      </c>
      <c r="C3752" s="40" t="str">
        <f>IFERROR(__xludf.DUMMYFUNCTION("""COMPUTED_VALUE"""),"Dapat limit tapi belum diproses")</f>
        <v>Dapat limit tapi belum diproses</v>
      </c>
      <c r="D3752" s="40" t="str">
        <f>IFERROR(__xludf.DUMMYFUNCTION("""COMPUTED_VALUE"""),"Y400 series")</f>
        <v>Y400 series</v>
      </c>
      <c r="E3752" s="40" t="s">
        <v>11400</v>
      </c>
      <c r="F3752" s="40" t="s">
        <v>204</v>
      </c>
      <c r="G3752" s="40" t="s">
        <v>11401</v>
      </c>
      <c r="H3752" s="40" t="s">
        <v>11399</v>
      </c>
    </row>
    <row r="3753">
      <c r="A3753" s="39">
        <f>IFERROR(__xludf.DUMMYFUNCTION("""COMPUTED_VALUE"""),46000.53960334491)</f>
        <v>46000.5396</v>
      </c>
      <c r="B3753" s="40" t="str">
        <f>IFERROR(__xludf.DUMMYFUNCTION("""COMPUTED_VALUE"""),"YOHANA NOVIANA MARIANA GAA")</f>
        <v>YOHANA NOVIANA MARIANA GAA</v>
      </c>
      <c r="C3753" s="40" t="str">
        <f>IFERROR(__xludf.DUMMYFUNCTION("""COMPUTED_VALUE"""),"Belum disetujui")</f>
        <v>Belum disetujui</v>
      </c>
      <c r="D3753" s="40"/>
      <c r="E3753" s="40" t="s">
        <v>11400</v>
      </c>
      <c r="F3753" s="40" t="s">
        <v>204</v>
      </c>
      <c r="G3753" s="40" t="s">
        <v>11401</v>
      </c>
      <c r="H3753" s="40" t="s">
        <v>11399</v>
      </c>
    </row>
    <row r="3754">
      <c r="A3754" s="39">
        <f>IFERROR(__xludf.DUMMYFUNCTION("""COMPUTED_VALUE"""),46000.54019989583)</f>
        <v>46000.5402</v>
      </c>
      <c r="B3754" s="40" t="str">
        <f>IFERROR(__xludf.DUMMYFUNCTION("""COMPUTED_VALUE"""),"NUR FATIMAH MOLBANG")</f>
        <v>NUR FATIMAH MOLBANG</v>
      </c>
      <c r="C3754" s="40" t="str">
        <f>IFERROR(__xludf.DUMMYFUNCTION("""COMPUTED_VALUE"""),"Belum disetujui")</f>
        <v>Belum disetujui</v>
      </c>
      <c r="D3754" s="40"/>
      <c r="E3754" s="40" t="s">
        <v>11439</v>
      </c>
      <c r="F3754" s="40" t="s">
        <v>313</v>
      </c>
      <c r="G3754" s="40" t="s">
        <v>11440</v>
      </c>
      <c r="H3754" s="40" t="s">
        <v>11424</v>
      </c>
    </row>
    <row r="3755">
      <c r="A3755" s="39">
        <f>IFERROR(__xludf.DUMMYFUNCTION("""COMPUTED_VALUE"""),46000.54316631944)</f>
        <v>46000.54317</v>
      </c>
      <c r="B3755" s="40" t="str">
        <f>IFERROR(__xludf.DUMMYFUNCTION("""COMPUTED_VALUE"""),"ASTUTI BELA WAWO")</f>
        <v>ASTUTI BELA WAWO</v>
      </c>
      <c r="C3755" s="40" t="str">
        <f>IFERROR(__xludf.DUMMYFUNCTION("""COMPUTED_VALUE"""),"Belum disetujui")</f>
        <v>Belum disetujui</v>
      </c>
      <c r="D3755" s="40"/>
      <c r="E3755" s="40" t="s">
        <v>11427</v>
      </c>
      <c r="F3755" s="40" t="s">
        <v>257</v>
      </c>
      <c r="G3755" s="40" t="s">
        <v>11428</v>
      </c>
      <c r="H3755" s="40" t="s">
        <v>11419</v>
      </c>
    </row>
    <row r="3756">
      <c r="A3756" s="39">
        <f>IFERROR(__xludf.DUMMYFUNCTION("""COMPUTED_VALUE"""),46000.549629085646)</f>
        <v>46000.54963</v>
      </c>
      <c r="B3756" s="40" t="str">
        <f>IFERROR(__xludf.DUMMYFUNCTION("""COMPUTED_VALUE"""),"YUNITA TAMELAB")</f>
        <v>YUNITA TAMELAB</v>
      </c>
      <c r="C3756" s="40" t="str">
        <f>IFERROR(__xludf.DUMMYFUNCTION("""COMPUTED_VALUE"""),"Belum disetujui")</f>
        <v>Belum disetujui</v>
      </c>
      <c r="D3756" s="40"/>
      <c r="E3756" s="40" t="s">
        <v>11472</v>
      </c>
      <c r="F3756" s="40" t="s">
        <v>667</v>
      </c>
      <c r="G3756" s="40" t="s">
        <v>11473</v>
      </c>
      <c r="H3756" s="40" t="s">
        <v>11424</v>
      </c>
    </row>
    <row r="3757">
      <c r="A3757" s="39">
        <f>IFERROR(__xludf.DUMMYFUNCTION("""COMPUTED_VALUE"""),46000.55108972222)</f>
        <v>46000.55109</v>
      </c>
      <c r="B3757" s="40" t="str">
        <f>IFERROR(__xludf.DUMMYFUNCTION("""COMPUTED_VALUE"""),"PRETI SISILIA SILA")</f>
        <v>PRETI SISILIA SILA</v>
      </c>
      <c r="C3757" s="40" t="str">
        <f>IFERROR(__xludf.DUMMYFUNCTION("""COMPUTED_VALUE"""),"Belum disetujui")</f>
        <v>Belum disetujui</v>
      </c>
      <c r="D3757" s="40"/>
      <c r="E3757" s="40" t="s">
        <v>11456</v>
      </c>
      <c r="F3757" s="40" t="s">
        <v>667</v>
      </c>
      <c r="G3757" s="40" t="s">
        <v>11457</v>
      </c>
      <c r="H3757" s="40" t="s">
        <v>11424</v>
      </c>
    </row>
    <row r="3758">
      <c r="A3758" s="39">
        <f>IFERROR(__xludf.DUMMYFUNCTION("""COMPUTED_VALUE"""),46000.55799458333)</f>
        <v>46000.55799</v>
      </c>
      <c r="B3758" s="40" t="str">
        <f>IFERROR(__xludf.DUMMYFUNCTION("""COMPUTED_VALUE"""),"MARIA MELAN ANANCE BILI")</f>
        <v>MARIA MELAN ANANCE BILI</v>
      </c>
      <c r="C3758" s="40" t="str">
        <f>IFERROR(__xludf.DUMMYFUNCTION("""COMPUTED_VALUE"""),"ACC")</f>
        <v>ACC</v>
      </c>
      <c r="D3758" s="40" t="str">
        <f>IFERROR(__xludf.DUMMYFUNCTION("""COMPUTED_VALUE"""),"Y400 series")</f>
        <v>Y400 series</v>
      </c>
      <c r="E3758" s="40" t="s">
        <v>11466</v>
      </c>
      <c r="F3758" s="40" t="s">
        <v>257</v>
      </c>
      <c r="G3758" s="40" t="s">
        <v>11467</v>
      </c>
      <c r="H3758" s="40" t="s">
        <v>11419</v>
      </c>
    </row>
    <row r="3759">
      <c r="A3759" s="39">
        <f>IFERROR(__xludf.DUMMYFUNCTION("""COMPUTED_VALUE"""),46000.5953212963)</f>
        <v>46000.59532</v>
      </c>
      <c r="B3759" s="40" t="str">
        <f>IFERROR(__xludf.DUMMYFUNCTION("""COMPUTED_VALUE"""),"MARIA MELAN ANANCE BILI")</f>
        <v>MARIA MELAN ANANCE BILI</v>
      </c>
      <c r="C3759" s="40" t="str">
        <f>IFERROR(__xludf.DUMMYFUNCTION("""COMPUTED_VALUE"""),"Belum disetujui")</f>
        <v>Belum disetujui</v>
      </c>
      <c r="D3759" s="40"/>
      <c r="E3759" s="40" t="s">
        <v>11466</v>
      </c>
      <c r="F3759" s="40" t="s">
        <v>257</v>
      </c>
      <c r="G3759" s="40" t="s">
        <v>11467</v>
      </c>
      <c r="H3759" s="40" t="s">
        <v>11419</v>
      </c>
    </row>
    <row r="3760">
      <c r="A3760" s="39">
        <f>IFERROR(__xludf.DUMMYFUNCTION("""COMPUTED_VALUE"""),46000.621483854164)</f>
        <v>46000.62148</v>
      </c>
      <c r="B3760" s="40" t="str">
        <f>IFERROR(__xludf.DUMMYFUNCTION("""COMPUTED_VALUE"""),"ADRIANA")</f>
        <v>ADRIANA</v>
      </c>
      <c r="C3760" s="40" t="str">
        <f>IFERROR(__xludf.DUMMYFUNCTION("""COMPUTED_VALUE"""),"ACC")</f>
        <v>ACC</v>
      </c>
      <c r="D3760" s="40" t="str">
        <f>IFERROR(__xludf.DUMMYFUNCTION("""COMPUTED_VALUE"""),"V60 Lite series")</f>
        <v>V60 Lite series</v>
      </c>
      <c r="E3760" s="40" t="s">
        <v>11433</v>
      </c>
      <c r="F3760" s="40" t="s">
        <v>313</v>
      </c>
      <c r="G3760" s="40" t="s">
        <v>11434</v>
      </c>
      <c r="H3760" s="40" t="s">
        <v>11424</v>
      </c>
    </row>
    <row r="3761">
      <c r="A3761" s="39">
        <f>IFERROR(__xludf.DUMMYFUNCTION("""COMPUTED_VALUE"""),46000.623122048615)</f>
        <v>46000.62312</v>
      </c>
      <c r="B3761" s="40" t="str">
        <f>IFERROR(__xludf.DUMMYFUNCTION("""COMPUTED_VALUE"""),"ADRIANA")</f>
        <v>ADRIANA</v>
      </c>
      <c r="C3761" s="40" t="str">
        <f>IFERROR(__xludf.DUMMYFUNCTION("""COMPUTED_VALUE"""),"Belum disetujui")</f>
        <v>Belum disetujui</v>
      </c>
      <c r="D3761" s="40"/>
      <c r="E3761" s="40" t="s">
        <v>11433</v>
      </c>
      <c r="F3761" s="40" t="s">
        <v>313</v>
      </c>
      <c r="G3761" s="40" t="s">
        <v>11434</v>
      </c>
      <c r="H3761" s="40" t="s">
        <v>11424</v>
      </c>
    </row>
    <row r="3762">
      <c r="A3762" s="39">
        <f>IFERROR(__xludf.DUMMYFUNCTION("""COMPUTED_VALUE"""),46000.63864711805)</f>
        <v>46000.63865</v>
      </c>
      <c r="B3762" s="40" t="str">
        <f>IFERROR(__xludf.DUMMYFUNCTION("""COMPUTED_VALUE"""),"NOVLIANA BARBALINA MISA")</f>
        <v>NOVLIANA BARBALINA MISA</v>
      </c>
      <c r="C3762" s="40" t="str">
        <f>IFERROR(__xludf.DUMMYFUNCTION("""COMPUTED_VALUE"""),"Dapat limit tapi belum diproses")</f>
        <v>Dapat limit tapi belum diproses</v>
      </c>
      <c r="D3762" s="40" t="str">
        <f>IFERROR(__xludf.DUMMYFUNCTION("""COMPUTED_VALUE"""),"Y21d series")</f>
        <v>Y21d series</v>
      </c>
      <c r="E3762" s="40" t="s">
        <v>11454</v>
      </c>
      <c r="F3762" s="40" t="s">
        <v>205</v>
      </c>
      <c r="G3762" s="40" t="s">
        <v>11455</v>
      </c>
      <c r="H3762" s="40" t="s">
        <v>11419</v>
      </c>
    </row>
    <row r="3763">
      <c r="A3763" s="39">
        <f>IFERROR(__xludf.DUMMYFUNCTION("""COMPUTED_VALUE"""),46000.65089099537)</f>
        <v>46000.65089</v>
      </c>
      <c r="B3763" s="40" t="str">
        <f>IFERROR(__xludf.DUMMYFUNCTION("""COMPUTED_VALUE"""),"YOMELIANA MARIA MAGNO")</f>
        <v>YOMELIANA MARIA MAGNO</v>
      </c>
      <c r="C3763" s="40" t="str">
        <f>IFERROR(__xludf.DUMMYFUNCTION("""COMPUTED_VALUE"""),"Belum disetujui")</f>
        <v>Belum disetujui</v>
      </c>
      <c r="D3763" s="40"/>
      <c r="E3763" s="40" t="s">
        <v>11460</v>
      </c>
      <c r="F3763" s="40" t="s">
        <v>871</v>
      </c>
      <c r="G3763" s="40" t="s">
        <v>11461</v>
      </c>
      <c r="H3763" s="40" t="s">
        <v>11424</v>
      </c>
    </row>
    <row r="3764">
      <c r="A3764" s="39">
        <f>IFERROR(__xludf.DUMMYFUNCTION("""COMPUTED_VALUE"""),46000.65877443287)</f>
        <v>46000.65877</v>
      </c>
      <c r="B3764" s="40" t="str">
        <f>IFERROR(__xludf.DUMMYFUNCTION("""COMPUTED_VALUE"""),"PRETI SISILIA SILA")</f>
        <v>PRETI SISILIA SILA</v>
      </c>
      <c r="C3764" s="40" t="str">
        <f>IFERROR(__xludf.DUMMYFUNCTION("""COMPUTED_VALUE"""),"Belum disetujui")</f>
        <v>Belum disetujui</v>
      </c>
      <c r="D3764" s="40"/>
      <c r="E3764" s="40" t="s">
        <v>11456</v>
      </c>
      <c r="F3764" s="40" t="s">
        <v>667</v>
      </c>
      <c r="G3764" s="40" t="s">
        <v>11457</v>
      </c>
      <c r="H3764" s="40" t="s">
        <v>11424</v>
      </c>
    </row>
    <row r="3765">
      <c r="A3765" s="39">
        <f>IFERROR(__xludf.DUMMYFUNCTION("""COMPUTED_VALUE"""),46000.70382956019)</f>
        <v>46000.70383</v>
      </c>
      <c r="B3765" s="40" t="str">
        <f>IFERROR(__xludf.DUMMYFUNCTION("""COMPUTED_VALUE"""),"HERONIMUS NAMU WALI")</f>
        <v>HERONIMUS NAMU WALI</v>
      </c>
      <c r="C3765" s="40" t="str">
        <f>IFERROR(__xludf.DUMMYFUNCTION("""COMPUTED_VALUE"""),"Belum disetujui")</f>
        <v>Belum disetujui</v>
      </c>
      <c r="D3765" s="40"/>
      <c r="E3765" s="40" t="s">
        <v>11452</v>
      </c>
      <c r="F3765" s="40" t="s">
        <v>205</v>
      </c>
      <c r="G3765" s="40" t="s">
        <v>11453</v>
      </c>
      <c r="H3765" s="40" t="s">
        <v>11419</v>
      </c>
    </row>
    <row r="3766">
      <c r="A3766" s="39">
        <f>IFERROR(__xludf.DUMMYFUNCTION("""COMPUTED_VALUE"""),46000.707464722225)</f>
        <v>46000.70746</v>
      </c>
      <c r="B3766" s="40" t="str">
        <f>IFERROR(__xludf.DUMMYFUNCTION("""COMPUTED_VALUE"""),"MARIA MELAN ANANCE BILI")</f>
        <v>MARIA MELAN ANANCE BILI</v>
      </c>
      <c r="C3766" s="40" t="str">
        <f>IFERROR(__xludf.DUMMYFUNCTION("""COMPUTED_VALUE"""),"ACC")</f>
        <v>ACC</v>
      </c>
      <c r="D3766" s="40" t="str">
        <f>IFERROR(__xludf.DUMMYFUNCTION("""COMPUTED_VALUE"""),"Y400 series")</f>
        <v>Y400 series</v>
      </c>
      <c r="E3766" s="40" t="s">
        <v>11466</v>
      </c>
      <c r="F3766" s="40" t="s">
        <v>257</v>
      </c>
      <c r="G3766" s="40" t="s">
        <v>11467</v>
      </c>
      <c r="H3766" s="40" t="s">
        <v>11419</v>
      </c>
    </row>
    <row r="3767">
      <c r="A3767" s="39">
        <f>IFERROR(__xludf.DUMMYFUNCTION("""COMPUTED_VALUE"""),46000.72466763889)</f>
        <v>46000.72467</v>
      </c>
      <c r="B3767" s="40" t="str">
        <f>IFERROR(__xludf.DUMMYFUNCTION("""COMPUTED_VALUE"""),"WARDIA")</f>
        <v>WARDIA</v>
      </c>
      <c r="C3767" s="40" t="str">
        <f>IFERROR(__xludf.DUMMYFUNCTION("""COMPUTED_VALUE"""),"ACC")</f>
        <v>ACC</v>
      </c>
      <c r="D3767" s="40" t="str">
        <f>IFERROR(__xludf.DUMMYFUNCTION("""COMPUTED_VALUE"""),"Y21d series")</f>
        <v>Y21d series</v>
      </c>
      <c r="E3767" s="40" t="s">
        <v>11409</v>
      </c>
      <c r="F3767" s="40" t="s">
        <v>204</v>
      </c>
      <c r="G3767" s="40" t="s">
        <v>11410</v>
      </c>
      <c r="H3767" s="40" t="s">
        <v>11399</v>
      </c>
    </row>
    <row r="3768">
      <c r="A3768" s="39">
        <f>IFERROR(__xludf.DUMMYFUNCTION("""COMPUTED_VALUE"""),46000.73178601852)</f>
        <v>46000.73179</v>
      </c>
      <c r="B3768" s="40" t="str">
        <f>IFERROR(__xludf.DUMMYFUNCTION("""COMPUTED_VALUE"""),"MARIA MELAN ANANCE BILI")</f>
        <v>MARIA MELAN ANANCE BILI</v>
      </c>
      <c r="C3768" s="40" t="str">
        <f>IFERROR(__xludf.DUMMYFUNCTION("""COMPUTED_VALUE"""),"Belum disetujui")</f>
        <v>Belum disetujui</v>
      </c>
      <c r="D3768" s="40"/>
      <c r="E3768" s="40" t="s">
        <v>11466</v>
      </c>
      <c r="F3768" s="40" t="s">
        <v>257</v>
      </c>
      <c r="G3768" s="40" t="s">
        <v>11467</v>
      </c>
      <c r="H3768" s="40" t="s">
        <v>11419</v>
      </c>
    </row>
    <row r="3769">
      <c r="A3769" s="39">
        <f>IFERROR(__xludf.DUMMYFUNCTION("""COMPUTED_VALUE"""),46000.750495381944)</f>
        <v>46000.7505</v>
      </c>
      <c r="B3769" s="40" t="str">
        <f>IFERROR(__xludf.DUMMYFUNCTION("""COMPUTED_VALUE"""),"BERGITHA NIA OLIN")</f>
        <v>BERGITHA NIA OLIN</v>
      </c>
      <c r="C3769" s="40" t="str">
        <f>IFERROR(__xludf.DUMMYFUNCTION("""COMPUTED_VALUE"""),"Belum disetujui")</f>
        <v>Belum disetujui</v>
      </c>
      <c r="D3769" s="40"/>
      <c r="E3769" s="40" t="s">
        <v>11431</v>
      </c>
      <c r="F3769" s="40" t="s">
        <v>313</v>
      </c>
      <c r="G3769" s="40" t="s">
        <v>11432</v>
      </c>
      <c r="H3769" s="40" t="s">
        <v>11424</v>
      </c>
    </row>
    <row r="3770">
      <c r="A3770" s="39">
        <f>IFERROR(__xludf.DUMMYFUNCTION("""COMPUTED_VALUE"""),46000.75258936342)</f>
        <v>46000.75259</v>
      </c>
      <c r="B3770" s="40" t="str">
        <f>IFERROR(__xludf.DUMMYFUNCTION("""COMPUTED_VALUE"""),"BERGITHA NIA OLIN")</f>
        <v>BERGITHA NIA OLIN</v>
      </c>
      <c r="C3770" s="40" t="str">
        <f>IFERROR(__xludf.DUMMYFUNCTION("""COMPUTED_VALUE"""),"Belum disetujui")</f>
        <v>Belum disetujui</v>
      </c>
      <c r="D3770" s="40"/>
      <c r="E3770" s="40" t="s">
        <v>11431</v>
      </c>
      <c r="F3770" s="40" t="s">
        <v>313</v>
      </c>
      <c r="G3770" s="40" t="s">
        <v>11432</v>
      </c>
      <c r="H3770" s="40" t="s">
        <v>11424</v>
      </c>
    </row>
    <row r="3771">
      <c r="A3771" s="39">
        <f>IFERROR(__xludf.DUMMYFUNCTION("""COMPUTED_VALUE"""),46000.75535398148)</f>
        <v>46000.75535</v>
      </c>
      <c r="B3771" s="40" t="str">
        <f>IFERROR(__xludf.DUMMYFUNCTION("""COMPUTED_VALUE"""),"BERGITHA NIA OLIN")</f>
        <v>BERGITHA NIA OLIN</v>
      </c>
      <c r="C3771" s="40" t="str">
        <f>IFERROR(__xludf.DUMMYFUNCTION("""COMPUTED_VALUE"""),"Dapat limit tapi belum diproses")</f>
        <v>Dapat limit tapi belum diproses</v>
      </c>
      <c r="D3771" s="40" t="str">
        <f>IFERROR(__xludf.DUMMYFUNCTION("""COMPUTED_VALUE"""),"Y21d series")</f>
        <v>Y21d series</v>
      </c>
      <c r="E3771" s="40" t="s">
        <v>11431</v>
      </c>
      <c r="F3771" s="40" t="s">
        <v>313</v>
      </c>
      <c r="G3771" s="40" t="s">
        <v>11432</v>
      </c>
      <c r="H3771" s="40" t="s">
        <v>11424</v>
      </c>
    </row>
    <row r="3772">
      <c r="A3772" s="39">
        <f>IFERROR(__xludf.DUMMYFUNCTION("""COMPUTED_VALUE"""),46000.75678689815)</f>
        <v>46000.75679</v>
      </c>
      <c r="B3772" s="40" t="str">
        <f>IFERROR(__xludf.DUMMYFUNCTION("""COMPUTED_VALUE"""),"SANTI MARIA LUKMINI NAHAK")</f>
        <v>SANTI MARIA LUKMINI NAHAK</v>
      </c>
      <c r="C3772" s="40" t="str">
        <f>IFERROR(__xludf.DUMMYFUNCTION("""COMPUTED_VALUE"""),"Dapat limit tapi belum diproses")</f>
        <v>Dapat limit tapi belum diproses</v>
      </c>
      <c r="D3772" s="40" t="str">
        <f>IFERROR(__xludf.DUMMYFUNCTION("""COMPUTED_VALUE"""),"Y21d series")</f>
        <v>Y21d series</v>
      </c>
      <c r="E3772" s="40" t="s">
        <v>11460</v>
      </c>
      <c r="F3772" s="40" t="s">
        <v>871</v>
      </c>
      <c r="G3772" s="40" t="s">
        <v>11461</v>
      </c>
      <c r="H3772" s="40" t="s">
        <v>11424</v>
      </c>
    </row>
    <row r="3773">
      <c r="A3773" s="39">
        <f>IFERROR(__xludf.DUMMYFUNCTION("""COMPUTED_VALUE"""),46000.760363912035)</f>
        <v>46000.76036</v>
      </c>
      <c r="B3773" s="40" t="str">
        <f>IFERROR(__xludf.DUMMYFUNCTION("""COMPUTED_VALUE"""),"YUNITA TAMELAB")</f>
        <v>YUNITA TAMELAB</v>
      </c>
      <c r="C3773" s="40" t="str">
        <f>IFERROR(__xludf.DUMMYFUNCTION("""COMPUTED_VALUE"""),"Dapat limit tapi belum diproses")</f>
        <v>Dapat limit tapi belum diproses</v>
      </c>
      <c r="D3773" s="40" t="str">
        <f>IFERROR(__xludf.DUMMYFUNCTION("""COMPUTED_VALUE"""),"Y400 series")</f>
        <v>Y400 series</v>
      </c>
      <c r="E3773" s="40" t="s">
        <v>11472</v>
      </c>
      <c r="F3773" s="40" t="s">
        <v>667</v>
      </c>
      <c r="G3773" s="40" t="s">
        <v>11473</v>
      </c>
      <c r="H3773" s="40" t="s">
        <v>11424</v>
      </c>
    </row>
    <row r="3774">
      <c r="A3774" s="39">
        <f>IFERROR(__xludf.DUMMYFUNCTION("""COMPUTED_VALUE"""),46000.78075741898)</f>
        <v>46000.78076</v>
      </c>
      <c r="B3774" s="40" t="str">
        <f>IFERROR(__xludf.DUMMYFUNCTION("""COMPUTED_VALUE"""),"AINI RAHMATINI NATALIA MOESTAKIM")</f>
        <v>AINI RAHMATINI NATALIA MOESTAKIM</v>
      </c>
      <c r="C3774" s="40" t="str">
        <f>IFERROR(__xludf.DUMMYFUNCTION("""COMPUTED_VALUE"""),"Dapat limit tapi belum diproses")</f>
        <v>Dapat limit tapi belum diproses</v>
      </c>
      <c r="D3774" s="40" t="str">
        <f>IFERROR(__xludf.DUMMYFUNCTION("""COMPUTED_VALUE"""),"Y21d series")</f>
        <v>Y21d series</v>
      </c>
      <c r="E3774" s="40" t="s">
        <v>11409</v>
      </c>
      <c r="F3774" s="40" t="s">
        <v>204</v>
      </c>
      <c r="G3774" s="40" t="s">
        <v>11410</v>
      </c>
      <c r="H3774" s="40" t="s">
        <v>11399</v>
      </c>
    </row>
    <row r="3775">
      <c r="A3775" s="39">
        <f>IFERROR(__xludf.DUMMYFUNCTION("""COMPUTED_VALUE"""),46000.80313597222)</f>
        <v>46000.80314</v>
      </c>
      <c r="B3775" s="40" t="str">
        <f>IFERROR(__xludf.DUMMYFUNCTION("""COMPUTED_VALUE"""),"NENY MERLIANTI NA'U")</f>
        <v>NENY MERLIANTI NA'U</v>
      </c>
      <c r="C3775" s="40" t="str">
        <f>IFERROR(__xludf.DUMMYFUNCTION("""COMPUTED_VALUE"""),"Belum disetujui")</f>
        <v>Belum disetujui</v>
      </c>
      <c r="D3775" s="40"/>
      <c r="E3775" s="40" t="s">
        <v>11476</v>
      </c>
      <c r="F3775" s="40" t="s">
        <v>204</v>
      </c>
      <c r="G3775" s="40" t="s">
        <v>11477</v>
      </c>
      <c r="H3775" s="40" t="s">
        <v>11399</v>
      </c>
    </row>
    <row r="3776">
      <c r="A3776" s="39">
        <f>IFERROR(__xludf.DUMMYFUNCTION("""COMPUTED_VALUE"""),46000.80488174769)</f>
        <v>46000.80488</v>
      </c>
      <c r="B3776" s="40" t="str">
        <f>IFERROR(__xludf.DUMMYFUNCTION("""COMPUTED_VALUE"""),"NENY MERLIANTI NA'U")</f>
        <v>NENY MERLIANTI NA'U</v>
      </c>
      <c r="C3776" s="40" t="str">
        <f>IFERROR(__xludf.DUMMYFUNCTION("""COMPUTED_VALUE"""),"Belum disetujui")</f>
        <v>Belum disetujui</v>
      </c>
      <c r="D3776" s="40"/>
      <c r="E3776" s="40" t="s">
        <v>11476</v>
      </c>
      <c r="F3776" s="40" t="s">
        <v>204</v>
      </c>
      <c r="G3776" s="40" t="s">
        <v>11477</v>
      </c>
      <c r="H3776" s="40" t="s">
        <v>11399</v>
      </c>
    </row>
    <row r="3777">
      <c r="A3777" s="39">
        <f>IFERROR(__xludf.DUMMYFUNCTION("""COMPUTED_VALUE"""),46000.808070914354)</f>
        <v>46000.80807</v>
      </c>
      <c r="B3777" s="40" t="str">
        <f>IFERROR(__xludf.DUMMYFUNCTION("""COMPUTED_VALUE"""),"KESIA NATALIA I. BENU")</f>
        <v>KESIA NATALIA I. BENU</v>
      </c>
      <c r="C3777" s="40" t="str">
        <f>IFERROR(__xludf.DUMMYFUNCTION("""COMPUTED_VALUE"""),"Belum disetujui")</f>
        <v>Belum disetujui</v>
      </c>
      <c r="D3777" s="40"/>
      <c r="E3777" s="40" t="s">
        <v>11417</v>
      </c>
      <c r="F3777" s="40" t="s">
        <v>257</v>
      </c>
      <c r="G3777" s="40" t="s">
        <v>11418</v>
      </c>
      <c r="H3777" s="40" t="s">
        <v>11419</v>
      </c>
    </row>
    <row r="3778">
      <c r="A3778" s="39">
        <f>IFERROR(__xludf.DUMMYFUNCTION("""COMPUTED_VALUE"""),46000.810912534726)</f>
        <v>46000.81091</v>
      </c>
      <c r="B3778" s="40" t="str">
        <f>IFERROR(__xludf.DUMMYFUNCTION("""COMPUTED_VALUE"""),"KESIA NATALIA I. BENU")</f>
        <v>KESIA NATALIA I. BENU</v>
      </c>
      <c r="C3778" s="40" t="str">
        <f>IFERROR(__xludf.DUMMYFUNCTION("""COMPUTED_VALUE"""),"Belum disetujui")</f>
        <v>Belum disetujui</v>
      </c>
      <c r="D3778" s="40"/>
      <c r="E3778" s="40" t="s">
        <v>11417</v>
      </c>
      <c r="F3778" s="40" t="s">
        <v>257</v>
      </c>
      <c r="G3778" s="40" t="s">
        <v>11418</v>
      </c>
      <c r="H3778" s="40" t="s">
        <v>11419</v>
      </c>
    </row>
    <row r="3779">
      <c r="A3779" s="39">
        <f>IFERROR(__xludf.DUMMYFUNCTION("""COMPUTED_VALUE"""),46000.811353969904)</f>
        <v>46000.81135</v>
      </c>
      <c r="B3779" s="40" t="str">
        <f>IFERROR(__xludf.DUMMYFUNCTION("""COMPUTED_VALUE"""),"EMPI FRANGKI LIEM")</f>
        <v>EMPI FRANGKI LIEM</v>
      </c>
      <c r="C3779" s="40" t="str">
        <f>IFERROR(__xludf.DUMMYFUNCTION("""COMPUTED_VALUE"""),"ACC")</f>
        <v>ACC</v>
      </c>
      <c r="D3779" s="40" t="str">
        <f>IFERROR(__xludf.DUMMYFUNCTION("""COMPUTED_VALUE"""),"Y400 series")</f>
        <v>Y400 series</v>
      </c>
      <c r="E3779" s="40" t="s">
        <v>11397</v>
      </c>
      <c r="F3779" s="40" t="s">
        <v>220</v>
      </c>
      <c r="G3779" s="40" t="s">
        <v>11398</v>
      </c>
      <c r="H3779" s="40" t="s">
        <v>11399</v>
      </c>
    </row>
    <row r="3780">
      <c r="A3780" s="39">
        <f>IFERROR(__xludf.DUMMYFUNCTION("""COMPUTED_VALUE"""),46000.81366552084)</f>
        <v>46000.81367</v>
      </c>
      <c r="B3780" s="40" t="str">
        <f>IFERROR(__xludf.DUMMYFUNCTION("""COMPUTED_VALUE"""),"KESIA NATALIA I. BENU")</f>
        <v>KESIA NATALIA I. BENU</v>
      </c>
      <c r="C3780" s="40" t="str">
        <f>IFERROR(__xludf.DUMMYFUNCTION("""COMPUTED_VALUE"""),"Belum disetujui")</f>
        <v>Belum disetujui</v>
      </c>
      <c r="D3780" s="40"/>
      <c r="E3780" s="40" t="s">
        <v>11417</v>
      </c>
      <c r="F3780" s="40" t="s">
        <v>257</v>
      </c>
      <c r="G3780" s="40" t="s">
        <v>11418</v>
      </c>
      <c r="H3780" s="40" t="s">
        <v>11419</v>
      </c>
    </row>
    <row r="3781">
      <c r="A3781" s="39">
        <f>IFERROR(__xludf.DUMMYFUNCTION("""COMPUTED_VALUE"""),46000.830876099535)</f>
        <v>46000.83088</v>
      </c>
      <c r="B3781" s="40" t="str">
        <f>IFERROR(__xludf.DUMMYFUNCTION("""COMPUTED_VALUE"""),"NENY MERLIANTI NA'U")</f>
        <v>NENY MERLIANTI NA'U</v>
      </c>
      <c r="C3781" s="40" t="str">
        <f>IFERROR(__xludf.DUMMYFUNCTION("""COMPUTED_VALUE"""),"Belum disetujui")</f>
        <v>Belum disetujui</v>
      </c>
      <c r="D3781" s="40"/>
      <c r="E3781" s="40" t="s">
        <v>11476</v>
      </c>
      <c r="F3781" s="40" t="s">
        <v>204</v>
      </c>
      <c r="G3781" s="40" t="s">
        <v>11477</v>
      </c>
      <c r="H3781" s="40" t="s">
        <v>11399</v>
      </c>
    </row>
    <row r="3782">
      <c r="A3782" s="39">
        <f>IFERROR(__xludf.DUMMYFUNCTION("""COMPUTED_VALUE"""),46000.83226365741)</f>
        <v>46000.83226</v>
      </c>
      <c r="B3782" s="40" t="str">
        <f>IFERROR(__xludf.DUMMYFUNCTION("""COMPUTED_VALUE"""),"YOHANIS TIPNONI")</f>
        <v>YOHANIS TIPNONI</v>
      </c>
      <c r="C3782" s="40" t="str">
        <f>IFERROR(__xludf.DUMMYFUNCTION("""COMPUTED_VALUE"""),"ACC")</f>
        <v>ACC</v>
      </c>
      <c r="D3782" s="40" t="str">
        <f>IFERROR(__xludf.DUMMYFUNCTION("""COMPUTED_VALUE"""),"Y21d series")</f>
        <v>Y21d series</v>
      </c>
      <c r="E3782" s="40" t="s">
        <v>11405</v>
      </c>
      <c r="F3782" s="40" t="s">
        <v>220</v>
      </c>
      <c r="G3782" s="40" t="s">
        <v>11406</v>
      </c>
      <c r="H3782" s="40" t="s">
        <v>11399</v>
      </c>
    </row>
    <row r="3783">
      <c r="A3783" s="39">
        <f>IFERROR(__xludf.DUMMYFUNCTION("""COMPUTED_VALUE"""),46000.8532628588)</f>
        <v>46000.85326</v>
      </c>
      <c r="B3783" s="40" t="str">
        <f>IFERROR(__xludf.DUMMYFUNCTION("""COMPUTED_VALUE"""),"AINI RAHMATINI NATALIA MOESTAKIM")</f>
        <v>AINI RAHMATINI NATALIA MOESTAKIM</v>
      </c>
      <c r="C3783" s="40" t="str">
        <f>IFERROR(__xludf.DUMMYFUNCTION("""COMPUTED_VALUE"""),"Belum disetujui")</f>
        <v>Belum disetujui</v>
      </c>
      <c r="D3783" s="40"/>
      <c r="E3783" s="40" t="s">
        <v>11409</v>
      </c>
      <c r="F3783" s="40" t="s">
        <v>204</v>
      </c>
      <c r="G3783" s="40" t="s">
        <v>11410</v>
      </c>
      <c r="H3783" s="40" t="s">
        <v>11399</v>
      </c>
    </row>
    <row r="3784">
      <c r="A3784" s="39">
        <f>IFERROR(__xludf.DUMMYFUNCTION("""COMPUTED_VALUE"""),46000.8609235301)</f>
        <v>46000.86092</v>
      </c>
      <c r="B3784" s="40" t="str">
        <f>IFERROR(__xludf.DUMMYFUNCTION("""COMPUTED_VALUE"""),"AZ ZAHRA SITI ZAINAB")</f>
        <v>AZ ZAHRA SITI ZAINAB</v>
      </c>
      <c r="C3784" s="40" t="str">
        <f>IFERROR(__xludf.DUMMYFUNCTION("""COMPUTED_VALUE"""),"ACC")</f>
        <v>ACC</v>
      </c>
      <c r="D3784" s="40" t="str">
        <f>IFERROR(__xludf.DUMMYFUNCTION("""COMPUTED_VALUE"""),"Y21d series")</f>
        <v>Y21d series</v>
      </c>
      <c r="E3784" s="40" t="s">
        <v>11462</v>
      </c>
      <c r="F3784" s="40" t="s">
        <v>257</v>
      </c>
      <c r="G3784" s="40" t="s">
        <v>11463</v>
      </c>
      <c r="H3784" s="40" t="s">
        <v>11419</v>
      </c>
    </row>
    <row r="3785">
      <c r="A3785" s="39">
        <f>IFERROR(__xludf.DUMMYFUNCTION("""COMPUTED_VALUE"""),46000.882109143524)</f>
        <v>46000.88211</v>
      </c>
      <c r="B3785" s="40" t="str">
        <f>IFERROR(__xludf.DUMMYFUNCTION("""COMPUTED_VALUE"""),"DWITNEY PRETY WANGGANDIMA")</f>
        <v>DWITNEY PRETY WANGGANDIMA</v>
      </c>
      <c r="C3785" s="40" t="str">
        <f>IFERROR(__xludf.DUMMYFUNCTION("""COMPUTED_VALUE"""),"Belum disetujui")</f>
        <v>Belum disetujui</v>
      </c>
      <c r="D3785" s="40"/>
      <c r="E3785" s="40" t="s">
        <v>11443</v>
      </c>
      <c r="F3785" s="40" t="s">
        <v>220</v>
      </c>
      <c r="G3785" s="40" t="s">
        <v>11444</v>
      </c>
      <c r="H3785" s="40" t="s">
        <v>11399</v>
      </c>
    </row>
    <row r="3786">
      <c r="A3786" s="39">
        <f>IFERROR(__xludf.DUMMYFUNCTION("""COMPUTED_VALUE"""),46000.88409054398)</f>
        <v>46000.88409</v>
      </c>
      <c r="B3786" s="40" t="str">
        <f>IFERROR(__xludf.DUMMYFUNCTION("""COMPUTED_VALUE"""),"WINDRI MANOE")</f>
        <v>WINDRI MANOE</v>
      </c>
      <c r="C3786" s="40" t="str">
        <f>IFERROR(__xludf.DUMMYFUNCTION("""COMPUTED_VALUE"""),"Belum disetujui")</f>
        <v>Belum disetujui</v>
      </c>
      <c r="D3786" s="40"/>
      <c r="E3786" s="40" t="s">
        <v>11443</v>
      </c>
      <c r="F3786" s="40" t="s">
        <v>220</v>
      </c>
      <c r="G3786" s="40" t="s">
        <v>11444</v>
      </c>
      <c r="H3786" s="40" t="s">
        <v>11399</v>
      </c>
    </row>
    <row r="3787">
      <c r="A3787" s="39">
        <f>IFERROR(__xludf.DUMMYFUNCTION("""COMPUTED_VALUE"""),46000.885283194446)</f>
        <v>46000.88528</v>
      </c>
      <c r="B3787" s="40" t="str">
        <f>IFERROR(__xludf.DUMMYFUNCTION("""COMPUTED_VALUE"""),"WINDRI MANOE")</f>
        <v>WINDRI MANOE</v>
      </c>
      <c r="C3787" s="40" t="str">
        <f>IFERROR(__xludf.DUMMYFUNCTION("""COMPUTED_VALUE"""),"Belum disetujui")</f>
        <v>Belum disetujui</v>
      </c>
      <c r="D3787" s="40"/>
      <c r="E3787" s="40" t="s">
        <v>11443</v>
      </c>
      <c r="F3787" s="40" t="s">
        <v>220</v>
      </c>
      <c r="G3787" s="40" t="s">
        <v>11444</v>
      </c>
      <c r="H3787" s="40" t="s">
        <v>11399</v>
      </c>
    </row>
    <row r="3788">
      <c r="A3788" s="39">
        <f>IFERROR(__xludf.DUMMYFUNCTION("""COMPUTED_VALUE"""),46000.88634104167)</f>
        <v>46000.88634</v>
      </c>
      <c r="B3788" s="40" t="str">
        <f>IFERROR(__xludf.DUMMYFUNCTION("""COMPUTED_VALUE"""),"IRENE NOVALIA KADJU")</f>
        <v>IRENE NOVALIA KADJU</v>
      </c>
      <c r="C3788" s="40" t="str">
        <f>IFERROR(__xludf.DUMMYFUNCTION("""COMPUTED_VALUE"""),"Belum disetujui")</f>
        <v>Belum disetujui</v>
      </c>
      <c r="D3788" s="40"/>
      <c r="E3788" s="40" t="s">
        <v>11445</v>
      </c>
      <c r="F3788" s="40" t="s">
        <v>204</v>
      </c>
      <c r="G3788" s="40" t="s">
        <v>11446</v>
      </c>
      <c r="H3788" s="40" t="s">
        <v>11399</v>
      </c>
    </row>
    <row r="3789">
      <c r="A3789" s="39">
        <f>IFERROR(__xludf.DUMMYFUNCTION("""COMPUTED_VALUE"""),46000.8953318287)</f>
        <v>46000.89533</v>
      </c>
      <c r="B3789" s="40" t="str">
        <f>IFERROR(__xludf.DUMMYFUNCTION("""COMPUTED_VALUE"""),"RESTIANY MARIA LUAN KALI")</f>
        <v>RESTIANY MARIA LUAN KALI</v>
      </c>
      <c r="C3789" s="40" t="str">
        <f>IFERROR(__xludf.DUMMYFUNCTION("""COMPUTED_VALUE"""),"ACC")</f>
        <v>ACC</v>
      </c>
      <c r="D3789" s="40" t="str">
        <f>IFERROR(__xludf.DUMMYFUNCTION("""COMPUTED_VALUE"""),"Y21d series")</f>
        <v>Y21d series</v>
      </c>
      <c r="E3789" s="40" t="s">
        <v>11400</v>
      </c>
      <c r="F3789" s="40" t="s">
        <v>204</v>
      </c>
      <c r="G3789" s="40" t="s">
        <v>11401</v>
      </c>
      <c r="H3789" s="40" t="s">
        <v>11399</v>
      </c>
    </row>
    <row r="3790">
      <c r="A3790" s="39">
        <f>IFERROR(__xludf.DUMMYFUNCTION("""COMPUTED_VALUE"""),46000.910010254636)</f>
        <v>46000.91001</v>
      </c>
      <c r="B3790" s="40" t="str">
        <f>IFERROR(__xludf.DUMMYFUNCTION("""COMPUTED_VALUE"""),"DEWI RAHMAN")</f>
        <v>DEWI RAHMAN</v>
      </c>
      <c r="C3790" s="40" t="str">
        <f>IFERROR(__xludf.DUMMYFUNCTION("""COMPUTED_VALUE"""),"Belum disetujui")</f>
        <v>Belum disetujui</v>
      </c>
      <c r="D3790" s="40"/>
      <c r="E3790" s="40" t="s">
        <v>11449</v>
      </c>
      <c r="F3790" s="40" t="s">
        <v>11450</v>
      </c>
      <c r="G3790" s="40" t="s">
        <v>11451</v>
      </c>
      <c r="H3790" s="40" t="s">
        <v>11424</v>
      </c>
    </row>
    <row r="3791">
      <c r="A3791" s="39">
        <f>IFERROR(__xludf.DUMMYFUNCTION("""COMPUTED_VALUE"""),46001.43890453703)</f>
        <v>46001.4389</v>
      </c>
      <c r="B3791" s="40" t="str">
        <f>IFERROR(__xludf.DUMMYFUNCTION("""COMPUTED_VALUE"""),"YUNITA TAMELAB")</f>
        <v>YUNITA TAMELAB</v>
      </c>
      <c r="C3791" s="40" t="str">
        <f>IFERROR(__xludf.DUMMYFUNCTION("""COMPUTED_VALUE"""),"Belum disetujui")</f>
        <v>Belum disetujui</v>
      </c>
      <c r="D3791" s="40"/>
      <c r="E3791" s="40" t="s">
        <v>11472</v>
      </c>
      <c r="F3791" s="40" t="s">
        <v>667</v>
      </c>
      <c r="G3791" s="40" t="s">
        <v>11473</v>
      </c>
      <c r="H3791" s="40" t="s">
        <v>11424</v>
      </c>
    </row>
    <row r="3792">
      <c r="A3792" s="39">
        <f>IFERROR(__xludf.DUMMYFUNCTION("""COMPUTED_VALUE"""),46001.46832240741)</f>
        <v>46001.46832</v>
      </c>
      <c r="B3792" s="40" t="str">
        <f>IFERROR(__xludf.DUMMYFUNCTION("""COMPUTED_VALUE"""),"NUR FATIMAH MOLBANG")</f>
        <v>NUR FATIMAH MOLBANG</v>
      </c>
      <c r="C3792" s="40" t="str">
        <f>IFERROR(__xludf.DUMMYFUNCTION("""COMPUTED_VALUE"""),"Belum disetujui")</f>
        <v>Belum disetujui</v>
      </c>
      <c r="D3792" s="40"/>
      <c r="E3792" s="40" t="s">
        <v>11439</v>
      </c>
      <c r="F3792" s="40" t="s">
        <v>313</v>
      </c>
      <c r="G3792" s="40" t="s">
        <v>11440</v>
      </c>
      <c r="H3792" s="40" t="s">
        <v>11424</v>
      </c>
    </row>
    <row r="3793">
      <c r="A3793" s="39">
        <f>IFERROR(__xludf.DUMMYFUNCTION("""COMPUTED_VALUE"""),46001.47021475694)</f>
        <v>46001.47021</v>
      </c>
      <c r="B3793" s="40" t="str">
        <f>IFERROR(__xludf.DUMMYFUNCTION("""COMPUTED_VALUE"""),"NUR FATIMAH MOLBANG")</f>
        <v>NUR FATIMAH MOLBANG</v>
      </c>
      <c r="C3793" s="40" t="str">
        <f>IFERROR(__xludf.DUMMYFUNCTION("""COMPUTED_VALUE"""),"Belum disetujui")</f>
        <v>Belum disetujui</v>
      </c>
      <c r="D3793" s="40"/>
      <c r="E3793" s="40" t="s">
        <v>11439</v>
      </c>
      <c r="F3793" s="40" t="s">
        <v>313</v>
      </c>
      <c r="G3793" s="40" t="s">
        <v>11440</v>
      </c>
      <c r="H3793" s="40" t="s">
        <v>11424</v>
      </c>
    </row>
    <row r="3794">
      <c r="A3794" s="39">
        <f>IFERROR(__xludf.DUMMYFUNCTION("""COMPUTED_VALUE"""),46001.50271864583)</f>
        <v>46001.50272</v>
      </c>
      <c r="B3794" s="40" t="str">
        <f>IFERROR(__xludf.DUMMYFUNCTION("""COMPUTED_VALUE"""),"MARNITHA JUWIKE TIMORATI RUNESI")</f>
        <v>MARNITHA JUWIKE TIMORATI RUNESI</v>
      </c>
      <c r="C3794" s="40" t="str">
        <f>IFERROR(__xludf.DUMMYFUNCTION("""COMPUTED_VALUE"""),"Dapat limit tapi belum diproses")</f>
        <v>Dapat limit tapi belum diproses</v>
      </c>
      <c r="D3794" s="40" t="str">
        <f>IFERROR(__xludf.DUMMYFUNCTION("""COMPUTED_VALUE"""),"Y400 series")</f>
        <v>Y400 series</v>
      </c>
      <c r="E3794" s="40" t="s">
        <v>11420</v>
      </c>
      <c r="F3794" s="40" t="s">
        <v>204</v>
      </c>
      <c r="G3794" s="40" t="s">
        <v>11421</v>
      </c>
      <c r="H3794" s="40" t="s">
        <v>11399</v>
      </c>
    </row>
    <row r="3795">
      <c r="A3795" s="39">
        <f>IFERROR(__xludf.DUMMYFUNCTION("""COMPUTED_VALUE"""),46001.503755115744)</f>
        <v>46001.50376</v>
      </c>
      <c r="B3795" s="40" t="str">
        <f>IFERROR(__xludf.DUMMYFUNCTION("""COMPUTED_VALUE"""),"MARNITHA JUWIKE TIMORATI RUNESI")</f>
        <v>MARNITHA JUWIKE TIMORATI RUNESI</v>
      </c>
      <c r="C3795" s="40" t="str">
        <f>IFERROR(__xludf.DUMMYFUNCTION("""COMPUTED_VALUE"""),"Dapat limit tapi belum diproses")</f>
        <v>Dapat limit tapi belum diproses</v>
      </c>
      <c r="D3795" s="40" t="str">
        <f>IFERROR(__xludf.DUMMYFUNCTION("""COMPUTED_VALUE"""),"Y400 series")</f>
        <v>Y400 series</v>
      </c>
      <c r="E3795" s="40" t="s">
        <v>11420</v>
      </c>
      <c r="F3795" s="40" t="s">
        <v>204</v>
      </c>
      <c r="G3795" s="40" t="s">
        <v>11421</v>
      </c>
      <c r="H3795" s="40" t="s">
        <v>11399</v>
      </c>
    </row>
    <row r="3796">
      <c r="A3796" s="39">
        <f>IFERROR(__xludf.DUMMYFUNCTION("""COMPUTED_VALUE"""),46001.509934016205)</f>
        <v>46001.50993</v>
      </c>
      <c r="B3796" s="40" t="str">
        <f>IFERROR(__xludf.DUMMYFUNCTION("""COMPUTED_VALUE"""),"WARDIA")</f>
        <v>WARDIA</v>
      </c>
      <c r="C3796" s="40" t="str">
        <f>IFERROR(__xludf.DUMMYFUNCTION("""COMPUTED_VALUE"""),"ACC")</f>
        <v>ACC</v>
      </c>
      <c r="D3796" s="40" t="str">
        <f>IFERROR(__xludf.DUMMYFUNCTION("""COMPUTED_VALUE"""),"Y21d series")</f>
        <v>Y21d series</v>
      </c>
      <c r="E3796" s="40" t="s">
        <v>11409</v>
      </c>
      <c r="F3796" s="40" t="s">
        <v>204</v>
      </c>
      <c r="G3796" s="40" t="s">
        <v>11410</v>
      </c>
      <c r="H3796" s="40" t="s">
        <v>11399</v>
      </c>
    </row>
    <row r="3797">
      <c r="A3797" s="39">
        <f>IFERROR(__xludf.DUMMYFUNCTION("""COMPUTED_VALUE"""),46001.513858715276)</f>
        <v>46001.51386</v>
      </c>
      <c r="B3797" s="40" t="str">
        <f>IFERROR(__xludf.DUMMYFUNCTION("""COMPUTED_VALUE"""),"MARATHA MARLINDA FANGGIDAE")</f>
        <v>MARATHA MARLINDA FANGGIDAE</v>
      </c>
      <c r="C3797" s="40" t="str">
        <f>IFERROR(__xludf.DUMMYFUNCTION("""COMPUTED_VALUE"""),"Belum disetujui")</f>
        <v>Belum disetujui</v>
      </c>
      <c r="D3797" s="40"/>
      <c r="E3797" s="40" t="s">
        <v>11435</v>
      </c>
      <c r="F3797" s="40" t="s">
        <v>215</v>
      </c>
      <c r="G3797" s="40" t="s">
        <v>11436</v>
      </c>
      <c r="H3797" s="40" t="s">
        <v>11424</v>
      </c>
    </row>
    <row r="3798">
      <c r="A3798" s="39">
        <f>IFERROR(__xludf.DUMMYFUNCTION("""COMPUTED_VALUE"""),46001.524462361114)</f>
        <v>46001.52446</v>
      </c>
      <c r="B3798" s="40" t="str">
        <f>IFERROR(__xludf.DUMMYFUNCTION("""COMPUTED_VALUE"""),"ANGELA BOUKA BERI")</f>
        <v>ANGELA BOUKA BERI</v>
      </c>
      <c r="C3798" s="40" t="str">
        <f>IFERROR(__xludf.DUMMYFUNCTION("""COMPUTED_VALUE"""),"ACC")</f>
        <v>ACC</v>
      </c>
      <c r="D3798" s="40" t="str">
        <f>IFERROR(__xludf.DUMMYFUNCTION("""COMPUTED_VALUE"""),"Y21d series")</f>
        <v>Y21d series</v>
      </c>
      <c r="E3798" s="40" t="s">
        <v>11486</v>
      </c>
      <c r="F3798" s="40" t="s">
        <v>11450</v>
      </c>
      <c r="G3798" s="40" t="s">
        <v>11487</v>
      </c>
      <c r="H3798" s="40" t="s">
        <v>11424</v>
      </c>
    </row>
    <row r="3799">
      <c r="A3799" s="39">
        <f>IFERROR(__xludf.DUMMYFUNCTION("""COMPUTED_VALUE"""),46001.533587962964)</f>
        <v>46001.53359</v>
      </c>
      <c r="B3799" s="40" t="str">
        <f>IFERROR(__xludf.DUMMYFUNCTION("""COMPUTED_VALUE"""),"AZ ZAHRA SITI ZAINAB")</f>
        <v>AZ ZAHRA SITI ZAINAB</v>
      </c>
      <c r="C3799" s="40" t="str">
        <f>IFERROR(__xludf.DUMMYFUNCTION("""COMPUTED_VALUE"""),"ACC")</f>
        <v>ACC</v>
      </c>
      <c r="D3799" s="40" t="str">
        <f>IFERROR(__xludf.DUMMYFUNCTION("""COMPUTED_VALUE"""),"Y400 series")</f>
        <v>Y400 series</v>
      </c>
      <c r="E3799" s="40" t="s">
        <v>11462</v>
      </c>
      <c r="F3799" s="40" t="s">
        <v>257</v>
      </c>
      <c r="G3799" s="40" t="s">
        <v>11463</v>
      </c>
      <c r="H3799" s="40" t="s">
        <v>11419</v>
      </c>
    </row>
    <row r="3800">
      <c r="A3800" s="39">
        <f>IFERROR(__xludf.DUMMYFUNCTION("""COMPUTED_VALUE"""),46001.55564747685)</f>
        <v>46001.55565</v>
      </c>
      <c r="B3800" s="40" t="str">
        <f>IFERROR(__xludf.DUMMYFUNCTION("""COMPUTED_VALUE"""),"PUSPA ANGGREINI")</f>
        <v>PUSPA ANGGREINI</v>
      </c>
      <c r="C3800" s="40" t="str">
        <f>IFERROR(__xludf.DUMMYFUNCTION("""COMPUTED_VALUE"""),"ACC")</f>
        <v>ACC</v>
      </c>
      <c r="D3800" s="40" t="str">
        <f>IFERROR(__xludf.DUMMYFUNCTION("""COMPUTED_VALUE"""),"Y21d series")</f>
        <v>Y21d series</v>
      </c>
      <c r="E3800" s="40" t="s">
        <v>11427</v>
      </c>
      <c r="F3800" s="40" t="s">
        <v>257</v>
      </c>
      <c r="G3800" s="40" t="s">
        <v>11428</v>
      </c>
      <c r="H3800" s="40" t="s">
        <v>11419</v>
      </c>
    </row>
    <row r="3801">
      <c r="A3801" s="39">
        <f>IFERROR(__xludf.DUMMYFUNCTION("""COMPUTED_VALUE"""),46001.55845498842)</f>
        <v>46001.55845</v>
      </c>
      <c r="B3801" s="40" t="str">
        <f>IFERROR(__xludf.DUMMYFUNCTION("""COMPUTED_VALUE"""),"PUSPA ANGGREINI")</f>
        <v>PUSPA ANGGREINI</v>
      </c>
      <c r="C3801" s="40" t="str">
        <f>IFERROR(__xludf.DUMMYFUNCTION("""COMPUTED_VALUE"""),"Belum disetujui")</f>
        <v>Belum disetujui</v>
      </c>
      <c r="D3801" s="40"/>
      <c r="E3801" s="40" t="s">
        <v>11427</v>
      </c>
      <c r="F3801" s="40" t="s">
        <v>257</v>
      </c>
      <c r="G3801" s="40" t="s">
        <v>11428</v>
      </c>
      <c r="H3801" s="40" t="s">
        <v>11419</v>
      </c>
    </row>
    <row r="3802">
      <c r="A3802" s="39">
        <f>IFERROR(__xludf.DUMMYFUNCTION("""COMPUTED_VALUE"""),46001.56659895833)</f>
        <v>46001.5666</v>
      </c>
      <c r="B3802" s="40" t="str">
        <f>IFERROR(__xludf.DUMMYFUNCTION("""COMPUTED_VALUE"""),"IDMAL YUSDIRAN YUSUF")</f>
        <v>IDMAL YUSDIRAN YUSUF</v>
      </c>
      <c r="C3802" s="40" t="str">
        <f>IFERROR(__xludf.DUMMYFUNCTION("""COMPUTED_VALUE"""),"ACC")</f>
        <v>ACC</v>
      </c>
      <c r="D3802" s="40" t="str">
        <f>IFERROR(__xludf.DUMMYFUNCTION("""COMPUTED_VALUE"""),"V60 Lite series")</f>
        <v>V60 Lite series</v>
      </c>
      <c r="E3802" s="40" t="s">
        <v>11417</v>
      </c>
      <c r="F3802" s="40" t="s">
        <v>257</v>
      </c>
      <c r="G3802" s="40" t="s">
        <v>11418</v>
      </c>
      <c r="H3802" s="40" t="s">
        <v>11419</v>
      </c>
    </row>
    <row r="3803">
      <c r="A3803" s="39">
        <f>IFERROR(__xludf.DUMMYFUNCTION("""COMPUTED_VALUE"""),46001.57286260417)</f>
        <v>46001.57286</v>
      </c>
      <c r="B3803" s="40" t="str">
        <f>IFERROR(__xludf.DUMMYFUNCTION("""COMPUTED_VALUE"""),"NUR FATIMAH MOLBANG")</f>
        <v>NUR FATIMAH MOLBANG</v>
      </c>
      <c r="C3803" s="40" t="str">
        <f>IFERROR(__xludf.DUMMYFUNCTION("""COMPUTED_VALUE"""),"Belum disetujui")</f>
        <v>Belum disetujui</v>
      </c>
      <c r="D3803" s="40"/>
      <c r="E3803" s="40" t="s">
        <v>11439</v>
      </c>
      <c r="F3803" s="40" t="s">
        <v>313</v>
      </c>
      <c r="G3803" s="40" t="s">
        <v>11440</v>
      </c>
      <c r="H3803" s="40" t="s">
        <v>11424</v>
      </c>
    </row>
    <row r="3804">
      <c r="A3804" s="39">
        <f>IFERROR(__xludf.DUMMYFUNCTION("""COMPUTED_VALUE"""),46001.57659895833)</f>
        <v>46001.5766</v>
      </c>
      <c r="B3804" s="40" t="str">
        <f>IFERROR(__xludf.DUMMYFUNCTION("""COMPUTED_VALUE"""),"SELVINCE BAKO")</f>
        <v>SELVINCE BAKO</v>
      </c>
      <c r="C3804" s="40" t="str">
        <f>IFERROR(__xludf.DUMMYFUNCTION("""COMPUTED_VALUE"""),"Belum disetujui")</f>
        <v>Belum disetujui</v>
      </c>
      <c r="D3804" s="40"/>
      <c r="E3804" s="40" t="s">
        <v>11413</v>
      </c>
      <c r="F3804" s="40" t="s">
        <v>204</v>
      </c>
      <c r="G3804" s="40" t="s">
        <v>11414</v>
      </c>
      <c r="H3804" s="40" t="s">
        <v>11399</v>
      </c>
    </row>
    <row r="3805">
      <c r="A3805" s="39">
        <f>IFERROR(__xludf.DUMMYFUNCTION("""COMPUTED_VALUE"""),46001.57990256944)</f>
        <v>46001.5799</v>
      </c>
      <c r="B3805" s="40" t="str">
        <f>IFERROR(__xludf.DUMMYFUNCTION("""COMPUTED_VALUE"""),"SKOLASTIKA B TAUNAES")</f>
        <v>SKOLASTIKA B TAUNAES</v>
      </c>
      <c r="C3805" s="40" t="str">
        <f>IFERROR(__xludf.DUMMYFUNCTION("""COMPUTED_VALUE"""),"Belum disetujui")</f>
        <v>Belum disetujui</v>
      </c>
      <c r="D3805" s="40"/>
      <c r="E3805" s="40" t="s">
        <v>11413</v>
      </c>
      <c r="F3805" s="40" t="s">
        <v>204</v>
      </c>
      <c r="G3805" s="40" t="s">
        <v>11414</v>
      </c>
      <c r="H3805" s="40" t="s">
        <v>11399</v>
      </c>
    </row>
    <row r="3806">
      <c r="A3806" s="39">
        <f>IFERROR(__xludf.DUMMYFUNCTION("""COMPUTED_VALUE"""),46001.58038310185)</f>
        <v>46001.58038</v>
      </c>
      <c r="B3806" s="40" t="str">
        <f>IFERROR(__xludf.DUMMYFUNCTION("""COMPUTED_VALUE"""),"SELVINCE BAKO")</f>
        <v>SELVINCE BAKO</v>
      </c>
      <c r="C3806" s="40" t="str">
        <f>IFERROR(__xludf.DUMMYFUNCTION("""COMPUTED_VALUE"""),"Belum disetujui")</f>
        <v>Belum disetujui</v>
      </c>
      <c r="D3806" s="40"/>
      <c r="E3806" s="40" t="s">
        <v>11413</v>
      </c>
      <c r="F3806" s="40" t="s">
        <v>204</v>
      </c>
      <c r="G3806" s="40" t="s">
        <v>11414</v>
      </c>
      <c r="H3806" s="40" t="s">
        <v>11399</v>
      </c>
    </row>
    <row r="3807">
      <c r="A3807" s="39">
        <f>IFERROR(__xludf.DUMMYFUNCTION("""COMPUTED_VALUE"""),46001.58171578703)</f>
        <v>46001.58172</v>
      </c>
      <c r="B3807" s="40" t="str">
        <f>IFERROR(__xludf.DUMMYFUNCTION("""COMPUTED_VALUE"""),"NOVLIANA BARBALINA MISA")</f>
        <v>NOVLIANA BARBALINA MISA</v>
      </c>
      <c r="C3807" s="40" t="str">
        <f>IFERROR(__xludf.DUMMYFUNCTION("""COMPUTED_VALUE"""),"Dapat limit tapi belum diproses")</f>
        <v>Dapat limit tapi belum diproses</v>
      </c>
      <c r="D3807" s="40" t="str">
        <f>IFERROR(__xludf.DUMMYFUNCTION("""COMPUTED_VALUE"""),"Y21d series")</f>
        <v>Y21d series</v>
      </c>
      <c r="E3807" s="40" t="s">
        <v>11454</v>
      </c>
      <c r="F3807" s="40" t="s">
        <v>205</v>
      </c>
      <c r="G3807" s="40" t="s">
        <v>11455</v>
      </c>
      <c r="H3807" s="40" t="s">
        <v>11419</v>
      </c>
    </row>
    <row r="3808">
      <c r="A3808" s="39">
        <f>IFERROR(__xludf.DUMMYFUNCTION("""COMPUTED_VALUE"""),46001.58259274305)</f>
        <v>46001.58259</v>
      </c>
      <c r="B3808" s="40" t="str">
        <f>IFERROR(__xludf.DUMMYFUNCTION("""COMPUTED_VALUE"""),"SKOLASTIKA B TAUNAES")</f>
        <v>SKOLASTIKA B TAUNAES</v>
      </c>
      <c r="C3808" s="40" t="str">
        <f>IFERROR(__xludf.DUMMYFUNCTION("""COMPUTED_VALUE"""),"Dapat limit tapi belum diproses")</f>
        <v>Dapat limit tapi belum diproses</v>
      </c>
      <c r="D3808" s="40" t="str">
        <f>IFERROR(__xludf.DUMMYFUNCTION("""COMPUTED_VALUE"""),"V60 Lite series")</f>
        <v>V60 Lite series</v>
      </c>
      <c r="E3808" s="40" t="s">
        <v>11413</v>
      </c>
      <c r="F3808" s="40" t="s">
        <v>204</v>
      </c>
      <c r="G3808" s="40" t="s">
        <v>11414</v>
      </c>
      <c r="H3808" s="40" t="s">
        <v>11399</v>
      </c>
    </row>
    <row r="3809">
      <c r="A3809" s="39">
        <f>IFERROR(__xludf.DUMMYFUNCTION("""COMPUTED_VALUE"""),46001.58377547453)</f>
        <v>46001.58378</v>
      </c>
      <c r="B3809" s="40" t="str">
        <f>IFERROR(__xludf.DUMMYFUNCTION("""COMPUTED_VALUE"""),"SELVINCE BAKO")</f>
        <v>SELVINCE BAKO</v>
      </c>
      <c r="C3809" s="40" t="str">
        <f>IFERROR(__xludf.DUMMYFUNCTION("""COMPUTED_VALUE"""),"Belum disetujui")</f>
        <v>Belum disetujui</v>
      </c>
      <c r="D3809" s="40"/>
      <c r="E3809" s="40" t="s">
        <v>11413</v>
      </c>
      <c r="F3809" s="40" t="s">
        <v>204</v>
      </c>
      <c r="G3809" s="40" t="s">
        <v>11414</v>
      </c>
      <c r="H3809" s="40" t="s">
        <v>11399</v>
      </c>
    </row>
    <row r="3810">
      <c r="A3810" s="39">
        <f>IFERROR(__xludf.DUMMYFUNCTION("""COMPUTED_VALUE"""),46001.58425108796)</f>
        <v>46001.58425</v>
      </c>
      <c r="B3810" s="40" t="str">
        <f>IFERROR(__xludf.DUMMYFUNCTION("""COMPUTED_VALUE"""),"SKOLASTIKA B TAUNAES")</f>
        <v>SKOLASTIKA B TAUNAES</v>
      </c>
      <c r="C3810" s="40" t="str">
        <f>IFERROR(__xludf.DUMMYFUNCTION("""COMPUTED_VALUE"""),"Dapat limit tapi belum diproses")</f>
        <v>Dapat limit tapi belum diproses</v>
      </c>
      <c r="D3810" s="40" t="str">
        <f>IFERROR(__xludf.DUMMYFUNCTION("""COMPUTED_VALUE"""),"Y21d series")</f>
        <v>Y21d series</v>
      </c>
      <c r="E3810" s="40" t="s">
        <v>11413</v>
      </c>
      <c r="F3810" s="40" t="s">
        <v>204</v>
      </c>
      <c r="G3810" s="40" t="s">
        <v>11414</v>
      </c>
      <c r="H3810" s="40" t="s">
        <v>11399</v>
      </c>
    </row>
    <row r="3811">
      <c r="A3811" s="39">
        <f>IFERROR(__xludf.DUMMYFUNCTION("""COMPUTED_VALUE"""),46001.585894166674)</f>
        <v>46001.58589</v>
      </c>
      <c r="B3811" s="40" t="str">
        <f>IFERROR(__xludf.DUMMYFUNCTION("""COMPUTED_VALUE"""),"SELVINCE BAKO")</f>
        <v>SELVINCE BAKO</v>
      </c>
      <c r="C3811" s="40" t="str">
        <f>IFERROR(__xludf.DUMMYFUNCTION("""COMPUTED_VALUE"""),"Belum disetujui")</f>
        <v>Belum disetujui</v>
      </c>
      <c r="D3811" s="40"/>
      <c r="E3811" s="40" t="s">
        <v>11413</v>
      </c>
      <c r="F3811" s="40" t="s">
        <v>204</v>
      </c>
      <c r="G3811" s="40" t="s">
        <v>11414</v>
      </c>
      <c r="H3811" s="40" t="s">
        <v>11399</v>
      </c>
    </row>
    <row r="3812">
      <c r="A3812" s="39">
        <f>IFERROR(__xludf.DUMMYFUNCTION("""COMPUTED_VALUE"""),46001.58946076389)</f>
        <v>46001.58946</v>
      </c>
      <c r="B3812" s="40" t="str">
        <f>IFERROR(__xludf.DUMMYFUNCTION("""COMPUTED_VALUE"""),"SELVINCE BAKO")</f>
        <v>SELVINCE BAKO</v>
      </c>
      <c r="C3812" s="40" t="str">
        <f>IFERROR(__xludf.DUMMYFUNCTION("""COMPUTED_VALUE"""),"Belum disetujui")</f>
        <v>Belum disetujui</v>
      </c>
      <c r="D3812" s="40"/>
      <c r="E3812" s="40" t="s">
        <v>11413</v>
      </c>
      <c r="F3812" s="40" t="s">
        <v>204</v>
      </c>
      <c r="G3812" s="40" t="s">
        <v>11414</v>
      </c>
      <c r="H3812" s="40" t="s">
        <v>11399</v>
      </c>
    </row>
    <row r="3813">
      <c r="A3813" s="39">
        <f>IFERROR(__xludf.DUMMYFUNCTION("""COMPUTED_VALUE"""),46001.58970175926)</f>
        <v>46001.5897</v>
      </c>
      <c r="B3813" s="40" t="str">
        <f>IFERROR(__xludf.DUMMYFUNCTION("""COMPUTED_VALUE"""),"SKOLASTIKA B TAUNAES")</f>
        <v>SKOLASTIKA B TAUNAES</v>
      </c>
      <c r="C3813" s="40" t="str">
        <f>IFERROR(__xludf.DUMMYFUNCTION("""COMPUTED_VALUE"""),"Belum disetujui")</f>
        <v>Belum disetujui</v>
      </c>
      <c r="D3813" s="40"/>
      <c r="E3813" s="40" t="s">
        <v>11413</v>
      </c>
      <c r="F3813" s="40" t="s">
        <v>204</v>
      </c>
      <c r="G3813" s="40" t="s">
        <v>11414</v>
      </c>
      <c r="H3813" s="40" t="s">
        <v>11399</v>
      </c>
    </row>
    <row r="3814">
      <c r="A3814" s="39">
        <f>IFERROR(__xludf.DUMMYFUNCTION("""COMPUTED_VALUE"""),46001.59178783565)</f>
        <v>46001.59179</v>
      </c>
      <c r="B3814" s="40" t="str">
        <f>IFERROR(__xludf.DUMMYFUNCTION("""COMPUTED_VALUE"""),"SELVINCE BAKO")</f>
        <v>SELVINCE BAKO</v>
      </c>
      <c r="C3814" s="40" t="str">
        <f>IFERROR(__xludf.DUMMYFUNCTION("""COMPUTED_VALUE"""),"Belum disetujui")</f>
        <v>Belum disetujui</v>
      </c>
      <c r="D3814" s="40"/>
      <c r="E3814" s="40" t="s">
        <v>11413</v>
      </c>
      <c r="F3814" s="40" t="s">
        <v>204</v>
      </c>
      <c r="G3814" s="40" t="s">
        <v>11414</v>
      </c>
      <c r="H3814" s="40" t="s">
        <v>11399</v>
      </c>
    </row>
    <row r="3815">
      <c r="A3815" s="39">
        <f>IFERROR(__xludf.DUMMYFUNCTION("""COMPUTED_VALUE"""),46001.59253184028)</f>
        <v>46001.59253</v>
      </c>
      <c r="B3815" s="40" t="str">
        <f>IFERROR(__xludf.DUMMYFUNCTION("""COMPUTED_VALUE"""),"MEXY ALEXANDER HETMINA")</f>
        <v>MEXY ALEXANDER HETMINA</v>
      </c>
      <c r="C3815" s="40" t="str">
        <f>IFERROR(__xludf.DUMMYFUNCTION("""COMPUTED_VALUE"""),"ACC")</f>
        <v>ACC</v>
      </c>
      <c r="D3815" s="40" t="str">
        <f>IFERROR(__xludf.DUMMYFUNCTION("""COMPUTED_VALUE"""),"Y400 series")</f>
        <v>Y400 series</v>
      </c>
      <c r="E3815" s="40" t="s">
        <v>11413</v>
      </c>
      <c r="F3815" s="40" t="s">
        <v>204</v>
      </c>
      <c r="G3815" s="40" t="s">
        <v>11414</v>
      </c>
      <c r="H3815" s="40" t="s">
        <v>11399</v>
      </c>
    </row>
    <row r="3816">
      <c r="A3816" s="39">
        <f>IFERROR(__xludf.DUMMYFUNCTION("""COMPUTED_VALUE"""),46001.59442559027)</f>
        <v>46001.59443</v>
      </c>
      <c r="B3816" s="40" t="str">
        <f>IFERROR(__xludf.DUMMYFUNCTION("""COMPUTED_VALUE"""),"SELVINCE BAKO")</f>
        <v>SELVINCE BAKO</v>
      </c>
      <c r="C3816" s="40" t="str">
        <f>IFERROR(__xludf.DUMMYFUNCTION("""COMPUTED_VALUE"""),"Belum disetujui")</f>
        <v>Belum disetujui</v>
      </c>
      <c r="D3816" s="40"/>
      <c r="E3816" s="40" t="s">
        <v>11413</v>
      </c>
      <c r="F3816" s="40" t="s">
        <v>204</v>
      </c>
      <c r="G3816" s="40" t="s">
        <v>11414</v>
      </c>
      <c r="H3816" s="40" t="s">
        <v>11399</v>
      </c>
    </row>
    <row r="3817">
      <c r="A3817" s="39">
        <f>IFERROR(__xludf.DUMMYFUNCTION("""COMPUTED_VALUE"""),46001.59894275464)</f>
        <v>46001.59894</v>
      </c>
      <c r="B3817" s="40" t="str">
        <f>IFERROR(__xludf.DUMMYFUNCTION("""COMPUTED_VALUE"""),"YUNITA TAMELAB")</f>
        <v>YUNITA TAMELAB</v>
      </c>
      <c r="C3817" s="40" t="str">
        <f>IFERROR(__xludf.DUMMYFUNCTION("""COMPUTED_VALUE"""),"Belum disetujui")</f>
        <v>Belum disetujui</v>
      </c>
      <c r="D3817" s="40"/>
      <c r="E3817" s="40" t="s">
        <v>11472</v>
      </c>
      <c r="F3817" s="40" t="s">
        <v>667</v>
      </c>
      <c r="G3817" s="40" t="s">
        <v>11473</v>
      </c>
      <c r="H3817" s="40" t="s">
        <v>11424</v>
      </c>
    </row>
    <row r="3818">
      <c r="A3818" s="39">
        <f>IFERROR(__xludf.DUMMYFUNCTION("""COMPUTED_VALUE"""),46001.599078252315)</f>
        <v>46001.59908</v>
      </c>
      <c r="B3818" s="40" t="str">
        <f>IFERROR(__xludf.DUMMYFUNCTION("""COMPUTED_VALUE"""),"SELVINCE BAKO")</f>
        <v>SELVINCE BAKO</v>
      </c>
      <c r="C3818" s="40" t="str">
        <f>IFERROR(__xludf.DUMMYFUNCTION("""COMPUTED_VALUE"""),"Belum disetujui")</f>
        <v>Belum disetujui</v>
      </c>
      <c r="D3818" s="40"/>
      <c r="E3818" s="40" t="s">
        <v>11413</v>
      </c>
      <c r="F3818" s="40" t="s">
        <v>204</v>
      </c>
      <c r="G3818" s="40" t="s">
        <v>11414</v>
      </c>
      <c r="H3818" s="40" t="s">
        <v>11399</v>
      </c>
    </row>
    <row r="3819">
      <c r="A3819" s="39">
        <f>IFERROR(__xludf.DUMMYFUNCTION("""COMPUTED_VALUE"""),46001.60041758102)</f>
        <v>46001.60042</v>
      </c>
      <c r="B3819" s="40" t="str">
        <f>IFERROR(__xludf.DUMMYFUNCTION("""COMPUTED_VALUE"""),"PUSPA ANGGREINI")</f>
        <v>PUSPA ANGGREINI</v>
      </c>
      <c r="C3819" s="40" t="str">
        <f>IFERROR(__xludf.DUMMYFUNCTION("""COMPUTED_VALUE"""),"ACC")</f>
        <v>ACC</v>
      </c>
      <c r="D3819" s="40" t="str">
        <f>IFERROR(__xludf.DUMMYFUNCTION("""COMPUTED_VALUE"""),"V60 Lite series")</f>
        <v>V60 Lite series</v>
      </c>
      <c r="E3819" s="40" t="s">
        <v>11427</v>
      </c>
      <c r="F3819" s="40" t="s">
        <v>257</v>
      </c>
      <c r="G3819" s="40" t="s">
        <v>11428</v>
      </c>
      <c r="H3819" s="40" t="s">
        <v>11419</v>
      </c>
    </row>
    <row r="3820">
      <c r="A3820" s="39">
        <f>IFERROR(__xludf.DUMMYFUNCTION("""COMPUTED_VALUE"""),46001.60427585648)</f>
        <v>46001.60428</v>
      </c>
      <c r="B3820" s="40" t="str">
        <f>IFERROR(__xludf.DUMMYFUNCTION("""COMPUTED_VALUE"""),"SULIS NURAINI INSYATUN")</f>
        <v>SULIS NURAINI INSYATUN</v>
      </c>
      <c r="C3820" s="40" t="str">
        <f>IFERROR(__xludf.DUMMYFUNCTION("""COMPUTED_VALUE"""),"ACC")</f>
        <v>ACC</v>
      </c>
      <c r="D3820" s="40" t="str">
        <f>IFERROR(__xludf.DUMMYFUNCTION("""COMPUTED_VALUE"""),"Y21d series")</f>
        <v>Y21d series</v>
      </c>
      <c r="E3820" s="40" t="s">
        <v>11429</v>
      </c>
      <c r="F3820" s="40" t="s">
        <v>257</v>
      </c>
      <c r="G3820" s="40" t="s">
        <v>11430</v>
      </c>
      <c r="H3820" s="40" t="s">
        <v>11419</v>
      </c>
    </row>
    <row r="3821">
      <c r="A3821" s="39">
        <f>IFERROR(__xludf.DUMMYFUNCTION("""COMPUTED_VALUE"""),46001.63414819444)</f>
        <v>46001.63415</v>
      </c>
      <c r="B3821" s="40" t="str">
        <f>IFERROR(__xludf.DUMMYFUNCTION("""COMPUTED_VALUE"""),"ALDIANA WELIA PANIE")</f>
        <v>ALDIANA WELIA PANIE</v>
      </c>
      <c r="C3821" s="40" t="str">
        <f>IFERROR(__xludf.DUMMYFUNCTION("""COMPUTED_VALUE"""),"ACC")</f>
        <v>ACC</v>
      </c>
      <c r="D3821" s="40" t="str">
        <f>IFERROR(__xludf.DUMMYFUNCTION("""COMPUTED_VALUE"""),"V60 series")</f>
        <v>V60 series</v>
      </c>
      <c r="E3821" s="40" t="s">
        <v>11422</v>
      </c>
      <c r="F3821" s="40" t="s">
        <v>215</v>
      </c>
      <c r="G3821" s="40" t="s">
        <v>11423</v>
      </c>
      <c r="H3821" s="40" t="s">
        <v>11424</v>
      </c>
    </row>
    <row r="3822">
      <c r="A3822" s="39">
        <f>IFERROR(__xludf.DUMMYFUNCTION("""COMPUTED_VALUE"""),46001.637511678244)</f>
        <v>46001.63751</v>
      </c>
      <c r="B3822" s="40" t="str">
        <f>IFERROR(__xludf.DUMMYFUNCTION("""COMPUTED_VALUE"""),"NOVLIANA BARBALINA MISA")</f>
        <v>NOVLIANA BARBALINA MISA</v>
      </c>
      <c r="C3822" s="40" t="str">
        <f>IFERROR(__xludf.DUMMYFUNCTION("""COMPUTED_VALUE"""),"Belum disetujui")</f>
        <v>Belum disetujui</v>
      </c>
      <c r="D3822" s="40"/>
      <c r="E3822" s="40" t="s">
        <v>11454</v>
      </c>
      <c r="F3822" s="40" t="s">
        <v>205</v>
      </c>
      <c r="G3822" s="40" t="s">
        <v>11455</v>
      </c>
      <c r="H3822" s="40" t="s">
        <v>11419</v>
      </c>
    </row>
    <row r="3823">
      <c r="A3823" s="39">
        <f>IFERROR(__xludf.DUMMYFUNCTION("""COMPUTED_VALUE"""),46001.65869833333)</f>
        <v>46001.6587</v>
      </c>
      <c r="B3823" s="40" t="str">
        <f>IFERROR(__xludf.DUMMYFUNCTION("""COMPUTED_VALUE"""),"YUNITA TAMELAB")</f>
        <v>YUNITA TAMELAB</v>
      </c>
      <c r="C3823" s="40" t="str">
        <f>IFERROR(__xludf.DUMMYFUNCTION("""COMPUTED_VALUE"""),"Belum disetujui")</f>
        <v>Belum disetujui</v>
      </c>
      <c r="D3823" s="40"/>
      <c r="E3823" s="40" t="s">
        <v>11472</v>
      </c>
      <c r="F3823" s="40" t="s">
        <v>667</v>
      </c>
      <c r="G3823" s="40" t="s">
        <v>11473</v>
      </c>
      <c r="H3823" s="40" t="s">
        <v>11424</v>
      </c>
    </row>
    <row r="3824">
      <c r="A3824" s="39">
        <f>IFERROR(__xludf.DUMMYFUNCTION("""COMPUTED_VALUE"""),46001.6656702662)</f>
        <v>46001.66567</v>
      </c>
      <c r="B3824" s="40" t="str">
        <f>IFERROR(__xludf.DUMMYFUNCTION("""COMPUTED_VALUE"""),"MARIA MELAN ANANCE BILI")</f>
        <v>MARIA MELAN ANANCE BILI</v>
      </c>
      <c r="C3824" s="40" t="str">
        <f>IFERROR(__xludf.DUMMYFUNCTION("""COMPUTED_VALUE"""),"Belum disetujui")</f>
        <v>Belum disetujui</v>
      </c>
      <c r="D3824" s="40"/>
      <c r="E3824" s="40" t="s">
        <v>11466</v>
      </c>
      <c r="F3824" s="40" t="s">
        <v>257</v>
      </c>
      <c r="G3824" s="40" t="s">
        <v>11467</v>
      </c>
      <c r="H3824" s="40" t="s">
        <v>11419</v>
      </c>
    </row>
    <row r="3825">
      <c r="A3825" s="39">
        <f>IFERROR(__xludf.DUMMYFUNCTION("""COMPUTED_VALUE"""),46001.666603923615)</f>
        <v>46001.6666</v>
      </c>
      <c r="B3825" s="40" t="str">
        <f>IFERROR(__xludf.DUMMYFUNCTION("""COMPUTED_VALUE"""),"ANYARMITHA SOPHIA SUEK")</f>
        <v>ANYARMITHA SOPHIA SUEK</v>
      </c>
      <c r="C3825" s="40" t="str">
        <f>IFERROR(__xludf.DUMMYFUNCTION("""COMPUTED_VALUE"""),"Belum disetujui")</f>
        <v>Belum disetujui</v>
      </c>
      <c r="D3825" s="40"/>
      <c r="E3825" s="40" t="s">
        <v>11443</v>
      </c>
      <c r="F3825" s="40" t="s">
        <v>220</v>
      </c>
      <c r="G3825" s="40" t="s">
        <v>11444</v>
      </c>
      <c r="H3825" s="40" t="s">
        <v>11399</v>
      </c>
    </row>
    <row r="3826">
      <c r="A3826" s="39">
        <f>IFERROR(__xludf.DUMMYFUNCTION("""COMPUTED_VALUE"""),46001.70597082176)</f>
        <v>46001.70597</v>
      </c>
      <c r="B3826" s="40" t="str">
        <f>IFERROR(__xludf.DUMMYFUNCTION("""COMPUTED_VALUE"""),"ARMINDA TEKU MANEK")</f>
        <v>ARMINDA TEKU MANEK</v>
      </c>
      <c r="C3826" s="40" t="str">
        <f>IFERROR(__xludf.DUMMYFUNCTION("""COMPUTED_VALUE"""),"Belum disetujui")</f>
        <v>Belum disetujui</v>
      </c>
      <c r="D3826" s="40"/>
      <c r="E3826" s="40" t="s">
        <v>11474</v>
      </c>
      <c r="F3826" s="40" t="s">
        <v>313</v>
      </c>
      <c r="G3826" s="40" t="s">
        <v>11475</v>
      </c>
      <c r="H3826" s="40" t="s">
        <v>11424</v>
      </c>
    </row>
    <row r="3827">
      <c r="A3827" s="39">
        <f>IFERROR(__xludf.DUMMYFUNCTION("""COMPUTED_VALUE"""),46001.711582916665)</f>
        <v>46001.71158</v>
      </c>
      <c r="B3827" s="40" t="str">
        <f>IFERROR(__xludf.DUMMYFUNCTION("""COMPUTED_VALUE"""),"MEXY ALEXANDER HETMINA")</f>
        <v>MEXY ALEXANDER HETMINA</v>
      </c>
      <c r="C3827" s="40" t="str">
        <f>IFERROR(__xludf.DUMMYFUNCTION("""COMPUTED_VALUE"""),"Dapat limit tapi belum diproses")</f>
        <v>Dapat limit tapi belum diproses</v>
      </c>
      <c r="D3827" s="40" t="str">
        <f>IFERROR(__xludf.DUMMYFUNCTION("""COMPUTED_VALUE"""),"V60 series")</f>
        <v>V60 series</v>
      </c>
      <c r="E3827" s="40" t="s">
        <v>11413</v>
      </c>
      <c r="F3827" s="40" t="s">
        <v>204</v>
      </c>
      <c r="G3827" s="40" t="s">
        <v>11414</v>
      </c>
      <c r="H3827" s="40" t="s">
        <v>11399</v>
      </c>
    </row>
    <row r="3828">
      <c r="A3828" s="39">
        <f>IFERROR(__xludf.DUMMYFUNCTION("""COMPUTED_VALUE"""),46001.71494355325)</f>
        <v>46001.71494</v>
      </c>
      <c r="B3828" s="40" t="str">
        <f>IFERROR(__xludf.DUMMYFUNCTION("""COMPUTED_VALUE"""),"MERDA PUTRI BUNGSU KENAT")</f>
        <v>MERDA PUTRI BUNGSU KENAT</v>
      </c>
      <c r="C3828" s="40" t="str">
        <f>IFERROR(__xludf.DUMMYFUNCTION("""COMPUTED_VALUE"""),"ACC")</f>
        <v>ACC</v>
      </c>
      <c r="D3828" s="40" t="str">
        <f>IFERROR(__xludf.DUMMYFUNCTION("""COMPUTED_VALUE"""),"V60 series")</f>
        <v>V60 series</v>
      </c>
      <c r="E3828" s="40" t="s">
        <v>11422</v>
      </c>
      <c r="F3828" s="40" t="s">
        <v>215</v>
      </c>
      <c r="G3828" s="40" t="s">
        <v>11423</v>
      </c>
      <c r="H3828" s="40" t="s">
        <v>11424</v>
      </c>
    </row>
    <row r="3829">
      <c r="A3829" s="39"/>
      <c r="E3829" s="40" t="s">
        <v>11404</v>
      </c>
      <c r="F3829" s="40" t="s">
        <v>11404</v>
      </c>
      <c r="G3829" s="40" t="s">
        <v>11404</v>
      </c>
      <c r="H3829" s="40" t="s">
        <v>11404</v>
      </c>
    </row>
    <row r="3830">
      <c r="A3830" s="39"/>
      <c r="E3830" s="40" t="s">
        <v>11404</v>
      </c>
      <c r="F3830" s="40" t="s">
        <v>11404</v>
      </c>
      <c r="G3830" s="40" t="s">
        <v>11404</v>
      </c>
      <c r="H3830" s="40" t="s">
        <v>11404</v>
      </c>
    </row>
    <row r="3831">
      <c r="A3831" s="39"/>
      <c r="E3831" s="40" t="s">
        <v>11404</v>
      </c>
      <c r="F3831" s="40" t="s">
        <v>11404</v>
      </c>
      <c r="G3831" s="40" t="s">
        <v>11404</v>
      </c>
      <c r="H3831" s="40" t="s">
        <v>11404</v>
      </c>
    </row>
    <row r="3832">
      <c r="A3832" s="39"/>
      <c r="E3832" s="40" t="s">
        <v>11404</v>
      </c>
      <c r="F3832" s="40" t="s">
        <v>11404</v>
      </c>
      <c r="G3832" s="40" t="s">
        <v>11404</v>
      </c>
      <c r="H3832" s="40" t="s">
        <v>11404</v>
      </c>
    </row>
    <row r="3833">
      <c r="A3833" s="39"/>
      <c r="E3833" s="40" t="s">
        <v>11404</v>
      </c>
      <c r="F3833" s="40" t="s">
        <v>11404</v>
      </c>
      <c r="G3833" s="40" t="s">
        <v>11404</v>
      </c>
      <c r="H3833" s="40" t="s">
        <v>11404</v>
      </c>
    </row>
    <row r="3834">
      <c r="A3834" s="39"/>
      <c r="E3834" s="40" t="s">
        <v>11404</v>
      </c>
      <c r="F3834" s="40" t="s">
        <v>11404</v>
      </c>
      <c r="G3834" s="40" t="s">
        <v>11404</v>
      </c>
      <c r="H3834" s="40" t="s">
        <v>11404</v>
      </c>
    </row>
    <row r="3835">
      <c r="A3835" s="39"/>
      <c r="E3835" s="40" t="s">
        <v>11404</v>
      </c>
      <c r="F3835" s="40" t="s">
        <v>11404</v>
      </c>
      <c r="G3835" s="40" t="s">
        <v>11404</v>
      </c>
      <c r="H3835" s="40" t="s">
        <v>11404</v>
      </c>
    </row>
    <row r="3836">
      <c r="A3836" s="39"/>
      <c r="E3836" s="40" t="s">
        <v>11404</v>
      </c>
      <c r="F3836" s="40" t="s">
        <v>11404</v>
      </c>
      <c r="G3836" s="40" t="s">
        <v>11404</v>
      </c>
      <c r="H3836" s="40" t="s">
        <v>11404</v>
      </c>
    </row>
    <row r="3837">
      <c r="A3837" s="39"/>
      <c r="E3837" s="40" t="s">
        <v>11404</v>
      </c>
      <c r="F3837" s="40" t="s">
        <v>11404</v>
      </c>
      <c r="G3837" s="40" t="s">
        <v>11404</v>
      </c>
      <c r="H3837" s="40" t="s">
        <v>11404</v>
      </c>
    </row>
    <row r="3838">
      <c r="A3838" s="39"/>
      <c r="E3838" s="40" t="s">
        <v>11404</v>
      </c>
      <c r="F3838" s="40" t="s">
        <v>11404</v>
      </c>
      <c r="G3838" s="40" t="s">
        <v>11404</v>
      </c>
      <c r="H3838" s="40" t="s">
        <v>11404</v>
      </c>
    </row>
    <row r="3839">
      <c r="A3839" s="39"/>
      <c r="E3839" s="40" t="s">
        <v>11404</v>
      </c>
      <c r="F3839" s="40" t="s">
        <v>11404</v>
      </c>
      <c r="G3839" s="40" t="s">
        <v>11404</v>
      </c>
      <c r="H3839" s="40" t="s">
        <v>11404</v>
      </c>
    </row>
    <row r="3840">
      <c r="A3840" s="39"/>
      <c r="E3840" s="40" t="s">
        <v>11404</v>
      </c>
      <c r="F3840" s="40" t="s">
        <v>11404</v>
      </c>
      <c r="G3840" s="40" t="s">
        <v>11404</v>
      </c>
      <c r="H3840" s="40" t="s">
        <v>11404</v>
      </c>
    </row>
    <row r="3841">
      <c r="A3841" s="39"/>
      <c r="E3841" s="40" t="s">
        <v>11404</v>
      </c>
      <c r="F3841" s="40" t="s">
        <v>11404</v>
      </c>
      <c r="G3841" s="40" t="s">
        <v>11404</v>
      </c>
      <c r="H3841" s="40" t="s">
        <v>11404</v>
      </c>
    </row>
    <row r="3842">
      <c r="A3842" s="39"/>
      <c r="E3842" s="40" t="s">
        <v>11404</v>
      </c>
      <c r="F3842" s="40" t="s">
        <v>11404</v>
      </c>
      <c r="G3842" s="40" t="s">
        <v>11404</v>
      </c>
      <c r="H3842" s="40" t="s">
        <v>11404</v>
      </c>
    </row>
    <row r="3843">
      <c r="A3843" s="39"/>
      <c r="E3843" s="40" t="s">
        <v>11404</v>
      </c>
      <c r="F3843" s="40" t="s">
        <v>11404</v>
      </c>
      <c r="G3843" s="40" t="s">
        <v>11404</v>
      </c>
      <c r="H3843" s="40" t="s">
        <v>11404</v>
      </c>
    </row>
    <row r="3844">
      <c r="A3844" s="39"/>
      <c r="E3844" s="40" t="s">
        <v>11404</v>
      </c>
      <c r="F3844" s="40" t="s">
        <v>11404</v>
      </c>
      <c r="G3844" s="40" t="s">
        <v>11404</v>
      </c>
      <c r="H3844" s="40" t="s">
        <v>11404</v>
      </c>
    </row>
    <row r="3845">
      <c r="A3845" s="39"/>
      <c r="E3845" s="40" t="s">
        <v>11404</v>
      </c>
      <c r="F3845" s="40" t="s">
        <v>11404</v>
      </c>
      <c r="G3845" s="40" t="s">
        <v>11404</v>
      </c>
      <c r="H3845" s="40" t="s">
        <v>11404</v>
      </c>
    </row>
    <row r="3846">
      <c r="A3846" s="39"/>
      <c r="E3846" s="40" t="s">
        <v>11404</v>
      </c>
      <c r="F3846" s="40" t="s">
        <v>11404</v>
      </c>
      <c r="G3846" s="40" t="s">
        <v>11404</v>
      </c>
      <c r="H3846" s="40" t="s">
        <v>11404</v>
      </c>
    </row>
    <row r="3847">
      <c r="A3847" s="39"/>
      <c r="E3847" s="40" t="s">
        <v>11404</v>
      </c>
      <c r="F3847" s="40" t="s">
        <v>11404</v>
      </c>
      <c r="G3847" s="40" t="s">
        <v>11404</v>
      </c>
      <c r="H3847" s="40" t="s">
        <v>11404</v>
      </c>
    </row>
    <row r="3848">
      <c r="A3848" s="39"/>
      <c r="E3848" s="40" t="s">
        <v>11404</v>
      </c>
      <c r="F3848" s="40" t="s">
        <v>11404</v>
      </c>
      <c r="G3848" s="40" t="s">
        <v>11404</v>
      </c>
      <c r="H3848" s="40" t="s">
        <v>11404</v>
      </c>
    </row>
    <row r="3849">
      <c r="A3849" s="39"/>
      <c r="E3849" s="40" t="s">
        <v>11404</v>
      </c>
      <c r="F3849" s="40" t="s">
        <v>11404</v>
      </c>
      <c r="G3849" s="40" t="s">
        <v>11404</v>
      </c>
      <c r="H3849" s="40" t="s">
        <v>11404</v>
      </c>
    </row>
    <row r="3850">
      <c r="A3850" s="39"/>
      <c r="E3850" s="40" t="s">
        <v>11404</v>
      </c>
      <c r="F3850" s="40" t="s">
        <v>11404</v>
      </c>
      <c r="G3850" s="40" t="s">
        <v>11404</v>
      </c>
      <c r="H3850" s="40" t="s">
        <v>11404</v>
      </c>
    </row>
    <row r="3851">
      <c r="A3851" s="39"/>
      <c r="E3851" s="40" t="s">
        <v>11404</v>
      </c>
      <c r="F3851" s="40" t="s">
        <v>11404</v>
      </c>
      <c r="G3851" s="40" t="s">
        <v>11404</v>
      </c>
      <c r="H3851" s="40" t="s">
        <v>11404</v>
      </c>
    </row>
    <row r="3852">
      <c r="A3852" s="39"/>
      <c r="E3852" s="40" t="s">
        <v>11404</v>
      </c>
      <c r="F3852" s="40" t="s">
        <v>11404</v>
      </c>
      <c r="G3852" s="40" t="s">
        <v>11404</v>
      </c>
      <c r="H3852" s="40" t="s">
        <v>11404</v>
      </c>
    </row>
    <row r="3853">
      <c r="A3853" s="39"/>
      <c r="E3853" s="40" t="s">
        <v>11404</v>
      </c>
      <c r="F3853" s="40" t="s">
        <v>11404</v>
      </c>
      <c r="G3853" s="40" t="s">
        <v>11404</v>
      </c>
      <c r="H3853" s="40" t="s">
        <v>11404</v>
      </c>
    </row>
    <row r="3854">
      <c r="A3854" s="39"/>
      <c r="E3854" s="40" t="s">
        <v>11404</v>
      </c>
      <c r="F3854" s="40" t="s">
        <v>11404</v>
      </c>
      <c r="G3854" s="40" t="s">
        <v>11404</v>
      </c>
      <c r="H3854" s="40" t="s">
        <v>11404</v>
      </c>
    </row>
    <row r="3855">
      <c r="A3855" s="39"/>
      <c r="E3855" s="40" t="s">
        <v>11404</v>
      </c>
      <c r="F3855" s="40" t="s">
        <v>11404</v>
      </c>
      <c r="G3855" s="40" t="s">
        <v>11404</v>
      </c>
      <c r="H3855" s="40" t="s">
        <v>11404</v>
      </c>
    </row>
    <row r="3856">
      <c r="A3856" s="39"/>
      <c r="E3856" s="40" t="s">
        <v>11404</v>
      </c>
      <c r="F3856" s="40" t="s">
        <v>11404</v>
      </c>
      <c r="G3856" s="40" t="s">
        <v>11404</v>
      </c>
      <c r="H3856" s="40" t="s">
        <v>11404</v>
      </c>
    </row>
    <row r="3857">
      <c r="A3857" s="39"/>
      <c r="E3857" s="40" t="s">
        <v>11404</v>
      </c>
      <c r="F3857" s="40" t="s">
        <v>11404</v>
      </c>
      <c r="G3857" s="40" t="s">
        <v>11404</v>
      </c>
      <c r="H3857" s="40" t="s">
        <v>11404</v>
      </c>
    </row>
    <row r="3858">
      <c r="A3858" s="39"/>
      <c r="E3858" s="40" t="s">
        <v>11404</v>
      </c>
      <c r="F3858" s="40" t="s">
        <v>11404</v>
      </c>
      <c r="G3858" s="40" t="s">
        <v>11404</v>
      </c>
      <c r="H3858" s="40" t="s">
        <v>11404</v>
      </c>
    </row>
    <row r="3859">
      <c r="A3859" s="39"/>
      <c r="E3859" s="40" t="s">
        <v>11404</v>
      </c>
      <c r="F3859" s="40" t="s">
        <v>11404</v>
      </c>
      <c r="G3859" s="40" t="s">
        <v>11404</v>
      </c>
      <c r="H3859" s="40" t="s">
        <v>11404</v>
      </c>
    </row>
    <row r="3860">
      <c r="A3860" s="39"/>
      <c r="E3860" s="40" t="s">
        <v>11404</v>
      </c>
      <c r="F3860" s="40" t="s">
        <v>11404</v>
      </c>
      <c r="G3860" s="40" t="s">
        <v>11404</v>
      </c>
      <c r="H3860" s="40" t="s">
        <v>11404</v>
      </c>
    </row>
    <row r="3861">
      <c r="A3861" s="39"/>
      <c r="E3861" s="40" t="s">
        <v>11404</v>
      </c>
      <c r="F3861" s="40" t="s">
        <v>11404</v>
      </c>
      <c r="G3861" s="40" t="s">
        <v>11404</v>
      </c>
      <c r="H3861" s="40" t="s">
        <v>11404</v>
      </c>
    </row>
    <row r="3862">
      <c r="A3862" s="39"/>
      <c r="E3862" s="40" t="s">
        <v>11404</v>
      </c>
      <c r="F3862" s="40" t="s">
        <v>11404</v>
      </c>
      <c r="G3862" s="40" t="s">
        <v>11404</v>
      </c>
      <c r="H3862" s="40" t="s">
        <v>11404</v>
      </c>
    </row>
    <row r="3863">
      <c r="A3863" s="39"/>
      <c r="E3863" s="40" t="s">
        <v>11404</v>
      </c>
      <c r="F3863" s="40" t="s">
        <v>11404</v>
      </c>
      <c r="G3863" s="40" t="s">
        <v>11404</v>
      </c>
      <c r="H3863" s="40" t="s">
        <v>11404</v>
      </c>
    </row>
    <row r="3864">
      <c r="A3864" s="39"/>
      <c r="E3864" s="40" t="s">
        <v>11404</v>
      </c>
      <c r="F3864" s="40" t="s">
        <v>11404</v>
      </c>
      <c r="G3864" s="40" t="s">
        <v>11404</v>
      </c>
      <c r="H3864" s="40" t="s">
        <v>11404</v>
      </c>
    </row>
    <row r="3865">
      <c r="A3865" s="39"/>
      <c r="E3865" s="40" t="s">
        <v>11404</v>
      </c>
      <c r="F3865" s="40" t="s">
        <v>11404</v>
      </c>
      <c r="G3865" s="40" t="s">
        <v>11404</v>
      </c>
      <c r="H3865" s="40" t="s">
        <v>11404</v>
      </c>
    </row>
    <row r="3866">
      <c r="A3866" s="39"/>
      <c r="E3866" s="40" t="s">
        <v>11404</v>
      </c>
      <c r="F3866" s="40" t="s">
        <v>11404</v>
      </c>
      <c r="G3866" s="40" t="s">
        <v>11404</v>
      </c>
      <c r="H3866" s="40" t="s">
        <v>11404</v>
      </c>
    </row>
    <row r="3867">
      <c r="A3867" s="39"/>
      <c r="E3867" s="40" t="s">
        <v>11404</v>
      </c>
      <c r="F3867" s="40" t="s">
        <v>11404</v>
      </c>
      <c r="G3867" s="40" t="s">
        <v>11404</v>
      </c>
      <c r="H3867" s="40" t="s">
        <v>11404</v>
      </c>
    </row>
    <row r="3868">
      <c r="A3868" s="39"/>
      <c r="E3868" s="40" t="s">
        <v>11404</v>
      </c>
      <c r="F3868" s="40" t="s">
        <v>11404</v>
      </c>
      <c r="G3868" s="40" t="s">
        <v>11404</v>
      </c>
      <c r="H3868" s="40" t="s">
        <v>11404</v>
      </c>
    </row>
    <row r="3869">
      <c r="A3869" s="39"/>
      <c r="E3869" s="40" t="s">
        <v>11404</v>
      </c>
      <c r="F3869" s="40" t="s">
        <v>11404</v>
      </c>
      <c r="G3869" s="40" t="s">
        <v>11404</v>
      </c>
      <c r="H3869" s="40" t="s">
        <v>11404</v>
      </c>
    </row>
    <row r="3870">
      <c r="A3870" s="39"/>
      <c r="E3870" s="40" t="s">
        <v>11404</v>
      </c>
      <c r="F3870" s="40" t="s">
        <v>11404</v>
      </c>
      <c r="G3870" s="40" t="s">
        <v>11404</v>
      </c>
      <c r="H3870" s="40" t="s">
        <v>11404</v>
      </c>
    </row>
    <row r="3871">
      <c r="A3871" s="39"/>
      <c r="E3871" s="40" t="s">
        <v>11404</v>
      </c>
      <c r="F3871" s="40" t="s">
        <v>11404</v>
      </c>
      <c r="G3871" s="40" t="s">
        <v>11404</v>
      </c>
      <c r="H3871" s="40" t="s">
        <v>11404</v>
      </c>
    </row>
    <row r="3872">
      <c r="A3872" s="39"/>
      <c r="E3872" s="40" t="s">
        <v>11404</v>
      </c>
      <c r="F3872" s="40" t="s">
        <v>11404</v>
      </c>
      <c r="G3872" s="40" t="s">
        <v>11404</v>
      </c>
      <c r="H3872" s="40" t="s">
        <v>11404</v>
      </c>
    </row>
    <row r="3873">
      <c r="A3873" s="39"/>
      <c r="E3873" s="40" t="s">
        <v>11404</v>
      </c>
      <c r="F3873" s="40" t="s">
        <v>11404</v>
      </c>
      <c r="G3873" s="40" t="s">
        <v>11404</v>
      </c>
      <c r="H3873" s="40" t="s">
        <v>11404</v>
      </c>
    </row>
    <row r="3874">
      <c r="A3874" s="39"/>
      <c r="E3874" s="40" t="s">
        <v>11404</v>
      </c>
      <c r="F3874" s="40" t="s">
        <v>11404</v>
      </c>
      <c r="G3874" s="40" t="s">
        <v>11404</v>
      </c>
      <c r="H3874" s="40" t="s">
        <v>11404</v>
      </c>
    </row>
    <row r="3875">
      <c r="A3875" s="39"/>
      <c r="E3875" s="40" t="s">
        <v>11404</v>
      </c>
      <c r="F3875" s="40" t="s">
        <v>11404</v>
      </c>
      <c r="G3875" s="40" t="s">
        <v>11404</v>
      </c>
      <c r="H3875" s="40" t="s">
        <v>11404</v>
      </c>
    </row>
    <row r="3876">
      <c r="A3876" s="39"/>
      <c r="E3876" s="40" t="s">
        <v>11404</v>
      </c>
      <c r="F3876" s="40" t="s">
        <v>11404</v>
      </c>
      <c r="G3876" s="40" t="s">
        <v>11404</v>
      </c>
      <c r="H3876" s="40" t="s">
        <v>11404</v>
      </c>
    </row>
    <row r="3877">
      <c r="A3877" s="39"/>
      <c r="E3877" s="40" t="s">
        <v>11404</v>
      </c>
      <c r="F3877" s="40" t="s">
        <v>11404</v>
      </c>
      <c r="G3877" s="40" t="s">
        <v>11404</v>
      </c>
      <c r="H3877" s="40" t="s">
        <v>11404</v>
      </c>
    </row>
    <row r="3878">
      <c r="A3878" s="39"/>
      <c r="E3878" s="40" t="s">
        <v>11404</v>
      </c>
      <c r="F3878" s="40" t="s">
        <v>11404</v>
      </c>
      <c r="G3878" s="40" t="s">
        <v>11404</v>
      </c>
      <c r="H3878" s="40" t="s">
        <v>11404</v>
      </c>
    </row>
    <row r="3879">
      <c r="A3879" s="39"/>
      <c r="E3879" s="40" t="s">
        <v>11404</v>
      </c>
      <c r="F3879" s="40" t="s">
        <v>11404</v>
      </c>
      <c r="G3879" s="40" t="s">
        <v>11404</v>
      </c>
      <c r="H3879" s="40" t="s">
        <v>11404</v>
      </c>
    </row>
    <row r="3880">
      <c r="A3880" s="39"/>
      <c r="E3880" s="40" t="s">
        <v>11404</v>
      </c>
      <c r="F3880" s="40" t="s">
        <v>11404</v>
      </c>
      <c r="G3880" s="40" t="s">
        <v>11404</v>
      </c>
      <c r="H3880" s="40" t="s">
        <v>11404</v>
      </c>
    </row>
    <row r="3881">
      <c r="A3881" s="39"/>
      <c r="E3881" s="40" t="s">
        <v>11404</v>
      </c>
      <c r="F3881" s="40" t="s">
        <v>11404</v>
      </c>
      <c r="G3881" s="40" t="s">
        <v>11404</v>
      </c>
      <c r="H3881" s="40" t="s">
        <v>11404</v>
      </c>
    </row>
    <row r="3882">
      <c r="A3882" s="39"/>
      <c r="E3882" s="40" t="s">
        <v>11404</v>
      </c>
      <c r="F3882" s="40" t="s">
        <v>11404</v>
      </c>
      <c r="G3882" s="40" t="s">
        <v>11404</v>
      </c>
      <c r="H3882" s="40" t="s">
        <v>11404</v>
      </c>
    </row>
    <row r="3883">
      <c r="A3883" s="39"/>
      <c r="E3883" s="40" t="s">
        <v>11404</v>
      </c>
      <c r="F3883" s="40" t="s">
        <v>11404</v>
      </c>
      <c r="G3883" s="40" t="s">
        <v>11404</v>
      </c>
      <c r="H3883" s="40" t="s">
        <v>11404</v>
      </c>
    </row>
    <row r="3884">
      <c r="A3884" s="39"/>
      <c r="E3884" s="40" t="s">
        <v>11404</v>
      </c>
      <c r="F3884" s="40" t="s">
        <v>11404</v>
      </c>
      <c r="G3884" s="40" t="s">
        <v>11404</v>
      </c>
      <c r="H3884" s="40" t="s">
        <v>11404</v>
      </c>
    </row>
    <row r="3885">
      <c r="A3885" s="39"/>
      <c r="E3885" s="40" t="s">
        <v>11404</v>
      </c>
      <c r="F3885" s="40" t="s">
        <v>11404</v>
      </c>
      <c r="G3885" s="40" t="s">
        <v>11404</v>
      </c>
      <c r="H3885" s="40" t="s">
        <v>11404</v>
      </c>
    </row>
    <row r="3886">
      <c r="A3886" s="39"/>
      <c r="E3886" s="40" t="s">
        <v>11404</v>
      </c>
      <c r="F3886" s="40" t="s">
        <v>11404</v>
      </c>
      <c r="G3886" s="40" t="s">
        <v>11404</v>
      </c>
      <c r="H3886" s="40" t="s">
        <v>11404</v>
      </c>
    </row>
    <row r="3887">
      <c r="A3887" s="39"/>
      <c r="E3887" s="40" t="s">
        <v>11404</v>
      </c>
      <c r="F3887" s="40" t="s">
        <v>11404</v>
      </c>
      <c r="G3887" s="40" t="s">
        <v>11404</v>
      </c>
      <c r="H3887" s="40" t="s">
        <v>11404</v>
      </c>
    </row>
    <row r="3888">
      <c r="A3888" s="39"/>
      <c r="E3888" s="40" t="s">
        <v>11404</v>
      </c>
      <c r="F3888" s="40" t="s">
        <v>11404</v>
      </c>
      <c r="G3888" s="40" t="s">
        <v>11404</v>
      </c>
      <c r="H3888" s="40" t="s">
        <v>11404</v>
      </c>
    </row>
    <row r="3889">
      <c r="A3889" s="39"/>
      <c r="E3889" s="40" t="s">
        <v>11404</v>
      </c>
      <c r="F3889" s="40" t="s">
        <v>11404</v>
      </c>
      <c r="G3889" s="40" t="s">
        <v>11404</v>
      </c>
      <c r="H3889" s="40" t="s">
        <v>11404</v>
      </c>
    </row>
    <row r="3890">
      <c r="A3890" s="39"/>
      <c r="E3890" s="40" t="s">
        <v>11404</v>
      </c>
      <c r="F3890" s="40" t="s">
        <v>11404</v>
      </c>
      <c r="G3890" s="40" t="s">
        <v>11404</v>
      </c>
      <c r="H3890" s="40" t="s">
        <v>11404</v>
      </c>
    </row>
    <row r="3891">
      <c r="A3891" s="39"/>
      <c r="E3891" s="40" t="s">
        <v>11404</v>
      </c>
      <c r="F3891" s="40" t="s">
        <v>11404</v>
      </c>
      <c r="G3891" s="40" t="s">
        <v>11404</v>
      </c>
      <c r="H3891" s="40" t="s">
        <v>11404</v>
      </c>
    </row>
    <row r="3892">
      <c r="A3892" s="39"/>
      <c r="E3892" s="40" t="s">
        <v>11404</v>
      </c>
      <c r="F3892" s="40" t="s">
        <v>11404</v>
      </c>
      <c r="G3892" s="40" t="s">
        <v>11404</v>
      </c>
      <c r="H3892" s="40" t="s">
        <v>11404</v>
      </c>
    </row>
    <row r="3893">
      <c r="A3893" s="39"/>
      <c r="E3893" s="40" t="s">
        <v>11404</v>
      </c>
      <c r="F3893" s="40" t="s">
        <v>11404</v>
      </c>
      <c r="G3893" s="40" t="s">
        <v>11404</v>
      </c>
      <c r="H3893" s="40" t="s">
        <v>11404</v>
      </c>
    </row>
    <row r="3894">
      <c r="A3894" s="39"/>
      <c r="E3894" s="40" t="s">
        <v>11404</v>
      </c>
      <c r="F3894" s="40" t="s">
        <v>11404</v>
      </c>
      <c r="G3894" s="40" t="s">
        <v>11404</v>
      </c>
      <c r="H3894" s="40" t="s">
        <v>11404</v>
      </c>
    </row>
    <row r="3895">
      <c r="A3895" s="39"/>
      <c r="E3895" s="40" t="s">
        <v>11404</v>
      </c>
      <c r="F3895" s="40" t="s">
        <v>11404</v>
      </c>
      <c r="G3895" s="40" t="s">
        <v>11404</v>
      </c>
      <c r="H3895" s="40" t="s">
        <v>11404</v>
      </c>
    </row>
    <row r="3896">
      <c r="A3896" s="39"/>
      <c r="E3896" s="40" t="s">
        <v>11404</v>
      </c>
      <c r="F3896" s="40" t="s">
        <v>11404</v>
      </c>
      <c r="G3896" s="40" t="s">
        <v>11404</v>
      </c>
      <c r="H3896" s="40" t="s">
        <v>11404</v>
      </c>
    </row>
    <row r="3897">
      <c r="A3897" s="39"/>
      <c r="E3897" s="40" t="s">
        <v>11404</v>
      </c>
      <c r="F3897" s="40" t="s">
        <v>11404</v>
      </c>
      <c r="G3897" s="40" t="s">
        <v>11404</v>
      </c>
      <c r="H3897" s="40" t="s">
        <v>11404</v>
      </c>
    </row>
    <row r="3898">
      <c r="A3898" s="39"/>
      <c r="E3898" s="40" t="s">
        <v>11404</v>
      </c>
      <c r="F3898" s="40" t="s">
        <v>11404</v>
      </c>
      <c r="G3898" s="40" t="s">
        <v>11404</v>
      </c>
      <c r="H3898" s="40" t="s">
        <v>11404</v>
      </c>
    </row>
    <row r="3899">
      <c r="A3899" s="39"/>
      <c r="E3899" s="40" t="s">
        <v>11404</v>
      </c>
      <c r="F3899" s="40" t="s">
        <v>11404</v>
      </c>
      <c r="G3899" s="40" t="s">
        <v>11404</v>
      </c>
      <c r="H3899" s="40" t="s">
        <v>11404</v>
      </c>
    </row>
    <row r="3900">
      <c r="A3900" s="39"/>
      <c r="E3900" s="40" t="s">
        <v>11404</v>
      </c>
      <c r="F3900" s="40" t="s">
        <v>11404</v>
      </c>
      <c r="G3900" s="40" t="s">
        <v>11404</v>
      </c>
      <c r="H3900" s="40" t="s">
        <v>11404</v>
      </c>
    </row>
    <row r="3901">
      <c r="A3901" s="39"/>
      <c r="E3901" s="40" t="s">
        <v>11404</v>
      </c>
      <c r="F3901" s="40" t="s">
        <v>11404</v>
      </c>
      <c r="G3901" s="40" t="s">
        <v>11404</v>
      </c>
      <c r="H3901" s="40" t="s">
        <v>11404</v>
      </c>
    </row>
    <row r="3902">
      <c r="A3902" s="39"/>
      <c r="E3902" s="40" t="s">
        <v>11404</v>
      </c>
      <c r="F3902" s="40" t="s">
        <v>11404</v>
      </c>
      <c r="G3902" s="40" t="s">
        <v>11404</v>
      </c>
      <c r="H3902" s="40" t="s">
        <v>11404</v>
      </c>
    </row>
    <row r="3903">
      <c r="A3903" s="39"/>
      <c r="E3903" s="40" t="s">
        <v>11404</v>
      </c>
      <c r="F3903" s="40" t="s">
        <v>11404</v>
      </c>
      <c r="G3903" s="40" t="s">
        <v>11404</v>
      </c>
      <c r="H3903" s="40" t="s">
        <v>11404</v>
      </c>
    </row>
    <row r="3904">
      <c r="A3904" s="39"/>
      <c r="E3904" s="40" t="s">
        <v>11404</v>
      </c>
      <c r="F3904" s="40" t="s">
        <v>11404</v>
      </c>
      <c r="G3904" s="40" t="s">
        <v>11404</v>
      </c>
      <c r="H3904" s="40" t="s">
        <v>11404</v>
      </c>
    </row>
    <row r="3905">
      <c r="A3905" s="39"/>
      <c r="E3905" s="40" t="s">
        <v>11404</v>
      </c>
      <c r="F3905" s="40" t="s">
        <v>11404</v>
      </c>
      <c r="G3905" s="40" t="s">
        <v>11404</v>
      </c>
      <c r="H3905" s="40" t="s">
        <v>11404</v>
      </c>
    </row>
    <row r="3906">
      <c r="A3906" s="39"/>
      <c r="E3906" s="40" t="s">
        <v>11404</v>
      </c>
      <c r="F3906" s="40" t="s">
        <v>11404</v>
      </c>
      <c r="G3906" s="40" t="s">
        <v>11404</v>
      </c>
      <c r="H3906" s="40" t="s">
        <v>11404</v>
      </c>
    </row>
    <row r="3907">
      <c r="A3907" s="39"/>
      <c r="E3907" s="40" t="s">
        <v>11404</v>
      </c>
      <c r="F3907" s="40" t="s">
        <v>11404</v>
      </c>
      <c r="G3907" s="40" t="s">
        <v>11404</v>
      </c>
      <c r="H3907" s="40" t="s">
        <v>11404</v>
      </c>
    </row>
    <row r="3908">
      <c r="A3908" s="39"/>
      <c r="E3908" s="40" t="s">
        <v>11404</v>
      </c>
      <c r="F3908" s="40" t="s">
        <v>11404</v>
      </c>
      <c r="G3908" s="40" t="s">
        <v>11404</v>
      </c>
      <c r="H3908" s="40" t="s">
        <v>11404</v>
      </c>
    </row>
    <row r="3909">
      <c r="A3909" s="39"/>
      <c r="E3909" s="40" t="s">
        <v>11404</v>
      </c>
      <c r="F3909" s="40" t="s">
        <v>11404</v>
      </c>
      <c r="G3909" s="40" t="s">
        <v>11404</v>
      </c>
      <c r="H3909" s="40" t="s">
        <v>11404</v>
      </c>
    </row>
    <row r="3910">
      <c r="A3910" s="39"/>
      <c r="E3910" s="40" t="s">
        <v>11404</v>
      </c>
      <c r="F3910" s="40" t="s">
        <v>11404</v>
      </c>
      <c r="G3910" s="40" t="s">
        <v>11404</v>
      </c>
      <c r="H3910" s="40" t="s">
        <v>11404</v>
      </c>
    </row>
    <row r="3911">
      <c r="A3911" s="39"/>
      <c r="E3911" s="40" t="s">
        <v>11404</v>
      </c>
      <c r="F3911" s="40" t="s">
        <v>11404</v>
      </c>
      <c r="G3911" s="40" t="s">
        <v>11404</v>
      </c>
      <c r="H3911" s="40" t="s">
        <v>11404</v>
      </c>
    </row>
    <row r="3912">
      <c r="A3912" s="39"/>
      <c r="E3912" s="40" t="s">
        <v>11404</v>
      </c>
      <c r="F3912" s="40" t="s">
        <v>11404</v>
      </c>
      <c r="G3912" s="40" t="s">
        <v>11404</v>
      </c>
      <c r="H3912" s="40" t="s">
        <v>11404</v>
      </c>
    </row>
    <row r="3913">
      <c r="A3913" s="39"/>
      <c r="E3913" s="40" t="s">
        <v>11404</v>
      </c>
      <c r="F3913" s="40" t="s">
        <v>11404</v>
      </c>
      <c r="G3913" s="40" t="s">
        <v>11404</v>
      </c>
      <c r="H3913" s="40" t="s">
        <v>11404</v>
      </c>
    </row>
    <row r="3914">
      <c r="A3914" s="39"/>
      <c r="E3914" s="40" t="s">
        <v>11404</v>
      </c>
      <c r="F3914" s="40" t="s">
        <v>11404</v>
      </c>
      <c r="G3914" s="40" t="s">
        <v>11404</v>
      </c>
      <c r="H3914" s="40" t="s">
        <v>11404</v>
      </c>
    </row>
    <row r="3915">
      <c r="A3915" s="39"/>
      <c r="E3915" s="40" t="s">
        <v>11404</v>
      </c>
      <c r="F3915" s="40" t="s">
        <v>11404</v>
      </c>
      <c r="G3915" s="40" t="s">
        <v>11404</v>
      </c>
      <c r="H3915" s="40" t="s">
        <v>11404</v>
      </c>
    </row>
    <row r="3916">
      <c r="A3916" s="39"/>
      <c r="E3916" s="40" t="s">
        <v>11404</v>
      </c>
      <c r="F3916" s="40" t="s">
        <v>11404</v>
      </c>
      <c r="G3916" s="40" t="s">
        <v>11404</v>
      </c>
      <c r="H3916" s="40" t="s">
        <v>11404</v>
      </c>
    </row>
    <row r="3917">
      <c r="A3917" s="39"/>
      <c r="E3917" s="40" t="s">
        <v>11404</v>
      </c>
      <c r="F3917" s="40" t="s">
        <v>11404</v>
      </c>
      <c r="G3917" s="40" t="s">
        <v>11404</v>
      </c>
      <c r="H3917" s="40" t="s">
        <v>11404</v>
      </c>
    </row>
    <row r="3918">
      <c r="A3918" s="39"/>
      <c r="E3918" s="40" t="s">
        <v>11404</v>
      </c>
      <c r="F3918" s="40" t="s">
        <v>11404</v>
      </c>
      <c r="G3918" s="40" t="s">
        <v>11404</v>
      </c>
      <c r="H3918" s="40" t="s">
        <v>11404</v>
      </c>
    </row>
    <row r="3919">
      <c r="A3919" s="39"/>
      <c r="E3919" s="40" t="s">
        <v>11404</v>
      </c>
      <c r="F3919" s="40" t="s">
        <v>11404</v>
      </c>
      <c r="G3919" s="40" t="s">
        <v>11404</v>
      </c>
      <c r="H3919" s="40" t="s">
        <v>11404</v>
      </c>
    </row>
    <row r="3920">
      <c r="A3920" s="39"/>
      <c r="E3920" s="40" t="s">
        <v>11404</v>
      </c>
      <c r="F3920" s="40" t="s">
        <v>11404</v>
      </c>
      <c r="G3920" s="40" t="s">
        <v>11404</v>
      </c>
      <c r="H3920" s="40" t="s">
        <v>11404</v>
      </c>
    </row>
    <row r="3921">
      <c r="A3921" s="39"/>
      <c r="E3921" s="40" t="s">
        <v>11404</v>
      </c>
      <c r="F3921" s="40" t="s">
        <v>11404</v>
      </c>
      <c r="G3921" s="40" t="s">
        <v>11404</v>
      </c>
      <c r="H3921" s="40" t="s">
        <v>11404</v>
      </c>
    </row>
    <row r="3922">
      <c r="A3922" s="39"/>
      <c r="E3922" s="40" t="s">
        <v>11404</v>
      </c>
      <c r="F3922" s="40" t="s">
        <v>11404</v>
      </c>
      <c r="G3922" s="40" t="s">
        <v>11404</v>
      </c>
      <c r="H3922" s="40" t="s">
        <v>11404</v>
      </c>
    </row>
    <row r="3923">
      <c r="A3923" s="39"/>
      <c r="E3923" s="40" t="s">
        <v>11404</v>
      </c>
      <c r="F3923" s="40" t="s">
        <v>11404</v>
      </c>
      <c r="G3923" s="40" t="s">
        <v>11404</v>
      </c>
      <c r="H3923" s="40" t="s">
        <v>11404</v>
      </c>
    </row>
    <row r="3924">
      <c r="A3924" s="39"/>
      <c r="E3924" s="40" t="s">
        <v>11404</v>
      </c>
      <c r="F3924" s="40" t="s">
        <v>11404</v>
      </c>
      <c r="G3924" s="40" t="s">
        <v>11404</v>
      </c>
      <c r="H3924" s="40" t="s">
        <v>11404</v>
      </c>
    </row>
    <row r="3925">
      <c r="A3925" s="39"/>
      <c r="E3925" s="40" t="s">
        <v>11404</v>
      </c>
      <c r="F3925" s="40" t="s">
        <v>11404</v>
      </c>
      <c r="G3925" s="40" t="s">
        <v>11404</v>
      </c>
      <c r="H3925" s="40" t="s">
        <v>11404</v>
      </c>
    </row>
    <row r="3926">
      <c r="A3926" s="39"/>
      <c r="E3926" s="40" t="s">
        <v>11404</v>
      </c>
      <c r="F3926" s="40" t="s">
        <v>11404</v>
      </c>
      <c r="G3926" s="40" t="s">
        <v>11404</v>
      </c>
      <c r="H3926" s="40" t="s">
        <v>11404</v>
      </c>
    </row>
    <row r="3927">
      <c r="A3927" s="39"/>
      <c r="E3927" s="40" t="s">
        <v>11404</v>
      </c>
      <c r="F3927" s="40" t="s">
        <v>11404</v>
      </c>
      <c r="G3927" s="40" t="s">
        <v>11404</v>
      </c>
      <c r="H3927" s="40" t="s">
        <v>11404</v>
      </c>
    </row>
    <row r="3928">
      <c r="A3928" s="39"/>
      <c r="E3928" s="40" t="s">
        <v>11404</v>
      </c>
      <c r="F3928" s="40" t="s">
        <v>11404</v>
      </c>
      <c r="G3928" s="40" t="s">
        <v>11404</v>
      </c>
      <c r="H3928" s="40" t="s">
        <v>11404</v>
      </c>
    </row>
    <row r="3929">
      <c r="A3929" s="39"/>
      <c r="E3929" s="40" t="s">
        <v>11404</v>
      </c>
      <c r="F3929" s="40" t="s">
        <v>11404</v>
      </c>
      <c r="G3929" s="40" t="s">
        <v>11404</v>
      </c>
      <c r="H3929" s="40" t="s">
        <v>11404</v>
      </c>
    </row>
    <row r="3930">
      <c r="A3930" s="39"/>
      <c r="E3930" s="40" t="s">
        <v>11404</v>
      </c>
      <c r="F3930" s="40" t="s">
        <v>11404</v>
      </c>
      <c r="G3930" s="40" t="s">
        <v>11404</v>
      </c>
      <c r="H3930" s="40" t="s">
        <v>11404</v>
      </c>
    </row>
    <row r="3931">
      <c r="A3931" s="39"/>
      <c r="E3931" s="40" t="s">
        <v>11404</v>
      </c>
      <c r="F3931" s="40" t="s">
        <v>11404</v>
      </c>
      <c r="G3931" s="40" t="s">
        <v>11404</v>
      </c>
      <c r="H3931" s="40" t="s">
        <v>11404</v>
      </c>
    </row>
    <row r="3932">
      <c r="A3932" s="39"/>
      <c r="E3932" s="40" t="s">
        <v>11404</v>
      </c>
      <c r="F3932" s="40" t="s">
        <v>11404</v>
      </c>
      <c r="G3932" s="40" t="s">
        <v>11404</v>
      </c>
      <c r="H3932" s="40" t="s">
        <v>11404</v>
      </c>
    </row>
    <row r="3933">
      <c r="A3933" s="39"/>
      <c r="E3933" s="40" t="s">
        <v>11404</v>
      </c>
      <c r="F3933" s="40" t="s">
        <v>11404</v>
      </c>
      <c r="G3933" s="40" t="s">
        <v>11404</v>
      </c>
      <c r="H3933" s="40" t="s">
        <v>11404</v>
      </c>
    </row>
    <row r="3934">
      <c r="A3934" s="39"/>
      <c r="E3934" s="40" t="s">
        <v>11404</v>
      </c>
      <c r="F3934" s="40" t="s">
        <v>11404</v>
      </c>
      <c r="G3934" s="40" t="s">
        <v>11404</v>
      </c>
      <c r="H3934" s="40" t="s">
        <v>11404</v>
      </c>
    </row>
    <row r="3935">
      <c r="A3935" s="39"/>
      <c r="E3935" s="40" t="s">
        <v>11404</v>
      </c>
      <c r="F3935" s="40" t="s">
        <v>11404</v>
      </c>
      <c r="G3935" s="40" t="s">
        <v>11404</v>
      </c>
      <c r="H3935" s="40" t="s">
        <v>11404</v>
      </c>
    </row>
    <row r="3936">
      <c r="A3936" s="39"/>
      <c r="E3936" s="40" t="s">
        <v>11404</v>
      </c>
      <c r="F3936" s="40" t="s">
        <v>11404</v>
      </c>
      <c r="G3936" s="40" t="s">
        <v>11404</v>
      </c>
      <c r="H3936" s="40" t="s">
        <v>11404</v>
      </c>
    </row>
    <row r="3937">
      <c r="A3937" s="39"/>
      <c r="E3937" s="40" t="s">
        <v>11404</v>
      </c>
      <c r="F3937" s="40" t="s">
        <v>11404</v>
      </c>
      <c r="G3937" s="40" t="s">
        <v>11404</v>
      </c>
      <c r="H3937" s="40" t="s">
        <v>11404</v>
      </c>
    </row>
    <row r="3938">
      <c r="A3938" s="39"/>
      <c r="E3938" s="40" t="s">
        <v>11404</v>
      </c>
      <c r="F3938" s="40" t="s">
        <v>11404</v>
      </c>
      <c r="G3938" s="40" t="s">
        <v>11404</v>
      </c>
      <c r="H3938" s="40" t="s">
        <v>11404</v>
      </c>
    </row>
    <row r="3939">
      <c r="A3939" s="39"/>
      <c r="E3939" s="40" t="s">
        <v>11404</v>
      </c>
      <c r="F3939" s="40" t="s">
        <v>11404</v>
      </c>
      <c r="G3939" s="40" t="s">
        <v>11404</v>
      </c>
      <c r="H3939" s="40" t="s">
        <v>11404</v>
      </c>
    </row>
    <row r="3940">
      <c r="A3940" s="39"/>
      <c r="E3940" s="40" t="s">
        <v>11404</v>
      </c>
      <c r="F3940" s="40" t="s">
        <v>11404</v>
      </c>
      <c r="G3940" s="40" t="s">
        <v>11404</v>
      </c>
      <c r="H3940" s="40" t="s">
        <v>11404</v>
      </c>
    </row>
    <row r="3941">
      <c r="A3941" s="39"/>
      <c r="E3941" s="40" t="s">
        <v>11404</v>
      </c>
      <c r="F3941" s="40" t="s">
        <v>11404</v>
      </c>
      <c r="G3941" s="40" t="s">
        <v>11404</v>
      </c>
      <c r="H3941" s="40" t="s">
        <v>11404</v>
      </c>
    </row>
    <row r="3942">
      <c r="A3942" s="39"/>
      <c r="E3942" s="40" t="s">
        <v>11404</v>
      </c>
      <c r="F3942" s="40" t="s">
        <v>11404</v>
      </c>
      <c r="G3942" s="40" t="s">
        <v>11404</v>
      </c>
      <c r="H3942" s="40" t="s">
        <v>11404</v>
      </c>
    </row>
    <row r="3943">
      <c r="A3943" s="39"/>
      <c r="E3943" s="40" t="s">
        <v>11404</v>
      </c>
      <c r="F3943" s="40" t="s">
        <v>11404</v>
      </c>
      <c r="G3943" s="40" t="s">
        <v>11404</v>
      </c>
      <c r="H3943" s="40" t="s">
        <v>11404</v>
      </c>
    </row>
    <row r="3944">
      <c r="A3944" s="39"/>
      <c r="E3944" s="40" t="s">
        <v>11404</v>
      </c>
      <c r="F3944" s="40" t="s">
        <v>11404</v>
      </c>
      <c r="G3944" s="40" t="s">
        <v>11404</v>
      </c>
      <c r="H3944" s="40" t="s">
        <v>11404</v>
      </c>
    </row>
    <row r="3945">
      <c r="A3945" s="39"/>
      <c r="E3945" s="40" t="s">
        <v>11404</v>
      </c>
      <c r="F3945" s="40" t="s">
        <v>11404</v>
      </c>
      <c r="G3945" s="40" t="s">
        <v>11404</v>
      </c>
      <c r="H3945" s="40" t="s">
        <v>11404</v>
      </c>
    </row>
    <row r="3946">
      <c r="A3946" s="39"/>
      <c r="E3946" s="40" t="s">
        <v>11404</v>
      </c>
      <c r="F3946" s="40" t="s">
        <v>11404</v>
      </c>
      <c r="G3946" s="40" t="s">
        <v>11404</v>
      </c>
      <c r="H3946" s="40" t="s">
        <v>11404</v>
      </c>
    </row>
    <row r="3947">
      <c r="A3947" s="39"/>
      <c r="E3947" s="40" t="s">
        <v>11404</v>
      </c>
      <c r="F3947" s="40" t="s">
        <v>11404</v>
      </c>
      <c r="G3947" s="40" t="s">
        <v>11404</v>
      </c>
      <c r="H3947" s="40" t="s">
        <v>11404</v>
      </c>
    </row>
    <row r="3948">
      <c r="A3948" s="39"/>
      <c r="E3948" s="40" t="s">
        <v>11404</v>
      </c>
      <c r="F3948" s="40" t="s">
        <v>11404</v>
      </c>
      <c r="G3948" s="40" t="s">
        <v>11404</v>
      </c>
      <c r="H3948" s="40" t="s">
        <v>11404</v>
      </c>
    </row>
    <row r="3949">
      <c r="A3949" s="39"/>
      <c r="E3949" s="40" t="s">
        <v>11404</v>
      </c>
      <c r="F3949" s="40" t="s">
        <v>11404</v>
      </c>
      <c r="G3949" s="40" t="s">
        <v>11404</v>
      </c>
      <c r="H3949" s="40" t="s">
        <v>11404</v>
      </c>
    </row>
    <row r="3950">
      <c r="A3950" s="39"/>
      <c r="E3950" s="40" t="s">
        <v>11404</v>
      </c>
      <c r="F3950" s="40" t="s">
        <v>11404</v>
      </c>
      <c r="G3950" s="40" t="s">
        <v>11404</v>
      </c>
      <c r="H3950" s="40" t="s">
        <v>11404</v>
      </c>
    </row>
    <row r="3951">
      <c r="A3951" s="39"/>
      <c r="E3951" s="40" t="s">
        <v>11404</v>
      </c>
      <c r="F3951" s="40" t="s">
        <v>11404</v>
      </c>
      <c r="G3951" s="40" t="s">
        <v>11404</v>
      </c>
      <c r="H3951" s="40" t="s">
        <v>11404</v>
      </c>
    </row>
    <row r="3952">
      <c r="A3952" s="39"/>
      <c r="E3952" s="40" t="s">
        <v>11404</v>
      </c>
      <c r="F3952" s="40" t="s">
        <v>11404</v>
      </c>
      <c r="G3952" s="40" t="s">
        <v>11404</v>
      </c>
      <c r="H3952" s="40" t="s">
        <v>11404</v>
      </c>
    </row>
    <row r="3953">
      <c r="A3953" s="39"/>
      <c r="E3953" s="40" t="s">
        <v>11404</v>
      </c>
      <c r="F3953" s="40" t="s">
        <v>11404</v>
      </c>
      <c r="G3953" s="40" t="s">
        <v>11404</v>
      </c>
      <c r="H3953" s="40" t="s">
        <v>11404</v>
      </c>
    </row>
    <row r="3954">
      <c r="A3954" s="39"/>
      <c r="E3954" s="40" t="s">
        <v>11404</v>
      </c>
      <c r="F3954" s="40" t="s">
        <v>11404</v>
      </c>
      <c r="G3954" s="40" t="s">
        <v>11404</v>
      </c>
      <c r="H3954" s="40" t="s">
        <v>11404</v>
      </c>
    </row>
    <row r="3955">
      <c r="A3955" s="39"/>
      <c r="E3955" s="40" t="s">
        <v>11404</v>
      </c>
      <c r="F3955" s="40" t="s">
        <v>11404</v>
      </c>
      <c r="G3955" s="40" t="s">
        <v>11404</v>
      </c>
      <c r="H3955" s="40" t="s">
        <v>11404</v>
      </c>
    </row>
    <row r="3956">
      <c r="A3956" s="39"/>
      <c r="E3956" s="40" t="s">
        <v>11404</v>
      </c>
      <c r="F3956" s="40" t="s">
        <v>11404</v>
      </c>
      <c r="G3956" s="40" t="s">
        <v>11404</v>
      </c>
      <c r="H3956" s="40" t="s">
        <v>11404</v>
      </c>
    </row>
    <row r="3957">
      <c r="A3957" s="39"/>
      <c r="E3957" s="40" t="s">
        <v>11404</v>
      </c>
      <c r="F3957" s="40" t="s">
        <v>11404</v>
      </c>
      <c r="G3957" s="40" t="s">
        <v>11404</v>
      </c>
      <c r="H3957" s="40" t="s">
        <v>11404</v>
      </c>
    </row>
    <row r="3958">
      <c r="A3958" s="39"/>
      <c r="E3958" s="40" t="s">
        <v>11404</v>
      </c>
      <c r="F3958" s="40" t="s">
        <v>11404</v>
      </c>
      <c r="G3958" s="40" t="s">
        <v>11404</v>
      </c>
      <c r="H3958" s="40" t="s">
        <v>11404</v>
      </c>
    </row>
    <row r="3959">
      <c r="A3959" s="39"/>
      <c r="E3959" s="40" t="s">
        <v>11404</v>
      </c>
      <c r="F3959" s="40" t="s">
        <v>11404</v>
      </c>
      <c r="G3959" s="40" t="s">
        <v>11404</v>
      </c>
      <c r="H3959" s="40" t="s">
        <v>11404</v>
      </c>
    </row>
    <row r="3960">
      <c r="A3960" s="39"/>
      <c r="E3960" s="40" t="s">
        <v>11404</v>
      </c>
      <c r="F3960" s="40" t="s">
        <v>11404</v>
      </c>
      <c r="G3960" s="40" t="s">
        <v>11404</v>
      </c>
      <c r="H3960" s="40" t="s">
        <v>11404</v>
      </c>
    </row>
    <row r="3961">
      <c r="A3961" s="39"/>
      <c r="E3961" s="40" t="s">
        <v>11404</v>
      </c>
      <c r="F3961" s="40" t="s">
        <v>11404</v>
      </c>
      <c r="G3961" s="40" t="s">
        <v>11404</v>
      </c>
      <c r="H3961" s="40" t="s">
        <v>11404</v>
      </c>
    </row>
    <row r="3962">
      <c r="A3962" s="39"/>
      <c r="E3962" s="40" t="s">
        <v>11404</v>
      </c>
      <c r="F3962" s="40" t="s">
        <v>11404</v>
      </c>
      <c r="G3962" s="40" t="s">
        <v>11404</v>
      </c>
      <c r="H3962" s="40" t="s">
        <v>11404</v>
      </c>
    </row>
    <row r="3963">
      <c r="A3963" s="39"/>
      <c r="E3963" s="40" t="s">
        <v>11404</v>
      </c>
      <c r="F3963" s="40" t="s">
        <v>11404</v>
      </c>
      <c r="G3963" s="40" t="s">
        <v>11404</v>
      </c>
      <c r="H3963" s="40" t="s">
        <v>11404</v>
      </c>
    </row>
    <row r="3964">
      <c r="A3964" s="39"/>
      <c r="E3964" s="40" t="s">
        <v>11404</v>
      </c>
      <c r="F3964" s="40" t="s">
        <v>11404</v>
      </c>
      <c r="G3964" s="40" t="s">
        <v>11404</v>
      </c>
      <c r="H3964" s="40" t="s">
        <v>11404</v>
      </c>
    </row>
    <row r="3965">
      <c r="A3965" s="39"/>
      <c r="E3965" s="40" t="s">
        <v>11404</v>
      </c>
      <c r="F3965" s="40" t="s">
        <v>11404</v>
      </c>
      <c r="G3965" s="40" t="s">
        <v>11404</v>
      </c>
      <c r="H3965" s="40" t="s">
        <v>11404</v>
      </c>
    </row>
    <row r="3966">
      <c r="A3966" s="39"/>
      <c r="E3966" s="40" t="s">
        <v>11404</v>
      </c>
      <c r="F3966" s="40" t="s">
        <v>11404</v>
      </c>
      <c r="G3966" s="40" t="s">
        <v>11404</v>
      </c>
      <c r="H3966" s="40" t="s">
        <v>11404</v>
      </c>
    </row>
    <row r="3967">
      <c r="A3967" s="39"/>
      <c r="E3967" s="40" t="s">
        <v>11404</v>
      </c>
      <c r="F3967" s="40" t="s">
        <v>11404</v>
      </c>
      <c r="G3967" s="40" t="s">
        <v>11404</v>
      </c>
      <c r="H3967" s="40" t="s">
        <v>11404</v>
      </c>
    </row>
    <row r="3968">
      <c r="A3968" s="39"/>
      <c r="E3968" s="40" t="s">
        <v>11404</v>
      </c>
      <c r="F3968" s="40" t="s">
        <v>11404</v>
      </c>
      <c r="G3968" s="40" t="s">
        <v>11404</v>
      </c>
      <c r="H3968" s="40" t="s">
        <v>11404</v>
      </c>
    </row>
    <row r="3969">
      <c r="A3969" s="39"/>
      <c r="E3969" s="40" t="s">
        <v>11404</v>
      </c>
      <c r="F3969" s="40" t="s">
        <v>11404</v>
      </c>
      <c r="G3969" s="40" t="s">
        <v>11404</v>
      </c>
      <c r="H3969" s="40" t="s">
        <v>11404</v>
      </c>
    </row>
    <row r="3970">
      <c r="A3970" s="39"/>
      <c r="E3970" s="40" t="s">
        <v>11404</v>
      </c>
      <c r="F3970" s="40" t="s">
        <v>11404</v>
      </c>
      <c r="G3970" s="40" t="s">
        <v>11404</v>
      </c>
      <c r="H3970" s="40" t="s">
        <v>11404</v>
      </c>
    </row>
    <row r="3971">
      <c r="A3971" s="39"/>
      <c r="E3971" s="40" t="s">
        <v>11404</v>
      </c>
      <c r="F3971" s="40" t="s">
        <v>11404</v>
      </c>
      <c r="G3971" s="40" t="s">
        <v>11404</v>
      </c>
      <c r="H3971" s="40" t="s">
        <v>11404</v>
      </c>
    </row>
    <row r="3972">
      <c r="A3972" s="39"/>
      <c r="E3972" s="40" t="s">
        <v>11404</v>
      </c>
      <c r="F3972" s="40" t="s">
        <v>11404</v>
      </c>
      <c r="G3972" s="40" t="s">
        <v>11404</v>
      </c>
      <c r="H3972" s="40" t="s">
        <v>11404</v>
      </c>
    </row>
    <row r="3973">
      <c r="A3973" s="39"/>
      <c r="E3973" s="40" t="s">
        <v>11404</v>
      </c>
      <c r="F3973" s="40" t="s">
        <v>11404</v>
      </c>
      <c r="G3973" s="40" t="s">
        <v>11404</v>
      </c>
      <c r="H3973" s="40" t="s">
        <v>11404</v>
      </c>
    </row>
    <row r="3974">
      <c r="A3974" s="39"/>
      <c r="E3974" s="40" t="s">
        <v>11404</v>
      </c>
      <c r="F3974" s="40" t="s">
        <v>11404</v>
      </c>
      <c r="G3974" s="40" t="s">
        <v>11404</v>
      </c>
      <c r="H3974" s="40" t="s">
        <v>11404</v>
      </c>
    </row>
    <row r="3975">
      <c r="A3975" s="39"/>
      <c r="E3975" s="40" t="s">
        <v>11404</v>
      </c>
      <c r="F3975" s="40" t="s">
        <v>11404</v>
      </c>
      <c r="G3975" s="40" t="s">
        <v>11404</v>
      </c>
      <c r="H3975" s="40" t="s">
        <v>11404</v>
      </c>
    </row>
    <row r="3976">
      <c r="A3976" s="39"/>
      <c r="E3976" s="40" t="s">
        <v>11404</v>
      </c>
      <c r="F3976" s="40" t="s">
        <v>11404</v>
      </c>
      <c r="G3976" s="40" t="s">
        <v>11404</v>
      </c>
      <c r="H3976" s="40" t="s">
        <v>11404</v>
      </c>
    </row>
    <row r="3977">
      <c r="A3977" s="39"/>
      <c r="E3977" s="40" t="s">
        <v>11404</v>
      </c>
      <c r="F3977" s="40" t="s">
        <v>11404</v>
      </c>
      <c r="G3977" s="40" t="s">
        <v>11404</v>
      </c>
      <c r="H3977" s="40" t="s">
        <v>11404</v>
      </c>
    </row>
    <row r="3978">
      <c r="A3978" s="39"/>
      <c r="E3978" s="40" t="s">
        <v>11404</v>
      </c>
      <c r="F3978" s="40" t="s">
        <v>11404</v>
      </c>
      <c r="G3978" s="40" t="s">
        <v>11404</v>
      </c>
      <c r="H3978" s="40" t="s">
        <v>11404</v>
      </c>
    </row>
    <row r="3979">
      <c r="A3979" s="39"/>
      <c r="E3979" s="40" t="s">
        <v>11404</v>
      </c>
      <c r="F3979" s="40" t="s">
        <v>11404</v>
      </c>
      <c r="G3979" s="40" t="s">
        <v>11404</v>
      </c>
      <c r="H3979" s="40" t="s">
        <v>11404</v>
      </c>
    </row>
    <row r="3980">
      <c r="A3980" s="39"/>
      <c r="E3980" s="40" t="s">
        <v>11404</v>
      </c>
      <c r="F3980" s="40" t="s">
        <v>11404</v>
      </c>
      <c r="G3980" s="40" t="s">
        <v>11404</v>
      </c>
      <c r="H3980" s="40" t="s">
        <v>11404</v>
      </c>
    </row>
    <row r="3981">
      <c r="A3981" s="39"/>
      <c r="E3981" s="40" t="s">
        <v>11404</v>
      </c>
      <c r="F3981" s="40" t="s">
        <v>11404</v>
      </c>
      <c r="G3981" s="40" t="s">
        <v>11404</v>
      </c>
      <c r="H3981" s="40" t="s">
        <v>11404</v>
      </c>
    </row>
    <row r="3982">
      <c r="A3982" s="39"/>
      <c r="E3982" s="40" t="s">
        <v>11404</v>
      </c>
      <c r="F3982" s="40" t="s">
        <v>11404</v>
      </c>
      <c r="G3982" s="40" t="s">
        <v>11404</v>
      </c>
      <c r="H3982" s="40" t="s">
        <v>11404</v>
      </c>
    </row>
    <row r="3983">
      <c r="A3983" s="39"/>
      <c r="E3983" s="40" t="s">
        <v>11404</v>
      </c>
      <c r="F3983" s="40" t="s">
        <v>11404</v>
      </c>
      <c r="G3983" s="40" t="s">
        <v>11404</v>
      </c>
      <c r="H3983" s="40" t="s">
        <v>11404</v>
      </c>
    </row>
    <row r="3984">
      <c r="A3984" s="39"/>
      <c r="E3984" s="40" t="s">
        <v>11404</v>
      </c>
      <c r="F3984" s="40" t="s">
        <v>11404</v>
      </c>
      <c r="G3984" s="40" t="s">
        <v>11404</v>
      </c>
      <c r="H3984" s="40" t="s">
        <v>11404</v>
      </c>
    </row>
    <row r="3985">
      <c r="A3985" s="39"/>
      <c r="E3985" s="40" t="s">
        <v>11404</v>
      </c>
      <c r="F3985" s="40" t="s">
        <v>11404</v>
      </c>
      <c r="G3985" s="40" t="s">
        <v>11404</v>
      </c>
      <c r="H3985" s="40" t="s">
        <v>11404</v>
      </c>
    </row>
    <row r="3986">
      <c r="A3986" s="39"/>
      <c r="E3986" s="40" t="s">
        <v>11404</v>
      </c>
      <c r="F3986" s="40" t="s">
        <v>11404</v>
      </c>
      <c r="G3986" s="40" t="s">
        <v>11404</v>
      </c>
      <c r="H3986" s="40" t="s">
        <v>11404</v>
      </c>
    </row>
    <row r="3987">
      <c r="A3987" s="39"/>
      <c r="E3987" s="40" t="s">
        <v>11404</v>
      </c>
      <c r="F3987" s="40" t="s">
        <v>11404</v>
      </c>
      <c r="G3987" s="40" t="s">
        <v>11404</v>
      </c>
      <c r="H3987" s="40" t="s">
        <v>11404</v>
      </c>
    </row>
    <row r="3988">
      <c r="A3988" s="39"/>
      <c r="E3988" s="40" t="s">
        <v>11404</v>
      </c>
      <c r="F3988" s="40" t="s">
        <v>11404</v>
      </c>
      <c r="G3988" s="40" t="s">
        <v>11404</v>
      </c>
      <c r="H3988" s="40" t="s">
        <v>11404</v>
      </c>
    </row>
    <row r="3989">
      <c r="A3989" s="39"/>
      <c r="E3989" s="40" t="s">
        <v>11404</v>
      </c>
      <c r="F3989" s="40" t="s">
        <v>11404</v>
      </c>
      <c r="G3989" s="40" t="s">
        <v>11404</v>
      </c>
      <c r="H3989" s="40" t="s">
        <v>11404</v>
      </c>
    </row>
    <row r="3990">
      <c r="A3990" s="39"/>
      <c r="E3990" s="40" t="s">
        <v>11404</v>
      </c>
      <c r="F3990" s="40" t="s">
        <v>11404</v>
      </c>
      <c r="G3990" s="40" t="s">
        <v>11404</v>
      </c>
      <c r="H3990" s="40" t="s">
        <v>11404</v>
      </c>
    </row>
    <row r="3991">
      <c r="A3991" s="39"/>
      <c r="E3991" s="40" t="s">
        <v>11404</v>
      </c>
      <c r="F3991" s="40" t="s">
        <v>11404</v>
      </c>
      <c r="G3991" s="40" t="s">
        <v>11404</v>
      </c>
      <c r="H3991" s="40" t="s">
        <v>11404</v>
      </c>
    </row>
    <row r="3992">
      <c r="A3992" s="39"/>
      <c r="E3992" s="40" t="s">
        <v>11404</v>
      </c>
      <c r="F3992" s="40" t="s">
        <v>11404</v>
      </c>
      <c r="G3992" s="40" t="s">
        <v>11404</v>
      </c>
      <c r="H3992" s="40" t="s">
        <v>11404</v>
      </c>
    </row>
    <row r="3993">
      <c r="A3993" s="39"/>
      <c r="E3993" s="40" t="s">
        <v>11404</v>
      </c>
      <c r="F3993" s="40" t="s">
        <v>11404</v>
      </c>
      <c r="G3993" s="40" t="s">
        <v>11404</v>
      </c>
      <c r="H3993" s="40" t="s">
        <v>11404</v>
      </c>
    </row>
    <row r="3994">
      <c r="A3994" s="39"/>
      <c r="E3994" s="40" t="s">
        <v>11404</v>
      </c>
      <c r="F3994" s="40" t="s">
        <v>11404</v>
      </c>
      <c r="G3994" s="40" t="s">
        <v>11404</v>
      </c>
      <c r="H3994" s="40" t="s">
        <v>11404</v>
      </c>
    </row>
    <row r="3995">
      <c r="A3995" s="39"/>
      <c r="E3995" s="40" t="s">
        <v>11404</v>
      </c>
      <c r="F3995" s="40" t="s">
        <v>11404</v>
      </c>
      <c r="G3995" s="40" t="s">
        <v>11404</v>
      </c>
      <c r="H3995" s="40" t="s">
        <v>11404</v>
      </c>
    </row>
    <row r="3996">
      <c r="A3996" s="39"/>
      <c r="E3996" s="40" t="s">
        <v>11404</v>
      </c>
      <c r="F3996" s="40" t="s">
        <v>11404</v>
      </c>
      <c r="G3996" s="40" t="s">
        <v>11404</v>
      </c>
      <c r="H3996" s="40" t="s">
        <v>11404</v>
      </c>
    </row>
    <row r="3997">
      <c r="A3997" s="39"/>
      <c r="E3997" s="40" t="s">
        <v>11404</v>
      </c>
      <c r="F3997" s="40" t="s">
        <v>11404</v>
      </c>
      <c r="G3997" s="40" t="s">
        <v>11404</v>
      </c>
      <c r="H3997" s="40" t="s">
        <v>11404</v>
      </c>
    </row>
    <row r="3998">
      <c r="A3998" s="39"/>
      <c r="E3998" s="40" t="s">
        <v>11404</v>
      </c>
      <c r="F3998" s="40" t="s">
        <v>11404</v>
      </c>
      <c r="G3998" s="40" t="s">
        <v>11404</v>
      </c>
      <c r="H3998" s="40" t="s">
        <v>11404</v>
      </c>
    </row>
    <row r="3999">
      <c r="A3999" s="39"/>
      <c r="E3999" s="40" t="s">
        <v>11404</v>
      </c>
      <c r="F3999" s="40" t="s">
        <v>11404</v>
      </c>
      <c r="G3999" s="40" t="s">
        <v>11404</v>
      </c>
      <c r="H3999" s="40" t="s">
        <v>11404</v>
      </c>
    </row>
    <row r="4000">
      <c r="A4000" s="39"/>
      <c r="E4000" s="40" t="s">
        <v>11404</v>
      </c>
      <c r="F4000" s="40" t="s">
        <v>11404</v>
      </c>
      <c r="G4000" s="40" t="s">
        <v>11404</v>
      </c>
      <c r="H4000" s="40" t="s">
        <v>11404</v>
      </c>
    </row>
    <row r="4001">
      <c r="A4001" s="39"/>
      <c r="E4001" s="40" t="s">
        <v>11404</v>
      </c>
      <c r="F4001" s="40" t="s">
        <v>11404</v>
      </c>
      <c r="G4001" s="40" t="s">
        <v>11404</v>
      </c>
      <c r="H4001" s="40" t="s">
        <v>11404</v>
      </c>
    </row>
    <row r="4002">
      <c r="A4002" s="39"/>
      <c r="E4002" s="40" t="s">
        <v>11404</v>
      </c>
      <c r="F4002" s="40" t="s">
        <v>11404</v>
      </c>
      <c r="G4002" s="40" t="s">
        <v>11404</v>
      </c>
      <c r="H4002" s="40" t="s">
        <v>11404</v>
      </c>
    </row>
    <row r="4003">
      <c r="A4003" s="39"/>
      <c r="E4003" s="40" t="s">
        <v>11404</v>
      </c>
      <c r="F4003" s="40" t="s">
        <v>11404</v>
      </c>
      <c r="G4003" s="40" t="s">
        <v>11404</v>
      </c>
      <c r="H4003" s="40" t="s">
        <v>11404</v>
      </c>
    </row>
    <row r="4004">
      <c r="A4004" s="39"/>
      <c r="E4004" s="40" t="s">
        <v>11404</v>
      </c>
      <c r="F4004" s="40" t="s">
        <v>11404</v>
      </c>
      <c r="G4004" s="40" t="s">
        <v>11404</v>
      </c>
      <c r="H4004" s="40" t="s">
        <v>11404</v>
      </c>
    </row>
    <row r="4005">
      <c r="A4005" s="39"/>
      <c r="E4005" s="40" t="s">
        <v>11404</v>
      </c>
      <c r="F4005" s="40" t="s">
        <v>11404</v>
      </c>
      <c r="G4005" s="40" t="s">
        <v>11404</v>
      </c>
      <c r="H4005" s="40" t="s">
        <v>11404</v>
      </c>
    </row>
    <row r="4006">
      <c r="A4006" s="39"/>
      <c r="E4006" s="40" t="s">
        <v>11404</v>
      </c>
      <c r="F4006" s="40" t="s">
        <v>11404</v>
      </c>
      <c r="G4006" s="40" t="s">
        <v>11404</v>
      </c>
      <c r="H4006" s="40" t="s">
        <v>11404</v>
      </c>
    </row>
    <row r="4007">
      <c r="A4007" s="39"/>
      <c r="E4007" s="40" t="s">
        <v>11404</v>
      </c>
      <c r="F4007" s="40" t="s">
        <v>11404</v>
      </c>
      <c r="G4007" s="40" t="s">
        <v>11404</v>
      </c>
      <c r="H4007" s="40" t="s">
        <v>11404</v>
      </c>
    </row>
    <row r="4008">
      <c r="A4008" s="39"/>
      <c r="E4008" s="40" t="s">
        <v>11404</v>
      </c>
      <c r="F4008" s="40" t="s">
        <v>11404</v>
      </c>
      <c r="G4008" s="40" t="s">
        <v>11404</v>
      </c>
      <c r="H4008" s="40" t="s">
        <v>11404</v>
      </c>
    </row>
    <row r="4009">
      <c r="A4009" s="39"/>
      <c r="E4009" s="40" t="s">
        <v>11404</v>
      </c>
      <c r="F4009" s="40" t="s">
        <v>11404</v>
      </c>
      <c r="G4009" s="40" t="s">
        <v>11404</v>
      </c>
      <c r="H4009" s="40" t="s">
        <v>11404</v>
      </c>
    </row>
    <row r="4010">
      <c r="A4010" s="39"/>
      <c r="E4010" s="40" t="s">
        <v>11404</v>
      </c>
      <c r="F4010" s="40" t="s">
        <v>11404</v>
      </c>
      <c r="G4010" s="40" t="s">
        <v>11404</v>
      </c>
      <c r="H4010" s="40" t="s">
        <v>11404</v>
      </c>
    </row>
    <row r="4011">
      <c r="A4011" s="39"/>
      <c r="E4011" s="40" t="s">
        <v>11404</v>
      </c>
      <c r="F4011" s="40" t="s">
        <v>11404</v>
      </c>
      <c r="G4011" s="40" t="s">
        <v>11404</v>
      </c>
      <c r="H4011" s="40" t="s">
        <v>11404</v>
      </c>
    </row>
    <row r="4012">
      <c r="A4012" s="39"/>
      <c r="E4012" s="40" t="s">
        <v>11404</v>
      </c>
      <c r="F4012" s="40" t="s">
        <v>11404</v>
      </c>
      <c r="G4012" s="40" t="s">
        <v>11404</v>
      </c>
      <c r="H4012" s="40" t="s">
        <v>11404</v>
      </c>
    </row>
    <row r="4013">
      <c r="A4013" s="39"/>
      <c r="E4013" s="40" t="s">
        <v>11404</v>
      </c>
      <c r="F4013" s="40" t="s">
        <v>11404</v>
      </c>
      <c r="G4013" s="40" t="s">
        <v>11404</v>
      </c>
      <c r="H4013" s="40" t="s">
        <v>11404</v>
      </c>
    </row>
    <row r="4014">
      <c r="A4014" s="39"/>
      <c r="E4014" s="40" t="s">
        <v>11404</v>
      </c>
      <c r="F4014" s="40" t="s">
        <v>11404</v>
      </c>
      <c r="G4014" s="40" t="s">
        <v>11404</v>
      </c>
      <c r="H4014" s="40" t="s">
        <v>11404</v>
      </c>
    </row>
    <row r="4015">
      <c r="A4015" s="39"/>
      <c r="E4015" s="40" t="s">
        <v>11404</v>
      </c>
      <c r="F4015" s="40" t="s">
        <v>11404</v>
      </c>
      <c r="G4015" s="40" t="s">
        <v>11404</v>
      </c>
      <c r="H4015" s="40" t="s">
        <v>11404</v>
      </c>
    </row>
    <row r="4016">
      <c r="A4016" s="39"/>
      <c r="E4016" s="40" t="s">
        <v>11404</v>
      </c>
      <c r="F4016" s="40" t="s">
        <v>11404</v>
      </c>
      <c r="G4016" s="40" t="s">
        <v>11404</v>
      </c>
      <c r="H4016" s="40" t="s">
        <v>11404</v>
      </c>
    </row>
    <row r="4017">
      <c r="A4017" s="39"/>
      <c r="E4017" s="40" t="s">
        <v>11404</v>
      </c>
      <c r="F4017" s="40" t="s">
        <v>11404</v>
      </c>
      <c r="G4017" s="40" t="s">
        <v>11404</v>
      </c>
      <c r="H4017" s="40" t="s">
        <v>11404</v>
      </c>
    </row>
    <row r="4018">
      <c r="A4018" s="39"/>
      <c r="E4018" s="40" t="s">
        <v>11404</v>
      </c>
      <c r="F4018" s="40" t="s">
        <v>11404</v>
      </c>
      <c r="G4018" s="40" t="s">
        <v>11404</v>
      </c>
      <c r="H4018" s="40" t="s">
        <v>11404</v>
      </c>
    </row>
    <row r="4019">
      <c r="A4019" s="39"/>
      <c r="E4019" s="40" t="s">
        <v>11404</v>
      </c>
      <c r="F4019" s="40" t="s">
        <v>11404</v>
      </c>
      <c r="G4019" s="40" t="s">
        <v>11404</v>
      </c>
      <c r="H4019" s="40" t="s">
        <v>11404</v>
      </c>
    </row>
    <row r="4020">
      <c r="A4020" s="39"/>
      <c r="E4020" s="40" t="s">
        <v>11404</v>
      </c>
      <c r="F4020" s="40" t="s">
        <v>11404</v>
      </c>
      <c r="G4020" s="40" t="s">
        <v>11404</v>
      </c>
      <c r="H4020" s="40" t="s">
        <v>11404</v>
      </c>
    </row>
    <row r="4021">
      <c r="A4021" s="39"/>
      <c r="E4021" s="40" t="s">
        <v>11404</v>
      </c>
      <c r="F4021" s="40" t="s">
        <v>11404</v>
      </c>
      <c r="G4021" s="40" t="s">
        <v>11404</v>
      </c>
      <c r="H4021" s="40" t="s">
        <v>11404</v>
      </c>
    </row>
    <row r="4022">
      <c r="A4022" s="39"/>
      <c r="E4022" s="40" t="s">
        <v>11404</v>
      </c>
      <c r="F4022" s="40" t="s">
        <v>11404</v>
      </c>
      <c r="G4022" s="40" t="s">
        <v>11404</v>
      </c>
      <c r="H4022" s="40" t="s">
        <v>11404</v>
      </c>
    </row>
    <row r="4023">
      <c r="A4023" s="39"/>
      <c r="E4023" s="40" t="s">
        <v>11404</v>
      </c>
      <c r="F4023" s="40" t="s">
        <v>11404</v>
      </c>
      <c r="G4023" s="40" t="s">
        <v>11404</v>
      </c>
      <c r="H4023" s="40" t="s">
        <v>11404</v>
      </c>
    </row>
    <row r="4024">
      <c r="A4024" s="39"/>
      <c r="E4024" s="40" t="s">
        <v>11404</v>
      </c>
      <c r="F4024" s="40" t="s">
        <v>11404</v>
      </c>
      <c r="G4024" s="40" t="s">
        <v>11404</v>
      </c>
      <c r="H4024" s="40" t="s">
        <v>11404</v>
      </c>
    </row>
    <row r="4025">
      <c r="A4025" s="39"/>
      <c r="E4025" s="40" t="s">
        <v>11404</v>
      </c>
      <c r="F4025" s="40" t="s">
        <v>11404</v>
      </c>
      <c r="G4025" s="40" t="s">
        <v>11404</v>
      </c>
      <c r="H4025" s="40" t="s">
        <v>11404</v>
      </c>
    </row>
    <row r="4026">
      <c r="A4026" s="39"/>
      <c r="E4026" s="40" t="s">
        <v>11404</v>
      </c>
      <c r="F4026" s="40" t="s">
        <v>11404</v>
      </c>
      <c r="G4026" s="40" t="s">
        <v>11404</v>
      </c>
      <c r="H4026" s="40" t="s">
        <v>11404</v>
      </c>
    </row>
    <row r="4027">
      <c r="A4027" s="39"/>
      <c r="E4027" s="40" t="s">
        <v>11404</v>
      </c>
      <c r="F4027" s="40" t="s">
        <v>11404</v>
      </c>
      <c r="G4027" s="40" t="s">
        <v>11404</v>
      </c>
      <c r="H4027" s="40" t="s">
        <v>11404</v>
      </c>
    </row>
    <row r="4028">
      <c r="A4028" s="39"/>
      <c r="E4028" s="40" t="s">
        <v>11404</v>
      </c>
      <c r="F4028" s="40" t="s">
        <v>11404</v>
      </c>
      <c r="G4028" s="40" t="s">
        <v>11404</v>
      </c>
      <c r="H4028" s="40" t="s">
        <v>11404</v>
      </c>
    </row>
    <row r="4029">
      <c r="A4029" s="39"/>
      <c r="E4029" s="40" t="s">
        <v>11404</v>
      </c>
      <c r="F4029" s="40" t="s">
        <v>11404</v>
      </c>
      <c r="G4029" s="40" t="s">
        <v>11404</v>
      </c>
      <c r="H4029" s="40" t="s">
        <v>11404</v>
      </c>
    </row>
    <row r="4030">
      <c r="A4030" s="39"/>
      <c r="E4030" s="40" t="s">
        <v>11404</v>
      </c>
      <c r="F4030" s="40" t="s">
        <v>11404</v>
      </c>
      <c r="G4030" s="40" t="s">
        <v>11404</v>
      </c>
      <c r="H4030" s="40" t="s">
        <v>11404</v>
      </c>
    </row>
    <row r="4031">
      <c r="A4031" s="39"/>
      <c r="E4031" s="40" t="s">
        <v>11404</v>
      </c>
      <c r="F4031" s="40" t="s">
        <v>11404</v>
      </c>
      <c r="G4031" s="40" t="s">
        <v>11404</v>
      </c>
      <c r="H4031" s="40" t="s">
        <v>11404</v>
      </c>
    </row>
    <row r="4032">
      <c r="A4032" s="39"/>
      <c r="E4032" s="40" t="s">
        <v>11404</v>
      </c>
      <c r="F4032" s="40" t="s">
        <v>11404</v>
      </c>
      <c r="G4032" s="40" t="s">
        <v>11404</v>
      </c>
      <c r="H4032" s="40" t="s">
        <v>11404</v>
      </c>
    </row>
    <row r="4033">
      <c r="A4033" s="39"/>
      <c r="E4033" s="40" t="s">
        <v>11404</v>
      </c>
      <c r="F4033" s="40" t="s">
        <v>11404</v>
      </c>
      <c r="G4033" s="40" t="s">
        <v>11404</v>
      </c>
      <c r="H4033" s="40" t="s">
        <v>11404</v>
      </c>
    </row>
    <row r="4034">
      <c r="A4034" s="39"/>
      <c r="E4034" s="40" t="s">
        <v>11404</v>
      </c>
      <c r="F4034" s="40" t="s">
        <v>11404</v>
      </c>
      <c r="G4034" s="40" t="s">
        <v>11404</v>
      </c>
      <c r="H4034" s="40" t="s">
        <v>11404</v>
      </c>
    </row>
    <row r="4035">
      <c r="A4035" s="39"/>
      <c r="E4035" s="40" t="s">
        <v>11404</v>
      </c>
      <c r="F4035" s="40" t="s">
        <v>11404</v>
      </c>
      <c r="G4035" s="40" t="s">
        <v>11404</v>
      </c>
      <c r="H4035" s="40" t="s">
        <v>11404</v>
      </c>
    </row>
    <row r="4036">
      <c r="A4036" s="39"/>
      <c r="E4036" s="40" t="s">
        <v>11404</v>
      </c>
      <c r="F4036" s="40" t="s">
        <v>11404</v>
      </c>
      <c r="G4036" s="40" t="s">
        <v>11404</v>
      </c>
      <c r="H4036" s="40" t="s">
        <v>11404</v>
      </c>
    </row>
    <row r="4037">
      <c r="A4037" s="39"/>
      <c r="E4037" s="40" t="s">
        <v>11404</v>
      </c>
      <c r="F4037" s="40" t="s">
        <v>11404</v>
      </c>
      <c r="G4037" s="40" t="s">
        <v>11404</v>
      </c>
      <c r="H4037" s="40" t="s">
        <v>11404</v>
      </c>
    </row>
    <row r="4038">
      <c r="A4038" s="39"/>
      <c r="E4038" s="40" t="s">
        <v>11404</v>
      </c>
      <c r="F4038" s="40" t="s">
        <v>11404</v>
      </c>
      <c r="G4038" s="40" t="s">
        <v>11404</v>
      </c>
      <c r="H4038" s="40" t="s">
        <v>11404</v>
      </c>
    </row>
    <row r="4039">
      <c r="A4039" s="39"/>
      <c r="E4039" s="40" t="s">
        <v>11404</v>
      </c>
      <c r="F4039" s="40" t="s">
        <v>11404</v>
      </c>
      <c r="G4039" s="40" t="s">
        <v>11404</v>
      </c>
      <c r="H4039" s="40" t="s">
        <v>11404</v>
      </c>
    </row>
    <row r="4040">
      <c r="A4040" s="39"/>
      <c r="E4040" s="40" t="s">
        <v>11404</v>
      </c>
      <c r="F4040" s="40" t="s">
        <v>11404</v>
      </c>
      <c r="G4040" s="40" t="s">
        <v>11404</v>
      </c>
      <c r="H4040" s="40" t="s">
        <v>11404</v>
      </c>
    </row>
    <row r="4041">
      <c r="A4041" s="39"/>
      <c r="E4041" s="40" t="s">
        <v>11404</v>
      </c>
      <c r="F4041" s="40" t="s">
        <v>11404</v>
      </c>
      <c r="G4041" s="40" t="s">
        <v>11404</v>
      </c>
      <c r="H4041" s="40" t="s">
        <v>11404</v>
      </c>
    </row>
    <row r="4042">
      <c r="A4042" s="39"/>
      <c r="E4042" s="40" t="s">
        <v>11404</v>
      </c>
      <c r="F4042" s="40" t="s">
        <v>11404</v>
      </c>
      <c r="G4042" s="40" t="s">
        <v>11404</v>
      </c>
      <c r="H4042" s="40" t="s">
        <v>11404</v>
      </c>
    </row>
    <row r="4043">
      <c r="A4043" s="39"/>
      <c r="E4043" s="40" t="s">
        <v>11404</v>
      </c>
      <c r="F4043" s="40" t="s">
        <v>11404</v>
      </c>
      <c r="G4043" s="40" t="s">
        <v>11404</v>
      </c>
      <c r="H4043" s="40" t="s">
        <v>11404</v>
      </c>
    </row>
    <row r="4044">
      <c r="A4044" s="39"/>
      <c r="E4044" s="40" t="s">
        <v>11404</v>
      </c>
      <c r="F4044" s="40" t="s">
        <v>11404</v>
      </c>
      <c r="G4044" s="40" t="s">
        <v>11404</v>
      </c>
      <c r="H4044" s="40" t="s">
        <v>11404</v>
      </c>
    </row>
    <row r="4045">
      <c r="A4045" s="39"/>
      <c r="E4045" s="40" t="s">
        <v>11404</v>
      </c>
      <c r="F4045" s="40" t="s">
        <v>11404</v>
      </c>
      <c r="G4045" s="40" t="s">
        <v>11404</v>
      </c>
      <c r="H4045" s="40" t="s">
        <v>11404</v>
      </c>
    </row>
    <row r="4046">
      <c r="A4046" s="39"/>
      <c r="E4046" s="40" t="s">
        <v>11404</v>
      </c>
      <c r="F4046" s="40" t="s">
        <v>11404</v>
      </c>
      <c r="G4046" s="40" t="s">
        <v>11404</v>
      </c>
      <c r="H4046" s="40" t="s">
        <v>11404</v>
      </c>
    </row>
    <row r="4047">
      <c r="A4047" s="39"/>
      <c r="E4047" s="40" t="s">
        <v>11404</v>
      </c>
      <c r="F4047" s="40" t="s">
        <v>11404</v>
      </c>
      <c r="G4047" s="40" t="s">
        <v>11404</v>
      </c>
      <c r="H4047" s="40" t="s">
        <v>11404</v>
      </c>
    </row>
    <row r="4048">
      <c r="A4048" s="39"/>
      <c r="E4048" s="40" t="s">
        <v>11404</v>
      </c>
      <c r="F4048" s="40" t="s">
        <v>11404</v>
      </c>
      <c r="G4048" s="40" t="s">
        <v>11404</v>
      </c>
      <c r="H4048" s="40" t="s">
        <v>11404</v>
      </c>
    </row>
    <row r="4049">
      <c r="A4049" s="39"/>
      <c r="E4049" s="40" t="s">
        <v>11404</v>
      </c>
      <c r="F4049" s="40" t="s">
        <v>11404</v>
      </c>
      <c r="G4049" s="40" t="s">
        <v>11404</v>
      </c>
      <c r="H4049" s="40" t="s">
        <v>11404</v>
      </c>
    </row>
    <row r="4050">
      <c r="A4050" s="39"/>
      <c r="E4050" s="40" t="s">
        <v>11404</v>
      </c>
      <c r="F4050" s="40" t="s">
        <v>11404</v>
      </c>
      <c r="G4050" s="40" t="s">
        <v>11404</v>
      </c>
      <c r="H4050" s="40" t="s">
        <v>11404</v>
      </c>
    </row>
    <row r="4051">
      <c r="A4051" s="39"/>
      <c r="E4051" s="40" t="s">
        <v>11404</v>
      </c>
      <c r="F4051" s="40" t="s">
        <v>11404</v>
      </c>
      <c r="G4051" s="40" t="s">
        <v>11404</v>
      </c>
      <c r="H4051" s="40" t="s">
        <v>11404</v>
      </c>
    </row>
    <row r="4052">
      <c r="A4052" s="39"/>
      <c r="E4052" s="40" t="s">
        <v>11404</v>
      </c>
      <c r="F4052" s="40" t="s">
        <v>11404</v>
      </c>
      <c r="G4052" s="40" t="s">
        <v>11404</v>
      </c>
      <c r="H4052" s="40" t="s">
        <v>11404</v>
      </c>
    </row>
    <row r="4053">
      <c r="A4053" s="39"/>
      <c r="E4053" s="40" t="s">
        <v>11404</v>
      </c>
      <c r="F4053" s="40" t="s">
        <v>11404</v>
      </c>
      <c r="G4053" s="40" t="s">
        <v>11404</v>
      </c>
      <c r="H4053" s="40" t="s">
        <v>11404</v>
      </c>
    </row>
    <row r="4054">
      <c r="A4054" s="39"/>
      <c r="E4054" s="40" t="s">
        <v>11404</v>
      </c>
      <c r="F4054" s="40" t="s">
        <v>11404</v>
      </c>
      <c r="G4054" s="40" t="s">
        <v>11404</v>
      </c>
      <c r="H4054" s="40" t="s">
        <v>11404</v>
      </c>
    </row>
    <row r="4055">
      <c r="A4055" s="39"/>
      <c r="E4055" s="40" t="s">
        <v>11404</v>
      </c>
      <c r="F4055" s="40" t="s">
        <v>11404</v>
      </c>
      <c r="G4055" s="40" t="s">
        <v>11404</v>
      </c>
      <c r="H4055" s="40" t="s">
        <v>11404</v>
      </c>
    </row>
    <row r="4056">
      <c r="A4056" s="39"/>
      <c r="E4056" s="40" t="s">
        <v>11404</v>
      </c>
      <c r="F4056" s="40" t="s">
        <v>11404</v>
      </c>
      <c r="G4056" s="40" t="s">
        <v>11404</v>
      </c>
      <c r="H4056" s="40" t="s">
        <v>11404</v>
      </c>
    </row>
    <row r="4057">
      <c r="A4057" s="39"/>
      <c r="E4057" s="40" t="s">
        <v>11404</v>
      </c>
      <c r="F4057" s="40" t="s">
        <v>11404</v>
      </c>
      <c r="G4057" s="40" t="s">
        <v>11404</v>
      </c>
      <c r="H4057" s="40" t="s">
        <v>11404</v>
      </c>
    </row>
    <row r="4058">
      <c r="A4058" s="39"/>
      <c r="E4058" s="40" t="s">
        <v>11404</v>
      </c>
      <c r="F4058" s="40" t="s">
        <v>11404</v>
      </c>
      <c r="G4058" s="40" t="s">
        <v>11404</v>
      </c>
      <c r="H4058" s="40" t="s">
        <v>11404</v>
      </c>
    </row>
    <row r="4059">
      <c r="A4059" s="39"/>
      <c r="E4059" s="40" t="s">
        <v>11404</v>
      </c>
      <c r="F4059" s="40" t="s">
        <v>11404</v>
      </c>
      <c r="G4059" s="40" t="s">
        <v>11404</v>
      </c>
      <c r="H4059" s="40" t="s">
        <v>11404</v>
      </c>
    </row>
    <row r="4060">
      <c r="A4060" s="39"/>
      <c r="E4060" s="40" t="s">
        <v>11404</v>
      </c>
      <c r="F4060" s="40" t="s">
        <v>11404</v>
      </c>
      <c r="G4060" s="40" t="s">
        <v>11404</v>
      </c>
      <c r="H4060" s="40" t="s">
        <v>11404</v>
      </c>
    </row>
    <row r="4061">
      <c r="A4061" s="39"/>
      <c r="E4061" s="40" t="s">
        <v>11404</v>
      </c>
      <c r="F4061" s="40" t="s">
        <v>11404</v>
      </c>
      <c r="G4061" s="40" t="s">
        <v>11404</v>
      </c>
      <c r="H4061" s="40" t="s">
        <v>11404</v>
      </c>
    </row>
    <row r="4062">
      <c r="A4062" s="39"/>
      <c r="E4062" s="40" t="s">
        <v>11404</v>
      </c>
      <c r="F4062" s="40" t="s">
        <v>11404</v>
      </c>
      <c r="G4062" s="40" t="s">
        <v>11404</v>
      </c>
      <c r="H4062" s="40" t="s">
        <v>11404</v>
      </c>
    </row>
    <row r="4063">
      <c r="A4063" s="39"/>
      <c r="E4063" s="40" t="s">
        <v>11404</v>
      </c>
      <c r="F4063" s="40" t="s">
        <v>11404</v>
      </c>
      <c r="G4063" s="40" t="s">
        <v>11404</v>
      </c>
      <c r="H4063" s="40" t="s">
        <v>11404</v>
      </c>
    </row>
    <row r="4064">
      <c r="A4064" s="39"/>
      <c r="E4064" s="40" t="s">
        <v>11404</v>
      </c>
      <c r="F4064" s="40" t="s">
        <v>11404</v>
      </c>
      <c r="G4064" s="40" t="s">
        <v>11404</v>
      </c>
      <c r="H4064" s="40" t="s">
        <v>11404</v>
      </c>
    </row>
    <row r="4065">
      <c r="A4065" s="39"/>
      <c r="E4065" s="40" t="s">
        <v>11404</v>
      </c>
      <c r="F4065" s="40" t="s">
        <v>11404</v>
      </c>
      <c r="G4065" s="40" t="s">
        <v>11404</v>
      </c>
      <c r="H4065" s="40" t="s">
        <v>11404</v>
      </c>
    </row>
    <row r="4066">
      <c r="A4066" s="39"/>
      <c r="E4066" s="40" t="s">
        <v>11404</v>
      </c>
      <c r="F4066" s="40" t="s">
        <v>11404</v>
      </c>
      <c r="G4066" s="40" t="s">
        <v>11404</v>
      </c>
      <c r="H4066" s="40" t="s">
        <v>11404</v>
      </c>
    </row>
    <row r="4067">
      <c r="A4067" s="39"/>
      <c r="E4067" s="40" t="s">
        <v>11404</v>
      </c>
      <c r="F4067" s="40" t="s">
        <v>11404</v>
      </c>
      <c r="G4067" s="40" t="s">
        <v>11404</v>
      </c>
      <c r="H4067" s="40" t="s">
        <v>11404</v>
      </c>
    </row>
    <row r="4068">
      <c r="A4068" s="39"/>
      <c r="E4068" s="40" t="s">
        <v>11404</v>
      </c>
      <c r="F4068" s="40" t="s">
        <v>11404</v>
      </c>
      <c r="G4068" s="40" t="s">
        <v>11404</v>
      </c>
      <c r="H4068" s="40" t="s">
        <v>11404</v>
      </c>
    </row>
    <row r="4069">
      <c r="A4069" s="39"/>
      <c r="E4069" s="40" t="s">
        <v>11404</v>
      </c>
      <c r="F4069" s="40" t="s">
        <v>11404</v>
      </c>
      <c r="G4069" s="40" t="s">
        <v>11404</v>
      </c>
      <c r="H4069" s="40" t="s">
        <v>11404</v>
      </c>
    </row>
    <row r="4070">
      <c r="A4070" s="39"/>
      <c r="E4070" s="40" t="s">
        <v>11404</v>
      </c>
      <c r="F4070" s="40" t="s">
        <v>11404</v>
      </c>
      <c r="G4070" s="40" t="s">
        <v>11404</v>
      </c>
      <c r="H4070" s="40" t="s">
        <v>11404</v>
      </c>
    </row>
    <row r="4071">
      <c r="A4071" s="39"/>
      <c r="E4071" s="40" t="s">
        <v>11404</v>
      </c>
      <c r="F4071" s="40" t="s">
        <v>11404</v>
      </c>
      <c r="G4071" s="40" t="s">
        <v>11404</v>
      </c>
      <c r="H4071" s="40" t="s">
        <v>11404</v>
      </c>
    </row>
    <row r="4072">
      <c r="A4072" s="39"/>
      <c r="E4072" s="40" t="s">
        <v>11404</v>
      </c>
      <c r="F4072" s="40" t="s">
        <v>11404</v>
      </c>
      <c r="G4072" s="40" t="s">
        <v>11404</v>
      </c>
      <c r="H4072" s="40" t="s">
        <v>11404</v>
      </c>
    </row>
    <row r="4073">
      <c r="A4073" s="39"/>
      <c r="E4073" s="40" t="s">
        <v>11404</v>
      </c>
      <c r="F4073" s="40" t="s">
        <v>11404</v>
      </c>
      <c r="G4073" s="40" t="s">
        <v>11404</v>
      </c>
      <c r="H4073" s="40" t="s">
        <v>11404</v>
      </c>
    </row>
    <row r="4074">
      <c r="A4074" s="39"/>
      <c r="E4074" s="40" t="s">
        <v>11404</v>
      </c>
      <c r="F4074" s="40" t="s">
        <v>11404</v>
      </c>
      <c r="G4074" s="40" t="s">
        <v>11404</v>
      </c>
      <c r="H4074" s="40" t="s">
        <v>11404</v>
      </c>
    </row>
    <row r="4075">
      <c r="A4075" s="39"/>
      <c r="E4075" s="40" t="s">
        <v>11404</v>
      </c>
      <c r="F4075" s="40" t="s">
        <v>11404</v>
      </c>
      <c r="G4075" s="40" t="s">
        <v>11404</v>
      </c>
      <c r="H4075" s="40" t="s">
        <v>11404</v>
      </c>
    </row>
    <row r="4076">
      <c r="A4076" s="39"/>
      <c r="E4076" s="40" t="s">
        <v>11404</v>
      </c>
      <c r="F4076" s="40" t="s">
        <v>11404</v>
      </c>
      <c r="G4076" s="40" t="s">
        <v>11404</v>
      </c>
      <c r="H4076" s="40" t="s">
        <v>11404</v>
      </c>
    </row>
    <row r="4077">
      <c r="A4077" s="39"/>
      <c r="E4077" s="40" t="s">
        <v>11404</v>
      </c>
      <c r="F4077" s="40" t="s">
        <v>11404</v>
      </c>
      <c r="G4077" s="40" t="s">
        <v>11404</v>
      </c>
      <c r="H4077" s="40" t="s">
        <v>11404</v>
      </c>
    </row>
    <row r="4078">
      <c r="A4078" s="39"/>
      <c r="E4078" s="40" t="s">
        <v>11404</v>
      </c>
      <c r="F4078" s="40" t="s">
        <v>11404</v>
      </c>
      <c r="G4078" s="40" t="s">
        <v>11404</v>
      </c>
      <c r="H4078" s="40" t="s">
        <v>11404</v>
      </c>
    </row>
    <row r="4079">
      <c r="A4079" s="39"/>
      <c r="E4079" s="40" t="s">
        <v>11404</v>
      </c>
      <c r="F4079" s="40" t="s">
        <v>11404</v>
      </c>
      <c r="G4079" s="40" t="s">
        <v>11404</v>
      </c>
      <c r="H4079" s="40" t="s">
        <v>11404</v>
      </c>
    </row>
    <row r="4080">
      <c r="A4080" s="39"/>
      <c r="E4080" s="40" t="s">
        <v>11404</v>
      </c>
      <c r="F4080" s="40" t="s">
        <v>11404</v>
      </c>
      <c r="G4080" s="40" t="s">
        <v>11404</v>
      </c>
      <c r="H4080" s="40" t="s">
        <v>11404</v>
      </c>
    </row>
    <row r="4081">
      <c r="A4081" s="39"/>
      <c r="E4081" s="40" t="s">
        <v>11404</v>
      </c>
      <c r="F4081" s="40" t="s">
        <v>11404</v>
      </c>
      <c r="G4081" s="40" t="s">
        <v>11404</v>
      </c>
      <c r="H4081" s="40" t="s">
        <v>11404</v>
      </c>
    </row>
    <row r="4082">
      <c r="A4082" s="39"/>
      <c r="E4082" s="40" t="s">
        <v>11404</v>
      </c>
      <c r="F4082" s="40" t="s">
        <v>11404</v>
      </c>
      <c r="G4082" s="40" t="s">
        <v>11404</v>
      </c>
      <c r="H4082" s="40" t="s">
        <v>11404</v>
      </c>
    </row>
    <row r="4083">
      <c r="A4083" s="39"/>
      <c r="E4083" s="40" t="s">
        <v>11404</v>
      </c>
      <c r="F4083" s="40" t="s">
        <v>11404</v>
      </c>
      <c r="G4083" s="40" t="s">
        <v>11404</v>
      </c>
      <c r="H4083" s="40" t="s">
        <v>11404</v>
      </c>
    </row>
    <row r="4084">
      <c r="A4084" s="39"/>
      <c r="E4084" s="40" t="s">
        <v>11404</v>
      </c>
      <c r="F4084" s="40" t="s">
        <v>11404</v>
      </c>
      <c r="G4084" s="40" t="s">
        <v>11404</v>
      </c>
      <c r="H4084" s="40" t="s">
        <v>11404</v>
      </c>
    </row>
    <row r="4085">
      <c r="A4085" s="39"/>
      <c r="E4085" s="40" t="s">
        <v>11404</v>
      </c>
      <c r="F4085" s="40" t="s">
        <v>11404</v>
      </c>
      <c r="G4085" s="40" t="s">
        <v>11404</v>
      </c>
      <c r="H4085" s="40" t="s">
        <v>11404</v>
      </c>
    </row>
    <row r="4086">
      <c r="A4086" s="39"/>
      <c r="E4086" s="40" t="s">
        <v>11404</v>
      </c>
      <c r="F4086" s="40" t="s">
        <v>11404</v>
      </c>
      <c r="G4086" s="40" t="s">
        <v>11404</v>
      </c>
      <c r="H4086" s="40" t="s">
        <v>11404</v>
      </c>
    </row>
    <row r="4087">
      <c r="A4087" s="39"/>
      <c r="E4087" s="40" t="s">
        <v>11404</v>
      </c>
      <c r="F4087" s="40" t="s">
        <v>11404</v>
      </c>
      <c r="G4087" s="40" t="s">
        <v>11404</v>
      </c>
      <c r="H4087" s="40" t="s">
        <v>11404</v>
      </c>
    </row>
    <row r="4088">
      <c r="A4088" s="39"/>
      <c r="E4088" s="40" t="s">
        <v>11404</v>
      </c>
      <c r="F4088" s="40" t="s">
        <v>11404</v>
      </c>
      <c r="G4088" s="40" t="s">
        <v>11404</v>
      </c>
      <c r="H4088" s="40" t="s">
        <v>11404</v>
      </c>
    </row>
    <row r="4089">
      <c r="A4089" s="39"/>
      <c r="E4089" s="40" t="s">
        <v>11404</v>
      </c>
      <c r="F4089" s="40" t="s">
        <v>11404</v>
      </c>
      <c r="G4089" s="40" t="s">
        <v>11404</v>
      </c>
      <c r="H4089" s="40" t="s">
        <v>11404</v>
      </c>
    </row>
    <row r="4090">
      <c r="A4090" s="39"/>
      <c r="E4090" s="40" t="s">
        <v>11404</v>
      </c>
      <c r="F4090" s="40" t="s">
        <v>11404</v>
      </c>
      <c r="G4090" s="40" t="s">
        <v>11404</v>
      </c>
      <c r="H4090" s="40" t="s">
        <v>11404</v>
      </c>
    </row>
    <row r="4091">
      <c r="A4091" s="39"/>
      <c r="E4091" s="40" t="s">
        <v>11404</v>
      </c>
      <c r="F4091" s="40" t="s">
        <v>11404</v>
      </c>
      <c r="G4091" s="40" t="s">
        <v>11404</v>
      </c>
      <c r="H4091" s="40" t="s">
        <v>11404</v>
      </c>
    </row>
    <row r="4092">
      <c r="A4092" s="39"/>
      <c r="E4092" s="40" t="s">
        <v>11404</v>
      </c>
      <c r="F4092" s="40" t="s">
        <v>11404</v>
      </c>
      <c r="G4092" s="40" t="s">
        <v>11404</v>
      </c>
      <c r="H4092" s="40" t="s">
        <v>11404</v>
      </c>
    </row>
    <row r="4093">
      <c r="A4093" s="39"/>
      <c r="E4093" s="40" t="s">
        <v>11404</v>
      </c>
      <c r="F4093" s="40" t="s">
        <v>11404</v>
      </c>
      <c r="G4093" s="40" t="s">
        <v>11404</v>
      </c>
      <c r="H4093" s="40" t="s">
        <v>11404</v>
      </c>
    </row>
    <row r="4094">
      <c r="A4094" s="39"/>
      <c r="E4094" s="40" t="s">
        <v>11404</v>
      </c>
      <c r="F4094" s="40" t="s">
        <v>11404</v>
      </c>
      <c r="G4094" s="40" t="s">
        <v>11404</v>
      </c>
      <c r="H4094" s="40" t="s">
        <v>11404</v>
      </c>
    </row>
    <row r="4095">
      <c r="A4095" s="39"/>
      <c r="E4095" s="40" t="s">
        <v>11404</v>
      </c>
      <c r="F4095" s="40" t="s">
        <v>11404</v>
      </c>
      <c r="G4095" s="40" t="s">
        <v>11404</v>
      </c>
      <c r="H4095" s="40" t="s">
        <v>11404</v>
      </c>
    </row>
    <row r="4096">
      <c r="A4096" s="39"/>
      <c r="E4096" s="40" t="s">
        <v>11404</v>
      </c>
      <c r="F4096" s="40" t="s">
        <v>11404</v>
      </c>
      <c r="G4096" s="40" t="s">
        <v>11404</v>
      </c>
      <c r="H4096" s="40" t="s">
        <v>11404</v>
      </c>
    </row>
    <row r="4097">
      <c r="A4097" s="39"/>
      <c r="E4097" s="40" t="s">
        <v>11404</v>
      </c>
      <c r="F4097" s="40" t="s">
        <v>11404</v>
      </c>
      <c r="G4097" s="40" t="s">
        <v>11404</v>
      </c>
      <c r="H4097" s="40" t="s">
        <v>11404</v>
      </c>
    </row>
    <row r="4098">
      <c r="A4098" s="39"/>
      <c r="E4098" s="40" t="s">
        <v>11404</v>
      </c>
      <c r="F4098" s="40" t="s">
        <v>11404</v>
      </c>
      <c r="G4098" s="40" t="s">
        <v>11404</v>
      </c>
      <c r="H4098" s="40" t="s">
        <v>11404</v>
      </c>
    </row>
    <row r="4099">
      <c r="A4099" s="39"/>
      <c r="E4099" s="40" t="s">
        <v>11404</v>
      </c>
      <c r="F4099" s="40" t="s">
        <v>11404</v>
      </c>
      <c r="G4099" s="40" t="s">
        <v>11404</v>
      </c>
      <c r="H4099" s="40" t="s">
        <v>11404</v>
      </c>
    </row>
    <row r="4100">
      <c r="A4100" s="39"/>
      <c r="E4100" s="40" t="s">
        <v>11404</v>
      </c>
      <c r="F4100" s="40" t="s">
        <v>11404</v>
      </c>
      <c r="G4100" s="40" t="s">
        <v>11404</v>
      </c>
      <c r="H4100" s="40" t="s">
        <v>11404</v>
      </c>
    </row>
    <row r="4101">
      <c r="A4101" s="39"/>
      <c r="E4101" s="40" t="s">
        <v>11404</v>
      </c>
      <c r="F4101" s="40" t="s">
        <v>11404</v>
      </c>
      <c r="G4101" s="40" t="s">
        <v>11404</v>
      </c>
      <c r="H4101" s="40" t="s">
        <v>11404</v>
      </c>
    </row>
    <row r="4102">
      <c r="A4102" s="39"/>
      <c r="E4102" s="40" t="s">
        <v>11404</v>
      </c>
      <c r="F4102" s="40" t="s">
        <v>11404</v>
      </c>
      <c r="G4102" s="40" t="s">
        <v>11404</v>
      </c>
      <c r="H4102" s="40" t="s">
        <v>11404</v>
      </c>
    </row>
    <row r="4103">
      <c r="A4103" s="39"/>
      <c r="E4103" s="40" t="s">
        <v>11404</v>
      </c>
      <c r="F4103" s="40" t="s">
        <v>11404</v>
      </c>
      <c r="G4103" s="40" t="s">
        <v>11404</v>
      </c>
      <c r="H4103" s="40" t="s">
        <v>11404</v>
      </c>
    </row>
    <row r="4104">
      <c r="A4104" s="39"/>
      <c r="E4104" s="40" t="s">
        <v>11404</v>
      </c>
      <c r="F4104" s="40" t="s">
        <v>11404</v>
      </c>
      <c r="G4104" s="40" t="s">
        <v>11404</v>
      </c>
      <c r="H4104" s="40" t="s">
        <v>11404</v>
      </c>
    </row>
    <row r="4105">
      <c r="A4105" s="39"/>
      <c r="E4105" s="40" t="s">
        <v>11404</v>
      </c>
      <c r="F4105" s="40" t="s">
        <v>11404</v>
      </c>
      <c r="G4105" s="40" t="s">
        <v>11404</v>
      </c>
      <c r="H4105" s="40" t="s">
        <v>11404</v>
      </c>
    </row>
    <row r="4106">
      <c r="A4106" s="39"/>
      <c r="E4106" s="40" t="s">
        <v>11404</v>
      </c>
      <c r="F4106" s="40" t="s">
        <v>11404</v>
      </c>
      <c r="G4106" s="40" t="s">
        <v>11404</v>
      </c>
      <c r="H4106" s="40" t="s">
        <v>11404</v>
      </c>
    </row>
    <row r="4107">
      <c r="A4107" s="39"/>
      <c r="E4107" s="40" t="s">
        <v>11404</v>
      </c>
      <c r="F4107" s="40" t="s">
        <v>11404</v>
      </c>
      <c r="G4107" s="40" t="s">
        <v>11404</v>
      </c>
      <c r="H4107" s="40" t="s">
        <v>11404</v>
      </c>
    </row>
    <row r="4108">
      <c r="A4108" s="39"/>
      <c r="E4108" s="40" t="s">
        <v>11404</v>
      </c>
      <c r="F4108" s="40" t="s">
        <v>11404</v>
      </c>
      <c r="G4108" s="40" t="s">
        <v>11404</v>
      </c>
      <c r="H4108" s="40" t="s">
        <v>11404</v>
      </c>
    </row>
    <row r="4109">
      <c r="A4109" s="39"/>
      <c r="E4109" s="40" t="s">
        <v>11404</v>
      </c>
      <c r="F4109" s="40" t="s">
        <v>11404</v>
      </c>
      <c r="G4109" s="40" t="s">
        <v>11404</v>
      </c>
      <c r="H4109" s="40" t="s">
        <v>11404</v>
      </c>
    </row>
    <row r="4110">
      <c r="A4110" s="39"/>
      <c r="E4110" s="40" t="s">
        <v>11404</v>
      </c>
      <c r="F4110" s="40" t="s">
        <v>11404</v>
      </c>
      <c r="G4110" s="40" t="s">
        <v>11404</v>
      </c>
      <c r="H4110" s="40" t="s">
        <v>11404</v>
      </c>
    </row>
    <row r="4111">
      <c r="A4111" s="39"/>
      <c r="E4111" s="40" t="s">
        <v>11404</v>
      </c>
      <c r="F4111" s="40" t="s">
        <v>11404</v>
      </c>
      <c r="G4111" s="40" t="s">
        <v>11404</v>
      </c>
      <c r="H4111" s="40" t="s">
        <v>11404</v>
      </c>
    </row>
    <row r="4112">
      <c r="A4112" s="39"/>
      <c r="E4112" s="40" t="s">
        <v>11404</v>
      </c>
      <c r="F4112" s="40" t="s">
        <v>11404</v>
      </c>
      <c r="G4112" s="40" t="s">
        <v>11404</v>
      </c>
      <c r="H4112" s="40" t="s">
        <v>11404</v>
      </c>
    </row>
    <row r="4113">
      <c r="A4113" s="39"/>
      <c r="E4113" s="40" t="s">
        <v>11404</v>
      </c>
      <c r="F4113" s="40" t="s">
        <v>11404</v>
      </c>
      <c r="G4113" s="40" t="s">
        <v>11404</v>
      </c>
      <c r="H4113" s="40" t="s">
        <v>11404</v>
      </c>
    </row>
    <row r="4114">
      <c r="A4114" s="39"/>
      <c r="E4114" s="40" t="s">
        <v>11404</v>
      </c>
      <c r="F4114" s="40" t="s">
        <v>11404</v>
      </c>
      <c r="G4114" s="40" t="s">
        <v>11404</v>
      </c>
      <c r="H4114" s="40" t="s">
        <v>11404</v>
      </c>
    </row>
    <row r="4115">
      <c r="A4115" s="39"/>
      <c r="E4115" s="40" t="s">
        <v>11404</v>
      </c>
      <c r="F4115" s="40" t="s">
        <v>11404</v>
      </c>
      <c r="G4115" s="40" t="s">
        <v>11404</v>
      </c>
      <c r="H4115" s="40" t="s">
        <v>11404</v>
      </c>
    </row>
    <row r="4116">
      <c r="A4116" s="39"/>
      <c r="E4116" s="40" t="s">
        <v>11404</v>
      </c>
      <c r="F4116" s="40" t="s">
        <v>11404</v>
      </c>
      <c r="G4116" s="40" t="s">
        <v>11404</v>
      </c>
      <c r="H4116" s="40" t="s">
        <v>11404</v>
      </c>
    </row>
    <row r="4117">
      <c r="A4117" s="39"/>
      <c r="E4117" s="40" t="s">
        <v>11404</v>
      </c>
      <c r="F4117" s="40" t="s">
        <v>11404</v>
      </c>
      <c r="G4117" s="40" t="s">
        <v>11404</v>
      </c>
      <c r="H4117" s="40" t="s">
        <v>11404</v>
      </c>
    </row>
    <row r="4118">
      <c r="A4118" s="39"/>
      <c r="E4118" s="40" t="s">
        <v>11404</v>
      </c>
      <c r="F4118" s="40" t="s">
        <v>11404</v>
      </c>
      <c r="G4118" s="40" t="s">
        <v>11404</v>
      </c>
      <c r="H4118" s="40" t="s">
        <v>11404</v>
      </c>
    </row>
    <row r="4119">
      <c r="A4119" s="39"/>
      <c r="E4119" s="40" t="s">
        <v>11404</v>
      </c>
      <c r="F4119" s="40" t="s">
        <v>11404</v>
      </c>
      <c r="G4119" s="40" t="s">
        <v>11404</v>
      </c>
      <c r="H4119" s="40" t="s">
        <v>11404</v>
      </c>
    </row>
    <row r="4120">
      <c r="A4120" s="39"/>
      <c r="E4120" s="40" t="s">
        <v>11404</v>
      </c>
      <c r="F4120" s="40" t="s">
        <v>11404</v>
      </c>
      <c r="G4120" s="40" t="s">
        <v>11404</v>
      </c>
      <c r="H4120" s="40" t="s">
        <v>11404</v>
      </c>
    </row>
    <row r="4121">
      <c r="A4121" s="39"/>
      <c r="E4121" s="40" t="s">
        <v>11404</v>
      </c>
      <c r="F4121" s="40" t="s">
        <v>11404</v>
      </c>
      <c r="G4121" s="40" t="s">
        <v>11404</v>
      </c>
      <c r="H4121" s="40" t="s">
        <v>11404</v>
      </c>
    </row>
    <row r="4122">
      <c r="A4122" s="39"/>
      <c r="E4122" s="40" t="s">
        <v>11404</v>
      </c>
      <c r="F4122" s="40" t="s">
        <v>11404</v>
      </c>
      <c r="G4122" s="40" t="s">
        <v>11404</v>
      </c>
      <c r="H4122" s="40" t="s">
        <v>11404</v>
      </c>
    </row>
    <row r="4123">
      <c r="A4123" s="39"/>
      <c r="E4123" s="40" t="s">
        <v>11404</v>
      </c>
      <c r="F4123" s="40" t="s">
        <v>11404</v>
      </c>
      <c r="G4123" s="40" t="s">
        <v>11404</v>
      </c>
      <c r="H4123" s="40" t="s">
        <v>11404</v>
      </c>
    </row>
    <row r="4124">
      <c r="A4124" s="39"/>
      <c r="E4124" s="40" t="s">
        <v>11404</v>
      </c>
      <c r="F4124" s="40" t="s">
        <v>11404</v>
      </c>
      <c r="G4124" s="40" t="s">
        <v>11404</v>
      </c>
      <c r="H4124" s="40" t="s">
        <v>11404</v>
      </c>
    </row>
    <row r="4125">
      <c r="A4125" s="39"/>
      <c r="E4125" s="40" t="s">
        <v>11404</v>
      </c>
      <c r="F4125" s="40" t="s">
        <v>11404</v>
      </c>
      <c r="G4125" s="40" t="s">
        <v>11404</v>
      </c>
      <c r="H4125" s="40" t="s">
        <v>11404</v>
      </c>
    </row>
    <row r="4126">
      <c r="A4126" s="39"/>
      <c r="E4126" s="40" t="s">
        <v>11404</v>
      </c>
      <c r="F4126" s="40" t="s">
        <v>11404</v>
      </c>
      <c r="G4126" s="40" t="s">
        <v>11404</v>
      </c>
      <c r="H4126" s="40" t="s">
        <v>11404</v>
      </c>
    </row>
    <row r="4127">
      <c r="A4127" s="39"/>
      <c r="E4127" s="40" t="s">
        <v>11404</v>
      </c>
      <c r="F4127" s="40" t="s">
        <v>11404</v>
      </c>
      <c r="G4127" s="40" t="s">
        <v>11404</v>
      </c>
      <c r="H4127" s="40" t="s">
        <v>11404</v>
      </c>
    </row>
    <row r="4128">
      <c r="A4128" s="39"/>
      <c r="E4128" s="40" t="s">
        <v>11404</v>
      </c>
      <c r="F4128" s="40" t="s">
        <v>11404</v>
      </c>
      <c r="G4128" s="40" t="s">
        <v>11404</v>
      </c>
      <c r="H4128" s="40" t="s">
        <v>11404</v>
      </c>
    </row>
    <row r="4129">
      <c r="A4129" s="39"/>
      <c r="E4129" s="40" t="s">
        <v>11404</v>
      </c>
      <c r="F4129" s="40" t="s">
        <v>11404</v>
      </c>
      <c r="G4129" s="40" t="s">
        <v>11404</v>
      </c>
      <c r="H4129" s="40" t="s">
        <v>11404</v>
      </c>
    </row>
    <row r="4130">
      <c r="A4130" s="39"/>
      <c r="E4130" s="40" t="s">
        <v>11404</v>
      </c>
      <c r="F4130" s="40" t="s">
        <v>11404</v>
      </c>
      <c r="G4130" s="40" t="s">
        <v>11404</v>
      </c>
      <c r="H4130" s="40" t="s">
        <v>11404</v>
      </c>
    </row>
    <row r="4131">
      <c r="A4131" s="39"/>
      <c r="E4131" s="40" t="s">
        <v>11404</v>
      </c>
      <c r="F4131" s="40" t="s">
        <v>11404</v>
      </c>
      <c r="G4131" s="40" t="s">
        <v>11404</v>
      </c>
      <c r="H4131" s="40" t="s">
        <v>11404</v>
      </c>
    </row>
    <row r="4132">
      <c r="A4132" s="39"/>
      <c r="E4132" s="40" t="s">
        <v>11404</v>
      </c>
      <c r="F4132" s="40" t="s">
        <v>11404</v>
      </c>
      <c r="G4132" s="40" t="s">
        <v>11404</v>
      </c>
      <c r="H4132" s="40" t="s">
        <v>11404</v>
      </c>
    </row>
    <row r="4133">
      <c r="A4133" s="39"/>
      <c r="E4133" s="40" t="s">
        <v>11404</v>
      </c>
      <c r="F4133" s="40" t="s">
        <v>11404</v>
      </c>
      <c r="G4133" s="40" t="s">
        <v>11404</v>
      </c>
      <c r="H4133" s="40" t="s">
        <v>11404</v>
      </c>
    </row>
    <row r="4134">
      <c r="A4134" s="39"/>
      <c r="E4134" s="40" t="s">
        <v>11404</v>
      </c>
      <c r="F4134" s="40" t="s">
        <v>11404</v>
      </c>
      <c r="G4134" s="40" t="s">
        <v>11404</v>
      </c>
      <c r="H4134" s="40" t="s">
        <v>11404</v>
      </c>
    </row>
    <row r="4135">
      <c r="A4135" s="39"/>
      <c r="E4135" s="40" t="s">
        <v>11404</v>
      </c>
      <c r="F4135" s="40" t="s">
        <v>11404</v>
      </c>
      <c r="G4135" s="40" t="s">
        <v>11404</v>
      </c>
      <c r="H4135" s="40" t="s">
        <v>11404</v>
      </c>
    </row>
    <row r="4136">
      <c r="A4136" s="39"/>
      <c r="E4136" s="40" t="s">
        <v>11404</v>
      </c>
      <c r="F4136" s="40" t="s">
        <v>11404</v>
      </c>
      <c r="G4136" s="40" t="s">
        <v>11404</v>
      </c>
      <c r="H4136" s="40" t="s">
        <v>11404</v>
      </c>
    </row>
    <row r="4137">
      <c r="A4137" s="39"/>
      <c r="E4137" s="40" t="s">
        <v>11404</v>
      </c>
      <c r="F4137" s="40" t="s">
        <v>11404</v>
      </c>
      <c r="G4137" s="40" t="s">
        <v>11404</v>
      </c>
      <c r="H4137" s="40" t="s">
        <v>11404</v>
      </c>
    </row>
    <row r="4138">
      <c r="A4138" s="39"/>
      <c r="E4138" s="40" t="s">
        <v>11404</v>
      </c>
      <c r="F4138" s="40" t="s">
        <v>11404</v>
      </c>
      <c r="G4138" s="40" t="s">
        <v>11404</v>
      </c>
      <c r="H4138" s="40" t="s">
        <v>11404</v>
      </c>
    </row>
    <row r="4139">
      <c r="A4139" s="39"/>
      <c r="E4139" s="40" t="s">
        <v>11404</v>
      </c>
      <c r="F4139" s="40" t="s">
        <v>11404</v>
      </c>
      <c r="G4139" s="40" t="s">
        <v>11404</v>
      </c>
      <c r="H4139" s="40" t="s">
        <v>11404</v>
      </c>
    </row>
    <row r="4140">
      <c r="A4140" s="39"/>
      <c r="E4140" s="40" t="s">
        <v>11404</v>
      </c>
      <c r="F4140" s="40" t="s">
        <v>11404</v>
      </c>
      <c r="G4140" s="40" t="s">
        <v>11404</v>
      </c>
      <c r="H4140" s="40" t="s">
        <v>11404</v>
      </c>
    </row>
    <row r="4141">
      <c r="A4141" s="39"/>
      <c r="E4141" s="40" t="s">
        <v>11404</v>
      </c>
      <c r="F4141" s="40" t="s">
        <v>11404</v>
      </c>
      <c r="G4141" s="40" t="s">
        <v>11404</v>
      </c>
      <c r="H4141" s="40" t="s">
        <v>11404</v>
      </c>
    </row>
    <row r="4142">
      <c r="A4142" s="39"/>
      <c r="E4142" s="40" t="s">
        <v>11404</v>
      </c>
      <c r="F4142" s="40" t="s">
        <v>11404</v>
      </c>
      <c r="G4142" s="40" t="s">
        <v>11404</v>
      </c>
      <c r="H4142" s="40" t="s">
        <v>11404</v>
      </c>
    </row>
    <row r="4143">
      <c r="A4143" s="39"/>
      <c r="E4143" s="40" t="s">
        <v>11404</v>
      </c>
      <c r="F4143" s="40" t="s">
        <v>11404</v>
      </c>
      <c r="G4143" s="40" t="s">
        <v>11404</v>
      </c>
      <c r="H4143" s="40" t="s">
        <v>11404</v>
      </c>
    </row>
    <row r="4144">
      <c r="A4144" s="39"/>
      <c r="E4144" s="40" t="s">
        <v>11404</v>
      </c>
      <c r="F4144" s="40" t="s">
        <v>11404</v>
      </c>
      <c r="G4144" s="40" t="s">
        <v>11404</v>
      </c>
      <c r="H4144" s="40" t="s">
        <v>11404</v>
      </c>
    </row>
    <row r="4145">
      <c r="A4145" s="39"/>
      <c r="E4145" s="40" t="s">
        <v>11404</v>
      </c>
      <c r="F4145" s="40" t="s">
        <v>11404</v>
      </c>
      <c r="G4145" s="40" t="s">
        <v>11404</v>
      </c>
      <c r="H4145" s="40" t="s">
        <v>11404</v>
      </c>
    </row>
    <row r="4146">
      <c r="A4146" s="39"/>
      <c r="E4146" s="40" t="s">
        <v>11404</v>
      </c>
      <c r="F4146" s="40" t="s">
        <v>11404</v>
      </c>
      <c r="G4146" s="40" t="s">
        <v>11404</v>
      </c>
      <c r="H4146" s="40" t="s">
        <v>11404</v>
      </c>
    </row>
    <row r="4147">
      <c r="A4147" s="39"/>
      <c r="E4147" s="40" t="s">
        <v>11404</v>
      </c>
      <c r="F4147" s="40" t="s">
        <v>11404</v>
      </c>
      <c r="G4147" s="40" t="s">
        <v>11404</v>
      </c>
      <c r="H4147" s="40" t="s">
        <v>11404</v>
      </c>
    </row>
    <row r="4148">
      <c r="A4148" s="39"/>
      <c r="E4148" s="40" t="s">
        <v>11404</v>
      </c>
      <c r="F4148" s="40" t="s">
        <v>11404</v>
      </c>
      <c r="G4148" s="40" t="s">
        <v>11404</v>
      </c>
      <c r="H4148" s="40" t="s">
        <v>11404</v>
      </c>
    </row>
    <row r="4149">
      <c r="A4149" s="39"/>
      <c r="E4149" s="40" t="s">
        <v>11404</v>
      </c>
      <c r="F4149" s="40" t="s">
        <v>11404</v>
      </c>
      <c r="G4149" s="40" t="s">
        <v>11404</v>
      </c>
      <c r="H4149" s="40" t="s">
        <v>11404</v>
      </c>
    </row>
    <row r="4150">
      <c r="A4150" s="39"/>
      <c r="E4150" s="40" t="s">
        <v>11404</v>
      </c>
      <c r="F4150" s="40" t="s">
        <v>11404</v>
      </c>
      <c r="G4150" s="40" t="s">
        <v>11404</v>
      </c>
      <c r="H4150" s="40" t="s">
        <v>11404</v>
      </c>
    </row>
    <row r="4151">
      <c r="A4151" s="39"/>
      <c r="E4151" s="40" t="s">
        <v>11404</v>
      </c>
      <c r="F4151" s="40" t="s">
        <v>11404</v>
      </c>
      <c r="G4151" s="40" t="s">
        <v>11404</v>
      </c>
      <c r="H4151" s="40" t="s">
        <v>11404</v>
      </c>
    </row>
    <row r="4152">
      <c r="A4152" s="39"/>
      <c r="E4152" s="40" t="s">
        <v>11404</v>
      </c>
      <c r="F4152" s="40" t="s">
        <v>11404</v>
      </c>
      <c r="G4152" s="40" t="s">
        <v>11404</v>
      </c>
      <c r="H4152" s="40" t="s">
        <v>11404</v>
      </c>
    </row>
    <row r="4153">
      <c r="A4153" s="39"/>
      <c r="E4153" s="40" t="s">
        <v>11404</v>
      </c>
      <c r="F4153" s="40" t="s">
        <v>11404</v>
      </c>
      <c r="G4153" s="40" t="s">
        <v>11404</v>
      </c>
      <c r="H4153" s="40" t="s">
        <v>11404</v>
      </c>
    </row>
    <row r="4154">
      <c r="A4154" s="39"/>
      <c r="E4154" s="40" t="s">
        <v>11404</v>
      </c>
      <c r="F4154" s="40" t="s">
        <v>11404</v>
      </c>
      <c r="G4154" s="40" t="s">
        <v>11404</v>
      </c>
      <c r="H4154" s="40" t="s">
        <v>11404</v>
      </c>
    </row>
    <row r="4155">
      <c r="A4155" s="39"/>
      <c r="E4155" s="40" t="s">
        <v>11404</v>
      </c>
      <c r="F4155" s="40" t="s">
        <v>11404</v>
      </c>
      <c r="G4155" s="40" t="s">
        <v>11404</v>
      </c>
      <c r="H4155" s="40" t="s">
        <v>11404</v>
      </c>
    </row>
    <row r="4156">
      <c r="A4156" s="39"/>
      <c r="E4156" s="40" t="s">
        <v>11404</v>
      </c>
      <c r="F4156" s="40" t="s">
        <v>11404</v>
      </c>
      <c r="G4156" s="40" t="s">
        <v>11404</v>
      </c>
      <c r="H4156" s="40" t="s">
        <v>11404</v>
      </c>
    </row>
    <row r="4157">
      <c r="A4157" s="39"/>
      <c r="E4157" s="40" t="s">
        <v>11404</v>
      </c>
      <c r="F4157" s="40" t="s">
        <v>11404</v>
      </c>
      <c r="G4157" s="40" t="s">
        <v>11404</v>
      </c>
      <c r="H4157" s="40" t="s">
        <v>11404</v>
      </c>
    </row>
    <row r="4158">
      <c r="A4158" s="39"/>
      <c r="E4158" s="40" t="s">
        <v>11404</v>
      </c>
      <c r="F4158" s="40" t="s">
        <v>11404</v>
      </c>
      <c r="G4158" s="40" t="s">
        <v>11404</v>
      </c>
      <c r="H4158" s="40" t="s">
        <v>11404</v>
      </c>
    </row>
    <row r="4159">
      <c r="A4159" s="39"/>
      <c r="E4159" s="40" t="s">
        <v>11404</v>
      </c>
      <c r="F4159" s="40" t="s">
        <v>11404</v>
      </c>
      <c r="G4159" s="40" t="s">
        <v>11404</v>
      </c>
      <c r="H4159" s="40" t="s">
        <v>11404</v>
      </c>
    </row>
    <row r="4160">
      <c r="A4160" s="39"/>
      <c r="E4160" s="40" t="s">
        <v>11404</v>
      </c>
      <c r="F4160" s="40" t="s">
        <v>11404</v>
      </c>
      <c r="G4160" s="40" t="s">
        <v>11404</v>
      </c>
      <c r="H4160" s="40" t="s">
        <v>11404</v>
      </c>
    </row>
    <row r="4161">
      <c r="A4161" s="39"/>
      <c r="E4161" s="40" t="s">
        <v>11404</v>
      </c>
      <c r="F4161" s="40" t="s">
        <v>11404</v>
      </c>
      <c r="G4161" s="40" t="s">
        <v>11404</v>
      </c>
      <c r="H4161" s="40" t="s">
        <v>11404</v>
      </c>
    </row>
    <row r="4162">
      <c r="A4162" s="39"/>
      <c r="E4162" s="40" t="s">
        <v>11404</v>
      </c>
      <c r="F4162" s="40" t="s">
        <v>11404</v>
      </c>
      <c r="G4162" s="40" t="s">
        <v>11404</v>
      </c>
      <c r="H4162" s="40" t="s">
        <v>11404</v>
      </c>
    </row>
    <row r="4163">
      <c r="A4163" s="39"/>
      <c r="E4163" s="40" t="s">
        <v>11404</v>
      </c>
      <c r="F4163" s="40" t="s">
        <v>11404</v>
      </c>
      <c r="G4163" s="40" t="s">
        <v>11404</v>
      </c>
      <c r="H4163" s="40" t="s">
        <v>11404</v>
      </c>
    </row>
    <row r="4164">
      <c r="A4164" s="39"/>
      <c r="E4164" s="40" t="s">
        <v>11404</v>
      </c>
      <c r="F4164" s="40" t="s">
        <v>11404</v>
      </c>
      <c r="G4164" s="40" t="s">
        <v>11404</v>
      </c>
      <c r="H4164" s="40" t="s">
        <v>11404</v>
      </c>
    </row>
    <row r="4165">
      <c r="A4165" s="39"/>
      <c r="E4165" s="40" t="s">
        <v>11404</v>
      </c>
      <c r="F4165" s="40" t="s">
        <v>11404</v>
      </c>
      <c r="G4165" s="40" t="s">
        <v>11404</v>
      </c>
      <c r="H4165" s="40" t="s">
        <v>11404</v>
      </c>
    </row>
    <row r="4166">
      <c r="A4166" s="39"/>
      <c r="E4166" s="40" t="s">
        <v>11404</v>
      </c>
      <c r="F4166" s="40" t="s">
        <v>11404</v>
      </c>
      <c r="G4166" s="40" t="s">
        <v>11404</v>
      </c>
      <c r="H4166" s="40" t="s">
        <v>11404</v>
      </c>
    </row>
    <row r="4167">
      <c r="A4167" s="39"/>
      <c r="E4167" s="40" t="s">
        <v>11404</v>
      </c>
      <c r="F4167" s="40" t="s">
        <v>11404</v>
      </c>
      <c r="G4167" s="40" t="s">
        <v>11404</v>
      </c>
      <c r="H4167" s="40" t="s">
        <v>11404</v>
      </c>
    </row>
    <row r="4168">
      <c r="A4168" s="39"/>
      <c r="E4168" s="40" t="s">
        <v>11404</v>
      </c>
      <c r="F4168" s="40" t="s">
        <v>11404</v>
      </c>
      <c r="G4168" s="40" t="s">
        <v>11404</v>
      </c>
      <c r="H4168" s="40" t="s">
        <v>11404</v>
      </c>
    </row>
    <row r="4169">
      <c r="A4169" s="39"/>
      <c r="E4169" s="40" t="s">
        <v>11404</v>
      </c>
      <c r="F4169" s="40" t="s">
        <v>11404</v>
      </c>
      <c r="G4169" s="40" t="s">
        <v>11404</v>
      </c>
      <c r="H4169" s="40" t="s">
        <v>11404</v>
      </c>
    </row>
    <row r="4170">
      <c r="A4170" s="39"/>
      <c r="E4170" s="40" t="s">
        <v>11404</v>
      </c>
      <c r="F4170" s="40" t="s">
        <v>11404</v>
      </c>
      <c r="G4170" s="40" t="s">
        <v>11404</v>
      </c>
      <c r="H4170" s="40" t="s">
        <v>11404</v>
      </c>
    </row>
    <row r="4171">
      <c r="A4171" s="39"/>
      <c r="E4171" s="40" t="s">
        <v>11404</v>
      </c>
      <c r="F4171" s="40" t="s">
        <v>11404</v>
      </c>
      <c r="G4171" s="40" t="s">
        <v>11404</v>
      </c>
      <c r="H4171" s="40" t="s">
        <v>11404</v>
      </c>
    </row>
    <row r="4172">
      <c r="A4172" s="39"/>
      <c r="E4172" s="40" t="s">
        <v>11404</v>
      </c>
      <c r="F4172" s="40" t="s">
        <v>11404</v>
      </c>
      <c r="G4172" s="40" t="s">
        <v>11404</v>
      </c>
      <c r="H4172" s="40" t="s">
        <v>11404</v>
      </c>
    </row>
    <row r="4173">
      <c r="A4173" s="39"/>
      <c r="E4173" s="40" t="s">
        <v>11404</v>
      </c>
      <c r="F4173" s="40" t="s">
        <v>11404</v>
      </c>
      <c r="G4173" s="40" t="s">
        <v>11404</v>
      </c>
      <c r="H4173" s="40" t="s">
        <v>11404</v>
      </c>
    </row>
    <row r="4174">
      <c r="A4174" s="39"/>
      <c r="E4174" s="40" t="s">
        <v>11404</v>
      </c>
      <c r="F4174" s="40" t="s">
        <v>11404</v>
      </c>
      <c r="G4174" s="40" t="s">
        <v>11404</v>
      </c>
      <c r="H4174" s="40" t="s">
        <v>11404</v>
      </c>
    </row>
    <row r="4175">
      <c r="A4175" s="39"/>
      <c r="E4175" s="40" t="s">
        <v>11404</v>
      </c>
      <c r="F4175" s="40" t="s">
        <v>11404</v>
      </c>
      <c r="G4175" s="40" t="s">
        <v>11404</v>
      </c>
      <c r="H4175" s="40" t="s">
        <v>11404</v>
      </c>
    </row>
    <row r="4176">
      <c r="A4176" s="39"/>
      <c r="E4176" s="40" t="s">
        <v>11404</v>
      </c>
      <c r="F4176" s="40" t="s">
        <v>11404</v>
      </c>
      <c r="G4176" s="40" t="s">
        <v>11404</v>
      </c>
      <c r="H4176" s="40" t="s">
        <v>11404</v>
      </c>
    </row>
    <row r="4177">
      <c r="A4177" s="39"/>
      <c r="E4177" s="40" t="s">
        <v>11404</v>
      </c>
      <c r="F4177" s="40" t="s">
        <v>11404</v>
      </c>
      <c r="G4177" s="40" t="s">
        <v>11404</v>
      </c>
      <c r="H4177" s="40" t="s">
        <v>11404</v>
      </c>
    </row>
    <row r="4178">
      <c r="A4178" s="39"/>
      <c r="E4178" s="40" t="s">
        <v>11404</v>
      </c>
      <c r="F4178" s="40" t="s">
        <v>11404</v>
      </c>
      <c r="G4178" s="40" t="s">
        <v>11404</v>
      </c>
      <c r="H4178" s="40" t="s">
        <v>11404</v>
      </c>
    </row>
    <row r="4179">
      <c r="A4179" s="39"/>
      <c r="E4179" s="40" t="s">
        <v>11404</v>
      </c>
      <c r="F4179" s="40" t="s">
        <v>11404</v>
      </c>
      <c r="G4179" s="40" t="s">
        <v>11404</v>
      </c>
      <c r="H4179" s="40" t="s">
        <v>11404</v>
      </c>
    </row>
    <row r="4180">
      <c r="A4180" s="39"/>
      <c r="E4180" s="40" t="s">
        <v>11404</v>
      </c>
      <c r="F4180" s="40" t="s">
        <v>11404</v>
      </c>
      <c r="G4180" s="40" t="s">
        <v>11404</v>
      </c>
      <c r="H4180" s="40" t="s">
        <v>11404</v>
      </c>
    </row>
    <row r="4181">
      <c r="A4181" s="39"/>
      <c r="E4181" s="40" t="s">
        <v>11404</v>
      </c>
      <c r="F4181" s="40" t="s">
        <v>11404</v>
      </c>
      <c r="G4181" s="40" t="s">
        <v>11404</v>
      </c>
      <c r="H4181" s="40" t="s">
        <v>11404</v>
      </c>
    </row>
    <row r="4182">
      <c r="A4182" s="39"/>
      <c r="E4182" s="40" t="s">
        <v>11404</v>
      </c>
      <c r="F4182" s="40" t="s">
        <v>11404</v>
      </c>
      <c r="G4182" s="40" t="s">
        <v>11404</v>
      </c>
      <c r="H4182" s="40" t="s">
        <v>11404</v>
      </c>
    </row>
    <row r="4183">
      <c r="A4183" s="39"/>
      <c r="E4183" s="40" t="s">
        <v>11404</v>
      </c>
      <c r="F4183" s="40" t="s">
        <v>11404</v>
      </c>
      <c r="G4183" s="40" t="s">
        <v>11404</v>
      </c>
      <c r="H4183" s="40" t="s">
        <v>11404</v>
      </c>
    </row>
    <row r="4184">
      <c r="A4184" s="39"/>
      <c r="E4184" s="40" t="s">
        <v>11404</v>
      </c>
      <c r="F4184" s="40" t="s">
        <v>11404</v>
      </c>
      <c r="G4184" s="40" t="s">
        <v>11404</v>
      </c>
      <c r="H4184" s="40" t="s">
        <v>11404</v>
      </c>
    </row>
    <row r="4185">
      <c r="A4185" s="39"/>
      <c r="E4185" s="40" t="s">
        <v>11404</v>
      </c>
      <c r="F4185" s="40" t="s">
        <v>11404</v>
      </c>
      <c r="G4185" s="40" t="s">
        <v>11404</v>
      </c>
      <c r="H4185" s="40" t="s">
        <v>11404</v>
      </c>
    </row>
    <row r="4186">
      <c r="A4186" s="39"/>
      <c r="E4186" s="40" t="s">
        <v>11404</v>
      </c>
      <c r="F4186" s="40" t="s">
        <v>11404</v>
      </c>
      <c r="G4186" s="40" t="s">
        <v>11404</v>
      </c>
      <c r="H4186" s="40" t="s">
        <v>11404</v>
      </c>
    </row>
    <row r="4187">
      <c r="A4187" s="39"/>
      <c r="E4187" s="40" t="s">
        <v>11404</v>
      </c>
      <c r="F4187" s="40" t="s">
        <v>11404</v>
      </c>
      <c r="G4187" s="40" t="s">
        <v>11404</v>
      </c>
      <c r="H4187" s="40" t="s">
        <v>11404</v>
      </c>
    </row>
    <row r="4188">
      <c r="A4188" s="39"/>
      <c r="E4188" s="40" t="s">
        <v>11404</v>
      </c>
      <c r="F4188" s="40" t="s">
        <v>11404</v>
      </c>
      <c r="G4188" s="40" t="s">
        <v>11404</v>
      </c>
      <c r="H4188" s="40" t="s">
        <v>11404</v>
      </c>
    </row>
    <row r="4189">
      <c r="A4189" s="39"/>
      <c r="E4189" s="40" t="s">
        <v>11404</v>
      </c>
      <c r="F4189" s="40" t="s">
        <v>11404</v>
      </c>
      <c r="G4189" s="40" t="s">
        <v>11404</v>
      </c>
      <c r="H4189" s="40" t="s">
        <v>11404</v>
      </c>
    </row>
    <row r="4190">
      <c r="A4190" s="39"/>
      <c r="E4190" s="40" t="s">
        <v>11404</v>
      </c>
      <c r="F4190" s="40" t="s">
        <v>11404</v>
      </c>
      <c r="G4190" s="40" t="s">
        <v>11404</v>
      </c>
      <c r="H4190" s="40" t="s">
        <v>11404</v>
      </c>
    </row>
    <row r="4191">
      <c r="A4191" s="39"/>
      <c r="E4191" s="40" t="s">
        <v>11404</v>
      </c>
      <c r="F4191" s="40" t="s">
        <v>11404</v>
      </c>
      <c r="G4191" s="40" t="s">
        <v>11404</v>
      </c>
      <c r="H4191" s="40" t="s">
        <v>11404</v>
      </c>
    </row>
    <row r="4192">
      <c r="A4192" s="39"/>
      <c r="E4192" s="40" t="s">
        <v>11404</v>
      </c>
      <c r="F4192" s="40" t="s">
        <v>11404</v>
      </c>
      <c r="G4192" s="40" t="s">
        <v>11404</v>
      </c>
      <c r="H4192" s="40" t="s">
        <v>11404</v>
      </c>
    </row>
    <row r="4193">
      <c r="A4193" s="39"/>
      <c r="E4193" s="40" t="s">
        <v>11404</v>
      </c>
      <c r="F4193" s="40" t="s">
        <v>11404</v>
      </c>
      <c r="G4193" s="40" t="s">
        <v>11404</v>
      </c>
      <c r="H4193" s="40" t="s">
        <v>11404</v>
      </c>
    </row>
    <row r="4194">
      <c r="A4194" s="39"/>
      <c r="E4194" s="40" t="s">
        <v>11404</v>
      </c>
      <c r="F4194" s="40" t="s">
        <v>11404</v>
      </c>
      <c r="G4194" s="40" t="s">
        <v>11404</v>
      </c>
      <c r="H4194" s="40" t="s">
        <v>11404</v>
      </c>
    </row>
    <row r="4195">
      <c r="A4195" s="39"/>
      <c r="E4195" s="40" t="s">
        <v>11404</v>
      </c>
      <c r="F4195" s="40" t="s">
        <v>11404</v>
      </c>
      <c r="G4195" s="40" t="s">
        <v>11404</v>
      </c>
      <c r="H4195" s="40" t="s">
        <v>11404</v>
      </c>
    </row>
    <row r="4196">
      <c r="A4196" s="39"/>
      <c r="E4196" s="40" t="s">
        <v>11404</v>
      </c>
      <c r="F4196" s="40" t="s">
        <v>11404</v>
      </c>
      <c r="G4196" s="40" t="s">
        <v>11404</v>
      </c>
      <c r="H4196" s="40" t="s">
        <v>11404</v>
      </c>
    </row>
    <row r="4197">
      <c r="A4197" s="39"/>
      <c r="E4197" s="40" t="s">
        <v>11404</v>
      </c>
      <c r="F4197" s="40" t="s">
        <v>11404</v>
      </c>
      <c r="G4197" s="40" t="s">
        <v>11404</v>
      </c>
      <c r="H4197" s="40" t="s">
        <v>11404</v>
      </c>
    </row>
    <row r="4198">
      <c r="A4198" s="39"/>
      <c r="E4198" s="40" t="s">
        <v>11404</v>
      </c>
      <c r="F4198" s="40" t="s">
        <v>11404</v>
      </c>
      <c r="G4198" s="40" t="s">
        <v>11404</v>
      </c>
      <c r="H4198" s="40" t="s">
        <v>11404</v>
      </c>
    </row>
    <row r="4199">
      <c r="A4199" s="39"/>
      <c r="E4199" s="40" t="s">
        <v>11404</v>
      </c>
      <c r="F4199" s="40" t="s">
        <v>11404</v>
      </c>
      <c r="G4199" s="40" t="s">
        <v>11404</v>
      </c>
      <c r="H4199" s="40" t="s">
        <v>11404</v>
      </c>
    </row>
    <row r="4200">
      <c r="A4200" s="39"/>
      <c r="E4200" s="40" t="s">
        <v>11404</v>
      </c>
      <c r="F4200" s="40" t="s">
        <v>11404</v>
      </c>
      <c r="G4200" s="40" t="s">
        <v>11404</v>
      </c>
      <c r="H4200" s="40" t="s">
        <v>11404</v>
      </c>
    </row>
    <row r="4201">
      <c r="A4201" s="39"/>
      <c r="E4201" s="40" t="s">
        <v>11404</v>
      </c>
      <c r="F4201" s="40" t="s">
        <v>11404</v>
      </c>
      <c r="G4201" s="40" t="s">
        <v>11404</v>
      </c>
      <c r="H4201" s="40" t="s">
        <v>11404</v>
      </c>
    </row>
    <row r="4202">
      <c r="A4202" s="39"/>
      <c r="E4202" s="40" t="s">
        <v>11404</v>
      </c>
      <c r="F4202" s="40" t="s">
        <v>11404</v>
      </c>
      <c r="G4202" s="40" t="s">
        <v>11404</v>
      </c>
      <c r="H4202" s="40" t="s">
        <v>11404</v>
      </c>
    </row>
    <row r="4203">
      <c r="A4203" s="39"/>
      <c r="E4203" s="40" t="s">
        <v>11404</v>
      </c>
      <c r="F4203" s="40" t="s">
        <v>11404</v>
      </c>
      <c r="G4203" s="40" t="s">
        <v>11404</v>
      </c>
      <c r="H4203" s="40" t="s">
        <v>11404</v>
      </c>
    </row>
    <row r="4204">
      <c r="A4204" s="39"/>
      <c r="E4204" s="40" t="s">
        <v>11404</v>
      </c>
      <c r="F4204" s="40" t="s">
        <v>11404</v>
      </c>
      <c r="G4204" s="40" t="s">
        <v>11404</v>
      </c>
      <c r="H4204" s="40" t="s">
        <v>11404</v>
      </c>
    </row>
    <row r="4205">
      <c r="A4205" s="39"/>
      <c r="E4205" s="40" t="s">
        <v>11404</v>
      </c>
      <c r="F4205" s="40" t="s">
        <v>11404</v>
      </c>
      <c r="G4205" s="40" t="s">
        <v>11404</v>
      </c>
      <c r="H4205" s="40" t="s">
        <v>11404</v>
      </c>
    </row>
    <row r="4206">
      <c r="A4206" s="39"/>
      <c r="E4206" s="40" t="s">
        <v>11404</v>
      </c>
      <c r="F4206" s="40" t="s">
        <v>11404</v>
      </c>
      <c r="G4206" s="40" t="s">
        <v>11404</v>
      </c>
      <c r="H4206" s="40" t="s">
        <v>11404</v>
      </c>
    </row>
    <row r="4207">
      <c r="A4207" s="39"/>
      <c r="E4207" s="40" t="s">
        <v>11404</v>
      </c>
      <c r="F4207" s="40" t="s">
        <v>11404</v>
      </c>
      <c r="G4207" s="40" t="s">
        <v>11404</v>
      </c>
      <c r="H4207" s="40" t="s">
        <v>11404</v>
      </c>
    </row>
    <row r="4208">
      <c r="A4208" s="39"/>
      <c r="E4208" s="40" t="s">
        <v>11404</v>
      </c>
      <c r="F4208" s="40" t="s">
        <v>11404</v>
      </c>
      <c r="G4208" s="40" t="s">
        <v>11404</v>
      </c>
      <c r="H4208" s="40" t="s">
        <v>11404</v>
      </c>
    </row>
    <row r="4209">
      <c r="A4209" s="39"/>
      <c r="E4209" s="40" t="s">
        <v>11404</v>
      </c>
      <c r="F4209" s="40" t="s">
        <v>11404</v>
      </c>
      <c r="G4209" s="40" t="s">
        <v>11404</v>
      </c>
      <c r="H4209" s="40" t="s">
        <v>11404</v>
      </c>
    </row>
    <row r="4210">
      <c r="A4210" s="39"/>
      <c r="E4210" s="40" t="s">
        <v>11404</v>
      </c>
      <c r="F4210" s="40" t="s">
        <v>11404</v>
      </c>
      <c r="G4210" s="40" t="s">
        <v>11404</v>
      </c>
      <c r="H4210" s="40" t="s">
        <v>11404</v>
      </c>
    </row>
    <row r="4211">
      <c r="A4211" s="39"/>
      <c r="E4211" s="40" t="s">
        <v>11404</v>
      </c>
      <c r="F4211" s="40" t="s">
        <v>11404</v>
      </c>
      <c r="G4211" s="40" t="s">
        <v>11404</v>
      </c>
      <c r="H4211" s="40" t="s">
        <v>11404</v>
      </c>
    </row>
    <row r="4212">
      <c r="A4212" s="39"/>
      <c r="E4212" s="40" t="s">
        <v>11404</v>
      </c>
      <c r="F4212" s="40" t="s">
        <v>11404</v>
      </c>
      <c r="G4212" s="40" t="s">
        <v>11404</v>
      </c>
      <c r="H4212" s="40" t="s">
        <v>11404</v>
      </c>
    </row>
    <row r="4213">
      <c r="A4213" s="39"/>
      <c r="E4213" s="40" t="s">
        <v>11404</v>
      </c>
      <c r="F4213" s="40" t="s">
        <v>11404</v>
      </c>
      <c r="G4213" s="40" t="s">
        <v>11404</v>
      </c>
      <c r="H4213" s="40" t="s">
        <v>11404</v>
      </c>
    </row>
    <row r="4214">
      <c r="A4214" s="39"/>
      <c r="E4214" s="40" t="s">
        <v>11404</v>
      </c>
      <c r="F4214" s="40" t="s">
        <v>11404</v>
      </c>
      <c r="G4214" s="40" t="s">
        <v>11404</v>
      </c>
      <c r="H4214" s="40" t="s">
        <v>11404</v>
      </c>
    </row>
    <row r="4215">
      <c r="A4215" s="39"/>
      <c r="E4215" s="40" t="s">
        <v>11404</v>
      </c>
      <c r="F4215" s="40" t="s">
        <v>11404</v>
      </c>
      <c r="G4215" s="40" t="s">
        <v>11404</v>
      </c>
      <c r="H4215" s="40" t="s">
        <v>11404</v>
      </c>
    </row>
    <row r="4216">
      <c r="A4216" s="39"/>
      <c r="E4216" s="40" t="s">
        <v>11404</v>
      </c>
      <c r="F4216" s="40" t="s">
        <v>11404</v>
      </c>
      <c r="G4216" s="40" t="s">
        <v>11404</v>
      </c>
      <c r="H4216" s="40" t="s">
        <v>11404</v>
      </c>
    </row>
    <row r="4217">
      <c r="A4217" s="39"/>
      <c r="E4217" s="40" t="s">
        <v>11404</v>
      </c>
      <c r="F4217" s="40" t="s">
        <v>11404</v>
      </c>
      <c r="G4217" s="40" t="s">
        <v>11404</v>
      </c>
      <c r="H4217" s="40" t="s">
        <v>11404</v>
      </c>
    </row>
    <row r="4218">
      <c r="A4218" s="39"/>
      <c r="E4218" s="40" t="s">
        <v>11404</v>
      </c>
      <c r="F4218" s="40" t="s">
        <v>11404</v>
      </c>
      <c r="G4218" s="40" t="s">
        <v>11404</v>
      </c>
      <c r="H4218" s="40" t="s">
        <v>11404</v>
      </c>
    </row>
    <row r="4219">
      <c r="A4219" s="39"/>
      <c r="E4219" s="40" t="s">
        <v>11404</v>
      </c>
      <c r="F4219" s="40" t="s">
        <v>11404</v>
      </c>
      <c r="G4219" s="40" t="s">
        <v>11404</v>
      </c>
      <c r="H4219" s="40" t="s">
        <v>11404</v>
      </c>
    </row>
    <row r="4220">
      <c r="A4220" s="39"/>
      <c r="E4220" s="40" t="s">
        <v>11404</v>
      </c>
      <c r="F4220" s="40" t="s">
        <v>11404</v>
      </c>
      <c r="G4220" s="40" t="s">
        <v>11404</v>
      </c>
      <c r="H4220" s="40" t="s">
        <v>11404</v>
      </c>
    </row>
    <row r="4221">
      <c r="A4221" s="39"/>
      <c r="E4221" s="40" t="s">
        <v>11404</v>
      </c>
      <c r="F4221" s="40" t="s">
        <v>11404</v>
      </c>
      <c r="G4221" s="40" t="s">
        <v>11404</v>
      </c>
      <c r="H4221" s="40" t="s">
        <v>11404</v>
      </c>
    </row>
    <row r="4222">
      <c r="A4222" s="39"/>
      <c r="E4222" s="40" t="s">
        <v>11404</v>
      </c>
      <c r="F4222" s="40" t="s">
        <v>11404</v>
      </c>
      <c r="G4222" s="40" t="s">
        <v>11404</v>
      </c>
      <c r="H4222" s="40" t="s">
        <v>11404</v>
      </c>
    </row>
    <row r="4223">
      <c r="A4223" s="39"/>
      <c r="E4223" s="40" t="s">
        <v>11404</v>
      </c>
      <c r="F4223" s="40" t="s">
        <v>11404</v>
      </c>
      <c r="G4223" s="40" t="s">
        <v>11404</v>
      </c>
      <c r="H4223" s="40" t="s">
        <v>11404</v>
      </c>
    </row>
    <row r="4224">
      <c r="A4224" s="39"/>
      <c r="E4224" s="40" t="s">
        <v>11404</v>
      </c>
      <c r="F4224" s="40" t="s">
        <v>11404</v>
      </c>
      <c r="G4224" s="40" t="s">
        <v>11404</v>
      </c>
      <c r="H4224" s="40" t="s">
        <v>11404</v>
      </c>
    </row>
    <row r="4225">
      <c r="A4225" s="39"/>
      <c r="E4225" s="40" t="s">
        <v>11404</v>
      </c>
      <c r="F4225" s="40" t="s">
        <v>11404</v>
      </c>
      <c r="G4225" s="40" t="s">
        <v>11404</v>
      </c>
      <c r="H4225" s="40" t="s">
        <v>11404</v>
      </c>
    </row>
    <row r="4226">
      <c r="A4226" s="39"/>
      <c r="E4226" s="40" t="s">
        <v>11404</v>
      </c>
      <c r="F4226" s="40" t="s">
        <v>11404</v>
      </c>
      <c r="G4226" s="40" t="s">
        <v>11404</v>
      </c>
      <c r="H4226" s="40" t="s">
        <v>11404</v>
      </c>
    </row>
    <row r="4227">
      <c r="A4227" s="39"/>
      <c r="E4227" s="40" t="s">
        <v>11404</v>
      </c>
      <c r="F4227" s="40" t="s">
        <v>11404</v>
      </c>
      <c r="G4227" s="40" t="s">
        <v>11404</v>
      </c>
      <c r="H4227" s="40" t="s">
        <v>11404</v>
      </c>
    </row>
    <row r="4228">
      <c r="A4228" s="39"/>
      <c r="E4228" s="40" t="s">
        <v>11404</v>
      </c>
      <c r="F4228" s="40" t="s">
        <v>11404</v>
      </c>
      <c r="G4228" s="40" t="s">
        <v>11404</v>
      </c>
      <c r="H4228" s="40" t="s">
        <v>11404</v>
      </c>
    </row>
    <row r="4229">
      <c r="A4229" s="39"/>
      <c r="E4229" s="40" t="s">
        <v>11404</v>
      </c>
      <c r="F4229" s="40" t="s">
        <v>11404</v>
      </c>
      <c r="G4229" s="40" t="s">
        <v>11404</v>
      </c>
      <c r="H4229" s="40" t="s">
        <v>11404</v>
      </c>
    </row>
    <row r="4230">
      <c r="A4230" s="39"/>
      <c r="E4230" s="40" t="s">
        <v>11404</v>
      </c>
      <c r="F4230" s="40" t="s">
        <v>11404</v>
      </c>
      <c r="G4230" s="40" t="s">
        <v>11404</v>
      </c>
      <c r="H4230" s="40" t="s">
        <v>11404</v>
      </c>
    </row>
    <row r="4231">
      <c r="A4231" s="39"/>
      <c r="E4231" s="40" t="s">
        <v>11404</v>
      </c>
      <c r="F4231" s="40" t="s">
        <v>11404</v>
      </c>
      <c r="G4231" s="40" t="s">
        <v>11404</v>
      </c>
      <c r="H4231" s="40" t="s">
        <v>11404</v>
      </c>
    </row>
    <row r="4232">
      <c r="A4232" s="39"/>
      <c r="E4232" s="40" t="s">
        <v>11404</v>
      </c>
      <c r="F4232" s="40" t="s">
        <v>11404</v>
      </c>
      <c r="G4232" s="40" t="s">
        <v>11404</v>
      </c>
      <c r="H4232" s="40" t="s">
        <v>11404</v>
      </c>
    </row>
    <row r="4233">
      <c r="A4233" s="39"/>
      <c r="E4233" s="40" t="s">
        <v>11404</v>
      </c>
      <c r="F4233" s="40" t="s">
        <v>11404</v>
      </c>
      <c r="G4233" s="40" t="s">
        <v>11404</v>
      </c>
      <c r="H4233" s="40" t="s">
        <v>11404</v>
      </c>
    </row>
    <row r="4234">
      <c r="A4234" s="39"/>
      <c r="E4234" s="40" t="s">
        <v>11404</v>
      </c>
      <c r="F4234" s="40" t="s">
        <v>11404</v>
      </c>
      <c r="G4234" s="40" t="s">
        <v>11404</v>
      </c>
      <c r="H4234" s="40" t="s">
        <v>11404</v>
      </c>
    </row>
    <row r="4235">
      <c r="A4235" s="39"/>
      <c r="E4235" s="40" t="s">
        <v>11404</v>
      </c>
      <c r="F4235" s="40" t="s">
        <v>11404</v>
      </c>
      <c r="G4235" s="40" t="s">
        <v>11404</v>
      </c>
      <c r="H4235" s="40" t="s">
        <v>11404</v>
      </c>
    </row>
    <row r="4236">
      <c r="A4236" s="39"/>
      <c r="E4236" s="40" t="s">
        <v>11404</v>
      </c>
      <c r="F4236" s="40" t="s">
        <v>11404</v>
      </c>
      <c r="G4236" s="40" t="s">
        <v>11404</v>
      </c>
      <c r="H4236" s="40" t="s">
        <v>11404</v>
      </c>
    </row>
    <row r="4237">
      <c r="A4237" s="39"/>
      <c r="E4237" s="40" t="s">
        <v>11404</v>
      </c>
      <c r="F4237" s="40" t="s">
        <v>11404</v>
      </c>
      <c r="G4237" s="40" t="s">
        <v>11404</v>
      </c>
      <c r="H4237" s="40" t="s">
        <v>11404</v>
      </c>
    </row>
    <row r="4238">
      <c r="A4238" s="39"/>
      <c r="E4238" s="40" t="s">
        <v>11404</v>
      </c>
      <c r="F4238" s="40" t="s">
        <v>11404</v>
      </c>
      <c r="G4238" s="40" t="s">
        <v>11404</v>
      </c>
      <c r="H4238" s="40" t="s">
        <v>11404</v>
      </c>
    </row>
    <row r="4239">
      <c r="A4239" s="39"/>
      <c r="E4239" s="40" t="s">
        <v>11404</v>
      </c>
      <c r="F4239" s="40" t="s">
        <v>11404</v>
      </c>
      <c r="G4239" s="40" t="s">
        <v>11404</v>
      </c>
      <c r="H4239" s="40" t="s">
        <v>11404</v>
      </c>
    </row>
    <row r="4240">
      <c r="A4240" s="39"/>
      <c r="E4240" s="40" t="s">
        <v>11404</v>
      </c>
      <c r="F4240" s="40" t="s">
        <v>11404</v>
      </c>
      <c r="G4240" s="40" t="s">
        <v>11404</v>
      </c>
      <c r="H4240" s="40" t="s">
        <v>11404</v>
      </c>
    </row>
    <row r="4241">
      <c r="A4241" s="39"/>
      <c r="E4241" s="40" t="s">
        <v>11404</v>
      </c>
      <c r="F4241" s="40" t="s">
        <v>11404</v>
      </c>
      <c r="G4241" s="40" t="s">
        <v>11404</v>
      </c>
      <c r="H4241" s="40" t="s">
        <v>11404</v>
      </c>
    </row>
    <row r="4242">
      <c r="A4242" s="39"/>
      <c r="E4242" s="40" t="s">
        <v>11404</v>
      </c>
      <c r="F4242" s="40" t="s">
        <v>11404</v>
      </c>
      <c r="G4242" s="40" t="s">
        <v>11404</v>
      </c>
      <c r="H4242" s="40" t="s">
        <v>11404</v>
      </c>
    </row>
    <row r="4243">
      <c r="A4243" s="39"/>
      <c r="E4243" s="40" t="s">
        <v>11404</v>
      </c>
      <c r="F4243" s="40" t="s">
        <v>11404</v>
      </c>
      <c r="G4243" s="40" t="s">
        <v>11404</v>
      </c>
      <c r="H4243" s="40" t="s">
        <v>11404</v>
      </c>
    </row>
    <row r="4244">
      <c r="A4244" s="39"/>
      <c r="E4244" s="40" t="s">
        <v>11404</v>
      </c>
      <c r="F4244" s="40" t="s">
        <v>11404</v>
      </c>
      <c r="G4244" s="40" t="s">
        <v>11404</v>
      </c>
      <c r="H4244" s="40" t="s">
        <v>11404</v>
      </c>
    </row>
    <row r="4245">
      <c r="A4245" s="39"/>
      <c r="E4245" s="40" t="s">
        <v>11404</v>
      </c>
      <c r="F4245" s="40" t="s">
        <v>11404</v>
      </c>
      <c r="G4245" s="40" t="s">
        <v>11404</v>
      </c>
      <c r="H4245" s="40" t="s">
        <v>11404</v>
      </c>
    </row>
    <row r="4246">
      <c r="A4246" s="39"/>
      <c r="E4246" s="40" t="s">
        <v>11404</v>
      </c>
      <c r="F4246" s="40" t="s">
        <v>11404</v>
      </c>
      <c r="G4246" s="40" t="s">
        <v>11404</v>
      </c>
      <c r="H4246" s="40" t="s">
        <v>11404</v>
      </c>
    </row>
    <row r="4247">
      <c r="A4247" s="39"/>
      <c r="E4247" s="40" t="s">
        <v>11404</v>
      </c>
      <c r="F4247" s="40" t="s">
        <v>11404</v>
      </c>
      <c r="G4247" s="40" t="s">
        <v>11404</v>
      </c>
      <c r="H4247" s="40" t="s">
        <v>11404</v>
      </c>
    </row>
    <row r="4248">
      <c r="A4248" s="39"/>
      <c r="E4248" s="40" t="s">
        <v>11404</v>
      </c>
      <c r="F4248" s="40" t="s">
        <v>11404</v>
      </c>
      <c r="G4248" s="40" t="s">
        <v>11404</v>
      </c>
      <c r="H4248" s="40" t="s">
        <v>11404</v>
      </c>
    </row>
    <row r="4249">
      <c r="A4249" s="39"/>
      <c r="E4249" s="40" t="s">
        <v>11404</v>
      </c>
      <c r="F4249" s="40" t="s">
        <v>11404</v>
      </c>
      <c r="G4249" s="40" t="s">
        <v>11404</v>
      </c>
      <c r="H4249" s="40" t="s">
        <v>11404</v>
      </c>
    </row>
    <row r="4250">
      <c r="A4250" s="39"/>
      <c r="E4250" s="40" t="s">
        <v>11404</v>
      </c>
      <c r="F4250" s="40" t="s">
        <v>11404</v>
      </c>
      <c r="G4250" s="40" t="s">
        <v>11404</v>
      </c>
      <c r="H4250" s="40" t="s">
        <v>11404</v>
      </c>
    </row>
    <row r="4251">
      <c r="A4251" s="39"/>
      <c r="E4251" s="40" t="s">
        <v>11404</v>
      </c>
      <c r="F4251" s="40" t="s">
        <v>11404</v>
      </c>
      <c r="G4251" s="40" t="s">
        <v>11404</v>
      </c>
      <c r="H4251" s="40" t="s">
        <v>11404</v>
      </c>
    </row>
    <row r="4252">
      <c r="A4252" s="39"/>
      <c r="E4252" s="40" t="s">
        <v>11404</v>
      </c>
      <c r="F4252" s="40" t="s">
        <v>11404</v>
      </c>
      <c r="G4252" s="40" t="s">
        <v>11404</v>
      </c>
      <c r="H4252" s="40" t="s">
        <v>11404</v>
      </c>
    </row>
    <row r="4253">
      <c r="A4253" s="39"/>
      <c r="E4253" s="40" t="s">
        <v>11404</v>
      </c>
      <c r="F4253" s="40" t="s">
        <v>11404</v>
      </c>
      <c r="G4253" s="40" t="s">
        <v>11404</v>
      </c>
      <c r="H4253" s="40" t="s">
        <v>11404</v>
      </c>
    </row>
    <row r="4254">
      <c r="A4254" s="39"/>
      <c r="E4254" s="40" t="s">
        <v>11404</v>
      </c>
      <c r="F4254" s="40" t="s">
        <v>11404</v>
      </c>
      <c r="G4254" s="40" t="s">
        <v>11404</v>
      </c>
      <c r="H4254" s="40" t="s">
        <v>11404</v>
      </c>
    </row>
    <row r="4255">
      <c r="A4255" s="39"/>
      <c r="E4255" s="40" t="s">
        <v>11404</v>
      </c>
      <c r="F4255" s="40" t="s">
        <v>11404</v>
      </c>
      <c r="G4255" s="40" t="s">
        <v>11404</v>
      </c>
      <c r="H4255" s="40" t="s">
        <v>11404</v>
      </c>
    </row>
    <row r="4256">
      <c r="A4256" s="39"/>
      <c r="E4256" s="40" t="s">
        <v>11404</v>
      </c>
      <c r="F4256" s="40" t="s">
        <v>11404</v>
      </c>
      <c r="G4256" s="40" t="s">
        <v>11404</v>
      </c>
      <c r="H4256" s="40" t="s">
        <v>11404</v>
      </c>
    </row>
    <row r="4257">
      <c r="A4257" s="39"/>
      <c r="E4257" s="40" t="s">
        <v>11404</v>
      </c>
      <c r="F4257" s="40" t="s">
        <v>11404</v>
      </c>
      <c r="G4257" s="40" t="s">
        <v>11404</v>
      </c>
      <c r="H4257" s="40" t="s">
        <v>11404</v>
      </c>
    </row>
    <row r="4258">
      <c r="A4258" s="39"/>
      <c r="E4258" s="40" t="s">
        <v>11404</v>
      </c>
      <c r="F4258" s="40" t="s">
        <v>11404</v>
      </c>
      <c r="G4258" s="40" t="s">
        <v>11404</v>
      </c>
      <c r="H4258" s="40" t="s">
        <v>11404</v>
      </c>
    </row>
    <row r="4259">
      <c r="A4259" s="39"/>
      <c r="E4259" s="40" t="s">
        <v>11404</v>
      </c>
      <c r="F4259" s="40" t="s">
        <v>11404</v>
      </c>
      <c r="G4259" s="40" t="s">
        <v>11404</v>
      </c>
      <c r="H4259" s="40" t="s">
        <v>11404</v>
      </c>
    </row>
    <row r="4260">
      <c r="A4260" s="39"/>
      <c r="E4260" s="40" t="s">
        <v>11404</v>
      </c>
      <c r="F4260" s="40" t="s">
        <v>11404</v>
      </c>
      <c r="G4260" s="40" t="s">
        <v>11404</v>
      </c>
      <c r="H4260" s="40" t="s">
        <v>11404</v>
      </c>
    </row>
    <row r="4261">
      <c r="A4261" s="39"/>
      <c r="E4261" s="40" t="s">
        <v>11404</v>
      </c>
      <c r="F4261" s="40" t="s">
        <v>11404</v>
      </c>
      <c r="G4261" s="40" t="s">
        <v>11404</v>
      </c>
      <c r="H4261" s="40" t="s">
        <v>11404</v>
      </c>
    </row>
    <row r="4262">
      <c r="A4262" s="39"/>
      <c r="E4262" s="40" t="s">
        <v>11404</v>
      </c>
      <c r="F4262" s="40" t="s">
        <v>11404</v>
      </c>
      <c r="G4262" s="40" t="s">
        <v>11404</v>
      </c>
      <c r="H4262" s="40" t="s">
        <v>11404</v>
      </c>
    </row>
    <row r="4263">
      <c r="A4263" s="39"/>
      <c r="E4263" s="40" t="s">
        <v>11404</v>
      </c>
      <c r="F4263" s="40" t="s">
        <v>11404</v>
      </c>
      <c r="G4263" s="40" t="s">
        <v>11404</v>
      </c>
      <c r="H4263" s="40" t="s">
        <v>11404</v>
      </c>
    </row>
    <row r="4264">
      <c r="A4264" s="39"/>
      <c r="E4264" s="40" t="s">
        <v>11404</v>
      </c>
      <c r="F4264" s="40" t="s">
        <v>11404</v>
      </c>
      <c r="G4264" s="40" t="s">
        <v>11404</v>
      </c>
      <c r="H4264" s="40" t="s">
        <v>11404</v>
      </c>
    </row>
    <row r="4265">
      <c r="A4265" s="39"/>
      <c r="E4265" s="40" t="s">
        <v>11404</v>
      </c>
      <c r="F4265" s="40" t="s">
        <v>11404</v>
      </c>
      <c r="G4265" s="40" t="s">
        <v>11404</v>
      </c>
      <c r="H4265" s="40" t="s">
        <v>11404</v>
      </c>
    </row>
    <row r="4266">
      <c r="A4266" s="39"/>
      <c r="E4266" s="40" t="s">
        <v>11404</v>
      </c>
      <c r="F4266" s="40" t="s">
        <v>11404</v>
      </c>
      <c r="G4266" s="40" t="s">
        <v>11404</v>
      </c>
      <c r="H4266" s="40" t="s">
        <v>11404</v>
      </c>
    </row>
    <row r="4267">
      <c r="A4267" s="39"/>
      <c r="E4267" s="40" t="s">
        <v>11404</v>
      </c>
      <c r="F4267" s="40" t="s">
        <v>11404</v>
      </c>
      <c r="G4267" s="40" t="s">
        <v>11404</v>
      </c>
      <c r="H4267" s="40" t="s">
        <v>11404</v>
      </c>
    </row>
    <row r="4268">
      <c r="A4268" s="39"/>
      <c r="E4268" s="40" t="s">
        <v>11404</v>
      </c>
      <c r="F4268" s="40" t="s">
        <v>11404</v>
      </c>
      <c r="G4268" s="40" t="s">
        <v>11404</v>
      </c>
      <c r="H4268" s="40" t="s">
        <v>11404</v>
      </c>
    </row>
    <row r="4269">
      <c r="A4269" s="39"/>
      <c r="E4269" s="40" t="s">
        <v>11404</v>
      </c>
      <c r="F4269" s="40" t="s">
        <v>11404</v>
      </c>
      <c r="G4269" s="40" t="s">
        <v>11404</v>
      </c>
      <c r="H4269" s="40" t="s">
        <v>11404</v>
      </c>
    </row>
    <row r="4270">
      <c r="A4270" s="39"/>
      <c r="E4270" s="40" t="s">
        <v>11404</v>
      </c>
      <c r="F4270" s="40" t="s">
        <v>11404</v>
      </c>
      <c r="G4270" s="40" t="s">
        <v>11404</v>
      </c>
      <c r="H4270" s="40" t="s">
        <v>11404</v>
      </c>
    </row>
    <row r="4271">
      <c r="A4271" s="39"/>
      <c r="E4271" s="40" t="s">
        <v>11404</v>
      </c>
      <c r="F4271" s="40" t="s">
        <v>11404</v>
      </c>
      <c r="G4271" s="40" t="s">
        <v>11404</v>
      </c>
      <c r="H4271" s="40" t="s">
        <v>11404</v>
      </c>
    </row>
    <row r="4272">
      <c r="A4272" s="39"/>
      <c r="E4272" s="40" t="s">
        <v>11404</v>
      </c>
      <c r="F4272" s="40" t="s">
        <v>11404</v>
      </c>
      <c r="G4272" s="40" t="s">
        <v>11404</v>
      </c>
      <c r="H4272" s="40" t="s">
        <v>11404</v>
      </c>
    </row>
    <row r="4273">
      <c r="A4273" s="39"/>
      <c r="E4273" s="40" t="s">
        <v>11404</v>
      </c>
      <c r="F4273" s="40" t="s">
        <v>11404</v>
      </c>
      <c r="G4273" s="40" t="s">
        <v>11404</v>
      </c>
      <c r="H4273" s="40" t="s">
        <v>11404</v>
      </c>
    </row>
    <row r="4274">
      <c r="A4274" s="39"/>
      <c r="E4274" s="40" t="s">
        <v>11404</v>
      </c>
      <c r="F4274" s="40" t="s">
        <v>11404</v>
      </c>
      <c r="G4274" s="40" t="s">
        <v>11404</v>
      </c>
      <c r="H4274" s="40" t="s">
        <v>11404</v>
      </c>
    </row>
    <row r="4275">
      <c r="A4275" s="39"/>
      <c r="E4275" s="40" t="s">
        <v>11404</v>
      </c>
      <c r="F4275" s="40" t="s">
        <v>11404</v>
      </c>
      <c r="G4275" s="40" t="s">
        <v>11404</v>
      </c>
      <c r="H4275" s="40" t="s">
        <v>11404</v>
      </c>
    </row>
    <row r="4276">
      <c r="A4276" s="39"/>
      <c r="E4276" s="40" t="s">
        <v>11404</v>
      </c>
      <c r="F4276" s="40" t="s">
        <v>11404</v>
      </c>
      <c r="G4276" s="40" t="s">
        <v>11404</v>
      </c>
      <c r="H4276" s="40" t="s">
        <v>11404</v>
      </c>
    </row>
    <row r="4277">
      <c r="A4277" s="39"/>
      <c r="E4277" s="40" t="s">
        <v>11404</v>
      </c>
      <c r="F4277" s="40" t="s">
        <v>11404</v>
      </c>
      <c r="G4277" s="40" t="s">
        <v>11404</v>
      </c>
      <c r="H4277" s="40" t="s">
        <v>11404</v>
      </c>
    </row>
    <row r="4278">
      <c r="A4278" s="39"/>
      <c r="E4278" s="40" t="s">
        <v>11404</v>
      </c>
      <c r="F4278" s="40" t="s">
        <v>11404</v>
      </c>
      <c r="G4278" s="40" t="s">
        <v>11404</v>
      </c>
      <c r="H4278" s="40" t="s">
        <v>11404</v>
      </c>
    </row>
    <row r="4279">
      <c r="A4279" s="39"/>
      <c r="E4279" s="40" t="s">
        <v>11404</v>
      </c>
      <c r="F4279" s="40" t="s">
        <v>11404</v>
      </c>
      <c r="G4279" s="40" t="s">
        <v>11404</v>
      </c>
      <c r="H4279" s="40" t="s">
        <v>11404</v>
      </c>
    </row>
    <row r="4280">
      <c r="A4280" s="39"/>
      <c r="E4280" s="40" t="s">
        <v>11404</v>
      </c>
      <c r="F4280" s="40" t="s">
        <v>11404</v>
      </c>
      <c r="G4280" s="40" t="s">
        <v>11404</v>
      </c>
      <c r="H4280" s="40" t="s">
        <v>11404</v>
      </c>
    </row>
    <row r="4281">
      <c r="A4281" s="39"/>
      <c r="E4281" s="40" t="s">
        <v>11404</v>
      </c>
      <c r="F4281" s="40" t="s">
        <v>11404</v>
      </c>
      <c r="G4281" s="40" t="s">
        <v>11404</v>
      </c>
      <c r="H4281" s="40" t="s">
        <v>11404</v>
      </c>
    </row>
    <row r="4282">
      <c r="A4282" s="39"/>
      <c r="E4282" s="40" t="s">
        <v>11404</v>
      </c>
      <c r="F4282" s="40" t="s">
        <v>11404</v>
      </c>
      <c r="G4282" s="40" t="s">
        <v>11404</v>
      </c>
      <c r="H4282" s="40" t="s">
        <v>11404</v>
      </c>
    </row>
    <row r="4283">
      <c r="A4283" s="39"/>
      <c r="E4283" s="40" t="s">
        <v>11404</v>
      </c>
      <c r="F4283" s="40" t="s">
        <v>11404</v>
      </c>
      <c r="G4283" s="40" t="s">
        <v>11404</v>
      </c>
      <c r="H4283" s="40" t="s">
        <v>11404</v>
      </c>
    </row>
    <row r="4284">
      <c r="A4284" s="39"/>
      <c r="E4284" s="40" t="s">
        <v>11404</v>
      </c>
      <c r="F4284" s="40" t="s">
        <v>11404</v>
      </c>
      <c r="G4284" s="40" t="s">
        <v>11404</v>
      </c>
      <c r="H4284" s="40" t="s">
        <v>11404</v>
      </c>
    </row>
    <row r="4285">
      <c r="A4285" s="39"/>
      <c r="E4285" s="40" t="s">
        <v>11404</v>
      </c>
      <c r="F4285" s="40" t="s">
        <v>11404</v>
      </c>
      <c r="G4285" s="40" t="s">
        <v>11404</v>
      </c>
      <c r="H4285" s="40" t="s">
        <v>11404</v>
      </c>
    </row>
    <row r="4286">
      <c r="A4286" s="39"/>
      <c r="E4286" s="40" t="s">
        <v>11404</v>
      </c>
      <c r="F4286" s="40" t="s">
        <v>11404</v>
      </c>
      <c r="G4286" s="40" t="s">
        <v>11404</v>
      </c>
      <c r="H4286" s="40" t="s">
        <v>11404</v>
      </c>
    </row>
    <row r="4287">
      <c r="A4287" s="39"/>
      <c r="E4287" s="40" t="s">
        <v>11404</v>
      </c>
      <c r="F4287" s="40" t="s">
        <v>11404</v>
      </c>
      <c r="G4287" s="40" t="s">
        <v>11404</v>
      </c>
      <c r="H4287" s="40" t="s">
        <v>11404</v>
      </c>
    </row>
    <row r="4288">
      <c r="A4288" s="39"/>
      <c r="E4288" s="40" t="s">
        <v>11404</v>
      </c>
      <c r="F4288" s="40" t="s">
        <v>11404</v>
      </c>
      <c r="G4288" s="40" t="s">
        <v>11404</v>
      </c>
      <c r="H4288" s="40" t="s">
        <v>11404</v>
      </c>
    </row>
    <row r="4289">
      <c r="A4289" s="39"/>
      <c r="E4289" s="40" t="s">
        <v>11404</v>
      </c>
      <c r="F4289" s="40" t="s">
        <v>11404</v>
      </c>
      <c r="G4289" s="40" t="s">
        <v>11404</v>
      </c>
      <c r="H4289" s="40" t="s">
        <v>11404</v>
      </c>
    </row>
    <row r="4290">
      <c r="A4290" s="39"/>
      <c r="E4290" s="40" t="s">
        <v>11404</v>
      </c>
      <c r="F4290" s="40" t="s">
        <v>11404</v>
      </c>
      <c r="G4290" s="40" t="s">
        <v>11404</v>
      </c>
      <c r="H4290" s="40" t="s">
        <v>11404</v>
      </c>
    </row>
    <row r="4291">
      <c r="A4291" s="39"/>
      <c r="E4291" s="40" t="s">
        <v>11404</v>
      </c>
      <c r="F4291" s="40" t="s">
        <v>11404</v>
      </c>
      <c r="G4291" s="40" t="s">
        <v>11404</v>
      </c>
      <c r="H4291" s="40" t="s">
        <v>11404</v>
      </c>
    </row>
    <row r="4292">
      <c r="A4292" s="39"/>
      <c r="E4292" s="40" t="s">
        <v>11404</v>
      </c>
      <c r="F4292" s="40" t="s">
        <v>11404</v>
      </c>
      <c r="G4292" s="40" t="s">
        <v>11404</v>
      </c>
      <c r="H4292" s="40" t="s">
        <v>11404</v>
      </c>
    </row>
    <row r="4293">
      <c r="A4293" s="39"/>
      <c r="E4293" s="40" t="s">
        <v>11404</v>
      </c>
      <c r="F4293" s="40" t="s">
        <v>11404</v>
      </c>
      <c r="G4293" s="40" t="s">
        <v>11404</v>
      </c>
      <c r="H4293" s="40" t="s">
        <v>11404</v>
      </c>
    </row>
    <row r="4294">
      <c r="A4294" s="39"/>
      <c r="E4294" s="40" t="s">
        <v>11404</v>
      </c>
      <c r="F4294" s="40" t="s">
        <v>11404</v>
      </c>
      <c r="G4294" s="40" t="s">
        <v>11404</v>
      </c>
      <c r="H4294" s="40" t="s">
        <v>11404</v>
      </c>
    </row>
    <row r="4295">
      <c r="A4295" s="39"/>
      <c r="E4295" s="40" t="s">
        <v>11404</v>
      </c>
      <c r="F4295" s="40" t="s">
        <v>11404</v>
      </c>
      <c r="G4295" s="40" t="s">
        <v>11404</v>
      </c>
      <c r="H4295" s="40" t="s">
        <v>11404</v>
      </c>
    </row>
    <row r="4296">
      <c r="A4296" s="39"/>
      <c r="E4296" s="40" t="s">
        <v>11404</v>
      </c>
      <c r="F4296" s="40" t="s">
        <v>11404</v>
      </c>
      <c r="G4296" s="40" t="s">
        <v>11404</v>
      </c>
      <c r="H4296" s="40" t="s">
        <v>11404</v>
      </c>
    </row>
    <row r="4297">
      <c r="A4297" s="39"/>
      <c r="E4297" s="40" t="s">
        <v>11404</v>
      </c>
      <c r="F4297" s="40" t="s">
        <v>11404</v>
      </c>
      <c r="G4297" s="40" t="s">
        <v>11404</v>
      </c>
      <c r="H4297" s="40" t="s">
        <v>11404</v>
      </c>
    </row>
    <row r="4298">
      <c r="A4298" s="39"/>
      <c r="E4298" s="40" t="s">
        <v>11404</v>
      </c>
      <c r="F4298" s="40" t="s">
        <v>11404</v>
      </c>
      <c r="G4298" s="40" t="s">
        <v>11404</v>
      </c>
      <c r="H4298" s="40" t="s">
        <v>11404</v>
      </c>
    </row>
    <row r="4299">
      <c r="A4299" s="39"/>
      <c r="E4299" s="40" t="s">
        <v>11404</v>
      </c>
      <c r="F4299" s="40" t="s">
        <v>11404</v>
      </c>
      <c r="G4299" s="40" t="s">
        <v>11404</v>
      </c>
      <c r="H4299" s="40" t="s">
        <v>11404</v>
      </c>
    </row>
    <row r="4300">
      <c r="A4300" s="39"/>
      <c r="E4300" s="40" t="s">
        <v>11404</v>
      </c>
      <c r="F4300" s="40" t="s">
        <v>11404</v>
      </c>
      <c r="G4300" s="40" t="s">
        <v>11404</v>
      </c>
      <c r="H4300" s="40" t="s">
        <v>11404</v>
      </c>
    </row>
    <row r="4301">
      <c r="A4301" s="39"/>
      <c r="E4301" s="40" t="s">
        <v>11404</v>
      </c>
      <c r="F4301" s="40" t="s">
        <v>11404</v>
      </c>
      <c r="G4301" s="40" t="s">
        <v>11404</v>
      </c>
      <c r="H4301" s="40" t="s">
        <v>11404</v>
      </c>
    </row>
    <row r="4302">
      <c r="A4302" s="39"/>
      <c r="E4302" s="40" t="s">
        <v>11404</v>
      </c>
      <c r="F4302" s="40" t="s">
        <v>11404</v>
      </c>
      <c r="G4302" s="40" t="s">
        <v>11404</v>
      </c>
      <c r="H4302" s="40" t="s">
        <v>11404</v>
      </c>
    </row>
    <row r="4303">
      <c r="A4303" s="39"/>
      <c r="E4303" s="40" t="s">
        <v>11404</v>
      </c>
      <c r="F4303" s="40" t="s">
        <v>11404</v>
      </c>
      <c r="G4303" s="40" t="s">
        <v>11404</v>
      </c>
      <c r="H4303" s="40" t="s">
        <v>11404</v>
      </c>
    </row>
    <row r="4304">
      <c r="A4304" s="39"/>
      <c r="E4304" s="40" t="s">
        <v>11404</v>
      </c>
      <c r="F4304" s="40" t="s">
        <v>11404</v>
      </c>
      <c r="G4304" s="40" t="s">
        <v>11404</v>
      </c>
      <c r="H4304" s="40" t="s">
        <v>11404</v>
      </c>
    </row>
    <row r="4305">
      <c r="A4305" s="39"/>
      <c r="E4305" s="40" t="s">
        <v>11404</v>
      </c>
      <c r="F4305" s="40" t="s">
        <v>11404</v>
      </c>
      <c r="G4305" s="40" t="s">
        <v>11404</v>
      </c>
      <c r="H4305" s="40" t="s">
        <v>11404</v>
      </c>
    </row>
    <row r="4306">
      <c r="A4306" s="39"/>
      <c r="E4306" s="40" t="s">
        <v>11404</v>
      </c>
      <c r="F4306" s="40" t="s">
        <v>11404</v>
      </c>
      <c r="G4306" s="40" t="s">
        <v>11404</v>
      </c>
      <c r="H4306" s="40" t="s">
        <v>11404</v>
      </c>
    </row>
    <row r="4307">
      <c r="A4307" s="39"/>
      <c r="E4307" s="40" t="s">
        <v>11404</v>
      </c>
      <c r="F4307" s="40" t="s">
        <v>11404</v>
      </c>
      <c r="G4307" s="40" t="s">
        <v>11404</v>
      </c>
      <c r="H4307" s="40" t="s">
        <v>11404</v>
      </c>
    </row>
    <row r="4308">
      <c r="A4308" s="39"/>
      <c r="E4308" s="40" t="s">
        <v>11404</v>
      </c>
      <c r="F4308" s="40" t="s">
        <v>11404</v>
      </c>
      <c r="G4308" s="40" t="s">
        <v>11404</v>
      </c>
      <c r="H4308" s="40" t="s">
        <v>11404</v>
      </c>
    </row>
    <row r="4309">
      <c r="A4309" s="39"/>
      <c r="E4309" s="40" t="s">
        <v>11404</v>
      </c>
      <c r="F4309" s="40" t="s">
        <v>11404</v>
      </c>
      <c r="G4309" s="40" t="s">
        <v>11404</v>
      </c>
      <c r="H4309" s="40" t="s">
        <v>11404</v>
      </c>
    </row>
    <row r="4310">
      <c r="A4310" s="39"/>
      <c r="E4310" s="40" t="s">
        <v>11404</v>
      </c>
      <c r="F4310" s="40" t="s">
        <v>11404</v>
      </c>
      <c r="G4310" s="40" t="s">
        <v>11404</v>
      </c>
      <c r="H4310" s="40" t="s">
        <v>11404</v>
      </c>
    </row>
    <row r="4311">
      <c r="A4311" s="39"/>
      <c r="E4311" s="40" t="s">
        <v>11404</v>
      </c>
      <c r="F4311" s="40" t="s">
        <v>11404</v>
      </c>
      <c r="G4311" s="40" t="s">
        <v>11404</v>
      </c>
      <c r="H4311" s="40" t="s">
        <v>11404</v>
      </c>
    </row>
    <row r="4312">
      <c r="A4312" s="39"/>
      <c r="E4312" s="40" t="s">
        <v>11404</v>
      </c>
      <c r="F4312" s="40" t="s">
        <v>11404</v>
      </c>
      <c r="G4312" s="40" t="s">
        <v>11404</v>
      </c>
      <c r="H4312" s="40" t="s">
        <v>11404</v>
      </c>
    </row>
    <row r="4313">
      <c r="A4313" s="39"/>
      <c r="E4313" s="40" t="s">
        <v>11404</v>
      </c>
      <c r="F4313" s="40" t="s">
        <v>11404</v>
      </c>
      <c r="G4313" s="40" t="s">
        <v>11404</v>
      </c>
      <c r="H4313" s="40" t="s">
        <v>11404</v>
      </c>
    </row>
    <row r="4314">
      <c r="A4314" s="39"/>
      <c r="E4314" s="40" t="s">
        <v>11404</v>
      </c>
      <c r="F4314" s="40" t="s">
        <v>11404</v>
      </c>
      <c r="G4314" s="40" t="s">
        <v>11404</v>
      </c>
      <c r="H4314" s="40" t="s">
        <v>11404</v>
      </c>
    </row>
    <row r="4315">
      <c r="A4315" s="39"/>
      <c r="E4315" s="40" t="s">
        <v>11404</v>
      </c>
      <c r="F4315" s="40" t="s">
        <v>11404</v>
      </c>
      <c r="G4315" s="40" t="s">
        <v>11404</v>
      </c>
      <c r="H4315" s="40" t="s">
        <v>11404</v>
      </c>
    </row>
    <row r="4316">
      <c r="A4316" s="39"/>
      <c r="E4316" s="40" t="s">
        <v>11404</v>
      </c>
      <c r="F4316" s="40" t="s">
        <v>11404</v>
      </c>
      <c r="G4316" s="40" t="s">
        <v>11404</v>
      </c>
      <c r="H4316" s="40" t="s">
        <v>11404</v>
      </c>
    </row>
    <row r="4317">
      <c r="A4317" s="39"/>
      <c r="E4317" s="40" t="s">
        <v>11404</v>
      </c>
      <c r="F4317" s="40" t="s">
        <v>11404</v>
      </c>
      <c r="G4317" s="40" t="s">
        <v>11404</v>
      </c>
      <c r="H4317" s="40" t="s">
        <v>11404</v>
      </c>
    </row>
    <row r="4318">
      <c r="A4318" s="39"/>
      <c r="E4318" s="40" t="s">
        <v>11404</v>
      </c>
      <c r="F4318" s="40" t="s">
        <v>11404</v>
      </c>
      <c r="G4318" s="40" t="s">
        <v>11404</v>
      </c>
      <c r="H4318" s="40" t="s">
        <v>11404</v>
      </c>
    </row>
    <row r="4319">
      <c r="A4319" s="39"/>
      <c r="E4319" s="40" t="s">
        <v>11404</v>
      </c>
      <c r="F4319" s="40" t="s">
        <v>11404</v>
      </c>
      <c r="G4319" s="40" t="s">
        <v>11404</v>
      </c>
      <c r="H4319" s="40" t="s">
        <v>11404</v>
      </c>
    </row>
    <row r="4320">
      <c r="A4320" s="39"/>
      <c r="E4320" s="40" t="s">
        <v>11404</v>
      </c>
      <c r="F4320" s="40" t="s">
        <v>11404</v>
      </c>
      <c r="G4320" s="40" t="s">
        <v>11404</v>
      </c>
      <c r="H4320" s="40" t="s">
        <v>11404</v>
      </c>
    </row>
    <row r="4321">
      <c r="A4321" s="39"/>
      <c r="E4321" s="40" t="s">
        <v>11404</v>
      </c>
      <c r="F4321" s="40" t="s">
        <v>11404</v>
      </c>
      <c r="G4321" s="40" t="s">
        <v>11404</v>
      </c>
      <c r="H4321" s="40" t="s">
        <v>11404</v>
      </c>
    </row>
    <row r="4322">
      <c r="A4322" s="39"/>
      <c r="E4322" s="40" t="s">
        <v>11404</v>
      </c>
      <c r="F4322" s="40" t="s">
        <v>11404</v>
      </c>
      <c r="G4322" s="40" t="s">
        <v>11404</v>
      </c>
      <c r="H4322" s="40" t="s">
        <v>11404</v>
      </c>
    </row>
    <row r="4323">
      <c r="A4323" s="39"/>
      <c r="E4323" s="40" t="s">
        <v>11404</v>
      </c>
      <c r="F4323" s="40" t="s">
        <v>11404</v>
      </c>
      <c r="G4323" s="40" t="s">
        <v>11404</v>
      </c>
      <c r="H4323" s="40" t="s">
        <v>11404</v>
      </c>
    </row>
    <row r="4324">
      <c r="A4324" s="39"/>
      <c r="E4324" s="40" t="s">
        <v>11404</v>
      </c>
      <c r="F4324" s="40" t="s">
        <v>11404</v>
      </c>
      <c r="G4324" s="40" t="s">
        <v>11404</v>
      </c>
      <c r="H4324" s="40" t="s">
        <v>11404</v>
      </c>
    </row>
    <row r="4325">
      <c r="A4325" s="39"/>
      <c r="E4325" s="40" t="s">
        <v>11404</v>
      </c>
      <c r="F4325" s="40" t="s">
        <v>11404</v>
      </c>
      <c r="G4325" s="40" t="s">
        <v>11404</v>
      </c>
      <c r="H4325" s="40" t="s">
        <v>11404</v>
      </c>
    </row>
    <row r="4326">
      <c r="A4326" s="39"/>
      <c r="E4326" s="40" t="s">
        <v>11404</v>
      </c>
      <c r="F4326" s="40" t="s">
        <v>11404</v>
      </c>
      <c r="G4326" s="40" t="s">
        <v>11404</v>
      </c>
      <c r="H4326" s="40" t="s">
        <v>11404</v>
      </c>
    </row>
    <row r="4327">
      <c r="A4327" s="39"/>
      <c r="E4327" s="40" t="s">
        <v>11404</v>
      </c>
      <c r="F4327" s="40" t="s">
        <v>11404</v>
      </c>
      <c r="G4327" s="40" t="s">
        <v>11404</v>
      </c>
      <c r="H4327" s="40" t="s">
        <v>11404</v>
      </c>
    </row>
    <row r="4328">
      <c r="A4328" s="39"/>
      <c r="E4328" s="40" t="s">
        <v>11404</v>
      </c>
      <c r="F4328" s="40" t="s">
        <v>11404</v>
      </c>
      <c r="G4328" s="40" t="s">
        <v>11404</v>
      </c>
      <c r="H4328" s="40" t="s">
        <v>11404</v>
      </c>
    </row>
    <row r="4329">
      <c r="A4329" s="39"/>
      <c r="E4329" s="40" t="s">
        <v>11404</v>
      </c>
      <c r="F4329" s="40" t="s">
        <v>11404</v>
      </c>
      <c r="G4329" s="40" t="s">
        <v>11404</v>
      </c>
      <c r="H4329" s="40" t="s">
        <v>11404</v>
      </c>
    </row>
    <row r="4330">
      <c r="A4330" s="39"/>
      <c r="E4330" s="40" t="s">
        <v>11404</v>
      </c>
      <c r="F4330" s="40" t="s">
        <v>11404</v>
      </c>
      <c r="G4330" s="40" t="s">
        <v>11404</v>
      </c>
      <c r="H4330" s="40" t="s">
        <v>11404</v>
      </c>
    </row>
    <row r="4331">
      <c r="A4331" s="39"/>
      <c r="E4331" s="40" t="s">
        <v>11404</v>
      </c>
      <c r="F4331" s="40" t="s">
        <v>11404</v>
      </c>
      <c r="G4331" s="40" t="s">
        <v>11404</v>
      </c>
      <c r="H4331" s="40" t="s">
        <v>11404</v>
      </c>
    </row>
    <row r="4332">
      <c r="A4332" s="39"/>
      <c r="E4332" s="40" t="s">
        <v>11404</v>
      </c>
      <c r="F4332" s="40" t="s">
        <v>11404</v>
      </c>
      <c r="G4332" s="40" t="s">
        <v>11404</v>
      </c>
      <c r="H4332" s="40" t="s">
        <v>11404</v>
      </c>
    </row>
    <row r="4333">
      <c r="A4333" s="39"/>
      <c r="E4333" s="40" t="s">
        <v>11404</v>
      </c>
      <c r="F4333" s="40" t="s">
        <v>11404</v>
      </c>
      <c r="G4333" s="40" t="s">
        <v>11404</v>
      </c>
      <c r="H4333" s="40" t="s">
        <v>11404</v>
      </c>
    </row>
    <row r="4334">
      <c r="A4334" s="39"/>
      <c r="E4334" s="40" t="s">
        <v>11404</v>
      </c>
      <c r="F4334" s="40" t="s">
        <v>11404</v>
      </c>
      <c r="G4334" s="40" t="s">
        <v>11404</v>
      </c>
      <c r="H4334" s="40" t="s">
        <v>11404</v>
      </c>
    </row>
    <row r="4335">
      <c r="A4335" s="39"/>
      <c r="E4335" s="40" t="s">
        <v>11404</v>
      </c>
      <c r="F4335" s="40" t="s">
        <v>11404</v>
      </c>
      <c r="G4335" s="40" t="s">
        <v>11404</v>
      </c>
      <c r="H4335" s="40" t="s">
        <v>11404</v>
      </c>
    </row>
    <row r="4336">
      <c r="A4336" s="39"/>
      <c r="E4336" s="40" t="s">
        <v>11404</v>
      </c>
      <c r="F4336" s="40" t="s">
        <v>11404</v>
      </c>
      <c r="G4336" s="40" t="s">
        <v>11404</v>
      </c>
      <c r="H4336" s="40" t="s">
        <v>11404</v>
      </c>
    </row>
    <row r="4337">
      <c r="A4337" s="39"/>
      <c r="E4337" s="40" t="s">
        <v>11404</v>
      </c>
      <c r="F4337" s="40" t="s">
        <v>11404</v>
      </c>
      <c r="G4337" s="40" t="s">
        <v>11404</v>
      </c>
      <c r="H4337" s="40" t="s">
        <v>11404</v>
      </c>
    </row>
    <row r="4338">
      <c r="A4338" s="39"/>
      <c r="E4338" s="40" t="s">
        <v>11404</v>
      </c>
      <c r="F4338" s="40" t="s">
        <v>11404</v>
      </c>
      <c r="G4338" s="40" t="s">
        <v>11404</v>
      </c>
      <c r="H4338" s="40" t="s">
        <v>11404</v>
      </c>
    </row>
    <row r="4339">
      <c r="A4339" s="39"/>
      <c r="E4339" s="40" t="s">
        <v>11404</v>
      </c>
      <c r="F4339" s="40" t="s">
        <v>11404</v>
      </c>
      <c r="G4339" s="40" t="s">
        <v>11404</v>
      </c>
      <c r="H4339" s="40" t="s">
        <v>11404</v>
      </c>
    </row>
    <row r="4340">
      <c r="A4340" s="39"/>
      <c r="E4340" s="40" t="s">
        <v>11404</v>
      </c>
      <c r="F4340" s="40" t="s">
        <v>11404</v>
      </c>
      <c r="G4340" s="40" t="s">
        <v>11404</v>
      </c>
      <c r="H4340" s="40" t="s">
        <v>11404</v>
      </c>
    </row>
    <row r="4341">
      <c r="A4341" s="39"/>
      <c r="E4341" s="40" t="s">
        <v>11404</v>
      </c>
      <c r="F4341" s="40" t="s">
        <v>11404</v>
      </c>
      <c r="G4341" s="40" t="s">
        <v>11404</v>
      </c>
      <c r="H4341" s="40" t="s">
        <v>11404</v>
      </c>
    </row>
    <row r="4342">
      <c r="A4342" s="39"/>
      <c r="E4342" s="40" t="s">
        <v>11404</v>
      </c>
      <c r="F4342" s="40" t="s">
        <v>11404</v>
      </c>
      <c r="G4342" s="40" t="s">
        <v>11404</v>
      </c>
      <c r="H4342" s="40" t="s">
        <v>11404</v>
      </c>
    </row>
    <row r="4343">
      <c r="A4343" s="39"/>
      <c r="E4343" s="40" t="s">
        <v>11404</v>
      </c>
      <c r="F4343" s="40" t="s">
        <v>11404</v>
      </c>
      <c r="G4343" s="40" t="s">
        <v>11404</v>
      </c>
      <c r="H4343" s="40" t="s">
        <v>11404</v>
      </c>
    </row>
    <row r="4344">
      <c r="A4344" s="39"/>
      <c r="E4344" s="40" t="s">
        <v>11404</v>
      </c>
      <c r="F4344" s="40" t="s">
        <v>11404</v>
      </c>
      <c r="G4344" s="40" t="s">
        <v>11404</v>
      </c>
      <c r="H4344" s="40" t="s">
        <v>11404</v>
      </c>
    </row>
    <row r="4345">
      <c r="A4345" s="39"/>
      <c r="E4345" s="40" t="s">
        <v>11404</v>
      </c>
      <c r="F4345" s="40" t="s">
        <v>11404</v>
      </c>
      <c r="G4345" s="40" t="s">
        <v>11404</v>
      </c>
      <c r="H4345" s="40" t="s">
        <v>11404</v>
      </c>
    </row>
    <row r="4346">
      <c r="A4346" s="39"/>
      <c r="E4346" s="40" t="s">
        <v>11404</v>
      </c>
      <c r="F4346" s="40" t="s">
        <v>11404</v>
      </c>
      <c r="G4346" s="40" t="s">
        <v>11404</v>
      </c>
      <c r="H4346" s="40" t="s">
        <v>11404</v>
      </c>
    </row>
    <row r="4347">
      <c r="A4347" s="39"/>
      <c r="E4347" s="40" t="s">
        <v>11404</v>
      </c>
      <c r="F4347" s="40" t="s">
        <v>11404</v>
      </c>
      <c r="G4347" s="40" t="s">
        <v>11404</v>
      </c>
      <c r="H4347" s="40" t="s">
        <v>11404</v>
      </c>
    </row>
    <row r="4348">
      <c r="A4348" s="39"/>
      <c r="E4348" s="40" t="s">
        <v>11404</v>
      </c>
      <c r="F4348" s="40" t="s">
        <v>11404</v>
      </c>
      <c r="G4348" s="40" t="s">
        <v>11404</v>
      </c>
      <c r="H4348" s="40" t="s">
        <v>11404</v>
      </c>
    </row>
    <row r="4349">
      <c r="A4349" s="39"/>
      <c r="E4349" s="40" t="s">
        <v>11404</v>
      </c>
      <c r="F4349" s="40" t="s">
        <v>11404</v>
      </c>
      <c r="G4349" s="40" t="s">
        <v>11404</v>
      </c>
      <c r="H4349" s="40" t="s">
        <v>11404</v>
      </c>
    </row>
    <row r="4350">
      <c r="A4350" s="39"/>
      <c r="E4350" s="40" t="s">
        <v>11404</v>
      </c>
      <c r="F4350" s="40" t="s">
        <v>11404</v>
      </c>
      <c r="G4350" s="40" t="s">
        <v>11404</v>
      </c>
      <c r="H4350" s="40" t="s">
        <v>11404</v>
      </c>
    </row>
    <row r="4351">
      <c r="A4351" s="39"/>
      <c r="E4351" s="40" t="s">
        <v>11404</v>
      </c>
      <c r="F4351" s="40" t="s">
        <v>11404</v>
      </c>
      <c r="G4351" s="40" t="s">
        <v>11404</v>
      </c>
      <c r="H4351" s="40" t="s">
        <v>11404</v>
      </c>
    </row>
    <row r="4352">
      <c r="A4352" s="39"/>
      <c r="E4352" s="40" t="s">
        <v>11404</v>
      </c>
      <c r="F4352" s="40" t="s">
        <v>11404</v>
      </c>
      <c r="G4352" s="40" t="s">
        <v>11404</v>
      </c>
      <c r="H4352" s="40" t="s">
        <v>11404</v>
      </c>
    </row>
    <row r="4353">
      <c r="A4353" s="39"/>
      <c r="E4353" s="40" t="s">
        <v>11404</v>
      </c>
      <c r="F4353" s="40" t="s">
        <v>11404</v>
      </c>
      <c r="G4353" s="40" t="s">
        <v>11404</v>
      </c>
      <c r="H4353" s="40" t="s">
        <v>11404</v>
      </c>
    </row>
    <row r="4354">
      <c r="A4354" s="39"/>
      <c r="E4354" s="40" t="s">
        <v>11404</v>
      </c>
      <c r="F4354" s="40" t="s">
        <v>11404</v>
      </c>
      <c r="G4354" s="40" t="s">
        <v>11404</v>
      </c>
      <c r="H4354" s="40" t="s">
        <v>11404</v>
      </c>
    </row>
    <row r="4355">
      <c r="A4355" s="39"/>
      <c r="E4355" s="40" t="s">
        <v>11404</v>
      </c>
      <c r="F4355" s="40" t="s">
        <v>11404</v>
      </c>
      <c r="G4355" s="40" t="s">
        <v>11404</v>
      </c>
      <c r="H4355" s="40" t="s">
        <v>11404</v>
      </c>
    </row>
    <row r="4356">
      <c r="A4356" s="39"/>
      <c r="E4356" s="40" t="s">
        <v>11404</v>
      </c>
      <c r="F4356" s="40" t="s">
        <v>11404</v>
      </c>
      <c r="G4356" s="40" t="s">
        <v>11404</v>
      </c>
      <c r="H4356" s="40" t="s">
        <v>11404</v>
      </c>
    </row>
    <row r="4357">
      <c r="A4357" s="39"/>
      <c r="E4357" s="40" t="s">
        <v>11404</v>
      </c>
      <c r="F4357" s="40" t="s">
        <v>11404</v>
      </c>
      <c r="G4357" s="40" t="s">
        <v>11404</v>
      </c>
      <c r="H4357" s="40" t="s">
        <v>11404</v>
      </c>
    </row>
    <row r="4358">
      <c r="A4358" s="39"/>
      <c r="E4358" s="40" t="s">
        <v>11404</v>
      </c>
      <c r="F4358" s="40" t="s">
        <v>11404</v>
      </c>
      <c r="G4358" s="40" t="s">
        <v>11404</v>
      </c>
      <c r="H4358" s="40" t="s">
        <v>11404</v>
      </c>
    </row>
    <row r="4359">
      <c r="A4359" s="39"/>
      <c r="E4359" s="40" t="s">
        <v>11404</v>
      </c>
      <c r="F4359" s="40" t="s">
        <v>11404</v>
      </c>
      <c r="G4359" s="40" t="s">
        <v>11404</v>
      </c>
      <c r="H4359" s="40" t="s">
        <v>11404</v>
      </c>
    </row>
    <row r="4360">
      <c r="A4360" s="39"/>
      <c r="E4360" s="40" t="s">
        <v>11404</v>
      </c>
      <c r="F4360" s="40" t="s">
        <v>11404</v>
      </c>
      <c r="G4360" s="40" t="s">
        <v>11404</v>
      </c>
      <c r="H4360" s="40" t="s">
        <v>11404</v>
      </c>
    </row>
    <row r="4361">
      <c r="A4361" s="39"/>
      <c r="E4361" s="40" t="s">
        <v>11404</v>
      </c>
      <c r="F4361" s="40" t="s">
        <v>11404</v>
      </c>
      <c r="G4361" s="40" t="s">
        <v>11404</v>
      </c>
      <c r="H4361" s="40" t="s">
        <v>11404</v>
      </c>
    </row>
    <row r="4362">
      <c r="A4362" s="39"/>
      <c r="E4362" s="40" t="s">
        <v>11404</v>
      </c>
      <c r="F4362" s="40" t="s">
        <v>11404</v>
      </c>
      <c r="G4362" s="40" t="s">
        <v>11404</v>
      </c>
      <c r="H4362" s="40" t="s">
        <v>11404</v>
      </c>
    </row>
    <row r="4363">
      <c r="A4363" s="39"/>
      <c r="E4363" s="40" t="s">
        <v>11404</v>
      </c>
      <c r="F4363" s="40" t="s">
        <v>11404</v>
      </c>
      <c r="G4363" s="40" t="s">
        <v>11404</v>
      </c>
      <c r="H4363" s="40" t="s">
        <v>11404</v>
      </c>
    </row>
    <row r="4364">
      <c r="A4364" s="39"/>
      <c r="E4364" s="40" t="s">
        <v>11404</v>
      </c>
      <c r="F4364" s="40" t="s">
        <v>11404</v>
      </c>
      <c r="G4364" s="40" t="s">
        <v>11404</v>
      </c>
      <c r="H4364" s="40" t="s">
        <v>11404</v>
      </c>
    </row>
    <row r="4365">
      <c r="A4365" s="39"/>
      <c r="E4365" s="40" t="s">
        <v>11404</v>
      </c>
      <c r="F4365" s="40" t="s">
        <v>11404</v>
      </c>
      <c r="G4365" s="40" t="s">
        <v>11404</v>
      </c>
      <c r="H4365" s="40" t="s">
        <v>11404</v>
      </c>
    </row>
    <row r="4366">
      <c r="A4366" s="39"/>
      <c r="E4366" s="40" t="s">
        <v>11404</v>
      </c>
      <c r="F4366" s="40" t="s">
        <v>11404</v>
      </c>
      <c r="G4366" s="40" t="s">
        <v>11404</v>
      </c>
      <c r="H4366" s="40" t="s">
        <v>11404</v>
      </c>
    </row>
    <row r="4367">
      <c r="A4367" s="39"/>
      <c r="E4367" s="40" t="s">
        <v>11404</v>
      </c>
      <c r="F4367" s="40" t="s">
        <v>11404</v>
      </c>
      <c r="G4367" s="40" t="s">
        <v>11404</v>
      </c>
      <c r="H4367" s="40" t="s">
        <v>11404</v>
      </c>
    </row>
    <row r="4368">
      <c r="A4368" s="39"/>
      <c r="E4368" s="40" t="s">
        <v>11404</v>
      </c>
      <c r="F4368" s="40" t="s">
        <v>11404</v>
      </c>
      <c r="G4368" s="40" t="s">
        <v>11404</v>
      </c>
      <c r="H4368" s="40" t="s">
        <v>11404</v>
      </c>
    </row>
    <row r="4369">
      <c r="A4369" s="39"/>
      <c r="E4369" s="40" t="s">
        <v>11404</v>
      </c>
      <c r="F4369" s="40" t="s">
        <v>11404</v>
      </c>
      <c r="G4369" s="40" t="s">
        <v>11404</v>
      </c>
      <c r="H4369" s="40" t="s">
        <v>11404</v>
      </c>
    </row>
    <row r="4370">
      <c r="A4370" s="39"/>
      <c r="E4370" s="40" t="s">
        <v>11404</v>
      </c>
      <c r="F4370" s="40" t="s">
        <v>11404</v>
      </c>
      <c r="G4370" s="40" t="s">
        <v>11404</v>
      </c>
      <c r="H4370" s="40" t="s">
        <v>11404</v>
      </c>
    </row>
    <row r="4371">
      <c r="A4371" s="39"/>
      <c r="E4371" s="40" t="s">
        <v>11404</v>
      </c>
      <c r="F4371" s="40" t="s">
        <v>11404</v>
      </c>
      <c r="G4371" s="40" t="s">
        <v>11404</v>
      </c>
      <c r="H4371" s="40" t="s">
        <v>11404</v>
      </c>
    </row>
    <row r="4372">
      <c r="A4372" s="39"/>
      <c r="E4372" s="40" t="s">
        <v>11404</v>
      </c>
      <c r="F4372" s="40" t="s">
        <v>11404</v>
      </c>
      <c r="G4372" s="40" t="s">
        <v>11404</v>
      </c>
      <c r="H4372" s="40" t="s">
        <v>11404</v>
      </c>
    </row>
    <row r="4373">
      <c r="A4373" s="39"/>
      <c r="E4373" s="40" t="s">
        <v>11404</v>
      </c>
      <c r="F4373" s="40" t="s">
        <v>11404</v>
      </c>
      <c r="G4373" s="40" t="s">
        <v>11404</v>
      </c>
      <c r="H4373" s="40" t="s">
        <v>11404</v>
      </c>
    </row>
    <row r="4374">
      <c r="A4374" s="39"/>
      <c r="E4374" s="40" t="s">
        <v>11404</v>
      </c>
      <c r="F4374" s="40" t="s">
        <v>11404</v>
      </c>
      <c r="G4374" s="40" t="s">
        <v>11404</v>
      </c>
      <c r="H4374" s="40" t="s">
        <v>11404</v>
      </c>
    </row>
    <row r="4375">
      <c r="A4375" s="39"/>
      <c r="E4375" s="40" t="s">
        <v>11404</v>
      </c>
      <c r="F4375" s="40" t="s">
        <v>11404</v>
      </c>
      <c r="G4375" s="40" t="s">
        <v>11404</v>
      </c>
      <c r="H4375" s="40" t="s">
        <v>11404</v>
      </c>
    </row>
    <row r="4376">
      <c r="A4376" s="39"/>
      <c r="E4376" s="40" t="s">
        <v>11404</v>
      </c>
      <c r="F4376" s="40" t="s">
        <v>11404</v>
      </c>
      <c r="G4376" s="40" t="s">
        <v>11404</v>
      </c>
      <c r="H4376" s="40" t="s">
        <v>11404</v>
      </c>
    </row>
    <row r="4377">
      <c r="A4377" s="39"/>
      <c r="E4377" s="40" t="s">
        <v>11404</v>
      </c>
      <c r="F4377" s="40" t="s">
        <v>11404</v>
      </c>
      <c r="G4377" s="40" t="s">
        <v>11404</v>
      </c>
      <c r="H4377" s="40" t="s">
        <v>11404</v>
      </c>
    </row>
    <row r="4378">
      <c r="A4378" s="39"/>
      <c r="E4378" s="40" t="s">
        <v>11404</v>
      </c>
      <c r="F4378" s="40" t="s">
        <v>11404</v>
      </c>
      <c r="G4378" s="40" t="s">
        <v>11404</v>
      </c>
      <c r="H4378" s="40" t="s">
        <v>11404</v>
      </c>
    </row>
    <row r="4379">
      <c r="A4379" s="39"/>
      <c r="E4379" s="40" t="s">
        <v>11404</v>
      </c>
      <c r="F4379" s="40" t="s">
        <v>11404</v>
      </c>
      <c r="G4379" s="40" t="s">
        <v>11404</v>
      </c>
      <c r="H4379" s="40" t="s">
        <v>11404</v>
      </c>
    </row>
    <row r="4380">
      <c r="A4380" s="39"/>
      <c r="E4380" s="40" t="s">
        <v>11404</v>
      </c>
      <c r="F4380" s="40" t="s">
        <v>11404</v>
      </c>
      <c r="G4380" s="40" t="s">
        <v>11404</v>
      </c>
      <c r="H4380" s="40" t="s">
        <v>11404</v>
      </c>
    </row>
    <row r="4381">
      <c r="A4381" s="39"/>
      <c r="E4381" s="40" t="s">
        <v>11404</v>
      </c>
      <c r="F4381" s="40" t="s">
        <v>11404</v>
      </c>
      <c r="G4381" s="40" t="s">
        <v>11404</v>
      </c>
      <c r="H4381" s="40" t="s">
        <v>11404</v>
      </c>
    </row>
    <row r="4382">
      <c r="A4382" s="39"/>
      <c r="E4382" s="40" t="s">
        <v>11404</v>
      </c>
      <c r="F4382" s="40" t="s">
        <v>11404</v>
      </c>
      <c r="G4382" s="40" t="s">
        <v>11404</v>
      </c>
      <c r="H4382" s="40" t="s">
        <v>11404</v>
      </c>
    </row>
    <row r="4383">
      <c r="A4383" s="39"/>
      <c r="E4383" s="40" t="s">
        <v>11404</v>
      </c>
      <c r="F4383" s="40" t="s">
        <v>11404</v>
      </c>
      <c r="G4383" s="40" t="s">
        <v>11404</v>
      </c>
      <c r="H4383" s="40" t="s">
        <v>11404</v>
      </c>
    </row>
    <row r="4384">
      <c r="A4384" s="39"/>
      <c r="E4384" s="40" t="s">
        <v>11404</v>
      </c>
      <c r="F4384" s="40" t="s">
        <v>11404</v>
      </c>
      <c r="G4384" s="40" t="s">
        <v>11404</v>
      </c>
      <c r="H4384" s="40" t="s">
        <v>11404</v>
      </c>
    </row>
    <row r="4385">
      <c r="A4385" s="39"/>
      <c r="E4385" s="40" t="s">
        <v>11404</v>
      </c>
      <c r="F4385" s="40" t="s">
        <v>11404</v>
      </c>
      <c r="G4385" s="40" t="s">
        <v>11404</v>
      </c>
      <c r="H4385" s="40" t="s">
        <v>11404</v>
      </c>
    </row>
    <row r="4386">
      <c r="A4386" s="39"/>
      <c r="E4386" s="40" t="s">
        <v>11404</v>
      </c>
      <c r="F4386" s="40" t="s">
        <v>11404</v>
      </c>
      <c r="G4386" s="40" t="s">
        <v>11404</v>
      </c>
      <c r="H4386" s="40" t="s">
        <v>11404</v>
      </c>
    </row>
    <row r="4387">
      <c r="A4387" s="39"/>
      <c r="E4387" s="40" t="s">
        <v>11404</v>
      </c>
      <c r="F4387" s="40" t="s">
        <v>11404</v>
      </c>
      <c r="G4387" s="40" t="s">
        <v>11404</v>
      </c>
      <c r="H4387" s="40" t="s">
        <v>11404</v>
      </c>
    </row>
    <row r="4388">
      <c r="A4388" s="39"/>
      <c r="E4388" s="40" t="s">
        <v>11404</v>
      </c>
      <c r="F4388" s="40" t="s">
        <v>11404</v>
      </c>
      <c r="G4388" s="40" t="s">
        <v>11404</v>
      </c>
      <c r="H4388" s="40" t="s">
        <v>11404</v>
      </c>
    </row>
    <row r="4389">
      <c r="A4389" s="39"/>
      <c r="E4389" s="40" t="s">
        <v>11404</v>
      </c>
      <c r="F4389" s="40" t="s">
        <v>11404</v>
      </c>
      <c r="G4389" s="40" t="s">
        <v>11404</v>
      </c>
      <c r="H4389" s="40" t="s">
        <v>11404</v>
      </c>
    </row>
    <row r="4390">
      <c r="A4390" s="39"/>
      <c r="E4390" s="40" t="s">
        <v>11404</v>
      </c>
      <c r="F4390" s="40" t="s">
        <v>11404</v>
      </c>
      <c r="G4390" s="40" t="s">
        <v>11404</v>
      </c>
      <c r="H4390" s="40" t="s">
        <v>11404</v>
      </c>
    </row>
    <row r="4391">
      <c r="A4391" s="39"/>
      <c r="E4391" s="40" t="s">
        <v>11404</v>
      </c>
      <c r="F4391" s="40" t="s">
        <v>11404</v>
      </c>
      <c r="G4391" s="40" t="s">
        <v>11404</v>
      </c>
      <c r="H4391" s="40" t="s">
        <v>11404</v>
      </c>
    </row>
    <row r="4392">
      <c r="A4392" s="39"/>
      <c r="E4392" s="40" t="s">
        <v>11404</v>
      </c>
      <c r="F4392" s="40" t="s">
        <v>11404</v>
      </c>
      <c r="G4392" s="40" t="s">
        <v>11404</v>
      </c>
      <c r="H4392" s="40" t="s">
        <v>11404</v>
      </c>
    </row>
    <row r="4393">
      <c r="A4393" s="39"/>
      <c r="E4393" s="40" t="s">
        <v>11404</v>
      </c>
      <c r="F4393" s="40" t="s">
        <v>11404</v>
      </c>
      <c r="G4393" s="40" t="s">
        <v>11404</v>
      </c>
      <c r="H4393" s="40" t="s">
        <v>11404</v>
      </c>
    </row>
    <row r="4394">
      <c r="A4394" s="39"/>
      <c r="E4394" s="40" t="s">
        <v>11404</v>
      </c>
      <c r="F4394" s="40" t="s">
        <v>11404</v>
      </c>
      <c r="G4394" s="40" t="s">
        <v>11404</v>
      </c>
      <c r="H4394" s="40" t="s">
        <v>11404</v>
      </c>
    </row>
    <row r="4395">
      <c r="A4395" s="39"/>
      <c r="E4395" s="40" t="s">
        <v>11404</v>
      </c>
      <c r="F4395" s="40" t="s">
        <v>11404</v>
      </c>
      <c r="G4395" s="40" t="s">
        <v>11404</v>
      </c>
      <c r="H4395" s="40" t="s">
        <v>11404</v>
      </c>
    </row>
    <row r="4396">
      <c r="A4396" s="39"/>
      <c r="E4396" s="40" t="s">
        <v>11404</v>
      </c>
      <c r="F4396" s="40" t="s">
        <v>11404</v>
      </c>
      <c r="G4396" s="40" t="s">
        <v>11404</v>
      </c>
      <c r="H4396" s="40" t="s">
        <v>11404</v>
      </c>
    </row>
    <row r="4397">
      <c r="A4397" s="39"/>
      <c r="E4397" s="40" t="s">
        <v>11404</v>
      </c>
      <c r="F4397" s="40" t="s">
        <v>11404</v>
      </c>
      <c r="G4397" s="40" t="s">
        <v>11404</v>
      </c>
      <c r="H4397" s="40" t="s">
        <v>11404</v>
      </c>
    </row>
    <row r="4398">
      <c r="A4398" s="39"/>
      <c r="E4398" s="40" t="s">
        <v>11404</v>
      </c>
      <c r="F4398" s="40" t="s">
        <v>11404</v>
      </c>
      <c r="G4398" s="40" t="s">
        <v>11404</v>
      </c>
      <c r="H4398" s="40" t="s">
        <v>11404</v>
      </c>
    </row>
    <row r="4399">
      <c r="A4399" s="39"/>
      <c r="E4399" s="40" t="s">
        <v>11404</v>
      </c>
      <c r="F4399" s="40" t="s">
        <v>11404</v>
      </c>
      <c r="G4399" s="40" t="s">
        <v>11404</v>
      </c>
      <c r="H4399" s="40" t="s">
        <v>11404</v>
      </c>
    </row>
    <row r="4400">
      <c r="A4400" s="39"/>
      <c r="E4400" s="40" t="s">
        <v>11404</v>
      </c>
      <c r="F4400" s="40" t="s">
        <v>11404</v>
      </c>
      <c r="G4400" s="40" t="s">
        <v>11404</v>
      </c>
      <c r="H4400" s="40" t="s">
        <v>11404</v>
      </c>
    </row>
    <row r="4401">
      <c r="A4401" s="39"/>
      <c r="E4401" s="40" t="s">
        <v>11404</v>
      </c>
      <c r="F4401" s="40" t="s">
        <v>11404</v>
      </c>
      <c r="G4401" s="40" t="s">
        <v>11404</v>
      </c>
      <c r="H4401" s="40" t="s">
        <v>11404</v>
      </c>
    </row>
    <row r="4402">
      <c r="A4402" s="39"/>
      <c r="E4402" s="40" t="s">
        <v>11404</v>
      </c>
      <c r="F4402" s="40" t="s">
        <v>11404</v>
      </c>
      <c r="G4402" s="40" t="s">
        <v>11404</v>
      </c>
      <c r="H4402" s="40" t="s">
        <v>11404</v>
      </c>
    </row>
    <row r="4403">
      <c r="A4403" s="39"/>
      <c r="E4403" s="40" t="s">
        <v>11404</v>
      </c>
      <c r="F4403" s="40" t="s">
        <v>11404</v>
      </c>
      <c r="G4403" s="40" t="s">
        <v>11404</v>
      </c>
      <c r="H4403" s="40" t="s">
        <v>11404</v>
      </c>
    </row>
    <row r="4404">
      <c r="A4404" s="39"/>
      <c r="E4404" s="40" t="s">
        <v>11404</v>
      </c>
      <c r="F4404" s="40" t="s">
        <v>11404</v>
      </c>
      <c r="G4404" s="40" t="s">
        <v>11404</v>
      </c>
      <c r="H4404" s="40" t="s">
        <v>11404</v>
      </c>
    </row>
    <row r="4405">
      <c r="A4405" s="39"/>
      <c r="E4405" s="40" t="s">
        <v>11404</v>
      </c>
      <c r="F4405" s="40" t="s">
        <v>11404</v>
      </c>
      <c r="G4405" s="40" t="s">
        <v>11404</v>
      </c>
      <c r="H4405" s="40" t="s">
        <v>11404</v>
      </c>
    </row>
    <row r="4406">
      <c r="A4406" s="39"/>
      <c r="E4406" s="40" t="s">
        <v>11404</v>
      </c>
      <c r="F4406" s="40" t="s">
        <v>11404</v>
      </c>
      <c r="G4406" s="40" t="s">
        <v>11404</v>
      </c>
      <c r="H4406" s="40" t="s">
        <v>11404</v>
      </c>
    </row>
    <row r="4407">
      <c r="A4407" s="39"/>
      <c r="E4407" s="40" t="s">
        <v>11404</v>
      </c>
      <c r="F4407" s="40" t="s">
        <v>11404</v>
      </c>
      <c r="G4407" s="40" t="s">
        <v>11404</v>
      </c>
      <c r="H4407" s="40" t="s">
        <v>11404</v>
      </c>
    </row>
    <row r="4408">
      <c r="A4408" s="39"/>
      <c r="E4408" s="40" t="s">
        <v>11404</v>
      </c>
      <c r="F4408" s="40" t="s">
        <v>11404</v>
      </c>
      <c r="G4408" s="40" t="s">
        <v>11404</v>
      </c>
      <c r="H4408" s="40" t="s">
        <v>11404</v>
      </c>
    </row>
    <row r="4409">
      <c r="A4409" s="39"/>
      <c r="E4409" s="40" t="s">
        <v>11404</v>
      </c>
      <c r="F4409" s="40" t="s">
        <v>11404</v>
      </c>
      <c r="G4409" s="40" t="s">
        <v>11404</v>
      </c>
      <c r="H4409" s="40" t="s">
        <v>11404</v>
      </c>
    </row>
    <row r="4410">
      <c r="A4410" s="39"/>
      <c r="E4410" s="40" t="s">
        <v>11404</v>
      </c>
      <c r="F4410" s="40" t="s">
        <v>11404</v>
      </c>
      <c r="G4410" s="40" t="s">
        <v>11404</v>
      </c>
      <c r="H4410" s="40" t="s">
        <v>11404</v>
      </c>
    </row>
    <row r="4411">
      <c r="A4411" s="39"/>
      <c r="E4411" s="40" t="s">
        <v>11404</v>
      </c>
      <c r="F4411" s="40" t="s">
        <v>11404</v>
      </c>
      <c r="G4411" s="40" t="s">
        <v>11404</v>
      </c>
      <c r="H4411" s="40" t="s">
        <v>11404</v>
      </c>
    </row>
    <row r="4412">
      <c r="A4412" s="39"/>
      <c r="E4412" s="40" t="s">
        <v>11404</v>
      </c>
      <c r="F4412" s="40" t="s">
        <v>11404</v>
      </c>
      <c r="G4412" s="40" t="s">
        <v>11404</v>
      </c>
      <c r="H4412" s="40" t="s">
        <v>11404</v>
      </c>
    </row>
    <row r="4413">
      <c r="A4413" s="39"/>
      <c r="E4413" s="40" t="s">
        <v>11404</v>
      </c>
      <c r="F4413" s="40" t="s">
        <v>11404</v>
      </c>
      <c r="G4413" s="40" t="s">
        <v>11404</v>
      </c>
      <c r="H4413" s="40" t="s">
        <v>11404</v>
      </c>
    </row>
    <row r="4414">
      <c r="A4414" s="39"/>
      <c r="E4414" s="40" t="s">
        <v>11404</v>
      </c>
      <c r="F4414" s="40" t="s">
        <v>11404</v>
      </c>
      <c r="G4414" s="40" t="s">
        <v>11404</v>
      </c>
      <c r="H4414" s="40" t="s">
        <v>11404</v>
      </c>
    </row>
    <row r="4415">
      <c r="A4415" s="39"/>
      <c r="E4415" s="40" t="s">
        <v>11404</v>
      </c>
      <c r="F4415" s="40" t="s">
        <v>11404</v>
      </c>
      <c r="G4415" s="40" t="s">
        <v>11404</v>
      </c>
      <c r="H4415" s="40" t="s">
        <v>11404</v>
      </c>
    </row>
    <row r="4416">
      <c r="A4416" s="39"/>
      <c r="E4416" s="40" t="s">
        <v>11404</v>
      </c>
      <c r="F4416" s="40" t="s">
        <v>11404</v>
      </c>
      <c r="G4416" s="40" t="s">
        <v>11404</v>
      </c>
      <c r="H4416" s="40" t="s">
        <v>11404</v>
      </c>
    </row>
    <row r="4417">
      <c r="A4417" s="39"/>
      <c r="E4417" s="40" t="s">
        <v>11404</v>
      </c>
      <c r="F4417" s="40" t="s">
        <v>11404</v>
      </c>
      <c r="G4417" s="40" t="s">
        <v>11404</v>
      </c>
      <c r="H4417" s="40" t="s">
        <v>11404</v>
      </c>
    </row>
    <row r="4418">
      <c r="A4418" s="39"/>
      <c r="E4418" s="40" t="s">
        <v>11404</v>
      </c>
      <c r="F4418" s="40" t="s">
        <v>11404</v>
      </c>
      <c r="G4418" s="40" t="s">
        <v>11404</v>
      </c>
      <c r="H4418" s="40" t="s">
        <v>11404</v>
      </c>
    </row>
    <row r="4419">
      <c r="A4419" s="39"/>
      <c r="E4419" s="40" t="s">
        <v>11404</v>
      </c>
      <c r="F4419" s="40" t="s">
        <v>11404</v>
      </c>
      <c r="G4419" s="40" t="s">
        <v>11404</v>
      </c>
      <c r="H4419" s="40" t="s">
        <v>11404</v>
      </c>
    </row>
    <row r="4420">
      <c r="A4420" s="39"/>
      <c r="E4420" s="40" t="s">
        <v>11404</v>
      </c>
      <c r="F4420" s="40" t="s">
        <v>11404</v>
      </c>
      <c r="G4420" s="40" t="s">
        <v>11404</v>
      </c>
      <c r="H4420" s="40" t="s">
        <v>11404</v>
      </c>
    </row>
    <row r="4421">
      <c r="A4421" s="39"/>
      <c r="E4421" s="40" t="s">
        <v>11404</v>
      </c>
      <c r="F4421" s="40" t="s">
        <v>11404</v>
      </c>
      <c r="G4421" s="40" t="s">
        <v>11404</v>
      </c>
      <c r="H4421" s="40" t="s">
        <v>11404</v>
      </c>
    </row>
    <row r="4422">
      <c r="A4422" s="39"/>
      <c r="E4422" s="40" t="s">
        <v>11404</v>
      </c>
      <c r="F4422" s="40" t="s">
        <v>11404</v>
      </c>
      <c r="G4422" s="40" t="s">
        <v>11404</v>
      </c>
      <c r="H4422" s="40" t="s">
        <v>11404</v>
      </c>
    </row>
    <row r="4423">
      <c r="A4423" s="39"/>
      <c r="E4423" s="40" t="s">
        <v>11404</v>
      </c>
      <c r="F4423" s="40" t="s">
        <v>11404</v>
      </c>
      <c r="G4423" s="40" t="s">
        <v>11404</v>
      </c>
      <c r="H4423" s="40" t="s">
        <v>11404</v>
      </c>
    </row>
    <row r="4424">
      <c r="A4424" s="39"/>
      <c r="E4424" s="40" t="s">
        <v>11404</v>
      </c>
      <c r="F4424" s="40" t="s">
        <v>11404</v>
      </c>
      <c r="G4424" s="40" t="s">
        <v>11404</v>
      </c>
      <c r="H4424" s="40" t="s">
        <v>11404</v>
      </c>
    </row>
    <row r="4425">
      <c r="A4425" s="39"/>
      <c r="E4425" s="40" t="s">
        <v>11404</v>
      </c>
      <c r="F4425" s="40" t="s">
        <v>11404</v>
      </c>
      <c r="G4425" s="40" t="s">
        <v>11404</v>
      </c>
      <c r="H4425" s="40" t="s">
        <v>11404</v>
      </c>
    </row>
    <row r="4426">
      <c r="A4426" s="39"/>
      <c r="E4426" s="40" t="s">
        <v>11404</v>
      </c>
      <c r="F4426" s="40" t="s">
        <v>11404</v>
      </c>
      <c r="G4426" s="40" t="s">
        <v>11404</v>
      </c>
      <c r="H4426" s="40" t="s">
        <v>11404</v>
      </c>
    </row>
    <row r="4427">
      <c r="A4427" s="39"/>
      <c r="E4427" s="40" t="s">
        <v>11404</v>
      </c>
      <c r="F4427" s="40" t="s">
        <v>11404</v>
      </c>
      <c r="G4427" s="40" t="s">
        <v>11404</v>
      </c>
      <c r="H4427" s="40" t="s">
        <v>11404</v>
      </c>
    </row>
    <row r="4428">
      <c r="A4428" s="39"/>
      <c r="E4428" s="40" t="s">
        <v>11404</v>
      </c>
      <c r="F4428" s="40" t="s">
        <v>11404</v>
      </c>
      <c r="G4428" s="40" t="s">
        <v>11404</v>
      </c>
      <c r="H4428" s="40" t="s">
        <v>11404</v>
      </c>
    </row>
    <row r="4429">
      <c r="A4429" s="39"/>
      <c r="E4429" s="40" t="s">
        <v>11404</v>
      </c>
      <c r="F4429" s="40" t="s">
        <v>11404</v>
      </c>
      <c r="G4429" s="40" t="s">
        <v>11404</v>
      </c>
      <c r="H4429" s="40" t="s">
        <v>11404</v>
      </c>
    </row>
    <row r="4430">
      <c r="A4430" s="39"/>
      <c r="E4430" s="40" t="s">
        <v>11404</v>
      </c>
      <c r="F4430" s="40" t="s">
        <v>11404</v>
      </c>
      <c r="G4430" s="40" t="s">
        <v>11404</v>
      </c>
      <c r="H4430" s="40" t="s">
        <v>11404</v>
      </c>
    </row>
    <row r="4431">
      <c r="A4431" s="39"/>
      <c r="E4431" s="40" t="s">
        <v>11404</v>
      </c>
      <c r="F4431" s="40" t="s">
        <v>11404</v>
      </c>
      <c r="G4431" s="40" t="s">
        <v>11404</v>
      </c>
      <c r="H4431" s="40" t="s">
        <v>11404</v>
      </c>
    </row>
    <row r="4432">
      <c r="A4432" s="39"/>
      <c r="E4432" s="40" t="s">
        <v>11404</v>
      </c>
      <c r="F4432" s="40" t="s">
        <v>11404</v>
      </c>
      <c r="G4432" s="40" t="s">
        <v>11404</v>
      </c>
      <c r="H4432" s="40" t="s">
        <v>11404</v>
      </c>
    </row>
    <row r="4433">
      <c r="A4433" s="39"/>
      <c r="E4433" s="40" t="s">
        <v>11404</v>
      </c>
      <c r="F4433" s="40" t="s">
        <v>11404</v>
      </c>
      <c r="G4433" s="40" t="s">
        <v>11404</v>
      </c>
      <c r="H4433" s="40" t="s">
        <v>11404</v>
      </c>
    </row>
    <row r="4434">
      <c r="A4434" s="39"/>
      <c r="E4434" s="40" t="s">
        <v>11404</v>
      </c>
      <c r="F4434" s="40" t="s">
        <v>11404</v>
      </c>
      <c r="G4434" s="40" t="s">
        <v>11404</v>
      </c>
      <c r="H4434" s="40" t="s">
        <v>11404</v>
      </c>
    </row>
    <row r="4435">
      <c r="A4435" s="39"/>
      <c r="E4435" s="40" t="s">
        <v>11404</v>
      </c>
      <c r="F4435" s="40" t="s">
        <v>11404</v>
      </c>
      <c r="G4435" s="40" t="s">
        <v>11404</v>
      </c>
      <c r="H4435" s="40" t="s">
        <v>11404</v>
      </c>
    </row>
    <row r="4436">
      <c r="A4436" s="39"/>
      <c r="E4436" s="40" t="s">
        <v>11404</v>
      </c>
      <c r="F4436" s="40" t="s">
        <v>11404</v>
      </c>
      <c r="G4436" s="40" t="s">
        <v>11404</v>
      </c>
      <c r="H4436" s="40" t="s">
        <v>11404</v>
      </c>
    </row>
    <row r="4437">
      <c r="A4437" s="39"/>
      <c r="E4437" s="40" t="s">
        <v>11404</v>
      </c>
      <c r="F4437" s="40" t="s">
        <v>11404</v>
      </c>
      <c r="G4437" s="40" t="s">
        <v>11404</v>
      </c>
      <c r="H4437" s="40" t="s">
        <v>11404</v>
      </c>
    </row>
    <row r="4438">
      <c r="A4438" s="39"/>
      <c r="E4438" s="40" t="s">
        <v>11404</v>
      </c>
      <c r="F4438" s="40" t="s">
        <v>11404</v>
      </c>
      <c r="G4438" s="40" t="s">
        <v>11404</v>
      </c>
      <c r="H4438" s="40" t="s">
        <v>11404</v>
      </c>
    </row>
    <row r="4439">
      <c r="A4439" s="39"/>
      <c r="E4439" s="40" t="s">
        <v>11404</v>
      </c>
      <c r="F4439" s="40" t="s">
        <v>11404</v>
      </c>
      <c r="G4439" s="40" t="s">
        <v>11404</v>
      </c>
      <c r="H4439" s="40" t="s">
        <v>11404</v>
      </c>
    </row>
    <row r="4440">
      <c r="A4440" s="39"/>
      <c r="E4440" s="40" t="s">
        <v>11404</v>
      </c>
      <c r="F4440" s="40" t="s">
        <v>11404</v>
      </c>
      <c r="G4440" s="40" t="s">
        <v>11404</v>
      </c>
      <c r="H4440" s="40" t="s">
        <v>11404</v>
      </c>
    </row>
    <row r="4441">
      <c r="A4441" s="39"/>
      <c r="E4441" s="40" t="s">
        <v>11404</v>
      </c>
      <c r="F4441" s="40" t="s">
        <v>11404</v>
      </c>
      <c r="G4441" s="40" t="s">
        <v>11404</v>
      </c>
      <c r="H4441" s="40" t="s">
        <v>11404</v>
      </c>
    </row>
    <row r="4442">
      <c r="A4442" s="39"/>
      <c r="E4442" s="40" t="s">
        <v>11404</v>
      </c>
      <c r="F4442" s="40" t="s">
        <v>11404</v>
      </c>
      <c r="G4442" s="40" t="s">
        <v>11404</v>
      </c>
      <c r="H4442" s="40" t="s">
        <v>11404</v>
      </c>
    </row>
    <row r="4443">
      <c r="A4443" s="39"/>
      <c r="E4443" s="40" t="s">
        <v>11404</v>
      </c>
      <c r="F4443" s="40" t="s">
        <v>11404</v>
      </c>
      <c r="G4443" s="40" t="s">
        <v>11404</v>
      </c>
      <c r="H4443" s="40" t="s">
        <v>11404</v>
      </c>
    </row>
    <row r="4444">
      <c r="A4444" s="39"/>
      <c r="E4444" s="40" t="s">
        <v>11404</v>
      </c>
      <c r="F4444" s="40" t="s">
        <v>11404</v>
      </c>
      <c r="G4444" s="40" t="s">
        <v>11404</v>
      </c>
      <c r="H4444" s="40" t="s">
        <v>11404</v>
      </c>
    </row>
    <row r="4445">
      <c r="A4445" s="39"/>
      <c r="E4445" s="40" t="s">
        <v>11404</v>
      </c>
      <c r="F4445" s="40" t="s">
        <v>11404</v>
      </c>
      <c r="G4445" s="40" t="s">
        <v>11404</v>
      </c>
      <c r="H4445" s="40" t="s">
        <v>11404</v>
      </c>
    </row>
    <row r="4446">
      <c r="A4446" s="39"/>
      <c r="E4446" s="40" t="s">
        <v>11404</v>
      </c>
      <c r="F4446" s="40" t="s">
        <v>11404</v>
      </c>
      <c r="G4446" s="40" t="s">
        <v>11404</v>
      </c>
      <c r="H4446" s="40" t="s">
        <v>11404</v>
      </c>
    </row>
    <row r="4447">
      <c r="A4447" s="39"/>
      <c r="E4447" s="40" t="s">
        <v>11404</v>
      </c>
      <c r="F4447" s="40" t="s">
        <v>11404</v>
      </c>
      <c r="G4447" s="40" t="s">
        <v>11404</v>
      </c>
      <c r="H4447" s="40" t="s">
        <v>11404</v>
      </c>
    </row>
    <row r="4448">
      <c r="A4448" s="39"/>
      <c r="E4448" s="40" t="s">
        <v>11404</v>
      </c>
      <c r="F4448" s="40" t="s">
        <v>11404</v>
      </c>
      <c r="G4448" s="40" t="s">
        <v>11404</v>
      </c>
      <c r="H4448" s="40" t="s">
        <v>11404</v>
      </c>
    </row>
    <row r="4449">
      <c r="A4449" s="39"/>
      <c r="E4449" s="40" t="s">
        <v>11404</v>
      </c>
      <c r="F4449" s="40" t="s">
        <v>11404</v>
      </c>
      <c r="G4449" s="40" t="s">
        <v>11404</v>
      </c>
      <c r="H4449" s="40" t="s">
        <v>11404</v>
      </c>
    </row>
    <row r="4450">
      <c r="A4450" s="39"/>
      <c r="E4450" s="40" t="s">
        <v>11404</v>
      </c>
      <c r="F4450" s="40" t="s">
        <v>11404</v>
      </c>
      <c r="G4450" s="40" t="s">
        <v>11404</v>
      </c>
      <c r="H4450" s="40" t="s">
        <v>11404</v>
      </c>
    </row>
    <row r="4451">
      <c r="A4451" s="39"/>
      <c r="E4451" s="40" t="s">
        <v>11404</v>
      </c>
      <c r="F4451" s="40" t="s">
        <v>11404</v>
      </c>
      <c r="G4451" s="40" t="s">
        <v>11404</v>
      </c>
      <c r="H4451" s="40" t="s">
        <v>11404</v>
      </c>
    </row>
    <row r="4452">
      <c r="A4452" s="39"/>
      <c r="E4452" s="40" t="s">
        <v>11404</v>
      </c>
      <c r="F4452" s="40" t="s">
        <v>11404</v>
      </c>
      <c r="G4452" s="40" t="s">
        <v>11404</v>
      </c>
      <c r="H4452" s="40" t="s">
        <v>11404</v>
      </c>
    </row>
    <row r="4453">
      <c r="A4453" s="39"/>
      <c r="E4453" s="40" t="s">
        <v>11404</v>
      </c>
      <c r="F4453" s="40" t="s">
        <v>11404</v>
      </c>
      <c r="G4453" s="40" t="s">
        <v>11404</v>
      </c>
      <c r="H4453" s="40" t="s">
        <v>11404</v>
      </c>
    </row>
    <row r="4454">
      <c r="A4454" s="39"/>
      <c r="E4454" s="40" t="s">
        <v>11404</v>
      </c>
      <c r="F4454" s="40" t="s">
        <v>11404</v>
      </c>
      <c r="G4454" s="40" t="s">
        <v>11404</v>
      </c>
      <c r="H4454" s="40" t="s">
        <v>11404</v>
      </c>
    </row>
    <row r="4455">
      <c r="A4455" s="39"/>
      <c r="E4455" s="40" t="s">
        <v>11404</v>
      </c>
      <c r="F4455" s="40" t="s">
        <v>11404</v>
      </c>
      <c r="G4455" s="40" t="s">
        <v>11404</v>
      </c>
      <c r="H4455" s="40" t="s">
        <v>11404</v>
      </c>
    </row>
    <row r="4456">
      <c r="A4456" s="39"/>
      <c r="E4456" s="40" t="s">
        <v>11404</v>
      </c>
      <c r="F4456" s="40" t="s">
        <v>11404</v>
      </c>
      <c r="G4456" s="40" t="s">
        <v>11404</v>
      </c>
      <c r="H4456" s="40" t="s">
        <v>11404</v>
      </c>
    </row>
    <row r="4457">
      <c r="A4457" s="39"/>
      <c r="E4457" s="40" t="s">
        <v>11404</v>
      </c>
      <c r="F4457" s="40" t="s">
        <v>11404</v>
      </c>
      <c r="G4457" s="40" t="s">
        <v>11404</v>
      </c>
      <c r="H4457" s="40" t="s">
        <v>11404</v>
      </c>
    </row>
    <row r="4458">
      <c r="A4458" s="39"/>
      <c r="E4458" s="40" t="s">
        <v>11404</v>
      </c>
      <c r="F4458" s="40" t="s">
        <v>11404</v>
      </c>
      <c r="G4458" s="40" t="s">
        <v>11404</v>
      </c>
      <c r="H4458" s="40" t="s">
        <v>11404</v>
      </c>
    </row>
    <row r="4459">
      <c r="A4459" s="39"/>
      <c r="E4459" s="40" t="s">
        <v>11404</v>
      </c>
      <c r="F4459" s="40" t="s">
        <v>11404</v>
      </c>
      <c r="G4459" s="40" t="s">
        <v>11404</v>
      </c>
      <c r="H4459" s="40" t="s">
        <v>11404</v>
      </c>
    </row>
    <row r="4460">
      <c r="A4460" s="39"/>
      <c r="E4460" s="40" t="s">
        <v>11404</v>
      </c>
      <c r="F4460" s="40" t="s">
        <v>11404</v>
      </c>
      <c r="G4460" s="40" t="s">
        <v>11404</v>
      </c>
      <c r="H4460" s="40" t="s">
        <v>11404</v>
      </c>
    </row>
    <row r="4461">
      <c r="A4461" s="39"/>
      <c r="E4461" s="40" t="s">
        <v>11404</v>
      </c>
      <c r="F4461" s="40" t="s">
        <v>11404</v>
      </c>
      <c r="G4461" s="40" t="s">
        <v>11404</v>
      </c>
      <c r="H4461" s="40" t="s">
        <v>11404</v>
      </c>
    </row>
    <row r="4462">
      <c r="A4462" s="39"/>
      <c r="E4462" s="40" t="s">
        <v>11404</v>
      </c>
      <c r="F4462" s="40" t="s">
        <v>11404</v>
      </c>
      <c r="G4462" s="40" t="s">
        <v>11404</v>
      </c>
      <c r="H4462" s="40" t="s">
        <v>11404</v>
      </c>
    </row>
    <row r="4463">
      <c r="A4463" s="39"/>
      <c r="E4463" s="40" t="s">
        <v>11404</v>
      </c>
      <c r="F4463" s="40" t="s">
        <v>11404</v>
      </c>
      <c r="G4463" s="40" t="s">
        <v>11404</v>
      </c>
      <c r="H4463" s="40" t="s">
        <v>11404</v>
      </c>
    </row>
    <row r="4464">
      <c r="A4464" s="39"/>
      <c r="E4464" s="40" t="s">
        <v>11404</v>
      </c>
      <c r="F4464" s="40" t="s">
        <v>11404</v>
      </c>
      <c r="G4464" s="40" t="s">
        <v>11404</v>
      </c>
      <c r="H4464" s="40" t="s">
        <v>11404</v>
      </c>
    </row>
    <row r="4465">
      <c r="A4465" s="39"/>
      <c r="E4465" s="40" t="s">
        <v>11404</v>
      </c>
      <c r="F4465" s="40" t="s">
        <v>11404</v>
      </c>
      <c r="G4465" s="40" t="s">
        <v>11404</v>
      </c>
      <c r="H4465" s="40" t="s">
        <v>11404</v>
      </c>
    </row>
    <row r="4466">
      <c r="A4466" s="39"/>
      <c r="E4466" s="40" t="s">
        <v>11404</v>
      </c>
      <c r="F4466" s="40" t="s">
        <v>11404</v>
      </c>
      <c r="G4466" s="40" t="s">
        <v>11404</v>
      </c>
      <c r="H4466" s="40" t="s">
        <v>11404</v>
      </c>
    </row>
    <row r="4467">
      <c r="A4467" s="39"/>
      <c r="E4467" s="40" t="s">
        <v>11404</v>
      </c>
      <c r="F4467" s="40" t="s">
        <v>11404</v>
      </c>
      <c r="G4467" s="40" t="s">
        <v>11404</v>
      </c>
      <c r="H4467" s="40" t="s">
        <v>11404</v>
      </c>
    </row>
    <row r="4468">
      <c r="A4468" s="39"/>
      <c r="E4468" s="40" t="s">
        <v>11404</v>
      </c>
      <c r="F4468" s="40" t="s">
        <v>11404</v>
      </c>
      <c r="G4468" s="40" t="s">
        <v>11404</v>
      </c>
      <c r="H4468" s="40" t="s">
        <v>11404</v>
      </c>
    </row>
    <row r="4469">
      <c r="A4469" s="39"/>
      <c r="E4469" s="40" t="s">
        <v>11404</v>
      </c>
      <c r="F4469" s="40" t="s">
        <v>11404</v>
      </c>
      <c r="G4469" s="40" t="s">
        <v>11404</v>
      </c>
      <c r="H4469" s="40" t="s">
        <v>11404</v>
      </c>
    </row>
    <row r="4470">
      <c r="A4470" s="39"/>
      <c r="E4470" s="40" t="s">
        <v>11404</v>
      </c>
      <c r="F4470" s="40" t="s">
        <v>11404</v>
      </c>
      <c r="G4470" s="40" t="s">
        <v>11404</v>
      </c>
      <c r="H4470" s="40" t="s">
        <v>11404</v>
      </c>
    </row>
    <row r="4471">
      <c r="A4471" s="39"/>
      <c r="E4471" s="40" t="s">
        <v>11404</v>
      </c>
      <c r="F4471" s="40" t="s">
        <v>11404</v>
      </c>
      <c r="G4471" s="40" t="s">
        <v>11404</v>
      </c>
      <c r="H4471" s="40" t="s">
        <v>11404</v>
      </c>
    </row>
    <row r="4472">
      <c r="A4472" s="39"/>
      <c r="E4472" s="40" t="s">
        <v>11404</v>
      </c>
      <c r="F4472" s="40" t="s">
        <v>11404</v>
      </c>
      <c r="G4472" s="40" t="s">
        <v>11404</v>
      </c>
      <c r="H4472" s="40" t="s">
        <v>11404</v>
      </c>
    </row>
    <row r="4473">
      <c r="A4473" s="39"/>
      <c r="E4473" s="40" t="s">
        <v>11404</v>
      </c>
      <c r="F4473" s="40" t="s">
        <v>11404</v>
      </c>
      <c r="G4473" s="40" t="s">
        <v>11404</v>
      </c>
      <c r="H4473" s="40" t="s">
        <v>11404</v>
      </c>
    </row>
    <row r="4474">
      <c r="A4474" s="39"/>
      <c r="E4474" s="40" t="s">
        <v>11404</v>
      </c>
      <c r="F4474" s="40" t="s">
        <v>11404</v>
      </c>
      <c r="G4474" s="40" t="s">
        <v>11404</v>
      </c>
      <c r="H4474" s="40" t="s">
        <v>11404</v>
      </c>
    </row>
    <row r="4475">
      <c r="A4475" s="39"/>
      <c r="E4475" s="40" t="s">
        <v>11404</v>
      </c>
      <c r="F4475" s="40" t="s">
        <v>11404</v>
      </c>
      <c r="G4475" s="40" t="s">
        <v>11404</v>
      </c>
      <c r="H4475" s="40" t="s">
        <v>11404</v>
      </c>
    </row>
    <row r="4476">
      <c r="A4476" s="39"/>
      <c r="E4476" s="40" t="s">
        <v>11404</v>
      </c>
      <c r="F4476" s="40" t="s">
        <v>11404</v>
      </c>
      <c r="G4476" s="40" t="s">
        <v>11404</v>
      </c>
      <c r="H4476" s="40" t="s">
        <v>11404</v>
      </c>
    </row>
    <row r="4477">
      <c r="A4477" s="39"/>
      <c r="E4477" s="40" t="s">
        <v>11404</v>
      </c>
      <c r="F4477" s="40" t="s">
        <v>11404</v>
      </c>
      <c r="G4477" s="40" t="s">
        <v>11404</v>
      </c>
      <c r="H4477" s="40" t="s">
        <v>11404</v>
      </c>
    </row>
    <row r="4478">
      <c r="A4478" s="39"/>
      <c r="E4478" s="40" t="s">
        <v>11404</v>
      </c>
      <c r="F4478" s="40" t="s">
        <v>11404</v>
      </c>
      <c r="G4478" s="40" t="s">
        <v>11404</v>
      </c>
      <c r="H4478" s="40" t="s">
        <v>11404</v>
      </c>
    </row>
    <row r="4479">
      <c r="A4479" s="39"/>
      <c r="E4479" s="40" t="s">
        <v>11404</v>
      </c>
      <c r="F4479" s="40" t="s">
        <v>11404</v>
      </c>
      <c r="G4479" s="40" t="s">
        <v>11404</v>
      </c>
      <c r="H4479" s="40" t="s">
        <v>11404</v>
      </c>
    </row>
    <row r="4480">
      <c r="A4480" s="39"/>
      <c r="E4480" s="40" t="s">
        <v>11404</v>
      </c>
      <c r="F4480" s="40" t="s">
        <v>11404</v>
      </c>
      <c r="G4480" s="40" t="s">
        <v>11404</v>
      </c>
      <c r="H4480" s="40" t="s">
        <v>11404</v>
      </c>
    </row>
    <row r="4481">
      <c r="A4481" s="39"/>
      <c r="E4481" s="40" t="s">
        <v>11404</v>
      </c>
      <c r="F4481" s="40" t="s">
        <v>11404</v>
      </c>
      <c r="G4481" s="40" t="s">
        <v>11404</v>
      </c>
      <c r="H4481" s="40" t="s">
        <v>11404</v>
      </c>
    </row>
    <row r="4482">
      <c r="A4482" s="39"/>
      <c r="E4482" s="40" t="s">
        <v>11404</v>
      </c>
      <c r="F4482" s="40" t="s">
        <v>11404</v>
      </c>
      <c r="G4482" s="40" t="s">
        <v>11404</v>
      </c>
      <c r="H4482" s="40" t="s">
        <v>11404</v>
      </c>
    </row>
    <row r="4483">
      <c r="A4483" s="39"/>
      <c r="E4483" s="40" t="s">
        <v>11404</v>
      </c>
      <c r="F4483" s="40" t="s">
        <v>11404</v>
      </c>
      <c r="G4483" s="40" t="s">
        <v>11404</v>
      </c>
      <c r="H4483" s="40" t="s">
        <v>11404</v>
      </c>
    </row>
    <row r="4484">
      <c r="A4484" s="39"/>
      <c r="E4484" s="40" t="s">
        <v>11404</v>
      </c>
      <c r="F4484" s="40" t="s">
        <v>11404</v>
      </c>
      <c r="G4484" s="40" t="s">
        <v>11404</v>
      </c>
      <c r="H4484" s="40" t="s">
        <v>11404</v>
      </c>
    </row>
    <row r="4485">
      <c r="A4485" s="39"/>
      <c r="E4485" s="40" t="s">
        <v>11404</v>
      </c>
      <c r="F4485" s="40" t="s">
        <v>11404</v>
      </c>
      <c r="G4485" s="40" t="s">
        <v>11404</v>
      </c>
      <c r="H4485" s="40" t="s">
        <v>11404</v>
      </c>
    </row>
    <row r="4486">
      <c r="A4486" s="39"/>
      <c r="E4486" s="40" t="s">
        <v>11404</v>
      </c>
      <c r="F4486" s="40" t="s">
        <v>11404</v>
      </c>
      <c r="G4486" s="40" t="s">
        <v>11404</v>
      </c>
      <c r="H4486" s="40" t="s">
        <v>11404</v>
      </c>
    </row>
    <row r="4487">
      <c r="A4487" s="39"/>
      <c r="E4487" s="40" t="s">
        <v>11404</v>
      </c>
      <c r="F4487" s="40" t="s">
        <v>11404</v>
      </c>
      <c r="G4487" s="40" t="s">
        <v>11404</v>
      </c>
      <c r="H4487" s="40" t="s">
        <v>11404</v>
      </c>
    </row>
    <row r="4488">
      <c r="A4488" s="39"/>
      <c r="E4488" s="40" t="s">
        <v>11404</v>
      </c>
      <c r="F4488" s="40" t="s">
        <v>11404</v>
      </c>
      <c r="G4488" s="40" t="s">
        <v>11404</v>
      </c>
      <c r="H4488" s="40" t="s">
        <v>11404</v>
      </c>
    </row>
    <row r="4489">
      <c r="A4489" s="39"/>
      <c r="E4489" s="40" t="s">
        <v>11404</v>
      </c>
      <c r="F4489" s="40" t="s">
        <v>11404</v>
      </c>
      <c r="G4489" s="40" t="s">
        <v>11404</v>
      </c>
      <c r="H4489" s="40" t="s">
        <v>11404</v>
      </c>
    </row>
    <row r="4490">
      <c r="A4490" s="39"/>
      <c r="E4490" s="40" t="s">
        <v>11404</v>
      </c>
      <c r="F4490" s="40" t="s">
        <v>11404</v>
      </c>
      <c r="G4490" s="40" t="s">
        <v>11404</v>
      </c>
      <c r="H4490" s="40" t="s">
        <v>11404</v>
      </c>
    </row>
    <row r="4491">
      <c r="A4491" s="39"/>
      <c r="E4491" s="40" t="s">
        <v>11404</v>
      </c>
      <c r="F4491" s="40" t="s">
        <v>11404</v>
      </c>
      <c r="G4491" s="40" t="s">
        <v>11404</v>
      </c>
      <c r="H4491" s="40" t="s">
        <v>11404</v>
      </c>
    </row>
    <row r="4492">
      <c r="A4492" s="39"/>
      <c r="E4492" s="40" t="s">
        <v>11404</v>
      </c>
      <c r="F4492" s="40" t="s">
        <v>11404</v>
      </c>
      <c r="G4492" s="40" t="s">
        <v>11404</v>
      </c>
      <c r="H4492" s="40" t="s">
        <v>11404</v>
      </c>
    </row>
    <row r="4493">
      <c r="A4493" s="39"/>
      <c r="E4493" s="40" t="s">
        <v>11404</v>
      </c>
      <c r="F4493" s="40" t="s">
        <v>11404</v>
      </c>
      <c r="G4493" s="40" t="s">
        <v>11404</v>
      </c>
      <c r="H4493" s="40" t="s">
        <v>11404</v>
      </c>
    </row>
    <row r="4494">
      <c r="A4494" s="39"/>
      <c r="E4494" s="40" t="s">
        <v>11404</v>
      </c>
      <c r="F4494" s="40" t="s">
        <v>11404</v>
      </c>
      <c r="G4494" s="40" t="s">
        <v>11404</v>
      </c>
      <c r="H4494" s="40" t="s">
        <v>11404</v>
      </c>
    </row>
    <row r="4495">
      <c r="A4495" s="39"/>
      <c r="E4495" s="40" t="s">
        <v>11404</v>
      </c>
      <c r="F4495" s="40" t="s">
        <v>11404</v>
      </c>
      <c r="G4495" s="40" t="s">
        <v>11404</v>
      </c>
      <c r="H4495" s="40" t="s">
        <v>11404</v>
      </c>
    </row>
    <row r="4496">
      <c r="A4496" s="39"/>
      <c r="E4496" s="40" t="s">
        <v>11404</v>
      </c>
      <c r="F4496" s="40" t="s">
        <v>11404</v>
      </c>
      <c r="G4496" s="40" t="s">
        <v>11404</v>
      </c>
      <c r="H4496" s="40" t="s">
        <v>11404</v>
      </c>
    </row>
    <row r="4497">
      <c r="A4497" s="39"/>
      <c r="E4497" s="40" t="s">
        <v>11404</v>
      </c>
      <c r="F4497" s="40" t="s">
        <v>11404</v>
      </c>
      <c r="G4497" s="40" t="s">
        <v>11404</v>
      </c>
      <c r="H4497" s="40" t="s">
        <v>11404</v>
      </c>
    </row>
    <row r="4498">
      <c r="A4498" s="39"/>
      <c r="E4498" s="40" t="s">
        <v>11404</v>
      </c>
      <c r="F4498" s="40" t="s">
        <v>11404</v>
      </c>
      <c r="G4498" s="40" t="s">
        <v>11404</v>
      </c>
      <c r="H4498" s="40" t="s">
        <v>11404</v>
      </c>
    </row>
    <row r="4499">
      <c r="A4499" s="39"/>
      <c r="E4499" s="40" t="s">
        <v>11404</v>
      </c>
      <c r="F4499" s="40" t="s">
        <v>11404</v>
      </c>
      <c r="G4499" s="40" t="s">
        <v>11404</v>
      </c>
      <c r="H4499" s="40" t="s">
        <v>11404</v>
      </c>
    </row>
    <row r="4500">
      <c r="A4500" s="39"/>
      <c r="E4500" s="40" t="s">
        <v>11404</v>
      </c>
      <c r="F4500" s="40" t="s">
        <v>11404</v>
      </c>
      <c r="G4500" s="40" t="s">
        <v>11404</v>
      </c>
      <c r="H4500" s="40" t="s">
        <v>11404</v>
      </c>
    </row>
    <row r="4501">
      <c r="A4501" s="39"/>
      <c r="E4501" s="40" t="s">
        <v>11404</v>
      </c>
      <c r="F4501" s="40" t="s">
        <v>11404</v>
      </c>
      <c r="G4501" s="40" t="s">
        <v>11404</v>
      </c>
      <c r="H4501" s="40" t="s">
        <v>11404</v>
      </c>
    </row>
    <row r="4502">
      <c r="A4502" s="39"/>
      <c r="E4502" s="40" t="s">
        <v>11404</v>
      </c>
      <c r="F4502" s="40" t="s">
        <v>11404</v>
      </c>
      <c r="G4502" s="40" t="s">
        <v>11404</v>
      </c>
      <c r="H4502" s="40" t="s">
        <v>11404</v>
      </c>
    </row>
    <row r="4503">
      <c r="A4503" s="39"/>
      <c r="E4503" s="40" t="s">
        <v>11404</v>
      </c>
      <c r="F4503" s="40" t="s">
        <v>11404</v>
      </c>
      <c r="G4503" s="40" t="s">
        <v>11404</v>
      </c>
      <c r="H4503" s="40" t="s">
        <v>11404</v>
      </c>
    </row>
    <row r="4504">
      <c r="A4504" s="39"/>
      <c r="E4504" s="40" t="s">
        <v>11404</v>
      </c>
      <c r="F4504" s="40" t="s">
        <v>11404</v>
      </c>
      <c r="G4504" s="40" t="s">
        <v>11404</v>
      </c>
      <c r="H4504" s="40" t="s">
        <v>11404</v>
      </c>
    </row>
    <row r="4505">
      <c r="A4505" s="39"/>
      <c r="E4505" s="40" t="s">
        <v>11404</v>
      </c>
      <c r="F4505" s="40" t="s">
        <v>11404</v>
      </c>
      <c r="G4505" s="40" t="s">
        <v>11404</v>
      </c>
      <c r="H4505" s="40" t="s">
        <v>11404</v>
      </c>
    </row>
    <row r="4506">
      <c r="A4506" s="39"/>
      <c r="E4506" s="40" t="s">
        <v>11404</v>
      </c>
      <c r="F4506" s="40" t="s">
        <v>11404</v>
      </c>
      <c r="G4506" s="40" t="s">
        <v>11404</v>
      </c>
      <c r="H4506" s="40" t="s">
        <v>11404</v>
      </c>
    </row>
    <row r="4507">
      <c r="A4507" s="39"/>
      <c r="E4507" s="40" t="s">
        <v>11404</v>
      </c>
      <c r="F4507" s="40" t="s">
        <v>11404</v>
      </c>
      <c r="G4507" s="40" t="s">
        <v>11404</v>
      </c>
      <c r="H4507" s="40" t="s">
        <v>11404</v>
      </c>
    </row>
    <row r="4508">
      <c r="A4508" s="39"/>
      <c r="E4508" s="40" t="s">
        <v>11404</v>
      </c>
      <c r="F4508" s="40" t="s">
        <v>11404</v>
      </c>
      <c r="G4508" s="40" t="s">
        <v>11404</v>
      </c>
      <c r="H4508" s="40" t="s">
        <v>11404</v>
      </c>
    </row>
    <row r="4509">
      <c r="A4509" s="39"/>
      <c r="E4509" s="40" t="s">
        <v>11404</v>
      </c>
      <c r="F4509" s="40" t="s">
        <v>11404</v>
      </c>
      <c r="G4509" s="40" t="s">
        <v>11404</v>
      </c>
      <c r="H4509" s="40" t="s">
        <v>11404</v>
      </c>
    </row>
    <row r="4510">
      <c r="A4510" s="39"/>
      <c r="E4510" s="40" t="s">
        <v>11404</v>
      </c>
      <c r="F4510" s="40" t="s">
        <v>11404</v>
      </c>
      <c r="G4510" s="40" t="s">
        <v>11404</v>
      </c>
      <c r="H4510" s="40" t="s">
        <v>11404</v>
      </c>
    </row>
    <row r="4511">
      <c r="A4511" s="39"/>
      <c r="E4511" s="40" t="s">
        <v>11404</v>
      </c>
      <c r="F4511" s="40" t="s">
        <v>11404</v>
      </c>
      <c r="G4511" s="40" t="s">
        <v>11404</v>
      </c>
      <c r="H4511" s="40" t="s">
        <v>11404</v>
      </c>
    </row>
    <row r="4512">
      <c r="A4512" s="39"/>
      <c r="E4512" s="40" t="s">
        <v>11404</v>
      </c>
      <c r="F4512" s="40" t="s">
        <v>11404</v>
      </c>
      <c r="G4512" s="40" t="s">
        <v>11404</v>
      </c>
      <c r="H4512" s="40" t="s">
        <v>11404</v>
      </c>
    </row>
    <row r="4513">
      <c r="A4513" s="39"/>
      <c r="E4513" s="40" t="s">
        <v>11404</v>
      </c>
      <c r="F4513" s="40" t="s">
        <v>11404</v>
      </c>
      <c r="G4513" s="40" t="s">
        <v>11404</v>
      </c>
      <c r="H4513" s="40" t="s">
        <v>11404</v>
      </c>
    </row>
    <row r="4514">
      <c r="A4514" s="39"/>
      <c r="E4514" s="40" t="s">
        <v>11404</v>
      </c>
      <c r="F4514" s="40" t="s">
        <v>11404</v>
      </c>
      <c r="G4514" s="40" t="s">
        <v>11404</v>
      </c>
      <c r="H4514" s="40" t="s">
        <v>11404</v>
      </c>
    </row>
    <row r="4515">
      <c r="A4515" s="39"/>
      <c r="E4515" s="40" t="s">
        <v>11404</v>
      </c>
      <c r="F4515" s="40" t="s">
        <v>11404</v>
      </c>
      <c r="G4515" s="40" t="s">
        <v>11404</v>
      </c>
      <c r="H4515" s="40" t="s">
        <v>11404</v>
      </c>
    </row>
    <row r="4516">
      <c r="A4516" s="39"/>
      <c r="E4516" s="40" t="s">
        <v>11404</v>
      </c>
      <c r="F4516" s="40" t="s">
        <v>11404</v>
      </c>
      <c r="G4516" s="40" t="s">
        <v>11404</v>
      </c>
      <c r="H4516" s="40" t="s">
        <v>11404</v>
      </c>
    </row>
    <row r="4517">
      <c r="A4517" s="39"/>
      <c r="E4517" s="40" t="s">
        <v>11404</v>
      </c>
      <c r="F4517" s="40" t="s">
        <v>11404</v>
      </c>
      <c r="G4517" s="40" t="s">
        <v>11404</v>
      </c>
      <c r="H4517" s="40" t="s">
        <v>11404</v>
      </c>
    </row>
    <row r="4518">
      <c r="A4518" s="39"/>
      <c r="E4518" s="40" t="s">
        <v>11404</v>
      </c>
      <c r="F4518" s="40" t="s">
        <v>11404</v>
      </c>
      <c r="G4518" s="40" t="s">
        <v>11404</v>
      </c>
      <c r="H4518" s="40" t="s">
        <v>11404</v>
      </c>
    </row>
    <row r="4519">
      <c r="A4519" s="39"/>
      <c r="E4519" s="40" t="s">
        <v>11404</v>
      </c>
      <c r="F4519" s="40" t="s">
        <v>11404</v>
      </c>
      <c r="G4519" s="40" t="s">
        <v>11404</v>
      </c>
      <c r="H4519" s="40" t="s">
        <v>11404</v>
      </c>
    </row>
    <row r="4520">
      <c r="A4520" s="39"/>
      <c r="E4520" s="40" t="s">
        <v>11404</v>
      </c>
      <c r="F4520" s="40" t="s">
        <v>11404</v>
      </c>
      <c r="G4520" s="40" t="s">
        <v>11404</v>
      </c>
      <c r="H4520" s="40" t="s">
        <v>11404</v>
      </c>
    </row>
    <row r="4521">
      <c r="A4521" s="39"/>
      <c r="E4521" s="40" t="s">
        <v>11404</v>
      </c>
      <c r="F4521" s="40" t="s">
        <v>11404</v>
      </c>
      <c r="G4521" s="40" t="s">
        <v>11404</v>
      </c>
      <c r="H4521" s="40" t="s">
        <v>11404</v>
      </c>
    </row>
    <row r="4522">
      <c r="A4522" s="39"/>
      <c r="E4522" s="40" t="s">
        <v>11404</v>
      </c>
      <c r="F4522" s="40" t="s">
        <v>11404</v>
      </c>
      <c r="G4522" s="40" t="s">
        <v>11404</v>
      </c>
      <c r="H4522" s="40" t="s">
        <v>11404</v>
      </c>
    </row>
    <row r="4523">
      <c r="A4523" s="39"/>
      <c r="E4523" s="40" t="s">
        <v>11404</v>
      </c>
      <c r="F4523" s="40" t="s">
        <v>11404</v>
      </c>
      <c r="G4523" s="40" t="s">
        <v>11404</v>
      </c>
      <c r="H4523" s="40" t="s">
        <v>11404</v>
      </c>
    </row>
    <row r="4524">
      <c r="A4524" s="39"/>
      <c r="E4524" s="40" t="s">
        <v>11404</v>
      </c>
      <c r="F4524" s="40" t="s">
        <v>11404</v>
      </c>
      <c r="G4524" s="40" t="s">
        <v>11404</v>
      </c>
      <c r="H4524" s="40" t="s">
        <v>11404</v>
      </c>
    </row>
    <row r="4525">
      <c r="A4525" s="39"/>
      <c r="E4525" s="40" t="s">
        <v>11404</v>
      </c>
      <c r="F4525" s="40" t="s">
        <v>11404</v>
      </c>
      <c r="G4525" s="40" t="s">
        <v>11404</v>
      </c>
      <c r="H4525" s="40" t="s">
        <v>11404</v>
      </c>
    </row>
    <row r="4526">
      <c r="A4526" s="39"/>
      <c r="E4526" s="40" t="s">
        <v>11404</v>
      </c>
      <c r="F4526" s="40" t="s">
        <v>11404</v>
      </c>
      <c r="G4526" s="40" t="s">
        <v>11404</v>
      </c>
      <c r="H4526" s="40" t="s">
        <v>11404</v>
      </c>
    </row>
    <row r="4527">
      <c r="A4527" s="39"/>
      <c r="E4527" s="40" t="s">
        <v>11404</v>
      </c>
      <c r="F4527" s="40" t="s">
        <v>11404</v>
      </c>
      <c r="G4527" s="40" t="s">
        <v>11404</v>
      </c>
      <c r="H4527" s="40" t="s">
        <v>11404</v>
      </c>
    </row>
    <row r="4528">
      <c r="A4528" s="39"/>
      <c r="E4528" s="40" t="s">
        <v>11404</v>
      </c>
      <c r="F4528" s="40" t="s">
        <v>11404</v>
      </c>
      <c r="G4528" s="40" t="s">
        <v>11404</v>
      </c>
      <c r="H4528" s="40" t="s">
        <v>11404</v>
      </c>
    </row>
    <row r="4529">
      <c r="A4529" s="39"/>
      <c r="E4529" s="40" t="s">
        <v>11404</v>
      </c>
      <c r="F4529" s="40" t="s">
        <v>11404</v>
      </c>
      <c r="G4529" s="40" t="s">
        <v>11404</v>
      </c>
      <c r="H4529" s="40" t="s">
        <v>11404</v>
      </c>
    </row>
    <row r="4530">
      <c r="A4530" s="39"/>
      <c r="E4530" s="40" t="s">
        <v>11404</v>
      </c>
      <c r="F4530" s="40" t="s">
        <v>11404</v>
      </c>
      <c r="G4530" s="40" t="s">
        <v>11404</v>
      </c>
      <c r="H4530" s="40" t="s">
        <v>11404</v>
      </c>
    </row>
    <row r="4531">
      <c r="A4531" s="39"/>
      <c r="E4531" s="40" t="s">
        <v>11404</v>
      </c>
      <c r="F4531" s="40" t="s">
        <v>11404</v>
      </c>
      <c r="G4531" s="40" t="s">
        <v>11404</v>
      </c>
      <c r="H4531" s="40" t="s">
        <v>11404</v>
      </c>
    </row>
    <row r="4532">
      <c r="A4532" s="39"/>
      <c r="E4532" s="40" t="s">
        <v>11404</v>
      </c>
      <c r="F4532" s="40" t="s">
        <v>11404</v>
      </c>
      <c r="G4532" s="40" t="s">
        <v>11404</v>
      </c>
      <c r="H4532" s="40" t="s">
        <v>11404</v>
      </c>
    </row>
    <row r="4533">
      <c r="A4533" s="39"/>
      <c r="E4533" s="40" t="s">
        <v>11404</v>
      </c>
      <c r="F4533" s="40" t="s">
        <v>11404</v>
      </c>
      <c r="G4533" s="40" t="s">
        <v>11404</v>
      </c>
      <c r="H4533" s="40" t="s">
        <v>11404</v>
      </c>
    </row>
    <row r="4534">
      <c r="A4534" s="39"/>
      <c r="E4534" s="40" t="s">
        <v>11404</v>
      </c>
      <c r="F4534" s="40" t="s">
        <v>11404</v>
      </c>
      <c r="G4534" s="40" t="s">
        <v>11404</v>
      </c>
      <c r="H4534" s="40" t="s">
        <v>11404</v>
      </c>
    </row>
    <row r="4535">
      <c r="A4535" s="39"/>
      <c r="E4535" s="40" t="s">
        <v>11404</v>
      </c>
      <c r="F4535" s="40" t="s">
        <v>11404</v>
      </c>
      <c r="G4535" s="40" t="s">
        <v>11404</v>
      </c>
      <c r="H4535" s="40" t="s">
        <v>11404</v>
      </c>
    </row>
    <row r="4536">
      <c r="A4536" s="39"/>
      <c r="E4536" s="40" t="s">
        <v>11404</v>
      </c>
      <c r="F4536" s="40" t="s">
        <v>11404</v>
      </c>
      <c r="G4536" s="40" t="s">
        <v>11404</v>
      </c>
      <c r="H4536" s="40" t="s">
        <v>11404</v>
      </c>
    </row>
    <row r="4537">
      <c r="A4537" s="39"/>
      <c r="E4537" s="40" t="s">
        <v>11404</v>
      </c>
      <c r="F4537" s="40" t="s">
        <v>11404</v>
      </c>
      <c r="G4537" s="40" t="s">
        <v>11404</v>
      </c>
      <c r="H4537" s="40" t="s">
        <v>11404</v>
      </c>
    </row>
    <row r="4538">
      <c r="A4538" s="39"/>
      <c r="E4538" s="40" t="s">
        <v>11404</v>
      </c>
      <c r="F4538" s="40" t="s">
        <v>11404</v>
      </c>
      <c r="G4538" s="40" t="s">
        <v>11404</v>
      </c>
      <c r="H4538" s="40" t="s">
        <v>11404</v>
      </c>
    </row>
    <row r="4539">
      <c r="A4539" s="39"/>
      <c r="E4539" s="40" t="s">
        <v>11404</v>
      </c>
      <c r="F4539" s="40" t="s">
        <v>11404</v>
      </c>
      <c r="G4539" s="40" t="s">
        <v>11404</v>
      </c>
      <c r="H4539" s="40" t="s">
        <v>11404</v>
      </c>
    </row>
    <row r="4540">
      <c r="A4540" s="39"/>
      <c r="E4540" s="40" t="s">
        <v>11404</v>
      </c>
      <c r="F4540" s="40" t="s">
        <v>11404</v>
      </c>
      <c r="G4540" s="40" t="s">
        <v>11404</v>
      </c>
      <c r="H4540" s="40" t="s">
        <v>11404</v>
      </c>
    </row>
    <row r="4541">
      <c r="A4541" s="39"/>
      <c r="E4541" s="40" t="s">
        <v>11404</v>
      </c>
      <c r="F4541" s="40" t="s">
        <v>11404</v>
      </c>
      <c r="G4541" s="40" t="s">
        <v>11404</v>
      </c>
      <c r="H4541" s="40" t="s">
        <v>11404</v>
      </c>
    </row>
    <row r="4542">
      <c r="A4542" s="39"/>
      <c r="E4542" s="40" t="s">
        <v>11404</v>
      </c>
      <c r="F4542" s="40" t="s">
        <v>11404</v>
      </c>
      <c r="G4542" s="40" t="s">
        <v>11404</v>
      </c>
      <c r="H4542" s="40" t="s">
        <v>11404</v>
      </c>
    </row>
    <row r="4543">
      <c r="A4543" s="39"/>
      <c r="E4543" s="40" t="s">
        <v>11404</v>
      </c>
      <c r="F4543" s="40" t="s">
        <v>11404</v>
      </c>
      <c r="G4543" s="40" t="s">
        <v>11404</v>
      </c>
      <c r="H4543" s="40" t="s">
        <v>11404</v>
      </c>
    </row>
    <row r="4544">
      <c r="A4544" s="39"/>
      <c r="E4544" s="40" t="s">
        <v>11404</v>
      </c>
      <c r="F4544" s="40" t="s">
        <v>11404</v>
      </c>
      <c r="G4544" s="40" t="s">
        <v>11404</v>
      </c>
      <c r="H4544" s="40" t="s">
        <v>11404</v>
      </c>
    </row>
    <row r="4545">
      <c r="A4545" s="39"/>
      <c r="E4545" s="40" t="s">
        <v>11404</v>
      </c>
      <c r="F4545" s="40" t="s">
        <v>11404</v>
      </c>
      <c r="G4545" s="40" t="s">
        <v>11404</v>
      </c>
      <c r="H4545" s="40" t="s">
        <v>11404</v>
      </c>
    </row>
    <row r="4546">
      <c r="A4546" s="39"/>
      <c r="E4546" s="40" t="s">
        <v>11404</v>
      </c>
      <c r="F4546" s="40" t="s">
        <v>11404</v>
      </c>
      <c r="G4546" s="40" t="s">
        <v>11404</v>
      </c>
      <c r="H4546" s="40" t="s">
        <v>11404</v>
      </c>
    </row>
    <row r="4547">
      <c r="A4547" s="39"/>
      <c r="E4547" s="40" t="s">
        <v>11404</v>
      </c>
      <c r="F4547" s="40" t="s">
        <v>11404</v>
      </c>
      <c r="G4547" s="40" t="s">
        <v>11404</v>
      </c>
      <c r="H4547" s="40" t="s">
        <v>11404</v>
      </c>
    </row>
    <row r="4548">
      <c r="A4548" s="39"/>
      <c r="E4548" s="40" t="s">
        <v>11404</v>
      </c>
      <c r="F4548" s="40" t="s">
        <v>11404</v>
      </c>
      <c r="G4548" s="40" t="s">
        <v>11404</v>
      </c>
      <c r="H4548" s="40" t="s">
        <v>11404</v>
      </c>
    </row>
    <row r="4549">
      <c r="A4549" s="39"/>
      <c r="E4549" s="40" t="s">
        <v>11404</v>
      </c>
      <c r="F4549" s="40" t="s">
        <v>11404</v>
      </c>
      <c r="G4549" s="40" t="s">
        <v>11404</v>
      </c>
      <c r="H4549" s="40" t="s">
        <v>11404</v>
      </c>
    </row>
    <row r="4550">
      <c r="A4550" s="39"/>
      <c r="E4550" s="40" t="s">
        <v>11404</v>
      </c>
      <c r="F4550" s="40" t="s">
        <v>11404</v>
      </c>
      <c r="G4550" s="40" t="s">
        <v>11404</v>
      </c>
      <c r="H4550" s="40" t="s">
        <v>11404</v>
      </c>
    </row>
    <row r="4551">
      <c r="A4551" s="39"/>
      <c r="E4551" s="40" t="s">
        <v>11404</v>
      </c>
      <c r="F4551" s="40" t="s">
        <v>11404</v>
      </c>
      <c r="G4551" s="40" t="s">
        <v>11404</v>
      </c>
      <c r="H4551" s="40" t="s">
        <v>11404</v>
      </c>
    </row>
    <row r="4552">
      <c r="A4552" s="39"/>
      <c r="E4552" s="40" t="s">
        <v>11404</v>
      </c>
      <c r="F4552" s="40" t="s">
        <v>11404</v>
      </c>
      <c r="G4552" s="40" t="s">
        <v>11404</v>
      </c>
      <c r="H4552" s="40" t="s">
        <v>11404</v>
      </c>
    </row>
    <row r="4553">
      <c r="A4553" s="39"/>
      <c r="E4553" s="40" t="s">
        <v>11404</v>
      </c>
      <c r="F4553" s="40" t="s">
        <v>11404</v>
      </c>
      <c r="G4553" s="40" t="s">
        <v>11404</v>
      </c>
      <c r="H4553" s="40" t="s">
        <v>11404</v>
      </c>
    </row>
    <row r="4554">
      <c r="A4554" s="39"/>
      <c r="E4554" s="40" t="s">
        <v>11404</v>
      </c>
      <c r="F4554" s="40" t="s">
        <v>11404</v>
      </c>
      <c r="G4554" s="40" t="s">
        <v>11404</v>
      </c>
      <c r="H4554" s="40" t="s">
        <v>11404</v>
      </c>
    </row>
    <row r="4555">
      <c r="A4555" s="39"/>
      <c r="E4555" s="40" t="s">
        <v>11404</v>
      </c>
      <c r="F4555" s="40" t="s">
        <v>11404</v>
      </c>
      <c r="G4555" s="40" t="s">
        <v>11404</v>
      </c>
      <c r="H4555" s="40" t="s">
        <v>11404</v>
      </c>
    </row>
    <row r="4556">
      <c r="A4556" s="39"/>
      <c r="E4556" s="40" t="s">
        <v>11404</v>
      </c>
      <c r="F4556" s="40" t="s">
        <v>11404</v>
      </c>
      <c r="G4556" s="40" t="s">
        <v>11404</v>
      </c>
      <c r="H4556" s="40" t="s">
        <v>11404</v>
      </c>
    </row>
    <row r="4557">
      <c r="A4557" s="39"/>
      <c r="E4557" s="40" t="s">
        <v>11404</v>
      </c>
      <c r="F4557" s="40" t="s">
        <v>11404</v>
      </c>
      <c r="G4557" s="40" t="s">
        <v>11404</v>
      </c>
      <c r="H4557" s="40" t="s">
        <v>11404</v>
      </c>
    </row>
    <row r="4558">
      <c r="A4558" s="39"/>
      <c r="E4558" s="40" t="s">
        <v>11404</v>
      </c>
      <c r="F4558" s="40" t="s">
        <v>11404</v>
      </c>
      <c r="G4558" s="40" t="s">
        <v>11404</v>
      </c>
      <c r="H4558" s="40" t="s">
        <v>11404</v>
      </c>
    </row>
    <row r="4559">
      <c r="A4559" s="39"/>
      <c r="E4559" s="40" t="s">
        <v>11404</v>
      </c>
      <c r="F4559" s="40" t="s">
        <v>11404</v>
      </c>
      <c r="G4559" s="40" t="s">
        <v>11404</v>
      </c>
      <c r="H4559" s="40" t="s">
        <v>11404</v>
      </c>
    </row>
    <row r="4560">
      <c r="A4560" s="39"/>
      <c r="E4560" s="40" t="s">
        <v>11404</v>
      </c>
      <c r="F4560" s="40" t="s">
        <v>11404</v>
      </c>
      <c r="G4560" s="40" t="s">
        <v>11404</v>
      </c>
      <c r="H4560" s="40" t="s">
        <v>11404</v>
      </c>
    </row>
    <row r="4561">
      <c r="A4561" s="39"/>
      <c r="E4561" s="40" t="s">
        <v>11404</v>
      </c>
      <c r="F4561" s="40" t="s">
        <v>11404</v>
      </c>
      <c r="G4561" s="40" t="s">
        <v>11404</v>
      </c>
      <c r="H4561" s="40" t="s">
        <v>11404</v>
      </c>
    </row>
    <row r="4562">
      <c r="A4562" s="39"/>
      <c r="E4562" s="40" t="s">
        <v>11404</v>
      </c>
      <c r="F4562" s="40" t="s">
        <v>11404</v>
      </c>
      <c r="G4562" s="40" t="s">
        <v>11404</v>
      </c>
      <c r="H4562" s="40" t="s">
        <v>11404</v>
      </c>
    </row>
    <row r="4563">
      <c r="A4563" s="39"/>
      <c r="E4563" s="40" t="s">
        <v>11404</v>
      </c>
      <c r="F4563" s="40" t="s">
        <v>11404</v>
      </c>
      <c r="G4563" s="40" t="s">
        <v>11404</v>
      </c>
      <c r="H4563" s="40" t="s">
        <v>11404</v>
      </c>
    </row>
    <row r="4564">
      <c r="A4564" s="39"/>
      <c r="E4564" s="40" t="s">
        <v>11404</v>
      </c>
      <c r="F4564" s="40" t="s">
        <v>11404</v>
      </c>
      <c r="G4564" s="40" t="s">
        <v>11404</v>
      </c>
      <c r="H4564" s="40" t="s">
        <v>11404</v>
      </c>
    </row>
    <row r="4565">
      <c r="A4565" s="39"/>
      <c r="E4565" s="40" t="s">
        <v>11404</v>
      </c>
      <c r="F4565" s="40" t="s">
        <v>11404</v>
      </c>
      <c r="G4565" s="40" t="s">
        <v>11404</v>
      </c>
      <c r="H4565" s="40" t="s">
        <v>11404</v>
      </c>
    </row>
    <row r="4566">
      <c r="A4566" s="39"/>
      <c r="E4566" s="40" t="s">
        <v>11404</v>
      </c>
      <c r="F4566" s="40" t="s">
        <v>11404</v>
      </c>
      <c r="G4566" s="40" t="s">
        <v>11404</v>
      </c>
      <c r="H4566" s="40" t="s">
        <v>11404</v>
      </c>
    </row>
    <row r="4567">
      <c r="A4567" s="39"/>
      <c r="E4567" s="40" t="s">
        <v>11404</v>
      </c>
      <c r="F4567" s="40" t="s">
        <v>11404</v>
      </c>
      <c r="G4567" s="40" t="s">
        <v>11404</v>
      </c>
      <c r="H4567" s="40" t="s">
        <v>11404</v>
      </c>
    </row>
    <row r="4568">
      <c r="A4568" s="39"/>
      <c r="E4568" s="40" t="s">
        <v>11404</v>
      </c>
      <c r="F4568" s="40" t="s">
        <v>11404</v>
      </c>
      <c r="G4568" s="40" t="s">
        <v>11404</v>
      </c>
      <c r="H4568" s="40" t="s">
        <v>11404</v>
      </c>
    </row>
    <row r="4569">
      <c r="A4569" s="39"/>
      <c r="E4569" s="40" t="s">
        <v>11404</v>
      </c>
      <c r="F4569" s="40" t="s">
        <v>11404</v>
      </c>
      <c r="G4569" s="40" t="s">
        <v>11404</v>
      </c>
      <c r="H4569" s="40" t="s">
        <v>11404</v>
      </c>
    </row>
    <row r="4570">
      <c r="A4570" s="39"/>
      <c r="E4570" s="40" t="s">
        <v>11404</v>
      </c>
      <c r="F4570" s="40" t="s">
        <v>11404</v>
      </c>
      <c r="G4570" s="40" t="s">
        <v>11404</v>
      </c>
      <c r="H4570" s="40" t="s">
        <v>11404</v>
      </c>
    </row>
    <row r="4571">
      <c r="A4571" s="39"/>
      <c r="E4571" s="40" t="s">
        <v>11404</v>
      </c>
      <c r="F4571" s="40" t="s">
        <v>11404</v>
      </c>
      <c r="G4571" s="40" t="s">
        <v>11404</v>
      </c>
      <c r="H4571" s="40" t="s">
        <v>11404</v>
      </c>
    </row>
    <row r="4572">
      <c r="A4572" s="39"/>
      <c r="E4572" s="40" t="s">
        <v>11404</v>
      </c>
      <c r="F4572" s="40" t="s">
        <v>11404</v>
      </c>
      <c r="G4572" s="40" t="s">
        <v>11404</v>
      </c>
      <c r="H4572" s="40" t="s">
        <v>11404</v>
      </c>
    </row>
    <row r="4573">
      <c r="A4573" s="39"/>
      <c r="E4573" s="40" t="s">
        <v>11404</v>
      </c>
      <c r="F4573" s="40" t="s">
        <v>11404</v>
      </c>
      <c r="G4573" s="40" t="s">
        <v>11404</v>
      </c>
      <c r="H4573" s="40" t="s">
        <v>11404</v>
      </c>
    </row>
    <row r="4574">
      <c r="A4574" s="39"/>
      <c r="E4574" s="40" t="s">
        <v>11404</v>
      </c>
      <c r="F4574" s="40" t="s">
        <v>11404</v>
      </c>
      <c r="G4574" s="40" t="s">
        <v>11404</v>
      </c>
      <c r="H4574" s="40" t="s">
        <v>11404</v>
      </c>
    </row>
    <row r="4575">
      <c r="A4575" s="39"/>
      <c r="E4575" s="40" t="s">
        <v>11404</v>
      </c>
      <c r="F4575" s="40" t="s">
        <v>11404</v>
      </c>
      <c r="G4575" s="40" t="s">
        <v>11404</v>
      </c>
      <c r="H4575" s="40" t="s">
        <v>11404</v>
      </c>
    </row>
    <row r="4576">
      <c r="A4576" s="39"/>
      <c r="E4576" s="40" t="s">
        <v>11404</v>
      </c>
      <c r="F4576" s="40" t="s">
        <v>11404</v>
      </c>
      <c r="G4576" s="40" t="s">
        <v>11404</v>
      </c>
      <c r="H4576" s="40" t="s">
        <v>11404</v>
      </c>
    </row>
    <row r="4577">
      <c r="A4577" s="39"/>
      <c r="E4577" s="40" t="s">
        <v>11404</v>
      </c>
      <c r="F4577" s="40" t="s">
        <v>11404</v>
      </c>
      <c r="G4577" s="40" t="s">
        <v>11404</v>
      </c>
      <c r="H4577" s="40" t="s">
        <v>11404</v>
      </c>
    </row>
    <row r="4578">
      <c r="A4578" s="39"/>
      <c r="E4578" s="40" t="s">
        <v>11404</v>
      </c>
      <c r="F4578" s="40" t="s">
        <v>11404</v>
      </c>
      <c r="G4578" s="40" t="s">
        <v>11404</v>
      </c>
      <c r="H4578" s="40" t="s">
        <v>11404</v>
      </c>
    </row>
    <row r="4579">
      <c r="A4579" s="39"/>
      <c r="E4579" s="40" t="s">
        <v>11404</v>
      </c>
      <c r="F4579" s="40" t="s">
        <v>11404</v>
      </c>
      <c r="G4579" s="40" t="s">
        <v>11404</v>
      </c>
      <c r="H4579" s="40" t="s">
        <v>11404</v>
      </c>
    </row>
    <row r="4580">
      <c r="A4580" s="39"/>
      <c r="E4580" s="40" t="s">
        <v>11404</v>
      </c>
      <c r="F4580" s="40" t="s">
        <v>11404</v>
      </c>
      <c r="G4580" s="40" t="s">
        <v>11404</v>
      </c>
      <c r="H4580" s="40" t="s">
        <v>11404</v>
      </c>
    </row>
    <row r="4581">
      <c r="A4581" s="39"/>
      <c r="E4581" s="40" t="s">
        <v>11404</v>
      </c>
      <c r="F4581" s="40" t="s">
        <v>11404</v>
      </c>
      <c r="G4581" s="40" t="s">
        <v>11404</v>
      </c>
      <c r="H4581" s="40" t="s">
        <v>11404</v>
      </c>
    </row>
    <row r="4582">
      <c r="A4582" s="39"/>
      <c r="E4582" s="40" t="s">
        <v>11404</v>
      </c>
      <c r="F4582" s="40" t="s">
        <v>11404</v>
      </c>
      <c r="G4582" s="40" t="s">
        <v>11404</v>
      </c>
      <c r="H4582" s="40" t="s">
        <v>11404</v>
      </c>
    </row>
    <row r="4583">
      <c r="A4583" s="39"/>
      <c r="E4583" s="40" t="s">
        <v>11404</v>
      </c>
      <c r="F4583" s="40" t="s">
        <v>11404</v>
      </c>
      <c r="G4583" s="40" t="s">
        <v>11404</v>
      </c>
      <c r="H4583" s="40" t="s">
        <v>11404</v>
      </c>
    </row>
    <row r="4584">
      <c r="A4584" s="39"/>
      <c r="E4584" s="40" t="s">
        <v>11404</v>
      </c>
      <c r="F4584" s="40" t="s">
        <v>11404</v>
      </c>
      <c r="G4584" s="40" t="s">
        <v>11404</v>
      </c>
      <c r="H4584" s="40" t="s">
        <v>11404</v>
      </c>
    </row>
    <row r="4585">
      <c r="A4585" s="39"/>
      <c r="E4585" s="40" t="s">
        <v>11404</v>
      </c>
      <c r="F4585" s="40" t="s">
        <v>11404</v>
      </c>
      <c r="G4585" s="40" t="s">
        <v>11404</v>
      </c>
      <c r="H4585" s="40" t="s">
        <v>11404</v>
      </c>
    </row>
    <row r="4586">
      <c r="A4586" s="39"/>
      <c r="E4586" s="40" t="s">
        <v>11404</v>
      </c>
      <c r="F4586" s="40" t="s">
        <v>11404</v>
      </c>
      <c r="G4586" s="40" t="s">
        <v>11404</v>
      </c>
      <c r="H4586" s="40" t="s">
        <v>11404</v>
      </c>
    </row>
    <row r="4587">
      <c r="A4587" s="39"/>
      <c r="E4587" s="40" t="s">
        <v>11404</v>
      </c>
      <c r="F4587" s="40" t="s">
        <v>11404</v>
      </c>
      <c r="G4587" s="40" t="s">
        <v>11404</v>
      </c>
      <c r="H4587" s="40" t="s">
        <v>11404</v>
      </c>
    </row>
    <row r="4588">
      <c r="A4588" s="39"/>
      <c r="E4588" s="40" t="s">
        <v>11404</v>
      </c>
      <c r="F4588" s="40" t="s">
        <v>11404</v>
      </c>
      <c r="G4588" s="40" t="s">
        <v>11404</v>
      </c>
      <c r="H4588" s="40" t="s">
        <v>11404</v>
      </c>
    </row>
    <row r="4589">
      <c r="A4589" s="39"/>
      <c r="E4589" s="40" t="s">
        <v>11404</v>
      </c>
      <c r="F4589" s="40" t="s">
        <v>11404</v>
      </c>
      <c r="G4589" s="40" t="s">
        <v>11404</v>
      </c>
      <c r="H4589" s="40" t="s">
        <v>11404</v>
      </c>
    </row>
    <row r="4590">
      <c r="A4590" s="39"/>
      <c r="E4590" s="40" t="s">
        <v>11404</v>
      </c>
      <c r="F4590" s="40" t="s">
        <v>11404</v>
      </c>
      <c r="G4590" s="40" t="s">
        <v>11404</v>
      </c>
      <c r="H4590" s="40" t="s">
        <v>11404</v>
      </c>
    </row>
    <row r="4591">
      <c r="A4591" s="39"/>
      <c r="E4591" s="40" t="s">
        <v>11404</v>
      </c>
      <c r="F4591" s="40" t="s">
        <v>11404</v>
      </c>
      <c r="G4591" s="40" t="s">
        <v>11404</v>
      </c>
      <c r="H4591" s="40" t="s">
        <v>11404</v>
      </c>
    </row>
    <row r="4592">
      <c r="A4592" s="39"/>
      <c r="E4592" s="40" t="s">
        <v>11404</v>
      </c>
      <c r="F4592" s="40" t="s">
        <v>11404</v>
      </c>
      <c r="G4592" s="40" t="s">
        <v>11404</v>
      </c>
      <c r="H4592" s="40" t="s">
        <v>11404</v>
      </c>
    </row>
    <row r="4593">
      <c r="A4593" s="39"/>
      <c r="E4593" s="40" t="s">
        <v>11404</v>
      </c>
      <c r="F4593" s="40" t="s">
        <v>11404</v>
      </c>
      <c r="G4593" s="40" t="s">
        <v>11404</v>
      </c>
      <c r="H4593" s="40" t="s">
        <v>11404</v>
      </c>
    </row>
    <row r="4594">
      <c r="A4594" s="39"/>
      <c r="E4594" s="40" t="s">
        <v>11404</v>
      </c>
      <c r="F4594" s="40" t="s">
        <v>11404</v>
      </c>
      <c r="G4594" s="40" t="s">
        <v>11404</v>
      </c>
      <c r="H4594" s="40" t="s">
        <v>11404</v>
      </c>
    </row>
    <row r="4595">
      <c r="A4595" s="39"/>
      <c r="E4595" s="40" t="s">
        <v>11404</v>
      </c>
      <c r="F4595" s="40" t="s">
        <v>11404</v>
      </c>
      <c r="G4595" s="40" t="s">
        <v>11404</v>
      </c>
      <c r="H4595" s="40" t="s">
        <v>11404</v>
      </c>
    </row>
    <row r="4596">
      <c r="A4596" s="39"/>
      <c r="E4596" s="40" t="s">
        <v>11404</v>
      </c>
      <c r="F4596" s="40" t="s">
        <v>11404</v>
      </c>
      <c r="G4596" s="40" t="s">
        <v>11404</v>
      </c>
      <c r="H4596" s="40" t="s">
        <v>11404</v>
      </c>
    </row>
    <row r="4597">
      <c r="A4597" s="39"/>
      <c r="E4597" s="40" t="s">
        <v>11404</v>
      </c>
      <c r="F4597" s="40" t="s">
        <v>11404</v>
      </c>
      <c r="G4597" s="40" t="s">
        <v>11404</v>
      </c>
      <c r="H4597" s="40" t="s">
        <v>11404</v>
      </c>
    </row>
    <row r="4598">
      <c r="A4598" s="39"/>
      <c r="E4598" s="40" t="s">
        <v>11404</v>
      </c>
      <c r="F4598" s="40" t="s">
        <v>11404</v>
      </c>
      <c r="G4598" s="40" t="s">
        <v>11404</v>
      </c>
      <c r="H4598" s="40" t="s">
        <v>11404</v>
      </c>
    </row>
    <row r="4599">
      <c r="A4599" s="39"/>
      <c r="E4599" s="40" t="s">
        <v>11404</v>
      </c>
      <c r="F4599" s="40" t="s">
        <v>11404</v>
      </c>
      <c r="G4599" s="40" t="s">
        <v>11404</v>
      </c>
      <c r="H4599" s="40" t="s">
        <v>11404</v>
      </c>
    </row>
    <row r="4600">
      <c r="A4600" s="39"/>
      <c r="E4600" s="40" t="s">
        <v>11404</v>
      </c>
      <c r="F4600" s="40" t="s">
        <v>11404</v>
      </c>
      <c r="G4600" s="40" t="s">
        <v>11404</v>
      </c>
      <c r="H4600" s="40" t="s">
        <v>11404</v>
      </c>
    </row>
    <row r="4601">
      <c r="A4601" s="39"/>
      <c r="E4601" s="40" t="s">
        <v>11404</v>
      </c>
      <c r="F4601" s="40" t="s">
        <v>11404</v>
      </c>
      <c r="G4601" s="40" t="s">
        <v>11404</v>
      </c>
      <c r="H4601" s="40" t="s">
        <v>11404</v>
      </c>
    </row>
    <row r="4602">
      <c r="A4602" s="39"/>
      <c r="E4602" s="40" t="s">
        <v>11404</v>
      </c>
      <c r="F4602" s="40" t="s">
        <v>11404</v>
      </c>
      <c r="G4602" s="40" t="s">
        <v>11404</v>
      </c>
      <c r="H4602" s="40" t="s">
        <v>11404</v>
      </c>
    </row>
    <row r="4603">
      <c r="A4603" s="39"/>
      <c r="E4603" s="40" t="s">
        <v>11404</v>
      </c>
      <c r="F4603" s="40" t="s">
        <v>11404</v>
      </c>
      <c r="G4603" s="40" t="s">
        <v>11404</v>
      </c>
      <c r="H4603" s="40" t="s">
        <v>11404</v>
      </c>
    </row>
    <row r="4604">
      <c r="A4604" s="39"/>
      <c r="E4604" s="40" t="s">
        <v>11404</v>
      </c>
      <c r="F4604" s="40" t="s">
        <v>11404</v>
      </c>
      <c r="G4604" s="40" t="s">
        <v>11404</v>
      </c>
      <c r="H4604" s="40" t="s">
        <v>11404</v>
      </c>
    </row>
    <row r="4605">
      <c r="A4605" s="39"/>
      <c r="E4605" s="40" t="s">
        <v>11404</v>
      </c>
      <c r="F4605" s="40" t="s">
        <v>11404</v>
      </c>
      <c r="G4605" s="40" t="s">
        <v>11404</v>
      </c>
      <c r="H4605" s="40" t="s">
        <v>11404</v>
      </c>
    </row>
    <row r="4606">
      <c r="A4606" s="39"/>
      <c r="E4606" s="40" t="s">
        <v>11404</v>
      </c>
      <c r="F4606" s="40" t="s">
        <v>11404</v>
      </c>
      <c r="G4606" s="40" t="s">
        <v>11404</v>
      </c>
      <c r="H4606" s="40" t="s">
        <v>11404</v>
      </c>
    </row>
    <row r="4607">
      <c r="A4607" s="39"/>
      <c r="E4607" s="40" t="s">
        <v>11404</v>
      </c>
      <c r="F4607" s="40" t="s">
        <v>11404</v>
      </c>
      <c r="G4607" s="40" t="s">
        <v>11404</v>
      </c>
      <c r="H4607" s="40" t="s">
        <v>11404</v>
      </c>
    </row>
    <row r="4608">
      <c r="A4608" s="39"/>
      <c r="E4608" s="40" t="s">
        <v>11404</v>
      </c>
      <c r="F4608" s="40" t="s">
        <v>11404</v>
      </c>
      <c r="G4608" s="40" t="s">
        <v>11404</v>
      </c>
      <c r="H4608" s="40" t="s">
        <v>11404</v>
      </c>
    </row>
    <row r="4609">
      <c r="A4609" s="39"/>
      <c r="E4609" s="40" t="s">
        <v>11404</v>
      </c>
      <c r="F4609" s="40" t="s">
        <v>11404</v>
      </c>
      <c r="G4609" s="40" t="s">
        <v>11404</v>
      </c>
      <c r="H4609" s="40" t="s">
        <v>11404</v>
      </c>
    </row>
    <row r="4610">
      <c r="A4610" s="39"/>
      <c r="E4610" s="40" t="s">
        <v>11404</v>
      </c>
      <c r="F4610" s="40" t="s">
        <v>11404</v>
      </c>
      <c r="G4610" s="40" t="s">
        <v>11404</v>
      </c>
      <c r="H4610" s="40" t="s">
        <v>11404</v>
      </c>
    </row>
    <row r="4611">
      <c r="A4611" s="39"/>
      <c r="E4611" s="40" t="s">
        <v>11404</v>
      </c>
      <c r="F4611" s="40" t="s">
        <v>11404</v>
      </c>
      <c r="G4611" s="40" t="s">
        <v>11404</v>
      </c>
      <c r="H4611" s="40" t="s">
        <v>11404</v>
      </c>
    </row>
    <row r="4612">
      <c r="A4612" s="39"/>
      <c r="E4612" s="40" t="s">
        <v>11404</v>
      </c>
      <c r="F4612" s="40" t="s">
        <v>11404</v>
      </c>
      <c r="G4612" s="40" t="s">
        <v>11404</v>
      </c>
      <c r="H4612" s="40" t="s">
        <v>11404</v>
      </c>
    </row>
    <row r="4613">
      <c r="A4613" s="39"/>
      <c r="E4613" s="40" t="s">
        <v>11404</v>
      </c>
      <c r="F4613" s="40" t="s">
        <v>11404</v>
      </c>
      <c r="G4613" s="40" t="s">
        <v>11404</v>
      </c>
      <c r="H4613" s="40" t="s">
        <v>11404</v>
      </c>
    </row>
    <row r="4614">
      <c r="A4614" s="39"/>
      <c r="E4614" s="40" t="s">
        <v>11404</v>
      </c>
      <c r="F4614" s="40" t="s">
        <v>11404</v>
      </c>
      <c r="G4614" s="40" t="s">
        <v>11404</v>
      </c>
      <c r="H4614" s="40" t="s">
        <v>11404</v>
      </c>
    </row>
    <row r="4615">
      <c r="A4615" s="39"/>
      <c r="E4615" s="40" t="s">
        <v>11404</v>
      </c>
      <c r="F4615" s="40" t="s">
        <v>11404</v>
      </c>
      <c r="G4615" s="40" t="s">
        <v>11404</v>
      </c>
      <c r="H4615" s="40" t="s">
        <v>11404</v>
      </c>
    </row>
    <row r="4616">
      <c r="A4616" s="39"/>
      <c r="E4616" s="40" t="s">
        <v>11404</v>
      </c>
      <c r="F4616" s="40" t="s">
        <v>11404</v>
      </c>
      <c r="G4616" s="40" t="s">
        <v>11404</v>
      </c>
      <c r="H4616" s="40" t="s">
        <v>11404</v>
      </c>
    </row>
    <row r="4617">
      <c r="A4617" s="39"/>
      <c r="E4617" s="40" t="s">
        <v>11404</v>
      </c>
      <c r="F4617" s="40" t="s">
        <v>11404</v>
      </c>
      <c r="G4617" s="40" t="s">
        <v>11404</v>
      </c>
      <c r="H4617" s="40" t="s">
        <v>11404</v>
      </c>
    </row>
    <row r="4618">
      <c r="A4618" s="39"/>
      <c r="E4618" s="40" t="s">
        <v>11404</v>
      </c>
      <c r="F4618" s="40" t="s">
        <v>11404</v>
      </c>
      <c r="G4618" s="40" t="s">
        <v>11404</v>
      </c>
      <c r="H4618" s="40" t="s">
        <v>11404</v>
      </c>
    </row>
    <row r="4619">
      <c r="A4619" s="39"/>
      <c r="E4619" s="40" t="s">
        <v>11404</v>
      </c>
      <c r="F4619" s="40" t="s">
        <v>11404</v>
      </c>
      <c r="G4619" s="40" t="s">
        <v>11404</v>
      </c>
      <c r="H4619" s="40" t="s">
        <v>11404</v>
      </c>
    </row>
    <row r="4620">
      <c r="A4620" s="39"/>
      <c r="E4620" s="40" t="s">
        <v>11404</v>
      </c>
      <c r="F4620" s="40" t="s">
        <v>11404</v>
      </c>
      <c r="G4620" s="40" t="s">
        <v>11404</v>
      </c>
      <c r="H4620" s="40" t="s">
        <v>11404</v>
      </c>
    </row>
    <row r="4621">
      <c r="A4621" s="39"/>
      <c r="E4621" s="40" t="s">
        <v>11404</v>
      </c>
      <c r="F4621" s="40" t="s">
        <v>11404</v>
      </c>
      <c r="G4621" s="40" t="s">
        <v>11404</v>
      </c>
      <c r="H4621" s="40" t="s">
        <v>11404</v>
      </c>
    </row>
    <row r="4622">
      <c r="A4622" s="39"/>
      <c r="E4622" s="40" t="s">
        <v>11404</v>
      </c>
      <c r="F4622" s="40" t="s">
        <v>11404</v>
      </c>
      <c r="G4622" s="40" t="s">
        <v>11404</v>
      </c>
      <c r="H4622" s="40" t="s">
        <v>11404</v>
      </c>
    </row>
    <row r="4623">
      <c r="A4623" s="39"/>
      <c r="E4623" s="40" t="s">
        <v>11404</v>
      </c>
      <c r="F4623" s="40" t="s">
        <v>11404</v>
      </c>
      <c r="G4623" s="40" t="s">
        <v>11404</v>
      </c>
      <c r="H4623" s="40" t="s">
        <v>11404</v>
      </c>
    </row>
    <row r="4624">
      <c r="A4624" s="39"/>
      <c r="E4624" s="40" t="s">
        <v>11404</v>
      </c>
      <c r="F4624" s="40" t="s">
        <v>11404</v>
      </c>
      <c r="G4624" s="40" t="s">
        <v>11404</v>
      </c>
      <c r="H4624" s="40" t="s">
        <v>11404</v>
      </c>
    </row>
    <row r="4625">
      <c r="A4625" s="39"/>
      <c r="E4625" s="40" t="s">
        <v>11404</v>
      </c>
      <c r="F4625" s="40" t="s">
        <v>11404</v>
      </c>
      <c r="G4625" s="40" t="s">
        <v>11404</v>
      </c>
      <c r="H4625" s="40" t="s">
        <v>11404</v>
      </c>
    </row>
    <row r="4626">
      <c r="A4626" s="39"/>
      <c r="E4626" s="40" t="s">
        <v>11404</v>
      </c>
      <c r="F4626" s="40" t="s">
        <v>11404</v>
      </c>
      <c r="G4626" s="40" t="s">
        <v>11404</v>
      </c>
      <c r="H4626" s="40" t="s">
        <v>11404</v>
      </c>
    </row>
    <row r="4627">
      <c r="A4627" s="39"/>
      <c r="E4627" s="40" t="s">
        <v>11404</v>
      </c>
      <c r="F4627" s="40" t="s">
        <v>11404</v>
      </c>
      <c r="G4627" s="40" t="s">
        <v>11404</v>
      </c>
      <c r="H4627" s="40" t="s">
        <v>11404</v>
      </c>
    </row>
    <row r="4628">
      <c r="A4628" s="39"/>
      <c r="E4628" s="40" t="s">
        <v>11404</v>
      </c>
      <c r="F4628" s="40" t="s">
        <v>11404</v>
      </c>
      <c r="G4628" s="40" t="s">
        <v>11404</v>
      </c>
      <c r="H4628" s="40" t="s">
        <v>11404</v>
      </c>
    </row>
    <row r="4629">
      <c r="A4629" s="39"/>
      <c r="E4629" s="40" t="s">
        <v>11404</v>
      </c>
      <c r="F4629" s="40" t="s">
        <v>11404</v>
      </c>
      <c r="G4629" s="40" t="s">
        <v>11404</v>
      </c>
      <c r="H4629" s="40" t="s">
        <v>11404</v>
      </c>
    </row>
    <row r="4630">
      <c r="A4630" s="39"/>
      <c r="E4630" s="40" t="s">
        <v>11404</v>
      </c>
      <c r="F4630" s="40" t="s">
        <v>11404</v>
      </c>
      <c r="G4630" s="40" t="s">
        <v>11404</v>
      </c>
      <c r="H4630" s="40" t="s">
        <v>11404</v>
      </c>
    </row>
    <row r="4631">
      <c r="A4631" s="39"/>
      <c r="E4631" s="40" t="s">
        <v>11404</v>
      </c>
      <c r="F4631" s="40" t="s">
        <v>11404</v>
      </c>
      <c r="G4631" s="40" t="s">
        <v>11404</v>
      </c>
      <c r="H4631" s="40" t="s">
        <v>11404</v>
      </c>
    </row>
    <row r="4632">
      <c r="A4632" s="39"/>
      <c r="E4632" s="40" t="s">
        <v>11404</v>
      </c>
      <c r="F4632" s="40" t="s">
        <v>11404</v>
      </c>
      <c r="G4632" s="40" t="s">
        <v>11404</v>
      </c>
      <c r="H4632" s="40" t="s">
        <v>11404</v>
      </c>
    </row>
    <row r="4633">
      <c r="A4633" s="39"/>
      <c r="E4633" s="40" t="s">
        <v>11404</v>
      </c>
      <c r="F4633" s="40" t="s">
        <v>11404</v>
      </c>
      <c r="G4633" s="40" t="s">
        <v>11404</v>
      </c>
      <c r="H4633" s="40" t="s">
        <v>11404</v>
      </c>
    </row>
    <row r="4634">
      <c r="A4634" s="39"/>
      <c r="E4634" s="40" t="s">
        <v>11404</v>
      </c>
      <c r="F4634" s="40" t="s">
        <v>11404</v>
      </c>
      <c r="G4634" s="40" t="s">
        <v>11404</v>
      </c>
      <c r="H4634" s="40" t="s">
        <v>11404</v>
      </c>
    </row>
    <row r="4635">
      <c r="A4635" s="39"/>
      <c r="E4635" s="40" t="s">
        <v>11404</v>
      </c>
      <c r="F4635" s="40" t="s">
        <v>11404</v>
      </c>
      <c r="G4635" s="40" t="s">
        <v>11404</v>
      </c>
      <c r="H4635" s="40" t="s">
        <v>11404</v>
      </c>
    </row>
    <row r="4636">
      <c r="A4636" s="39"/>
      <c r="E4636" s="40" t="s">
        <v>11404</v>
      </c>
      <c r="F4636" s="40" t="s">
        <v>11404</v>
      </c>
      <c r="G4636" s="40" t="s">
        <v>11404</v>
      </c>
      <c r="H4636" s="40" t="s">
        <v>11404</v>
      </c>
    </row>
    <row r="4637">
      <c r="A4637" s="39"/>
      <c r="E4637" s="40" t="s">
        <v>11404</v>
      </c>
      <c r="F4637" s="40" t="s">
        <v>11404</v>
      </c>
      <c r="G4637" s="40" t="s">
        <v>11404</v>
      </c>
      <c r="H4637" s="40" t="s">
        <v>11404</v>
      </c>
    </row>
    <row r="4638">
      <c r="A4638" s="39"/>
      <c r="E4638" s="40" t="s">
        <v>11404</v>
      </c>
      <c r="F4638" s="40" t="s">
        <v>11404</v>
      </c>
      <c r="G4638" s="40" t="s">
        <v>11404</v>
      </c>
      <c r="H4638" s="40" t="s">
        <v>11404</v>
      </c>
    </row>
    <row r="4639">
      <c r="A4639" s="39"/>
      <c r="E4639" s="40" t="s">
        <v>11404</v>
      </c>
      <c r="F4639" s="40" t="s">
        <v>11404</v>
      </c>
      <c r="G4639" s="40" t="s">
        <v>11404</v>
      </c>
      <c r="H4639" s="40" t="s">
        <v>11404</v>
      </c>
    </row>
    <row r="4640">
      <c r="A4640" s="39"/>
      <c r="E4640" s="40" t="s">
        <v>11404</v>
      </c>
      <c r="F4640" s="40" t="s">
        <v>11404</v>
      </c>
      <c r="G4640" s="40" t="s">
        <v>11404</v>
      </c>
      <c r="H4640" s="40" t="s">
        <v>11404</v>
      </c>
    </row>
    <row r="4641">
      <c r="A4641" s="39"/>
      <c r="E4641" s="40" t="s">
        <v>11404</v>
      </c>
      <c r="F4641" s="40" t="s">
        <v>11404</v>
      </c>
      <c r="G4641" s="40" t="s">
        <v>11404</v>
      </c>
      <c r="H4641" s="40" t="s">
        <v>11404</v>
      </c>
    </row>
    <row r="4642">
      <c r="A4642" s="39"/>
      <c r="E4642" s="40" t="s">
        <v>11404</v>
      </c>
      <c r="F4642" s="40" t="s">
        <v>11404</v>
      </c>
      <c r="G4642" s="40" t="s">
        <v>11404</v>
      </c>
      <c r="H4642" s="40" t="s">
        <v>11404</v>
      </c>
    </row>
    <row r="4643">
      <c r="A4643" s="39"/>
      <c r="E4643" s="40" t="s">
        <v>11404</v>
      </c>
      <c r="F4643" s="40" t="s">
        <v>11404</v>
      </c>
      <c r="G4643" s="40" t="s">
        <v>11404</v>
      </c>
      <c r="H4643" s="40" t="s">
        <v>11404</v>
      </c>
    </row>
    <row r="4644">
      <c r="A4644" s="39"/>
      <c r="E4644" s="40" t="s">
        <v>11404</v>
      </c>
      <c r="F4644" s="40" t="s">
        <v>11404</v>
      </c>
      <c r="G4644" s="40" t="s">
        <v>11404</v>
      </c>
      <c r="H4644" s="40" t="s">
        <v>11404</v>
      </c>
    </row>
    <row r="4645">
      <c r="A4645" s="39"/>
      <c r="E4645" s="40" t="s">
        <v>11404</v>
      </c>
      <c r="F4645" s="40" t="s">
        <v>11404</v>
      </c>
      <c r="G4645" s="40" t="s">
        <v>11404</v>
      </c>
      <c r="H4645" s="40" t="s">
        <v>11404</v>
      </c>
    </row>
    <row r="4646">
      <c r="A4646" s="39"/>
      <c r="E4646" s="40" t="s">
        <v>11404</v>
      </c>
      <c r="F4646" s="40" t="s">
        <v>11404</v>
      </c>
      <c r="G4646" s="40" t="s">
        <v>11404</v>
      </c>
      <c r="H4646" s="40" t="s">
        <v>11404</v>
      </c>
    </row>
    <row r="4647">
      <c r="A4647" s="39"/>
      <c r="E4647" s="40" t="s">
        <v>11404</v>
      </c>
      <c r="F4647" s="40" t="s">
        <v>11404</v>
      </c>
      <c r="G4647" s="40" t="s">
        <v>11404</v>
      </c>
      <c r="H4647" s="40" t="s">
        <v>11404</v>
      </c>
    </row>
    <row r="4648">
      <c r="A4648" s="39"/>
      <c r="E4648" s="40" t="s">
        <v>11404</v>
      </c>
      <c r="F4648" s="40" t="s">
        <v>11404</v>
      </c>
      <c r="G4648" s="40" t="s">
        <v>11404</v>
      </c>
      <c r="H4648" s="40" t="s">
        <v>11404</v>
      </c>
    </row>
    <row r="4649">
      <c r="A4649" s="39"/>
      <c r="E4649" s="40" t="s">
        <v>11404</v>
      </c>
      <c r="F4649" s="40" t="s">
        <v>11404</v>
      </c>
      <c r="G4649" s="40" t="s">
        <v>11404</v>
      </c>
      <c r="H4649" s="40" t="s">
        <v>11404</v>
      </c>
    </row>
    <row r="4650">
      <c r="A4650" s="39"/>
      <c r="E4650" s="40" t="s">
        <v>11404</v>
      </c>
      <c r="F4650" s="40" t="s">
        <v>11404</v>
      </c>
      <c r="G4650" s="40" t="s">
        <v>11404</v>
      </c>
      <c r="H4650" s="40" t="s">
        <v>11404</v>
      </c>
    </row>
    <row r="4651">
      <c r="A4651" s="39"/>
      <c r="E4651" s="40" t="s">
        <v>11404</v>
      </c>
      <c r="F4651" s="40" t="s">
        <v>11404</v>
      </c>
      <c r="G4651" s="40" t="s">
        <v>11404</v>
      </c>
      <c r="H4651" s="40" t="s">
        <v>11404</v>
      </c>
    </row>
    <row r="4652">
      <c r="A4652" s="39"/>
      <c r="E4652" s="40" t="s">
        <v>11404</v>
      </c>
      <c r="F4652" s="40" t="s">
        <v>11404</v>
      </c>
      <c r="G4652" s="40" t="s">
        <v>11404</v>
      </c>
      <c r="H4652" s="40" t="s">
        <v>11404</v>
      </c>
    </row>
    <row r="4653">
      <c r="A4653" s="39"/>
      <c r="E4653" s="40" t="s">
        <v>11404</v>
      </c>
      <c r="F4653" s="40" t="s">
        <v>11404</v>
      </c>
      <c r="G4653" s="40" t="s">
        <v>11404</v>
      </c>
      <c r="H4653" s="40" t="s">
        <v>11404</v>
      </c>
    </row>
    <row r="4654">
      <c r="A4654" s="39"/>
      <c r="E4654" s="40" t="s">
        <v>11404</v>
      </c>
      <c r="F4654" s="40" t="s">
        <v>11404</v>
      </c>
      <c r="G4654" s="40" t="s">
        <v>11404</v>
      </c>
      <c r="H4654" s="40" t="s">
        <v>11404</v>
      </c>
    </row>
    <row r="4655">
      <c r="A4655" s="39"/>
      <c r="E4655" s="40" t="s">
        <v>11404</v>
      </c>
      <c r="F4655" s="40" t="s">
        <v>11404</v>
      </c>
      <c r="G4655" s="40" t="s">
        <v>11404</v>
      </c>
      <c r="H4655" s="40" t="s">
        <v>11404</v>
      </c>
    </row>
    <row r="4656">
      <c r="A4656" s="39"/>
      <c r="E4656" s="40" t="s">
        <v>11404</v>
      </c>
      <c r="F4656" s="40" t="s">
        <v>11404</v>
      </c>
      <c r="G4656" s="40" t="s">
        <v>11404</v>
      </c>
      <c r="H4656" s="40" t="s">
        <v>11404</v>
      </c>
    </row>
    <row r="4657">
      <c r="A4657" s="39"/>
      <c r="E4657" s="40" t="s">
        <v>11404</v>
      </c>
      <c r="F4657" s="40" t="s">
        <v>11404</v>
      </c>
      <c r="G4657" s="40" t="s">
        <v>11404</v>
      </c>
      <c r="H4657" s="40" t="s">
        <v>11404</v>
      </c>
    </row>
    <row r="4658">
      <c r="A4658" s="39"/>
      <c r="E4658" s="40" t="s">
        <v>11404</v>
      </c>
      <c r="F4658" s="40" t="s">
        <v>11404</v>
      </c>
      <c r="G4658" s="40" t="s">
        <v>11404</v>
      </c>
      <c r="H4658" s="40" t="s">
        <v>11404</v>
      </c>
    </row>
    <row r="4659">
      <c r="A4659" s="39"/>
      <c r="E4659" s="40" t="s">
        <v>11404</v>
      </c>
      <c r="F4659" s="40" t="s">
        <v>11404</v>
      </c>
      <c r="G4659" s="40" t="s">
        <v>11404</v>
      </c>
      <c r="H4659" s="40" t="s">
        <v>11404</v>
      </c>
    </row>
    <row r="4660">
      <c r="A4660" s="39"/>
      <c r="E4660" s="40" t="s">
        <v>11404</v>
      </c>
      <c r="F4660" s="40" t="s">
        <v>11404</v>
      </c>
      <c r="G4660" s="40" t="s">
        <v>11404</v>
      </c>
      <c r="H4660" s="40" t="s">
        <v>11404</v>
      </c>
    </row>
    <row r="4661">
      <c r="A4661" s="39"/>
      <c r="E4661" s="40" t="s">
        <v>11404</v>
      </c>
      <c r="F4661" s="40" t="s">
        <v>11404</v>
      </c>
      <c r="G4661" s="40" t="s">
        <v>11404</v>
      </c>
      <c r="H4661" s="40" t="s">
        <v>11404</v>
      </c>
    </row>
    <row r="4662">
      <c r="A4662" s="39"/>
      <c r="E4662" s="40" t="s">
        <v>11404</v>
      </c>
      <c r="F4662" s="40" t="s">
        <v>11404</v>
      </c>
      <c r="G4662" s="40" t="s">
        <v>11404</v>
      </c>
      <c r="H4662" s="40" t="s">
        <v>11404</v>
      </c>
    </row>
    <row r="4663">
      <c r="A4663" s="39"/>
      <c r="E4663" s="40" t="s">
        <v>11404</v>
      </c>
      <c r="F4663" s="40" t="s">
        <v>11404</v>
      </c>
      <c r="G4663" s="40" t="s">
        <v>11404</v>
      </c>
      <c r="H4663" s="40" t="s">
        <v>11404</v>
      </c>
    </row>
    <row r="4664">
      <c r="A4664" s="39"/>
      <c r="E4664" s="40" t="s">
        <v>11404</v>
      </c>
      <c r="F4664" s="40" t="s">
        <v>11404</v>
      </c>
      <c r="G4664" s="40" t="s">
        <v>11404</v>
      </c>
      <c r="H4664" s="40" t="s">
        <v>11404</v>
      </c>
    </row>
    <row r="4665">
      <c r="A4665" s="39"/>
      <c r="E4665" s="40" t="s">
        <v>11404</v>
      </c>
      <c r="F4665" s="40" t="s">
        <v>11404</v>
      </c>
      <c r="G4665" s="40" t="s">
        <v>11404</v>
      </c>
      <c r="H4665" s="40" t="s">
        <v>11404</v>
      </c>
    </row>
    <row r="4666">
      <c r="A4666" s="39"/>
      <c r="E4666" s="40" t="s">
        <v>11404</v>
      </c>
      <c r="F4666" s="40" t="s">
        <v>11404</v>
      </c>
      <c r="G4666" s="40" t="s">
        <v>11404</v>
      </c>
      <c r="H4666" s="40" t="s">
        <v>11404</v>
      </c>
    </row>
    <row r="4667">
      <c r="A4667" s="39"/>
      <c r="E4667" s="40" t="s">
        <v>11404</v>
      </c>
      <c r="F4667" s="40" t="s">
        <v>11404</v>
      </c>
      <c r="G4667" s="40" t="s">
        <v>11404</v>
      </c>
      <c r="H4667" s="40" t="s">
        <v>11404</v>
      </c>
    </row>
    <row r="4668">
      <c r="A4668" s="39"/>
      <c r="E4668" s="40" t="s">
        <v>11404</v>
      </c>
      <c r="F4668" s="40" t="s">
        <v>11404</v>
      </c>
      <c r="G4668" s="40" t="s">
        <v>11404</v>
      </c>
      <c r="H4668" s="40" t="s">
        <v>11404</v>
      </c>
    </row>
    <row r="4669">
      <c r="A4669" s="39"/>
      <c r="E4669" s="40" t="s">
        <v>11404</v>
      </c>
      <c r="F4669" s="40" t="s">
        <v>11404</v>
      </c>
      <c r="G4669" s="40" t="s">
        <v>11404</v>
      </c>
      <c r="H4669" s="40" t="s">
        <v>11404</v>
      </c>
    </row>
    <row r="4670">
      <c r="A4670" s="39"/>
      <c r="E4670" s="40" t="s">
        <v>11404</v>
      </c>
      <c r="F4670" s="40" t="s">
        <v>11404</v>
      </c>
      <c r="G4670" s="40" t="s">
        <v>11404</v>
      </c>
      <c r="H4670" s="40" t="s">
        <v>11404</v>
      </c>
    </row>
    <row r="4671">
      <c r="A4671" s="39"/>
      <c r="E4671" s="40" t="s">
        <v>11404</v>
      </c>
      <c r="F4671" s="40" t="s">
        <v>11404</v>
      </c>
      <c r="G4671" s="40" t="s">
        <v>11404</v>
      </c>
      <c r="H4671" s="40" t="s">
        <v>11404</v>
      </c>
    </row>
    <row r="4672">
      <c r="A4672" s="39"/>
      <c r="E4672" s="40" t="s">
        <v>11404</v>
      </c>
      <c r="F4672" s="40" t="s">
        <v>11404</v>
      </c>
      <c r="G4672" s="40" t="s">
        <v>11404</v>
      </c>
      <c r="H4672" s="40" t="s">
        <v>11404</v>
      </c>
    </row>
    <row r="4673">
      <c r="A4673" s="39"/>
      <c r="E4673" s="40" t="s">
        <v>11404</v>
      </c>
      <c r="F4673" s="40" t="s">
        <v>11404</v>
      </c>
      <c r="G4673" s="40" t="s">
        <v>11404</v>
      </c>
      <c r="H4673" s="40" t="s">
        <v>11404</v>
      </c>
    </row>
    <row r="4674">
      <c r="A4674" s="39"/>
      <c r="E4674" s="40" t="s">
        <v>11404</v>
      </c>
      <c r="F4674" s="40" t="s">
        <v>11404</v>
      </c>
      <c r="G4674" s="40" t="s">
        <v>11404</v>
      </c>
      <c r="H4674" s="40" t="s">
        <v>11404</v>
      </c>
    </row>
    <row r="4675">
      <c r="A4675" s="39"/>
      <c r="E4675" s="40" t="s">
        <v>11404</v>
      </c>
      <c r="F4675" s="40" t="s">
        <v>11404</v>
      </c>
      <c r="G4675" s="40" t="s">
        <v>11404</v>
      </c>
      <c r="H4675" s="40" t="s">
        <v>11404</v>
      </c>
    </row>
    <row r="4676">
      <c r="A4676" s="39"/>
      <c r="E4676" s="40" t="s">
        <v>11404</v>
      </c>
      <c r="F4676" s="40" t="s">
        <v>11404</v>
      </c>
      <c r="G4676" s="40" t="s">
        <v>11404</v>
      </c>
      <c r="H4676" s="40" t="s">
        <v>11404</v>
      </c>
    </row>
    <row r="4677">
      <c r="A4677" s="39"/>
      <c r="E4677" s="40" t="s">
        <v>11404</v>
      </c>
      <c r="F4677" s="40" t="s">
        <v>11404</v>
      </c>
      <c r="G4677" s="40" t="s">
        <v>11404</v>
      </c>
      <c r="H4677" s="40" t="s">
        <v>11404</v>
      </c>
    </row>
    <row r="4678">
      <c r="A4678" s="39"/>
      <c r="E4678" s="40" t="s">
        <v>11404</v>
      </c>
      <c r="F4678" s="40" t="s">
        <v>11404</v>
      </c>
      <c r="G4678" s="40" t="s">
        <v>11404</v>
      </c>
      <c r="H4678" s="40" t="s">
        <v>11404</v>
      </c>
    </row>
    <row r="4679">
      <c r="A4679" s="39"/>
      <c r="E4679" s="40" t="s">
        <v>11404</v>
      </c>
      <c r="F4679" s="40" t="s">
        <v>11404</v>
      </c>
      <c r="G4679" s="40" t="s">
        <v>11404</v>
      </c>
      <c r="H4679" s="40" t="s">
        <v>11404</v>
      </c>
    </row>
    <row r="4680">
      <c r="A4680" s="39"/>
      <c r="E4680" s="40" t="s">
        <v>11404</v>
      </c>
      <c r="F4680" s="40" t="s">
        <v>11404</v>
      </c>
      <c r="G4680" s="40" t="s">
        <v>11404</v>
      </c>
      <c r="H4680" s="40" t="s">
        <v>11404</v>
      </c>
    </row>
    <row r="4681">
      <c r="A4681" s="39"/>
      <c r="E4681" s="40" t="s">
        <v>11404</v>
      </c>
      <c r="F4681" s="40" t="s">
        <v>11404</v>
      </c>
      <c r="G4681" s="40" t="s">
        <v>11404</v>
      </c>
      <c r="H4681" s="40" t="s">
        <v>11404</v>
      </c>
    </row>
    <row r="4682">
      <c r="A4682" s="39"/>
      <c r="E4682" s="40" t="s">
        <v>11404</v>
      </c>
      <c r="F4682" s="40" t="s">
        <v>11404</v>
      </c>
      <c r="G4682" s="40" t="s">
        <v>11404</v>
      </c>
      <c r="H4682" s="40" t="s">
        <v>11404</v>
      </c>
    </row>
    <row r="4683">
      <c r="A4683" s="39"/>
      <c r="E4683" s="40" t="s">
        <v>11404</v>
      </c>
      <c r="F4683" s="40" t="s">
        <v>11404</v>
      </c>
      <c r="G4683" s="40" t="s">
        <v>11404</v>
      </c>
      <c r="H4683" s="40" t="s">
        <v>11404</v>
      </c>
    </row>
    <row r="4684">
      <c r="A4684" s="39"/>
      <c r="E4684" s="40" t="s">
        <v>11404</v>
      </c>
      <c r="F4684" s="40" t="s">
        <v>11404</v>
      </c>
      <c r="G4684" s="40" t="s">
        <v>11404</v>
      </c>
      <c r="H4684" s="40" t="s">
        <v>11404</v>
      </c>
    </row>
    <row r="4685">
      <c r="A4685" s="39"/>
      <c r="E4685" s="40" t="s">
        <v>11404</v>
      </c>
      <c r="F4685" s="40" t="s">
        <v>11404</v>
      </c>
      <c r="G4685" s="40" t="s">
        <v>11404</v>
      </c>
      <c r="H4685" s="40" t="s">
        <v>11404</v>
      </c>
    </row>
    <row r="4686">
      <c r="A4686" s="39"/>
      <c r="E4686" s="40" t="s">
        <v>11404</v>
      </c>
      <c r="F4686" s="40" t="s">
        <v>11404</v>
      </c>
      <c r="G4686" s="40" t="s">
        <v>11404</v>
      </c>
      <c r="H4686" s="40" t="s">
        <v>11404</v>
      </c>
    </row>
    <row r="4687">
      <c r="A4687" s="39"/>
      <c r="E4687" s="40" t="s">
        <v>11404</v>
      </c>
      <c r="F4687" s="40" t="s">
        <v>11404</v>
      </c>
      <c r="G4687" s="40" t="s">
        <v>11404</v>
      </c>
      <c r="H4687" s="40" t="s">
        <v>11404</v>
      </c>
    </row>
    <row r="4688">
      <c r="A4688" s="39"/>
      <c r="E4688" s="40" t="s">
        <v>11404</v>
      </c>
      <c r="F4688" s="40" t="s">
        <v>11404</v>
      </c>
      <c r="G4688" s="40" t="s">
        <v>11404</v>
      </c>
      <c r="H4688" s="40" t="s">
        <v>11404</v>
      </c>
    </row>
    <row r="4689">
      <c r="A4689" s="39"/>
      <c r="E4689" s="40" t="s">
        <v>11404</v>
      </c>
      <c r="F4689" s="40" t="s">
        <v>11404</v>
      </c>
      <c r="G4689" s="40" t="s">
        <v>11404</v>
      </c>
      <c r="H4689" s="40" t="s">
        <v>11404</v>
      </c>
    </row>
    <row r="4690">
      <c r="A4690" s="39"/>
      <c r="E4690" s="40" t="s">
        <v>11404</v>
      </c>
      <c r="F4690" s="40" t="s">
        <v>11404</v>
      </c>
      <c r="G4690" s="40" t="s">
        <v>11404</v>
      </c>
      <c r="H4690" s="40" t="s">
        <v>11404</v>
      </c>
    </row>
    <row r="4691">
      <c r="A4691" s="39"/>
      <c r="E4691" s="40" t="s">
        <v>11404</v>
      </c>
      <c r="F4691" s="40" t="s">
        <v>11404</v>
      </c>
      <c r="G4691" s="40" t="s">
        <v>11404</v>
      </c>
      <c r="H4691" s="40" t="s">
        <v>11404</v>
      </c>
    </row>
    <row r="4692">
      <c r="A4692" s="39"/>
      <c r="E4692" s="40" t="s">
        <v>11404</v>
      </c>
      <c r="F4692" s="40" t="s">
        <v>11404</v>
      </c>
      <c r="G4692" s="40" t="s">
        <v>11404</v>
      </c>
      <c r="H4692" s="40" t="s">
        <v>11404</v>
      </c>
    </row>
    <row r="4693">
      <c r="A4693" s="39"/>
      <c r="E4693" s="40" t="s">
        <v>11404</v>
      </c>
      <c r="F4693" s="40" t="s">
        <v>11404</v>
      </c>
      <c r="G4693" s="40" t="s">
        <v>11404</v>
      </c>
      <c r="H4693" s="40" t="s">
        <v>11404</v>
      </c>
    </row>
    <row r="4694">
      <c r="A4694" s="39"/>
      <c r="E4694" s="40" t="s">
        <v>11404</v>
      </c>
      <c r="F4694" s="40" t="s">
        <v>11404</v>
      </c>
      <c r="G4694" s="40" t="s">
        <v>11404</v>
      </c>
      <c r="H4694" s="40" t="s">
        <v>11404</v>
      </c>
    </row>
    <row r="4695">
      <c r="A4695" s="39"/>
      <c r="E4695" s="40" t="s">
        <v>11404</v>
      </c>
      <c r="F4695" s="40" t="s">
        <v>11404</v>
      </c>
      <c r="G4695" s="40" t="s">
        <v>11404</v>
      </c>
      <c r="H4695" s="40" t="s">
        <v>11404</v>
      </c>
    </row>
    <row r="4696">
      <c r="A4696" s="39"/>
      <c r="E4696" s="40" t="s">
        <v>11404</v>
      </c>
      <c r="F4696" s="40" t="s">
        <v>11404</v>
      </c>
      <c r="G4696" s="40" t="s">
        <v>11404</v>
      </c>
      <c r="H4696" s="40" t="s">
        <v>11404</v>
      </c>
    </row>
    <row r="4697">
      <c r="A4697" s="39"/>
      <c r="E4697" s="40" t="s">
        <v>11404</v>
      </c>
      <c r="F4697" s="40" t="s">
        <v>11404</v>
      </c>
      <c r="G4697" s="40" t="s">
        <v>11404</v>
      </c>
      <c r="H4697" s="40" t="s">
        <v>11404</v>
      </c>
    </row>
    <row r="4698">
      <c r="A4698" s="39"/>
      <c r="E4698" s="40" t="s">
        <v>11404</v>
      </c>
      <c r="F4698" s="40" t="s">
        <v>11404</v>
      </c>
      <c r="G4698" s="40" t="s">
        <v>11404</v>
      </c>
      <c r="H4698" s="40" t="s">
        <v>11404</v>
      </c>
    </row>
    <row r="4699">
      <c r="A4699" s="39"/>
      <c r="E4699" s="40" t="s">
        <v>11404</v>
      </c>
      <c r="F4699" s="40" t="s">
        <v>11404</v>
      </c>
      <c r="G4699" s="40" t="s">
        <v>11404</v>
      </c>
      <c r="H4699" s="40" t="s">
        <v>11404</v>
      </c>
    </row>
    <row r="4700">
      <c r="A4700" s="39"/>
      <c r="E4700" s="40" t="s">
        <v>11404</v>
      </c>
      <c r="F4700" s="40" t="s">
        <v>11404</v>
      </c>
      <c r="G4700" s="40" t="s">
        <v>11404</v>
      </c>
      <c r="H4700" s="40" t="s">
        <v>11404</v>
      </c>
    </row>
    <row r="4701">
      <c r="A4701" s="39"/>
      <c r="E4701" s="40" t="s">
        <v>11404</v>
      </c>
      <c r="F4701" s="40" t="s">
        <v>11404</v>
      </c>
      <c r="G4701" s="40" t="s">
        <v>11404</v>
      </c>
      <c r="H4701" s="40" t="s">
        <v>11404</v>
      </c>
    </row>
    <row r="4702">
      <c r="A4702" s="39"/>
      <c r="E4702" s="40" t="s">
        <v>11404</v>
      </c>
      <c r="F4702" s="40" t="s">
        <v>11404</v>
      </c>
      <c r="G4702" s="40" t="s">
        <v>11404</v>
      </c>
      <c r="H4702" s="40" t="s">
        <v>11404</v>
      </c>
    </row>
    <row r="4703">
      <c r="A4703" s="39"/>
      <c r="E4703" s="40" t="s">
        <v>11404</v>
      </c>
      <c r="F4703" s="40" t="s">
        <v>11404</v>
      </c>
      <c r="G4703" s="40" t="s">
        <v>11404</v>
      </c>
      <c r="H4703" s="40" t="s">
        <v>11404</v>
      </c>
    </row>
    <row r="4704">
      <c r="A4704" s="39"/>
      <c r="E4704" s="40" t="s">
        <v>11404</v>
      </c>
      <c r="F4704" s="40" t="s">
        <v>11404</v>
      </c>
      <c r="G4704" s="40" t="s">
        <v>11404</v>
      </c>
      <c r="H4704" s="40" t="s">
        <v>11404</v>
      </c>
    </row>
    <row r="4705">
      <c r="A4705" s="39"/>
      <c r="E4705" s="40" t="s">
        <v>11404</v>
      </c>
      <c r="F4705" s="40" t="s">
        <v>11404</v>
      </c>
      <c r="G4705" s="40" t="s">
        <v>11404</v>
      </c>
      <c r="H4705" s="40" t="s">
        <v>11404</v>
      </c>
    </row>
    <row r="4706">
      <c r="A4706" s="39"/>
      <c r="E4706" s="40" t="s">
        <v>11404</v>
      </c>
      <c r="F4706" s="40" t="s">
        <v>11404</v>
      </c>
      <c r="G4706" s="40" t="s">
        <v>11404</v>
      </c>
      <c r="H4706" s="40" t="s">
        <v>11404</v>
      </c>
    </row>
    <row r="4707">
      <c r="A4707" s="39"/>
      <c r="E4707" s="40" t="s">
        <v>11404</v>
      </c>
      <c r="F4707" s="40" t="s">
        <v>11404</v>
      </c>
      <c r="G4707" s="40" t="s">
        <v>11404</v>
      </c>
      <c r="H4707" s="40" t="s">
        <v>11404</v>
      </c>
    </row>
    <row r="4708">
      <c r="A4708" s="39"/>
      <c r="E4708" s="40" t="s">
        <v>11404</v>
      </c>
      <c r="F4708" s="40" t="s">
        <v>11404</v>
      </c>
      <c r="G4708" s="40" t="s">
        <v>11404</v>
      </c>
      <c r="H4708" s="40" t="s">
        <v>11404</v>
      </c>
    </row>
    <row r="4709">
      <c r="A4709" s="39"/>
      <c r="E4709" s="40" t="s">
        <v>11404</v>
      </c>
      <c r="F4709" s="40" t="s">
        <v>11404</v>
      </c>
      <c r="G4709" s="40" t="s">
        <v>11404</v>
      </c>
      <c r="H4709" s="40" t="s">
        <v>11404</v>
      </c>
    </row>
    <row r="4710">
      <c r="A4710" s="39"/>
      <c r="E4710" s="40" t="s">
        <v>11404</v>
      </c>
      <c r="F4710" s="40" t="s">
        <v>11404</v>
      </c>
      <c r="G4710" s="40" t="s">
        <v>11404</v>
      </c>
      <c r="H4710" s="40" t="s">
        <v>11404</v>
      </c>
    </row>
    <row r="4711">
      <c r="A4711" s="39"/>
      <c r="E4711" s="40" t="s">
        <v>11404</v>
      </c>
      <c r="F4711" s="40" t="s">
        <v>11404</v>
      </c>
      <c r="G4711" s="40" t="s">
        <v>11404</v>
      </c>
      <c r="H4711" s="40" t="s">
        <v>11404</v>
      </c>
    </row>
    <row r="4712">
      <c r="A4712" s="39"/>
      <c r="E4712" s="40" t="s">
        <v>11404</v>
      </c>
      <c r="F4712" s="40" t="s">
        <v>11404</v>
      </c>
      <c r="G4712" s="40" t="s">
        <v>11404</v>
      </c>
      <c r="H4712" s="40" t="s">
        <v>11404</v>
      </c>
    </row>
    <row r="4713">
      <c r="A4713" s="39"/>
      <c r="E4713" s="40" t="s">
        <v>11404</v>
      </c>
      <c r="F4713" s="40" t="s">
        <v>11404</v>
      </c>
      <c r="G4713" s="40" t="s">
        <v>11404</v>
      </c>
      <c r="H4713" s="40" t="s">
        <v>11404</v>
      </c>
    </row>
    <row r="4714">
      <c r="A4714" s="39"/>
      <c r="E4714" s="40" t="s">
        <v>11404</v>
      </c>
      <c r="F4714" s="40" t="s">
        <v>11404</v>
      </c>
      <c r="G4714" s="40" t="s">
        <v>11404</v>
      </c>
      <c r="H4714" s="40" t="s">
        <v>11404</v>
      </c>
    </row>
    <row r="4715">
      <c r="A4715" s="39"/>
      <c r="E4715" s="40" t="s">
        <v>11404</v>
      </c>
      <c r="F4715" s="40" t="s">
        <v>11404</v>
      </c>
      <c r="G4715" s="40" t="s">
        <v>11404</v>
      </c>
      <c r="H4715" s="40" t="s">
        <v>11404</v>
      </c>
    </row>
    <row r="4716">
      <c r="A4716" s="39"/>
      <c r="E4716" s="40" t="s">
        <v>11404</v>
      </c>
      <c r="F4716" s="40" t="s">
        <v>11404</v>
      </c>
      <c r="G4716" s="40" t="s">
        <v>11404</v>
      </c>
      <c r="H4716" s="40" t="s">
        <v>11404</v>
      </c>
    </row>
    <row r="4717">
      <c r="A4717" s="39"/>
      <c r="E4717" s="40" t="s">
        <v>11404</v>
      </c>
      <c r="F4717" s="40" t="s">
        <v>11404</v>
      </c>
      <c r="G4717" s="40" t="s">
        <v>11404</v>
      </c>
      <c r="H4717" s="40" t="s">
        <v>11404</v>
      </c>
    </row>
    <row r="4718">
      <c r="A4718" s="39"/>
      <c r="E4718" s="40" t="s">
        <v>11404</v>
      </c>
      <c r="F4718" s="40" t="s">
        <v>11404</v>
      </c>
      <c r="G4718" s="40" t="s">
        <v>11404</v>
      </c>
      <c r="H4718" s="40" t="s">
        <v>11404</v>
      </c>
    </row>
    <row r="4719">
      <c r="A4719" s="39"/>
      <c r="E4719" s="40" t="s">
        <v>11404</v>
      </c>
      <c r="F4719" s="40" t="s">
        <v>11404</v>
      </c>
      <c r="G4719" s="40" t="s">
        <v>11404</v>
      </c>
      <c r="H4719" s="40" t="s">
        <v>11404</v>
      </c>
    </row>
    <row r="4720">
      <c r="A4720" s="39"/>
      <c r="E4720" s="40" t="s">
        <v>11404</v>
      </c>
      <c r="F4720" s="40" t="s">
        <v>11404</v>
      </c>
      <c r="G4720" s="40" t="s">
        <v>11404</v>
      </c>
      <c r="H4720" s="40" t="s">
        <v>11404</v>
      </c>
    </row>
    <row r="4721">
      <c r="A4721" s="39"/>
      <c r="E4721" s="40" t="s">
        <v>11404</v>
      </c>
      <c r="F4721" s="40" t="s">
        <v>11404</v>
      </c>
      <c r="G4721" s="40" t="s">
        <v>11404</v>
      </c>
      <c r="H4721" s="40" t="s">
        <v>11404</v>
      </c>
    </row>
    <row r="4722">
      <c r="A4722" s="39"/>
      <c r="E4722" s="40" t="s">
        <v>11404</v>
      </c>
      <c r="F4722" s="40" t="s">
        <v>11404</v>
      </c>
      <c r="G4722" s="40" t="s">
        <v>11404</v>
      </c>
      <c r="H4722" s="40" t="s">
        <v>11404</v>
      </c>
    </row>
    <row r="4723">
      <c r="A4723" s="39"/>
      <c r="E4723" s="40" t="s">
        <v>11404</v>
      </c>
      <c r="F4723" s="40" t="s">
        <v>11404</v>
      </c>
      <c r="G4723" s="40" t="s">
        <v>11404</v>
      </c>
      <c r="H4723" s="40" t="s">
        <v>11404</v>
      </c>
    </row>
    <row r="4724">
      <c r="A4724" s="39"/>
      <c r="E4724" s="40" t="s">
        <v>11404</v>
      </c>
      <c r="F4724" s="40" t="s">
        <v>11404</v>
      </c>
      <c r="G4724" s="40" t="s">
        <v>11404</v>
      </c>
      <c r="H4724" s="40" t="s">
        <v>11404</v>
      </c>
    </row>
    <row r="4725">
      <c r="A4725" s="39"/>
      <c r="E4725" s="40" t="s">
        <v>11404</v>
      </c>
      <c r="F4725" s="40" t="s">
        <v>11404</v>
      </c>
      <c r="G4725" s="40" t="s">
        <v>11404</v>
      </c>
      <c r="H4725" s="40" t="s">
        <v>11404</v>
      </c>
    </row>
    <row r="4726">
      <c r="A4726" s="39"/>
      <c r="E4726" s="40" t="s">
        <v>11404</v>
      </c>
      <c r="F4726" s="40" t="s">
        <v>11404</v>
      </c>
      <c r="G4726" s="40" t="s">
        <v>11404</v>
      </c>
      <c r="H4726" s="40" t="s">
        <v>11404</v>
      </c>
    </row>
    <row r="4727">
      <c r="A4727" s="39"/>
      <c r="E4727" s="40" t="s">
        <v>11404</v>
      </c>
      <c r="F4727" s="40" t="s">
        <v>11404</v>
      </c>
      <c r="G4727" s="40" t="s">
        <v>11404</v>
      </c>
      <c r="H4727" s="40" t="s">
        <v>11404</v>
      </c>
    </row>
    <row r="4728">
      <c r="A4728" s="39"/>
      <c r="E4728" s="40" t="s">
        <v>11404</v>
      </c>
      <c r="F4728" s="40" t="s">
        <v>11404</v>
      </c>
      <c r="G4728" s="40" t="s">
        <v>11404</v>
      </c>
      <c r="H4728" s="40" t="s">
        <v>11404</v>
      </c>
    </row>
    <row r="4729">
      <c r="A4729" s="39"/>
      <c r="E4729" s="40" t="s">
        <v>11404</v>
      </c>
      <c r="F4729" s="40" t="s">
        <v>11404</v>
      </c>
      <c r="G4729" s="40" t="s">
        <v>11404</v>
      </c>
      <c r="H4729" s="40" t="s">
        <v>11404</v>
      </c>
    </row>
    <row r="4730">
      <c r="A4730" s="39"/>
      <c r="E4730" s="40" t="s">
        <v>11404</v>
      </c>
      <c r="F4730" s="40" t="s">
        <v>11404</v>
      </c>
      <c r="G4730" s="40" t="s">
        <v>11404</v>
      </c>
      <c r="H4730" s="40" t="s">
        <v>11404</v>
      </c>
    </row>
    <row r="4731">
      <c r="A4731" s="39"/>
      <c r="E4731" s="40" t="s">
        <v>11404</v>
      </c>
      <c r="F4731" s="40" t="s">
        <v>11404</v>
      </c>
      <c r="G4731" s="40" t="s">
        <v>11404</v>
      </c>
      <c r="H4731" s="40" t="s">
        <v>11404</v>
      </c>
    </row>
    <row r="4732">
      <c r="A4732" s="39"/>
      <c r="E4732" s="40" t="s">
        <v>11404</v>
      </c>
      <c r="F4732" s="40" t="s">
        <v>11404</v>
      </c>
      <c r="G4732" s="40" t="s">
        <v>11404</v>
      </c>
      <c r="H4732" s="40" t="s">
        <v>11404</v>
      </c>
    </row>
    <row r="4733">
      <c r="A4733" s="39"/>
      <c r="E4733" s="40" t="s">
        <v>11404</v>
      </c>
      <c r="F4733" s="40" t="s">
        <v>11404</v>
      </c>
      <c r="G4733" s="40" t="s">
        <v>11404</v>
      </c>
      <c r="H4733" s="40" t="s">
        <v>11404</v>
      </c>
    </row>
    <row r="4734">
      <c r="A4734" s="39"/>
      <c r="E4734" s="40" t="s">
        <v>11404</v>
      </c>
      <c r="F4734" s="40" t="s">
        <v>11404</v>
      </c>
      <c r="G4734" s="40" t="s">
        <v>11404</v>
      </c>
      <c r="H4734" s="40" t="s">
        <v>11404</v>
      </c>
    </row>
    <row r="4735">
      <c r="A4735" s="39"/>
      <c r="E4735" s="40" t="s">
        <v>11404</v>
      </c>
      <c r="F4735" s="40" t="s">
        <v>11404</v>
      </c>
      <c r="G4735" s="40" t="s">
        <v>11404</v>
      </c>
      <c r="H4735" s="40" t="s">
        <v>11404</v>
      </c>
    </row>
    <row r="4736">
      <c r="A4736" s="39"/>
      <c r="E4736" s="40" t="s">
        <v>11404</v>
      </c>
      <c r="F4736" s="40" t="s">
        <v>11404</v>
      </c>
      <c r="G4736" s="40" t="s">
        <v>11404</v>
      </c>
      <c r="H4736" s="40" t="s">
        <v>11404</v>
      </c>
    </row>
    <row r="4737">
      <c r="A4737" s="39"/>
      <c r="E4737" s="40" t="s">
        <v>11404</v>
      </c>
      <c r="F4737" s="40" t="s">
        <v>11404</v>
      </c>
      <c r="G4737" s="40" t="s">
        <v>11404</v>
      </c>
      <c r="H4737" s="40" t="s">
        <v>11404</v>
      </c>
    </row>
    <row r="4738">
      <c r="A4738" s="39"/>
      <c r="E4738" s="40" t="s">
        <v>11404</v>
      </c>
      <c r="F4738" s="40" t="s">
        <v>11404</v>
      </c>
      <c r="G4738" s="40" t="s">
        <v>11404</v>
      </c>
      <c r="H4738" s="40" t="s">
        <v>11404</v>
      </c>
    </row>
    <row r="4739">
      <c r="A4739" s="39"/>
      <c r="E4739" s="40" t="s">
        <v>11404</v>
      </c>
      <c r="F4739" s="40" t="s">
        <v>11404</v>
      </c>
      <c r="G4739" s="40" t="s">
        <v>11404</v>
      </c>
      <c r="H4739" s="40" t="s">
        <v>11404</v>
      </c>
    </row>
    <row r="4740">
      <c r="A4740" s="39"/>
      <c r="E4740" s="40" t="s">
        <v>11404</v>
      </c>
      <c r="F4740" s="40" t="s">
        <v>11404</v>
      </c>
      <c r="G4740" s="40" t="s">
        <v>11404</v>
      </c>
      <c r="H4740" s="40" t="s">
        <v>11404</v>
      </c>
    </row>
    <row r="4741">
      <c r="A4741" s="39"/>
      <c r="E4741" s="40" t="s">
        <v>11404</v>
      </c>
      <c r="F4741" s="40" t="s">
        <v>11404</v>
      </c>
      <c r="G4741" s="40" t="s">
        <v>11404</v>
      </c>
      <c r="H4741" s="40" t="s">
        <v>11404</v>
      </c>
    </row>
    <row r="4742">
      <c r="A4742" s="39"/>
      <c r="E4742" s="40" t="s">
        <v>11404</v>
      </c>
      <c r="F4742" s="40" t="s">
        <v>11404</v>
      </c>
      <c r="G4742" s="40" t="s">
        <v>11404</v>
      </c>
      <c r="H4742" s="40" t="s">
        <v>11404</v>
      </c>
    </row>
    <row r="4743">
      <c r="A4743" s="39"/>
      <c r="E4743" s="40" t="s">
        <v>11404</v>
      </c>
      <c r="F4743" s="40" t="s">
        <v>11404</v>
      </c>
      <c r="G4743" s="40" t="s">
        <v>11404</v>
      </c>
      <c r="H4743" s="40" t="s">
        <v>11404</v>
      </c>
    </row>
    <row r="4744">
      <c r="A4744" s="39"/>
      <c r="E4744" s="40" t="s">
        <v>11404</v>
      </c>
      <c r="F4744" s="40" t="s">
        <v>11404</v>
      </c>
      <c r="G4744" s="40" t="s">
        <v>11404</v>
      </c>
      <c r="H4744" s="40" t="s">
        <v>11404</v>
      </c>
    </row>
    <row r="4745">
      <c r="A4745" s="39"/>
      <c r="E4745" s="40" t="s">
        <v>11404</v>
      </c>
      <c r="F4745" s="40" t="s">
        <v>11404</v>
      </c>
      <c r="G4745" s="40" t="s">
        <v>11404</v>
      </c>
      <c r="H4745" s="40" t="s">
        <v>11404</v>
      </c>
    </row>
    <row r="4746">
      <c r="A4746" s="39"/>
      <c r="E4746" s="40" t="s">
        <v>11404</v>
      </c>
      <c r="F4746" s="40" t="s">
        <v>11404</v>
      </c>
      <c r="G4746" s="40" t="s">
        <v>11404</v>
      </c>
      <c r="H4746" s="40" t="s">
        <v>11404</v>
      </c>
    </row>
    <row r="4747">
      <c r="A4747" s="39"/>
      <c r="E4747" s="40" t="s">
        <v>11404</v>
      </c>
      <c r="F4747" s="40" t="s">
        <v>11404</v>
      </c>
      <c r="G4747" s="40" t="s">
        <v>11404</v>
      </c>
      <c r="H4747" s="40" t="s">
        <v>11404</v>
      </c>
    </row>
    <row r="4748">
      <c r="A4748" s="39"/>
      <c r="E4748" s="40" t="s">
        <v>11404</v>
      </c>
      <c r="F4748" s="40" t="s">
        <v>11404</v>
      </c>
      <c r="G4748" s="40" t="s">
        <v>11404</v>
      </c>
      <c r="H4748" s="40" t="s">
        <v>11404</v>
      </c>
    </row>
    <row r="4749">
      <c r="A4749" s="39"/>
      <c r="E4749" s="40" t="s">
        <v>11404</v>
      </c>
      <c r="F4749" s="40" t="s">
        <v>11404</v>
      </c>
      <c r="G4749" s="40" t="s">
        <v>11404</v>
      </c>
      <c r="H4749" s="40" t="s">
        <v>11404</v>
      </c>
    </row>
    <row r="4750">
      <c r="A4750" s="39"/>
      <c r="E4750" s="40" t="s">
        <v>11404</v>
      </c>
      <c r="F4750" s="40" t="s">
        <v>11404</v>
      </c>
      <c r="G4750" s="40" t="s">
        <v>11404</v>
      </c>
      <c r="H4750" s="40" t="s">
        <v>11404</v>
      </c>
    </row>
    <row r="4751">
      <c r="A4751" s="39"/>
      <c r="E4751" s="40" t="s">
        <v>11404</v>
      </c>
      <c r="F4751" s="40" t="s">
        <v>11404</v>
      </c>
      <c r="G4751" s="40" t="s">
        <v>11404</v>
      </c>
      <c r="H4751" s="40" t="s">
        <v>11404</v>
      </c>
    </row>
    <row r="4752">
      <c r="A4752" s="39"/>
      <c r="E4752" s="40" t="s">
        <v>11404</v>
      </c>
      <c r="F4752" s="40" t="s">
        <v>11404</v>
      </c>
      <c r="G4752" s="40" t="s">
        <v>11404</v>
      </c>
      <c r="H4752" s="40" t="s">
        <v>11404</v>
      </c>
    </row>
    <row r="4753">
      <c r="A4753" s="39"/>
      <c r="E4753" s="40" t="s">
        <v>11404</v>
      </c>
      <c r="F4753" s="40" t="s">
        <v>11404</v>
      </c>
      <c r="G4753" s="40" t="s">
        <v>11404</v>
      </c>
      <c r="H4753" s="40" t="s">
        <v>11404</v>
      </c>
    </row>
    <row r="4754">
      <c r="A4754" s="39"/>
      <c r="E4754" s="40" t="s">
        <v>11404</v>
      </c>
      <c r="F4754" s="40" t="s">
        <v>11404</v>
      </c>
      <c r="G4754" s="40" t="s">
        <v>11404</v>
      </c>
      <c r="H4754" s="40" t="s">
        <v>11404</v>
      </c>
    </row>
    <row r="4755">
      <c r="A4755" s="39"/>
      <c r="E4755" s="40" t="s">
        <v>11404</v>
      </c>
      <c r="F4755" s="40" t="s">
        <v>11404</v>
      </c>
      <c r="G4755" s="40" t="s">
        <v>11404</v>
      </c>
      <c r="H4755" s="40" t="s">
        <v>11404</v>
      </c>
    </row>
    <row r="4756">
      <c r="A4756" s="39"/>
      <c r="E4756" s="40" t="s">
        <v>11404</v>
      </c>
      <c r="F4756" s="40" t="s">
        <v>11404</v>
      </c>
      <c r="G4756" s="40" t="s">
        <v>11404</v>
      </c>
      <c r="H4756" s="40" t="s">
        <v>11404</v>
      </c>
    </row>
    <row r="4757">
      <c r="A4757" s="39"/>
      <c r="E4757" s="40" t="s">
        <v>11404</v>
      </c>
      <c r="F4757" s="40" t="s">
        <v>11404</v>
      </c>
      <c r="G4757" s="40" t="s">
        <v>11404</v>
      </c>
      <c r="H4757" s="40" t="s">
        <v>11404</v>
      </c>
    </row>
    <row r="4758">
      <c r="A4758" s="39"/>
      <c r="E4758" s="40" t="s">
        <v>11404</v>
      </c>
      <c r="F4758" s="40" t="s">
        <v>11404</v>
      </c>
      <c r="G4758" s="40" t="s">
        <v>11404</v>
      </c>
      <c r="H4758" s="40" t="s">
        <v>11404</v>
      </c>
    </row>
    <row r="4759">
      <c r="A4759" s="39"/>
      <c r="E4759" s="40" t="s">
        <v>11404</v>
      </c>
      <c r="F4759" s="40" t="s">
        <v>11404</v>
      </c>
      <c r="G4759" s="40" t="s">
        <v>11404</v>
      </c>
      <c r="H4759" s="40" t="s">
        <v>11404</v>
      </c>
    </row>
    <row r="4760">
      <c r="A4760" s="39"/>
      <c r="E4760" s="40" t="s">
        <v>11404</v>
      </c>
      <c r="F4760" s="40" t="s">
        <v>11404</v>
      </c>
      <c r="G4760" s="40" t="s">
        <v>11404</v>
      </c>
      <c r="H4760" s="40" t="s">
        <v>11404</v>
      </c>
    </row>
    <row r="4761">
      <c r="A4761" s="39"/>
      <c r="E4761" s="40" t="s">
        <v>11404</v>
      </c>
      <c r="F4761" s="40" t="s">
        <v>11404</v>
      </c>
      <c r="G4761" s="40" t="s">
        <v>11404</v>
      </c>
      <c r="H4761" s="40" t="s">
        <v>11404</v>
      </c>
    </row>
    <row r="4762">
      <c r="A4762" s="39"/>
      <c r="E4762" s="40" t="s">
        <v>11404</v>
      </c>
      <c r="F4762" s="40" t="s">
        <v>11404</v>
      </c>
      <c r="G4762" s="40" t="s">
        <v>11404</v>
      </c>
      <c r="H4762" s="40" t="s">
        <v>11404</v>
      </c>
    </row>
    <row r="4763">
      <c r="A4763" s="39"/>
      <c r="E4763" s="40" t="s">
        <v>11404</v>
      </c>
      <c r="F4763" s="40" t="s">
        <v>11404</v>
      </c>
      <c r="G4763" s="40" t="s">
        <v>11404</v>
      </c>
      <c r="H4763" s="40" t="s">
        <v>11404</v>
      </c>
    </row>
    <row r="4764">
      <c r="A4764" s="39"/>
      <c r="E4764" s="40" t="s">
        <v>11404</v>
      </c>
      <c r="F4764" s="40" t="s">
        <v>11404</v>
      </c>
      <c r="G4764" s="40" t="s">
        <v>11404</v>
      </c>
      <c r="H4764" s="40" t="s">
        <v>11404</v>
      </c>
    </row>
    <row r="4765">
      <c r="A4765" s="39"/>
      <c r="E4765" s="40" t="s">
        <v>11404</v>
      </c>
      <c r="F4765" s="40" t="s">
        <v>11404</v>
      </c>
      <c r="G4765" s="40" t="s">
        <v>11404</v>
      </c>
      <c r="H4765" s="40" t="s">
        <v>11404</v>
      </c>
    </row>
    <row r="4766">
      <c r="A4766" s="39"/>
      <c r="E4766" s="40" t="s">
        <v>11404</v>
      </c>
      <c r="F4766" s="40" t="s">
        <v>11404</v>
      </c>
      <c r="G4766" s="40" t="s">
        <v>11404</v>
      </c>
      <c r="H4766" s="40" t="s">
        <v>11404</v>
      </c>
    </row>
    <row r="4767">
      <c r="A4767" s="39"/>
      <c r="E4767" s="40" t="s">
        <v>11404</v>
      </c>
      <c r="F4767" s="40" t="s">
        <v>11404</v>
      </c>
      <c r="G4767" s="40" t="s">
        <v>11404</v>
      </c>
      <c r="H4767" s="40" t="s">
        <v>11404</v>
      </c>
    </row>
    <row r="4768">
      <c r="A4768" s="39"/>
      <c r="E4768" s="40" t="s">
        <v>11404</v>
      </c>
      <c r="F4768" s="40" t="s">
        <v>11404</v>
      </c>
      <c r="G4768" s="40" t="s">
        <v>11404</v>
      </c>
      <c r="H4768" s="40" t="s">
        <v>11404</v>
      </c>
    </row>
    <row r="4769">
      <c r="A4769" s="39"/>
      <c r="E4769" s="40" t="s">
        <v>11404</v>
      </c>
      <c r="F4769" s="40" t="s">
        <v>11404</v>
      </c>
      <c r="G4769" s="40" t="s">
        <v>11404</v>
      </c>
      <c r="H4769" s="40" t="s">
        <v>11404</v>
      </c>
    </row>
    <row r="4770">
      <c r="A4770" s="39"/>
      <c r="E4770" s="40" t="s">
        <v>11404</v>
      </c>
      <c r="F4770" s="40" t="s">
        <v>11404</v>
      </c>
      <c r="G4770" s="40" t="s">
        <v>11404</v>
      </c>
      <c r="H4770" s="40" t="s">
        <v>11404</v>
      </c>
    </row>
    <row r="4771">
      <c r="A4771" s="39"/>
      <c r="E4771" s="40" t="s">
        <v>11404</v>
      </c>
      <c r="F4771" s="40" t="s">
        <v>11404</v>
      </c>
      <c r="G4771" s="40" t="s">
        <v>11404</v>
      </c>
      <c r="H4771" s="40" t="s">
        <v>11404</v>
      </c>
    </row>
    <row r="4772">
      <c r="A4772" s="39"/>
      <c r="E4772" s="40" t="s">
        <v>11404</v>
      </c>
      <c r="F4772" s="40" t="s">
        <v>11404</v>
      </c>
      <c r="G4772" s="40" t="s">
        <v>11404</v>
      </c>
      <c r="H4772" s="40" t="s">
        <v>11404</v>
      </c>
    </row>
    <row r="4773">
      <c r="A4773" s="39"/>
      <c r="E4773" s="40" t="s">
        <v>11404</v>
      </c>
      <c r="F4773" s="40" t="s">
        <v>11404</v>
      </c>
      <c r="G4773" s="40" t="s">
        <v>11404</v>
      </c>
      <c r="H4773" s="40" t="s">
        <v>11404</v>
      </c>
    </row>
    <row r="4774">
      <c r="A4774" s="39"/>
      <c r="E4774" s="40" t="s">
        <v>11404</v>
      </c>
      <c r="F4774" s="40" t="s">
        <v>11404</v>
      </c>
      <c r="G4774" s="40" t="s">
        <v>11404</v>
      </c>
      <c r="H4774" s="40" t="s">
        <v>11404</v>
      </c>
    </row>
    <row r="4775">
      <c r="A4775" s="39"/>
      <c r="E4775" s="40" t="s">
        <v>11404</v>
      </c>
      <c r="F4775" s="40" t="s">
        <v>11404</v>
      </c>
      <c r="G4775" s="40" t="s">
        <v>11404</v>
      </c>
      <c r="H4775" s="40" t="s">
        <v>11404</v>
      </c>
    </row>
    <row r="4776">
      <c r="A4776" s="39"/>
      <c r="E4776" s="40" t="s">
        <v>11404</v>
      </c>
      <c r="F4776" s="40" t="s">
        <v>11404</v>
      </c>
      <c r="G4776" s="40" t="s">
        <v>11404</v>
      </c>
      <c r="H4776" s="40" t="s">
        <v>11404</v>
      </c>
    </row>
    <row r="4777">
      <c r="A4777" s="39"/>
      <c r="E4777" s="40" t="s">
        <v>11404</v>
      </c>
      <c r="F4777" s="40" t="s">
        <v>11404</v>
      </c>
      <c r="G4777" s="40" t="s">
        <v>11404</v>
      </c>
      <c r="H4777" s="40" t="s">
        <v>11404</v>
      </c>
    </row>
    <row r="4778">
      <c r="A4778" s="39"/>
      <c r="E4778" s="40" t="s">
        <v>11404</v>
      </c>
      <c r="F4778" s="40" t="s">
        <v>11404</v>
      </c>
      <c r="G4778" s="40" t="s">
        <v>11404</v>
      </c>
      <c r="H4778" s="40" t="s">
        <v>11404</v>
      </c>
    </row>
    <row r="4779">
      <c r="A4779" s="39"/>
      <c r="E4779" s="40" t="s">
        <v>11404</v>
      </c>
      <c r="F4779" s="40" t="s">
        <v>11404</v>
      </c>
      <c r="G4779" s="40" t="s">
        <v>11404</v>
      </c>
      <c r="H4779" s="40" t="s">
        <v>11404</v>
      </c>
    </row>
    <row r="4780">
      <c r="A4780" s="39"/>
      <c r="E4780" s="40" t="s">
        <v>11404</v>
      </c>
      <c r="F4780" s="40" t="s">
        <v>11404</v>
      </c>
      <c r="G4780" s="40" t="s">
        <v>11404</v>
      </c>
      <c r="H4780" s="40" t="s">
        <v>11404</v>
      </c>
    </row>
    <row r="4781">
      <c r="A4781" s="39"/>
      <c r="E4781" s="40" t="s">
        <v>11404</v>
      </c>
      <c r="F4781" s="40" t="s">
        <v>11404</v>
      </c>
      <c r="G4781" s="40" t="s">
        <v>11404</v>
      </c>
      <c r="H4781" s="40" t="s">
        <v>11404</v>
      </c>
    </row>
    <row r="4782">
      <c r="A4782" s="39"/>
      <c r="E4782" s="40" t="s">
        <v>11404</v>
      </c>
      <c r="F4782" s="40" t="s">
        <v>11404</v>
      </c>
      <c r="G4782" s="40" t="s">
        <v>11404</v>
      </c>
      <c r="H4782" s="40" t="s">
        <v>11404</v>
      </c>
    </row>
    <row r="4783">
      <c r="A4783" s="39"/>
      <c r="E4783" s="40" t="s">
        <v>11404</v>
      </c>
      <c r="F4783" s="40" t="s">
        <v>11404</v>
      </c>
      <c r="G4783" s="40" t="s">
        <v>11404</v>
      </c>
      <c r="H4783" s="40" t="s">
        <v>11404</v>
      </c>
    </row>
    <row r="4784">
      <c r="A4784" s="39"/>
      <c r="E4784" s="40" t="s">
        <v>11404</v>
      </c>
      <c r="F4784" s="40" t="s">
        <v>11404</v>
      </c>
      <c r="G4784" s="40" t="s">
        <v>11404</v>
      </c>
      <c r="H4784" s="40" t="s">
        <v>11404</v>
      </c>
    </row>
    <row r="4785">
      <c r="A4785" s="39"/>
      <c r="E4785" s="40" t="s">
        <v>11404</v>
      </c>
      <c r="F4785" s="40" t="s">
        <v>11404</v>
      </c>
      <c r="G4785" s="40" t="s">
        <v>11404</v>
      </c>
      <c r="H4785" s="40" t="s">
        <v>11404</v>
      </c>
    </row>
    <row r="4786">
      <c r="A4786" s="39"/>
      <c r="E4786" s="40" t="s">
        <v>11404</v>
      </c>
      <c r="F4786" s="40" t="s">
        <v>11404</v>
      </c>
      <c r="G4786" s="40" t="s">
        <v>11404</v>
      </c>
      <c r="H4786" s="40" t="s">
        <v>11404</v>
      </c>
    </row>
    <row r="4787">
      <c r="A4787" s="39"/>
      <c r="E4787" s="40" t="s">
        <v>11404</v>
      </c>
      <c r="F4787" s="40" t="s">
        <v>11404</v>
      </c>
      <c r="G4787" s="40" t="s">
        <v>11404</v>
      </c>
      <c r="H4787" s="40" t="s">
        <v>11404</v>
      </c>
    </row>
    <row r="4788">
      <c r="A4788" s="39"/>
      <c r="E4788" s="40" t="s">
        <v>11404</v>
      </c>
      <c r="F4788" s="40" t="s">
        <v>11404</v>
      </c>
      <c r="G4788" s="40" t="s">
        <v>11404</v>
      </c>
      <c r="H4788" s="40" t="s">
        <v>11404</v>
      </c>
    </row>
    <row r="4789">
      <c r="A4789" s="39"/>
      <c r="E4789" s="40" t="s">
        <v>11404</v>
      </c>
      <c r="F4789" s="40" t="s">
        <v>11404</v>
      </c>
      <c r="G4789" s="40" t="s">
        <v>11404</v>
      </c>
      <c r="H4789" s="40" t="s">
        <v>11404</v>
      </c>
    </row>
    <row r="4790">
      <c r="A4790" s="39"/>
      <c r="E4790" s="40" t="s">
        <v>11404</v>
      </c>
      <c r="F4790" s="40" t="s">
        <v>11404</v>
      </c>
      <c r="G4790" s="40" t="s">
        <v>11404</v>
      </c>
      <c r="H4790" s="40" t="s">
        <v>11404</v>
      </c>
    </row>
    <row r="4791">
      <c r="A4791" s="39"/>
      <c r="E4791" s="40" t="s">
        <v>11404</v>
      </c>
      <c r="F4791" s="40" t="s">
        <v>11404</v>
      </c>
      <c r="G4791" s="40" t="s">
        <v>11404</v>
      </c>
      <c r="H4791" s="40" t="s">
        <v>11404</v>
      </c>
    </row>
    <row r="4792">
      <c r="A4792" s="39"/>
      <c r="E4792" s="40" t="s">
        <v>11404</v>
      </c>
      <c r="F4792" s="40" t="s">
        <v>11404</v>
      </c>
      <c r="G4792" s="40" t="s">
        <v>11404</v>
      </c>
      <c r="H4792" s="40" t="s">
        <v>11404</v>
      </c>
    </row>
    <row r="4793">
      <c r="A4793" s="39"/>
      <c r="E4793" s="40" t="s">
        <v>11404</v>
      </c>
      <c r="F4793" s="40" t="s">
        <v>11404</v>
      </c>
      <c r="G4793" s="40" t="s">
        <v>11404</v>
      </c>
      <c r="H4793" s="40" t="s">
        <v>11404</v>
      </c>
    </row>
    <row r="4794">
      <c r="A4794" s="39"/>
      <c r="E4794" s="40" t="s">
        <v>11404</v>
      </c>
      <c r="F4794" s="40" t="s">
        <v>11404</v>
      </c>
      <c r="G4794" s="40" t="s">
        <v>11404</v>
      </c>
      <c r="H4794" s="40" t="s">
        <v>11404</v>
      </c>
    </row>
    <row r="4795">
      <c r="A4795" s="39"/>
      <c r="E4795" s="40" t="s">
        <v>11404</v>
      </c>
      <c r="F4795" s="40" t="s">
        <v>11404</v>
      </c>
      <c r="G4795" s="40" t="s">
        <v>11404</v>
      </c>
      <c r="H4795" s="40" t="s">
        <v>11404</v>
      </c>
    </row>
    <row r="4796">
      <c r="A4796" s="39"/>
      <c r="E4796" s="40" t="s">
        <v>11404</v>
      </c>
      <c r="F4796" s="40" t="s">
        <v>11404</v>
      </c>
      <c r="G4796" s="40" t="s">
        <v>11404</v>
      </c>
      <c r="H4796" s="40" t="s">
        <v>11404</v>
      </c>
    </row>
    <row r="4797">
      <c r="A4797" s="39"/>
      <c r="E4797" s="40" t="s">
        <v>11404</v>
      </c>
      <c r="F4797" s="40" t="s">
        <v>11404</v>
      </c>
      <c r="G4797" s="40" t="s">
        <v>11404</v>
      </c>
      <c r="H4797" s="40" t="s">
        <v>11404</v>
      </c>
    </row>
    <row r="4798">
      <c r="A4798" s="39"/>
      <c r="E4798" s="40" t="s">
        <v>11404</v>
      </c>
      <c r="F4798" s="40" t="s">
        <v>11404</v>
      </c>
      <c r="G4798" s="40" t="s">
        <v>11404</v>
      </c>
      <c r="H4798" s="40" t="s">
        <v>11404</v>
      </c>
    </row>
    <row r="4799">
      <c r="A4799" s="39"/>
      <c r="E4799" s="40" t="s">
        <v>11404</v>
      </c>
      <c r="F4799" s="40" t="s">
        <v>11404</v>
      </c>
      <c r="G4799" s="40" t="s">
        <v>11404</v>
      </c>
      <c r="H4799" s="40" t="s">
        <v>11404</v>
      </c>
    </row>
    <row r="4800">
      <c r="A4800" s="39"/>
      <c r="E4800" s="40" t="s">
        <v>11404</v>
      </c>
      <c r="F4800" s="40" t="s">
        <v>11404</v>
      </c>
      <c r="G4800" s="40" t="s">
        <v>11404</v>
      </c>
      <c r="H4800" s="40" t="s">
        <v>11404</v>
      </c>
    </row>
    <row r="4801">
      <c r="A4801" s="39"/>
      <c r="E4801" s="40" t="s">
        <v>11404</v>
      </c>
      <c r="F4801" s="40" t="s">
        <v>11404</v>
      </c>
      <c r="G4801" s="40" t="s">
        <v>11404</v>
      </c>
      <c r="H4801" s="40" t="s">
        <v>11404</v>
      </c>
    </row>
    <row r="4802">
      <c r="A4802" s="39"/>
      <c r="E4802" s="40" t="s">
        <v>11404</v>
      </c>
      <c r="F4802" s="40" t="s">
        <v>11404</v>
      </c>
      <c r="G4802" s="40" t="s">
        <v>11404</v>
      </c>
      <c r="H4802" s="40" t="s">
        <v>11404</v>
      </c>
    </row>
    <row r="4803">
      <c r="A4803" s="39"/>
      <c r="E4803" s="40" t="s">
        <v>11404</v>
      </c>
      <c r="F4803" s="40" t="s">
        <v>11404</v>
      </c>
      <c r="G4803" s="40" t="s">
        <v>11404</v>
      </c>
      <c r="H4803" s="40" t="s">
        <v>11404</v>
      </c>
    </row>
    <row r="4804">
      <c r="A4804" s="39"/>
      <c r="E4804" s="40" t="s">
        <v>11404</v>
      </c>
      <c r="F4804" s="40" t="s">
        <v>11404</v>
      </c>
      <c r="G4804" s="40" t="s">
        <v>11404</v>
      </c>
      <c r="H4804" s="40" t="s">
        <v>11404</v>
      </c>
    </row>
    <row r="4805">
      <c r="A4805" s="39"/>
      <c r="E4805" s="40" t="s">
        <v>11404</v>
      </c>
      <c r="F4805" s="40" t="s">
        <v>11404</v>
      </c>
      <c r="G4805" s="40" t="s">
        <v>11404</v>
      </c>
      <c r="H4805" s="40" t="s">
        <v>11404</v>
      </c>
    </row>
    <row r="4806">
      <c r="A4806" s="39"/>
      <c r="E4806" s="40" t="s">
        <v>11404</v>
      </c>
      <c r="F4806" s="40" t="s">
        <v>11404</v>
      </c>
      <c r="G4806" s="40" t="s">
        <v>11404</v>
      </c>
      <c r="H4806" s="40" t="s">
        <v>11404</v>
      </c>
    </row>
    <row r="4807">
      <c r="A4807" s="39"/>
      <c r="E4807" s="40" t="s">
        <v>11404</v>
      </c>
      <c r="F4807" s="40" t="s">
        <v>11404</v>
      </c>
      <c r="G4807" s="40" t="s">
        <v>11404</v>
      </c>
      <c r="H4807" s="40" t="s">
        <v>11404</v>
      </c>
    </row>
    <row r="4808">
      <c r="A4808" s="39"/>
      <c r="E4808" s="40" t="s">
        <v>11404</v>
      </c>
      <c r="F4808" s="40" t="s">
        <v>11404</v>
      </c>
      <c r="G4808" s="40" t="s">
        <v>11404</v>
      </c>
      <c r="H4808" s="40" t="s">
        <v>11404</v>
      </c>
    </row>
    <row r="4809">
      <c r="A4809" s="39"/>
      <c r="E4809" s="40" t="s">
        <v>11404</v>
      </c>
      <c r="F4809" s="40" t="s">
        <v>11404</v>
      </c>
      <c r="G4809" s="40" t="s">
        <v>11404</v>
      </c>
      <c r="H4809" s="40" t="s">
        <v>11404</v>
      </c>
    </row>
    <row r="4810">
      <c r="A4810" s="39"/>
      <c r="E4810" s="40" t="s">
        <v>11404</v>
      </c>
      <c r="F4810" s="40" t="s">
        <v>11404</v>
      </c>
      <c r="G4810" s="40" t="s">
        <v>11404</v>
      </c>
      <c r="H4810" s="40" t="s">
        <v>11404</v>
      </c>
    </row>
    <row r="4811">
      <c r="A4811" s="39"/>
      <c r="E4811" s="40" t="s">
        <v>11404</v>
      </c>
      <c r="F4811" s="40" t="s">
        <v>11404</v>
      </c>
      <c r="G4811" s="40" t="s">
        <v>11404</v>
      </c>
      <c r="H4811" s="40" t="s">
        <v>11404</v>
      </c>
    </row>
    <row r="4812">
      <c r="A4812" s="39"/>
      <c r="E4812" s="40" t="s">
        <v>11404</v>
      </c>
      <c r="F4812" s="40" t="s">
        <v>11404</v>
      </c>
      <c r="G4812" s="40" t="s">
        <v>11404</v>
      </c>
      <c r="H4812" s="40" t="s">
        <v>11404</v>
      </c>
    </row>
    <row r="4813">
      <c r="A4813" s="39"/>
      <c r="E4813" s="40" t="s">
        <v>11404</v>
      </c>
      <c r="F4813" s="40" t="s">
        <v>11404</v>
      </c>
      <c r="G4813" s="40" t="s">
        <v>11404</v>
      </c>
      <c r="H4813" s="40" t="s">
        <v>11404</v>
      </c>
    </row>
    <row r="4814">
      <c r="A4814" s="39"/>
      <c r="E4814" s="40" t="s">
        <v>11404</v>
      </c>
      <c r="F4814" s="40" t="s">
        <v>11404</v>
      </c>
      <c r="G4814" s="40" t="s">
        <v>11404</v>
      </c>
      <c r="H4814" s="40" t="s">
        <v>11404</v>
      </c>
    </row>
    <row r="4815">
      <c r="A4815" s="39"/>
      <c r="E4815" s="40" t="s">
        <v>11404</v>
      </c>
      <c r="F4815" s="40" t="s">
        <v>11404</v>
      </c>
      <c r="G4815" s="40" t="s">
        <v>11404</v>
      </c>
      <c r="H4815" s="40" t="s">
        <v>11404</v>
      </c>
    </row>
    <row r="4816">
      <c r="A4816" s="39"/>
      <c r="E4816" s="40" t="s">
        <v>11404</v>
      </c>
      <c r="F4816" s="40" t="s">
        <v>11404</v>
      </c>
      <c r="G4816" s="40" t="s">
        <v>11404</v>
      </c>
      <c r="H4816" s="40" t="s">
        <v>11404</v>
      </c>
    </row>
    <row r="4817">
      <c r="A4817" s="39"/>
      <c r="E4817" s="40" t="s">
        <v>11404</v>
      </c>
      <c r="F4817" s="40" t="s">
        <v>11404</v>
      </c>
      <c r="G4817" s="40" t="s">
        <v>11404</v>
      </c>
      <c r="H4817" s="40" t="s">
        <v>11404</v>
      </c>
    </row>
    <row r="4818">
      <c r="A4818" s="39"/>
      <c r="E4818" s="40" t="s">
        <v>11404</v>
      </c>
      <c r="F4818" s="40" t="s">
        <v>11404</v>
      </c>
      <c r="G4818" s="40" t="s">
        <v>11404</v>
      </c>
      <c r="H4818" s="40" t="s">
        <v>11404</v>
      </c>
    </row>
    <row r="4819">
      <c r="A4819" s="39"/>
      <c r="E4819" s="40" t="s">
        <v>11404</v>
      </c>
      <c r="F4819" s="40" t="s">
        <v>11404</v>
      </c>
      <c r="G4819" s="40" t="s">
        <v>11404</v>
      </c>
      <c r="H4819" s="40" t="s">
        <v>11404</v>
      </c>
    </row>
    <row r="4820">
      <c r="A4820" s="39"/>
      <c r="E4820" s="40" t="s">
        <v>11404</v>
      </c>
      <c r="F4820" s="40" t="s">
        <v>11404</v>
      </c>
      <c r="G4820" s="40" t="s">
        <v>11404</v>
      </c>
      <c r="H4820" s="40" t="s">
        <v>11404</v>
      </c>
    </row>
    <row r="4821">
      <c r="A4821" s="39"/>
      <c r="E4821" s="40" t="s">
        <v>11404</v>
      </c>
      <c r="F4821" s="40" t="s">
        <v>11404</v>
      </c>
      <c r="G4821" s="40" t="s">
        <v>11404</v>
      </c>
      <c r="H4821" s="40" t="s">
        <v>11404</v>
      </c>
    </row>
    <row r="4822">
      <c r="A4822" s="39"/>
      <c r="E4822" s="40" t="s">
        <v>11404</v>
      </c>
      <c r="F4822" s="40" t="s">
        <v>11404</v>
      </c>
      <c r="G4822" s="40" t="s">
        <v>11404</v>
      </c>
      <c r="H4822" s="40" t="s">
        <v>11404</v>
      </c>
    </row>
    <row r="4823">
      <c r="A4823" s="39"/>
      <c r="E4823" s="40" t="s">
        <v>11404</v>
      </c>
      <c r="F4823" s="40" t="s">
        <v>11404</v>
      </c>
      <c r="G4823" s="40" t="s">
        <v>11404</v>
      </c>
      <c r="H4823" s="40" t="s">
        <v>11404</v>
      </c>
    </row>
    <row r="4824">
      <c r="A4824" s="39"/>
      <c r="E4824" s="40" t="s">
        <v>11404</v>
      </c>
      <c r="F4824" s="40" t="s">
        <v>11404</v>
      </c>
      <c r="G4824" s="40" t="s">
        <v>11404</v>
      </c>
      <c r="H4824" s="40" t="s">
        <v>11404</v>
      </c>
    </row>
    <row r="4825">
      <c r="A4825" s="39"/>
      <c r="E4825" s="40" t="s">
        <v>11404</v>
      </c>
      <c r="F4825" s="40" t="s">
        <v>11404</v>
      </c>
      <c r="G4825" s="40" t="s">
        <v>11404</v>
      </c>
      <c r="H4825" s="40" t="s">
        <v>11404</v>
      </c>
    </row>
    <row r="4826">
      <c r="A4826" s="39"/>
      <c r="E4826" s="40" t="s">
        <v>11404</v>
      </c>
      <c r="F4826" s="40" t="s">
        <v>11404</v>
      </c>
      <c r="G4826" s="40" t="s">
        <v>11404</v>
      </c>
      <c r="H4826" s="40" t="s">
        <v>11404</v>
      </c>
    </row>
    <row r="4827">
      <c r="A4827" s="39"/>
      <c r="E4827" s="40" t="s">
        <v>11404</v>
      </c>
      <c r="F4827" s="40" t="s">
        <v>11404</v>
      </c>
      <c r="G4827" s="40" t="s">
        <v>11404</v>
      </c>
      <c r="H4827" s="40" t="s">
        <v>11404</v>
      </c>
    </row>
    <row r="4828">
      <c r="A4828" s="39"/>
      <c r="E4828" s="40" t="s">
        <v>11404</v>
      </c>
      <c r="F4828" s="40" t="s">
        <v>11404</v>
      </c>
      <c r="G4828" s="40" t="s">
        <v>11404</v>
      </c>
      <c r="H4828" s="40" t="s">
        <v>11404</v>
      </c>
    </row>
    <row r="4829">
      <c r="A4829" s="39"/>
      <c r="E4829" s="40" t="s">
        <v>11404</v>
      </c>
      <c r="F4829" s="40" t="s">
        <v>11404</v>
      </c>
      <c r="G4829" s="40" t="s">
        <v>11404</v>
      </c>
      <c r="H4829" s="40" t="s">
        <v>11404</v>
      </c>
    </row>
    <row r="4830">
      <c r="A4830" s="39"/>
      <c r="E4830" s="40" t="s">
        <v>11404</v>
      </c>
      <c r="F4830" s="40" t="s">
        <v>11404</v>
      </c>
      <c r="G4830" s="40" t="s">
        <v>11404</v>
      </c>
      <c r="H4830" s="40" t="s">
        <v>11404</v>
      </c>
    </row>
    <row r="4831">
      <c r="A4831" s="39"/>
      <c r="E4831" s="40" t="s">
        <v>11404</v>
      </c>
      <c r="F4831" s="40" t="s">
        <v>11404</v>
      </c>
      <c r="G4831" s="40" t="s">
        <v>11404</v>
      </c>
      <c r="H4831" s="40" t="s">
        <v>11404</v>
      </c>
    </row>
    <row r="4832">
      <c r="A4832" s="39"/>
      <c r="E4832" s="40" t="s">
        <v>11404</v>
      </c>
      <c r="F4832" s="40" t="s">
        <v>11404</v>
      </c>
      <c r="G4832" s="40" t="s">
        <v>11404</v>
      </c>
      <c r="H4832" s="40" t="s">
        <v>11404</v>
      </c>
    </row>
    <row r="4833">
      <c r="A4833" s="39"/>
      <c r="E4833" s="40" t="s">
        <v>11404</v>
      </c>
      <c r="F4833" s="40" t="s">
        <v>11404</v>
      </c>
      <c r="G4833" s="40" t="s">
        <v>11404</v>
      </c>
      <c r="H4833" s="40" t="s">
        <v>11404</v>
      </c>
    </row>
    <row r="4834">
      <c r="A4834" s="39"/>
      <c r="E4834" s="40" t="s">
        <v>11404</v>
      </c>
      <c r="F4834" s="40" t="s">
        <v>11404</v>
      </c>
      <c r="G4834" s="40" t="s">
        <v>11404</v>
      </c>
      <c r="H4834" s="40" t="s">
        <v>11404</v>
      </c>
    </row>
    <row r="4835">
      <c r="A4835" s="39"/>
      <c r="E4835" s="40" t="s">
        <v>11404</v>
      </c>
      <c r="F4835" s="40" t="s">
        <v>11404</v>
      </c>
      <c r="G4835" s="40" t="s">
        <v>11404</v>
      </c>
      <c r="H4835" s="40" t="s">
        <v>11404</v>
      </c>
    </row>
    <row r="4836">
      <c r="A4836" s="39"/>
      <c r="E4836" s="40" t="s">
        <v>11404</v>
      </c>
      <c r="F4836" s="40" t="s">
        <v>11404</v>
      </c>
      <c r="G4836" s="40" t="s">
        <v>11404</v>
      </c>
      <c r="H4836" s="40" t="s">
        <v>11404</v>
      </c>
    </row>
    <row r="4837">
      <c r="A4837" s="39"/>
      <c r="E4837" s="40" t="s">
        <v>11404</v>
      </c>
      <c r="F4837" s="40" t="s">
        <v>11404</v>
      </c>
      <c r="G4837" s="40" t="s">
        <v>11404</v>
      </c>
      <c r="H4837" s="40" t="s">
        <v>11404</v>
      </c>
    </row>
    <row r="4838">
      <c r="A4838" s="39"/>
      <c r="E4838" s="40" t="s">
        <v>11404</v>
      </c>
      <c r="F4838" s="40" t="s">
        <v>11404</v>
      </c>
      <c r="G4838" s="40" t="s">
        <v>11404</v>
      </c>
      <c r="H4838" s="40" t="s">
        <v>11404</v>
      </c>
    </row>
    <row r="4839">
      <c r="A4839" s="39"/>
      <c r="E4839" s="40" t="s">
        <v>11404</v>
      </c>
      <c r="F4839" s="40" t="s">
        <v>11404</v>
      </c>
      <c r="G4839" s="40" t="s">
        <v>11404</v>
      </c>
      <c r="H4839" s="40" t="s">
        <v>11404</v>
      </c>
    </row>
    <row r="4840">
      <c r="A4840" s="39"/>
      <c r="E4840" s="40" t="s">
        <v>11404</v>
      </c>
      <c r="F4840" s="40" t="s">
        <v>11404</v>
      </c>
      <c r="G4840" s="40" t="s">
        <v>11404</v>
      </c>
      <c r="H4840" s="40" t="s">
        <v>11404</v>
      </c>
    </row>
    <row r="4841">
      <c r="A4841" s="39"/>
      <c r="E4841" s="40" t="s">
        <v>11404</v>
      </c>
      <c r="F4841" s="40" t="s">
        <v>11404</v>
      </c>
      <c r="G4841" s="40" t="s">
        <v>11404</v>
      </c>
      <c r="H4841" s="40" t="s">
        <v>11404</v>
      </c>
    </row>
    <row r="4842">
      <c r="A4842" s="39"/>
      <c r="E4842" s="40" t="s">
        <v>11404</v>
      </c>
      <c r="F4842" s="40" t="s">
        <v>11404</v>
      </c>
      <c r="G4842" s="40" t="s">
        <v>11404</v>
      </c>
      <c r="H4842" s="40" t="s">
        <v>11404</v>
      </c>
    </row>
    <row r="4843">
      <c r="A4843" s="39"/>
      <c r="E4843" s="40" t="s">
        <v>11404</v>
      </c>
      <c r="F4843" s="40" t="s">
        <v>11404</v>
      </c>
      <c r="G4843" s="40" t="s">
        <v>11404</v>
      </c>
      <c r="H4843" s="40" t="s">
        <v>11404</v>
      </c>
    </row>
    <row r="4844">
      <c r="A4844" s="39"/>
      <c r="E4844" s="40" t="s">
        <v>11404</v>
      </c>
      <c r="F4844" s="40" t="s">
        <v>11404</v>
      </c>
      <c r="G4844" s="40" t="s">
        <v>11404</v>
      </c>
      <c r="H4844" s="40" t="s">
        <v>11404</v>
      </c>
    </row>
    <row r="4845">
      <c r="A4845" s="39"/>
      <c r="E4845" s="40" t="s">
        <v>11404</v>
      </c>
      <c r="F4845" s="40" t="s">
        <v>11404</v>
      </c>
      <c r="G4845" s="40" t="s">
        <v>11404</v>
      </c>
      <c r="H4845" s="40" t="s">
        <v>11404</v>
      </c>
    </row>
    <row r="4846">
      <c r="A4846" s="39"/>
      <c r="E4846" s="40" t="s">
        <v>11404</v>
      </c>
      <c r="F4846" s="40" t="s">
        <v>11404</v>
      </c>
      <c r="G4846" s="40" t="s">
        <v>11404</v>
      </c>
      <c r="H4846" s="40" t="s">
        <v>11404</v>
      </c>
    </row>
    <row r="4847">
      <c r="A4847" s="39"/>
      <c r="E4847" s="40" t="s">
        <v>11404</v>
      </c>
      <c r="F4847" s="40" t="s">
        <v>11404</v>
      </c>
      <c r="G4847" s="40" t="s">
        <v>11404</v>
      </c>
      <c r="H4847" s="40" t="s">
        <v>11404</v>
      </c>
    </row>
    <row r="4848">
      <c r="A4848" s="39"/>
      <c r="E4848" s="40" t="s">
        <v>11404</v>
      </c>
      <c r="F4848" s="40" t="s">
        <v>11404</v>
      </c>
      <c r="G4848" s="40" t="s">
        <v>11404</v>
      </c>
      <c r="H4848" s="40" t="s">
        <v>11404</v>
      </c>
    </row>
    <row r="4849">
      <c r="A4849" s="39"/>
      <c r="E4849" s="40" t="s">
        <v>11404</v>
      </c>
      <c r="F4849" s="40" t="s">
        <v>11404</v>
      </c>
      <c r="G4849" s="40" t="s">
        <v>11404</v>
      </c>
      <c r="H4849" s="40" t="s">
        <v>11404</v>
      </c>
    </row>
    <row r="4850">
      <c r="A4850" s="39"/>
      <c r="E4850" s="40" t="s">
        <v>11404</v>
      </c>
      <c r="F4850" s="40" t="s">
        <v>11404</v>
      </c>
      <c r="G4850" s="40" t="s">
        <v>11404</v>
      </c>
      <c r="H4850" s="40" t="s">
        <v>11404</v>
      </c>
    </row>
    <row r="4851">
      <c r="A4851" s="39"/>
      <c r="E4851" s="40" t="s">
        <v>11404</v>
      </c>
      <c r="F4851" s="40" t="s">
        <v>11404</v>
      </c>
      <c r="G4851" s="40" t="s">
        <v>11404</v>
      </c>
      <c r="H4851" s="40" t="s">
        <v>11404</v>
      </c>
    </row>
    <row r="4852">
      <c r="A4852" s="39"/>
      <c r="E4852" s="40" t="s">
        <v>11404</v>
      </c>
      <c r="F4852" s="40" t="s">
        <v>11404</v>
      </c>
      <c r="G4852" s="40" t="s">
        <v>11404</v>
      </c>
      <c r="H4852" s="40" t="s">
        <v>11404</v>
      </c>
    </row>
    <row r="4853">
      <c r="A4853" s="39"/>
      <c r="E4853" s="40" t="s">
        <v>11404</v>
      </c>
      <c r="F4853" s="40" t="s">
        <v>11404</v>
      </c>
      <c r="G4853" s="40" t="s">
        <v>11404</v>
      </c>
      <c r="H4853" s="40" t="s">
        <v>11404</v>
      </c>
    </row>
    <row r="4854">
      <c r="A4854" s="39"/>
      <c r="E4854" s="40" t="s">
        <v>11404</v>
      </c>
      <c r="F4854" s="40" t="s">
        <v>11404</v>
      </c>
      <c r="G4854" s="40" t="s">
        <v>11404</v>
      </c>
      <c r="H4854" s="40" t="s">
        <v>11404</v>
      </c>
    </row>
    <row r="4855">
      <c r="A4855" s="39"/>
      <c r="E4855" s="40" t="s">
        <v>11404</v>
      </c>
      <c r="F4855" s="40" t="s">
        <v>11404</v>
      </c>
      <c r="G4855" s="40" t="s">
        <v>11404</v>
      </c>
      <c r="H4855" s="40" t="s">
        <v>11404</v>
      </c>
    </row>
    <row r="4856">
      <c r="A4856" s="39"/>
      <c r="E4856" s="40" t="s">
        <v>11404</v>
      </c>
      <c r="F4856" s="40" t="s">
        <v>11404</v>
      </c>
      <c r="G4856" s="40" t="s">
        <v>11404</v>
      </c>
      <c r="H4856" s="40" t="s">
        <v>11404</v>
      </c>
    </row>
    <row r="4857">
      <c r="A4857" s="39"/>
      <c r="E4857" s="40" t="s">
        <v>11404</v>
      </c>
      <c r="F4857" s="40" t="s">
        <v>11404</v>
      </c>
      <c r="G4857" s="40" t="s">
        <v>11404</v>
      </c>
      <c r="H4857" s="40" t="s">
        <v>11404</v>
      </c>
    </row>
    <row r="4858">
      <c r="A4858" s="39"/>
      <c r="E4858" s="40" t="s">
        <v>11404</v>
      </c>
      <c r="F4858" s="40" t="s">
        <v>11404</v>
      </c>
      <c r="G4858" s="40" t="s">
        <v>11404</v>
      </c>
      <c r="H4858" s="40" t="s">
        <v>11404</v>
      </c>
    </row>
    <row r="4859">
      <c r="A4859" s="39"/>
      <c r="E4859" s="40" t="s">
        <v>11404</v>
      </c>
      <c r="F4859" s="40" t="s">
        <v>11404</v>
      </c>
      <c r="G4859" s="40" t="s">
        <v>11404</v>
      </c>
      <c r="H4859" s="40" t="s">
        <v>11404</v>
      </c>
    </row>
    <row r="4860">
      <c r="A4860" s="39"/>
      <c r="E4860" s="40" t="s">
        <v>11404</v>
      </c>
      <c r="F4860" s="40" t="s">
        <v>11404</v>
      </c>
      <c r="G4860" s="40" t="s">
        <v>11404</v>
      </c>
      <c r="H4860" s="40" t="s">
        <v>11404</v>
      </c>
    </row>
    <row r="4861">
      <c r="A4861" s="39"/>
      <c r="E4861" s="40" t="s">
        <v>11404</v>
      </c>
      <c r="F4861" s="40" t="s">
        <v>11404</v>
      </c>
      <c r="G4861" s="40" t="s">
        <v>11404</v>
      </c>
      <c r="H4861" s="40" t="s">
        <v>11404</v>
      </c>
    </row>
    <row r="4862">
      <c r="A4862" s="39"/>
      <c r="E4862" s="40" t="s">
        <v>11404</v>
      </c>
      <c r="F4862" s="40" t="s">
        <v>11404</v>
      </c>
      <c r="G4862" s="40" t="s">
        <v>11404</v>
      </c>
      <c r="H4862" s="40" t="s">
        <v>11404</v>
      </c>
    </row>
    <row r="4863">
      <c r="A4863" s="39"/>
      <c r="E4863" s="40" t="s">
        <v>11404</v>
      </c>
      <c r="F4863" s="40" t="s">
        <v>11404</v>
      </c>
      <c r="G4863" s="40" t="s">
        <v>11404</v>
      </c>
      <c r="H4863" s="40" t="s">
        <v>11404</v>
      </c>
    </row>
    <row r="4864">
      <c r="A4864" s="39"/>
      <c r="E4864" s="40" t="s">
        <v>11404</v>
      </c>
      <c r="F4864" s="40" t="s">
        <v>11404</v>
      </c>
      <c r="G4864" s="40" t="s">
        <v>11404</v>
      </c>
      <c r="H4864" s="40" t="s">
        <v>11404</v>
      </c>
    </row>
    <row r="4865">
      <c r="A4865" s="39"/>
      <c r="E4865" s="40" t="s">
        <v>11404</v>
      </c>
      <c r="F4865" s="40" t="s">
        <v>11404</v>
      </c>
      <c r="G4865" s="40" t="s">
        <v>11404</v>
      </c>
      <c r="H4865" s="40" t="s">
        <v>11404</v>
      </c>
    </row>
    <row r="4866">
      <c r="A4866" s="39"/>
      <c r="E4866" s="40" t="s">
        <v>11404</v>
      </c>
      <c r="F4866" s="40" t="s">
        <v>11404</v>
      </c>
      <c r="G4866" s="40" t="s">
        <v>11404</v>
      </c>
      <c r="H4866" s="40" t="s">
        <v>11404</v>
      </c>
    </row>
    <row r="4867">
      <c r="A4867" s="39"/>
      <c r="E4867" s="40" t="s">
        <v>11404</v>
      </c>
      <c r="F4867" s="40" t="s">
        <v>11404</v>
      </c>
      <c r="G4867" s="40" t="s">
        <v>11404</v>
      </c>
      <c r="H4867" s="40" t="s">
        <v>11404</v>
      </c>
    </row>
    <row r="4868">
      <c r="A4868" s="39"/>
      <c r="E4868" s="40" t="s">
        <v>11404</v>
      </c>
      <c r="F4868" s="40" t="s">
        <v>11404</v>
      </c>
      <c r="G4868" s="40" t="s">
        <v>11404</v>
      </c>
      <c r="H4868" s="40" t="s">
        <v>11404</v>
      </c>
    </row>
    <row r="4869">
      <c r="A4869" s="39"/>
      <c r="E4869" s="40" t="s">
        <v>11404</v>
      </c>
      <c r="F4869" s="40" t="s">
        <v>11404</v>
      </c>
      <c r="G4869" s="40" t="s">
        <v>11404</v>
      </c>
      <c r="H4869" s="40" t="s">
        <v>11404</v>
      </c>
    </row>
    <row r="4870">
      <c r="A4870" s="39"/>
      <c r="E4870" s="40" t="s">
        <v>11404</v>
      </c>
      <c r="F4870" s="40" t="s">
        <v>11404</v>
      </c>
      <c r="G4870" s="40" t="s">
        <v>11404</v>
      </c>
      <c r="H4870" s="40" t="s">
        <v>11404</v>
      </c>
    </row>
    <row r="4871">
      <c r="A4871" s="39"/>
      <c r="E4871" s="40" t="s">
        <v>11404</v>
      </c>
      <c r="F4871" s="40" t="s">
        <v>11404</v>
      </c>
      <c r="G4871" s="40" t="s">
        <v>11404</v>
      </c>
      <c r="H4871" s="40" t="s">
        <v>11404</v>
      </c>
    </row>
    <row r="4872">
      <c r="A4872" s="39"/>
      <c r="E4872" s="40" t="s">
        <v>11404</v>
      </c>
      <c r="F4872" s="40" t="s">
        <v>11404</v>
      </c>
      <c r="G4872" s="40" t="s">
        <v>11404</v>
      </c>
      <c r="H4872" s="40" t="s">
        <v>11404</v>
      </c>
    </row>
    <row r="4873">
      <c r="A4873" s="39"/>
      <c r="E4873" s="40" t="s">
        <v>11404</v>
      </c>
      <c r="F4873" s="40" t="s">
        <v>11404</v>
      </c>
      <c r="G4873" s="40" t="s">
        <v>11404</v>
      </c>
      <c r="H4873" s="40" t="s">
        <v>11404</v>
      </c>
    </row>
    <row r="4874">
      <c r="A4874" s="39"/>
      <c r="E4874" s="40" t="s">
        <v>11404</v>
      </c>
      <c r="F4874" s="40" t="s">
        <v>11404</v>
      </c>
      <c r="G4874" s="40" t="s">
        <v>11404</v>
      </c>
      <c r="H4874" s="40" t="s">
        <v>11404</v>
      </c>
    </row>
    <row r="4875">
      <c r="A4875" s="39"/>
      <c r="E4875" s="40" t="s">
        <v>11404</v>
      </c>
      <c r="F4875" s="40" t="s">
        <v>11404</v>
      </c>
      <c r="G4875" s="40" t="s">
        <v>11404</v>
      </c>
      <c r="H4875" s="40" t="s">
        <v>11404</v>
      </c>
    </row>
    <row r="4876">
      <c r="A4876" s="39"/>
      <c r="E4876" s="40" t="s">
        <v>11404</v>
      </c>
      <c r="F4876" s="40" t="s">
        <v>11404</v>
      </c>
      <c r="G4876" s="40" t="s">
        <v>11404</v>
      </c>
      <c r="H4876" s="40" t="s">
        <v>11404</v>
      </c>
    </row>
    <row r="4877">
      <c r="A4877" s="39"/>
      <c r="E4877" s="40" t="s">
        <v>11404</v>
      </c>
      <c r="F4877" s="40" t="s">
        <v>11404</v>
      </c>
      <c r="G4877" s="40" t="s">
        <v>11404</v>
      </c>
      <c r="H4877" s="40" t="s">
        <v>11404</v>
      </c>
    </row>
    <row r="4878">
      <c r="A4878" s="39"/>
      <c r="E4878" s="40" t="s">
        <v>11404</v>
      </c>
      <c r="F4878" s="40" t="s">
        <v>11404</v>
      </c>
      <c r="G4878" s="40" t="s">
        <v>11404</v>
      </c>
      <c r="H4878" s="40" t="s">
        <v>11404</v>
      </c>
    </row>
    <row r="4879">
      <c r="A4879" s="39"/>
      <c r="E4879" s="40" t="s">
        <v>11404</v>
      </c>
      <c r="F4879" s="40" t="s">
        <v>11404</v>
      </c>
      <c r="G4879" s="40" t="s">
        <v>11404</v>
      </c>
      <c r="H4879" s="40" t="s">
        <v>11404</v>
      </c>
    </row>
    <row r="4880">
      <c r="A4880" s="39"/>
      <c r="E4880" s="40" t="s">
        <v>11404</v>
      </c>
      <c r="F4880" s="40" t="s">
        <v>11404</v>
      </c>
      <c r="G4880" s="40" t="s">
        <v>11404</v>
      </c>
      <c r="H4880" s="40" t="s">
        <v>11404</v>
      </c>
    </row>
    <row r="4881">
      <c r="A4881" s="39"/>
      <c r="E4881" s="40" t="s">
        <v>11404</v>
      </c>
      <c r="F4881" s="40" t="s">
        <v>11404</v>
      </c>
      <c r="G4881" s="40" t="s">
        <v>11404</v>
      </c>
      <c r="H4881" s="40" t="s">
        <v>11404</v>
      </c>
    </row>
    <row r="4882">
      <c r="A4882" s="39"/>
      <c r="E4882" s="40" t="s">
        <v>11404</v>
      </c>
      <c r="F4882" s="40" t="s">
        <v>11404</v>
      </c>
      <c r="G4882" s="40" t="s">
        <v>11404</v>
      </c>
      <c r="H4882" s="40" t="s">
        <v>11404</v>
      </c>
    </row>
    <row r="4883">
      <c r="A4883" s="39"/>
      <c r="E4883" s="40" t="s">
        <v>11404</v>
      </c>
      <c r="F4883" s="40" t="s">
        <v>11404</v>
      </c>
      <c r="G4883" s="40" t="s">
        <v>11404</v>
      </c>
      <c r="H4883" s="40" t="s">
        <v>11404</v>
      </c>
    </row>
    <row r="4884">
      <c r="A4884" s="39"/>
      <c r="E4884" s="40" t="s">
        <v>11404</v>
      </c>
      <c r="F4884" s="40" t="s">
        <v>11404</v>
      </c>
      <c r="G4884" s="40" t="s">
        <v>11404</v>
      </c>
      <c r="H4884" s="40" t="s">
        <v>11404</v>
      </c>
    </row>
    <row r="4885">
      <c r="A4885" s="39"/>
      <c r="E4885" s="40" t="s">
        <v>11404</v>
      </c>
      <c r="F4885" s="40" t="s">
        <v>11404</v>
      </c>
      <c r="G4885" s="40" t="s">
        <v>11404</v>
      </c>
      <c r="H4885" s="40" t="s">
        <v>11404</v>
      </c>
    </row>
    <row r="4886">
      <c r="A4886" s="39"/>
      <c r="E4886" s="40" t="s">
        <v>11404</v>
      </c>
      <c r="F4886" s="40" t="s">
        <v>11404</v>
      </c>
      <c r="G4886" s="40" t="s">
        <v>11404</v>
      </c>
      <c r="H4886" s="40" t="s">
        <v>11404</v>
      </c>
    </row>
    <row r="4887">
      <c r="A4887" s="39"/>
      <c r="E4887" s="40" t="s">
        <v>11404</v>
      </c>
      <c r="F4887" s="40" t="s">
        <v>11404</v>
      </c>
      <c r="G4887" s="40" t="s">
        <v>11404</v>
      </c>
      <c r="H4887" s="40" t="s">
        <v>11404</v>
      </c>
    </row>
    <row r="4888">
      <c r="A4888" s="39"/>
      <c r="E4888" s="40" t="s">
        <v>11404</v>
      </c>
      <c r="F4888" s="40" t="s">
        <v>11404</v>
      </c>
      <c r="G4888" s="40" t="s">
        <v>11404</v>
      </c>
      <c r="H4888" s="40" t="s">
        <v>11404</v>
      </c>
    </row>
    <row r="4889">
      <c r="A4889" s="39"/>
      <c r="E4889" s="40" t="s">
        <v>11404</v>
      </c>
      <c r="F4889" s="40" t="s">
        <v>11404</v>
      </c>
      <c r="G4889" s="40" t="s">
        <v>11404</v>
      </c>
      <c r="H4889" s="40" t="s">
        <v>11404</v>
      </c>
    </row>
    <row r="4890">
      <c r="A4890" s="39"/>
      <c r="E4890" s="40" t="s">
        <v>11404</v>
      </c>
      <c r="F4890" s="40" t="s">
        <v>11404</v>
      </c>
      <c r="G4890" s="40" t="s">
        <v>11404</v>
      </c>
      <c r="H4890" s="40" t="s">
        <v>11404</v>
      </c>
    </row>
    <row r="4891">
      <c r="A4891" s="39"/>
      <c r="E4891" s="40" t="s">
        <v>11404</v>
      </c>
      <c r="F4891" s="40" t="s">
        <v>11404</v>
      </c>
      <c r="G4891" s="40" t="s">
        <v>11404</v>
      </c>
      <c r="H4891" s="40" t="s">
        <v>11404</v>
      </c>
    </row>
    <row r="4892">
      <c r="A4892" s="39"/>
      <c r="E4892" s="40" t="s">
        <v>11404</v>
      </c>
      <c r="F4892" s="40" t="s">
        <v>11404</v>
      </c>
      <c r="G4892" s="40" t="s">
        <v>11404</v>
      </c>
      <c r="H4892" s="40" t="s">
        <v>11404</v>
      </c>
    </row>
    <row r="4893">
      <c r="A4893" s="39"/>
      <c r="E4893" s="40" t="s">
        <v>11404</v>
      </c>
      <c r="F4893" s="40" t="s">
        <v>11404</v>
      </c>
      <c r="G4893" s="40" t="s">
        <v>11404</v>
      </c>
      <c r="H4893" s="40" t="s">
        <v>11404</v>
      </c>
    </row>
    <row r="4894">
      <c r="A4894" s="39"/>
      <c r="E4894" s="40" t="s">
        <v>11404</v>
      </c>
      <c r="F4894" s="40" t="s">
        <v>11404</v>
      </c>
      <c r="G4894" s="40" t="s">
        <v>11404</v>
      </c>
      <c r="H4894" s="40" t="s">
        <v>11404</v>
      </c>
    </row>
    <row r="4895">
      <c r="A4895" s="39"/>
      <c r="E4895" s="40" t="s">
        <v>11404</v>
      </c>
      <c r="F4895" s="40" t="s">
        <v>11404</v>
      </c>
      <c r="G4895" s="40" t="s">
        <v>11404</v>
      </c>
      <c r="H4895" s="40" t="s">
        <v>11404</v>
      </c>
    </row>
    <row r="4896">
      <c r="A4896" s="39"/>
      <c r="E4896" s="40" t="s">
        <v>11404</v>
      </c>
      <c r="F4896" s="40" t="s">
        <v>11404</v>
      </c>
      <c r="G4896" s="40" t="s">
        <v>11404</v>
      </c>
      <c r="H4896" s="40" t="s">
        <v>11404</v>
      </c>
    </row>
    <row r="4897">
      <c r="A4897" s="39"/>
      <c r="E4897" s="40" t="s">
        <v>11404</v>
      </c>
      <c r="F4897" s="40" t="s">
        <v>11404</v>
      </c>
      <c r="G4897" s="40" t="s">
        <v>11404</v>
      </c>
      <c r="H4897" s="40" t="s">
        <v>11404</v>
      </c>
    </row>
    <row r="4898">
      <c r="A4898" s="39"/>
      <c r="E4898" s="40" t="s">
        <v>11404</v>
      </c>
      <c r="F4898" s="40" t="s">
        <v>11404</v>
      </c>
      <c r="G4898" s="40" t="s">
        <v>11404</v>
      </c>
      <c r="H4898" s="40" t="s">
        <v>11404</v>
      </c>
    </row>
    <row r="4899">
      <c r="A4899" s="39"/>
      <c r="E4899" s="40" t="s">
        <v>11404</v>
      </c>
      <c r="F4899" s="40" t="s">
        <v>11404</v>
      </c>
      <c r="G4899" s="40" t="s">
        <v>11404</v>
      </c>
      <c r="H4899" s="40" t="s">
        <v>11404</v>
      </c>
    </row>
    <row r="4900">
      <c r="A4900" s="39"/>
      <c r="E4900" s="40" t="s">
        <v>11404</v>
      </c>
      <c r="F4900" s="40" t="s">
        <v>11404</v>
      </c>
      <c r="G4900" s="40" t="s">
        <v>11404</v>
      </c>
      <c r="H4900" s="40" t="s">
        <v>11404</v>
      </c>
    </row>
    <row r="4901">
      <c r="A4901" s="39"/>
      <c r="E4901" s="40" t="s">
        <v>11404</v>
      </c>
      <c r="F4901" s="40" t="s">
        <v>11404</v>
      </c>
      <c r="G4901" s="40" t="s">
        <v>11404</v>
      </c>
      <c r="H4901" s="40" t="s">
        <v>11404</v>
      </c>
    </row>
    <row r="4902">
      <c r="A4902" s="39"/>
      <c r="E4902" s="40" t="s">
        <v>11404</v>
      </c>
      <c r="F4902" s="40" t="s">
        <v>11404</v>
      </c>
      <c r="G4902" s="40" t="s">
        <v>11404</v>
      </c>
      <c r="H4902" s="40" t="s">
        <v>11404</v>
      </c>
    </row>
    <row r="4903">
      <c r="A4903" s="39"/>
      <c r="E4903" s="40" t="s">
        <v>11404</v>
      </c>
      <c r="F4903" s="40" t="s">
        <v>11404</v>
      </c>
      <c r="G4903" s="40" t="s">
        <v>11404</v>
      </c>
      <c r="H4903" s="40" t="s">
        <v>11404</v>
      </c>
    </row>
    <row r="4904">
      <c r="A4904" s="39"/>
      <c r="E4904" s="40" t="s">
        <v>11404</v>
      </c>
      <c r="F4904" s="40" t="s">
        <v>11404</v>
      </c>
      <c r="G4904" s="40" t="s">
        <v>11404</v>
      </c>
      <c r="H4904" s="40" t="s">
        <v>11404</v>
      </c>
    </row>
    <row r="4905">
      <c r="A4905" s="39"/>
      <c r="E4905" s="40" t="s">
        <v>11404</v>
      </c>
      <c r="F4905" s="40" t="s">
        <v>11404</v>
      </c>
      <c r="G4905" s="40" t="s">
        <v>11404</v>
      </c>
      <c r="H4905" s="40" t="s">
        <v>11404</v>
      </c>
    </row>
    <row r="4906">
      <c r="A4906" s="39"/>
      <c r="E4906" s="40" t="s">
        <v>11404</v>
      </c>
      <c r="F4906" s="40" t="s">
        <v>11404</v>
      </c>
      <c r="G4906" s="40" t="s">
        <v>11404</v>
      </c>
      <c r="H4906" s="40" t="s">
        <v>11404</v>
      </c>
    </row>
    <row r="4907">
      <c r="A4907" s="39"/>
      <c r="E4907" s="40" t="s">
        <v>11404</v>
      </c>
      <c r="F4907" s="40" t="s">
        <v>11404</v>
      </c>
      <c r="G4907" s="40" t="s">
        <v>11404</v>
      </c>
      <c r="H4907" s="40" t="s">
        <v>11404</v>
      </c>
    </row>
    <row r="4908">
      <c r="A4908" s="39"/>
      <c r="E4908" s="40" t="s">
        <v>11404</v>
      </c>
      <c r="F4908" s="40" t="s">
        <v>11404</v>
      </c>
      <c r="G4908" s="40" t="s">
        <v>11404</v>
      </c>
      <c r="H4908" s="40" t="s">
        <v>11404</v>
      </c>
    </row>
    <row r="4909">
      <c r="A4909" s="39"/>
      <c r="E4909" s="40" t="s">
        <v>11404</v>
      </c>
      <c r="F4909" s="40" t="s">
        <v>11404</v>
      </c>
      <c r="G4909" s="40" t="s">
        <v>11404</v>
      </c>
      <c r="H4909" s="40" t="s">
        <v>11404</v>
      </c>
    </row>
    <row r="4910">
      <c r="A4910" s="39"/>
      <c r="E4910" s="40" t="s">
        <v>11404</v>
      </c>
      <c r="F4910" s="40" t="s">
        <v>11404</v>
      </c>
      <c r="G4910" s="40" t="s">
        <v>11404</v>
      </c>
      <c r="H4910" s="40" t="s">
        <v>11404</v>
      </c>
    </row>
    <row r="4911">
      <c r="A4911" s="39"/>
      <c r="E4911" s="40" t="s">
        <v>11404</v>
      </c>
      <c r="F4911" s="40" t="s">
        <v>11404</v>
      </c>
      <c r="G4911" s="40" t="s">
        <v>11404</v>
      </c>
      <c r="H4911" s="40" t="s">
        <v>11404</v>
      </c>
    </row>
    <row r="4912">
      <c r="A4912" s="39"/>
      <c r="E4912" s="40" t="s">
        <v>11404</v>
      </c>
      <c r="F4912" s="40" t="s">
        <v>11404</v>
      </c>
      <c r="G4912" s="40" t="s">
        <v>11404</v>
      </c>
      <c r="H4912" s="40" t="s">
        <v>11404</v>
      </c>
    </row>
    <row r="4913">
      <c r="A4913" s="39"/>
      <c r="E4913" s="40" t="s">
        <v>11404</v>
      </c>
      <c r="F4913" s="40" t="s">
        <v>11404</v>
      </c>
      <c r="G4913" s="40" t="s">
        <v>11404</v>
      </c>
      <c r="H4913" s="40" t="s">
        <v>11404</v>
      </c>
    </row>
    <row r="4914">
      <c r="A4914" s="39"/>
      <c r="E4914" s="40" t="s">
        <v>11404</v>
      </c>
      <c r="F4914" s="40" t="s">
        <v>11404</v>
      </c>
      <c r="G4914" s="40" t="s">
        <v>11404</v>
      </c>
      <c r="H4914" s="40" t="s">
        <v>11404</v>
      </c>
    </row>
    <row r="4915">
      <c r="A4915" s="39"/>
      <c r="E4915" s="40" t="s">
        <v>11404</v>
      </c>
      <c r="F4915" s="40" t="s">
        <v>11404</v>
      </c>
      <c r="G4915" s="40" t="s">
        <v>11404</v>
      </c>
      <c r="H4915" s="40" t="s">
        <v>11404</v>
      </c>
    </row>
    <row r="4916">
      <c r="A4916" s="39"/>
      <c r="E4916" s="40" t="s">
        <v>11404</v>
      </c>
      <c r="F4916" s="40" t="s">
        <v>11404</v>
      </c>
      <c r="G4916" s="40" t="s">
        <v>11404</v>
      </c>
      <c r="H4916" s="40" t="s">
        <v>11404</v>
      </c>
    </row>
    <row r="4917">
      <c r="A4917" s="39"/>
      <c r="E4917" s="40" t="s">
        <v>11404</v>
      </c>
      <c r="F4917" s="40" t="s">
        <v>11404</v>
      </c>
      <c r="G4917" s="40" t="s">
        <v>11404</v>
      </c>
      <c r="H4917" s="40" t="s">
        <v>11404</v>
      </c>
    </row>
    <row r="4918">
      <c r="A4918" s="39"/>
      <c r="E4918" s="40" t="s">
        <v>11404</v>
      </c>
      <c r="F4918" s="40" t="s">
        <v>11404</v>
      </c>
      <c r="G4918" s="40" t="s">
        <v>11404</v>
      </c>
      <c r="H4918" s="40" t="s">
        <v>11404</v>
      </c>
    </row>
    <row r="4919">
      <c r="A4919" s="39"/>
      <c r="E4919" s="40" t="s">
        <v>11404</v>
      </c>
      <c r="F4919" s="40" t="s">
        <v>11404</v>
      </c>
      <c r="G4919" s="40" t="s">
        <v>11404</v>
      </c>
      <c r="H4919" s="40" t="s">
        <v>11404</v>
      </c>
    </row>
    <row r="4920">
      <c r="A4920" s="39"/>
      <c r="E4920" s="40" t="s">
        <v>11404</v>
      </c>
      <c r="F4920" s="40" t="s">
        <v>11404</v>
      </c>
      <c r="G4920" s="40" t="s">
        <v>11404</v>
      </c>
      <c r="H4920" s="40" t="s">
        <v>11404</v>
      </c>
    </row>
    <row r="4921">
      <c r="A4921" s="39"/>
      <c r="E4921" s="40" t="s">
        <v>11404</v>
      </c>
      <c r="F4921" s="40" t="s">
        <v>11404</v>
      </c>
      <c r="G4921" s="40" t="s">
        <v>11404</v>
      </c>
      <c r="H4921" s="40" t="s">
        <v>11404</v>
      </c>
    </row>
    <row r="4922">
      <c r="A4922" s="39"/>
      <c r="E4922" s="40" t="s">
        <v>11404</v>
      </c>
      <c r="F4922" s="40" t="s">
        <v>11404</v>
      </c>
      <c r="G4922" s="40" t="s">
        <v>11404</v>
      </c>
      <c r="H4922" s="40" t="s">
        <v>11404</v>
      </c>
    </row>
    <row r="4923">
      <c r="A4923" s="39"/>
      <c r="E4923" s="40" t="s">
        <v>11404</v>
      </c>
      <c r="F4923" s="40" t="s">
        <v>11404</v>
      </c>
      <c r="G4923" s="40" t="s">
        <v>11404</v>
      </c>
      <c r="H4923" s="40" t="s">
        <v>11404</v>
      </c>
    </row>
    <row r="4924">
      <c r="A4924" s="39"/>
      <c r="E4924" s="40" t="s">
        <v>11404</v>
      </c>
      <c r="F4924" s="40" t="s">
        <v>11404</v>
      </c>
      <c r="G4924" s="40" t="s">
        <v>11404</v>
      </c>
      <c r="H4924" s="40" t="s">
        <v>11404</v>
      </c>
    </row>
    <row r="4925">
      <c r="A4925" s="39"/>
      <c r="E4925" s="40" t="s">
        <v>11404</v>
      </c>
      <c r="F4925" s="40" t="s">
        <v>11404</v>
      </c>
      <c r="G4925" s="40" t="s">
        <v>11404</v>
      </c>
      <c r="H4925" s="40" t="s">
        <v>11404</v>
      </c>
    </row>
    <row r="4926">
      <c r="A4926" s="39"/>
      <c r="E4926" s="40" t="s">
        <v>11404</v>
      </c>
      <c r="F4926" s="40" t="s">
        <v>11404</v>
      </c>
      <c r="G4926" s="40" t="s">
        <v>11404</v>
      </c>
      <c r="H4926" s="40" t="s">
        <v>11404</v>
      </c>
    </row>
    <row r="4927">
      <c r="A4927" s="39"/>
      <c r="E4927" s="40" t="s">
        <v>11404</v>
      </c>
      <c r="F4927" s="40" t="s">
        <v>11404</v>
      </c>
      <c r="G4927" s="40" t="s">
        <v>11404</v>
      </c>
      <c r="H4927" s="40" t="s">
        <v>11404</v>
      </c>
    </row>
    <row r="4928">
      <c r="A4928" s="39"/>
      <c r="E4928" s="40" t="s">
        <v>11404</v>
      </c>
      <c r="F4928" s="40" t="s">
        <v>11404</v>
      </c>
      <c r="G4928" s="40" t="s">
        <v>11404</v>
      </c>
      <c r="H4928" s="40" t="s">
        <v>11404</v>
      </c>
    </row>
    <row r="4929">
      <c r="A4929" s="39"/>
      <c r="E4929" s="40" t="s">
        <v>11404</v>
      </c>
      <c r="F4929" s="40" t="s">
        <v>11404</v>
      </c>
      <c r="G4929" s="40" t="s">
        <v>11404</v>
      </c>
      <c r="H4929" s="40" t="s">
        <v>11404</v>
      </c>
    </row>
    <row r="4930">
      <c r="A4930" s="39"/>
      <c r="E4930" s="40" t="s">
        <v>11404</v>
      </c>
      <c r="F4930" s="40" t="s">
        <v>11404</v>
      </c>
      <c r="G4930" s="40" t="s">
        <v>11404</v>
      </c>
      <c r="H4930" s="40" t="s">
        <v>11404</v>
      </c>
    </row>
    <row r="4931">
      <c r="A4931" s="39"/>
      <c r="E4931" s="40" t="s">
        <v>11404</v>
      </c>
      <c r="F4931" s="40" t="s">
        <v>11404</v>
      </c>
      <c r="G4931" s="40" t="s">
        <v>11404</v>
      </c>
      <c r="H4931" s="40" t="s">
        <v>11404</v>
      </c>
    </row>
    <row r="4932">
      <c r="A4932" s="39"/>
      <c r="E4932" s="40" t="s">
        <v>11404</v>
      </c>
      <c r="F4932" s="40" t="s">
        <v>11404</v>
      </c>
      <c r="G4932" s="40" t="s">
        <v>11404</v>
      </c>
      <c r="H4932" s="40" t="s">
        <v>11404</v>
      </c>
    </row>
    <row r="4933">
      <c r="A4933" s="39"/>
      <c r="E4933" s="40" t="s">
        <v>11404</v>
      </c>
      <c r="F4933" s="40" t="s">
        <v>11404</v>
      </c>
      <c r="G4933" s="40" t="s">
        <v>11404</v>
      </c>
      <c r="H4933" s="40" t="s">
        <v>11404</v>
      </c>
    </row>
    <row r="4934">
      <c r="A4934" s="39"/>
      <c r="E4934" s="40" t="s">
        <v>11404</v>
      </c>
      <c r="F4934" s="40" t="s">
        <v>11404</v>
      </c>
      <c r="G4934" s="40" t="s">
        <v>11404</v>
      </c>
      <c r="H4934" s="40" t="s">
        <v>11404</v>
      </c>
    </row>
    <row r="4935">
      <c r="A4935" s="39"/>
      <c r="E4935" s="40" t="s">
        <v>11404</v>
      </c>
      <c r="F4935" s="40" t="s">
        <v>11404</v>
      </c>
      <c r="G4935" s="40" t="s">
        <v>11404</v>
      </c>
      <c r="H4935" s="40" t="s">
        <v>11404</v>
      </c>
    </row>
    <row r="4936">
      <c r="A4936" s="39"/>
      <c r="E4936" s="40" t="s">
        <v>11404</v>
      </c>
      <c r="F4936" s="40" t="s">
        <v>11404</v>
      </c>
      <c r="G4936" s="40" t="s">
        <v>11404</v>
      </c>
      <c r="H4936" s="40" t="s">
        <v>11404</v>
      </c>
    </row>
    <row r="4937">
      <c r="A4937" s="39"/>
      <c r="E4937" s="40" t="s">
        <v>11404</v>
      </c>
      <c r="F4937" s="40" t="s">
        <v>11404</v>
      </c>
      <c r="G4937" s="40" t="s">
        <v>11404</v>
      </c>
      <c r="H4937" s="40" t="s">
        <v>11404</v>
      </c>
    </row>
    <row r="4938">
      <c r="A4938" s="39"/>
      <c r="E4938" s="40" t="s">
        <v>11404</v>
      </c>
      <c r="F4938" s="40" t="s">
        <v>11404</v>
      </c>
      <c r="G4938" s="40" t="s">
        <v>11404</v>
      </c>
      <c r="H4938" s="40" t="s">
        <v>11404</v>
      </c>
    </row>
    <row r="4939">
      <c r="A4939" s="39"/>
      <c r="E4939" s="40" t="s">
        <v>11404</v>
      </c>
      <c r="F4939" s="40" t="s">
        <v>11404</v>
      </c>
      <c r="G4939" s="40" t="s">
        <v>11404</v>
      </c>
      <c r="H4939" s="40" t="s">
        <v>11404</v>
      </c>
    </row>
    <row r="4940">
      <c r="A4940" s="39"/>
      <c r="E4940" s="40" t="s">
        <v>11404</v>
      </c>
      <c r="F4940" s="40" t="s">
        <v>11404</v>
      </c>
      <c r="G4940" s="40" t="s">
        <v>11404</v>
      </c>
      <c r="H4940" s="40" t="s">
        <v>11404</v>
      </c>
    </row>
    <row r="4941">
      <c r="A4941" s="39"/>
      <c r="E4941" s="40" t="s">
        <v>11404</v>
      </c>
      <c r="F4941" s="40" t="s">
        <v>11404</v>
      </c>
      <c r="G4941" s="40" t="s">
        <v>11404</v>
      </c>
      <c r="H4941" s="40" t="s">
        <v>11404</v>
      </c>
    </row>
    <row r="4942">
      <c r="A4942" s="39"/>
      <c r="E4942" s="40" t="s">
        <v>11404</v>
      </c>
      <c r="F4942" s="40" t="s">
        <v>11404</v>
      </c>
      <c r="G4942" s="40" t="s">
        <v>11404</v>
      </c>
      <c r="H4942" s="40" t="s">
        <v>11404</v>
      </c>
    </row>
    <row r="4943">
      <c r="A4943" s="39"/>
      <c r="E4943" s="40" t="s">
        <v>11404</v>
      </c>
      <c r="F4943" s="40" t="s">
        <v>11404</v>
      </c>
      <c r="G4943" s="40" t="s">
        <v>11404</v>
      </c>
      <c r="H4943" s="40" t="s">
        <v>11404</v>
      </c>
    </row>
    <row r="4944">
      <c r="A4944" s="39"/>
      <c r="E4944" s="40" t="s">
        <v>11404</v>
      </c>
      <c r="F4944" s="40" t="s">
        <v>11404</v>
      </c>
      <c r="G4944" s="40" t="s">
        <v>11404</v>
      </c>
      <c r="H4944" s="40" t="s">
        <v>11404</v>
      </c>
    </row>
    <row r="4945">
      <c r="A4945" s="39"/>
      <c r="E4945" s="40" t="s">
        <v>11404</v>
      </c>
      <c r="F4945" s="40" t="s">
        <v>11404</v>
      </c>
      <c r="G4945" s="40" t="s">
        <v>11404</v>
      </c>
      <c r="H4945" s="40" t="s">
        <v>11404</v>
      </c>
    </row>
    <row r="4946">
      <c r="A4946" s="39"/>
      <c r="E4946" s="40" t="s">
        <v>11404</v>
      </c>
      <c r="F4946" s="40" t="s">
        <v>11404</v>
      </c>
      <c r="G4946" s="40" t="s">
        <v>11404</v>
      </c>
      <c r="H4946" s="40" t="s">
        <v>11404</v>
      </c>
    </row>
    <row r="4947">
      <c r="A4947" s="39"/>
      <c r="E4947" s="40" t="s">
        <v>11404</v>
      </c>
      <c r="F4947" s="40" t="s">
        <v>11404</v>
      </c>
      <c r="G4947" s="40" t="s">
        <v>11404</v>
      </c>
      <c r="H4947" s="40" t="s">
        <v>11404</v>
      </c>
    </row>
    <row r="4948">
      <c r="A4948" s="39"/>
      <c r="E4948" s="40" t="s">
        <v>11404</v>
      </c>
      <c r="F4948" s="40" t="s">
        <v>11404</v>
      </c>
      <c r="G4948" s="40" t="s">
        <v>11404</v>
      </c>
      <c r="H4948" s="40" t="s">
        <v>11404</v>
      </c>
    </row>
    <row r="4949">
      <c r="A4949" s="39"/>
      <c r="E4949" s="40" t="s">
        <v>11404</v>
      </c>
      <c r="F4949" s="40" t="s">
        <v>11404</v>
      </c>
      <c r="G4949" s="40" t="s">
        <v>11404</v>
      </c>
      <c r="H4949" s="40" t="s">
        <v>11404</v>
      </c>
    </row>
    <row r="4950">
      <c r="A4950" s="39"/>
      <c r="E4950" s="40" t="s">
        <v>11404</v>
      </c>
      <c r="F4950" s="40" t="s">
        <v>11404</v>
      </c>
      <c r="G4950" s="40" t="s">
        <v>11404</v>
      </c>
      <c r="H4950" s="40" t="s">
        <v>11404</v>
      </c>
    </row>
    <row r="4951">
      <c r="A4951" s="39"/>
      <c r="E4951" s="40" t="s">
        <v>11404</v>
      </c>
      <c r="F4951" s="40" t="s">
        <v>11404</v>
      </c>
      <c r="G4951" s="40" t="s">
        <v>11404</v>
      </c>
      <c r="H4951" s="40" t="s">
        <v>11404</v>
      </c>
    </row>
    <row r="4952">
      <c r="A4952" s="39"/>
      <c r="E4952" s="40" t="s">
        <v>11404</v>
      </c>
      <c r="F4952" s="40" t="s">
        <v>11404</v>
      </c>
      <c r="G4952" s="40" t="s">
        <v>11404</v>
      </c>
      <c r="H4952" s="40" t="s">
        <v>11404</v>
      </c>
    </row>
    <row r="4953">
      <c r="A4953" s="39"/>
      <c r="E4953" s="40" t="s">
        <v>11404</v>
      </c>
      <c r="F4953" s="40" t="s">
        <v>11404</v>
      </c>
      <c r="G4953" s="40" t="s">
        <v>11404</v>
      </c>
      <c r="H4953" s="40" t="s">
        <v>11404</v>
      </c>
    </row>
    <row r="4954">
      <c r="A4954" s="39"/>
      <c r="E4954" s="40" t="s">
        <v>11404</v>
      </c>
      <c r="F4954" s="40" t="s">
        <v>11404</v>
      </c>
      <c r="G4954" s="40" t="s">
        <v>11404</v>
      </c>
      <c r="H4954" s="40" t="s">
        <v>11404</v>
      </c>
    </row>
    <row r="4955">
      <c r="A4955" s="39"/>
      <c r="E4955" s="40" t="s">
        <v>11404</v>
      </c>
      <c r="F4955" s="40" t="s">
        <v>11404</v>
      </c>
      <c r="G4955" s="40" t="s">
        <v>11404</v>
      </c>
      <c r="H4955" s="40" t="s">
        <v>11404</v>
      </c>
    </row>
    <row r="4956">
      <c r="A4956" s="39"/>
      <c r="E4956" s="40" t="s">
        <v>11404</v>
      </c>
      <c r="F4956" s="40" t="s">
        <v>11404</v>
      </c>
      <c r="G4956" s="40" t="s">
        <v>11404</v>
      </c>
      <c r="H4956" s="40" t="s">
        <v>11404</v>
      </c>
    </row>
    <row r="4957">
      <c r="A4957" s="39"/>
      <c r="E4957" s="40" t="s">
        <v>11404</v>
      </c>
      <c r="F4957" s="40" t="s">
        <v>11404</v>
      </c>
      <c r="G4957" s="40" t="s">
        <v>11404</v>
      </c>
      <c r="H4957" s="40" t="s">
        <v>11404</v>
      </c>
    </row>
    <row r="4958">
      <c r="A4958" s="39"/>
      <c r="E4958" s="40" t="s">
        <v>11404</v>
      </c>
      <c r="F4958" s="40" t="s">
        <v>11404</v>
      </c>
      <c r="G4958" s="40" t="s">
        <v>11404</v>
      </c>
      <c r="H4958" s="40" t="s">
        <v>11404</v>
      </c>
    </row>
    <row r="4959">
      <c r="A4959" s="39"/>
      <c r="E4959" s="40" t="s">
        <v>11404</v>
      </c>
      <c r="F4959" s="40" t="s">
        <v>11404</v>
      </c>
      <c r="G4959" s="40" t="s">
        <v>11404</v>
      </c>
      <c r="H4959" s="40" t="s">
        <v>11404</v>
      </c>
    </row>
    <row r="4960">
      <c r="A4960" s="39"/>
      <c r="E4960" s="40" t="s">
        <v>11404</v>
      </c>
      <c r="F4960" s="40" t="s">
        <v>11404</v>
      </c>
      <c r="G4960" s="40" t="s">
        <v>11404</v>
      </c>
      <c r="H4960" s="40" t="s">
        <v>11404</v>
      </c>
    </row>
    <row r="4961">
      <c r="A4961" s="39"/>
      <c r="E4961" s="40" t="s">
        <v>11404</v>
      </c>
      <c r="F4961" s="40" t="s">
        <v>11404</v>
      </c>
      <c r="G4961" s="40" t="s">
        <v>11404</v>
      </c>
      <c r="H4961" s="40" t="s">
        <v>11404</v>
      </c>
    </row>
    <row r="4962">
      <c r="A4962" s="39"/>
      <c r="E4962" s="40" t="s">
        <v>11404</v>
      </c>
      <c r="F4962" s="40" t="s">
        <v>11404</v>
      </c>
      <c r="G4962" s="40" t="s">
        <v>11404</v>
      </c>
      <c r="H4962" s="40" t="s">
        <v>11404</v>
      </c>
    </row>
    <row r="4963">
      <c r="A4963" s="39"/>
      <c r="E4963" s="40" t="s">
        <v>11404</v>
      </c>
      <c r="F4963" s="40" t="s">
        <v>11404</v>
      </c>
      <c r="G4963" s="40" t="s">
        <v>11404</v>
      </c>
      <c r="H4963" s="40" t="s">
        <v>11404</v>
      </c>
    </row>
    <row r="4964">
      <c r="A4964" s="39"/>
      <c r="E4964" s="40" t="s">
        <v>11404</v>
      </c>
      <c r="F4964" s="40" t="s">
        <v>11404</v>
      </c>
      <c r="G4964" s="40" t="s">
        <v>11404</v>
      </c>
      <c r="H4964" s="40" t="s">
        <v>11404</v>
      </c>
    </row>
    <row r="4965">
      <c r="A4965" s="39"/>
      <c r="E4965" s="40" t="s">
        <v>11404</v>
      </c>
      <c r="F4965" s="40" t="s">
        <v>11404</v>
      </c>
      <c r="G4965" s="40" t="s">
        <v>11404</v>
      </c>
      <c r="H4965" s="40" t="s">
        <v>11404</v>
      </c>
    </row>
    <row r="4966">
      <c r="A4966" s="39"/>
      <c r="E4966" s="40" t="s">
        <v>11404</v>
      </c>
      <c r="F4966" s="40" t="s">
        <v>11404</v>
      </c>
      <c r="G4966" s="40" t="s">
        <v>11404</v>
      </c>
      <c r="H4966" s="40" t="s">
        <v>11404</v>
      </c>
    </row>
    <row r="4967">
      <c r="A4967" s="39"/>
      <c r="E4967" s="40" t="s">
        <v>11404</v>
      </c>
      <c r="F4967" s="40" t="s">
        <v>11404</v>
      </c>
      <c r="G4967" s="40" t="s">
        <v>11404</v>
      </c>
      <c r="H4967" s="40" t="s">
        <v>11404</v>
      </c>
    </row>
    <row r="4968">
      <c r="A4968" s="39"/>
      <c r="E4968" s="40" t="s">
        <v>11404</v>
      </c>
      <c r="F4968" s="40" t="s">
        <v>11404</v>
      </c>
      <c r="G4968" s="40" t="s">
        <v>11404</v>
      </c>
      <c r="H4968" s="40" t="s">
        <v>11404</v>
      </c>
    </row>
    <row r="4969">
      <c r="A4969" s="39"/>
      <c r="E4969" s="40" t="s">
        <v>11404</v>
      </c>
      <c r="F4969" s="40" t="s">
        <v>11404</v>
      </c>
      <c r="G4969" s="40" t="s">
        <v>11404</v>
      </c>
      <c r="H4969" s="40" t="s">
        <v>11404</v>
      </c>
    </row>
    <row r="4970">
      <c r="A4970" s="39"/>
      <c r="E4970" s="40" t="s">
        <v>11404</v>
      </c>
      <c r="F4970" s="40" t="s">
        <v>11404</v>
      </c>
      <c r="G4970" s="40" t="s">
        <v>11404</v>
      </c>
      <c r="H4970" s="40" t="s">
        <v>11404</v>
      </c>
    </row>
    <row r="4971">
      <c r="A4971" s="39"/>
      <c r="E4971" s="40" t="s">
        <v>11404</v>
      </c>
      <c r="F4971" s="40" t="s">
        <v>11404</v>
      </c>
      <c r="G4971" s="40" t="s">
        <v>11404</v>
      </c>
      <c r="H4971" s="40" t="s">
        <v>11404</v>
      </c>
    </row>
    <row r="4972">
      <c r="A4972" s="39"/>
      <c r="E4972" s="40" t="s">
        <v>11404</v>
      </c>
      <c r="F4972" s="40" t="s">
        <v>11404</v>
      </c>
      <c r="G4972" s="40" t="s">
        <v>11404</v>
      </c>
      <c r="H4972" s="40" t="s">
        <v>11404</v>
      </c>
    </row>
    <row r="4973">
      <c r="A4973" s="39"/>
      <c r="E4973" s="40" t="s">
        <v>11404</v>
      </c>
      <c r="F4973" s="40" t="s">
        <v>11404</v>
      </c>
      <c r="G4973" s="40" t="s">
        <v>11404</v>
      </c>
      <c r="H4973" s="40" t="s">
        <v>11404</v>
      </c>
    </row>
    <row r="4974">
      <c r="A4974" s="39"/>
      <c r="E4974" s="40" t="s">
        <v>11404</v>
      </c>
      <c r="F4974" s="40" t="s">
        <v>11404</v>
      </c>
      <c r="G4974" s="40" t="s">
        <v>11404</v>
      </c>
      <c r="H4974" s="40" t="s">
        <v>11404</v>
      </c>
    </row>
    <row r="4975">
      <c r="A4975" s="39"/>
      <c r="E4975" s="40" t="s">
        <v>11404</v>
      </c>
      <c r="F4975" s="40" t="s">
        <v>11404</v>
      </c>
      <c r="G4975" s="40" t="s">
        <v>11404</v>
      </c>
      <c r="H4975" s="40" t="s">
        <v>11404</v>
      </c>
    </row>
    <row r="4976">
      <c r="A4976" s="39"/>
      <c r="E4976" s="40" t="s">
        <v>11404</v>
      </c>
      <c r="F4976" s="40" t="s">
        <v>11404</v>
      </c>
      <c r="G4976" s="40" t="s">
        <v>11404</v>
      </c>
      <c r="H4976" s="40" t="s">
        <v>11404</v>
      </c>
    </row>
    <row r="4977">
      <c r="A4977" s="39"/>
      <c r="E4977" s="40" t="s">
        <v>11404</v>
      </c>
      <c r="F4977" s="40" t="s">
        <v>11404</v>
      </c>
      <c r="G4977" s="40" t="s">
        <v>11404</v>
      </c>
      <c r="H4977" s="40" t="s">
        <v>11404</v>
      </c>
    </row>
    <row r="4978">
      <c r="A4978" s="39"/>
      <c r="E4978" s="40" t="s">
        <v>11404</v>
      </c>
      <c r="F4978" s="40" t="s">
        <v>11404</v>
      </c>
      <c r="G4978" s="40" t="s">
        <v>11404</v>
      </c>
      <c r="H4978" s="40" t="s">
        <v>11404</v>
      </c>
    </row>
    <row r="4979">
      <c r="A4979" s="39"/>
      <c r="E4979" s="40" t="s">
        <v>11404</v>
      </c>
      <c r="F4979" s="40" t="s">
        <v>11404</v>
      </c>
      <c r="G4979" s="40" t="s">
        <v>11404</v>
      </c>
      <c r="H4979" s="40" t="s">
        <v>11404</v>
      </c>
    </row>
    <row r="4980">
      <c r="A4980" s="39"/>
      <c r="E4980" s="40" t="s">
        <v>11404</v>
      </c>
      <c r="F4980" s="40" t="s">
        <v>11404</v>
      </c>
      <c r="G4980" s="40" t="s">
        <v>11404</v>
      </c>
      <c r="H4980" s="40" t="s">
        <v>11404</v>
      </c>
    </row>
    <row r="4981">
      <c r="A4981" s="39"/>
      <c r="E4981" s="40" t="s">
        <v>11404</v>
      </c>
      <c r="F4981" s="40" t="s">
        <v>11404</v>
      </c>
      <c r="G4981" s="40" t="s">
        <v>11404</v>
      </c>
      <c r="H4981" s="40" t="s">
        <v>11404</v>
      </c>
    </row>
    <row r="4982">
      <c r="A4982" s="39"/>
      <c r="E4982" s="40" t="s">
        <v>11404</v>
      </c>
      <c r="F4982" s="40" t="s">
        <v>11404</v>
      </c>
      <c r="G4982" s="40" t="s">
        <v>11404</v>
      </c>
      <c r="H4982" s="40" t="s">
        <v>11404</v>
      </c>
    </row>
    <row r="4983">
      <c r="A4983" s="39"/>
      <c r="E4983" s="40" t="s">
        <v>11404</v>
      </c>
      <c r="F4983" s="40" t="s">
        <v>11404</v>
      </c>
      <c r="G4983" s="40" t="s">
        <v>11404</v>
      </c>
      <c r="H4983" s="40" t="s">
        <v>11404</v>
      </c>
    </row>
    <row r="4984">
      <c r="A4984" s="39"/>
      <c r="E4984" s="40" t="s">
        <v>11404</v>
      </c>
      <c r="F4984" s="40" t="s">
        <v>11404</v>
      </c>
      <c r="G4984" s="40" t="s">
        <v>11404</v>
      </c>
      <c r="H4984" s="40" t="s">
        <v>11404</v>
      </c>
    </row>
    <row r="4985">
      <c r="A4985" s="39"/>
      <c r="E4985" s="40" t="s">
        <v>11404</v>
      </c>
      <c r="F4985" s="40" t="s">
        <v>11404</v>
      </c>
      <c r="G4985" s="40" t="s">
        <v>11404</v>
      </c>
      <c r="H4985" s="40" t="s">
        <v>11404</v>
      </c>
    </row>
    <row r="4986">
      <c r="A4986" s="39"/>
      <c r="E4986" s="40" t="s">
        <v>11404</v>
      </c>
      <c r="F4986" s="40" t="s">
        <v>11404</v>
      </c>
      <c r="G4986" s="40" t="s">
        <v>11404</v>
      </c>
      <c r="H4986" s="40" t="s">
        <v>11404</v>
      </c>
    </row>
    <row r="4987">
      <c r="A4987" s="39"/>
      <c r="E4987" s="40" t="s">
        <v>11404</v>
      </c>
      <c r="F4987" s="40" t="s">
        <v>11404</v>
      </c>
      <c r="G4987" s="40" t="s">
        <v>11404</v>
      </c>
      <c r="H4987" s="40" t="s">
        <v>11404</v>
      </c>
    </row>
    <row r="4988">
      <c r="A4988" s="39"/>
      <c r="E4988" s="40" t="s">
        <v>11404</v>
      </c>
      <c r="F4988" s="40" t="s">
        <v>11404</v>
      </c>
      <c r="G4988" s="40" t="s">
        <v>11404</v>
      </c>
      <c r="H4988" s="40" t="s">
        <v>11404</v>
      </c>
    </row>
    <row r="4989">
      <c r="A4989" s="39"/>
      <c r="E4989" s="40" t="s">
        <v>11404</v>
      </c>
      <c r="F4989" s="40" t="s">
        <v>11404</v>
      </c>
      <c r="G4989" s="40" t="s">
        <v>11404</v>
      </c>
      <c r="H4989" s="40" t="s">
        <v>11404</v>
      </c>
    </row>
    <row r="4990">
      <c r="A4990" s="39"/>
      <c r="E4990" s="40" t="s">
        <v>11404</v>
      </c>
      <c r="F4990" s="40" t="s">
        <v>11404</v>
      </c>
      <c r="G4990" s="40" t="s">
        <v>11404</v>
      </c>
      <c r="H4990" s="40" t="s">
        <v>11404</v>
      </c>
    </row>
    <row r="4991">
      <c r="A4991" s="39"/>
      <c r="E4991" s="40" t="s">
        <v>11404</v>
      </c>
      <c r="F4991" s="40" t="s">
        <v>11404</v>
      </c>
      <c r="G4991" s="40" t="s">
        <v>11404</v>
      </c>
      <c r="H4991" s="40" t="s">
        <v>11404</v>
      </c>
    </row>
    <row r="4992">
      <c r="A4992" s="39"/>
      <c r="E4992" s="40" t="s">
        <v>11404</v>
      </c>
      <c r="F4992" s="40" t="s">
        <v>11404</v>
      </c>
      <c r="G4992" s="40" t="s">
        <v>11404</v>
      </c>
      <c r="H4992" s="40" t="s">
        <v>11404</v>
      </c>
    </row>
    <row r="4993">
      <c r="A4993" s="39"/>
      <c r="E4993" s="40" t="s">
        <v>11404</v>
      </c>
      <c r="F4993" s="40" t="s">
        <v>11404</v>
      </c>
      <c r="G4993" s="40" t="s">
        <v>11404</v>
      </c>
      <c r="H4993" s="40" t="s">
        <v>11404</v>
      </c>
    </row>
    <row r="4994">
      <c r="A4994" s="39"/>
      <c r="E4994" s="40" t="s">
        <v>11404</v>
      </c>
      <c r="F4994" s="40" t="s">
        <v>11404</v>
      </c>
      <c r="G4994" s="40" t="s">
        <v>11404</v>
      </c>
      <c r="H4994" s="40" t="s">
        <v>11404</v>
      </c>
    </row>
    <row r="4995">
      <c r="A4995" s="39"/>
      <c r="E4995" s="40" t="s">
        <v>11404</v>
      </c>
      <c r="F4995" s="40" t="s">
        <v>11404</v>
      </c>
      <c r="G4995" s="40" t="s">
        <v>11404</v>
      </c>
      <c r="H4995" s="40" t="s">
        <v>11404</v>
      </c>
    </row>
    <row r="4996">
      <c r="A4996" s="39"/>
      <c r="E4996" s="40" t="s">
        <v>11404</v>
      </c>
      <c r="F4996" s="40" t="s">
        <v>11404</v>
      </c>
      <c r="G4996" s="40" t="s">
        <v>11404</v>
      </c>
      <c r="H4996" s="40" t="s">
        <v>11404</v>
      </c>
    </row>
    <row r="4997">
      <c r="A4997" s="39"/>
      <c r="E4997" s="40" t="s">
        <v>11404</v>
      </c>
      <c r="F4997" s="40" t="s">
        <v>11404</v>
      </c>
      <c r="G4997" s="40" t="s">
        <v>11404</v>
      </c>
      <c r="H4997" s="40" t="s">
        <v>11404</v>
      </c>
    </row>
    <row r="4998">
      <c r="A4998" s="39"/>
      <c r="E4998" s="40" t="s">
        <v>11404</v>
      </c>
      <c r="F4998" s="40" t="s">
        <v>11404</v>
      </c>
      <c r="G4998" s="40" t="s">
        <v>11404</v>
      </c>
      <c r="H4998" s="40" t="s">
        <v>11404</v>
      </c>
    </row>
    <row r="4999">
      <c r="A4999" s="39"/>
      <c r="E4999" s="40" t="s">
        <v>11404</v>
      </c>
      <c r="F4999" s="40" t="s">
        <v>11404</v>
      </c>
      <c r="G4999" s="40" t="s">
        <v>11404</v>
      </c>
      <c r="H4999" s="40" t="s">
        <v>11404</v>
      </c>
    </row>
    <row r="5000">
      <c r="A5000" s="39"/>
      <c r="E5000" s="40" t="s">
        <v>11404</v>
      </c>
      <c r="F5000" s="40" t="s">
        <v>11404</v>
      </c>
      <c r="G5000" s="40" t="s">
        <v>11404</v>
      </c>
      <c r="H5000" s="40" t="s">
        <v>11404</v>
      </c>
    </row>
    <row r="5001">
      <c r="A5001" s="39"/>
      <c r="E5001" s="40" t="s">
        <v>11404</v>
      </c>
      <c r="F5001" s="40" t="s">
        <v>11404</v>
      </c>
      <c r="G5001" s="40" t="s">
        <v>11404</v>
      </c>
      <c r="H5001" s="40" t="s">
        <v>11404</v>
      </c>
    </row>
    <row r="5002">
      <c r="A5002" s="39"/>
      <c r="E5002" s="40" t="s">
        <v>11404</v>
      </c>
      <c r="F5002" s="40" t="s">
        <v>11404</v>
      </c>
      <c r="G5002" s="40" t="s">
        <v>11404</v>
      </c>
      <c r="H5002" s="40" t="s">
        <v>11404</v>
      </c>
    </row>
    <row r="5003">
      <c r="A5003" s="39"/>
      <c r="E5003" s="40" t="s">
        <v>11404</v>
      </c>
      <c r="F5003" s="40" t="s">
        <v>11404</v>
      </c>
      <c r="G5003" s="40" t="s">
        <v>11404</v>
      </c>
      <c r="H5003" s="40" t="s">
        <v>11404</v>
      </c>
    </row>
    <row r="5004">
      <c r="A5004" s="39"/>
      <c r="E5004" s="40" t="s">
        <v>11404</v>
      </c>
      <c r="F5004" s="40" t="s">
        <v>11404</v>
      </c>
      <c r="G5004" s="40" t="s">
        <v>11404</v>
      </c>
      <c r="H5004" s="40" t="s">
        <v>11404</v>
      </c>
    </row>
    <row r="5005">
      <c r="A5005" s="39"/>
      <c r="E5005" s="40" t="s">
        <v>11404</v>
      </c>
      <c r="F5005" s="40" t="s">
        <v>11404</v>
      </c>
      <c r="G5005" s="40" t="s">
        <v>11404</v>
      </c>
      <c r="H5005" s="40" t="s">
        <v>11404</v>
      </c>
    </row>
    <row r="5006">
      <c r="A5006" s="39"/>
      <c r="E5006" s="40" t="s">
        <v>11404</v>
      </c>
      <c r="F5006" s="40" t="s">
        <v>11404</v>
      </c>
      <c r="G5006" s="40" t="s">
        <v>11404</v>
      </c>
      <c r="H5006" s="40" t="s">
        <v>11404</v>
      </c>
    </row>
    <row r="5007">
      <c r="A5007" s="39"/>
      <c r="E5007" s="40" t="s">
        <v>11404</v>
      </c>
      <c r="F5007" s="40" t="s">
        <v>11404</v>
      </c>
      <c r="G5007" s="40" t="s">
        <v>11404</v>
      </c>
      <c r="H5007" s="40" t="s">
        <v>11404</v>
      </c>
    </row>
    <row r="5008">
      <c r="A5008" s="39"/>
      <c r="E5008" s="40" t="s">
        <v>11404</v>
      </c>
      <c r="F5008" s="40" t="s">
        <v>11404</v>
      </c>
      <c r="G5008" s="40" t="s">
        <v>11404</v>
      </c>
      <c r="H5008" s="40" t="s">
        <v>11404</v>
      </c>
    </row>
    <row r="5009">
      <c r="A5009" s="39"/>
      <c r="E5009" s="40" t="s">
        <v>11404</v>
      </c>
      <c r="F5009" s="40" t="s">
        <v>11404</v>
      </c>
      <c r="G5009" s="40" t="s">
        <v>11404</v>
      </c>
      <c r="H5009" s="40" t="s">
        <v>11404</v>
      </c>
    </row>
    <row r="5010">
      <c r="A5010" s="39"/>
      <c r="E5010" s="40" t="s">
        <v>11404</v>
      </c>
      <c r="F5010" s="40" t="s">
        <v>11404</v>
      </c>
      <c r="G5010" s="40" t="s">
        <v>11404</v>
      </c>
      <c r="H5010" s="40" t="s">
        <v>11404</v>
      </c>
    </row>
    <row r="5011">
      <c r="A5011" s="39"/>
      <c r="E5011" s="40" t="s">
        <v>11404</v>
      </c>
      <c r="F5011" s="40" t="s">
        <v>11404</v>
      </c>
      <c r="G5011" s="40" t="s">
        <v>11404</v>
      </c>
      <c r="H5011" s="40" t="s">
        <v>11404</v>
      </c>
    </row>
    <row r="5012">
      <c r="A5012" s="39"/>
      <c r="E5012" s="40" t="s">
        <v>11404</v>
      </c>
      <c r="F5012" s="40" t="s">
        <v>11404</v>
      </c>
      <c r="G5012" s="40" t="s">
        <v>11404</v>
      </c>
      <c r="H5012" s="40" t="s">
        <v>11404</v>
      </c>
    </row>
    <row r="5013">
      <c r="A5013" s="39"/>
      <c r="E5013" s="40" t="s">
        <v>11404</v>
      </c>
      <c r="F5013" s="40" t="s">
        <v>11404</v>
      </c>
      <c r="G5013" s="40" t="s">
        <v>11404</v>
      </c>
      <c r="H5013" s="40" t="s">
        <v>11404</v>
      </c>
    </row>
    <row r="5014">
      <c r="A5014" s="39"/>
      <c r="E5014" s="40" t="s">
        <v>11404</v>
      </c>
      <c r="F5014" s="40" t="s">
        <v>11404</v>
      </c>
      <c r="G5014" s="40" t="s">
        <v>11404</v>
      </c>
      <c r="H5014" s="40" t="s">
        <v>11404</v>
      </c>
    </row>
    <row r="5015">
      <c r="A5015" s="39"/>
      <c r="E5015" s="40" t="s">
        <v>11404</v>
      </c>
      <c r="F5015" s="40" t="s">
        <v>11404</v>
      </c>
      <c r="G5015" s="40" t="s">
        <v>11404</v>
      </c>
      <c r="H5015" s="40" t="s">
        <v>11404</v>
      </c>
    </row>
    <row r="5016">
      <c r="A5016" s="39"/>
      <c r="E5016" s="40" t="s">
        <v>11404</v>
      </c>
      <c r="F5016" s="40" t="s">
        <v>11404</v>
      </c>
      <c r="G5016" s="40" t="s">
        <v>11404</v>
      </c>
      <c r="H5016" s="40" t="s">
        <v>11404</v>
      </c>
    </row>
    <row r="5017">
      <c r="A5017" s="39"/>
      <c r="E5017" s="40" t="s">
        <v>11404</v>
      </c>
      <c r="F5017" s="40" t="s">
        <v>11404</v>
      </c>
      <c r="G5017" s="40" t="s">
        <v>11404</v>
      </c>
      <c r="H5017" s="40" t="s">
        <v>11404</v>
      </c>
    </row>
    <row r="5018">
      <c r="A5018" s="39"/>
      <c r="E5018" s="40" t="s">
        <v>11404</v>
      </c>
      <c r="F5018" s="40" t="s">
        <v>11404</v>
      </c>
      <c r="G5018" s="40" t="s">
        <v>11404</v>
      </c>
      <c r="H5018" s="40" t="s">
        <v>11404</v>
      </c>
    </row>
    <row r="5019">
      <c r="A5019" s="39"/>
      <c r="E5019" s="40" t="s">
        <v>11404</v>
      </c>
      <c r="F5019" s="40" t="s">
        <v>11404</v>
      </c>
      <c r="G5019" s="40" t="s">
        <v>11404</v>
      </c>
      <c r="H5019" s="40" t="s">
        <v>11404</v>
      </c>
    </row>
    <row r="5020">
      <c r="A5020" s="39"/>
      <c r="E5020" s="40" t="s">
        <v>11404</v>
      </c>
      <c r="F5020" s="40" t="s">
        <v>11404</v>
      </c>
      <c r="G5020" s="40" t="s">
        <v>11404</v>
      </c>
      <c r="H5020" s="40" t="s">
        <v>11404</v>
      </c>
    </row>
    <row r="5021">
      <c r="A5021" s="39"/>
      <c r="E5021" s="40" t="s">
        <v>11404</v>
      </c>
      <c r="F5021" s="40" t="s">
        <v>11404</v>
      </c>
      <c r="G5021" s="40" t="s">
        <v>11404</v>
      </c>
      <c r="H5021" s="40" t="s">
        <v>11404</v>
      </c>
    </row>
    <row r="5022">
      <c r="A5022" s="39"/>
      <c r="E5022" s="40" t="s">
        <v>11404</v>
      </c>
      <c r="F5022" s="40" t="s">
        <v>11404</v>
      </c>
      <c r="G5022" s="40" t="s">
        <v>11404</v>
      </c>
      <c r="H5022" s="40" t="s">
        <v>11404</v>
      </c>
    </row>
    <row r="5023">
      <c r="A5023" s="39"/>
      <c r="E5023" s="40" t="s">
        <v>11404</v>
      </c>
      <c r="F5023" s="40" t="s">
        <v>11404</v>
      </c>
      <c r="G5023" s="40" t="s">
        <v>11404</v>
      </c>
      <c r="H5023" s="40" t="s">
        <v>11404</v>
      </c>
    </row>
    <row r="5024">
      <c r="A5024" s="39"/>
      <c r="E5024" s="40" t="s">
        <v>11404</v>
      </c>
      <c r="F5024" s="40" t="s">
        <v>11404</v>
      </c>
      <c r="G5024" s="40" t="s">
        <v>11404</v>
      </c>
      <c r="H5024" s="40" t="s">
        <v>11404</v>
      </c>
    </row>
    <row r="5025">
      <c r="A5025" s="39"/>
      <c r="E5025" s="40" t="s">
        <v>11404</v>
      </c>
      <c r="F5025" s="40" t="s">
        <v>11404</v>
      </c>
      <c r="G5025" s="40" t="s">
        <v>11404</v>
      </c>
      <c r="H5025" s="40" t="s">
        <v>11404</v>
      </c>
    </row>
    <row r="5026">
      <c r="A5026" s="39"/>
      <c r="E5026" s="40" t="s">
        <v>11404</v>
      </c>
      <c r="F5026" s="40" t="s">
        <v>11404</v>
      </c>
      <c r="G5026" s="40" t="s">
        <v>11404</v>
      </c>
      <c r="H5026" s="40" t="s">
        <v>11404</v>
      </c>
    </row>
    <row r="5027">
      <c r="A5027" s="39"/>
      <c r="E5027" s="40" t="s">
        <v>11404</v>
      </c>
      <c r="F5027" s="40" t="s">
        <v>11404</v>
      </c>
      <c r="G5027" s="40" t="s">
        <v>11404</v>
      </c>
      <c r="H5027" s="40" t="s">
        <v>11404</v>
      </c>
    </row>
    <row r="5028">
      <c r="A5028" s="39"/>
      <c r="E5028" s="40" t="s">
        <v>11404</v>
      </c>
      <c r="F5028" s="40" t="s">
        <v>11404</v>
      </c>
      <c r="G5028" s="40" t="s">
        <v>11404</v>
      </c>
      <c r="H5028" s="40" t="s">
        <v>11404</v>
      </c>
    </row>
    <row r="5029">
      <c r="A5029" s="39"/>
      <c r="E5029" s="40" t="s">
        <v>11404</v>
      </c>
      <c r="F5029" s="40" t="s">
        <v>11404</v>
      </c>
      <c r="G5029" s="40" t="s">
        <v>11404</v>
      </c>
      <c r="H5029" s="40" t="s">
        <v>11404</v>
      </c>
    </row>
    <row r="5030">
      <c r="A5030" s="39"/>
      <c r="E5030" s="40" t="s">
        <v>11404</v>
      </c>
      <c r="F5030" s="40" t="s">
        <v>11404</v>
      </c>
      <c r="G5030" s="40" t="s">
        <v>11404</v>
      </c>
      <c r="H5030" s="40" t="s">
        <v>11404</v>
      </c>
    </row>
    <row r="5031">
      <c r="A5031" s="39"/>
      <c r="E5031" s="40" t="s">
        <v>11404</v>
      </c>
      <c r="F5031" s="40" t="s">
        <v>11404</v>
      </c>
      <c r="G5031" s="40" t="s">
        <v>11404</v>
      </c>
      <c r="H5031" s="40" t="s">
        <v>11404</v>
      </c>
    </row>
    <row r="5032">
      <c r="A5032" s="39"/>
      <c r="E5032" s="40" t="s">
        <v>11404</v>
      </c>
      <c r="F5032" s="40" t="s">
        <v>11404</v>
      </c>
      <c r="G5032" s="40" t="s">
        <v>11404</v>
      </c>
      <c r="H5032" s="40" t="s">
        <v>11404</v>
      </c>
    </row>
    <row r="5033">
      <c r="A5033" s="39"/>
      <c r="E5033" s="40" t="s">
        <v>11404</v>
      </c>
      <c r="F5033" s="40" t="s">
        <v>11404</v>
      </c>
      <c r="G5033" s="40" t="s">
        <v>11404</v>
      </c>
      <c r="H5033" s="40" t="s">
        <v>11404</v>
      </c>
    </row>
    <row r="5034">
      <c r="A5034" s="39"/>
      <c r="E5034" s="40" t="s">
        <v>11404</v>
      </c>
      <c r="F5034" s="40" t="s">
        <v>11404</v>
      </c>
      <c r="G5034" s="40" t="s">
        <v>11404</v>
      </c>
      <c r="H5034" s="40" t="s">
        <v>11404</v>
      </c>
    </row>
    <row r="5035">
      <c r="A5035" s="39"/>
      <c r="E5035" s="40" t="s">
        <v>11404</v>
      </c>
      <c r="F5035" s="40" t="s">
        <v>11404</v>
      </c>
      <c r="G5035" s="40" t="s">
        <v>11404</v>
      </c>
      <c r="H5035" s="40" t="s">
        <v>11404</v>
      </c>
    </row>
    <row r="5036">
      <c r="A5036" s="39"/>
      <c r="E5036" s="40" t="s">
        <v>11404</v>
      </c>
      <c r="F5036" s="40" t="s">
        <v>11404</v>
      </c>
      <c r="G5036" s="40" t="s">
        <v>11404</v>
      </c>
      <c r="H5036" s="40" t="s">
        <v>11404</v>
      </c>
    </row>
    <row r="5037">
      <c r="A5037" s="39"/>
      <c r="E5037" s="40" t="s">
        <v>11404</v>
      </c>
      <c r="F5037" s="40" t="s">
        <v>11404</v>
      </c>
      <c r="G5037" s="40" t="s">
        <v>11404</v>
      </c>
      <c r="H5037" s="40" t="s">
        <v>11404</v>
      </c>
    </row>
    <row r="5038">
      <c r="A5038" s="39"/>
      <c r="E5038" s="40" t="s">
        <v>11404</v>
      </c>
      <c r="F5038" s="40" t="s">
        <v>11404</v>
      </c>
      <c r="G5038" s="40" t="s">
        <v>11404</v>
      </c>
      <c r="H5038" s="40" t="s">
        <v>11404</v>
      </c>
    </row>
    <row r="5039">
      <c r="A5039" s="39"/>
      <c r="E5039" s="40" t="s">
        <v>11404</v>
      </c>
      <c r="F5039" s="40" t="s">
        <v>11404</v>
      </c>
      <c r="G5039" s="40" t="s">
        <v>11404</v>
      </c>
      <c r="H5039" s="40" t="s">
        <v>11404</v>
      </c>
    </row>
    <row r="5040">
      <c r="A5040" s="39"/>
      <c r="E5040" s="40" t="s">
        <v>11404</v>
      </c>
      <c r="F5040" s="40" t="s">
        <v>11404</v>
      </c>
      <c r="G5040" s="40" t="s">
        <v>11404</v>
      </c>
      <c r="H5040" s="40" t="s">
        <v>11404</v>
      </c>
    </row>
    <row r="5041">
      <c r="A5041" s="39"/>
      <c r="E5041" s="40" t="s">
        <v>11404</v>
      </c>
      <c r="F5041" s="40" t="s">
        <v>11404</v>
      </c>
      <c r="G5041" s="40" t="s">
        <v>11404</v>
      </c>
      <c r="H5041" s="40" t="s">
        <v>11404</v>
      </c>
    </row>
    <row r="5042">
      <c r="A5042" s="39"/>
      <c r="E5042" s="40" t="s">
        <v>11404</v>
      </c>
      <c r="F5042" s="40" t="s">
        <v>11404</v>
      </c>
      <c r="G5042" s="40" t="s">
        <v>11404</v>
      </c>
      <c r="H5042" s="40" t="s">
        <v>11404</v>
      </c>
    </row>
    <row r="5043">
      <c r="A5043" s="39"/>
      <c r="E5043" s="40" t="s">
        <v>11404</v>
      </c>
      <c r="F5043" s="40" t="s">
        <v>11404</v>
      </c>
      <c r="G5043" s="40" t="s">
        <v>11404</v>
      </c>
      <c r="H5043" s="40" t="s">
        <v>11404</v>
      </c>
    </row>
    <row r="5044">
      <c r="A5044" s="39"/>
      <c r="E5044" s="40" t="s">
        <v>11404</v>
      </c>
      <c r="F5044" s="40" t="s">
        <v>11404</v>
      </c>
      <c r="G5044" s="40" t="s">
        <v>11404</v>
      </c>
      <c r="H5044" s="40" t="s">
        <v>11404</v>
      </c>
    </row>
    <row r="5045">
      <c r="A5045" s="39"/>
      <c r="E5045" s="40" t="s">
        <v>11404</v>
      </c>
      <c r="F5045" s="40" t="s">
        <v>11404</v>
      </c>
      <c r="G5045" s="40" t="s">
        <v>11404</v>
      </c>
      <c r="H5045" s="40" t="s">
        <v>11404</v>
      </c>
    </row>
    <row r="5046">
      <c r="A5046" s="39"/>
      <c r="E5046" s="40" t="s">
        <v>11404</v>
      </c>
      <c r="F5046" s="40" t="s">
        <v>11404</v>
      </c>
      <c r="G5046" s="40" t="s">
        <v>11404</v>
      </c>
      <c r="H5046" s="40" t="s">
        <v>11404</v>
      </c>
    </row>
    <row r="5047">
      <c r="A5047" s="39"/>
      <c r="E5047" s="40" t="s">
        <v>11404</v>
      </c>
      <c r="F5047" s="40" t="s">
        <v>11404</v>
      </c>
      <c r="G5047" s="40" t="s">
        <v>11404</v>
      </c>
      <c r="H5047" s="40" t="s">
        <v>11404</v>
      </c>
    </row>
    <row r="5048">
      <c r="A5048" s="39"/>
      <c r="E5048" s="40" t="s">
        <v>11404</v>
      </c>
      <c r="F5048" s="40" t="s">
        <v>11404</v>
      </c>
      <c r="G5048" s="40" t="s">
        <v>11404</v>
      </c>
      <c r="H5048" s="40" t="s">
        <v>11404</v>
      </c>
    </row>
    <row r="5049">
      <c r="A5049" s="39"/>
      <c r="E5049" s="40" t="s">
        <v>11404</v>
      </c>
      <c r="F5049" s="40" t="s">
        <v>11404</v>
      </c>
      <c r="G5049" s="40" t="s">
        <v>11404</v>
      </c>
      <c r="H5049" s="40" t="s">
        <v>11404</v>
      </c>
    </row>
    <row r="5050">
      <c r="A5050" s="39"/>
      <c r="E5050" s="40" t="s">
        <v>11404</v>
      </c>
      <c r="F5050" s="40" t="s">
        <v>11404</v>
      </c>
      <c r="G5050" s="40" t="s">
        <v>11404</v>
      </c>
      <c r="H5050" s="40" t="s">
        <v>11404</v>
      </c>
    </row>
    <row r="5051">
      <c r="A5051" s="39"/>
      <c r="E5051" s="40" t="s">
        <v>11404</v>
      </c>
      <c r="F5051" s="40" t="s">
        <v>11404</v>
      </c>
      <c r="G5051" s="40" t="s">
        <v>11404</v>
      </c>
      <c r="H5051" s="40" t="s">
        <v>11404</v>
      </c>
    </row>
    <row r="5052">
      <c r="A5052" s="39"/>
      <c r="E5052" s="40" t="s">
        <v>11404</v>
      </c>
      <c r="F5052" s="40" t="s">
        <v>11404</v>
      </c>
      <c r="G5052" s="40" t="s">
        <v>11404</v>
      </c>
      <c r="H5052" s="40" t="s">
        <v>11404</v>
      </c>
    </row>
    <row r="5053">
      <c r="A5053" s="39"/>
      <c r="E5053" s="40" t="s">
        <v>11404</v>
      </c>
      <c r="F5053" s="40" t="s">
        <v>11404</v>
      </c>
      <c r="G5053" s="40" t="s">
        <v>11404</v>
      </c>
      <c r="H5053" s="40" t="s">
        <v>11404</v>
      </c>
    </row>
    <row r="5054">
      <c r="A5054" s="39"/>
      <c r="E5054" s="40" t="s">
        <v>11404</v>
      </c>
      <c r="F5054" s="40" t="s">
        <v>11404</v>
      </c>
      <c r="G5054" s="40" t="s">
        <v>11404</v>
      </c>
      <c r="H5054" s="40" t="s">
        <v>11404</v>
      </c>
    </row>
    <row r="5055">
      <c r="A5055" s="39"/>
      <c r="E5055" s="40" t="s">
        <v>11404</v>
      </c>
      <c r="F5055" s="40" t="s">
        <v>11404</v>
      </c>
      <c r="G5055" s="40" t="s">
        <v>11404</v>
      </c>
      <c r="H5055" s="40" t="s">
        <v>11404</v>
      </c>
    </row>
    <row r="5056">
      <c r="A5056" s="39"/>
      <c r="E5056" s="40" t="s">
        <v>11404</v>
      </c>
      <c r="F5056" s="40" t="s">
        <v>11404</v>
      </c>
      <c r="G5056" s="40" t="s">
        <v>11404</v>
      </c>
      <c r="H5056" s="40" t="s">
        <v>11404</v>
      </c>
    </row>
    <row r="5057">
      <c r="A5057" s="39"/>
      <c r="E5057" s="40" t="s">
        <v>11404</v>
      </c>
      <c r="F5057" s="40" t="s">
        <v>11404</v>
      </c>
      <c r="G5057" s="40" t="s">
        <v>11404</v>
      </c>
      <c r="H5057" s="40" t="s">
        <v>11404</v>
      </c>
    </row>
    <row r="5058">
      <c r="A5058" s="39"/>
      <c r="E5058" s="40" t="s">
        <v>11404</v>
      </c>
      <c r="F5058" s="40" t="s">
        <v>11404</v>
      </c>
      <c r="G5058" s="40" t="s">
        <v>11404</v>
      </c>
      <c r="H5058" s="40" t="s">
        <v>11404</v>
      </c>
    </row>
    <row r="5059">
      <c r="A5059" s="39"/>
      <c r="E5059" s="40" t="s">
        <v>11404</v>
      </c>
      <c r="F5059" s="40" t="s">
        <v>11404</v>
      </c>
      <c r="G5059" s="40" t="s">
        <v>11404</v>
      </c>
      <c r="H5059" s="40" t="s">
        <v>11404</v>
      </c>
    </row>
    <row r="5060">
      <c r="A5060" s="39"/>
      <c r="E5060" s="40" t="s">
        <v>11404</v>
      </c>
      <c r="F5060" s="40" t="s">
        <v>11404</v>
      </c>
      <c r="G5060" s="40" t="s">
        <v>11404</v>
      </c>
      <c r="H5060" s="40" t="s">
        <v>11404</v>
      </c>
    </row>
    <row r="5061">
      <c r="A5061" s="39"/>
      <c r="E5061" s="40" t="s">
        <v>11404</v>
      </c>
      <c r="F5061" s="40" t="s">
        <v>11404</v>
      </c>
      <c r="G5061" s="40" t="s">
        <v>11404</v>
      </c>
      <c r="H5061" s="40" t="s">
        <v>11404</v>
      </c>
    </row>
    <row r="5062">
      <c r="A5062" s="39"/>
      <c r="E5062" s="40" t="s">
        <v>11404</v>
      </c>
      <c r="F5062" s="40" t="s">
        <v>11404</v>
      </c>
      <c r="G5062" s="40" t="s">
        <v>11404</v>
      </c>
      <c r="H5062" s="40" t="s">
        <v>11404</v>
      </c>
    </row>
    <row r="5063">
      <c r="A5063" s="39"/>
      <c r="E5063" s="40" t="s">
        <v>11404</v>
      </c>
      <c r="F5063" s="40" t="s">
        <v>11404</v>
      </c>
      <c r="G5063" s="40" t="s">
        <v>11404</v>
      </c>
      <c r="H5063" s="40" t="s">
        <v>11404</v>
      </c>
    </row>
    <row r="5064">
      <c r="A5064" s="39"/>
      <c r="E5064" s="40" t="s">
        <v>11404</v>
      </c>
      <c r="F5064" s="40" t="s">
        <v>11404</v>
      </c>
      <c r="G5064" s="40" t="s">
        <v>11404</v>
      </c>
      <c r="H5064" s="40" t="s">
        <v>11404</v>
      </c>
    </row>
    <row r="5065">
      <c r="A5065" s="39"/>
      <c r="E5065" s="40" t="s">
        <v>11404</v>
      </c>
      <c r="F5065" s="40" t="s">
        <v>11404</v>
      </c>
      <c r="G5065" s="40" t="s">
        <v>11404</v>
      </c>
      <c r="H5065" s="40" t="s">
        <v>11404</v>
      </c>
    </row>
    <row r="5066">
      <c r="A5066" s="39"/>
      <c r="E5066" s="40" t="s">
        <v>11404</v>
      </c>
      <c r="F5066" s="40" t="s">
        <v>11404</v>
      </c>
      <c r="G5066" s="40" t="s">
        <v>11404</v>
      </c>
      <c r="H5066" s="40" t="s">
        <v>11404</v>
      </c>
    </row>
    <row r="5067">
      <c r="A5067" s="39"/>
      <c r="E5067" s="40" t="s">
        <v>11404</v>
      </c>
      <c r="F5067" s="40" t="s">
        <v>11404</v>
      </c>
      <c r="G5067" s="40" t="s">
        <v>11404</v>
      </c>
      <c r="H5067" s="40" t="s">
        <v>11404</v>
      </c>
    </row>
    <row r="5068">
      <c r="A5068" s="39"/>
      <c r="E5068" s="40" t="s">
        <v>11404</v>
      </c>
      <c r="F5068" s="40" t="s">
        <v>11404</v>
      </c>
      <c r="G5068" s="40" t="s">
        <v>11404</v>
      </c>
      <c r="H5068" s="40" t="s">
        <v>11404</v>
      </c>
    </row>
    <row r="5069">
      <c r="A5069" s="39"/>
      <c r="E5069" s="40" t="s">
        <v>11404</v>
      </c>
      <c r="F5069" s="40" t="s">
        <v>11404</v>
      </c>
      <c r="G5069" s="40" t="s">
        <v>11404</v>
      </c>
      <c r="H5069" s="40" t="s">
        <v>11404</v>
      </c>
    </row>
    <row r="5070">
      <c r="A5070" s="39"/>
      <c r="E5070" s="40" t="s">
        <v>11404</v>
      </c>
      <c r="F5070" s="40" t="s">
        <v>11404</v>
      </c>
      <c r="G5070" s="40" t="s">
        <v>11404</v>
      </c>
      <c r="H5070" s="40" t="s">
        <v>11404</v>
      </c>
    </row>
    <row r="5071">
      <c r="A5071" s="39"/>
      <c r="E5071" s="40" t="s">
        <v>11404</v>
      </c>
      <c r="F5071" s="40" t="s">
        <v>11404</v>
      </c>
      <c r="G5071" s="40" t="s">
        <v>11404</v>
      </c>
      <c r="H5071" s="40" t="s">
        <v>11404</v>
      </c>
    </row>
    <row r="5072">
      <c r="A5072" s="39"/>
      <c r="E5072" s="40" t="s">
        <v>11404</v>
      </c>
      <c r="F5072" s="40" t="s">
        <v>11404</v>
      </c>
      <c r="G5072" s="40" t="s">
        <v>11404</v>
      </c>
      <c r="H5072" s="40" t="s">
        <v>11404</v>
      </c>
    </row>
    <row r="5073">
      <c r="A5073" s="39"/>
      <c r="E5073" s="40" t="s">
        <v>11404</v>
      </c>
      <c r="F5073" s="40" t="s">
        <v>11404</v>
      </c>
      <c r="G5073" s="40" t="s">
        <v>11404</v>
      </c>
      <c r="H5073" s="40" t="s">
        <v>11404</v>
      </c>
    </row>
    <row r="5074">
      <c r="A5074" s="39"/>
      <c r="E5074" s="40" t="s">
        <v>11404</v>
      </c>
      <c r="F5074" s="40" t="s">
        <v>11404</v>
      </c>
      <c r="G5074" s="40" t="s">
        <v>11404</v>
      </c>
      <c r="H5074" s="40" t="s">
        <v>11404</v>
      </c>
    </row>
    <row r="5075">
      <c r="A5075" s="39"/>
      <c r="E5075" s="40" t="s">
        <v>11404</v>
      </c>
      <c r="F5075" s="40" t="s">
        <v>11404</v>
      </c>
      <c r="G5075" s="40" t="s">
        <v>11404</v>
      </c>
      <c r="H5075" s="40" t="s">
        <v>11404</v>
      </c>
    </row>
    <row r="5076">
      <c r="A5076" s="39"/>
      <c r="E5076" s="40" t="s">
        <v>11404</v>
      </c>
      <c r="F5076" s="40" t="s">
        <v>11404</v>
      </c>
      <c r="G5076" s="40" t="s">
        <v>11404</v>
      </c>
      <c r="H5076" s="40" t="s">
        <v>11404</v>
      </c>
    </row>
    <row r="5077">
      <c r="A5077" s="39"/>
      <c r="E5077" s="40" t="s">
        <v>11404</v>
      </c>
      <c r="F5077" s="40" t="s">
        <v>11404</v>
      </c>
      <c r="G5077" s="40" t="s">
        <v>11404</v>
      </c>
      <c r="H5077" s="40" t="s">
        <v>11404</v>
      </c>
    </row>
    <row r="5078">
      <c r="A5078" s="39"/>
      <c r="E5078" s="40" t="s">
        <v>11404</v>
      </c>
      <c r="F5078" s="40" t="s">
        <v>11404</v>
      </c>
      <c r="G5078" s="40" t="s">
        <v>11404</v>
      </c>
      <c r="H5078" s="40" t="s">
        <v>11404</v>
      </c>
    </row>
    <row r="5079">
      <c r="A5079" s="39"/>
      <c r="E5079" s="40" t="s">
        <v>11404</v>
      </c>
      <c r="F5079" s="40" t="s">
        <v>11404</v>
      </c>
      <c r="G5079" s="40" t="s">
        <v>11404</v>
      </c>
      <c r="H5079" s="40" t="s">
        <v>11404</v>
      </c>
    </row>
    <row r="5080">
      <c r="A5080" s="39"/>
      <c r="E5080" s="40" t="s">
        <v>11404</v>
      </c>
      <c r="F5080" s="40" t="s">
        <v>11404</v>
      </c>
      <c r="G5080" s="40" t="s">
        <v>11404</v>
      </c>
      <c r="H5080" s="40" t="s">
        <v>11404</v>
      </c>
    </row>
    <row r="5081">
      <c r="A5081" s="39"/>
      <c r="E5081" s="40" t="s">
        <v>11404</v>
      </c>
      <c r="F5081" s="40" t="s">
        <v>11404</v>
      </c>
      <c r="G5081" s="40" t="s">
        <v>11404</v>
      </c>
      <c r="H5081" s="40" t="s">
        <v>11404</v>
      </c>
    </row>
    <row r="5082">
      <c r="A5082" s="39"/>
      <c r="E5082" s="40" t="s">
        <v>11404</v>
      </c>
      <c r="F5082" s="40" t="s">
        <v>11404</v>
      </c>
      <c r="G5082" s="40" t="s">
        <v>11404</v>
      </c>
      <c r="H5082" s="40" t="s">
        <v>11404</v>
      </c>
    </row>
    <row r="5083">
      <c r="A5083" s="39"/>
      <c r="E5083" s="40" t="s">
        <v>11404</v>
      </c>
      <c r="F5083" s="40" t="s">
        <v>11404</v>
      </c>
      <c r="G5083" s="40" t="s">
        <v>11404</v>
      </c>
      <c r="H5083" s="40" t="s">
        <v>11404</v>
      </c>
    </row>
    <row r="5084">
      <c r="A5084" s="39"/>
      <c r="E5084" s="40" t="s">
        <v>11404</v>
      </c>
      <c r="F5084" s="40" t="s">
        <v>11404</v>
      </c>
      <c r="G5084" s="40" t="s">
        <v>11404</v>
      </c>
      <c r="H5084" s="40" t="s">
        <v>11404</v>
      </c>
    </row>
    <row r="5085">
      <c r="A5085" s="39"/>
      <c r="E5085" s="40" t="s">
        <v>11404</v>
      </c>
      <c r="F5085" s="40" t="s">
        <v>11404</v>
      </c>
      <c r="G5085" s="40" t="s">
        <v>11404</v>
      </c>
      <c r="H5085" s="40" t="s">
        <v>11404</v>
      </c>
    </row>
    <row r="5086">
      <c r="A5086" s="39"/>
      <c r="E5086" s="40" t="s">
        <v>11404</v>
      </c>
      <c r="F5086" s="40" t="s">
        <v>11404</v>
      </c>
      <c r="G5086" s="40" t="s">
        <v>11404</v>
      </c>
      <c r="H5086" s="40" t="s">
        <v>11404</v>
      </c>
    </row>
    <row r="5087">
      <c r="A5087" s="39"/>
      <c r="E5087" s="40" t="s">
        <v>11404</v>
      </c>
      <c r="F5087" s="40" t="s">
        <v>11404</v>
      </c>
      <c r="G5087" s="40" t="s">
        <v>11404</v>
      </c>
      <c r="H5087" s="40" t="s">
        <v>11404</v>
      </c>
    </row>
    <row r="5088">
      <c r="A5088" s="39"/>
      <c r="E5088" s="40" t="s">
        <v>11404</v>
      </c>
      <c r="F5088" s="40" t="s">
        <v>11404</v>
      </c>
      <c r="G5088" s="40" t="s">
        <v>11404</v>
      </c>
      <c r="H5088" s="40" t="s">
        <v>11404</v>
      </c>
    </row>
    <row r="5089">
      <c r="A5089" s="39"/>
      <c r="E5089" s="40" t="s">
        <v>11404</v>
      </c>
      <c r="F5089" s="40" t="s">
        <v>11404</v>
      </c>
      <c r="G5089" s="40" t="s">
        <v>11404</v>
      </c>
      <c r="H5089" s="40" t="s">
        <v>11404</v>
      </c>
    </row>
    <row r="5090">
      <c r="A5090" s="39"/>
      <c r="E5090" s="40" t="s">
        <v>11404</v>
      </c>
      <c r="F5090" s="40" t="s">
        <v>11404</v>
      </c>
      <c r="G5090" s="40" t="s">
        <v>11404</v>
      </c>
      <c r="H5090" s="40" t="s">
        <v>11404</v>
      </c>
    </row>
    <row r="5091">
      <c r="A5091" s="39"/>
      <c r="E5091" s="40" t="s">
        <v>11404</v>
      </c>
      <c r="F5091" s="40" t="s">
        <v>11404</v>
      </c>
      <c r="G5091" s="40" t="s">
        <v>11404</v>
      </c>
      <c r="H5091" s="40" t="s">
        <v>11404</v>
      </c>
    </row>
    <row r="5092">
      <c r="A5092" s="39"/>
      <c r="E5092" s="40" t="s">
        <v>11404</v>
      </c>
      <c r="F5092" s="40" t="s">
        <v>11404</v>
      </c>
      <c r="G5092" s="40" t="s">
        <v>11404</v>
      </c>
      <c r="H5092" s="40" t="s">
        <v>11404</v>
      </c>
    </row>
    <row r="5093">
      <c r="A5093" s="39"/>
      <c r="E5093" s="40" t="s">
        <v>11404</v>
      </c>
      <c r="F5093" s="40" t="s">
        <v>11404</v>
      </c>
      <c r="G5093" s="40" t="s">
        <v>11404</v>
      </c>
      <c r="H5093" s="40" t="s">
        <v>11404</v>
      </c>
    </row>
    <row r="5094">
      <c r="A5094" s="39"/>
      <c r="E5094" s="40" t="s">
        <v>11404</v>
      </c>
      <c r="F5094" s="40" t="s">
        <v>11404</v>
      </c>
      <c r="G5094" s="40" t="s">
        <v>11404</v>
      </c>
      <c r="H5094" s="40" t="s">
        <v>11404</v>
      </c>
    </row>
    <row r="5095">
      <c r="A5095" s="39"/>
      <c r="E5095" s="40" t="s">
        <v>11404</v>
      </c>
      <c r="F5095" s="40" t="s">
        <v>11404</v>
      </c>
      <c r="G5095" s="40" t="s">
        <v>11404</v>
      </c>
      <c r="H5095" s="40" t="s">
        <v>11404</v>
      </c>
    </row>
    <row r="5096">
      <c r="A5096" s="39"/>
      <c r="E5096" s="40" t="s">
        <v>11404</v>
      </c>
      <c r="F5096" s="40" t="s">
        <v>11404</v>
      </c>
      <c r="G5096" s="40" t="s">
        <v>11404</v>
      </c>
      <c r="H5096" s="40" t="s">
        <v>11404</v>
      </c>
    </row>
    <row r="5097">
      <c r="A5097" s="39"/>
      <c r="E5097" s="40" t="s">
        <v>11404</v>
      </c>
      <c r="F5097" s="40" t="s">
        <v>11404</v>
      </c>
      <c r="G5097" s="40" t="s">
        <v>11404</v>
      </c>
      <c r="H5097" s="40" t="s">
        <v>11404</v>
      </c>
    </row>
    <row r="5098">
      <c r="A5098" s="39"/>
      <c r="E5098" s="40" t="s">
        <v>11404</v>
      </c>
      <c r="F5098" s="40" t="s">
        <v>11404</v>
      </c>
      <c r="G5098" s="40" t="s">
        <v>11404</v>
      </c>
      <c r="H5098" s="40" t="s">
        <v>11404</v>
      </c>
    </row>
    <row r="5099">
      <c r="A5099" s="39"/>
      <c r="E5099" s="40" t="s">
        <v>11404</v>
      </c>
      <c r="F5099" s="40" t="s">
        <v>11404</v>
      </c>
      <c r="G5099" s="40" t="s">
        <v>11404</v>
      </c>
      <c r="H5099" s="40" t="s">
        <v>11404</v>
      </c>
    </row>
    <row r="5100">
      <c r="A5100" s="39"/>
      <c r="E5100" s="40" t="s">
        <v>11404</v>
      </c>
      <c r="F5100" s="40" t="s">
        <v>11404</v>
      </c>
      <c r="G5100" s="40" t="s">
        <v>11404</v>
      </c>
      <c r="H5100" s="40" t="s">
        <v>11404</v>
      </c>
    </row>
    <row r="5101">
      <c r="A5101" s="39"/>
      <c r="E5101" s="40" t="s">
        <v>11404</v>
      </c>
      <c r="F5101" s="40" t="s">
        <v>11404</v>
      </c>
      <c r="G5101" s="40" t="s">
        <v>11404</v>
      </c>
      <c r="H5101" s="40" t="s">
        <v>11404</v>
      </c>
    </row>
    <row r="5102">
      <c r="A5102" s="39"/>
      <c r="E5102" s="40" t="s">
        <v>11404</v>
      </c>
      <c r="F5102" s="40" t="s">
        <v>11404</v>
      </c>
      <c r="G5102" s="40" t="s">
        <v>11404</v>
      </c>
      <c r="H5102" s="40" t="s">
        <v>11404</v>
      </c>
    </row>
    <row r="5103">
      <c r="A5103" s="39"/>
      <c r="E5103" s="40" t="s">
        <v>11404</v>
      </c>
      <c r="F5103" s="40" t="s">
        <v>11404</v>
      </c>
      <c r="G5103" s="40" t="s">
        <v>11404</v>
      </c>
      <c r="H5103" s="40" t="s">
        <v>11404</v>
      </c>
    </row>
    <row r="5104">
      <c r="A5104" s="39"/>
      <c r="E5104" s="40" t="s">
        <v>11404</v>
      </c>
      <c r="F5104" s="40" t="s">
        <v>11404</v>
      </c>
      <c r="G5104" s="40" t="s">
        <v>11404</v>
      </c>
      <c r="H5104" s="40" t="s">
        <v>11404</v>
      </c>
    </row>
    <row r="5105">
      <c r="A5105" s="39"/>
      <c r="E5105" s="40" t="s">
        <v>11404</v>
      </c>
      <c r="F5105" s="40" t="s">
        <v>11404</v>
      </c>
      <c r="G5105" s="40" t="s">
        <v>11404</v>
      </c>
      <c r="H5105" s="40" t="s">
        <v>11404</v>
      </c>
    </row>
    <row r="5106">
      <c r="A5106" s="39"/>
      <c r="E5106" s="40" t="s">
        <v>11404</v>
      </c>
      <c r="F5106" s="40" t="s">
        <v>11404</v>
      </c>
      <c r="G5106" s="40" t="s">
        <v>11404</v>
      </c>
      <c r="H5106" s="40" t="s">
        <v>11404</v>
      </c>
    </row>
    <row r="5107">
      <c r="A5107" s="39"/>
      <c r="E5107" s="40" t="s">
        <v>11404</v>
      </c>
      <c r="F5107" s="40" t="s">
        <v>11404</v>
      </c>
      <c r="G5107" s="40" t="s">
        <v>11404</v>
      </c>
      <c r="H5107" s="40" t="s">
        <v>11404</v>
      </c>
    </row>
    <row r="5108">
      <c r="A5108" s="39"/>
      <c r="E5108" s="40" t="s">
        <v>11404</v>
      </c>
      <c r="F5108" s="40" t="s">
        <v>11404</v>
      </c>
      <c r="G5108" s="40" t="s">
        <v>11404</v>
      </c>
      <c r="H5108" s="40" t="s">
        <v>11404</v>
      </c>
    </row>
    <row r="5109">
      <c r="A5109" s="39"/>
      <c r="E5109" s="40" t="s">
        <v>11404</v>
      </c>
      <c r="F5109" s="40" t="s">
        <v>11404</v>
      </c>
      <c r="G5109" s="40" t="s">
        <v>11404</v>
      </c>
      <c r="H5109" s="40" t="s">
        <v>11404</v>
      </c>
    </row>
    <row r="5110">
      <c r="A5110" s="39"/>
      <c r="E5110" s="40" t="s">
        <v>11404</v>
      </c>
      <c r="F5110" s="40" t="s">
        <v>11404</v>
      </c>
      <c r="G5110" s="40" t="s">
        <v>11404</v>
      </c>
      <c r="H5110" s="40" t="s">
        <v>11404</v>
      </c>
    </row>
    <row r="5111">
      <c r="A5111" s="39"/>
      <c r="E5111" s="40" t="s">
        <v>11404</v>
      </c>
      <c r="F5111" s="40" t="s">
        <v>11404</v>
      </c>
      <c r="G5111" s="40" t="s">
        <v>11404</v>
      </c>
      <c r="H5111" s="40" t="s">
        <v>11404</v>
      </c>
    </row>
    <row r="5112">
      <c r="A5112" s="39"/>
      <c r="E5112" s="40" t="s">
        <v>11404</v>
      </c>
      <c r="F5112" s="40" t="s">
        <v>11404</v>
      </c>
      <c r="G5112" s="40" t="s">
        <v>11404</v>
      </c>
      <c r="H5112" s="40" t="s">
        <v>11404</v>
      </c>
    </row>
    <row r="5113">
      <c r="A5113" s="39"/>
      <c r="E5113" s="40" t="s">
        <v>11404</v>
      </c>
      <c r="F5113" s="40" t="s">
        <v>11404</v>
      </c>
      <c r="G5113" s="40" t="s">
        <v>11404</v>
      </c>
      <c r="H5113" s="40" t="s">
        <v>11404</v>
      </c>
    </row>
    <row r="5114">
      <c r="A5114" s="39"/>
      <c r="E5114" s="40" t="s">
        <v>11404</v>
      </c>
      <c r="F5114" s="40" t="s">
        <v>11404</v>
      </c>
      <c r="G5114" s="40" t="s">
        <v>11404</v>
      </c>
      <c r="H5114" s="40" t="s">
        <v>11404</v>
      </c>
    </row>
    <row r="5115">
      <c r="A5115" s="39"/>
      <c r="E5115" s="40" t="s">
        <v>11404</v>
      </c>
      <c r="F5115" s="40" t="s">
        <v>11404</v>
      </c>
      <c r="G5115" s="40" t="s">
        <v>11404</v>
      </c>
      <c r="H5115" s="40" t="s">
        <v>11404</v>
      </c>
    </row>
    <row r="5116">
      <c r="A5116" s="39"/>
      <c r="E5116" s="40" t="s">
        <v>11404</v>
      </c>
      <c r="F5116" s="40" t="s">
        <v>11404</v>
      </c>
      <c r="G5116" s="40" t="s">
        <v>11404</v>
      </c>
      <c r="H5116" s="40" t="s">
        <v>11404</v>
      </c>
    </row>
    <row r="5117">
      <c r="A5117" s="39"/>
      <c r="E5117" s="40" t="s">
        <v>11404</v>
      </c>
      <c r="F5117" s="40" t="s">
        <v>11404</v>
      </c>
      <c r="G5117" s="40" t="s">
        <v>11404</v>
      </c>
      <c r="H5117" s="40" t="s">
        <v>11404</v>
      </c>
    </row>
    <row r="5118">
      <c r="A5118" s="39"/>
      <c r="E5118" s="40" t="s">
        <v>11404</v>
      </c>
      <c r="F5118" s="40" t="s">
        <v>11404</v>
      </c>
      <c r="G5118" s="40" t="s">
        <v>11404</v>
      </c>
      <c r="H5118" s="40" t="s">
        <v>11404</v>
      </c>
    </row>
    <row r="5119">
      <c r="A5119" s="39"/>
      <c r="E5119" s="40" t="s">
        <v>11404</v>
      </c>
      <c r="F5119" s="40" t="s">
        <v>11404</v>
      </c>
      <c r="G5119" s="40" t="s">
        <v>11404</v>
      </c>
      <c r="H5119" s="40" t="s">
        <v>11404</v>
      </c>
    </row>
    <row r="5120">
      <c r="A5120" s="39"/>
      <c r="E5120" s="40" t="s">
        <v>11404</v>
      </c>
      <c r="F5120" s="40" t="s">
        <v>11404</v>
      </c>
      <c r="G5120" s="40" t="s">
        <v>11404</v>
      </c>
      <c r="H5120" s="40" t="s">
        <v>11404</v>
      </c>
    </row>
    <row r="5121">
      <c r="A5121" s="39"/>
      <c r="E5121" s="40" t="s">
        <v>11404</v>
      </c>
      <c r="F5121" s="40" t="s">
        <v>11404</v>
      </c>
      <c r="G5121" s="40" t="s">
        <v>11404</v>
      </c>
      <c r="H5121" s="40" t="s">
        <v>11404</v>
      </c>
    </row>
    <row r="5122">
      <c r="A5122" s="39"/>
      <c r="E5122" s="40" t="s">
        <v>11404</v>
      </c>
      <c r="F5122" s="40" t="s">
        <v>11404</v>
      </c>
      <c r="G5122" s="40" t="s">
        <v>11404</v>
      </c>
      <c r="H5122" s="40" t="s">
        <v>11404</v>
      </c>
    </row>
    <row r="5123">
      <c r="A5123" s="39"/>
      <c r="E5123" s="40" t="s">
        <v>11404</v>
      </c>
      <c r="F5123" s="40" t="s">
        <v>11404</v>
      </c>
      <c r="G5123" s="40" t="s">
        <v>11404</v>
      </c>
      <c r="H5123" s="40" t="s">
        <v>11404</v>
      </c>
    </row>
    <row r="5124">
      <c r="A5124" s="39"/>
      <c r="E5124" s="40" t="s">
        <v>11404</v>
      </c>
      <c r="F5124" s="40" t="s">
        <v>11404</v>
      </c>
      <c r="G5124" s="40" t="s">
        <v>11404</v>
      </c>
      <c r="H5124" s="40" t="s">
        <v>11404</v>
      </c>
    </row>
    <row r="5125">
      <c r="A5125" s="39"/>
      <c r="E5125" s="40" t="s">
        <v>11404</v>
      </c>
      <c r="F5125" s="40" t="s">
        <v>11404</v>
      </c>
      <c r="G5125" s="40" t="s">
        <v>11404</v>
      </c>
      <c r="H5125" s="40" t="s">
        <v>11404</v>
      </c>
    </row>
    <row r="5126">
      <c r="A5126" s="39"/>
      <c r="E5126" s="40" t="s">
        <v>11404</v>
      </c>
      <c r="F5126" s="40" t="s">
        <v>11404</v>
      </c>
      <c r="G5126" s="40" t="s">
        <v>11404</v>
      </c>
      <c r="H5126" s="40" t="s">
        <v>11404</v>
      </c>
    </row>
    <row r="5127">
      <c r="A5127" s="39"/>
      <c r="E5127" s="40" t="s">
        <v>11404</v>
      </c>
      <c r="F5127" s="40" t="s">
        <v>11404</v>
      </c>
      <c r="G5127" s="40" t="s">
        <v>11404</v>
      </c>
      <c r="H5127" s="40" t="s">
        <v>11404</v>
      </c>
    </row>
    <row r="5128">
      <c r="A5128" s="39"/>
      <c r="E5128" s="40" t="s">
        <v>11404</v>
      </c>
      <c r="F5128" s="40" t="s">
        <v>11404</v>
      </c>
      <c r="G5128" s="40" t="s">
        <v>11404</v>
      </c>
      <c r="H5128" s="40" t="s">
        <v>11404</v>
      </c>
    </row>
    <row r="5129">
      <c r="A5129" s="39"/>
      <c r="E5129" s="40" t="s">
        <v>11404</v>
      </c>
      <c r="F5129" s="40" t="s">
        <v>11404</v>
      </c>
      <c r="G5129" s="40" t="s">
        <v>11404</v>
      </c>
      <c r="H5129" s="40" t="s">
        <v>11404</v>
      </c>
    </row>
    <row r="5130">
      <c r="A5130" s="39"/>
      <c r="E5130" s="40" t="s">
        <v>11404</v>
      </c>
      <c r="F5130" s="40" t="s">
        <v>11404</v>
      </c>
      <c r="G5130" s="40" t="s">
        <v>11404</v>
      </c>
      <c r="H5130" s="40" t="s">
        <v>11404</v>
      </c>
    </row>
    <row r="5131">
      <c r="A5131" s="39"/>
      <c r="E5131" s="40" t="s">
        <v>11404</v>
      </c>
      <c r="F5131" s="40" t="s">
        <v>11404</v>
      </c>
      <c r="G5131" s="40" t="s">
        <v>11404</v>
      </c>
      <c r="H5131" s="40" t="s">
        <v>11404</v>
      </c>
    </row>
    <row r="5132">
      <c r="A5132" s="39"/>
      <c r="E5132" s="40" t="s">
        <v>11404</v>
      </c>
      <c r="F5132" s="40" t="s">
        <v>11404</v>
      </c>
      <c r="G5132" s="40" t="s">
        <v>11404</v>
      </c>
      <c r="H5132" s="40" t="s">
        <v>11404</v>
      </c>
    </row>
    <row r="5133">
      <c r="A5133" s="39"/>
      <c r="E5133" s="40" t="s">
        <v>11404</v>
      </c>
      <c r="F5133" s="40" t="s">
        <v>11404</v>
      </c>
      <c r="G5133" s="40" t="s">
        <v>11404</v>
      </c>
      <c r="H5133" s="40" t="s">
        <v>11404</v>
      </c>
    </row>
    <row r="5134">
      <c r="A5134" s="39"/>
      <c r="E5134" s="40" t="s">
        <v>11404</v>
      </c>
      <c r="F5134" s="40" t="s">
        <v>11404</v>
      </c>
      <c r="G5134" s="40" t="s">
        <v>11404</v>
      </c>
      <c r="H5134" s="40" t="s">
        <v>11404</v>
      </c>
    </row>
    <row r="5135">
      <c r="A5135" s="39"/>
      <c r="E5135" s="40" t="s">
        <v>11404</v>
      </c>
      <c r="F5135" s="40" t="s">
        <v>11404</v>
      </c>
      <c r="G5135" s="40" t="s">
        <v>11404</v>
      </c>
      <c r="H5135" s="40" t="s">
        <v>11404</v>
      </c>
    </row>
    <row r="5136">
      <c r="A5136" s="39"/>
      <c r="E5136" s="40" t="s">
        <v>11404</v>
      </c>
      <c r="F5136" s="40" t="s">
        <v>11404</v>
      </c>
      <c r="G5136" s="40" t="s">
        <v>11404</v>
      </c>
      <c r="H5136" s="40" t="s">
        <v>11404</v>
      </c>
    </row>
    <row r="5137">
      <c r="A5137" s="39"/>
      <c r="E5137" s="40" t="s">
        <v>11404</v>
      </c>
      <c r="F5137" s="40" t="s">
        <v>11404</v>
      </c>
      <c r="G5137" s="40" t="s">
        <v>11404</v>
      </c>
      <c r="H5137" s="40" t="s">
        <v>11404</v>
      </c>
    </row>
    <row r="5138">
      <c r="A5138" s="39"/>
      <c r="E5138" s="40" t="s">
        <v>11404</v>
      </c>
      <c r="F5138" s="40" t="s">
        <v>11404</v>
      </c>
      <c r="G5138" s="40" t="s">
        <v>11404</v>
      </c>
      <c r="H5138" s="40" t="s">
        <v>11404</v>
      </c>
    </row>
    <row r="5139">
      <c r="A5139" s="39"/>
      <c r="E5139" s="40" t="s">
        <v>11404</v>
      </c>
      <c r="F5139" s="40" t="s">
        <v>11404</v>
      </c>
      <c r="G5139" s="40" t="s">
        <v>11404</v>
      </c>
      <c r="H5139" s="40" t="s">
        <v>11404</v>
      </c>
    </row>
    <row r="5140">
      <c r="A5140" s="39"/>
      <c r="E5140" s="40" t="s">
        <v>11404</v>
      </c>
      <c r="F5140" s="40" t="s">
        <v>11404</v>
      </c>
      <c r="G5140" s="40" t="s">
        <v>11404</v>
      </c>
      <c r="H5140" s="40" t="s">
        <v>11404</v>
      </c>
    </row>
    <row r="5141">
      <c r="A5141" s="39"/>
      <c r="E5141" s="40" t="s">
        <v>11404</v>
      </c>
      <c r="F5141" s="40" t="s">
        <v>11404</v>
      </c>
      <c r="G5141" s="40" t="s">
        <v>11404</v>
      </c>
      <c r="H5141" s="40" t="s">
        <v>11404</v>
      </c>
    </row>
    <row r="5142">
      <c r="A5142" s="39"/>
      <c r="E5142" s="40" t="s">
        <v>11404</v>
      </c>
      <c r="F5142" s="40" t="s">
        <v>11404</v>
      </c>
      <c r="G5142" s="40" t="s">
        <v>11404</v>
      </c>
      <c r="H5142" s="40" t="s">
        <v>11404</v>
      </c>
    </row>
    <row r="5143">
      <c r="A5143" s="39"/>
      <c r="E5143" s="40" t="s">
        <v>11404</v>
      </c>
      <c r="F5143" s="40" t="s">
        <v>11404</v>
      </c>
      <c r="G5143" s="40" t="s">
        <v>11404</v>
      </c>
      <c r="H5143" s="40" t="s">
        <v>11404</v>
      </c>
    </row>
    <row r="5144">
      <c r="A5144" s="39"/>
      <c r="E5144" s="40" t="s">
        <v>11404</v>
      </c>
      <c r="F5144" s="40" t="s">
        <v>11404</v>
      </c>
      <c r="G5144" s="40" t="s">
        <v>11404</v>
      </c>
      <c r="H5144" s="40" t="s">
        <v>11404</v>
      </c>
    </row>
    <row r="5145">
      <c r="A5145" s="39"/>
      <c r="E5145" s="40" t="s">
        <v>11404</v>
      </c>
      <c r="F5145" s="40" t="s">
        <v>11404</v>
      </c>
      <c r="G5145" s="40" t="s">
        <v>11404</v>
      </c>
      <c r="H5145" s="40" t="s">
        <v>11404</v>
      </c>
    </row>
    <row r="5146">
      <c r="A5146" s="39"/>
      <c r="E5146" s="40" t="s">
        <v>11404</v>
      </c>
      <c r="F5146" s="40" t="s">
        <v>11404</v>
      </c>
      <c r="G5146" s="40" t="s">
        <v>11404</v>
      </c>
      <c r="H5146" s="40" t="s">
        <v>11404</v>
      </c>
    </row>
    <row r="5147">
      <c r="A5147" s="39"/>
      <c r="E5147" s="40" t="s">
        <v>11404</v>
      </c>
      <c r="F5147" s="40" t="s">
        <v>11404</v>
      </c>
      <c r="G5147" s="40" t="s">
        <v>11404</v>
      </c>
      <c r="H5147" s="40" t="s">
        <v>11404</v>
      </c>
    </row>
    <row r="5148">
      <c r="A5148" s="39"/>
      <c r="E5148" s="40" t="s">
        <v>11404</v>
      </c>
      <c r="F5148" s="40" t="s">
        <v>11404</v>
      </c>
      <c r="G5148" s="40" t="s">
        <v>11404</v>
      </c>
      <c r="H5148" s="40" t="s">
        <v>11404</v>
      </c>
    </row>
    <row r="5149">
      <c r="A5149" s="39"/>
      <c r="E5149" s="40" t="s">
        <v>11404</v>
      </c>
      <c r="F5149" s="40" t="s">
        <v>11404</v>
      </c>
      <c r="G5149" s="40" t="s">
        <v>11404</v>
      </c>
      <c r="H5149" s="40" t="s">
        <v>11404</v>
      </c>
    </row>
    <row r="5150">
      <c r="A5150" s="39"/>
      <c r="E5150" s="40" t="s">
        <v>11404</v>
      </c>
      <c r="F5150" s="40" t="s">
        <v>11404</v>
      </c>
      <c r="G5150" s="40" t="s">
        <v>11404</v>
      </c>
      <c r="H5150" s="40" t="s">
        <v>11404</v>
      </c>
    </row>
    <row r="5151">
      <c r="A5151" s="39"/>
      <c r="E5151" s="40" t="s">
        <v>11404</v>
      </c>
      <c r="F5151" s="40" t="s">
        <v>11404</v>
      </c>
      <c r="G5151" s="40" t="s">
        <v>11404</v>
      </c>
      <c r="H5151" s="40" t="s">
        <v>11404</v>
      </c>
    </row>
    <row r="5152">
      <c r="A5152" s="39"/>
      <c r="E5152" s="40" t="s">
        <v>11404</v>
      </c>
      <c r="F5152" s="40" t="s">
        <v>11404</v>
      </c>
      <c r="G5152" s="40" t="s">
        <v>11404</v>
      </c>
      <c r="H5152" s="40" t="s">
        <v>11404</v>
      </c>
    </row>
    <row r="5153">
      <c r="A5153" s="39"/>
      <c r="E5153" s="40" t="s">
        <v>11404</v>
      </c>
      <c r="F5153" s="40" t="s">
        <v>11404</v>
      </c>
      <c r="G5153" s="40" t="s">
        <v>11404</v>
      </c>
      <c r="H5153" s="40" t="s">
        <v>11404</v>
      </c>
    </row>
    <row r="5154">
      <c r="A5154" s="39"/>
      <c r="E5154" s="40" t="s">
        <v>11404</v>
      </c>
      <c r="F5154" s="40" t="s">
        <v>11404</v>
      </c>
      <c r="G5154" s="40" t="s">
        <v>11404</v>
      </c>
      <c r="H5154" s="40" t="s">
        <v>11404</v>
      </c>
    </row>
    <row r="5155">
      <c r="A5155" s="39"/>
      <c r="E5155" s="40" t="s">
        <v>11404</v>
      </c>
      <c r="F5155" s="40" t="s">
        <v>11404</v>
      </c>
      <c r="G5155" s="40" t="s">
        <v>11404</v>
      </c>
      <c r="H5155" s="40" t="s">
        <v>11404</v>
      </c>
    </row>
    <row r="5156">
      <c r="A5156" s="39"/>
      <c r="E5156" s="40" t="s">
        <v>11404</v>
      </c>
      <c r="F5156" s="40" t="s">
        <v>11404</v>
      </c>
      <c r="G5156" s="40" t="s">
        <v>11404</v>
      </c>
      <c r="H5156" s="40" t="s">
        <v>11404</v>
      </c>
    </row>
    <row r="5157">
      <c r="A5157" s="39"/>
      <c r="E5157" s="40" t="s">
        <v>11404</v>
      </c>
      <c r="F5157" s="40" t="s">
        <v>11404</v>
      </c>
      <c r="G5157" s="40" t="s">
        <v>11404</v>
      </c>
      <c r="H5157" s="40" t="s">
        <v>11404</v>
      </c>
    </row>
    <row r="5158">
      <c r="A5158" s="39"/>
      <c r="E5158" s="40" t="s">
        <v>11404</v>
      </c>
      <c r="F5158" s="40" t="s">
        <v>11404</v>
      </c>
      <c r="G5158" s="40" t="s">
        <v>11404</v>
      </c>
      <c r="H5158" s="40" t="s">
        <v>11404</v>
      </c>
    </row>
    <row r="5159">
      <c r="A5159" s="39"/>
      <c r="E5159" s="40" t="s">
        <v>11404</v>
      </c>
      <c r="F5159" s="40" t="s">
        <v>11404</v>
      </c>
      <c r="G5159" s="40" t="s">
        <v>11404</v>
      </c>
      <c r="H5159" s="40" t="s">
        <v>11404</v>
      </c>
    </row>
    <row r="5160">
      <c r="A5160" s="39"/>
      <c r="E5160" s="40" t="s">
        <v>11404</v>
      </c>
      <c r="F5160" s="40" t="s">
        <v>11404</v>
      </c>
      <c r="G5160" s="40" t="s">
        <v>11404</v>
      </c>
      <c r="H5160" s="40" t="s">
        <v>11404</v>
      </c>
    </row>
    <row r="5161">
      <c r="A5161" s="39"/>
      <c r="E5161" s="40" t="s">
        <v>11404</v>
      </c>
      <c r="F5161" s="40" t="s">
        <v>11404</v>
      </c>
      <c r="G5161" s="40" t="s">
        <v>11404</v>
      </c>
      <c r="H5161" s="40" t="s">
        <v>11404</v>
      </c>
    </row>
    <row r="5162">
      <c r="A5162" s="39"/>
      <c r="E5162" s="40" t="s">
        <v>11404</v>
      </c>
      <c r="F5162" s="40" t="s">
        <v>11404</v>
      </c>
      <c r="G5162" s="40" t="s">
        <v>11404</v>
      </c>
      <c r="H5162" s="40" t="s">
        <v>11404</v>
      </c>
    </row>
    <row r="5163">
      <c r="A5163" s="39"/>
      <c r="E5163" s="40" t="s">
        <v>11404</v>
      </c>
      <c r="F5163" s="40" t="s">
        <v>11404</v>
      </c>
      <c r="G5163" s="40" t="s">
        <v>11404</v>
      </c>
      <c r="H5163" s="40" t="s">
        <v>11404</v>
      </c>
    </row>
    <row r="5164">
      <c r="A5164" s="39"/>
      <c r="E5164" s="40" t="s">
        <v>11404</v>
      </c>
      <c r="F5164" s="40" t="s">
        <v>11404</v>
      </c>
      <c r="G5164" s="40" t="s">
        <v>11404</v>
      </c>
      <c r="H5164" s="40" t="s">
        <v>11404</v>
      </c>
    </row>
    <row r="5165">
      <c r="A5165" s="39"/>
      <c r="E5165" s="40" t="s">
        <v>11404</v>
      </c>
      <c r="F5165" s="40" t="s">
        <v>11404</v>
      </c>
      <c r="G5165" s="40" t="s">
        <v>11404</v>
      </c>
      <c r="H5165" s="40" t="s">
        <v>11404</v>
      </c>
    </row>
    <row r="5166">
      <c r="A5166" s="39"/>
      <c r="E5166" s="40" t="s">
        <v>11404</v>
      </c>
      <c r="F5166" s="40" t="s">
        <v>11404</v>
      </c>
      <c r="G5166" s="40" t="s">
        <v>11404</v>
      </c>
      <c r="H5166" s="40" t="s">
        <v>11404</v>
      </c>
    </row>
    <row r="5167">
      <c r="A5167" s="39"/>
      <c r="E5167" s="40" t="s">
        <v>11404</v>
      </c>
      <c r="F5167" s="40" t="s">
        <v>11404</v>
      </c>
      <c r="G5167" s="40" t="s">
        <v>11404</v>
      </c>
      <c r="H5167" s="40" t="s">
        <v>11404</v>
      </c>
    </row>
    <row r="5168">
      <c r="A5168" s="39"/>
      <c r="E5168" s="40" t="s">
        <v>11404</v>
      </c>
      <c r="F5168" s="40" t="s">
        <v>11404</v>
      </c>
      <c r="G5168" s="40" t="s">
        <v>11404</v>
      </c>
      <c r="H5168" s="40" t="s">
        <v>11404</v>
      </c>
    </row>
    <row r="5169">
      <c r="A5169" s="39"/>
      <c r="E5169" s="40" t="s">
        <v>11404</v>
      </c>
      <c r="F5169" s="40" t="s">
        <v>11404</v>
      </c>
      <c r="G5169" s="40" t="s">
        <v>11404</v>
      </c>
      <c r="H5169" s="40" t="s">
        <v>11404</v>
      </c>
    </row>
    <row r="5170">
      <c r="A5170" s="39"/>
      <c r="E5170" s="40" t="s">
        <v>11404</v>
      </c>
      <c r="F5170" s="40" t="s">
        <v>11404</v>
      </c>
      <c r="G5170" s="40" t="s">
        <v>11404</v>
      </c>
      <c r="H5170" s="40" t="s">
        <v>11404</v>
      </c>
    </row>
    <row r="5171">
      <c r="A5171" s="39"/>
      <c r="E5171" s="40" t="s">
        <v>11404</v>
      </c>
      <c r="F5171" s="40" t="s">
        <v>11404</v>
      </c>
      <c r="G5171" s="40" t="s">
        <v>11404</v>
      </c>
      <c r="H5171" s="40" t="s">
        <v>11404</v>
      </c>
    </row>
    <row r="5172">
      <c r="A5172" s="39"/>
      <c r="E5172" s="40" t="s">
        <v>11404</v>
      </c>
      <c r="F5172" s="40" t="s">
        <v>11404</v>
      </c>
      <c r="G5172" s="40" t="s">
        <v>11404</v>
      </c>
      <c r="H5172" s="40" t="s">
        <v>11404</v>
      </c>
    </row>
    <row r="5173">
      <c r="A5173" s="39"/>
      <c r="E5173" s="40" t="s">
        <v>11404</v>
      </c>
      <c r="F5173" s="40" t="s">
        <v>11404</v>
      </c>
      <c r="G5173" s="40" t="s">
        <v>11404</v>
      </c>
      <c r="H5173" s="40" t="s">
        <v>11404</v>
      </c>
    </row>
    <row r="5174">
      <c r="A5174" s="39"/>
      <c r="E5174" s="40" t="s">
        <v>11404</v>
      </c>
      <c r="F5174" s="40" t="s">
        <v>11404</v>
      </c>
      <c r="G5174" s="40" t="s">
        <v>11404</v>
      </c>
      <c r="H5174" s="40" t="s">
        <v>11404</v>
      </c>
    </row>
    <row r="5175">
      <c r="A5175" s="39"/>
      <c r="E5175" s="40" t="s">
        <v>11404</v>
      </c>
      <c r="F5175" s="40" t="s">
        <v>11404</v>
      </c>
      <c r="G5175" s="40" t="s">
        <v>11404</v>
      </c>
      <c r="H5175" s="40" t="s">
        <v>11404</v>
      </c>
    </row>
    <row r="5176">
      <c r="A5176" s="39"/>
      <c r="E5176" s="40" t="s">
        <v>11404</v>
      </c>
      <c r="F5176" s="40" t="s">
        <v>11404</v>
      </c>
      <c r="G5176" s="40" t="s">
        <v>11404</v>
      </c>
      <c r="H5176" s="40" t="s">
        <v>11404</v>
      </c>
    </row>
    <row r="5177">
      <c r="A5177" s="39"/>
      <c r="E5177" s="40" t="s">
        <v>11404</v>
      </c>
      <c r="F5177" s="40" t="s">
        <v>11404</v>
      </c>
      <c r="G5177" s="40" t="s">
        <v>11404</v>
      </c>
      <c r="H5177" s="40" t="s">
        <v>11404</v>
      </c>
    </row>
    <row r="5178">
      <c r="A5178" s="39"/>
      <c r="E5178" s="40" t="s">
        <v>11404</v>
      </c>
      <c r="F5178" s="40" t="s">
        <v>11404</v>
      </c>
      <c r="G5178" s="40" t="s">
        <v>11404</v>
      </c>
      <c r="H5178" s="40" t="s">
        <v>11404</v>
      </c>
    </row>
    <row r="5179">
      <c r="A5179" s="39"/>
      <c r="E5179" s="40" t="s">
        <v>11404</v>
      </c>
      <c r="F5179" s="40" t="s">
        <v>11404</v>
      </c>
      <c r="G5179" s="40" t="s">
        <v>11404</v>
      </c>
      <c r="H5179" s="40" t="s">
        <v>11404</v>
      </c>
    </row>
    <row r="5180">
      <c r="A5180" s="39"/>
      <c r="E5180" s="40" t="s">
        <v>11404</v>
      </c>
      <c r="F5180" s="40" t="s">
        <v>11404</v>
      </c>
      <c r="G5180" s="40" t="s">
        <v>11404</v>
      </c>
      <c r="H5180" s="40" t="s">
        <v>11404</v>
      </c>
    </row>
    <row r="5181">
      <c r="A5181" s="39"/>
      <c r="E5181" s="40" t="s">
        <v>11404</v>
      </c>
      <c r="F5181" s="40" t="s">
        <v>11404</v>
      </c>
      <c r="G5181" s="40" t="s">
        <v>11404</v>
      </c>
      <c r="H5181" s="40" t="s">
        <v>11404</v>
      </c>
    </row>
    <row r="5182">
      <c r="A5182" s="39"/>
      <c r="E5182" s="40" t="s">
        <v>11404</v>
      </c>
      <c r="F5182" s="40" t="s">
        <v>11404</v>
      </c>
      <c r="G5182" s="40" t="s">
        <v>11404</v>
      </c>
      <c r="H5182" s="40" t="s">
        <v>11404</v>
      </c>
    </row>
    <row r="5183">
      <c r="A5183" s="39"/>
      <c r="E5183" s="40" t="s">
        <v>11404</v>
      </c>
      <c r="F5183" s="40" t="s">
        <v>11404</v>
      </c>
      <c r="G5183" s="40" t="s">
        <v>11404</v>
      </c>
      <c r="H5183" s="40" t="s">
        <v>11404</v>
      </c>
    </row>
    <row r="5184">
      <c r="A5184" s="39"/>
      <c r="E5184" s="40" t="s">
        <v>11404</v>
      </c>
      <c r="F5184" s="40" t="s">
        <v>11404</v>
      </c>
      <c r="G5184" s="40" t="s">
        <v>11404</v>
      </c>
      <c r="H5184" s="40" t="s">
        <v>11404</v>
      </c>
    </row>
    <row r="5185">
      <c r="A5185" s="39"/>
      <c r="E5185" s="40" t="s">
        <v>11404</v>
      </c>
      <c r="F5185" s="40" t="s">
        <v>11404</v>
      </c>
      <c r="G5185" s="40" t="s">
        <v>11404</v>
      </c>
      <c r="H5185" s="40" t="s">
        <v>11404</v>
      </c>
    </row>
    <row r="5186">
      <c r="A5186" s="39"/>
      <c r="E5186" s="40" t="s">
        <v>11404</v>
      </c>
      <c r="F5186" s="40" t="s">
        <v>11404</v>
      </c>
      <c r="G5186" s="40" t="s">
        <v>11404</v>
      </c>
      <c r="H5186" s="40" t="s">
        <v>11404</v>
      </c>
    </row>
    <row r="5187">
      <c r="A5187" s="39"/>
      <c r="E5187" s="40" t="s">
        <v>11404</v>
      </c>
      <c r="F5187" s="40" t="s">
        <v>11404</v>
      </c>
      <c r="G5187" s="40" t="s">
        <v>11404</v>
      </c>
      <c r="H5187" s="40" t="s">
        <v>11404</v>
      </c>
    </row>
    <row r="5188">
      <c r="A5188" s="39"/>
      <c r="E5188" s="40" t="s">
        <v>11404</v>
      </c>
      <c r="F5188" s="40" t="s">
        <v>11404</v>
      </c>
      <c r="G5188" s="40" t="s">
        <v>11404</v>
      </c>
      <c r="H5188" s="40" t="s">
        <v>11404</v>
      </c>
    </row>
    <row r="5189">
      <c r="A5189" s="39"/>
      <c r="E5189" s="40" t="s">
        <v>11404</v>
      </c>
      <c r="F5189" s="40" t="s">
        <v>11404</v>
      </c>
      <c r="G5189" s="40" t="s">
        <v>11404</v>
      </c>
      <c r="H5189" s="40" t="s">
        <v>11404</v>
      </c>
    </row>
    <row r="5190">
      <c r="A5190" s="39"/>
      <c r="E5190" s="40" t="s">
        <v>11404</v>
      </c>
      <c r="F5190" s="40" t="s">
        <v>11404</v>
      </c>
      <c r="G5190" s="40" t="s">
        <v>11404</v>
      </c>
      <c r="H5190" s="40" t="s">
        <v>11404</v>
      </c>
    </row>
    <row r="5191">
      <c r="A5191" s="39"/>
      <c r="E5191" s="40" t="s">
        <v>11404</v>
      </c>
      <c r="F5191" s="40" t="s">
        <v>11404</v>
      </c>
      <c r="G5191" s="40" t="s">
        <v>11404</v>
      </c>
      <c r="H5191" s="40" t="s">
        <v>11404</v>
      </c>
    </row>
    <row r="5192">
      <c r="A5192" s="39"/>
      <c r="E5192" s="40" t="s">
        <v>11404</v>
      </c>
      <c r="F5192" s="40" t="s">
        <v>11404</v>
      </c>
      <c r="G5192" s="40" t="s">
        <v>11404</v>
      </c>
      <c r="H5192" s="40" t="s">
        <v>11404</v>
      </c>
    </row>
    <row r="5193">
      <c r="A5193" s="39"/>
      <c r="E5193" s="40" t="s">
        <v>11404</v>
      </c>
      <c r="F5193" s="40" t="s">
        <v>11404</v>
      </c>
      <c r="G5193" s="40" t="s">
        <v>11404</v>
      </c>
      <c r="H5193" s="40" t="s">
        <v>11404</v>
      </c>
    </row>
    <row r="5194">
      <c r="A5194" s="39"/>
      <c r="E5194" s="40" t="s">
        <v>11404</v>
      </c>
      <c r="F5194" s="40" t="s">
        <v>11404</v>
      </c>
      <c r="G5194" s="40" t="s">
        <v>11404</v>
      </c>
      <c r="H5194" s="40" t="s">
        <v>11404</v>
      </c>
    </row>
    <row r="5195">
      <c r="A5195" s="39"/>
      <c r="E5195" s="40" t="s">
        <v>11404</v>
      </c>
      <c r="F5195" s="40" t="s">
        <v>11404</v>
      </c>
      <c r="G5195" s="40" t="s">
        <v>11404</v>
      </c>
      <c r="H5195" s="40" t="s">
        <v>11404</v>
      </c>
    </row>
    <row r="5196">
      <c r="A5196" s="39"/>
      <c r="E5196" s="40" t="s">
        <v>11404</v>
      </c>
      <c r="F5196" s="40" t="s">
        <v>11404</v>
      </c>
      <c r="G5196" s="40" t="s">
        <v>11404</v>
      </c>
      <c r="H5196" s="40" t="s">
        <v>11404</v>
      </c>
    </row>
    <row r="5197">
      <c r="A5197" s="39"/>
      <c r="E5197" s="40" t="s">
        <v>11404</v>
      </c>
      <c r="F5197" s="40" t="s">
        <v>11404</v>
      </c>
      <c r="G5197" s="40" t="s">
        <v>11404</v>
      </c>
      <c r="H5197" s="40" t="s">
        <v>11404</v>
      </c>
    </row>
    <row r="5198">
      <c r="A5198" s="39"/>
      <c r="E5198" s="40" t="s">
        <v>11404</v>
      </c>
      <c r="F5198" s="40" t="s">
        <v>11404</v>
      </c>
      <c r="G5198" s="40" t="s">
        <v>11404</v>
      </c>
      <c r="H5198" s="40" t="s">
        <v>11404</v>
      </c>
    </row>
    <row r="5199">
      <c r="A5199" s="39"/>
      <c r="E5199" s="40" t="s">
        <v>11404</v>
      </c>
      <c r="F5199" s="40" t="s">
        <v>11404</v>
      </c>
      <c r="G5199" s="40" t="s">
        <v>11404</v>
      </c>
      <c r="H5199" s="40" t="s">
        <v>11404</v>
      </c>
    </row>
    <row r="5200">
      <c r="A5200" s="39"/>
      <c r="E5200" s="40" t="s">
        <v>11404</v>
      </c>
      <c r="F5200" s="40" t="s">
        <v>11404</v>
      </c>
      <c r="G5200" s="40" t="s">
        <v>11404</v>
      </c>
      <c r="H5200" s="40" t="s">
        <v>11404</v>
      </c>
    </row>
    <row r="5201">
      <c r="A5201" s="39"/>
      <c r="E5201" s="40" t="s">
        <v>11404</v>
      </c>
      <c r="F5201" s="40" t="s">
        <v>11404</v>
      </c>
      <c r="G5201" s="40" t="s">
        <v>11404</v>
      </c>
      <c r="H5201" s="40" t="s">
        <v>11404</v>
      </c>
    </row>
    <row r="5202">
      <c r="A5202" s="39"/>
      <c r="E5202" s="40" t="s">
        <v>11404</v>
      </c>
      <c r="F5202" s="40" t="s">
        <v>11404</v>
      </c>
      <c r="G5202" s="40" t="s">
        <v>11404</v>
      </c>
      <c r="H5202" s="40" t="s">
        <v>11404</v>
      </c>
    </row>
    <row r="5203">
      <c r="A5203" s="39"/>
      <c r="E5203" s="40" t="s">
        <v>11404</v>
      </c>
      <c r="F5203" s="40" t="s">
        <v>11404</v>
      </c>
      <c r="G5203" s="40" t="s">
        <v>11404</v>
      </c>
      <c r="H5203" s="40" t="s">
        <v>11404</v>
      </c>
    </row>
    <row r="5204">
      <c r="A5204" s="39"/>
      <c r="E5204" s="40" t="s">
        <v>11404</v>
      </c>
      <c r="F5204" s="40" t="s">
        <v>11404</v>
      </c>
      <c r="G5204" s="40" t="s">
        <v>11404</v>
      </c>
      <c r="H5204" s="40" t="s">
        <v>11404</v>
      </c>
    </row>
    <row r="5205">
      <c r="A5205" s="39"/>
      <c r="E5205" s="40" t="s">
        <v>11404</v>
      </c>
      <c r="F5205" s="40" t="s">
        <v>11404</v>
      </c>
      <c r="G5205" s="40" t="s">
        <v>11404</v>
      </c>
      <c r="H5205" s="40" t="s">
        <v>11404</v>
      </c>
    </row>
    <row r="5206">
      <c r="A5206" s="39"/>
      <c r="E5206" s="40" t="s">
        <v>11404</v>
      </c>
      <c r="F5206" s="40" t="s">
        <v>11404</v>
      </c>
      <c r="G5206" s="40" t="s">
        <v>11404</v>
      </c>
      <c r="H5206" s="40" t="s">
        <v>11404</v>
      </c>
    </row>
    <row r="5207">
      <c r="A5207" s="39"/>
      <c r="E5207" s="40" t="s">
        <v>11404</v>
      </c>
      <c r="F5207" s="40" t="s">
        <v>11404</v>
      </c>
      <c r="G5207" s="40" t="s">
        <v>11404</v>
      </c>
      <c r="H5207" s="40" t="s">
        <v>11404</v>
      </c>
    </row>
    <row r="5208">
      <c r="A5208" s="39"/>
      <c r="E5208" s="40" t="s">
        <v>11404</v>
      </c>
      <c r="F5208" s="40" t="s">
        <v>11404</v>
      </c>
      <c r="G5208" s="40" t="s">
        <v>11404</v>
      </c>
      <c r="H5208" s="40" t="s">
        <v>11404</v>
      </c>
    </row>
    <row r="5209">
      <c r="A5209" s="39"/>
      <c r="E5209" s="40" t="s">
        <v>11404</v>
      </c>
      <c r="F5209" s="40" t="s">
        <v>11404</v>
      </c>
      <c r="G5209" s="40" t="s">
        <v>11404</v>
      </c>
      <c r="H5209" s="40" t="s">
        <v>11404</v>
      </c>
    </row>
    <row r="5210">
      <c r="A5210" s="39"/>
      <c r="E5210" s="40" t="s">
        <v>11404</v>
      </c>
      <c r="F5210" s="40" t="s">
        <v>11404</v>
      </c>
      <c r="G5210" s="40" t="s">
        <v>11404</v>
      </c>
      <c r="H5210" s="40" t="s">
        <v>11404</v>
      </c>
    </row>
    <row r="5211">
      <c r="A5211" s="39"/>
      <c r="E5211" s="40" t="s">
        <v>11404</v>
      </c>
      <c r="F5211" s="40" t="s">
        <v>11404</v>
      </c>
      <c r="G5211" s="40" t="s">
        <v>11404</v>
      </c>
      <c r="H5211" s="40" t="s">
        <v>11404</v>
      </c>
    </row>
    <row r="5212">
      <c r="A5212" s="39"/>
      <c r="E5212" s="40" t="s">
        <v>11404</v>
      </c>
      <c r="F5212" s="40" t="s">
        <v>11404</v>
      </c>
      <c r="G5212" s="40" t="s">
        <v>11404</v>
      </c>
      <c r="H5212" s="40" t="s">
        <v>11404</v>
      </c>
    </row>
    <row r="5213">
      <c r="A5213" s="39"/>
      <c r="E5213" s="40" t="s">
        <v>11404</v>
      </c>
      <c r="F5213" s="40" t="s">
        <v>11404</v>
      </c>
      <c r="G5213" s="40" t="s">
        <v>11404</v>
      </c>
      <c r="H5213" s="40" t="s">
        <v>11404</v>
      </c>
    </row>
    <row r="5214">
      <c r="A5214" s="39"/>
      <c r="E5214" s="40" t="s">
        <v>11404</v>
      </c>
      <c r="F5214" s="40" t="s">
        <v>11404</v>
      </c>
      <c r="G5214" s="40" t="s">
        <v>11404</v>
      </c>
      <c r="H5214" s="40" t="s">
        <v>11404</v>
      </c>
    </row>
    <row r="5215">
      <c r="A5215" s="39"/>
      <c r="E5215" s="40" t="s">
        <v>11404</v>
      </c>
      <c r="F5215" s="40" t="s">
        <v>11404</v>
      </c>
      <c r="G5215" s="40" t="s">
        <v>11404</v>
      </c>
      <c r="H5215" s="40" t="s">
        <v>11404</v>
      </c>
    </row>
    <row r="5216">
      <c r="A5216" s="39"/>
      <c r="E5216" s="40" t="s">
        <v>11404</v>
      </c>
      <c r="F5216" s="40" t="s">
        <v>11404</v>
      </c>
      <c r="G5216" s="40" t="s">
        <v>11404</v>
      </c>
      <c r="H5216" s="40" t="s">
        <v>11404</v>
      </c>
    </row>
    <row r="5217">
      <c r="A5217" s="39"/>
      <c r="E5217" s="40" t="s">
        <v>11404</v>
      </c>
      <c r="F5217" s="40" t="s">
        <v>11404</v>
      </c>
      <c r="G5217" s="40" t="s">
        <v>11404</v>
      </c>
      <c r="H5217" s="40" t="s">
        <v>11404</v>
      </c>
    </row>
    <row r="5218">
      <c r="A5218" s="39"/>
      <c r="E5218" s="40" t="s">
        <v>11404</v>
      </c>
      <c r="F5218" s="40" t="s">
        <v>11404</v>
      </c>
      <c r="G5218" s="40" t="s">
        <v>11404</v>
      </c>
      <c r="H5218" s="40" t="s">
        <v>11404</v>
      </c>
    </row>
    <row r="5219">
      <c r="A5219" s="39"/>
      <c r="E5219" s="40" t="s">
        <v>11404</v>
      </c>
      <c r="F5219" s="40" t="s">
        <v>11404</v>
      </c>
      <c r="G5219" s="40" t="s">
        <v>11404</v>
      </c>
      <c r="H5219" s="40" t="s">
        <v>11404</v>
      </c>
    </row>
    <row r="5220">
      <c r="A5220" s="39"/>
      <c r="E5220" s="40" t="s">
        <v>11404</v>
      </c>
      <c r="F5220" s="40" t="s">
        <v>11404</v>
      </c>
      <c r="G5220" s="40" t="s">
        <v>11404</v>
      </c>
      <c r="H5220" s="40" t="s">
        <v>11404</v>
      </c>
    </row>
    <row r="5221">
      <c r="A5221" s="39"/>
      <c r="E5221" s="40" t="s">
        <v>11404</v>
      </c>
      <c r="F5221" s="40" t="s">
        <v>11404</v>
      </c>
      <c r="G5221" s="40" t="s">
        <v>11404</v>
      </c>
      <c r="H5221" s="40" t="s">
        <v>11404</v>
      </c>
    </row>
    <row r="5222">
      <c r="A5222" s="39"/>
      <c r="E5222" s="40" t="s">
        <v>11404</v>
      </c>
      <c r="F5222" s="40" t="s">
        <v>11404</v>
      </c>
      <c r="G5222" s="40" t="s">
        <v>11404</v>
      </c>
      <c r="H5222" s="40" t="s">
        <v>11404</v>
      </c>
    </row>
    <row r="5223">
      <c r="A5223" s="39"/>
      <c r="E5223" s="40" t="s">
        <v>11404</v>
      </c>
      <c r="F5223" s="40" t="s">
        <v>11404</v>
      </c>
      <c r="G5223" s="40" t="s">
        <v>11404</v>
      </c>
      <c r="H5223" s="40" t="s">
        <v>11404</v>
      </c>
    </row>
    <row r="5224">
      <c r="A5224" s="39"/>
      <c r="E5224" s="40" t="s">
        <v>11404</v>
      </c>
      <c r="F5224" s="40" t="s">
        <v>11404</v>
      </c>
      <c r="G5224" s="40" t="s">
        <v>11404</v>
      </c>
      <c r="H5224" s="40" t="s">
        <v>11404</v>
      </c>
    </row>
    <row r="5225">
      <c r="A5225" s="39"/>
      <c r="E5225" s="40" t="s">
        <v>11404</v>
      </c>
      <c r="F5225" s="40" t="s">
        <v>11404</v>
      </c>
      <c r="G5225" s="40" t="s">
        <v>11404</v>
      </c>
      <c r="H5225" s="40" t="s">
        <v>11404</v>
      </c>
    </row>
    <row r="5226">
      <c r="A5226" s="39"/>
      <c r="E5226" s="40" t="s">
        <v>11404</v>
      </c>
      <c r="F5226" s="40" t="s">
        <v>11404</v>
      </c>
      <c r="G5226" s="40" t="s">
        <v>11404</v>
      </c>
      <c r="H5226" s="40" t="s">
        <v>11404</v>
      </c>
    </row>
    <row r="5227">
      <c r="A5227" s="39"/>
      <c r="E5227" s="40" t="s">
        <v>11404</v>
      </c>
      <c r="F5227" s="40" t="s">
        <v>11404</v>
      </c>
      <c r="G5227" s="40" t="s">
        <v>11404</v>
      </c>
      <c r="H5227" s="40" t="s">
        <v>11404</v>
      </c>
    </row>
    <row r="5228">
      <c r="A5228" s="39"/>
      <c r="E5228" s="40" t="s">
        <v>11404</v>
      </c>
      <c r="F5228" s="40" t="s">
        <v>11404</v>
      </c>
      <c r="G5228" s="40" t="s">
        <v>11404</v>
      </c>
      <c r="H5228" s="40" t="s">
        <v>11404</v>
      </c>
    </row>
    <row r="5229">
      <c r="A5229" s="39"/>
      <c r="E5229" s="40" t="s">
        <v>11404</v>
      </c>
      <c r="F5229" s="40" t="s">
        <v>11404</v>
      </c>
      <c r="G5229" s="40" t="s">
        <v>11404</v>
      </c>
      <c r="H5229" s="40" t="s">
        <v>11404</v>
      </c>
    </row>
    <row r="5230">
      <c r="A5230" s="39"/>
      <c r="E5230" s="40" t="s">
        <v>11404</v>
      </c>
      <c r="F5230" s="40" t="s">
        <v>11404</v>
      </c>
      <c r="G5230" s="40" t="s">
        <v>11404</v>
      </c>
      <c r="H5230" s="40" t="s">
        <v>11404</v>
      </c>
    </row>
    <row r="5231">
      <c r="A5231" s="39"/>
      <c r="E5231" s="40" t="s">
        <v>11404</v>
      </c>
      <c r="F5231" s="40" t="s">
        <v>11404</v>
      </c>
      <c r="G5231" s="40" t="s">
        <v>11404</v>
      </c>
      <c r="H5231" s="40" t="s">
        <v>11404</v>
      </c>
    </row>
    <row r="5232">
      <c r="A5232" s="39"/>
      <c r="E5232" s="40" t="s">
        <v>11404</v>
      </c>
      <c r="F5232" s="40" t="s">
        <v>11404</v>
      </c>
      <c r="G5232" s="40" t="s">
        <v>11404</v>
      </c>
      <c r="H5232" s="40" t="s">
        <v>11404</v>
      </c>
    </row>
    <row r="5233">
      <c r="A5233" s="39"/>
      <c r="E5233" s="40" t="s">
        <v>11404</v>
      </c>
      <c r="F5233" s="40" t="s">
        <v>11404</v>
      </c>
      <c r="G5233" s="40" t="s">
        <v>11404</v>
      </c>
      <c r="H5233" s="40" t="s">
        <v>11404</v>
      </c>
    </row>
    <row r="5234">
      <c r="A5234" s="39"/>
      <c r="E5234" s="40" t="s">
        <v>11404</v>
      </c>
      <c r="F5234" s="40" t="s">
        <v>11404</v>
      </c>
      <c r="G5234" s="40" t="s">
        <v>11404</v>
      </c>
      <c r="H5234" s="40" t="s">
        <v>11404</v>
      </c>
    </row>
    <row r="5235">
      <c r="A5235" s="39"/>
      <c r="E5235" s="40" t="s">
        <v>11404</v>
      </c>
      <c r="F5235" s="40" t="s">
        <v>11404</v>
      </c>
      <c r="G5235" s="40" t="s">
        <v>11404</v>
      </c>
      <c r="H5235" s="40" t="s">
        <v>11404</v>
      </c>
    </row>
    <row r="5236">
      <c r="A5236" s="39"/>
      <c r="E5236" s="40" t="s">
        <v>11404</v>
      </c>
      <c r="F5236" s="40" t="s">
        <v>11404</v>
      </c>
      <c r="G5236" s="40" t="s">
        <v>11404</v>
      </c>
      <c r="H5236" s="40" t="s">
        <v>11404</v>
      </c>
    </row>
    <row r="5237">
      <c r="A5237" s="39"/>
      <c r="E5237" s="40" t="s">
        <v>11404</v>
      </c>
      <c r="F5237" s="40" t="s">
        <v>11404</v>
      </c>
      <c r="G5237" s="40" t="s">
        <v>11404</v>
      </c>
      <c r="H5237" s="40" t="s">
        <v>11404</v>
      </c>
    </row>
    <row r="5238">
      <c r="A5238" s="39"/>
      <c r="E5238" s="40" t="s">
        <v>11404</v>
      </c>
      <c r="F5238" s="40" t="s">
        <v>11404</v>
      </c>
      <c r="G5238" s="40" t="s">
        <v>11404</v>
      </c>
      <c r="H5238" s="40" t="s">
        <v>11404</v>
      </c>
    </row>
    <row r="5239">
      <c r="A5239" s="39"/>
      <c r="E5239" s="40" t="s">
        <v>11404</v>
      </c>
      <c r="F5239" s="40" t="s">
        <v>11404</v>
      </c>
      <c r="G5239" s="40" t="s">
        <v>11404</v>
      </c>
      <c r="H5239" s="40" t="s">
        <v>11404</v>
      </c>
    </row>
    <row r="5240">
      <c r="A5240" s="39"/>
      <c r="E5240" s="40" t="s">
        <v>11404</v>
      </c>
      <c r="F5240" s="40" t="s">
        <v>11404</v>
      </c>
      <c r="G5240" s="40" t="s">
        <v>11404</v>
      </c>
      <c r="H5240" s="40" t="s">
        <v>11404</v>
      </c>
    </row>
    <row r="5241">
      <c r="A5241" s="39"/>
      <c r="E5241" s="40" t="s">
        <v>11404</v>
      </c>
      <c r="F5241" s="40" t="s">
        <v>11404</v>
      </c>
      <c r="G5241" s="40" t="s">
        <v>11404</v>
      </c>
      <c r="H5241" s="40" t="s">
        <v>11404</v>
      </c>
    </row>
    <row r="5242">
      <c r="A5242" s="39"/>
      <c r="E5242" s="40" t="s">
        <v>11404</v>
      </c>
      <c r="F5242" s="40" t="s">
        <v>11404</v>
      </c>
      <c r="G5242" s="40" t="s">
        <v>11404</v>
      </c>
      <c r="H5242" s="40" t="s">
        <v>11404</v>
      </c>
    </row>
    <row r="5243">
      <c r="A5243" s="39"/>
      <c r="E5243" s="40" t="s">
        <v>11404</v>
      </c>
      <c r="F5243" s="40" t="s">
        <v>11404</v>
      </c>
      <c r="G5243" s="40" t="s">
        <v>11404</v>
      </c>
      <c r="H5243" s="40" t="s">
        <v>11404</v>
      </c>
    </row>
    <row r="5244">
      <c r="A5244" s="39"/>
      <c r="E5244" s="40" t="s">
        <v>11404</v>
      </c>
      <c r="F5244" s="40" t="s">
        <v>11404</v>
      </c>
      <c r="G5244" s="40" t="s">
        <v>11404</v>
      </c>
      <c r="H5244" s="40" t="s">
        <v>11404</v>
      </c>
    </row>
    <row r="5245">
      <c r="A5245" s="39"/>
      <c r="E5245" s="40" t="s">
        <v>11404</v>
      </c>
      <c r="F5245" s="40" t="s">
        <v>11404</v>
      </c>
      <c r="G5245" s="40" t="s">
        <v>11404</v>
      </c>
      <c r="H5245" s="40" t="s">
        <v>11404</v>
      </c>
    </row>
    <row r="5246">
      <c r="A5246" s="39"/>
      <c r="E5246" s="40" t="s">
        <v>11404</v>
      </c>
      <c r="F5246" s="40" t="s">
        <v>11404</v>
      </c>
      <c r="G5246" s="40" t="s">
        <v>11404</v>
      </c>
      <c r="H5246" s="40" t="s">
        <v>11404</v>
      </c>
    </row>
    <row r="5247">
      <c r="A5247" s="39"/>
      <c r="E5247" s="40" t="s">
        <v>11404</v>
      </c>
      <c r="F5247" s="40" t="s">
        <v>11404</v>
      </c>
      <c r="G5247" s="40" t="s">
        <v>11404</v>
      </c>
      <c r="H5247" s="40" t="s">
        <v>11404</v>
      </c>
    </row>
    <row r="5248">
      <c r="A5248" s="39"/>
      <c r="E5248" s="40" t="s">
        <v>11404</v>
      </c>
      <c r="F5248" s="40" t="s">
        <v>11404</v>
      </c>
      <c r="G5248" s="40" t="s">
        <v>11404</v>
      </c>
      <c r="H5248" s="40" t="s">
        <v>11404</v>
      </c>
    </row>
    <row r="5249">
      <c r="A5249" s="39"/>
      <c r="E5249" s="40" t="s">
        <v>11404</v>
      </c>
      <c r="F5249" s="40" t="s">
        <v>11404</v>
      </c>
      <c r="G5249" s="40" t="s">
        <v>11404</v>
      </c>
      <c r="H5249" s="40" t="s">
        <v>11404</v>
      </c>
    </row>
    <row r="5250">
      <c r="A5250" s="39"/>
      <c r="E5250" s="40" t="s">
        <v>11404</v>
      </c>
      <c r="F5250" s="40" t="s">
        <v>11404</v>
      </c>
      <c r="G5250" s="40" t="s">
        <v>11404</v>
      </c>
      <c r="H5250" s="40" t="s">
        <v>11404</v>
      </c>
    </row>
    <row r="5251">
      <c r="A5251" s="39"/>
      <c r="E5251" s="40" t="s">
        <v>11404</v>
      </c>
      <c r="F5251" s="40" t="s">
        <v>11404</v>
      </c>
      <c r="G5251" s="40" t="s">
        <v>11404</v>
      </c>
      <c r="H5251" s="40" t="s">
        <v>11404</v>
      </c>
    </row>
    <row r="5252">
      <c r="A5252" s="39"/>
      <c r="E5252" s="40" t="s">
        <v>11404</v>
      </c>
      <c r="F5252" s="40" t="s">
        <v>11404</v>
      </c>
      <c r="G5252" s="40" t="s">
        <v>11404</v>
      </c>
      <c r="H5252" s="40" t="s">
        <v>11404</v>
      </c>
    </row>
    <row r="5253">
      <c r="A5253" s="39"/>
      <c r="E5253" s="40" t="s">
        <v>11404</v>
      </c>
      <c r="F5253" s="40" t="s">
        <v>11404</v>
      </c>
      <c r="G5253" s="40" t="s">
        <v>11404</v>
      </c>
      <c r="H5253" s="40" t="s">
        <v>11404</v>
      </c>
    </row>
    <row r="5254">
      <c r="A5254" s="39"/>
      <c r="E5254" s="40" t="s">
        <v>11404</v>
      </c>
      <c r="F5254" s="40" t="s">
        <v>11404</v>
      </c>
      <c r="G5254" s="40" t="s">
        <v>11404</v>
      </c>
      <c r="H5254" s="40" t="s">
        <v>11404</v>
      </c>
    </row>
    <row r="5255">
      <c r="A5255" s="39"/>
      <c r="E5255" s="40" t="s">
        <v>11404</v>
      </c>
      <c r="F5255" s="40" t="s">
        <v>11404</v>
      </c>
      <c r="G5255" s="40" t="s">
        <v>11404</v>
      </c>
      <c r="H5255" s="40" t="s">
        <v>11404</v>
      </c>
    </row>
    <row r="5256">
      <c r="A5256" s="39"/>
      <c r="E5256" s="40" t="s">
        <v>11404</v>
      </c>
      <c r="F5256" s="40" t="s">
        <v>11404</v>
      </c>
      <c r="G5256" s="40" t="s">
        <v>11404</v>
      </c>
      <c r="H5256" s="40" t="s">
        <v>11404</v>
      </c>
    </row>
    <row r="5257">
      <c r="A5257" s="39"/>
      <c r="E5257" s="40" t="s">
        <v>11404</v>
      </c>
      <c r="F5257" s="40" t="s">
        <v>11404</v>
      </c>
      <c r="G5257" s="40" t="s">
        <v>11404</v>
      </c>
      <c r="H5257" s="40" t="s">
        <v>11404</v>
      </c>
    </row>
    <row r="5258">
      <c r="A5258" s="39"/>
      <c r="E5258" s="40" t="s">
        <v>11404</v>
      </c>
      <c r="F5258" s="40" t="s">
        <v>11404</v>
      </c>
      <c r="G5258" s="40" t="s">
        <v>11404</v>
      </c>
      <c r="H5258" s="40" t="s">
        <v>11404</v>
      </c>
    </row>
    <row r="5259">
      <c r="A5259" s="39"/>
      <c r="E5259" s="40" t="s">
        <v>11404</v>
      </c>
      <c r="F5259" s="40" t="s">
        <v>11404</v>
      </c>
      <c r="G5259" s="40" t="s">
        <v>11404</v>
      </c>
      <c r="H5259" s="40" t="s">
        <v>11404</v>
      </c>
    </row>
    <row r="5260">
      <c r="A5260" s="39"/>
      <c r="E5260" s="40" t="s">
        <v>11404</v>
      </c>
      <c r="F5260" s="40" t="s">
        <v>11404</v>
      </c>
      <c r="G5260" s="40" t="s">
        <v>11404</v>
      </c>
      <c r="H5260" s="40" t="s">
        <v>11404</v>
      </c>
    </row>
    <row r="5261">
      <c r="A5261" s="39"/>
      <c r="E5261" s="40" t="s">
        <v>11404</v>
      </c>
      <c r="F5261" s="40" t="s">
        <v>11404</v>
      </c>
      <c r="G5261" s="40" t="s">
        <v>11404</v>
      </c>
      <c r="H5261" s="40" t="s">
        <v>11404</v>
      </c>
    </row>
    <row r="5262">
      <c r="A5262" s="39"/>
      <c r="E5262" s="40" t="s">
        <v>11404</v>
      </c>
      <c r="F5262" s="40" t="s">
        <v>11404</v>
      </c>
      <c r="G5262" s="40" t="s">
        <v>11404</v>
      </c>
      <c r="H5262" s="40" t="s">
        <v>11404</v>
      </c>
    </row>
    <row r="5263">
      <c r="A5263" s="39"/>
      <c r="E5263" s="40" t="s">
        <v>11404</v>
      </c>
      <c r="F5263" s="40" t="s">
        <v>11404</v>
      </c>
      <c r="G5263" s="40" t="s">
        <v>11404</v>
      </c>
      <c r="H5263" s="40" t="s">
        <v>11404</v>
      </c>
    </row>
    <row r="5264">
      <c r="A5264" s="39"/>
      <c r="E5264" s="40" t="s">
        <v>11404</v>
      </c>
      <c r="F5264" s="40" t="s">
        <v>11404</v>
      </c>
      <c r="G5264" s="40" t="s">
        <v>11404</v>
      </c>
      <c r="H5264" s="40" t="s">
        <v>11404</v>
      </c>
    </row>
    <row r="5265">
      <c r="A5265" s="39"/>
      <c r="E5265" s="40" t="s">
        <v>11404</v>
      </c>
      <c r="F5265" s="40" t="s">
        <v>11404</v>
      </c>
      <c r="G5265" s="40" t="s">
        <v>11404</v>
      </c>
      <c r="H5265" s="40" t="s">
        <v>11404</v>
      </c>
    </row>
    <row r="5266">
      <c r="A5266" s="39"/>
      <c r="E5266" s="40" t="s">
        <v>11404</v>
      </c>
      <c r="F5266" s="40" t="s">
        <v>11404</v>
      </c>
      <c r="G5266" s="40" t="s">
        <v>11404</v>
      </c>
      <c r="H5266" s="40" t="s">
        <v>11404</v>
      </c>
    </row>
    <row r="5267">
      <c r="A5267" s="39"/>
      <c r="E5267" s="40" t="s">
        <v>11404</v>
      </c>
      <c r="F5267" s="40" t="s">
        <v>11404</v>
      </c>
      <c r="G5267" s="40" t="s">
        <v>11404</v>
      </c>
      <c r="H5267" s="40" t="s">
        <v>11404</v>
      </c>
    </row>
    <row r="5268">
      <c r="A5268" s="39"/>
      <c r="E5268" s="40" t="s">
        <v>11404</v>
      </c>
      <c r="F5268" s="40" t="s">
        <v>11404</v>
      </c>
      <c r="G5268" s="40" t="s">
        <v>11404</v>
      </c>
      <c r="H5268" s="40" t="s">
        <v>11404</v>
      </c>
    </row>
    <row r="5269">
      <c r="A5269" s="39"/>
      <c r="E5269" s="40" t="s">
        <v>11404</v>
      </c>
      <c r="F5269" s="40" t="s">
        <v>11404</v>
      </c>
      <c r="G5269" s="40" t="s">
        <v>11404</v>
      </c>
      <c r="H5269" s="40" t="s">
        <v>11404</v>
      </c>
    </row>
    <row r="5270">
      <c r="A5270" s="39"/>
      <c r="E5270" s="40" t="s">
        <v>11404</v>
      </c>
      <c r="F5270" s="40" t="s">
        <v>11404</v>
      </c>
      <c r="G5270" s="40" t="s">
        <v>11404</v>
      </c>
      <c r="H5270" s="40" t="s">
        <v>11404</v>
      </c>
    </row>
    <row r="5271">
      <c r="A5271" s="39"/>
      <c r="E5271" s="40" t="s">
        <v>11404</v>
      </c>
      <c r="F5271" s="40" t="s">
        <v>11404</v>
      </c>
      <c r="G5271" s="40" t="s">
        <v>11404</v>
      </c>
      <c r="H5271" s="40" t="s">
        <v>11404</v>
      </c>
    </row>
    <row r="5272">
      <c r="A5272" s="39"/>
      <c r="E5272" s="40" t="s">
        <v>11404</v>
      </c>
      <c r="F5272" s="40" t="s">
        <v>11404</v>
      </c>
      <c r="G5272" s="40" t="s">
        <v>11404</v>
      </c>
      <c r="H5272" s="40" t="s">
        <v>11404</v>
      </c>
    </row>
    <row r="5273">
      <c r="A5273" s="39"/>
      <c r="E5273" s="40" t="s">
        <v>11404</v>
      </c>
      <c r="F5273" s="40" t="s">
        <v>11404</v>
      </c>
      <c r="G5273" s="40" t="s">
        <v>11404</v>
      </c>
      <c r="H5273" s="40" t="s">
        <v>11404</v>
      </c>
    </row>
    <row r="5274">
      <c r="A5274" s="39"/>
      <c r="E5274" s="40" t="s">
        <v>11404</v>
      </c>
      <c r="F5274" s="40" t="s">
        <v>11404</v>
      </c>
      <c r="G5274" s="40" t="s">
        <v>11404</v>
      </c>
      <c r="H5274" s="40" t="s">
        <v>11404</v>
      </c>
    </row>
    <row r="5275">
      <c r="A5275" s="39"/>
      <c r="E5275" s="40" t="s">
        <v>11404</v>
      </c>
      <c r="F5275" s="40" t="s">
        <v>11404</v>
      </c>
      <c r="G5275" s="40" t="s">
        <v>11404</v>
      </c>
      <c r="H5275" s="40" t="s">
        <v>11404</v>
      </c>
    </row>
    <row r="5276">
      <c r="A5276" s="39"/>
      <c r="E5276" s="40" t="s">
        <v>11404</v>
      </c>
      <c r="F5276" s="40" t="s">
        <v>11404</v>
      </c>
      <c r="G5276" s="40" t="s">
        <v>11404</v>
      </c>
      <c r="H5276" s="40" t="s">
        <v>11404</v>
      </c>
    </row>
    <row r="5277">
      <c r="A5277" s="39"/>
      <c r="E5277" s="40" t="s">
        <v>11404</v>
      </c>
      <c r="F5277" s="40" t="s">
        <v>11404</v>
      </c>
      <c r="G5277" s="40" t="s">
        <v>11404</v>
      </c>
      <c r="H5277" s="40" t="s">
        <v>11404</v>
      </c>
    </row>
    <row r="5278">
      <c r="A5278" s="39"/>
      <c r="E5278" s="40" t="s">
        <v>11404</v>
      </c>
      <c r="F5278" s="40" t="s">
        <v>11404</v>
      </c>
      <c r="G5278" s="40" t="s">
        <v>11404</v>
      </c>
      <c r="H5278" s="40" t="s">
        <v>11404</v>
      </c>
    </row>
    <row r="5279">
      <c r="A5279" s="39"/>
      <c r="E5279" s="40" t="s">
        <v>11404</v>
      </c>
      <c r="F5279" s="40" t="s">
        <v>11404</v>
      </c>
      <c r="G5279" s="40" t="s">
        <v>11404</v>
      </c>
      <c r="H5279" s="40" t="s">
        <v>11404</v>
      </c>
    </row>
    <row r="5280">
      <c r="A5280" s="39"/>
      <c r="E5280" s="40" t="s">
        <v>11404</v>
      </c>
      <c r="F5280" s="40" t="s">
        <v>11404</v>
      </c>
      <c r="G5280" s="40" t="s">
        <v>11404</v>
      </c>
      <c r="H5280" s="40" t="s">
        <v>11404</v>
      </c>
    </row>
    <row r="5281">
      <c r="A5281" s="39"/>
      <c r="E5281" s="40" t="s">
        <v>11404</v>
      </c>
      <c r="F5281" s="40" t="s">
        <v>11404</v>
      </c>
      <c r="G5281" s="40" t="s">
        <v>11404</v>
      </c>
      <c r="H5281" s="40" t="s">
        <v>11404</v>
      </c>
    </row>
    <row r="5282">
      <c r="A5282" s="39"/>
      <c r="E5282" s="40" t="s">
        <v>11404</v>
      </c>
      <c r="F5282" s="40" t="s">
        <v>11404</v>
      </c>
      <c r="G5282" s="40" t="s">
        <v>11404</v>
      </c>
      <c r="H5282" s="40" t="s">
        <v>11404</v>
      </c>
    </row>
    <row r="5283">
      <c r="A5283" s="39"/>
      <c r="E5283" s="40" t="s">
        <v>11404</v>
      </c>
      <c r="F5283" s="40" t="s">
        <v>11404</v>
      </c>
      <c r="G5283" s="40" t="s">
        <v>11404</v>
      </c>
      <c r="H5283" s="40" t="s">
        <v>11404</v>
      </c>
    </row>
    <row r="5284">
      <c r="A5284" s="39"/>
      <c r="E5284" s="40" t="s">
        <v>11404</v>
      </c>
      <c r="F5284" s="40" t="s">
        <v>11404</v>
      </c>
      <c r="G5284" s="40" t="s">
        <v>11404</v>
      </c>
      <c r="H5284" s="40" t="s">
        <v>11404</v>
      </c>
    </row>
    <row r="5285">
      <c r="A5285" s="39"/>
      <c r="E5285" s="40" t="s">
        <v>11404</v>
      </c>
      <c r="F5285" s="40" t="s">
        <v>11404</v>
      </c>
      <c r="G5285" s="40" t="s">
        <v>11404</v>
      </c>
      <c r="H5285" s="40" t="s">
        <v>11404</v>
      </c>
    </row>
    <row r="5286">
      <c r="A5286" s="39"/>
      <c r="E5286" s="40" t="s">
        <v>11404</v>
      </c>
      <c r="F5286" s="40" t="s">
        <v>11404</v>
      </c>
      <c r="G5286" s="40" t="s">
        <v>11404</v>
      </c>
      <c r="H5286" s="40" t="s">
        <v>11404</v>
      </c>
    </row>
    <row r="5287">
      <c r="A5287" s="39"/>
      <c r="E5287" s="40" t="s">
        <v>11404</v>
      </c>
      <c r="F5287" s="40" t="s">
        <v>11404</v>
      </c>
      <c r="G5287" s="40" t="s">
        <v>11404</v>
      </c>
      <c r="H5287" s="40" t="s">
        <v>11404</v>
      </c>
    </row>
    <row r="5288">
      <c r="A5288" s="39"/>
      <c r="E5288" s="40" t="s">
        <v>11404</v>
      </c>
      <c r="F5288" s="40" t="s">
        <v>11404</v>
      </c>
      <c r="G5288" s="40" t="s">
        <v>11404</v>
      </c>
      <c r="H5288" s="40" t="s">
        <v>11404</v>
      </c>
    </row>
    <row r="5289">
      <c r="A5289" s="39"/>
      <c r="E5289" s="40" t="s">
        <v>11404</v>
      </c>
      <c r="F5289" s="40" t="s">
        <v>11404</v>
      </c>
      <c r="G5289" s="40" t="s">
        <v>11404</v>
      </c>
      <c r="H5289" s="40" t="s">
        <v>11404</v>
      </c>
    </row>
    <row r="5290">
      <c r="A5290" s="39"/>
      <c r="E5290" s="40" t="s">
        <v>11404</v>
      </c>
      <c r="F5290" s="40" t="s">
        <v>11404</v>
      </c>
      <c r="G5290" s="40" t="s">
        <v>11404</v>
      </c>
      <c r="H5290" s="40" t="s">
        <v>11404</v>
      </c>
    </row>
    <row r="5291">
      <c r="A5291" s="39"/>
      <c r="E5291" s="40" t="s">
        <v>11404</v>
      </c>
      <c r="F5291" s="40" t="s">
        <v>11404</v>
      </c>
      <c r="G5291" s="40" t="s">
        <v>11404</v>
      </c>
      <c r="H5291" s="40" t="s">
        <v>11404</v>
      </c>
    </row>
    <row r="5292">
      <c r="A5292" s="39"/>
      <c r="E5292" s="40" t="s">
        <v>11404</v>
      </c>
      <c r="F5292" s="40" t="s">
        <v>11404</v>
      </c>
      <c r="G5292" s="40" t="s">
        <v>11404</v>
      </c>
      <c r="H5292" s="40" t="s">
        <v>11404</v>
      </c>
    </row>
    <row r="5293">
      <c r="A5293" s="39"/>
      <c r="E5293" s="40" t="s">
        <v>11404</v>
      </c>
      <c r="F5293" s="40" t="s">
        <v>11404</v>
      </c>
      <c r="G5293" s="40" t="s">
        <v>11404</v>
      </c>
      <c r="H5293" s="40" t="s">
        <v>11404</v>
      </c>
    </row>
    <row r="5294">
      <c r="A5294" s="39"/>
      <c r="E5294" s="40" t="s">
        <v>11404</v>
      </c>
      <c r="F5294" s="40" t="s">
        <v>11404</v>
      </c>
      <c r="G5294" s="40" t="s">
        <v>11404</v>
      </c>
      <c r="H5294" s="40" t="s">
        <v>11404</v>
      </c>
    </row>
    <row r="5295">
      <c r="A5295" s="39"/>
      <c r="E5295" s="40" t="s">
        <v>11404</v>
      </c>
      <c r="F5295" s="40" t="s">
        <v>11404</v>
      </c>
      <c r="G5295" s="40" t="s">
        <v>11404</v>
      </c>
      <c r="H5295" s="40" t="s">
        <v>11404</v>
      </c>
    </row>
    <row r="5296">
      <c r="A5296" s="39"/>
      <c r="E5296" s="40" t="s">
        <v>11404</v>
      </c>
      <c r="F5296" s="40" t="s">
        <v>11404</v>
      </c>
      <c r="G5296" s="40" t="s">
        <v>11404</v>
      </c>
      <c r="H5296" s="40" t="s">
        <v>11404</v>
      </c>
    </row>
    <row r="5297">
      <c r="A5297" s="39"/>
      <c r="E5297" s="40" t="s">
        <v>11404</v>
      </c>
      <c r="F5297" s="40" t="s">
        <v>11404</v>
      </c>
      <c r="G5297" s="40" t="s">
        <v>11404</v>
      </c>
      <c r="H5297" s="40" t="s">
        <v>11404</v>
      </c>
    </row>
    <row r="5298">
      <c r="A5298" s="39"/>
      <c r="E5298" s="40" t="s">
        <v>11404</v>
      </c>
      <c r="F5298" s="40" t="s">
        <v>11404</v>
      </c>
      <c r="G5298" s="40" t="s">
        <v>11404</v>
      </c>
      <c r="H5298" s="40" t="s">
        <v>11404</v>
      </c>
    </row>
    <row r="5299">
      <c r="A5299" s="39"/>
      <c r="E5299" s="40" t="s">
        <v>11404</v>
      </c>
      <c r="F5299" s="40" t="s">
        <v>11404</v>
      </c>
      <c r="G5299" s="40" t="s">
        <v>11404</v>
      </c>
      <c r="H5299" s="40" t="s">
        <v>11404</v>
      </c>
    </row>
    <row r="5300">
      <c r="A5300" s="39"/>
      <c r="E5300" s="40" t="s">
        <v>11404</v>
      </c>
      <c r="F5300" s="40" t="s">
        <v>11404</v>
      </c>
      <c r="G5300" s="40" t="s">
        <v>11404</v>
      </c>
      <c r="H5300" s="40" t="s">
        <v>11404</v>
      </c>
    </row>
    <row r="5301">
      <c r="A5301" s="39"/>
      <c r="E5301" s="40" t="s">
        <v>11404</v>
      </c>
      <c r="F5301" s="40" t="s">
        <v>11404</v>
      </c>
      <c r="G5301" s="40" t="s">
        <v>11404</v>
      </c>
      <c r="H5301" s="40" t="s">
        <v>11404</v>
      </c>
    </row>
    <row r="5302">
      <c r="A5302" s="39"/>
      <c r="E5302" s="40" t="s">
        <v>11404</v>
      </c>
      <c r="F5302" s="40" t="s">
        <v>11404</v>
      </c>
      <c r="G5302" s="40" t="s">
        <v>11404</v>
      </c>
      <c r="H5302" s="40" t="s">
        <v>11404</v>
      </c>
    </row>
    <row r="5303">
      <c r="A5303" s="39"/>
      <c r="E5303" s="40" t="s">
        <v>11404</v>
      </c>
      <c r="F5303" s="40" t="s">
        <v>11404</v>
      </c>
      <c r="G5303" s="40" t="s">
        <v>11404</v>
      </c>
      <c r="H5303" s="40" t="s">
        <v>11404</v>
      </c>
    </row>
    <row r="5304">
      <c r="A5304" s="39"/>
      <c r="E5304" s="40" t="s">
        <v>11404</v>
      </c>
      <c r="F5304" s="40" t="s">
        <v>11404</v>
      </c>
      <c r="G5304" s="40" t="s">
        <v>11404</v>
      </c>
      <c r="H5304" s="40" t="s">
        <v>11404</v>
      </c>
    </row>
    <row r="5305">
      <c r="A5305" s="39"/>
      <c r="E5305" s="40" t="s">
        <v>11404</v>
      </c>
      <c r="F5305" s="40" t="s">
        <v>11404</v>
      </c>
      <c r="G5305" s="40" t="s">
        <v>11404</v>
      </c>
      <c r="H5305" s="40" t="s">
        <v>11404</v>
      </c>
    </row>
    <row r="5306">
      <c r="A5306" s="39"/>
      <c r="E5306" s="40" t="s">
        <v>11404</v>
      </c>
      <c r="F5306" s="40" t="s">
        <v>11404</v>
      </c>
      <c r="G5306" s="40" t="s">
        <v>11404</v>
      </c>
      <c r="H5306" s="40" t="s">
        <v>11404</v>
      </c>
    </row>
    <row r="5307">
      <c r="A5307" s="39"/>
      <c r="E5307" s="40" t="s">
        <v>11404</v>
      </c>
      <c r="F5307" s="40" t="s">
        <v>11404</v>
      </c>
      <c r="G5307" s="40" t="s">
        <v>11404</v>
      </c>
      <c r="H5307" s="40" t="s">
        <v>11404</v>
      </c>
    </row>
    <row r="5308">
      <c r="A5308" s="39"/>
      <c r="E5308" s="40" t="s">
        <v>11404</v>
      </c>
      <c r="F5308" s="40" t="s">
        <v>11404</v>
      </c>
      <c r="G5308" s="40" t="s">
        <v>11404</v>
      </c>
      <c r="H5308" s="40" t="s">
        <v>11404</v>
      </c>
    </row>
    <row r="5309">
      <c r="A5309" s="39"/>
      <c r="E5309" s="40" t="s">
        <v>11404</v>
      </c>
      <c r="F5309" s="40" t="s">
        <v>11404</v>
      </c>
      <c r="G5309" s="40" t="s">
        <v>11404</v>
      </c>
      <c r="H5309" s="40" t="s">
        <v>11404</v>
      </c>
    </row>
    <row r="5310">
      <c r="A5310" s="39"/>
      <c r="E5310" s="40" t="s">
        <v>11404</v>
      </c>
      <c r="F5310" s="40" t="s">
        <v>11404</v>
      </c>
      <c r="G5310" s="40" t="s">
        <v>11404</v>
      </c>
      <c r="H5310" s="40" t="s">
        <v>11404</v>
      </c>
    </row>
    <row r="5311">
      <c r="A5311" s="39"/>
      <c r="E5311" s="40" t="s">
        <v>11404</v>
      </c>
      <c r="F5311" s="40" t="s">
        <v>11404</v>
      </c>
      <c r="G5311" s="40" t="s">
        <v>11404</v>
      </c>
      <c r="H5311" s="40" t="s">
        <v>11404</v>
      </c>
    </row>
    <row r="5312">
      <c r="A5312" s="39"/>
      <c r="E5312" s="40" t="s">
        <v>11404</v>
      </c>
      <c r="F5312" s="40" t="s">
        <v>11404</v>
      </c>
      <c r="G5312" s="40" t="s">
        <v>11404</v>
      </c>
      <c r="H5312" s="40" t="s">
        <v>11404</v>
      </c>
    </row>
    <row r="5313">
      <c r="A5313" s="39"/>
      <c r="E5313" s="40" t="s">
        <v>11404</v>
      </c>
      <c r="F5313" s="40" t="s">
        <v>11404</v>
      </c>
      <c r="G5313" s="40" t="s">
        <v>11404</v>
      </c>
      <c r="H5313" s="40" t="s">
        <v>11404</v>
      </c>
    </row>
    <row r="5314">
      <c r="A5314" s="39"/>
      <c r="E5314" s="40" t="s">
        <v>11404</v>
      </c>
      <c r="F5314" s="40" t="s">
        <v>11404</v>
      </c>
      <c r="G5314" s="40" t="s">
        <v>11404</v>
      </c>
      <c r="H5314" s="40" t="s">
        <v>11404</v>
      </c>
    </row>
    <row r="5315">
      <c r="A5315" s="39"/>
      <c r="E5315" s="40" t="s">
        <v>11404</v>
      </c>
      <c r="F5315" s="40" t="s">
        <v>11404</v>
      </c>
      <c r="G5315" s="40" t="s">
        <v>11404</v>
      </c>
      <c r="H5315" s="40" t="s">
        <v>11404</v>
      </c>
    </row>
    <row r="5316">
      <c r="A5316" s="39"/>
      <c r="E5316" s="40" t="s">
        <v>11404</v>
      </c>
      <c r="F5316" s="40" t="s">
        <v>11404</v>
      </c>
      <c r="G5316" s="40" t="s">
        <v>11404</v>
      </c>
      <c r="H5316" s="40" t="s">
        <v>11404</v>
      </c>
    </row>
    <row r="5317">
      <c r="A5317" s="39"/>
      <c r="E5317" s="40" t="s">
        <v>11404</v>
      </c>
      <c r="F5317" s="40" t="s">
        <v>11404</v>
      </c>
      <c r="G5317" s="40" t="s">
        <v>11404</v>
      </c>
      <c r="H5317" s="40" t="s">
        <v>11404</v>
      </c>
    </row>
    <row r="5318">
      <c r="A5318" s="39"/>
      <c r="E5318" s="40" t="s">
        <v>11404</v>
      </c>
      <c r="F5318" s="40" t="s">
        <v>11404</v>
      </c>
      <c r="G5318" s="40" t="s">
        <v>11404</v>
      </c>
      <c r="H5318" s="40" t="s">
        <v>11404</v>
      </c>
    </row>
    <row r="5319">
      <c r="A5319" s="39"/>
      <c r="E5319" s="40" t="s">
        <v>11404</v>
      </c>
      <c r="F5319" s="40" t="s">
        <v>11404</v>
      </c>
      <c r="G5319" s="40" t="s">
        <v>11404</v>
      </c>
      <c r="H5319" s="40" t="s">
        <v>11404</v>
      </c>
    </row>
    <row r="5320">
      <c r="A5320" s="39"/>
      <c r="E5320" s="40" t="s">
        <v>11404</v>
      </c>
      <c r="F5320" s="40" t="s">
        <v>11404</v>
      </c>
      <c r="G5320" s="40" t="s">
        <v>11404</v>
      </c>
      <c r="H5320" s="40" t="s">
        <v>11404</v>
      </c>
    </row>
    <row r="5321">
      <c r="A5321" s="39"/>
      <c r="E5321" s="40" t="s">
        <v>11404</v>
      </c>
      <c r="F5321" s="40" t="s">
        <v>11404</v>
      </c>
      <c r="G5321" s="40" t="s">
        <v>11404</v>
      </c>
      <c r="H5321" s="40" t="s">
        <v>11404</v>
      </c>
    </row>
    <row r="5322">
      <c r="A5322" s="39"/>
      <c r="E5322" s="40" t="s">
        <v>11404</v>
      </c>
      <c r="F5322" s="40" t="s">
        <v>11404</v>
      </c>
      <c r="G5322" s="40" t="s">
        <v>11404</v>
      </c>
      <c r="H5322" s="40" t="s">
        <v>11404</v>
      </c>
    </row>
    <row r="5323">
      <c r="A5323" s="39"/>
      <c r="E5323" s="40" t="s">
        <v>11404</v>
      </c>
      <c r="F5323" s="40" t="s">
        <v>11404</v>
      </c>
      <c r="G5323" s="40" t="s">
        <v>11404</v>
      </c>
      <c r="H5323" s="40" t="s">
        <v>11404</v>
      </c>
    </row>
    <row r="5324">
      <c r="A5324" s="39"/>
      <c r="E5324" s="40" t="s">
        <v>11404</v>
      </c>
      <c r="F5324" s="40" t="s">
        <v>11404</v>
      </c>
      <c r="G5324" s="40" t="s">
        <v>11404</v>
      </c>
      <c r="H5324" s="40" t="s">
        <v>11404</v>
      </c>
    </row>
    <row r="5325">
      <c r="A5325" s="39"/>
      <c r="E5325" s="40" t="s">
        <v>11404</v>
      </c>
      <c r="F5325" s="40" t="s">
        <v>11404</v>
      </c>
      <c r="G5325" s="40" t="s">
        <v>11404</v>
      </c>
      <c r="H5325" s="40" t="s">
        <v>11404</v>
      </c>
    </row>
    <row r="5326">
      <c r="A5326" s="39"/>
      <c r="E5326" s="40" t="s">
        <v>11404</v>
      </c>
      <c r="F5326" s="40" t="s">
        <v>11404</v>
      </c>
      <c r="G5326" s="40" t="s">
        <v>11404</v>
      </c>
      <c r="H5326" s="40" t="s">
        <v>11404</v>
      </c>
    </row>
    <row r="5327">
      <c r="A5327" s="39"/>
      <c r="E5327" s="40" t="s">
        <v>11404</v>
      </c>
      <c r="F5327" s="40" t="s">
        <v>11404</v>
      </c>
      <c r="G5327" s="40" t="s">
        <v>11404</v>
      </c>
      <c r="H5327" s="40" t="s">
        <v>11404</v>
      </c>
    </row>
    <row r="5328">
      <c r="A5328" s="39"/>
      <c r="E5328" s="40" t="s">
        <v>11404</v>
      </c>
      <c r="F5328" s="40" t="s">
        <v>11404</v>
      </c>
      <c r="G5328" s="40" t="s">
        <v>11404</v>
      </c>
      <c r="H5328" s="40" t="s">
        <v>11404</v>
      </c>
    </row>
    <row r="5329">
      <c r="A5329" s="39"/>
      <c r="E5329" s="40" t="s">
        <v>11404</v>
      </c>
      <c r="F5329" s="40" t="s">
        <v>11404</v>
      </c>
      <c r="G5329" s="40" t="s">
        <v>11404</v>
      </c>
      <c r="H5329" s="40" t="s">
        <v>11404</v>
      </c>
    </row>
    <row r="5330">
      <c r="A5330" s="39"/>
      <c r="E5330" s="40" t="s">
        <v>11404</v>
      </c>
      <c r="F5330" s="40" t="s">
        <v>11404</v>
      </c>
      <c r="G5330" s="40" t="s">
        <v>11404</v>
      </c>
      <c r="H5330" s="40" t="s">
        <v>11404</v>
      </c>
    </row>
    <row r="5331">
      <c r="A5331" s="39"/>
      <c r="E5331" s="40" t="s">
        <v>11404</v>
      </c>
      <c r="F5331" s="40" t="s">
        <v>11404</v>
      </c>
      <c r="G5331" s="40" t="s">
        <v>11404</v>
      </c>
      <c r="H5331" s="40" t="s">
        <v>11404</v>
      </c>
    </row>
    <row r="5332">
      <c r="A5332" s="39"/>
      <c r="E5332" s="40" t="s">
        <v>11404</v>
      </c>
      <c r="F5332" s="40" t="s">
        <v>11404</v>
      </c>
      <c r="G5332" s="40" t="s">
        <v>11404</v>
      </c>
      <c r="H5332" s="40" t="s">
        <v>11404</v>
      </c>
    </row>
    <row r="5333">
      <c r="A5333" s="39"/>
      <c r="E5333" s="40" t="s">
        <v>11404</v>
      </c>
      <c r="F5333" s="40" t="s">
        <v>11404</v>
      </c>
      <c r="G5333" s="40" t="s">
        <v>11404</v>
      </c>
      <c r="H5333" s="40" t="s">
        <v>11404</v>
      </c>
    </row>
    <row r="5334">
      <c r="A5334" s="39"/>
      <c r="E5334" s="40" t="s">
        <v>11404</v>
      </c>
      <c r="F5334" s="40" t="s">
        <v>11404</v>
      </c>
      <c r="G5334" s="40" t="s">
        <v>11404</v>
      </c>
      <c r="H5334" s="40" t="s">
        <v>11404</v>
      </c>
    </row>
    <row r="5335">
      <c r="A5335" s="39"/>
      <c r="E5335" s="40" t="s">
        <v>11404</v>
      </c>
      <c r="F5335" s="40" t="s">
        <v>11404</v>
      </c>
      <c r="G5335" s="40" t="s">
        <v>11404</v>
      </c>
      <c r="H5335" s="40" t="s">
        <v>11404</v>
      </c>
    </row>
    <row r="5336">
      <c r="A5336" s="39"/>
      <c r="E5336" s="40" t="s">
        <v>11404</v>
      </c>
      <c r="F5336" s="40" t="s">
        <v>11404</v>
      </c>
      <c r="G5336" s="40" t="s">
        <v>11404</v>
      </c>
      <c r="H5336" s="40" t="s">
        <v>11404</v>
      </c>
    </row>
    <row r="5337">
      <c r="A5337" s="39"/>
      <c r="E5337" s="40" t="s">
        <v>11404</v>
      </c>
      <c r="F5337" s="40" t="s">
        <v>11404</v>
      </c>
      <c r="G5337" s="40" t="s">
        <v>11404</v>
      </c>
      <c r="H5337" s="40" t="s">
        <v>11404</v>
      </c>
    </row>
    <row r="5338">
      <c r="A5338" s="39"/>
      <c r="E5338" s="40" t="s">
        <v>11404</v>
      </c>
      <c r="F5338" s="40" t="s">
        <v>11404</v>
      </c>
      <c r="G5338" s="40" t="s">
        <v>11404</v>
      </c>
      <c r="H5338" s="40" t="s">
        <v>11404</v>
      </c>
    </row>
    <row r="5339">
      <c r="A5339" s="39"/>
      <c r="E5339" s="40" t="s">
        <v>11404</v>
      </c>
      <c r="F5339" s="40" t="s">
        <v>11404</v>
      </c>
      <c r="G5339" s="40" t="s">
        <v>11404</v>
      </c>
      <c r="H5339" s="40" t="s">
        <v>11404</v>
      </c>
    </row>
    <row r="5340">
      <c r="A5340" s="39"/>
      <c r="E5340" s="40" t="s">
        <v>11404</v>
      </c>
      <c r="F5340" s="40" t="s">
        <v>11404</v>
      </c>
      <c r="G5340" s="40" t="s">
        <v>11404</v>
      </c>
      <c r="H5340" s="40" t="s">
        <v>11404</v>
      </c>
    </row>
    <row r="5341">
      <c r="A5341" s="39"/>
      <c r="E5341" s="40" t="s">
        <v>11404</v>
      </c>
      <c r="F5341" s="40" t="s">
        <v>11404</v>
      </c>
      <c r="G5341" s="40" t="s">
        <v>11404</v>
      </c>
      <c r="H5341" s="40" t="s">
        <v>11404</v>
      </c>
    </row>
    <row r="5342">
      <c r="A5342" s="39"/>
      <c r="E5342" s="40" t="s">
        <v>11404</v>
      </c>
      <c r="F5342" s="40" t="s">
        <v>11404</v>
      </c>
      <c r="G5342" s="40" t="s">
        <v>11404</v>
      </c>
      <c r="H5342" s="40" t="s">
        <v>11404</v>
      </c>
    </row>
    <row r="5343">
      <c r="A5343" s="39"/>
      <c r="E5343" s="40" t="s">
        <v>11404</v>
      </c>
      <c r="F5343" s="40" t="s">
        <v>11404</v>
      </c>
      <c r="G5343" s="40" t="s">
        <v>11404</v>
      </c>
      <c r="H5343" s="40" t="s">
        <v>11404</v>
      </c>
    </row>
    <row r="5344">
      <c r="A5344" s="39"/>
      <c r="E5344" s="40" t="s">
        <v>11404</v>
      </c>
      <c r="F5344" s="40" t="s">
        <v>11404</v>
      </c>
      <c r="G5344" s="40" t="s">
        <v>11404</v>
      </c>
      <c r="H5344" s="40" t="s">
        <v>11404</v>
      </c>
    </row>
    <row r="5345">
      <c r="A5345" s="39"/>
      <c r="E5345" s="40" t="s">
        <v>11404</v>
      </c>
      <c r="F5345" s="40" t="s">
        <v>11404</v>
      </c>
      <c r="G5345" s="40" t="s">
        <v>11404</v>
      </c>
      <c r="H5345" s="40" t="s">
        <v>11404</v>
      </c>
    </row>
    <row r="5346">
      <c r="A5346" s="39"/>
      <c r="E5346" s="40" t="s">
        <v>11404</v>
      </c>
      <c r="F5346" s="40" t="s">
        <v>11404</v>
      </c>
      <c r="G5346" s="40" t="s">
        <v>11404</v>
      </c>
      <c r="H5346" s="40" t="s">
        <v>11404</v>
      </c>
    </row>
    <row r="5347">
      <c r="A5347" s="39"/>
      <c r="E5347" s="40" t="s">
        <v>11404</v>
      </c>
      <c r="F5347" s="40" t="s">
        <v>11404</v>
      </c>
      <c r="G5347" s="40" t="s">
        <v>11404</v>
      </c>
      <c r="H5347" s="40" t="s">
        <v>11404</v>
      </c>
    </row>
    <row r="5348">
      <c r="A5348" s="39"/>
      <c r="E5348" s="40" t="s">
        <v>11404</v>
      </c>
      <c r="F5348" s="40" t="s">
        <v>11404</v>
      </c>
      <c r="G5348" s="40" t="s">
        <v>11404</v>
      </c>
      <c r="H5348" s="40" t="s">
        <v>11404</v>
      </c>
    </row>
    <row r="5349">
      <c r="A5349" s="39"/>
      <c r="E5349" s="40" t="s">
        <v>11404</v>
      </c>
      <c r="F5349" s="40" t="s">
        <v>11404</v>
      </c>
      <c r="G5349" s="40" t="s">
        <v>11404</v>
      </c>
      <c r="H5349" s="40" t="s">
        <v>11404</v>
      </c>
    </row>
    <row r="5350">
      <c r="A5350" s="39"/>
      <c r="E5350" s="40" t="s">
        <v>11404</v>
      </c>
      <c r="F5350" s="40" t="s">
        <v>11404</v>
      </c>
      <c r="G5350" s="40" t="s">
        <v>11404</v>
      </c>
      <c r="H5350" s="40" t="s">
        <v>11404</v>
      </c>
    </row>
    <row r="5351">
      <c r="A5351" s="39"/>
      <c r="E5351" s="40" t="s">
        <v>11404</v>
      </c>
      <c r="F5351" s="40" t="s">
        <v>11404</v>
      </c>
      <c r="G5351" s="40" t="s">
        <v>11404</v>
      </c>
      <c r="H5351" s="40" t="s">
        <v>11404</v>
      </c>
    </row>
    <row r="5352">
      <c r="A5352" s="39"/>
      <c r="E5352" s="40" t="s">
        <v>11404</v>
      </c>
      <c r="F5352" s="40" t="s">
        <v>11404</v>
      </c>
      <c r="G5352" s="40" t="s">
        <v>11404</v>
      </c>
      <c r="H5352" s="40" t="s">
        <v>11404</v>
      </c>
    </row>
    <row r="5353">
      <c r="A5353" s="39"/>
      <c r="E5353" s="40" t="s">
        <v>11404</v>
      </c>
      <c r="F5353" s="40" t="s">
        <v>11404</v>
      </c>
      <c r="G5353" s="40" t="s">
        <v>11404</v>
      </c>
      <c r="H5353" s="40" t="s">
        <v>11404</v>
      </c>
    </row>
    <row r="5354">
      <c r="A5354" s="39"/>
      <c r="E5354" s="40" t="s">
        <v>11404</v>
      </c>
      <c r="F5354" s="40" t="s">
        <v>11404</v>
      </c>
      <c r="G5354" s="40" t="s">
        <v>11404</v>
      </c>
      <c r="H5354" s="40" t="s">
        <v>11404</v>
      </c>
    </row>
    <row r="5355">
      <c r="A5355" s="39"/>
      <c r="E5355" s="40" t="s">
        <v>11404</v>
      </c>
      <c r="F5355" s="40" t="s">
        <v>11404</v>
      </c>
      <c r="G5355" s="40" t="s">
        <v>11404</v>
      </c>
      <c r="H5355" s="40" t="s">
        <v>11404</v>
      </c>
    </row>
    <row r="5356">
      <c r="A5356" s="39"/>
      <c r="E5356" s="40" t="s">
        <v>11404</v>
      </c>
      <c r="F5356" s="40" t="s">
        <v>11404</v>
      </c>
      <c r="G5356" s="40" t="s">
        <v>11404</v>
      </c>
      <c r="H5356" s="40" t="s">
        <v>11404</v>
      </c>
    </row>
    <row r="5357">
      <c r="A5357" s="39"/>
      <c r="E5357" s="40" t="s">
        <v>11404</v>
      </c>
      <c r="F5357" s="40" t="s">
        <v>11404</v>
      </c>
      <c r="G5357" s="40" t="s">
        <v>11404</v>
      </c>
      <c r="H5357" s="40" t="s">
        <v>11404</v>
      </c>
    </row>
    <row r="5358">
      <c r="A5358" s="39"/>
      <c r="E5358" s="40" t="s">
        <v>11404</v>
      </c>
      <c r="F5358" s="40" t="s">
        <v>11404</v>
      </c>
      <c r="G5358" s="40" t="s">
        <v>11404</v>
      </c>
      <c r="H5358" s="40" t="s">
        <v>11404</v>
      </c>
    </row>
    <row r="5359">
      <c r="A5359" s="39"/>
      <c r="E5359" s="40" t="s">
        <v>11404</v>
      </c>
      <c r="F5359" s="40" t="s">
        <v>11404</v>
      </c>
      <c r="G5359" s="40" t="s">
        <v>11404</v>
      </c>
      <c r="H5359" s="40" t="s">
        <v>11404</v>
      </c>
    </row>
    <row r="5360">
      <c r="A5360" s="39"/>
      <c r="E5360" s="40" t="s">
        <v>11404</v>
      </c>
      <c r="F5360" s="40" t="s">
        <v>11404</v>
      </c>
      <c r="G5360" s="40" t="s">
        <v>11404</v>
      </c>
      <c r="H5360" s="40" t="s">
        <v>11404</v>
      </c>
    </row>
    <row r="5361">
      <c r="A5361" s="39"/>
      <c r="E5361" s="40" t="s">
        <v>11404</v>
      </c>
      <c r="F5361" s="40" t="s">
        <v>11404</v>
      </c>
      <c r="G5361" s="40" t="s">
        <v>11404</v>
      </c>
      <c r="H5361" s="40" t="s">
        <v>11404</v>
      </c>
    </row>
    <row r="5362">
      <c r="A5362" s="39"/>
      <c r="E5362" s="40" t="s">
        <v>11404</v>
      </c>
      <c r="F5362" s="40" t="s">
        <v>11404</v>
      </c>
      <c r="G5362" s="40" t="s">
        <v>11404</v>
      </c>
      <c r="H5362" s="40" t="s">
        <v>11404</v>
      </c>
    </row>
    <row r="5363">
      <c r="A5363" s="39"/>
      <c r="E5363" s="40" t="s">
        <v>11404</v>
      </c>
      <c r="F5363" s="40" t="s">
        <v>11404</v>
      </c>
      <c r="G5363" s="40" t="s">
        <v>11404</v>
      </c>
      <c r="H5363" s="40" t="s">
        <v>11404</v>
      </c>
    </row>
    <row r="5364">
      <c r="A5364" s="39"/>
      <c r="E5364" s="40" t="s">
        <v>11404</v>
      </c>
      <c r="F5364" s="40" t="s">
        <v>11404</v>
      </c>
      <c r="G5364" s="40" t="s">
        <v>11404</v>
      </c>
      <c r="H5364" s="40" t="s">
        <v>11404</v>
      </c>
    </row>
    <row r="5365">
      <c r="A5365" s="39"/>
      <c r="E5365" s="40" t="s">
        <v>11404</v>
      </c>
      <c r="F5365" s="40" t="s">
        <v>11404</v>
      </c>
      <c r="G5365" s="40" t="s">
        <v>11404</v>
      </c>
      <c r="H5365" s="40" t="s">
        <v>11404</v>
      </c>
    </row>
    <row r="5366">
      <c r="A5366" s="39"/>
      <c r="E5366" s="40" t="s">
        <v>11404</v>
      </c>
      <c r="F5366" s="40" t="s">
        <v>11404</v>
      </c>
      <c r="G5366" s="40" t="s">
        <v>11404</v>
      </c>
      <c r="H5366" s="40" t="s">
        <v>11404</v>
      </c>
    </row>
    <row r="5367">
      <c r="A5367" s="39"/>
      <c r="E5367" s="40" t="s">
        <v>11404</v>
      </c>
      <c r="F5367" s="40" t="s">
        <v>11404</v>
      </c>
      <c r="G5367" s="40" t="s">
        <v>11404</v>
      </c>
      <c r="H5367" s="40" t="s">
        <v>11404</v>
      </c>
    </row>
    <row r="5368">
      <c r="A5368" s="39"/>
      <c r="E5368" s="40" t="s">
        <v>11404</v>
      </c>
      <c r="F5368" s="40" t="s">
        <v>11404</v>
      </c>
      <c r="G5368" s="40" t="s">
        <v>11404</v>
      </c>
      <c r="H5368" s="40" t="s">
        <v>11404</v>
      </c>
    </row>
    <row r="5369">
      <c r="A5369" s="39"/>
      <c r="E5369" s="40" t="s">
        <v>11404</v>
      </c>
      <c r="F5369" s="40" t="s">
        <v>11404</v>
      </c>
      <c r="G5369" s="40" t="s">
        <v>11404</v>
      </c>
      <c r="H5369" s="40" t="s">
        <v>11404</v>
      </c>
    </row>
    <row r="5370">
      <c r="A5370" s="39"/>
      <c r="E5370" s="40" t="s">
        <v>11404</v>
      </c>
      <c r="F5370" s="40" t="s">
        <v>11404</v>
      </c>
      <c r="G5370" s="40" t="s">
        <v>11404</v>
      </c>
      <c r="H5370" s="40" t="s">
        <v>11404</v>
      </c>
    </row>
    <row r="5371">
      <c r="A5371" s="39"/>
      <c r="E5371" s="40" t="s">
        <v>11404</v>
      </c>
      <c r="F5371" s="40" t="s">
        <v>11404</v>
      </c>
      <c r="G5371" s="40" t="s">
        <v>11404</v>
      </c>
      <c r="H5371" s="40" t="s">
        <v>11404</v>
      </c>
    </row>
    <row r="5372">
      <c r="A5372" s="39"/>
      <c r="E5372" s="40" t="s">
        <v>11404</v>
      </c>
      <c r="F5372" s="40" t="s">
        <v>11404</v>
      </c>
      <c r="G5372" s="40" t="s">
        <v>11404</v>
      </c>
      <c r="H5372" s="40" t="s">
        <v>11404</v>
      </c>
    </row>
    <row r="5373">
      <c r="A5373" s="39"/>
      <c r="E5373" s="40" t="s">
        <v>11404</v>
      </c>
      <c r="F5373" s="40" t="s">
        <v>11404</v>
      </c>
      <c r="G5373" s="40" t="s">
        <v>11404</v>
      </c>
      <c r="H5373" s="40" t="s">
        <v>11404</v>
      </c>
    </row>
    <row r="5374">
      <c r="A5374" s="39"/>
      <c r="E5374" s="40" t="s">
        <v>11404</v>
      </c>
      <c r="F5374" s="40" t="s">
        <v>11404</v>
      </c>
      <c r="G5374" s="40" t="s">
        <v>11404</v>
      </c>
      <c r="H5374" s="40" t="s">
        <v>11404</v>
      </c>
    </row>
    <row r="5375">
      <c r="A5375" s="39"/>
      <c r="E5375" s="40" t="s">
        <v>11404</v>
      </c>
      <c r="F5375" s="40" t="s">
        <v>11404</v>
      </c>
      <c r="G5375" s="40" t="s">
        <v>11404</v>
      </c>
      <c r="H5375" s="40" t="s">
        <v>11404</v>
      </c>
    </row>
    <row r="5376">
      <c r="A5376" s="39"/>
      <c r="E5376" s="40" t="s">
        <v>11404</v>
      </c>
      <c r="F5376" s="40" t="s">
        <v>11404</v>
      </c>
      <c r="G5376" s="40" t="s">
        <v>11404</v>
      </c>
      <c r="H5376" s="40" t="s">
        <v>11404</v>
      </c>
    </row>
    <row r="5377">
      <c r="A5377" s="39"/>
      <c r="E5377" s="40" t="s">
        <v>11404</v>
      </c>
      <c r="F5377" s="40" t="s">
        <v>11404</v>
      </c>
      <c r="G5377" s="40" t="s">
        <v>11404</v>
      </c>
      <c r="H5377" s="40" t="s">
        <v>11404</v>
      </c>
    </row>
    <row r="5378">
      <c r="A5378" s="39"/>
      <c r="E5378" s="40" t="s">
        <v>11404</v>
      </c>
      <c r="F5378" s="40" t="s">
        <v>11404</v>
      </c>
      <c r="G5378" s="40" t="s">
        <v>11404</v>
      </c>
      <c r="H5378" s="40" t="s">
        <v>11404</v>
      </c>
    </row>
    <row r="5379">
      <c r="A5379" s="39"/>
      <c r="E5379" s="40" t="s">
        <v>11404</v>
      </c>
      <c r="F5379" s="40" t="s">
        <v>11404</v>
      </c>
      <c r="G5379" s="40" t="s">
        <v>11404</v>
      </c>
      <c r="H5379" s="40" t="s">
        <v>11404</v>
      </c>
    </row>
    <row r="5380">
      <c r="A5380" s="39"/>
      <c r="E5380" s="40" t="s">
        <v>11404</v>
      </c>
      <c r="F5380" s="40" t="s">
        <v>11404</v>
      </c>
      <c r="G5380" s="40" t="s">
        <v>11404</v>
      </c>
      <c r="H5380" s="40" t="s">
        <v>11404</v>
      </c>
    </row>
    <row r="5381">
      <c r="A5381" s="39"/>
      <c r="E5381" s="40" t="s">
        <v>11404</v>
      </c>
      <c r="F5381" s="40" t="s">
        <v>11404</v>
      </c>
      <c r="G5381" s="40" t="s">
        <v>11404</v>
      </c>
      <c r="H5381" s="40" t="s">
        <v>11404</v>
      </c>
    </row>
    <row r="5382">
      <c r="A5382" s="39"/>
      <c r="E5382" s="40" t="s">
        <v>11404</v>
      </c>
      <c r="F5382" s="40" t="s">
        <v>11404</v>
      </c>
      <c r="G5382" s="40" t="s">
        <v>11404</v>
      </c>
      <c r="H5382" s="40" t="s">
        <v>11404</v>
      </c>
    </row>
    <row r="5383">
      <c r="A5383" s="39"/>
      <c r="E5383" s="40" t="s">
        <v>11404</v>
      </c>
      <c r="F5383" s="40" t="s">
        <v>11404</v>
      </c>
      <c r="G5383" s="40" t="s">
        <v>11404</v>
      </c>
      <c r="H5383" s="40" t="s">
        <v>11404</v>
      </c>
    </row>
    <row r="5384">
      <c r="A5384" s="39"/>
      <c r="E5384" s="40" t="s">
        <v>11404</v>
      </c>
      <c r="F5384" s="40" t="s">
        <v>11404</v>
      </c>
      <c r="G5384" s="40" t="s">
        <v>11404</v>
      </c>
      <c r="H5384" s="40" t="s">
        <v>11404</v>
      </c>
    </row>
    <row r="5385">
      <c r="A5385" s="39"/>
      <c r="E5385" s="40" t="s">
        <v>11404</v>
      </c>
      <c r="F5385" s="40" t="s">
        <v>11404</v>
      </c>
      <c r="G5385" s="40" t="s">
        <v>11404</v>
      </c>
      <c r="H5385" s="40" t="s">
        <v>11404</v>
      </c>
    </row>
    <row r="5386">
      <c r="A5386" s="39"/>
      <c r="E5386" s="40" t="s">
        <v>11404</v>
      </c>
      <c r="F5386" s="40" t="s">
        <v>11404</v>
      </c>
      <c r="G5386" s="40" t="s">
        <v>11404</v>
      </c>
      <c r="H5386" s="40" t="s">
        <v>11404</v>
      </c>
    </row>
    <row r="5387">
      <c r="A5387" s="39"/>
      <c r="E5387" s="40" t="s">
        <v>11404</v>
      </c>
      <c r="F5387" s="40" t="s">
        <v>11404</v>
      </c>
      <c r="G5387" s="40" t="s">
        <v>11404</v>
      </c>
      <c r="H5387" s="40" t="s">
        <v>11404</v>
      </c>
    </row>
    <row r="5388">
      <c r="A5388" s="39"/>
      <c r="E5388" s="40" t="s">
        <v>11404</v>
      </c>
      <c r="F5388" s="40" t="s">
        <v>11404</v>
      </c>
      <c r="G5388" s="40" t="s">
        <v>11404</v>
      </c>
      <c r="H5388" s="40" t="s">
        <v>11404</v>
      </c>
    </row>
    <row r="5389">
      <c r="A5389" s="39"/>
      <c r="E5389" s="40" t="s">
        <v>11404</v>
      </c>
      <c r="F5389" s="40" t="s">
        <v>11404</v>
      </c>
      <c r="G5389" s="40" t="s">
        <v>11404</v>
      </c>
      <c r="H5389" s="40" t="s">
        <v>11404</v>
      </c>
    </row>
    <row r="5390">
      <c r="A5390" s="39"/>
      <c r="E5390" s="40" t="s">
        <v>11404</v>
      </c>
      <c r="F5390" s="40" t="s">
        <v>11404</v>
      </c>
      <c r="G5390" s="40" t="s">
        <v>11404</v>
      </c>
      <c r="H5390" s="40" t="s">
        <v>11404</v>
      </c>
    </row>
    <row r="5391">
      <c r="A5391" s="39"/>
      <c r="E5391" s="40" t="s">
        <v>11404</v>
      </c>
      <c r="F5391" s="40" t="s">
        <v>11404</v>
      </c>
      <c r="G5391" s="40" t="s">
        <v>11404</v>
      </c>
      <c r="H5391" s="40" t="s">
        <v>11404</v>
      </c>
    </row>
    <row r="5392">
      <c r="A5392" s="39"/>
      <c r="E5392" s="40" t="s">
        <v>11404</v>
      </c>
      <c r="F5392" s="40" t="s">
        <v>11404</v>
      </c>
      <c r="G5392" s="40" t="s">
        <v>11404</v>
      </c>
      <c r="H5392" s="40" t="s">
        <v>11404</v>
      </c>
    </row>
    <row r="5393">
      <c r="A5393" s="39"/>
      <c r="E5393" s="40" t="s">
        <v>11404</v>
      </c>
      <c r="F5393" s="40" t="s">
        <v>11404</v>
      </c>
      <c r="G5393" s="40" t="s">
        <v>11404</v>
      </c>
      <c r="H5393" s="40" t="s">
        <v>11404</v>
      </c>
    </row>
    <row r="5394">
      <c r="A5394" s="39"/>
      <c r="E5394" s="40" t="s">
        <v>11404</v>
      </c>
      <c r="F5394" s="40" t="s">
        <v>11404</v>
      </c>
      <c r="G5394" s="40" t="s">
        <v>11404</v>
      </c>
      <c r="H5394" s="40" t="s">
        <v>11404</v>
      </c>
    </row>
    <row r="5395">
      <c r="A5395" s="39"/>
      <c r="E5395" s="40" t="s">
        <v>11404</v>
      </c>
      <c r="F5395" s="40" t="s">
        <v>11404</v>
      </c>
      <c r="G5395" s="40" t="s">
        <v>11404</v>
      </c>
      <c r="H5395" s="40" t="s">
        <v>11404</v>
      </c>
    </row>
    <row r="5396">
      <c r="A5396" s="39"/>
      <c r="E5396" s="40" t="s">
        <v>11404</v>
      </c>
      <c r="F5396" s="40" t="s">
        <v>11404</v>
      </c>
      <c r="G5396" s="40" t="s">
        <v>11404</v>
      </c>
      <c r="H5396" s="40" t="s">
        <v>11404</v>
      </c>
    </row>
    <row r="5397">
      <c r="A5397" s="39"/>
      <c r="E5397" s="40" t="s">
        <v>11404</v>
      </c>
      <c r="F5397" s="40" t="s">
        <v>11404</v>
      </c>
      <c r="G5397" s="40" t="s">
        <v>11404</v>
      </c>
      <c r="H5397" s="40" t="s">
        <v>11404</v>
      </c>
    </row>
    <row r="5398">
      <c r="A5398" s="39"/>
      <c r="E5398" s="40" t="s">
        <v>11404</v>
      </c>
      <c r="F5398" s="40" t="s">
        <v>11404</v>
      </c>
      <c r="G5398" s="40" t="s">
        <v>11404</v>
      </c>
      <c r="H5398" s="40" t="s">
        <v>11404</v>
      </c>
    </row>
    <row r="5399">
      <c r="A5399" s="39"/>
      <c r="E5399" s="40" t="s">
        <v>11404</v>
      </c>
      <c r="F5399" s="40" t="s">
        <v>11404</v>
      </c>
      <c r="G5399" s="40" t="s">
        <v>11404</v>
      </c>
      <c r="H5399" s="40" t="s">
        <v>11404</v>
      </c>
    </row>
    <row r="5400">
      <c r="A5400" s="39"/>
      <c r="E5400" s="40" t="s">
        <v>11404</v>
      </c>
      <c r="F5400" s="40" t="s">
        <v>11404</v>
      </c>
      <c r="G5400" s="40" t="s">
        <v>11404</v>
      </c>
      <c r="H5400" s="40" t="s">
        <v>11404</v>
      </c>
    </row>
    <row r="5401">
      <c r="A5401" s="39"/>
      <c r="E5401" s="40" t="s">
        <v>11404</v>
      </c>
      <c r="F5401" s="40" t="s">
        <v>11404</v>
      </c>
      <c r="G5401" s="40" t="s">
        <v>11404</v>
      </c>
      <c r="H5401" s="40" t="s">
        <v>11404</v>
      </c>
    </row>
    <row r="5402">
      <c r="A5402" s="39"/>
      <c r="E5402" s="40" t="s">
        <v>11404</v>
      </c>
      <c r="F5402" s="40" t="s">
        <v>11404</v>
      </c>
      <c r="G5402" s="40" t="s">
        <v>11404</v>
      </c>
      <c r="H5402" s="40" t="s">
        <v>11404</v>
      </c>
    </row>
    <row r="5403">
      <c r="A5403" s="39"/>
      <c r="E5403" s="40" t="s">
        <v>11404</v>
      </c>
      <c r="F5403" s="40" t="s">
        <v>11404</v>
      </c>
      <c r="G5403" s="40" t="s">
        <v>11404</v>
      </c>
      <c r="H5403" s="40" t="s">
        <v>11404</v>
      </c>
    </row>
    <row r="5404">
      <c r="A5404" s="39"/>
      <c r="E5404" s="40" t="s">
        <v>11404</v>
      </c>
      <c r="F5404" s="40" t="s">
        <v>11404</v>
      </c>
      <c r="G5404" s="40" t="s">
        <v>11404</v>
      </c>
      <c r="H5404" s="40" t="s">
        <v>11404</v>
      </c>
    </row>
    <row r="5405">
      <c r="A5405" s="39"/>
      <c r="E5405" s="40" t="s">
        <v>11404</v>
      </c>
      <c r="F5405" s="40" t="s">
        <v>11404</v>
      </c>
      <c r="G5405" s="40" t="s">
        <v>11404</v>
      </c>
      <c r="H5405" s="40" t="s">
        <v>11404</v>
      </c>
    </row>
    <row r="5406">
      <c r="A5406" s="39"/>
      <c r="E5406" s="40" t="s">
        <v>11404</v>
      </c>
      <c r="F5406" s="40" t="s">
        <v>11404</v>
      </c>
      <c r="G5406" s="40" t="s">
        <v>11404</v>
      </c>
      <c r="H5406" s="40" t="s">
        <v>11404</v>
      </c>
    </row>
    <row r="5407">
      <c r="A5407" s="39"/>
      <c r="E5407" s="40" t="s">
        <v>11404</v>
      </c>
      <c r="F5407" s="40" t="s">
        <v>11404</v>
      </c>
      <c r="G5407" s="40" t="s">
        <v>11404</v>
      </c>
      <c r="H5407" s="40" t="s">
        <v>11404</v>
      </c>
    </row>
    <row r="5408">
      <c r="A5408" s="39"/>
      <c r="E5408" s="40" t="s">
        <v>11404</v>
      </c>
      <c r="F5408" s="40" t="s">
        <v>11404</v>
      </c>
      <c r="G5408" s="40" t="s">
        <v>11404</v>
      </c>
      <c r="H5408" s="40" t="s">
        <v>11404</v>
      </c>
    </row>
    <row r="5409">
      <c r="A5409" s="39"/>
      <c r="E5409" s="40" t="s">
        <v>11404</v>
      </c>
      <c r="F5409" s="40" t="s">
        <v>11404</v>
      </c>
      <c r="G5409" s="40" t="s">
        <v>11404</v>
      </c>
      <c r="H5409" s="40" t="s">
        <v>11404</v>
      </c>
    </row>
    <row r="5410">
      <c r="A5410" s="39"/>
      <c r="E5410" s="40" t="s">
        <v>11404</v>
      </c>
      <c r="F5410" s="40" t="s">
        <v>11404</v>
      </c>
      <c r="G5410" s="40" t="s">
        <v>11404</v>
      </c>
      <c r="H5410" s="40" t="s">
        <v>11404</v>
      </c>
    </row>
    <row r="5411">
      <c r="A5411" s="39"/>
      <c r="E5411" s="40" t="s">
        <v>11404</v>
      </c>
      <c r="F5411" s="40" t="s">
        <v>11404</v>
      </c>
      <c r="G5411" s="40" t="s">
        <v>11404</v>
      </c>
      <c r="H5411" s="40" t="s">
        <v>11404</v>
      </c>
    </row>
    <row r="5412">
      <c r="A5412" s="39"/>
      <c r="E5412" s="40" t="s">
        <v>11404</v>
      </c>
      <c r="F5412" s="40" t="s">
        <v>11404</v>
      </c>
      <c r="G5412" s="40" t="s">
        <v>11404</v>
      </c>
      <c r="H5412" s="40" t="s">
        <v>11404</v>
      </c>
    </row>
    <row r="5413">
      <c r="A5413" s="39"/>
      <c r="E5413" s="40" t="s">
        <v>11404</v>
      </c>
      <c r="F5413" s="40" t="s">
        <v>11404</v>
      </c>
      <c r="G5413" s="40" t="s">
        <v>11404</v>
      </c>
      <c r="H5413" s="40" t="s">
        <v>11404</v>
      </c>
    </row>
    <row r="5414">
      <c r="A5414" s="39"/>
      <c r="E5414" s="40" t="s">
        <v>11404</v>
      </c>
      <c r="F5414" s="40" t="s">
        <v>11404</v>
      </c>
      <c r="G5414" s="40" t="s">
        <v>11404</v>
      </c>
      <c r="H5414" s="40" t="s">
        <v>11404</v>
      </c>
    </row>
    <row r="5415">
      <c r="A5415" s="39"/>
      <c r="E5415" s="40" t="s">
        <v>11404</v>
      </c>
      <c r="F5415" s="40" t="s">
        <v>11404</v>
      </c>
      <c r="G5415" s="40" t="s">
        <v>11404</v>
      </c>
      <c r="H5415" s="40" t="s">
        <v>11404</v>
      </c>
    </row>
    <row r="5416">
      <c r="A5416" s="39"/>
      <c r="E5416" s="40" t="s">
        <v>11404</v>
      </c>
      <c r="F5416" s="40" t="s">
        <v>11404</v>
      </c>
      <c r="G5416" s="40" t="s">
        <v>11404</v>
      </c>
      <c r="H5416" s="40" t="s">
        <v>11404</v>
      </c>
    </row>
    <row r="5417">
      <c r="A5417" s="39"/>
      <c r="E5417" s="40" t="s">
        <v>11404</v>
      </c>
      <c r="F5417" s="40" t="s">
        <v>11404</v>
      </c>
      <c r="G5417" s="40" t="s">
        <v>11404</v>
      </c>
      <c r="H5417" s="40" t="s">
        <v>11404</v>
      </c>
    </row>
    <row r="5418">
      <c r="A5418" s="39"/>
      <c r="E5418" s="40" t="s">
        <v>11404</v>
      </c>
      <c r="F5418" s="40" t="s">
        <v>11404</v>
      </c>
      <c r="G5418" s="40" t="s">
        <v>11404</v>
      </c>
      <c r="H5418" s="40" t="s">
        <v>11404</v>
      </c>
    </row>
    <row r="5419">
      <c r="A5419" s="39"/>
      <c r="E5419" s="40" t="s">
        <v>11404</v>
      </c>
      <c r="F5419" s="40" t="s">
        <v>11404</v>
      </c>
      <c r="G5419" s="40" t="s">
        <v>11404</v>
      </c>
      <c r="H5419" s="40" t="s">
        <v>11404</v>
      </c>
    </row>
    <row r="5420">
      <c r="A5420" s="39"/>
      <c r="E5420" s="40" t="s">
        <v>11404</v>
      </c>
      <c r="F5420" s="40" t="s">
        <v>11404</v>
      </c>
      <c r="G5420" s="40" t="s">
        <v>11404</v>
      </c>
      <c r="H5420" s="40" t="s">
        <v>11404</v>
      </c>
    </row>
    <row r="5421">
      <c r="A5421" s="39"/>
      <c r="E5421" s="40" t="s">
        <v>11404</v>
      </c>
      <c r="F5421" s="40" t="s">
        <v>11404</v>
      </c>
      <c r="G5421" s="40" t="s">
        <v>11404</v>
      </c>
      <c r="H5421" s="40" t="s">
        <v>11404</v>
      </c>
    </row>
    <row r="5422">
      <c r="A5422" s="39"/>
      <c r="E5422" s="40" t="s">
        <v>11404</v>
      </c>
      <c r="F5422" s="40" t="s">
        <v>11404</v>
      </c>
      <c r="G5422" s="40" t="s">
        <v>11404</v>
      </c>
      <c r="H5422" s="40" t="s">
        <v>11404</v>
      </c>
    </row>
    <row r="5423">
      <c r="A5423" s="39"/>
      <c r="E5423" s="40" t="s">
        <v>11404</v>
      </c>
      <c r="F5423" s="40" t="s">
        <v>11404</v>
      </c>
      <c r="G5423" s="40" t="s">
        <v>11404</v>
      </c>
      <c r="H5423" s="40" t="s">
        <v>11404</v>
      </c>
    </row>
    <row r="5424">
      <c r="A5424" s="39"/>
      <c r="E5424" s="40" t="s">
        <v>11404</v>
      </c>
      <c r="F5424" s="40" t="s">
        <v>11404</v>
      </c>
      <c r="G5424" s="40" t="s">
        <v>11404</v>
      </c>
      <c r="H5424" s="40" t="s">
        <v>11404</v>
      </c>
    </row>
    <row r="5425">
      <c r="A5425" s="39"/>
      <c r="E5425" s="40" t="s">
        <v>11404</v>
      </c>
      <c r="F5425" s="40" t="s">
        <v>11404</v>
      </c>
      <c r="G5425" s="40" t="s">
        <v>11404</v>
      </c>
      <c r="H5425" s="40" t="s">
        <v>11404</v>
      </c>
    </row>
    <row r="5426">
      <c r="A5426" s="39"/>
      <c r="E5426" s="40" t="s">
        <v>11404</v>
      </c>
      <c r="F5426" s="40" t="s">
        <v>11404</v>
      </c>
      <c r="G5426" s="40" t="s">
        <v>11404</v>
      </c>
      <c r="H5426" s="40" t="s">
        <v>11404</v>
      </c>
    </row>
    <row r="5427">
      <c r="A5427" s="39"/>
      <c r="E5427" s="40" t="s">
        <v>11404</v>
      </c>
      <c r="F5427" s="40" t="s">
        <v>11404</v>
      </c>
      <c r="G5427" s="40" t="s">
        <v>11404</v>
      </c>
      <c r="H5427" s="40" t="s">
        <v>11404</v>
      </c>
    </row>
    <row r="5428">
      <c r="A5428" s="39"/>
      <c r="E5428" s="40" t="s">
        <v>11404</v>
      </c>
      <c r="F5428" s="40" t="s">
        <v>11404</v>
      </c>
      <c r="G5428" s="40" t="s">
        <v>11404</v>
      </c>
      <c r="H5428" s="40" t="s">
        <v>11404</v>
      </c>
    </row>
    <row r="5429">
      <c r="A5429" s="39"/>
      <c r="E5429" s="40" t="s">
        <v>11404</v>
      </c>
      <c r="F5429" s="40" t="s">
        <v>11404</v>
      </c>
      <c r="G5429" s="40" t="s">
        <v>11404</v>
      </c>
      <c r="H5429" s="40" t="s">
        <v>11404</v>
      </c>
    </row>
    <row r="5430">
      <c r="A5430" s="39"/>
      <c r="E5430" s="40" t="s">
        <v>11404</v>
      </c>
      <c r="F5430" s="40" t="s">
        <v>11404</v>
      </c>
      <c r="G5430" s="40" t="s">
        <v>11404</v>
      </c>
      <c r="H5430" s="40" t="s">
        <v>11404</v>
      </c>
    </row>
    <row r="5431">
      <c r="A5431" s="39"/>
      <c r="E5431" s="40" t="s">
        <v>11404</v>
      </c>
      <c r="F5431" s="40" t="s">
        <v>11404</v>
      </c>
      <c r="G5431" s="40" t="s">
        <v>11404</v>
      </c>
      <c r="H5431" s="40" t="s">
        <v>11404</v>
      </c>
    </row>
    <row r="5432">
      <c r="A5432" s="39"/>
      <c r="E5432" s="40" t="s">
        <v>11404</v>
      </c>
      <c r="F5432" s="40" t="s">
        <v>11404</v>
      </c>
      <c r="G5432" s="40" t="s">
        <v>11404</v>
      </c>
      <c r="H5432" s="40" t="s">
        <v>11404</v>
      </c>
    </row>
    <row r="5433">
      <c r="A5433" s="39"/>
      <c r="E5433" s="40" t="s">
        <v>11404</v>
      </c>
      <c r="F5433" s="40" t="s">
        <v>11404</v>
      </c>
      <c r="G5433" s="40" t="s">
        <v>11404</v>
      </c>
      <c r="H5433" s="40" t="s">
        <v>11404</v>
      </c>
    </row>
    <row r="5434">
      <c r="A5434" s="39"/>
      <c r="E5434" s="40" t="s">
        <v>11404</v>
      </c>
      <c r="F5434" s="40" t="s">
        <v>11404</v>
      </c>
      <c r="G5434" s="40" t="s">
        <v>11404</v>
      </c>
      <c r="H5434" s="40" t="s">
        <v>11404</v>
      </c>
    </row>
    <row r="5435">
      <c r="A5435" s="39"/>
      <c r="E5435" s="40" t="s">
        <v>11404</v>
      </c>
      <c r="F5435" s="40" t="s">
        <v>11404</v>
      </c>
      <c r="G5435" s="40" t="s">
        <v>11404</v>
      </c>
      <c r="H5435" s="40" t="s">
        <v>11404</v>
      </c>
    </row>
    <row r="5436">
      <c r="A5436" s="39"/>
      <c r="E5436" s="40" t="s">
        <v>11404</v>
      </c>
      <c r="F5436" s="40" t="s">
        <v>11404</v>
      </c>
      <c r="G5436" s="40" t="s">
        <v>11404</v>
      </c>
      <c r="H5436" s="40" t="s">
        <v>11404</v>
      </c>
    </row>
    <row r="5437">
      <c r="A5437" s="39"/>
      <c r="E5437" s="40" t="s">
        <v>11404</v>
      </c>
      <c r="F5437" s="40" t="s">
        <v>11404</v>
      </c>
      <c r="G5437" s="40" t="s">
        <v>11404</v>
      </c>
      <c r="H5437" s="40" t="s">
        <v>11404</v>
      </c>
    </row>
    <row r="5438">
      <c r="A5438" s="39"/>
      <c r="E5438" s="40" t="s">
        <v>11404</v>
      </c>
      <c r="F5438" s="40" t="s">
        <v>11404</v>
      </c>
      <c r="G5438" s="40" t="s">
        <v>11404</v>
      </c>
      <c r="H5438" s="40" t="s">
        <v>11404</v>
      </c>
    </row>
    <row r="5439">
      <c r="A5439" s="39"/>
      <c r="E5439" s="40" t="s">
        <v>11404</v>
      </c>
      <c r="F5439" s="40" t="s">
        <v>11404</v>
      </c>
      <c r="G5439" s="40" t="s">
        <v>11404</v>
      </c>
      <c r="H5439" s="40" t="s">
        <v>11404</v>
      </c>
    </row>
    <row r="5440">
      <c r="A5440" s="39"/>
      <c r="E5440" s="40" t="s">
        <v>11404</v>
      </c>
      <c r="F5440" s="40" t="s">
        <v>11404</v>
      </c>
      <c r="G5440" s="40" t="s">
        <v>11404</v>
      </c>
      <c r="H5440" s="40" t="s">
        <v>11404</v>
      </c>
    </row>
    <row r="5441">
      <c r="A5441" s="39"/>
      <c r="E5441" s="40" t="s">
        <v>11404</v>
      </c>
      <c r="F5441" s="40" t="s">
        <v>11404</v>
      </c>
      <c r="G5441" s="40" t="s">
        <v>11404</v>
      </c>
      <c r="H5441" s="40" t="s">
        <v>11404</v>
      </c>
    </row>
    <row r="5442">
      <c r="A5442" s="39"/>
      <c r="E5442" s="40" t="s">
        <v>11404</v>
      </c>
      <c r="F5442" s="40" t="s">
        <v>11404</v>
      </c>
      <c r="G5442" s="40" t="s">
        <v>11404</v>
      </c>
      <c r="H5442" s="40" t="s">
        <v>11404</v>
      </c>
    </row>
    <row r="5443">
      <c r="A5443" s="39"/>
      <c r="E5443" s="40" t="s">
        <v>11404</v>
      </c>
      <c r="F5443" s="40" t="s">
        <v>11404</v>
      </c>
      <c r="G5443" s="40" t="s">
        <v>11404</v>
      </c>
      <c r="H5443" s="40" t="s">
        <v>11404</v>
      </c>
    </row>
    <row r="5444">
      <c r="A5444" s="39"/>
      <c r="E5444" s="40" t="s">
        <v>11404</v>
      </c>
      <c r="F5444" s="40" t="s">
        <v>11404</v>
      </c>
      <c r="G5444" s="40" t="s">
        <v>11404</v>
      </c>
      <c r="H5444" s="40" t="s">
        <v>11404</v>
      </c>
    </row>
    <row r="5445">
      <c r="A5445" s="39"/>
      <c r="E5445" s="40" t="s">
        <v>11404</v>
      </c>
      <c r="F5445" s="40" t="s">
        <v>11404</v>
      </c>
      <c r="G5445" s="40" t="s">
        <v>11404</v>
      </c>
      <c r="H5445" s="40" t="s">
        <v>11404</v>
      </c>
    </row>
    <row r="5446">
      <c r="A5446" s="39"/>
      <c r="E5446" s="40" t="s">
        <v>11404</v>
      </c>
      <c r="F5446" s="40" t="s">
        <v>11404</v>
      </c>
      <c r="G5446" s="40" t="s">
        <v>11404</v>
      </c>
      <c r="H5446" s="40" t="s">
        <v>11404</v>
      </c>
    </row>
    <row r="5447">
      <c r="A5447" s="39"/>
      <c r="E5447" s="40" t="s">
        <v>11404</v>
      </c>
      <c r="F5447" s="40" t="s">
        <v>11404</v>
      </c>
      <c r="G5447" s="40" t="s">
        <v>11404</v>
      </c>
      <c r="H5447" s="40" t="s">
        <v>11404</v>
      </c>
    </row>
    <row r="5448">
      <c r="A5448" s="39"/>
      <c r="E5448" s="40" t="s">
        <v>11404</v>
      </c>
      <c r="F5448" s="40" t="s">
        <v>11404</v>
      </c>
      <c r="G5448" s="40" t="s">
        <v>11404</v>
      </c>
      <c r="H5448" s="40" t="s">
        <v>11404</v>
      </c>
    </row>
    <row r="5449">
      <c r="A5449" s="39"/>
      <c r="E5449" s="40" t="s">
        <v>11404</v>
      </c>
      <c r="F5449" s="40" t="s">
        <v>11404</v>
      </c>
      <c r="G5449" s="40" t="s">
        <v>11404</v>
      </c>
      <c r="H5449" s="40" t="s">
        <v>11404</v>
      </c>
    </row>
    <row r="5450">
      <c r="A5450" s="39"/>
      <c r="E5450" s="40" t="s">
        <v>11404</v>
      </c>
      <c r="F5450" s="40" t="s">
        <v>11404</v>
      </c>
      <c r="G5450" s="40" t="s">
        <v>11404</v>
      </c>
      <c r="H5450" s="40" t="s">
        <v>11404</v>
      </c>
    </row>
    <row r="5451">
      <c r="A5451" s="39"/>
      <c r="E5451" s="40" t="s">
        <v>11404</v>
      </c>
      <c r="F5451" s="40" t="s">
        <v>11404</v>
      </c>
      <c r="G5451" s="40" t="s">
        <v>11404</v>
      </c>
      <c r="H5451" s="40" t="s">
        <v>11404</v>
      </c>
    </row>
    <row r="5452">
      <c r="A5452" s="39"/>
      <c r="E5452" s="40" t="s">
        <v>11404</v>
      </c>
      <c r="F5452" s="40" t="s">
        <v>11404</v>
      </c>
      <c r="G5452" s="40" t="s">
        <v>11404</v>
      </c>
      <c r="H5452" s="40" t="s">
        <v>11404</v>
      </c>
    </row>
    <row r="5453">
      <c r="A5453" s="39"/>
      <c r="E5453" s="40" t="s">
        <v>11404</v>
      </c>
      <c r="F5453" s="40" t="s">
        <v>11404</v>
      </c>
      <c r="G5453" s="40" t="s">
        <v>11404</v>
      </c>
      <c r="H5453" s="40" t="s">
        <v>11404</v>
      </c>
    </row>
    <row r="5454">
      <c r="A5454" s="39"/>
      <c r="E5454" s="40" t="s">
        <v>11404</v>
      </c>
      <c r="F5454" s="40" t="s">
        <v>11404</v>
      </c>
      <c r="G5454" s="40" t="s">
        <v>11404</v>
      </c>
      <c r="H5454" s="40" t="s">
        <v>11404</v>
      </c>
    </row>
    <row r="5455">
      <c r="A5455" s="39"/>
      <c r="E5455" s="40" t="s">
        <v>11404</v>
      </c>
      <c r="F5455" s="40" t="s">
        <v>11404</v>
      </c>
      <c r="G5455" s="40" t="s">
        <v>11404</v>
      </c>
      <c r="H5455" s="40" t="s">
        <v>11404</v>
      </c>
    </row>
    <row r="5456">
      <c r="A5456" s="39"/>
      <c r="E5456" s="40" t="s">
        <v>11404</v>
      </c>
      <c r="F5456" s="40" t="s">
        <v>11404</v>
      </c>
      <c r="G5456" s="40" t="s">
        <v>11404</v>
      </c>
      <c r="H5456" s="40" t="s">
        <v>11404</v>
      </c>
    </row>
    <row r="5457">
      <c r="A5457" s="39"/>
      <c r="E5457" s="40" t="s">
        <v>11404</v>
      </c>
      <c r="F5457" s="40" t="s">
        <v>11404</v>
      </c>
      <c r="G5457" s="40" t="s">
        <v>11404</v>
      </c>
      <c r="H5457" s="40" t="s">
        <v>11404</v>
      </c>
    </row>
    <row r="5458">
      <c r="A5458" s="39"/>
      <c r="E5458" s="40" t="s">
        <v>11404</v>
      </c>
      <c r="F5458" s="40" t="s">
        <v>11404</v>
      </c>
      <c r="G5458" s="40" t="s">
        <v>11404</v>
      </c>
      <c r="H5458" s="40" t="s">
        <v>11404</v>
      </c>
    </row>
    <row r="5459">
      <c r="A5459" s="39"/>
      <c r="E5459" s="40" t="s">
        <v>11404</v>
      </c>
      <c r="F5459" s="40" t="s">
        <v>11404</v>
      </c>
      <c r="G5459" s="40" t="s">
        <v>11404</v>
      </c>
      <c r="H5459" s="40" t="s">
        <v>11404</v>
      </c>
    </row>
    <row r="5460">
      <c r="A5460" s="39"/>
      <c r="E5460" s="40" t="s">
        <v>11404</v>
      </c>
      <c r="F5460" s="40" t="s">
        <v>11404</v>
      </c>
      <c r="G5460" s="40" t="s">
        <v>11404</v>
      </c>
      <c r="H5460" s="40" t="s">
        <v>11404</v>
      </c>
    </row>
    <row r="5461">
      <c r="A5461" s="39"/>
      <c r="E5461" s="40" t="s">
        <v>11404</v>
      </c>
      <c r="F5461" s="40" t="s">
        <v>11404</v>
      </c>
      <c r="G5461" s="40" t="s">
        <v>11404</v>
      </c>
      <c r="H5461" s="40" t="s">
        <v>11404</v>
      </c>
    </row>
    <row r="5462">
      <c r="A5462" s="39"/>
      <c r="E5462" s="40" t="s">
        <v>11404</v>
      </c>
      <c r="F5462" s="40" t="s">
        <v>11404</v>
      </c>
      <c r="G5462" s="40" t="s">
        <v>11404</v>
      </c>
      <c r="H5462" s="40" t="s">
        <v>11404</v>
      </c>
    </row>
    <row r="5463">
      <c r="A5463" s="39"/>
      <c r="E5463" s="40" t="s">
        <v>11404</v>
      </c>
      <c r="F5463" s="40" t="s">
        <v>11404</v>
      </c>
      <c r="G5463" s="40" t="s">
        <v>11404</v>
      </c>
      <c r="H5463" s="40" t="s">
        <v>11404</v>
      </c>
    </row>
    <row r="5464">
      <c r="A5464" s="39"/>
      <c r="E5464" s="40" t="s">
        <v>11404</v>
      </c>
      <c r="F5464" s="40" t="s">
        <v>11404</v>
      </c>
      <c r="G5464" s="40" t="s">
        <v>11404</v>
      </c>
      <c r="H5464" s="40" t="s">
        <v>11404</v>
      </c>
    </row>
    <row r="5465">
      <c r="A5465" s="39"/>
      <c r="E5465" s="40" t="s">
        <v>11404</v>
      </c>
      <c r="F5465" s="40" t="s">
        <v>11404</v>
      </c>
      <c r="G5465" s="40" t="s">
        <v>11404</v>
      </c>
      <c r="H5465" s="40" t="s">
        <v>11404</v>
      </c>
    </row>
    <row r="5466">
      <c r="A5466" s="39"/>
      <c r="E5466" s="40" t="s">
        <v>11404</v>
      </c>
      <c r="F5466" s="40" t="s">
        <v>11404</v>
      </c>
      <c r="G5466" s="40" t="s">
        <v>11404</v>
      </c>
      <c r="H5466" s="40" t="s">
        <v>11404</v>
      </c>
    </row>
    <row r="5467">
      <c r="A5467" s="39"/>
      <c r="E5467" s="40" t="s">
        <v>11404</v>
      </c>
      <c r="F5467" s="40" t="s">
        <v>11404</v>
      </c>
      <c r="G5467" s="40" t="s">
        <v>11404</v>
      </c>
      <c r="H5467" s="40" t="s">
        <v>11404</v>
      </c>
    </row>
    <row r="5468">
      <c r="A5468" s="39"/>
      <c r="E5468" s="40" t="s">
        <v>11404</v>
      </c>
      <c r="F5468" s="40" t="s">
        <v>11404</v>
      </c>
      <c r="G5468" s="40" t="s">
        <v>11404</v>
      </c>
      <c r="H5468" s="40" t="s">
        <v>11404</v>
      </c>
    </row>
    <row r="5469">
      <c r="A5469" s="39"/>
      <c r="E5469" s="40" t="s">
        <v>11404</v>
      </c>
      <c r="F5469" s="40" t="s">
        <v>11404</v>
      </c>
      <c r="G5469" s="40" t="s">
        <v>11404</v>
      </c>
      <c r="H5469" s="40" t="s">
        <v>11404</v>
      </c>
    </row>
    <row r="5470">
      <c r="A5470" s="39"/>
      <c r="E5470" s="40" t="s">
        <v>11404</v>
      </c>
      <c r="F5470" s="40" t="s">
        <v>11404</v>
      </c>
      <c r="G5470" s="40" t="s">
        <v>11404</v>
      </c>
      <c r="H5470" s="40" t="s">
        <v>11404</v>
      </c>
    </row>
    <row r="5471">
      <c r="A5471" s="39"/>
      <c r="E5471" s="40" t="s">
        <v>11404</v>
      </c>
      <c r="F5471" s="40" t="s">
        <v>11404</v>
      </c>
      <c r="G5471" s="40" t="s">
        <v>11404</v>
      </c>
      <c r="H5471" s="40" t="s">
        <v>11404</v>
      </c>
    </row>
    <row r="5472">
      <c r="A5472" s="39"/>
      <c r="E5472" s="40" t="s">
        <v>11404</v>
      </c>
      <c r="F5472" s="40" t="s">
        <v>11404</v>
      </c>
      <c r="G5472" s="40" t="s">
        <v>11404</v>
      </c>
      <c r="H5472" s="40" t="s">
        <v>11404</v>
      </c>
    </row>
    <row r="5473">
      <c r="A5473" s="39"/>
      <c r="E5473" s="40" t="s">
        <v>11404</v>
      </c>
      <c r="F5473" s="40" t="s">
        <v>11404</v>
      </c>
      <c r="G5473" s="40" t="s">
        <v>11404</v>
      </c>
      <c r="H5473" s="40" t="s">
        <v>11404</v>
      </c>
    </row>
    <row r="5474">
      <c r="A5474" s="39"/>
      <c r="E5474" s="40" t="s">
        <v>11404</v>
      </c>
      <c r="F5474" s="40" t="s">
        <v>11404</v>
      </c>
      <c r="G5474" s="40" t="s">
        <v>11404</v>
      </c>
      <c r="H5474" s="40" t="s">
        <v>11404</v>
      </c>
    </row>
    <row r="5475">
      <c r="A5475" s="39"/>
      <c r="E5475" s="40" t="s">
        <v>11404</v>
      </c>
      <c r="F5475" s="40" t="s">
        <v>11404</v>
      </c>
      <c r="G5475" s="40" t="s">
        <v>11404</v>
      </c>
      <c r="H5475" s="40" t="s">
        <v>11404</v>
      </c>
    </row>
    <row r="5476">
      <c r="A5476" s="39"/>
      <c r="E5476" s="40" t="s">
        <v>11404</v>
      </c>
      <c r="F5476" s="40" t="s">
        <v>11404</v>
      </c>
      <c r="G5476" s="40" t="s">
        <v>11404</v>
      </c>
      <c r="H5476" s="40" t="s">
        <v>11404</v>
      </c>
    </row>
    <row r="5477">
      <c r="A5477" s="39"/>
      <c r="E5477" s="40" t="s">
        <v>11404</v>
      </c>
      <c r="F5477" s="40" t="s">
        <v>11404</v>
      </c>
      <c r="G5477" s="40" t="s">
        <v>11404</v>
      </c>
      <c r="H5477" s="40" t="s">
        <v>11404</v>
      </c>
    </row>
    <row r="5478">
      <c r="A5478" s="39"/>
      <c r="E5478" s="40" t="s">
        <v>11404</v>
      </c>
      <c r="F5478" s="40" t="s">
        <v>11404</v>
      </c>
      <c r="G5478" s="40" t="s">
        <v>11404</v>
      </c>
      <c r="H5478" s="40" t="s">
        <v>11404</v>
      </c>
    </row>
    <row r="5479">
      <c r="A5479" s="39"/>
      <c r="E5479" s="40" t="s">
        <v>11404</v>
      </c>
      <c r="F5479" s="40" t="s">
        <v>11404</v>
      </c>
      <c r="G5479" s="40" t="s">
        <v>11404</v>
      </c>
      <c r="H5479" s="40" t="s">
        <v>11404</v>
      </c>
    </row>
    <row r="5480">
      <c r="A5480" s="39"/>
      <c r="E5480" s="40" t="s">
        <v>11404</v>
      </c>
      <c r="F5480" s="40" t="s">
        <v>11404</v>
      </c>
      <c r="G5480" s="40" t="s">
        <v>11404</v>
      </c>
      <c r="H5480" s="40" t="s">
        <v>11404</v>
      </c>
    </row>
    <row r="5481">
      <c r="A5481" s="39"/>
      <c r="E5481" s="40" t="s">
        <v>11404</v>
      </c>
      <c r="F5481" s="40" t="s">
        <v>11404</v>
      </c>
      <c r="G5481" s="40" t="s">
        <v>11404</v>
      </c>
      <c r="H5481" s="40" t="s">
        <v>11404</v>
      </c>
    </row>
    <row r="5482">
      <c r="A5482" s="39"/>
      <c r="E5482" s="40" t="s">
        <v>11404</v>
      </c>
      <c r="F5482" s="40" t="s">
        <v>11404</v>
      </c>
      <c r="G5482" s="40" t="s">
        <v>11404</v>
      </c>
      <c r="H5482" s="40" t="s">
        <v>11404</v>
      </c>
    </row>
    <row r="5483">
      <c r="A5483" s="39"/>
      <c r="E5483" s="40" t="s">
        <v>11404</v>
      </c>
      <c r="F5483" s="40" t="s">
        <v>11404</v>
      </c>
      <c r="G5483" s="40" t="s">
        <v>11404</v>
      </c>
      <c r="H5483" s="40" t="s">
        <v>11404</v>
      </c>
    </row>
    <row r="5484">
      <c r="A5484" s="39"/>
      <c r="E5484" s="40" t="s">
        <v>11404</v>
      </c>
      <c r="F5484" s="40" t="s">
        <v>11404</v>
      </c>
      <c r="G5484" s="40" t="s">
        <v>11404</v>
      </c>
      <c r="H5484" s="40" t="s">
        <v>11404</v>
      </c>
    </row>
    <row r="5485">
      <c r="A5485" s="39"/>
      <c r="E5485" s="40" t="s">
        <v>11404</v>
      </c>
      <c r="F5485" s="40" t="s">
        <v>11404</v>
      </c>
      <c r="G5485" s="40" t="s">
        <v>11404</v>
      </c>
      <c r="H5485" s="40" t="s">
        <v>11404</v>
      </c>
    </row>
    <row r="5486">
      <c r="A5486" s="39"/>
      <c r="E5486" s="40" t="s">
        <v>11404</v>
      </c>
      <c r="F5486" s="40" t="s">
        <v>11404</v>
      </c>
      <c r="G5486" s="40" t="s">
        <v>11404</v>
      </c>
      <c r="H5486" s="40" t="s">
        <v>11404</v>
      </c>
    </row>
    <row r="5487">
      <c r="A5487" s="39"/>
      <c r="E5487" s="40" t="s">
        <v>11404</v>
      </c>
      <c r="F5487" s="40" t="s">
        <v>11404</v>
      </c>
      <c r="G5487" s="40" t="s">
        <v>11404</v>
      </c>
      <c r="H5487" s="40" t="s">
        <v>11404</v>
      </c>
    </row>
    <row r="5488">
      <c r="A5488" s="39"/>
      <c r="E5488" s="40" t="s">
        <v>11404</v>
      </c>
      <c r="F5488" s="40" t="s">
        <v>11404</v>
      </c>
      <c r="G5488" s="40" t="s">
        <v>11404</v>
      </c>
      <c r="H5488" s="40" t="s">
        <v>11404</v>
      </c>
    </row>
    <row r="5489">
      <c r="A5489" s="39"/>
      <c r="E5489" s="40" t="s">
        <v>11404</v>
      </c>
      <c r="F5489" s="40" t="s">
        <v>11404</v>
      </c>
      <c r="G5489" s="40" t="s">
        <v>11404</v>
      </c>
      <c r="H5489" s="40" t="s">
        <v>11404</v>
      </c>
    </row>
    <row r="5490">
      <c r="A5490" s="39"/>
      <c r="E5490" s="40" t="s">
        <v>11404</v>
      </c>
      <c r="F5490" s="40" t="s">
        <v>11404</v>
      </c>
      <c r="G5490" s="40" t="s">
        <v>11404</v>
      </c>
      <c r="H5490" s="40" t="s">
        <v>11404</v>
      </c>
    </row>
    <row r="5491">
      <c r="A5491" s="39"/>
      <c r="E5491" s="40" t="s">
        <v>11404</v>
      </c>
      <c r="F5491" s="40" t="s">
        <v>11404</v>
      </c>
      <c r="G5491" s="40" t="s">
        <v>11404</v>
      </c>
      <c r="H5491" s="40" t="s">
        <v>11404</v>
      </c>
    </row>
    <row r="5492">
      <c r="A5492" s="39"/>
      <c r="E5492" s="40" t="s">
        <v>11404</v>
      </c>
      <c r="F5492" s="40" t="s">
        <v>11404</v>
      </c>
      <c r="G5492" s="40" t="s">
        <v>11404</v>
      </c>
      <c r="H5492" s="40" t="s">
        <v>11404</v>
      </c>
    </row>
    <row r="5493">
      <c r="A5493" s="39"/>
      <c r="E5493" s="40" t="s">
        <v>11404</v>
      </c>
      <c r="F5493" s="40" t="s">
        <v>11404</v>
      </c>
      <c r="G5493" s="40" t="s">
        <v>11404</v>
      </c>
      <c r="H5493" s="40" t="s">
        <v>11404</v>
      </c>
    </row>
    <row r="5494">
      <c r="A5494" s="39"/>
      <c r="E5494" s="40" t="s">
        <v>11404</v>
      </c>
      <c r="F5494" s="40" t="s">
        <v>11404</v>
      </c>
      <c r="G5494" s="40" t="s">
        <v>11404</v>
      </c>
      <c r="H5494" s="40" t="s">
        <v>11404</v>
      </c>
    </row>
    <row r="5495">
      <c r="A5495" s="39"/>
      <c r="E5495" s="40" t="s">
        <v>11404</v>
      </c>
      <c r="F5495" s="40" t="s">
        <v>11404</v>
      </c>
      <c r="G5495" s="40" t="s">
        <v>11404</v>
      </c>
      <c r="H5495" s="40" t="s">
        <v>11404</v>
      </c>
    </row>
    <row r="5496">
      <c r="A5496" s="39"/>
      <c r="E5496" s="40" t="s">
        <v>11404</v>
      </c>
      <c r="F5496" s="40" t="s">
        <v>11404</v>
      </c>
      <c r="G5496" s="40" t="s">
        <v>11404</v>
      </c>
      <c r="H5496" s="40" t="s">
        <v>11404</v>
      </c>
    </row>
    <row r="5497">
      <c r="A5497" s="39"/>
      <c r="E5497" s="40" t="s">
        <v>11404</v>
      </c>
      <c r="F5497" s="40" t="s">
        <v>11404</v>
      </c>
      <c r="G5497" s="40" t="s">
        <v>11404</v>
      </c>
      <c r="H5497" s="40" t="s">
        <v>11404</v>
      </c>
    </row>
    <row r="5498">
      <c r="A5498" s="39"/>
      <c r="E5498" s="40" t="s">
        <v>11404</v>
      </c>
      <c r="F5498" s="40" t="s">
        <v>11404</v>
      </c>
      <c r="G5498" s="40" t="s">
        <v>11404</v>
      </c>
      <c r="H5498" s="40" t="s">
        <v>11404</v>
      </c>
    </row>
    <row r="5499">
      <c r="A5499" s="39"/>
      <c r="E5499" s="40" t="s">
        <v>11404</v>
      </c>
      <c r="F5499" s="40" t="s">
        <v>11404</v>
      </c>
      <c r="G5499" s="40" t="s">
        <v>11404</v>
      </c>
      <c r="H5499" s="40" t="s">
        <v>11404</v>
      </c>
    </row>
    <row r="5500">
      <c r="A5500" s="39"/>
      <c r="E5500" s="40" t="s">
        <v>11404</v>
      </c>
      <c r="F5500" s="40" t="s">
        <v>11404</v>
      </c>
      <c r="G5500" s="40" t="s">
        <v>11404</v>
      </c>
      <c r="H5500" s="40" t="s">
        <v>11404</v>
      </c>
    </row>
    <row r="5501">
      <c r="A5501" s="39"/>
      <c r="E5501" s="40" t="s">
        <v>11404</v>
      </c>
      <c r="F5501" s="40" t="s">
        <v>11404</v>
      </c>
      <c r="G5501" s="40" t="s">
        <v>11404</v>
      </c>
      <c r="H5501" s="40" t="s">
        <v>11404</v>
      </c>
    </row>
    <row r="5502">
      <c r="A5502" s="39"/>
      <c r="E5502" s="40" t="s">
        <v>11404</v>
      </c>
      <c r="F5502" s="40" t="s">
        <v>11404</v>
      </c>
      <c r="G5502" s="40" t="s">
        <v>11404</v>
      </c>
      <c r="H5502" s="40" t="s">
        <v>11404</v>
      </c>
    </row>
    <row r="5503">
      <c r="A5503" s="39"/>
      <c r="E5503" s="40" t="s">
        <v>11404</v>
      </c>
      <c r="F5503" s="40" t="s">
        <v>11404</v>
      </c>
      <c r="G5503" s="40" t="s">
        <v>11404</v>
      </c>
      <c r="H5503" s="40" t="s">
        <v>11404</v>
      </c>
    </row>
    <row r="5504">
      <c r="A5504" s="39"/>
      <c r="E5504" s="40" t="s">
        <v>11404</v>
      </c>
      <c r="F5504" s="40" t="s">
        <v>11404</v>
      </c>
      <c r="G5504" s="40" t="s">
        <v>11404</v>
      </c>
      <c r="H5504" s="40" t="s">
        <v>11404</v>
      </c>
    </row>
    <row r="5505">
      <c r="A5505" s="39"/>
      <c r="E5505" s="40" t="s">
        <v>11404</v>
      </c>
      <c r="F5505" s="40" t="s">
        <v>11404</v>
      </c>
      <c r="G5505" s="40" t="s">
        <v>11404</v>
      </c>
      <c r="H5505" s="40" t="s">
        <v>11404</v>
      </c>
    </row>
    <row r="5506">
      <c r="A5506" s="39"/>
      <c r="E5506" s="40" t="s">
        <v>11404</v>
      </c>
      <c r="F5506" s="40" t="s">
        <v>11404</v>
      </c>
      <c r="G5506" s="40" t="s">
        <v>11404</v>
      </c>
      <c r="H5506" s="40" t="s">
        <v>11404</v>
      </c>
    </row>
    <row r="5507">
      <c r="A5507" s="39"/>
      <c r="E5507" s="40" t="s">
        <v>11404</v>
      </c>
      <c r="F5507" s="40" t="s">
        <v>11404</v>
      </c>
      <c r="G5507" s="40" t="s">
        <v>11404</v>
      </c>
      <c r="H5507" s="40" t="s">
        <v>11404</v>
      </c>
    </row>
    <row r="5508">
      <c r="A5508" s="39"/>
      <c r="E5508" s="40" t="s">
        <v>11404</v>
      </c>
      <c r="F5508" s="40" t="s">
        <v>11404</v>
      </c>
      <c r="G5508" s="40" t="s">
        <v>11404</v>
      </c>
      <c r="H5508" s="40" t="s">
        <v>11404</v>
      </c>
    </row>
    <row r="5509">
      <c r="A5509" s="39"/>
      <c r="E5509" s="40" t="s">
        <v>11404</v>
      </c>
      <c r="F5509" s="40" t="s">
        <v>11404</v>
      </c>
      <c r="G5509" s="40" t="s">
        <v>11404</v>
      </c>
      <c r="H5509" s="40" t="s">
        <v>11404</v>
      </c>
    </row>
    <row r="5510">
      <c r="A5510" s="39"/>
      <c r="E5510" s="40" t="s">
        <v>11404</v>
      </c>
      <c r="F5510" s="40" t="s">
        <v>11404</v>
      </c>
      <c r="G5510" s="40" t="s">
        <v>11404</v>
      </c>
      <c r="H5510" s="40" t="s">
        <v>11404</v>
      </c>
    </row>
    <row r="5511">
      <c r="A5511" s="39"/>
      <c r="E5511" s="40" t="s">
        <v>11404</v>
      </c>
      <c r="F5511" s="40" t="s">
        <v>11404</v>
      </c>
      <c r="G5511" s="40" t="s">
        <v>11404</v>
      </c>
      <c r="H5511" s="40" t="s">
        <v>11404</v>
      </c>
    </row>
    <row r="5512">
      <c r="A5512" s="39"/>
      <c r="E5512" s="40" t="s">
        <v>11404</v>
      </c>
      <c r="F5512" s="40" t="s">
        <v>11404</v>
      </c>
      <c r="G5512" s="40" t="s">
        <v>11404</v>
      </c>
      <c r="H5512" s="40" t="s">
        <v>11404</v>
      </c>
    </row>
    <row r="5513">
      <c r="A5513" s="39"/>
      <c r="E5513" s="40" t="s">
        <v>11404</v>
      </c>
      <c r="F5513" s="40" t="s">
        <v>11404</v>
      </c>
      <c r="G5513" s="40" t="s">
        <v>11404</v>
      </c>
      <c r="H5513" s="40" t="s">
        <v>11404</v>
      </c>
    </row>
    <row r="5514">
      <c r="A5514" s="39"/>
      <c r="E5514" s="40" t="s">
        <v>11404</v>
      </c>
      <c r="F5514" s="40" t="s">
        <v>11404</v>
      </c>
      <c r="G5514" s="40" t="s">
        <v>11404</v>
      </c>
      <c r="H5514" s="40" t="s">
        <v>11404</v>
      </c>
    </row>
    <row r="5515">
      <c r="A5515" s="39"/>
      <c r="E5515" s="40" t="s">
        <v>11404</v>
      </c>
      <c r="F5515" s="40" t="s">
        <v>11404</v>
      </c>
      <c r="G5515" s="40" t="s">
        <v>11404</v>
      </c>
      <c r="H5515" s="40" t="s">
        <v>11404</v>
      </c>
    </row>
    <row r="5516">
      <c r="A5516" s="39"/>
      <c r="E5516" s="40" t="s">
        <v>11404</v>
      </c>
      <c r="F5516" s="40" t="s">
        <v>11404</v>
      </c>
      <c r="G5516" s="40" t="s">
        <v>11404</v>
      </c>
      <c r="H5516" s="40" t="s">
        <v>11404</v>
      </c>
    </row>
    <row r="5517">
      <c r="A5517" s="39"/>
      <c r="E5517" s="40" t="s">
        <v>11404</v>
      </c>
      <c r="F5517" s="40" t="s">
        <v>11404</v>
      </c>
      <c r="G5517" s="40" t="s">
        <v>11404</v>
      </c>
      <c r="H5517" s="40" t="s">
        <v>11404</v>
      </c>
    </row>
    <row r="5518">
      <c r="A5518" s="39"/>
      <c r="E5518" s="40" t="s">
        <v>11404</v>
      </c>
      <c r="F5518" s="40" t="s">
        <v>11404</v>
      </c>
      <c r="G5518" s="40" t="s">
        <v>11404</v>
      </c>
      <c r="H5518" s="40" t="s">
        <v>11404</v>
      </c>
    </row>
    <row r="5519">
      <c r="A5519" s="39"/>
      <c r="E5519" s="40" t="s">
        <v>11404</v>
      </c>
      <c r="F5519" s="40" t="s">
        <v>11404</v>
      </c>
      <c r="G5519" s="40" t="s">
        <v>11404</v>
      </c>
      <c r="H5519" s="40" t="s">
        <v>11404</v>
      </c>
    </row>
    <row r="5520">
      <c r="A5520" s="39"/>
      <c r="E5520" s="40" t="s">
        <v>11404</v>
      </c>
      <c r="F5520" s="40" t="s">
        <v>11404</v>
      </c>
      <c r="G5520" s="40" t="s">
        <v>11404</v>
      </c>
      <c r="H5520" s="40" t="s">
        <v>11404</v>
      </c>
    </row>
    <row r="5521">
      <c r="A5521" s="39"/>
      <c r="E5521" s="40" t="s">
        <v>11404</v>
      </c>
      <c r="F5521" s="40" t="s">
        <v>11404</v>
      </c>
      <c r="G5521" s="40" t="s">
        <v>11404</v>
      </c>
      <c r="H5521" s="40" t="s">
        <v>11404</v>
      </c>
    </row>
    <row r="5522">
      <c r="A5522" s="39"/>
      <c r="E5522" s="40" t="s">
        <v>11404</v>
      </c>
      <c r="F5522" s="40" t="s">
        <v>11404</v>
      </c>
      <c r="G5522" s="40" t="s">
        <v>11404</v>
      </c>
      <c r="H5522" s="40" t="s">
        <v>11404</v>
      </c>
    </row>
    <row r="5523">
      <c r="A5523" s="39"/>
      <c r="E5523" s="40" t="s">
        <v>11404</v>
      </c>
      <c r="F5523" s="40" t="s">
        <v>11404</v>
      </c>
      <c r="G5523" s="40" t="s">
        <v>11404</v>
      </c>
      <c r="H5523" s="40" t="s">
        <v>11404</v>
      </c>
    </row>
    <row r="5524">
      <c r="A5524" s="39"/>
      <c r="E5524" s="40" t="s">
        <v>11404</v>
      </c>
      <c r="F5524" s="40" t="s">
        <v>11404</v>
      </c>
      <c r="G5524" s="40" t="s">
        <v>11404</v>
      </c>
      <c r="H5524" s="40" t="s">
        <v>11404</v>
      </c>
    </row>
    <row r="5525">
      <c r="A5525" s="39"/>
      <c r="E5525" s="40" t="s">
        <v>11404</v>
      </c>
      <c r="F5525" s="40" t="s">
        <v>11404</v>
      </c>
      <c r="G5525" s="40" t="s">
        <v>11404</v>
      </c>
      <c r="H5525" s="40" t="s">
        <v>11404</v>
      </c>
    </row>
    <row r="5526">
      <c r="A5526" s="39"/>
      <c r="E5526" s="40" t="s">
        <v>11404</v>
      </c>
      <c r="F5526" s="40" t="s">
        <v>11404</v>
      </c>
      <c r="G5526" s="40" t="s">
        <v>11404</v>
      </c>
      <c r="H5526" s="40" t="s">
        <v>11404</v>
      </c>
    </row>
    <row r="5527">
      <c r="A5527" s="39"/>
      <c r="E5527" s="40" t="s">
        <v>11404</v>
      </c>
      <c r="F5527" s="40" t="s">
        <v>11404</v>
      </c>
      <c r="G5527" s="40" t="s">
        <v>11404</v>
      </c>
      <c r="H5527" s="40" t="s">
        <v>11404</v>
      </c>
    </row>
    <row r="5528">
      <c r="A5528" s="39"/>
      <c r="E5528" s="40" t="s">
        <v>11404</v>
      </c>
      <c r="F5528" s="40" t="s">
        <v>11404</v>
      </c>
      <c r="G5528" s="40" t="s">
        <v>11404</v>
      </c>
      <c r="H5528" s="40" t="s">
        <v>11404</v>
      </c>
    </row>
    <row r="5529">
      <c r="A5529" s="39"/>
      <c r="E5529" s="40" t="s">
        <v>11404</v>
      </c>
      <c r="F5529" s="40" t="s">
        <v>11404</v>
      </c>
      <c r="G5529" s="40" t="s">
        <v>11404</v>
      </c>
      <c r="H5529" s="40" t="s">
        <v>11404</v>
      </c>
    </row>
    <row r="5530">
      <c r="A5530" s="39"/>
      <c r="E5530" s="40" t="s">
        <v>11404</v>
      </c>
      <c r="F5530" s="40" t="s">
        <v>11404</v>
      </c>
      <c r="G5530" s="40" t="s">
        <v>11404</v>
      </c>
      <c r="H5530" s="40" t="s">
        <v>11404</v>
      </c>
    </row>
    <row r="5531">
      <c r="A5531" s="39"/>
      <c r="E5531" s="40" t="s">
        <v>11404</v>
      </c>
      <c r="F5531" s="40" t="s">
        <v>11404</v>
      </c>
      <c r="G5531" s="40" t="s">
        <v>11404</v>
      </c>
      <c r="H5531" s="40" t="s">
        <v>11404</v>
      </c>
    </row>
    <row r="5532">
      <c r="A5532" s="39"/>
      <c r="E5532" s="40" t="s">
        <v>11404</v>
      </c>
      <c r="F5532" s="40" t="s">
        <v>11404</v>
      </c>
      <c r="G5532" s="40" t="s">
        <v>11404</v>
      </c>
      <c r="H5532" s="40" t="s">
        <v>11404</v>
      </c>
    </row>
    <row r="5533">
      <c r="A5533" s="39"/>
      <c r="E5533" s="40" t="s">
        <v>11404</v>
      </c>
      <c r="F5533" s="40" t="s">
        <v>11404</v>
      </c>
      <c r="G5533" s="40" t="s">
        <v>11404</v>
      </c>
      <c r="H5533" s="40" t="s">
        <v>11404</v>
      </c>
    </row>
    <row r="5534">
      <c r="A5534" s="39"/>
      <c r="E5534" s="40" t="s">
        <v>11404</v>
      </c>
      <c r="F5534" s="40" t="s">
        <v>11404</v>
      </c>
      <c r="G5534" s="40" t="s">
        <v>11404</v>
      </c>
      <c r="H5534" s="40" t="s">
        <v>11404</v>
      </c>
    </row>
    <row r="5535">
      <c r="A5535" s="39"/>
      <c r="E5535" s="40" t="s">
        <v>11404</v>
      </c>
      <c r="F5535" s="40" t="s">
        <v>11404</v>
      </c>
      <c r="G5535" s="40" t="s">
        <v>11404</v>
      </c>
      <c r="H5535" s="40" t="s">
        <v>11404</v>
      </c>
    </row>
    <row r="5536">
      <c r="A5536" s="39"/>
      <c r="E5536" s="40" t="s">
        <v>11404</v>
      </c>
      <c r="F5536" s="40" t="s">
        <v>11404</v>
      </c>
      <c r="G5536" s="40" t="s">
        <v>11404</v>
      </c>
      <c r="H5536" s="40" t="s">
        <v>11404</v>
      </c>
    </row>
    <row r="5537">
      <c r="A5537" s="39"/>
      <c r="E5537" s="40" t="s">
        <v>11404</v>
      </c>
      <c r="F5537" s="40" t="s">
        <v>11404</v>
      </c>
      <c r="G5537" s="40" t="s">
        <v>11404</v>
      </c>
      <c r="H5537" s="40" t="s">
        <v>11404</v>
      </c>
    </row>
    <row r="5538">
      <c r="A5538" s="39"/>
      <c r="E5538" s="40" t="s">
        <v>11404</v>
      </c>
      <c r="F5538" s="40" t="s">
        <v>11404</v>
      </c>
      <c r="G5538" s="40" t="s">
        <v>11404</v>
      </c>
      <c r="H5538" s="40" t="s">
        <v>11404</v>
      </c>
    </row>
    <row r="5539">
      <c r="A5539" s="39"/>
      <c r="E5539" s="40" t="s">
        <v>11404</v>
      </c>
      <c r="F5539" s="40" t="s">
        <v>11404</v>
      </c>
      <c r="G5539" s="40" t="s">
        <v>11404</v>
      </c>
      <c r="H5539" s="40" t="s">
        <v>11404</v>
      </c>
    </row>
    <row r="5540">
      <c r="A5540" s="39"/>
      <c r="E5540" s="40" t="s">
        <v>11404</v>
      </c>
      <c r="F5540" s="40" t="s">
        <v>11404</v>
      </c>
      <c r="G5540" s="40" t="s">
        <v>11404</v>
      </c>
      <c r="H5540" s="40" t="s">
        <v>11404</v>
      </c>
    </row>
    <row r="5541">
      <c r="A5541" s="39"/>
      <c r="E5541" s="40" t="s">
        <v>11404</v>
      </c>
      <c r="F5541" s="40" t="s">
        <v>11404</v>
      </c>
      <c r="G5541" s="40" t="s">
        <v>11404</v>
      </c>
      <c r="H5541" s="40" t="s">
        <v>11404</v>
      </c>
    </row>
    <row r="5542">
      <c r="A5542" s="39"/>
      <c r="E5542" s="40" t="s">
        <v>11404</v>
      </c>
      <c r="F5542" s="40" t="s">
        <v>11404</v>
      </c>
      <c r="G5542" s="40" t="s">
        <v>11404</v>
      </c>
      <c r="H5542" s="40" t="s">
        <v>11404</v>
      </c>
    </row>
    <row r="5543">
      <c r="A5543" s="39"/>
      <c r="E5543" s="40" t="s">
        <v>11404</v>
      </c>
      <c r="F5543" s="40" t="s">
        <v>11404</v>
      </c>
      <c r="G5543" s="40" t="s">
        <v>11404</v>
      </c>
      <c r="H5543" s="40" t="s">
        <v>11404</v>
      </c>
    </row>
    <row r="5544">
      <c r="A5544" s="39"/>
      <c r="E5544" s="40" t="s">
        <v>11404</v>
      </c>
      <c r="F5544" s="40" t="s">
        <v>11404</v>
      </c>
      <c r="G5544" s="40" t="s">
        <v>11404</v>
      </c>
      <c r="H5544" s="40" t="s">
        <v>11404</v>
      </c>
    </row>
    <row r="5545">
      <c r="A5545" s="39"/>
      <c r="E5545" s="40" t="s">
        <v>11404</v>
      </c>
      <c r="F5545" s="40" t="s">
        <v>11404</v>
      </c>
      <c r="G5545" s="40" t="s">
        <v>11404</v>
      </c>
      <c r="H5545" s="40" t="s">
        <v>11404</v>
      </c>
    </row>
    <row r="5546">
      <c r="A5546" s="39"/>
      <c r="E5546" s="40" t="s">
        <v>11404</v>
      </c>
      <c r="F5546" s="40" t="s">
        <v>11404</v>
      </c>
      <c r="G5546" s="40" t="s">
        <v>11404</v>
      </c>
      <c r="H5546" s="40" t="s">
        <v>11404</v>
      </c>
    </row>
    <row r="5547">
      <c r="A5547" s="39"/>
      <c r="E5547" s="40" t="s">
        <v>11404</v>
      </c>
      <c r="F5547" s="40" t="s">
        <v>11404</v>
      </c>
      <c r="G5547" s="40" t="s">
        <v>11404</v>
      </c>
      <c r="H5547" s="40" t="s">
        <v>11404</v>
      </c>
    </row>
    <row r="5548">
      <c r="A5548" s="39"/>
      <c r="E5548" s="40" t="s">
        <v>11404</v>
      </c>
      <c r="F5548" s="40" t="s">
        <v>11404</v>
      </c>
      <c r="G5548" s="40" t="s">
        <v>11404</v>
      </c>
      <c r="H5548" s="40" t="s">
        <v>11404</v>
      </c>
    </row>
    <row r="5549">
      <c r="A5549" s="39"/>
      <c r="E5549" s="40" t="s">
        <v>11404</v>
      </c>
      <c r="F5549" s="40" t="s">
        <v>11404</v>
      </c>
      <c r="G5549" s="40" t="s">
        <v>11404</v>
      </c>
      <c r="H5549" s="40" t="s">
        <v>11404</v>
      </c>
    </row>
    <row r="5550">
      <c r="A5550" s="39"/>
      <c r="E5550" s="40" t="s">
        <v>11404</v>
      </c>
      <c r="F5550" s="40" t="s">
        <v>11404</v>
      </c>
      <c r="G5550" s="40" t="s">
        <v>11404</v>
      </c>
      <c r="H5550" s="40" t="s">
        <v>11404</v>
      </c>
    </row>
    <row r="5551">
      <c r="A5551" s="39"/>
      <c r="E5551" s="40" t="s">
        <v>11404</v>
      </c>
      <c r="F5551" s="40" t="s">
        <v>11404</v>
      </c>
      <c r="G5551" s="40" t="s">
        <v>11404</v>
      </c>
      <c r="H5551" s="40" t="s">
        <v>11404</v>
      </c>
    </row>
    <row r="5552">
      <c r="A5552" s="39"/>
      <c r="E5552" s="40" t="s">
        <v>11404</v>
      </c>
      <c r="F5552" s="40" t="s">
        <v>11404</v>
      </c>
      <c r="G5552" s="40" t="s">
        <v>11404</v>
      </c>
      <c r="H5552" s="40" t="s">
        <v>11404</v>
      </c>
    </row>
    <row r="5553">
      <c r="A5553" s="39"/>
      <c r="E5553" s="40" t="s">
        <v>11404</v>
      </c>
      <c r="F5553" s="40" t="s">
        <v>11404</v>
      </c>
      <c r="G5553" s="40" t="s">
        <v>11404</v>
      </c>
      <c r="H5553" s="40" t="s">
        <v>11404</v>
      </c>
    </row>
    <row r="5554">
      <c r="A5554" s="39"/>
      <c r="E5554" s="40" t="s">
        <v>11404</v>
      </c>
      <c r="F5554" s="40" t="s">
        <v>11404</v>
      </c>
      <c r="G5554" s="40" t="s">
        <v>11404</v>
      </c>
      <c r="H5554" s="40" t="s">
        <v>11404</v>
      </c>
    </row>
    <row r="5555">
      <c r="A5555" s="39"/>
      <c r="E5555" s="40" t="s">
        <v>11404</v>
      </c>
      <c r="F5555" s="40" t="s">
        <v>11404</v>
      </c>
      <c r="G5555" s="40" t="s">
        <v>11404</v>
      </c>
      <c r="H5555" s="40" t="s">
        <v>11404</v>
      </c>
    </row>
    <row r="5556">
      <c r="A5556" s="39"/>
      <c r="E5556" s="40" t="s">
        <v>11404</v>
      </c>
      <c r="F5556" s="40" t="s">
        <v>11404</v>
      </c>
      <c r="G5556" s="40" t="s">
        <v>11404</v>
      </c>
      <c r="H5556" s="40" t="s">
        <v>11404</v>
      </c>
    </row>
    <row r="5557">
      <c r="A5557" s="39"/>
      <c r="E5557" s="40" t="s">
        <v>11404</v>
      </c>
      <c r="F5557" s="40" t="s">
        <v>11404</v>
      </c>
      <c r="G5557" s="40" t="s">
        <v>11404</v>
      </c>
      <c r="H5557" s="40" t="s">
        <v>11404</v>
      </c>
    </row>
    <row r="5558">
      <c r="A5558" s="39"/>
      <c r="E5558" s="40" t="s">
        <v>11404</v>
      </c>
      <c r="F5558" s="40" t="s">
        <v>11404</v>
      </c>
      <c r="G5558" s="40" t="s">
        <v>11404</v>
      </c>
      <c r="H5558" s="40" t="s">
        <v>11404</v>
      </c>
    </row>
    <row r="5559">
      <c r="A5559" s="39"/>
      <c r="E5559" s="40" t="s">
        <v>11404</v>
      </c>
      <c r="F5559" s="40" t="s">
        <v>11404</v>
      </c>
      <c r="G5559" s="40" t="s">
        <v>11404</v>
      </c>
      <c r="H5559" s="40" t="s">
        <v>11404</v>
      </c>
    </row>
    <row r="5560">
      <c r="A5560" s="39"/>
      <c r="E5560" s="40" t="s">
        <v>11404</v>
      </c>
      <c r="F5560" s="40" t="s">
        <v>11404</v>
      </c>
      <c r="G5560" s="40" t="s">
        <v>11404</v>
      </c>
      <c r="H5560" s="40" t="s">
        <v>11404</v>
      </c>
    </row>
    <row r="5561">
      <c r="A5561" s="39"/>
      <c r="E5561" s="40" t="s">
        <v>11404</v>
      </c>
      <c r="F5561" s="40" t="s">
        <v>11404</v>
      </c>
      <c r="G5561" s="40" t="s">
        <v>11404</v>
      </c>
      <c r="H5561" s="40" t="s">
        <v>11404</v>
      </c>
    </row>
    <row r="5562">
      <c r="A5562" s="39"/>
      <c r="E5562" s="40" t="s">
        <v>11404</v>
      </c>
      <c r="F5562" s="40" t="s">
        <v>11404</v>
      </c>
      <c r="G5562" s="40" t="s">
        <v>11404</v>
      </c>
      <c r="H5562" s="40" t="s">
        <v>11404</v>
      </c>
    </row>
    <row r="5563">
      <c r="A5563" s="39"/>
      <c r="E5563" s="40" t="s">
        <v>11404</v>
      </c>
      <c r="F5563" s="40" t="s">
        <v>11404</v>
      </c>
      <c r="G5563" s="40" t="s">
        <v>11404</v>
      </c>
      <c r="H5563" s="40" t="s">
        <v>11404</v>
      </c>
    </row>
    <row r="5564">
      <c r="A5564" s="39"/>
      <c r="E5564" s="40" t="s">
        <v>11404</v>
      </c>
      <c r="F5564" s="40" t="s">
        <v>11404</v>
      </c>
      <c r="G5564" s="40" t="s">
        <v>11404</v>
      </c>
      <c r="H5564" s="40" t="s">
        <v>11404</v>
      </c>
    </row>
    <row r="5565">
      <c r="A5565" s="39"/>
      <c r="E5565" s="40" t="s">
        <v>11404</v>
      </c>
      <c r="F5565" s="40" t="s">
        <v>11404</v>
      </c>
      <c r="G5565" s="40" t="s">
        <v>11404</v>
      </c>
      <c r="H5565" s="40" t="s">
        <v>11404</v>
      </c>
    </row>
    <row r="5566">
      <c r="A5566" s="39"/>
      <c r="E5566" s="40" t="s">
        <v>11404</v>
      </c>
      <c r="F5566" s="40" t="s">
        <v>11404</v>
      </c>
      <c r="G5566" s="40" t="s">
        <v>11404</v>
      </c>
      <c r="H5566" s="40" t="s">
        <v>11404</v>
      </c>
    </row>
    <row r="5567">
      <c r="A5567" s="39"/>
      <c r="E5567" s="40" t="s">
        <v>11404</v>
      </c>
      <c r="F5567" s="40" t="s">
        <v>11404</v>
      </c>
      <c r="G5567" s="40" t="s">
        <v>11404</v>
      </c>
      <c r="H5567" s="40" t="s">
        <v>11404</v>
      </c>
    </row>
    <row r="5568">
      <c r="A5568" s="39"/>
      <c r="E5568" s="40" t="s">
        <v>11404</v>
      </c>
      <c r="F5568" s="40" t="s">
        <v>11404</v>
      </c>
      <c r="G5568" s="40" t="s">
        <v>11404</v>
      </c>
      <c r="H5568" s="40" t="s">
        <v>11404</v>
      </c>
    </row>
    <row r="5569">
      <c r="A5569" s="39"/>
      <c r="E5569" s="40" t="s">
        <v>11404</v>
      </c>
      <c r="F5569" s="40" t="s">
        <v>11404</v>
      </c>
      <c r="G5569" s="40" t="s">
        <v>11404</v>
      </c>
      <c r="H5569" s="40" t="s">
        <v>11404</v>
      </c>
    </row>
    <row r="5570">
      <c r="A5570" s="39"/>
      <c r="E5570" s="40" t="s">
        <v>11404</v>
      </c>
      <c r="F5570" s="40" t="s">
        <v>11404</v>
      </c>
      <c r="G5570" s="40" t="s">
        <v>11404</v>
      </c>
      <c r="H5570" s="40" t="s">
        <v>11404</v>
      </c>
    </row>
    <row r="5571">
      <c r="A5571" s="39"/>
      <c r="E5571" s="40" t="s">
        <v>11404</v>
      </c>
      <c r="F5571" s="40" t="s">
        <v>11404</v>
      </c>
      <c r="G5571" s="40" t="s">
        <v>11404</v>
      </c>
      <c r="H5571" s="40" t="s">
        <v>11404</v>
      </c>
    </row>
    <row r="5572">
      <c r="A5572" s="39"/>
      <c r="E5572" s="40" t="s">
        <v>11404</v>
      </c>
      <c r="F5572" s="40" t="s">
        <v>11404</v>
      </c>
      <c r="G5572" s="40" t="s">
        <v>11404</v>
      </c>
      <c r="H5572" s="40" t="s">
        <v>11404</v>
      </c>
    </row>
    <row r="5573">
      <c r="A5573" s="39"/>
      <c r="E5573" s="40" t="s">
        <v>11404</v>
      </c>
      <c r="F5573" s="40" t="s">
        <v>11404</v>
      </c>
      <c r="G5573" s="40" t="s">
        <v>11404</v>
      </c>
      <c r="H5573" s="40" t="s">
        <v>11404</v>
      </c>
    </row>
    <row r="5574">
      <c r="A5574" s="39"/>
      <c r="E5574" s="40" t="s">
        <v>11404</v>
      </c>
      <c r="F5574" s="40" t="s">
        <v>11404</v>
      </c>
      <c r="G5574" s="40" t="s">
        <v>11404</v>
      </c>
      <c r="H5574" s="40" t="s">
        <v>11404</v>
      </c>
    </row>
    <row r="5575">
      <c r="A5575" s="39"/>
      <c r="E5575" s="40" t="s">
        <v>11404</v>
      </c>
      <c r="F5575" s="40" t="s">
        <v>11404</v>
      </c>
      <c r="G5575" s="40" t="s">
        <v>11404</v>
      </c>
      <c r="H5575" s="40" t="s">
        <v>11404</v>
      </c>
    </row>
    <row r="5576">
      <c r="A5576" s="39"/>
      <c r="E5576" s="40" t="s">
        <v>11404</v>
      </c>
      <c r="F5576" s="40" t="s">
        <v>11404</v>
      </c>
      <c r="G5576" s="40" t="s">
        <v>11404</v>
      </c>
      <c r="H5576" s="40" t="s">
        <v>11404</v>
      </c>
    </row>
    <row r="5577">
      <c r="A5577" s="39"/>
      <c r="E5577" s="40" t="s">
        <v>11404</v>
      </c>
      <c r="F5577" s="40" t="s">
        <v>11404</v>
      </c>
      <c r="G5577" s="40" t="s">
        <v>11404</v>
      </c>
      <c r="H5577" s="40" t="s">
        <v>11404</v>
      </c>
    </row>
    <row r="5578">
      <c r="A5578" s="39"/>
      <c r="E5578" s="40" t="s">
        <v>11404</v>
      </c>
      <c r="F5578" s="40" t="s">
        <v>11404</v>
      </c>
      <c r="G5578" s="40" t="s">
        <v>11404</v>
      </c>
      <c r="H5578" s="40" t="s">
        <v>11404</v>
      </c>
    </row>
    <row r="5579">
      <c r="A5579" s="39"/>
      <c r="E5579" s="40" t="s">
        <v>11404</v>
      </c>
      <c r="F5579" s="40" t="s">
        <v>11404</v>
      </c>
      <c r="G5579" s="40" t="s">
        <v>11404</v>
      </c>
      <c r="H5579" s="40" t="s">
        <v>11404</v>
      </c>
    </row>
    <row r="5580">
      <c r="A5580" s="39"/>
      <c r="E5580" s="40" t="s">
        <v>11404</v>
      </c>
      <c r="F5580" s="40" t="s">
        <v>11404</v>
      </c>
      <c r="G5580" s="40" t="s">
        <v>11404</v>
      </c>
      <c r="H5580" s="40" t="s">
        <v>11404</v>
      </c>
    </row>
    <row r="5581">
      <c r="A5581" s="39"/>
      <c r="E5581" s="40" t="s">
        <v>11404</v>
      </c>
      <c r="F5581" s="40" t="s">
        <v>11404</v>
      </c>
      <c r="G5581" s="40" t="s">
        <v>11404</v>
      </c>
      <c r="H5581" s="40" t="s">
        <v>11404</v>
      </c>
    </row>
    <row r="5582">
      <c r="A5582" s="39"/>
      <c r="E5582" s="40" t="s">
        <v>11404</v>
      </c>
      <c r="F5582" s="40" t="s">
        <v>11404</v>
      </c>
      <c r="G5582" s="40" t="s">
        <v>11404</v>
      </c>
      <c r="H5582" s="40" t="s">
        <v>11404</v>
      </c>
    </row>
    <row r="5583">
      <c r="A5583" s="39"/>
      <c r="E5583" s="40" t="s">
        <v>11404</v>
      </c>
      <c r="F5583" s="40" t="s">
        <v>11404</v>
      </c>
      <c r="G5583" s="40" t="s">
        <v>11404</v>
      </c>
      <c r="H5583" s="40" t="s">
        <v>11404</v>
      </c>
    </row>
    <row r="5584">
      <c r="A5584" s="39"/>
      <c r="E5584" s="40" t="s">
        <v>11404</v>
      </c>
      <c r="F5584" s="40" t="s">
        <v>11404</v>
      </c>
      <c r="G5584" s="40" t="s">
        <v>11404</v>
      </c>
      <c r="H5584" s="40" t="s">
        <v>11404</v>
      </c>
    </row>
    <row r="5585">
      <c r="A5585" s="39"/>
      <c r="E5585" s="40" t="s">
        <v>11404</v>
      </c>
      <c r="F5585" s="40" t="s">
        <v>11404</v>
      </c>
      <c r="G5585" s="40" t="s">
        <v>11404</v>
      </c>
      <c r="H5585" s="40" t="s">
        <v>11404</v>
      </c>
    </row>
    <row r="5586">
      <c r="A5586" s="39"/>
      <c r="E5586" s="40" t="s">
        <v>11404</v>
      </c>
      <c r="F5586" s="40" t="s">
        <v>11404</v>
      </c>
      <c r="G5586" s="40" t="s">
        <v>11404</v>
      </c>
      <c r="H5586" s="40" t="s">
        <v>11404</v>
      </c>
    </row>
    <row r="5587">
      <c r="A5587" s="39"/>
      <c r="E5587" s="40" t="s">
        <v>11404</v>
      </c>
      <c r="F5587" s="40" t="s">
        <v>11404</v>
      </c>
      <c r="G5587" s="40" t="s">
        <v>11404</v>
      </c>
      <c r="H5587" s="40" t="s">
        <v>11404</v>
      </c>
    </row>
    <row r="5588">
      <c r="A5588" s="39"/>
      <c r="E5588" s="40" t="s">
        <v>11404</v>
      </c>
      <c r="F5588" s="40" t="s">
        <v>11404</v>
      </c>
      <c r="G5588" s="40" t="s">
        <v>11404</v>
      </c>
      <c r="H5588" s="40" t="s">
        <v>11404</v>
      </c>
    </row>
    <row r="5589">
      <c r="A5589" s="39"/>
      <c r="E5589" s="40" t="s">
        <v>11404</v>
      </c>
      <c r="F5589" s="40" t="s">
        <v>11404</v>
      </c>
      <c r="G5589" s="40" t="s">
        <v>11404</v>
      </c>
      <c r="H5589" s="40" t="s">
        <v>11404</v>
      </c>
    </row>
    <row r="5590">
      <c r="A5590" s="39"/>
      <c r="E5590" s="40" t="s">
        <v>11404</v>
      </c>
      <c r="F5590" s="40" t="s">
        <v>11404</v>
      </c>
      <c r="G5590" s="40" t="s">
        <v>11404</v>
      </c>
      <c r="H5590" s="40" t="s">
        <v>11404</v>
      </c>
    </row>
    <row r="5591">
      <c r="A5591" s="39"/>
      <c r="E5591" s="40" t="s">
        <v>11404</v>
      </c>
      <c r="F5591" s="40" t="s">
        <v>11404</v>
      </c>
      <c r="G5591" s="40" t="s">
        <v>11404</v>
      </c>
      <c r="H5591" s="40" t="s">
        <v>11404</v>
      </c>
    </row>
    <row r="5592">
      <c r="A5592" s="39"/>
      <c r="E5592" s="40" t="s">
        <v>11404</v>
      </c>
      <c r="F5592" s="40" t="s">
        <v>11404</v>
      </c>
      <c r="G5592" s="40" t="s">
        <v>11404</v>
      </c>
      <c r="H5592" s="40" t="s">
        <v>11404</v>
      </c>
    </row>
    <row r="5593">
      <c r="A5593" s="39"/>
      <c r="E5593" s="40" t="s">
        <v>11404</v>
      </c>
      <c r="F5593" s="40" t="s">
        <v>11404</v>
      </c>
      <c r="G5593" s="40" t="s">
        <v>11404</v>
      </c>
      <c r="H5593" s="40" t="s">
        <v>11404</v>
      </c>
    </row>
    <row r="5594">
      <c r="A5594" s="39"/>
      <c r="E5594" s="40" t="s">
        <v>11404</v>
      </c>
      <c r="F5594" s="40" t="s">
        <v>11404</v>
      </c>
      <c r="G5594" s="40" t="s">
        <v>11404</v>
      </c>
      <c r="H5594" s="40" t="s">
        <v>11404</v>
      </c>
    </row>
    <row r="5595">
      <c r="A5595" s="39"/>
      <c r="E5595" s="40" t="s">
        <v>11404</v>
      </c>
      <c r="F5595" s="40" t="s">
        <v>11404</v>
      </c>
      <c r="G5595" s="40" t="s">
        <v>11404</v>
      </c>
      <c r="H5595" s="40" t="s">
        <v>11404</v>
      </c>
    </row>
    <row r="5596">
      <c r="A5596" s="39"/>
      <c r="E5596" s="40" t="s">
        <v>11404</v>
      </c>
      <c r="F5596" s="40" t="s">
        <v>11404</v>
      </c>
      <c r="G5596" s="40" t="s">
        <v>11404</v>
      </c>
      <c r="H5596" s="40" t="s">
        <v>11404</v>
      </c>
    </row>
    <row r="5597">
      <c r="A5597" s="39"/>
      <c r="E5597" s="40" t="s">
        <v>11404</v>
      </c>
      <c r="F5597" s="40" t="s">
        <v>11404</v>
      </c>
      <c r="G5597" s="40" t="s">
        <v>11404</v>
      </c>
      <c r="H5597" s="40" t="s">
        <v>11404</v>
      </c>
    </row>
    <row r="5598">
      <c r="A5598" s="39"/>
      <c r="E5598" s="40" t="s">
        <v>11404</v>
      </c>
      <c r="F5598" s="40" t="s">
        <v>11404</v>
      </c>
      <c r="G5598" s="40" t="s">
        <v>11404</v>
      </c>
      <c r="H5598" s="40" t="s">
        <v>11404</v>
      </c>
    </row>
    <row r="5599">
      <c r="A5599" s="39"/>
      <c r="E5599" s="40" t="s">
        <v>11404</v>
      </c>
      <c r="F5599" s="40" t="s">
        <v>11404</v>
      </c>
      <c r="G5599" s="40" t="s">
        <v>11404</v>
      </c>
      <c r="H5599" s="40" t="s">
        <v>11404</v>
      </c>
    </row>
    <row r="5600">
      <c r="A5600" s="39"/>
      <c r="E5600" s="40" t="s">
        <v>11404</v>
      </c>
      <c r="F5600" s="40" t="s">
        <v>11404</v>
      </c>
      <c r="G5600" s="40" t="s">
        <v>11404</v>
      </c>
      <c r="H5600" s="40" t="s">
        <v>11404</v>
      </c>
    </row>
    <row r="5601">
      <c r="A5601" s="39"/>
      <c r="E5601" s="40" t="s">
        <v>11404</v>
      </c>
      <c r="F5601" s="40" t="s">
        <v>11404</v>
      </c>
      <c r="G5601" s="40" t="s">
        <v>11404</v>
      </c>
      <c r="H5601" s="40" t="s">
        <v>11404</v>
      </c>
    </row>
    <row r="5602">
      <c r="A5602" s="39"/>
      <c r="E5602" s="40" t="s">
        <v>11404</v>
      </c>
      <c r="F5602" s="40" t="s">
        <v>11404</v>
      </c>
      <c r="G5602" s="40" t="s">
        <v>11404</v>
      </c>
      <c r="H5602" s="40" t="s">
        <v>11404</v>
      </c>
    </row>
    <row r="5603">
      <c r="A5603" s="39"/>
      <c r="E5603" s="40" t="s">
        <v>11404</v>
      </c>
      <c r="F5603" s="40" t="s">
        <v>11404</v>
      </c>
      <c r="G5603" s="40" t="s">
        <v>11404</v>
      </c>
      <c r="H5603" s="40" t="s">
        <v>11404</v>
      </c>
    </row>
    <row r="5604">
      <c r="A5604" s="39"/>
      <c r="E5604" s="40" t="s">
        <v>11404</v>
      </c>
      <c r="F5604" s="40" t="s">
        <v>11404</v>
      </c>
      <c r="G5604" s="40" t="s">
        <v>11404</v>
      </c>
      <c r="H5604" s="40" t="s">
        <v>11404</v>
      </c>
    </row>
    <row r="5605">
      <c r="A5605" s="39"/>
      <c r="E5605" s="40" t="s">
        <v>11404</v>
      </c>
      <c r="F5605" s="40" t="s">
        <v>11404</v>
      </c>
      <c r="G5605" s="40" t="s">
        <v>11404</v>
      </c>
      <c r="H5605" s="40" t="s">
        <v>11404</v>
      </c>
    </row>
    <row r="5606">
      <c r="A5606" s="39"/>
      <c r="E5606" s="40" t="s">
        <v>11404</v>
      </c>
      <c r="F5606" s="40" t="s">
        <v>11404</v>
      </c>
      <c r="G5606" s="40" t="s">
        <v>11404</v>
      </c>
      <c r="H5606" s="40" t="s">
        <v>11404</v>
      </c>
    </row>
    <row r="5607">
      <c r="A5607" s="39"/>
      <c r="E5607" s="40" t="s">
        <v>11404</v>
      </c>
      <c r="F5607" s="40" t="s">
        <v>11404</v>
      </c>
      <c r="G5607" s="40" t="s">
        <v>11404</v>
      </c>
      <c r="H5607" s="40" t="s">
        <v>11404</v>
      </c>
    </row>
    <row r="5608">
      <c r="A5608" s="39"/>
      <c r="E5608" s="40" t="s">
        <v>11404</v>
      </c>
      <c r="F5608" s="40" t="s">
        <v>11404</v>
      </c>
      <c r="G5608" s="40" t="s">
        <v>11404</v>
      </c>
      <c r="H5608" s="40" t="s">
        <v>11404</v>
      </c>
    </row>
    <row r="5609">
      <c r="A5609" s="39"/>
      <c r="E5609" s="40" t="s">
        <v>11404</v>
      </c>
      <c r="F5609" s="40" t="s">
        <v>11404</v>
      </c>
      <c r="G5609" s="40" t="s">
        <v>11404</v>
      </c>
      <c r="H5609" s="40" t="s">
        <v>11404</v>
      </c>
    </row>
    <row r="5610">
      <c r="A5610" s="39"/>
      <c r="E5610" s="40" t="s">
        <v>11404</v>
      </c>
      <c r="F5610" s="40" t="s">
        <v>11404</v>
      </c>
      <c r="G5610" s="40" t="s">
        <v>11404</v>
      </c>
      <c r="H5610" s="40" t="s">
        <v>11404</v>
      </c>
    </row>
    <row r="5611">
      <c r="A5611" s="39"/>
      <c r="E5611" s="40" t="s">
        <v>11404</v>
      </c>
      <c r="F5611" s="40" t="s">
        <v>11404</v>
      </c>
      <c r="G5611" s="40" t="s">
        <v>11404</v>
      </c>
      <c r="H5611" s="40" t="s">
        <v>11404</v>
      </c>
    </row>
    <row r="5612">
      <c r="A5612" s="39"/>
      <c r="E5612" s="40" t="s">
        <v>11404</v>
      </c>
      <c r="F5612" s="40" t="s">
        <v>11404</v>
      </c>
      <c r="G5612" s="40" t="s">
        <v>11404</v>
      </c>
      <c r="H5612" s="40" t="s">
        <v>11404</v>
      </c>
    </row>
    <row r="5613">
      <c r="A5613" s="39"/>
      <c r="E5613" s="40" t="s">
        <v>11404</v>
      </c>
      <c r="F5613" s="40" t="s">
        <v>11404</v>
      </c>
      <c r="G5613" s="40" t="s">
        <v>11404</v>
      </c>
      <c r="H5613" s="40" t="s">
        <v>11404</v>
      </c>
    </row>
    <row r="5614">
      <c r="A5614" s="39"/>
      <c r="E5614" s="40" t="s">
        <v>11404</v>
      </c>
      <c r="F5614" s="40" t="s">
        <v>11404</v>
      </c>
      <c r="G5614" s="40" t="s">
        <v>11404</v>
      </c>
      <c r="H5614" s="40" t="s">
        <v>11404</v>
      </c>
    </row>
    <row r="5615">
      <c r="A5615" s="39"/>
      <c r="E5615" s="40" t="s">
        <v>11404</v>
      </c>
      <c r="F5615" s="40" t="s">
        <v>11404</v>
      </c>
      <c r="G5615" s="40" t="s">
        <v>11404</v>
      </c>
      <c r="H5615" s="40" t="s">
        <v>11404</v>
      </c>
    </row>
    <row r="5616">
      <c r="A5616" s="39"/>
      <c r="E5616" s="40" t="s">
        <v>11404</v>
      </c>
      <c r="F5616" s="40" t="s">
        <v>11404</v>
      </c>
      <c r="G5616" s="40" t="s">
        <v>11404</v>
      </c>
      <c r="H5616" s="40" t="s">
        <v>11404</v>
      </c>
    </row>
    <row r="5617">
      <c r="A5617" s="39"/>
      <c r="E5617" s="40" t="s">
        <v>11404</v>
      </c>
      <c r="F5617" s="40" t="s">
        <v>11404</v>
      </c>
      <c r="G5617" s="40" t="s">
        <v>11404</v>
      </c>
      <c r="H5617" s="40" t="s">
        <v>11404</v>
      </c>
    </row>
    <row r="5618">
      <c r="A5618" s="39"/>
      <c r="E5618" s="40" t="s">
        <v>11404</v>
      </c>
      <c r="F5618" s="40" t="s">
        <v>11404</v>
      </c>
      <c r="G5618" s="40" t="s">
        <v>11404</v>
      </c>
      <c r="H5618" s="40" t="s">
        <v>11404</v>
      </c>
    </row>
    <row r="5619">
      <c r="A5619" s="39"/>
      <c r="E5619" s="40" t="s">
        <v>11404</v>
      </c>
      <c r="F5619" s="40" t="s">
        <v>11404</v>
      </c>
      <c r="G5619" s="40" t="s">
        <v>11404</v>
      </c>
      <c r="H5619" s="40" t="s">
        <v>11404</v>
      </c>
    </row>
    <row r="5620">
      <c r="A5620" s="39"/>
      <c r="E5620" s="40" t="s">
        <v>11404</v>
      </c>
      <c r="F5620" s="40" t="s">
        <v>11404</v>
      </c>
      <c r="G5620" s="40" t="s">
        <v>11404</v>
      </c>
      <c r="H5620" s="40" t="s">
        <v>11404</v>
      </c>
    </row>
    <row r="5621">
      <c r="A5621" s="39"/>
      <c r="E5621" s="40" t="s">
        <v>11404</v>
      </c>
      <c r="F5621" s="40" t="s">
        <v>11404</v>
      </c>
      <c r="G5621" s="40" t="s">
        <v>11404</v>
      </c>
      <c r="H5621" s="40" t="s">
        <v>11404</v>
      </c>
    </row>
    <row r="5622">
      <c r="A5622" s="39"/>
      <c r="E5622" s="40" t="s">
        <v>11404</v>
      </c>
      <c r="F5622" s="40" t="s">
        <v>11404</v>
      </c>
      <c r="G5622" s="40" t="s">
        <v>11404</v>
      </c>
      <c r="H5622" s="40" t="s">
        <v>11404</v>
      </c>
    </row>
    <row r="5623">
      <c r="A5623" s="39"/>
      <c r="E5623" s="40" t="s">
        <v>11404</v>
      </c>
      <c r="F5623" s="40" t="s">
        <v>11404</v>
      </c>
      <c r="G5623" s="40" t="s">
        <v>11404</v>
      </c>
      <c r="H5623" s="40" t="s">
        <v>11404</v>
      </c>
    </row>
    <row r="5624">
      <c r="A5624" s="39"/>
      <c r="E5624" s="40" t="s">
        <v>11404</v>
      </c>
      <c r="F5624" s="40" t="s">
        <v>11404</v>
      </c>
      <c r="G5624" s="40" t="s">
        <v>11404</v>
      </c>
      <c r="H5624" s="40" t="s">
        <v>11404</v>
      </c>
    </row>
    <row r="5625">
      <c r="A5625" s="39"/>
      <c r="E5625" s="40" t="s">
        <v>11404</v>
      </c>
      <c r="F5625" s="40" t="s">
        <v>11404</v>
      </c>
      <c r="G5625" s="40" t="s">
        <v>11404</v>
      </c>
      <c r="H5625" s="40" t="s">
        <v>11404</v>
      </c>
    </row>
    <row r="5626">
      <c r="A5626" s="39"/>
      <c r="E5626" s="40" t="s">
        <v>11404</v>
      </c>
      <c r="F5626" s="40" t="s">
        <v>11404</v>
      </c>
      <c r="G5626" s="40" t="s">
        <v>11404</v>
      </c>
      <c r="H5626" s="40" t="s">
        <v>11404</v>
      </c>
    </row>
    <row r="5627">
      <c r="A5627" s="39"/>
      <c r="E5627" s="40" t="s">
        <v>11404</v>
      </c>
      <c r="F5627" s="40" t="s">
        <v>11404</v>
      </c>
      <c r="G5627" s="40" t="s">
        <v>11404</v>
      </c>
      <c r="H5627" s="40" t="s">
        <v>11404</v>
      </c>
    </row>
    <row r="5628">
      <c r="A5628" s="39"/>
      <c r="E5628" s="40" t="s">
        <v>11404</v>
      </c>
      <c r="F5628" s="40" t="s">
        <v>11404</v>
      </c>
      <c r="G5628" s="40" t="s">
        <v>11404</v>
      </c>
      <c r="H5628" s="40" t="s">
        <v>11404</v>
      </c>
    </row>
    <row r="5629">
      <c r="A5629" s="39"/>
      <c r="E5629" s="40" t="s">
        <v>11404</v>
      </c>
      <c r="F5629" s="40" t="s">
        <v>11404</v>
      </c>
      <c r="G5629" s="40" t="s">
        <v>11404</v>
      </c>
      <c r="H5629" s="40" t="s">
        <v>11404</v>
      </c>
    </row>
    <row r="5630">
      <c r="A5630" s="39"/>
      <c r="E5630" s="40" t="s">
        <v>11404</v>
      </c>
      <c r="F5630" s="40" t="s">
        <v>11404</v>
      </c>
      <c r="G5630" s="40" t="s">
        <v>11404</v>
      </c>
      <c r="H5630" s="40" t="s">
        <v>11404</v>
      </c>
    </row>
    <row r="5631">
      <c r="A5631" s="39"/>
      <c r="E5631" s="40" t="s">
        <v>11404</v>
      </c>
      <c r="F5631" s="40" t="s">
        <v>11404</v>
      </c>
      <c r="G5631" s="40" t="s">
        <v>11404</v>
      </c>
      <c r="H5631" s="40" t="s">
        <v>11404</v>
      </c>
    </row>
    <row r="5632">
      <c r="A5632" s="39"/>
      <c r="E5632" s="40" t="s">
        <v>11404</v>
      </c>
      <c r="F5632" s="40" t="s">
        <v>11404</v>
      </c>
      <c r="G5632" s="40" t="s">
        <v>11404</v>
      </c>
      <c r="H5632" s="40" t="s">
        <v>11404</v>
      </c>
    </row>
    <row r="5633">
      <c r="A5633" s="39"/>
      <c r="E5633" s="40" t="s">
        <v>11404</v>
      </c>
      <c r="F5633" s="40" t="s">
        <v>11404</v>
      </c>
      <c r="G5633" s="40" t="s">
        <v>11404</v>
      </c>
      <c r="H5633" s="40" t="s">
        <v>11404</v>
      </c>
    </row>
    <row r="5634">
      <c r="A5634" s="39"/>
      <c r="E5634" s="40" t="s">
        <v>11404</v>
      </c>
      <c r="F5634" s="40" t="s">
        <v>11404</v>
      </c>
      <c r="G5634" s="40" t="s">
        <v>11404</v>
      </c>
      <c r="H5634" s="40" t="s">
        <v>11404</v>
      </c>
    </row>
    <row r="5635">
      <c r="A5635" s="39"/>
      <c r="E5635" s="40" t="s">
        <v>11404</v>
      </c>
      <c r="F5635" s="40" t="s">
        <v>11404</v>
      </c>
      <c r="G5635" s="40" t="s">
        <v>11404</v>
      </c>
      <c r="H5635" s="40" t="s">
        <v>11404</v>
      </c>
    </row>
    <row r="5636">
      <c r="A5636" s="39"/>
      <c r="E5636" s="40" t="s">
        <v>11404</v>
      </c>
      <c r="F5636" s="40" t="s">
        <v>11404</v>
      </c>
      <c r="G5636" s="40" t="s">
        <v>11404</v>
      </c>
      <c r="H5636" s="40" t="s">
        <v>11404</v>
      </c>
    </row>
    <row r="5637">
      <c r="A5637" s="39"/>
      <c r="E5637" s="40" t="s">
        <v>11404</v>
      </c>
      <c r="F5637" s="40" t="s">
        <v>11404</v>
      </c>
      <c r="G5637" s="40" t="s">
        <v>11404</v>
      </c>
      <c r="H5637" s="40" t="s">
        <v>11404</v>
      </c>
    </row>
    <row r="5638">
      <c r="A5638" s="39"/>
      <c r="E5638" s="40" t="s">
        <v>11404</v>
      </c>
      <c r="F5638" s="40" t="s">
        <v>11404</v>
      </c>
      <c r="G5638" s="40" t="s">
        <v>11404</v>
      </c>
      <c r="H5638" s="40" t="s">
        <v>11404</v>
      </c>
    </row>
    <row r="5639">
      <c r="A5639" s="39"/>
      <c r="E5639" s="40" t="s">
        <v>11404</v>
      </c>
      <c r="F5639" s="40" t="s">
        <v>11404</v>
      </c>
      <c r="G5639" s="40" t="s">
        <v>11404</v>
      </c>
      <c r="H5639" s="40" t="s">
        <v>11404</v>
      </c>
    </row>
    <row r="5640">
      <c r="A5640" s="39"/>
      <c r="E5640" s="40" t="s">
        <v>11404</v>
      </c>
      <c r="F5640" s="40" t="s">
        <v>11404</v>
      </c>
      <c r="G5640" s="40" t="s">
        <v>11404</v>
      </c>
      <c r="H5640" s="40" t="s">
        <v>11404</v>
      </c>
    </row>
    <row r="5641">
      <c r="A5641" s="39"/>
      <c r="E5641" s="40" t="s">
        <v>11404</v>
      </c>
      <c r="F5641" s="40" t="s">
        <v>11404</v>
      </c>
      <c r="G5641" s="40" t="s">
        <v>11404</v>
      </c>
      <c r="H5641" s="40" t="s">
        <v>11404</v>
      </c>
    </row>
    <row r="5642">
      <c r="A5642" s="39"/>
      <c r="E5642" s="40" t="s">
        <v>11404</v>
      </c>
      <c r="F5642" s="40" t="s">
        <v>11404</v>
      </c>
      <c r="G5642" s="40" t="s">
        <v>11404</v>
      </c>
      <c r="H5642" s="40" t="s">
        <v>11404</v>
      </c>
    </row>
    <row r="5643">
      <c r="A5643" s="39"/>
      <c r="E5643" s="40" t="s">
        <v>11404</v>
      </c>
      <c r="F5643" s="40" t="s">
        <v>11404</v>
      </c>
      <c r="G5643" s="40" t="s">
        <v>11404</v>
      </c>
      <c r="H5643" s="40" t="s">
        <v>11404</v>
      </c>
    </row>
    <row r="5644">
      <c r="A5644" s="39"/>
      <c r="E5644" s="40" t="s">
        <v>11404</v>
      </c>
      <c r="F5644" s="40" t="s">
        <v>11404</v>
      </c>
      <c r="G5644" s="40" t="s">
        <v>11404</v>
      </c>
      <c r="H5644" s="40" t="s">
        <v>11404</v>
      </c>
    </row>
    <row r="5645">
      <c r="A5645" s="39"/>
      <c r="E5645" s="40" t="s">
        <v>11404</v>
      </c>
      <c r="F5645" s="40" t="s">
        <v>11404</v>
      </c>
      <c r="G5645" s="40" t="s">
        <v>11404</v>
      </c>
      <c r="H5645" s="40" t="s">
        <v>11404</v>
      </c>
    </row>
    <row r="5646">
      <c r="A5646" s="39"/>
      <c r="E5646" s="40" t="s">
        <v>11404</v>
      </c>
      <c r="F5646" s="40" t="s">
        <v>11404</v>
      </c>
      <c r="G5646" s="40" t="s">
        <v>11404</v>
      </c>
      <c r="H5646" s="40" t="s">
        <v>11404</v>
      </c>
    </row>
    <row r="5647">
      <c r="A5647" s="39"/>
      <c r="E5647" s="40" t="s">
        <v>11404</v>
      </c>
      <c r="F5647" s="40" t="s">
        <v>11404</v>
      </c>
      <c r="G5647" s="40" t="s">
        <v>11404</v>
      </c>
      <c r="H5647" s="40" t="s">
        <v>11404</v>
      </c>
    </row>
    <row r="5648">
      <c r="A5648" s="39"/>
      <c r="E5648" s="40" t="s">
        <v>11404</v>
      </c>
      <c r="F5648" s="40" t="s">
        <v>11404</v>
      </c>
      <c r="G5648" s="40" t="s">
        <v>11404</v>
      </c>
      <c r="H5648" s="40" t="s">
        <v>11404</v>
      </c>
    </row>
    <row r="5649">
      <c r="A5649" s="39"/>
      <c r="E5649" s="40" t="s">
        <v>11404</v>
      </c>
      <c r="F5649" s="40" t="s">
        <v>11404</v>
      </c>
      <c r="G5649" s="40" t="s">
        <v>11404</v>
      </c>
      <c r="H5649" s="40" t="s">
        <v>11404</v>
      </c>
    </row>
    <row r="5650">
      <c r="A5650" s="39"/>
      <c r="E5650" s="40" t="s">
        <v>11404</v>
      </c>
      <c r="F5650" s="40" t="s">
        <v>11404</v>
      </c>
      <c r="G5650" s="40" t="s">
        <v>11404</v>
      </c>
      <c r="H5650" s="40" t="s">
        <v>11404</v>
      </c>
    </row>
    <row r="5651">
      <c r="A5651" s="39"/>
      <c r="E5651" s="40" t="s">
        <v>11404</v>
      </c>
      <c r="F5651" s="40" t="s">
        <v>11404</v>
      </c>
      <c r="G5651" s="40" t="s">
        <v>11404</v>
      </c>
      <c r="H5651" s="40" t="s">
        <v>11404</v>
      </c>
    </row>
    <row r="5652">
      <c r="A5652" s="39"/>
      <c r="E5652" s="40" t="s">
        <v>11404</v>
      </c>
      <c r="F5652" s="40" t="s">
        <v>11404</v>
      </c>
      <c r="G5652" s="40" t="s">
        <v>11404</v>
      </c>
      <c r="H5652" s="40" t="s">
        <v>11404</v>
      </c>
    </row>
    <row r="5653">
      <c r="A5653" s="39"/>
      <c r="E5653" s="40" t="s">
        <v>11404</v>
      </c>
      <c r="F5653" s="40" t="s">
        <v>11404</v>
      </c>
      <c r="G5653" s="40" t="s">
        <v>11404</v>
      </c>
      <c r="H5653" s="40" t="s">
        <v>11404</v>
      </c>
    </row>
    <row r="5654">
      <c r="A5654" s="39"/>
      <c r="E5654" s="40" t="s">
        <v>11404</v>
      </c>
      <c r="F5654" s="40" t="s">
        <v>11404</v>
      </c>
      <c r="G5654" s="40" t="s">
        <v>11404</v>
      </c>
      <c r="H5654" s="40" t="s">
        <v>11404</v>
      </c>
    </row>
    <row r="5655">
      <c r="A5655" s="39"/>
      <c r="E5655" s="40" t="s">
        <v>11404</v>
      </c>
      <c r="F5655" s="40" t="s">
        <v>11404</v>
      </c>
      <c r="G5655" s="40" t="s">
        <v>11404</v>
      </c>
      <c r="H5655" s="40" t="s">
        <v>11404</v>
      </c>
    </row>
    <row r="5656">
      <c r="A5656" s="39"/>
      <c r="E5656" s="40" t="s">
        <v>11404</v>
      </c>
      <c r="F5656" s="40" t="s">
        <v>11404</v>
      </c>
      <c r="G5656" s="40" t="s">
        <v>11404</v>
      </c>
      <c r="H5656" s="40" t="s">
        <v>11404</v>
      </c>
    </row>
    <row r="5657">
      <c r="A5657" s="39"/>
      <c r="E5657" s="40" t="s">
        <v>11404</v>
      </c>
      <c r="F5657" s="40" t="s">
        <v>11404</v>
      </c>
      <c r="G5657" s="40" t="s">
        <v>11404</v>
      </c>
      <c r="H5657" s="40" t="s">
        <v>11404</v>
      </c>
    </row>
    <row r="5658">
      <c r="A5658" s="39"/>
      <c r="E5658" s="40" t="s">
        <v>11404</v>
      </c>
      <c r="F5658" s="40" t="s">
        <v>11404</v>
      </c>
      <c r="G5658" s="40" t="s">
        <v>11404</v>
      </c>
      <c r="H5658" s="40" t="s">
        <v>11404</v>
      </c>
    </row>
    <row r="5659">
      <c r="A5659" s="39"/>
      <c r="E5659" s="40" t="s">
        <v>11404</v>
      </c>
      <c r="F5659" s="40" t="s">
        <v>11404</v>
      </c>
      <c r="G5659" s="40" t="s">
        <v>11404</v>
      </c>
      <c r="H5659" s="40" t="s">
        <v>11404</v>
      </c>
    </row>
    <row r="5660">
      <c r="A5660" s="39"/>
      <c r="E5660" s="40" t="s">
        <v>11404</v>
      </c>
      <c r="F5660" s="40" t="s">
        <v>11404</v>
      </c>
      <c r="G5660" s="40" t="s">
        <v>11404</v>
      </c>
      <c r="H5660" s="40" t="s">
        <v>11404</v>
      </c>
    </row>
    <row r="5661">
      <c r="A5661" s="39"/>
      <c r="E5661" s="40" t="s">
        <v>11404</v>
      </c>
      <c r="F5661" s="40" t="s">
        <v>11404</v>
      </c>
      <c r="G5661" s="40" t="s">
        <v>11404</v>
      </c>
      <c r="H5661" s="40" t="s">
        <v>11404</v>
      </c>
    </row>
    <row r="5662">
      <c r="A5662" s="39"/>
      <c r="E5662" s="40" t="s">
        <v>11404</v>
      </c>
      <c r="F5662" s="40" t="s">
        <v>11404</v>
      </c>
      <c r="G5662" s="40" t="s">
        <v>11404</v>
      </c>
      <c r="H5662" s="40" t="s">
        <v>11404</v>
      </c>
    </row>
    <row r="5663">
      <c r="A5663" s="39"/>
      <c r="E5663" s="40" t="s">
        <v>11404</v>
      </c>
      <c r="F5663" s="40" t="s">
        <v>11404</v>
      </c>
      <c r="G5663" s="40" t="s">
        <v>11404</v>
      </c>
      <c r="H5663" s="40" t="s">
        <v>11404</v>
      </c>
    </row>
    <row r="5664">
      <c r="A5664" s="39"/>
      <c r="E5664" s="40" t="s">
        <v>11404</v>
      </c>
      <c r="F5664" s="40" t="s">
        <v>11404</v>
      </c>
      <c r="G5664" s="40" t="s">
        <v>11404</v>
      </c>
      <c r="H5664" s="40" t="s">
        <v>11404</v>
      </c>
    </row>
    <row r="5665">
      <c r="A5665" s="39"/>
      <c r="E5665" s="40" t="s">
        <v>11404</v>
      </c>
      <c r="F5665" s="40" t="s">
        <v>11404</v>
      </c>
      <c r="G5665" s="40" t="s">
        <v>11404</v>
      </c>
      <c r="H5665" s="40" t="s">
        <v>11404</v>
      </c>
    </row>
    <row r="5666">
      <c r="A5666" s="39"/>
      <c r="E5666" s="40" t="s">
        <v>11404</v>
      </c>
      <c r="F5666" s="40" t="s">
        <v>11404</v>
      </c>
      <c r="G5666" s="40" t="s">
        <v>11404</v>
      </c>
      <c r="H5666" s="40" t="s">
        <v>11404</v>
      </c>
    </row>
    <row r="5667">
      <c r="A5667" s="39"/>
      <c r="E5667" s="40" t="s">
        <v>11404</v>
      </c>
      <c r="F5667" s="40" t="s">
        <v>11404</v>
      </c>
      <c r="G5667" s="40" t="s">
        <v>11404</v>
      </c>
      <c r="H5667" s="40" t="s">
        <v>11404</v>
      </c>
    </row>
    <row r="5668">
      <c r="A5668" s="39"/>
      <c r="E5668" s="40" t="s">
        <v>11404</v>
      </c>
      <c r="F5668" s="40" t="s">
        <v>11404</v>
      </c>
      <c r="G5668" s="40" t="s">
        <v>11404</v>
      </c>
      <c r="H5668" s="40" t="s">
        <v>11404</v>
      </c>
    </row>
    <row r="5669">
      <c r="A5669" s="39"/>
      <c r="E5669" s="40" t="s">
        <v>11404</v>
      </c>
      <c r="F5669" s="40" t="s">
        <v>11404</v>
      </c>
      <c r="G5669" s="40" t="s">
        <v>11404</v>
      </c>
      <c r="H5669" s="40" t="s">
        <v>11404</v>
      </c>
    </row>
    <row r="5670">
      <c r="A5670" s="39"/>
      <c r="E5670" s="40" t="s">
        <v>11404</v>
      </c>
      <c r="F5670" s="40" t="s">
        <v>11404</v>
      </c>
      <c r="G5670" s="40" t="s">
        <v>11404</v>
      </c>
      <c r="H5670" s="40" t="s">
        <v>11404</v>
      </c>
    </row>
    <row r="5671">
      <c r="A5671" s="39"/>
      <c r="E5671" s="40" t="s">
        <v>11404</v>
      </c>
      <c r="F5671" s="40" t="s">
        <v>11404</v>
      </c>
      <c r="G5671" s="40" t="s">
        <v>11404</v>
      </c>
      <c r="H5671" s="40" t="s">
        <v>11404</v>
      </c>
    </row>
    <row r="5672">
      <c r="A5672" s="39"/>
      <c r="E5672" s="40" t="s">
        <v>11404</v>
      </c>
      <c r="F5672" s="40" t="s">
        <v>11404</v>
      </c>
      <c r="G5672" s="40" t="s">
        <v>11404</v>
      </c>
      <c r="H5672" s="40" t="s">
        <v>11404</v>
      </c>
    </row>
    <row r="5673">
      <c r="A5673" s="39"/>
      <c r="E5673" s="40" t="s">
        <v>11404</v>
      </c>
      <c r="F5673" s="40" t="s">
        <v>11404</v>
      </c>
      <c r="G5673" s="40" t="s">
        <v>11404</v>
      </c>
      <c r="H5673" s="40" t="s">
        <v>11404</v>
      </c>
    </row>
    <row r="5674">
      <c r="A5674" s="39"/>
      <c r="E5674" s="40" t="s">
        <v>11404</v>
      </c>
      <c r="F5674" s="40" t="s">
        <v>11404</v>
      </c>
      <c r="G5674" s="40" t="s">
        <v>11404</v>
      </c>
      <c r="H5674" s="40" t="s">
        <v>11404</v>
      </c>
    </row>
    <row r="5675">
      <c r="A5675" s="39"/>
      <c r="E5675" s="40" t="s">
        <v>11404</v>
      </c>
      <c r="F5675" s="40" t="s">
        <v>11404</v>
      </c>
      <c r="G5675" s="40" t="s">
        <v>11404</v>
      </c>
      <c r="H5675" s="40" t="s">
        <v>11404</v>
      </c>
    </row>
    <row r="5676">
      <c r="A5676" s="39"/>
      <c r="E5676" s="40" t="s">
        <v>11404</v>
      </c>
      <c r="F5676" s="40" t="s">
        <v>11404</v>
      </c>
      <c r="G5676" s="40" t="s">
        <v>11404</v>
      </c>
      <c r="H5676" s="40" t="s">
        <v>11404</v>
      </c>
    </row>
    <row r="5677">
      <c r="A5677" s="39"/>
      <c r="E5677" s="40" t="s">
        <v>11404</v>
      </c>
      <c r="F5677" s="40" t="s">
        <v>11404</v>
      </c>
      <c r="G5677" s="40" t="s">
        <v>11404</v>
      </c>
      <c r="H5677" s="40" t="s">
        <v>11404</v>
      </c>
    </row>
    <row r="5678">
      <c r="A5678" s="39"/>
      <c r="E5678" s="40" t="s">
        <v>11404</v>
      </c>
      <c r="F5678" s="40" t="s">
        <v>11404</v>
      </c>
      <c r="G5678" s="40" t="s">
        <v>11404</v>
      </c>
      <c r="H5678" s="40" t="s">
        <v>11404</v>
      </c>
    </row>
    <row r="5679">
      <c r="A5679" s="39"/>
      <c r="E5679" s="40" t="s">
        <v>11404</v>
      </c>
      <c r="F5679" s="40" t="s">
        <v>11404</v>
      </c>
      <c r="G5679" s="40" t="s">
        <v>11404</v>
      </c>
      <c r="H5679" s="40" t="s">
        <v>11404</v>
      </c>
    </row>
    <row r="5680">
      <c r="A5680" s="39"/>
      <c r="E5680" s="40" t="s">
        <v>11404</v>
      </c>
      <c r="F5680" s="40" t="s">
        <v>11404</v>
      </c>
      <c r="G5680" s="40" t="s">
        <v>11404</v>
      </c>
      <c r="H5680" s="40" t="s">
        <v>11404</v>
      </c>
    </row>
    <row r="5681">
      <c r="A5681" s="39"/>
      <c r="E5681" s="40" t="s">
        <v>11404</v>
      </c>
      <c r="F5681" s="40" t="s">
        <v>11404</v>
      </c>
      <c r="G5681" s="40" t="s">
        <v>11404</v>
      </c>
      <c r="H5681" s="40" t="s">
        <v>11404</v>
      </c>
    </row>
    <row r="5682">
      <c r="A5682" s="39"/>
      <c r="E5682" s="40" t="s">
        <v>11404</v>
      </c>
      <c r="F5682" s="40" t="s">
        <v>11404</v>
      </c>
      <c r="G5682" s="40" t="s">
        <v>11404</v>
      </c>
      <c r="H5682" s="40" t="s">
        <v>11404</v>
      </c>
    </row>
    <row r="5683">
      <c r="A5683" s="39"/>
      <c r="E5683" s="40" t="s">
        <v>11404</v>
      </c>
      <c r="F5683" s="40" t="s">
        <v>11404</v>
      </c>
      <c r="G5683" s="40" t="s">
        <v>11404</v>
      </c>
      <c r="H5683" s="40" t="s">
        <v>11404</v>
      </c>
    </row>
    <row r="5684">
      <c r="A5684" s="39"/>
      <c r="E5684" s="40" t="s">
        <v>11404</v>
      </c>
      <c r="F5684" s="40" t="s">
        <v>11404</v>
      </c>
      <c r="G5684" s="40" t="s">
        <v>11404</v>
      </c>
      <c r="H5684" s="40" t="s">
        <v>11404</v>
      </c>
    </row>
    <row r="5685">
      <c r="A5685" s="39"/>
      <c r="E5685" s="40" t="s">
        <v>11404</v>
      </c>
      <c r="F5685" s="40" t="s">
        <v>11404</v>
      </c>
      <c r="G5685" s="40" t="s">
        <v>11404</v>
      </c>
      <c r="H5685" s="40" t="s">
        <v>11404</v>
      </c>
    </row>
    <row r="5686">
      <c r="A5686" s="39"/>
      <c r="E5686" s="40" t="s">
        <v>11404</v>
      </c>
      <c r="F5686" s="40" t="s">
        <v>11404</v>
      </c>
      <c r="G5686" s="40" t="s">
        <v>11404</v>
      </c>
      <c r="H5686" s="40" t="s">
        <v>11404</v>
      </c>
    </row>
    <row r="5687">
      <c r="A5687" s="39"/>
      <c r="E5687" s="40" t="s">
        <v>11404</v>
      </c>
      <c r="F5687" s="40" t="s">
        <v>11404</v>
      </c>
      <c r="G5687" s="40" t="s">
        <v>11404</v>
      </c>
      <c r="H5687" s="40" t="s">
        <v>11404</v>
      </c>
    </row>
    <row r="5688">
      <c r="A5688" s="39"/>
      <c r="E5688" s="40" t="s">
        <v>11404</v>
      </c>
      <c r="F5688" s="40" t="s">
        <v>11404</v>
      </c>
      <c r="G5688" s="40" t="s">
        <v>11404</v>
      </c>
      <c r="H5688" s="40" t="s">
        <v>11404</v>
      </c>
    </row>
    <row r="5689">
      <c r="A5689" s="39"/>
      <c r="E5689" s="40" t="s">
        <v>11404</v>
      </c>
      <c r="F5689" s="40" t="s">
        <v>11404</v>
      </c>
      <c r="G5689" s="40" t="s">
        <v>11404</v>
      </c>
      <c r="H5689" s="40" t="s">
        <v>11404</v>
      </c>
    </row>
    <row r="5690">
      <c r="A5690" s="39"/>
      <c r="E5690" s="40" t="s">
        <v>11404</v>
      </c>
      <c r="F5690" s="40" t="s">
        <v>11404</v>
      </c>
      <c r="G5690" s="40" t="s">
        <v>11404</v>
      </c>
      <c r="H5690" s="40" t="s">
        <v>11404</v>
      </c>
    </row>
    <row r="5691">
      <c r="A5691" s="39"/>
      <c r="E5691" s="40" t="s">
        <v>11404</v>
      </c>
      <c r="F5691" s="40" t="s">
        <v>11404</v>
      </c>
      <c r="G5691" s="40" t="s">
        <v>11404</v>
      </c>
      <c r="H5691" s="40" t="s">
        <v>11404</v>
      </c>
    </row>
    <row r="5692">
      <c r="A5692" s="39"/>
      <c r="E5692" s="40" t="s">
        <v>11404</v>
      </c>
      <c r="F5692" s="40" t="s">
        <v>11404</v>
      </c>
      <c r="G5692" s="40" t="s">
        <v>11404</v>
      </c>
      <c r="H5692" s="40" t="s">
        <v>11404</v>
      </c>
    </row>
    <row r="5693">
      <c r="A5693" s="39"/>
      <c r="E5693" s="40" t="s">
        <v>11404</v>
      </c>
      <c r="F5693" s="40" t="s">
        <v>11404</v>
      </c>
      <c r="G5693" s="40" t="s">
        <v>11404</v>
      </c>
      <c r="H5693" s="40" t="s">
        <v>11404</v>
      </c>
    </row>
    <row r="5694">
      <c r="A5694" s="39"/>
      <c r="E5694" s="40" t="s">
        <v>11404</v>
      </c>
      <c r="F5694" s="40" t="s">
        <v>11404</v>
      </c>
      <c r="G5694" s="40" t="s">
        <v>11404</v>
      </c>
      <c r="H5694" s="40" t="s">
        <v>11404</v>
      </c>
    </row>
    <row r="5695">
      <c r="A5695" s="39"/>
      <c r="E5695" s="40" t="s">
        <v>11404</v>
      </c>
      <c r="F5695" s="40" t="s">
        <v>11404</v>
      </c>
      <c r="G5695" s="40" t="s">
        <v>11404</v>
      </c>
      <c r="H5695" s="40" t="s">
        <v>11404</v>
      </c>
    </row>
    <row r="5696">
      <c r="A5696" s="39"/>
      <c r="E5696" s="40" t="s">
        <v>11404</v>
      </c>
      <c r="F5696" s="40" t="s">
        <v>11404</v>
      </c>
      <c r="G5696" s="40" t="s">
        <v>11404</v>
      </c>
      <c r="H5696" s="40" t="s">
        <v>11404</v>
      </c>
    </row>
    <row r="5697">
      <c r="A5697" s="39"/>
      <c r="E5697" s="40" t="s">
        <v>11404</v>
      </c>
      <c r="F5697" s="40" t="s">
        <v>11404</v>
      </c>
      <c r="G5697" s="40" t="s">
        <v>11404</v>
      </c>
      <c r="H5697" s="40" t="s">
        <v>11404</v>
      </c>
    </row>
    <row r="5698">
      <c r="A5698" s="39"/>
      <c r="E5698" s="40" t="s">
        <v>11404</v>
      </c>
      <c r="F5698" s="40" t="s">
        <v>11404</v>
      </c>
      <c r="G5698" s="40" t="s">
        <v>11404</v>
      </c>
      <c r="H5698" s="40" t="s">
        <v>11404</v>
      </c>
    </row>
    <row r="5699">
      <c r="A5699" s="39"/>
      <c r="E5699" s="40" t="s">
        <v>11404</v>
      </c>
      <c r="F5699" s="40" t="s">
        <v>11404</v>
      </c>
      <c r="G5699" s="40" t="s">
        <v>11404</v>
      </c>
      <c r="H5699" s="40" t="s">
        <v>11404</v>
      </c>
    </row>
    <row r="5700">
      <c r="A5700" s="39"/>
      <c r="E5700" s="40" t="s">
        <v>11404</v>
      </c>
      <c r="F5700" s="40" t="s">
        <v>11404</v>
      </c>
      <c r="G5700" s="40" t="s">
        <v>11404</v>
      </c>
      <c r="H5700" s="40" t="s">
        <v>11404</v>
      </c>
    </row>
    <row r="5701">
      <c r="A5701" s="39"/>
      <c r="E5701" s="40" t="s">
        <v>11404</v>
      </c>
      <c r="F5701" s="40" t="s">
        <v>11404</v>
      </c>
      <c r="G5701" s="40" t="s">
        <v>11404</v>
      </c>
      <c r="H5701" s="40" t="s">
        <v>11404</v>
      </c>
    </row>
    <row r="5702">
      <c r="A5702" s="39"/>
      <c r="E5702" s="40" t="s">
        <v>11404</v>
      </c>
      <c r="F5702" s="40" t="s">
        <v>11404</v>
      </c>
      <c r="G5702" s="40" t="s">
        <v>11404</v>
      </c>
      <c r="H5702" s="40" t="s">
        <v>11404</v>
      </c>
    </row>
    <row r="5703">
      <c r="A5703" s="39"/>
      <c r="E5703" s="40" t="s">
        <v>11404</v>
      </c>
      <c r="F5703" s="40" t="s">
        <v>11404</v>
      </c>
      <c r="G5703" s="40" t="s">
        <v>11404</v>
      </c>
      <c r="H5703" s="40" t="s">
        <v>11404</v>
      </c>
    </row>
    <row r="5704">
      <c r="A5704" s="39"/>
      <c r="E5704" s="40" t="s">
        <v>11404</v>
      </c>
      <c r="F5704" s="40" t="s">
        <v>11404</v>
      </c>
      <c r="G5704" s="40" t="s">
        <v>11404</v>
      </c>
      <c r="H5704" s="40" t="s">
        <v>11404</v>
      </c>
    </row>
    <row r="5705">
      <c r="A5705" s="39"/>
      <c r="E5705" s="40" t="s">
        <v>11404</v>
      </c>
      <c r="F5705" s="40" t="s">
        <v>11404</v>
      </c>
      <c r="G5705" s="40" t="s">
        <v>11404</v>
      </c>
      <c r="H5705" s="40" t="s">
        <v>11404</v>
      </c>
    </row>
    <row r="5706">
      <c r="A5706" s="39"/>
      <c r="E5706" s="40" t="s">
        <v>11404</v>
      </c>
      <c r="F5706" s="40" t="s">
        <v>11404</v>
      </c>
      <c r="G5706" s="40" t="s">
        <v>11404</v>
      </c>
      <c r="H5706" s="40" t="s">
        <v>11404</v>
      </c>
    </row>
    <row r="5707">
      <c r="A5707" s="39"/>
      <c r="E5707" s="40" t="s">
        <v>11404</v>
      </c>
      <c r="F5707" s="40" t="s">
        <v>11404</v>
      </c>
      <c r="G5707" s="40" t="s">
        <v>11404</v>
      </c>
      <c r="H5707" s="40" t="s">
        <v>11404</v>
      </c>
    </row>
    <row r="5708">
      <c r="A5708" s="39"/>
      <c r="E5708" s="40" t="s">
        <v>11404</v>
      </c>
      <c r="F5708" s="40" t="s">
        <v>11404</v>
      </c>
      <c r="G5708" s="40" t="s">
        <v>11404</v>
      </c>
      <c r="H5708" s="40" t="s">
        <v>11404</v>
      </c>
    </row>
    <row r="5709">
      <c r="A5709" s="39"/>
      <c r="E5709" s="40" t="s">
        <v>11404</v>
      </c>
      <c r="F5709" s="40" t="s">
        <v>11404</v>
      </c>
      <c r="G5709" s="40" t="s">
        <v>11404</v>
      </c>
      <c r="H5709" s="40" t="s">
        <v>11404</v>
      </c>
    </row>
    <row r="5710">
      <c r="A5710" s="39"/>
      <c r="E5710" s="40" t="s">
        <v>11404</v>
      </c>
      <c r="F5710" s="40" t="s">
        <v>11404</v>
      </c>
      <c r="G5710" s="40" t="s">
        <v>11404</v>
      </c>
      <c r="H5710" s="40" t="s">
        <v>11404</v>
      </c>
    </row>
    <row r="5711">
      <c r="A5711" s="39"/>
      <c r="E5711" s="40" t="s">
        <v>11404</v>
      </c>
      <c r="F5711" s="40" t="s">
        <v>11404</v>
      </c>
      <c r="G5711" s="40" t="s">
        <v>11404</v>
      </c>
      <c r="H5711" s="40" t="s">
        <v>11404</v>
      </c>
    </row>
    <row r="5712">
      <c r="A5712" s="39"/>
      <c r="E5712" s="40" t="s">
        <v>11404</v>
      </c>
      <c r="F5712" s="40" t="s">
        <v>11404</v>
      </c>
      <c r="G5712" s="40" t="s">
        <v>11404</v>
      </c>
      <c r="H5712" s="40" t="s">
        <v>11404</v>
      </c>
    </row>
    <row r="5713">
      <c r="A5713" s="39"/>
      <c r="E5713" s="40" t="s">
        <v>11404</v>
      </c>
      <c r="F5713" s="40" t="s">
        <v>11404</v>
      </c>
      <c r="G5713" s="40" t="s">
        <v>11404</v>
      </c>
      <c r="H5713" s="40" t="s">
        <v>11404</v>
      </c>
    </row>
    <row r="5714">
      <c r="A5714" s="39"/>
      <c r="E5714" s="40" t="s">
        <v>11404</v>
      </c>
      <c r="F5714" s="40" t="s">
        <v>11404</v>
      </c>
      <c r="G5714" s="40" t="s">
        <v>11404</v>
      </c>
      <c r="H5714" s="40" t="s">
        <v>11404</v>
      </c>
    </row>
    <row r="5715">
      <c r="A5715" s="39"/>
      <c r="E5715" s="40" t="s">
        <v>11404</v>
      </c>
      <c r="F5715" s="40" t="s">
        <v>11404</v>
      </c>
      <c r="G5715" s="40" t="s">
        <v>11404</v>
      </c>
      <c r="H5715" s="40" t="s">
        <v>11404</v>
      </c>
    </row>
    <row r="5716">
      <c r="A5716" s="39"/>
      <c r="E5716" s="40" t="s">
        <v>11404</v>
      </c>
      <c r="F5716" s="40" t="s">
        <v>11404</v>
      </c>
      <c r="G5716" s="40" t="s">
        <v>11404</v>
      </c>
      <c r="H5716" s="40" t="s">
        <v>11404</v>
      </c>
    </row>
    <row r="5717">
      <c r="A5717" s="39"/>
      <c r="E5717" s="40" t="s">
        <v>11404</v>
      </c>
      <c r="F5717" s="40" t="s">
        <v>11404</v>
      </c>
      <c r="G5717" s="40" t="s">
        <v>11404</v>
      </c>
      <c r="H5717" s="40" t="s">
        <v>11404</v>
      </c>
    </row>
    <row r="5718">
      <c r="A5718" s="39"/>
      <c r="E5718" s="40" t="s">
        <v>11404</v>
      </c>
      <c r="F5718" s="40" t="s">
        <v>11404</v>
      </c>
      <c r="G5718" s="40" t="s">
        <v>11404</v>
      </c>
      <c r="H5718" s="40" t="s">
        <v>11404</v>
      </c>
    </row>
    <row r="5719">
      <c r="A5719" s="39"/>
      <c r="E5719" s="40" t="s">
        <v>11404</v>
      </c>
      <c r="F5719" s="40" t="s">
        <v>11404</v>
      </c>
      <c r="G5719" s="40" t="s">
        <v>11404</v>
      </c>
      <c r="H5719" s="40" t="s">
        <v>11404</v>
      </c>
    </row>
    <row r="5720">
      <c r="A5720" s="39"/>
      <c r="E5720" s="40" t="s">
        <v>11404</v>
      </c>
      <c r="F5720" s="40" t="s">
        <v>11404</v>
      </c>
      <c r="G5720" s="40" t="s">
        <v>11404</v>
      </c>
      <c r="H5720" s="40" t="s">
        <v>11404</v>
      </c>
    </row>
    <row r="5721">
      <c r="A5721" s="39"/>
      <c r="E5721" s="40" t="s">
        <v>11404</v>
      </c>
      <c r="F5721" s="40" t="s">
        <v>11404</v>
      </c>
      <c r="G5721" s="40" t="s">
        <v>11404</v>
      </c>
      <c r="H5721" s="40" t="s">
        <v>11404</v>
      </c>
    </row>
    <row r="5722">
      <c r="A5722" s="39"/>
      <c r="E5722" s="40" t="s">
        <v>11404</v>
      </c>
      <c r="F5722" s="40" t="s">
        <v>11404</v>
      </c>
      <c r="G5722" s="40" t="s">
        <v>11404</v>
      </c>
      <c r="H5722" s="40" t="s">
        <v>11404</v>
      </c>
    </row>
    <row r="5723">
      <c r="A5723" s="39"/>
      <c r="E5723" s="40" t="s">
        <v>11404</v>
      </c>
      <c r="F5723" s="40" t="s">
        <v>11404</v>
      </c>
      <c r="G5723" s="40" t="s">
        <v>11404</v>
      </c>
      <c r="H5723" s="40" t="s">
        <v>11404</v>
      </c>
    </row>
    <row r="5724">
      <c r="A5724" s="39"/>
      <c r="E5724" s="40" t="s">
        <v>11404</v>
      </c>
      <c r="F5724" s="40" t="s">
        <v>11404</v>
      </c>
      <c r="G5724" s="40" t="s">
        <v>11404</v>
      </c>
      <c r="H5724" s="40" t="s">
        <v>11404</v>
      </c>
    </row>
    <row r="5725">
      <c r="A5725" s="39"/>
      <c r="E5725" s="40" t="s">
        <v>11404</v>
      </c>
      <c r="F5725" s="40" t="s">
        <v>11404</v>
      </c>
      <c r="G5725" s="40" t="s">
        <v>11404</v>
      </c>
      <c r="H5725" s="40" t="s">
        <v>11404</v>
      </c>
    </row>
    <row r="5726">
      <c r="A5726" s="39"/>
      <c r="E5726" s="40" t="s">
        <v>11404</v>
      </c>
      <c r="F5726" s="40" t="s">
        <v>11404</v>
      </c>
      <c r="G5726" s="40" t="s">
        <v>11404</v>
      </c>
      <c r="H5726" s="40" t="s">
        <v>11404</v>
      </c>
    </row>
    <row r="5727">
      <c r="A5727" s="39"/>
      <c r="E5727" s="40" t="s">
        <v>11404</v>
      </c>
      <c r="F5727" s="40" t="s">
        <v>11404</v>
      </c>
      <c r="G5727" s="40" t="s">
        <v>11404</v>
      </c>
      <c r="H5727" s="40" t="s">
        <v>11404</v>
      </c>
    </row>
    <row r="5728">
      <c r="A5728" s="39"/>
      <c r="E5728" s="40" t="s">
        <v>11404</v>
      </c>
      <c r="F5728" s="40" t="s">
        <v>11404</v>
      </c>
      <c r="G5728" s="40" t="s">
        <v>11404</v>
      </c>
      <c r="H5728" s="40" t="s">
        <v>11404</v>
      </c>
    </row>
    <row r="5729">
      <c r="A5729" s="39"/>
      <c r="E5729" s="40" t="s">
        <v>11404</v>
      </c>
      <c r="F5729" s="40" t="s">
        <v>11404</v>
      </c>
      <c r="G5729" s="40" t="s">
        <v>11404</v>
      </c>
      <c r="H5729" s="40" t="s">
        <v>11404</v>
      </c>
    </row>
    <row r="5730">
      <c r="A5730" s="39"/>
      <c r="E5730" s="40" t="s">
        <v>11404</v>
      </c>
      <c r="F5730" s="40" t="s">
        <v>11404</v>
      </c>
      <c r="G5730" s="40" t="s">
        <v>11404</v>
      </c>
      <c r="H5730" s="40" t="s">
        <v>11404</v>
      </c>
    </row>
    <row r="5731">
      <c r="A5731" s="39"/>
      <c r="E5731" s="40" t="s">
        <v>11404</v>
      </c>
      <c r="F5731" s="40" t="s">
        <v>11404</v>
      </c>
      <c r="G5731" s="40" t="s">
        <v>11404</v>
      </c>
      <c r="H5731" s="40" t="s">
        <v>11404</v>
      </c>
    </row>
    <row r="5732">
      <c r="A5732" s="39"/>
      <c r="E5732" s="40" t="s">
        <v>11404</v>
      </c>
      <c r="F5732" s="40" t="s">
        <v>11404</v>
      </c>
      <c r="G5732" s="40" t="s">
        <v>11404</v>
      </c>
      <c r="H5732" s="40" t="s">
        <v>11404</v>
      </c>
    </row>
    <row r="5733">
      <c r="A5733" s="39"/>
      <c r="E5733" s="40" t="s">
        <v>11404</v>
      </c>
      <c r="F5733" s="40" t="s">
        <v>11404</v>
      </c>
      <c r="G5733" s="40" t="s">
        <v>11404</v>
      </c>
      <c r="H5733" s="40" t="s">
        <v>11404</v>
      </c>
    </row>
    <row r="5734">
      <c r="A5734" s="39"/>
      <c r="E5734" s="40" t="s">
        <v>11404</v>
      </c>
      <c r="F5734" s="40" t="s">
        <v>11404</v>
      </c>
      <c r="G5734" s="40" t="s">
        <v>11404</v>
      </c>
      <c r="H5734" s="40" t="s">
        <v>11404</v>
      </c>
    </row>
    <row r="5735">
      <c r="A5735" s="39"/>
      <c r="E5735" s="40" t="s">
        <v>11404</v>
      </c>
      <c r="F5735" s="40" t="s">
        <v>11404</v>
      </c>
      <c r="G5735" s="40" t="s">
        <v>11404</v>
      </c>
      <c r="H5735" s="40" t="s">
        <v>11404</v>
      </c>
    </row>
    <row r="5736">
      <c r="A5736" s="39"/>
      <c r="E5736" s="40" t="s">
        <v>11404</v>
      </c>
      <c r="F5736" s="40" t="s">
        <v>11404</v>
      </c>
      <c r="G5736" s="40" t="s">
        <v>11404</v>
      </c>
      <c r="H5736" s="40" t="s">
        <v>11404</v>
      </c>
    </row>
    <row r="5737">
      <c r="A5737" s="39"/>
      <c r="E5737" s="40" t="s">
        <v>11404</v>
      </c>
      <c r="F5737" s="40" t="s">
        <v>11404</v>
      </c>
      <c r="G5737" s="40" t="s">
        <v>11404</v>
      </c>
      <c r="H5737" s="40" t="s">
        <v>11404</v>
      </c>
    </row>
    <row r="5738">
      <c r="A5738" s="39"/>
      <c r="E5738" s="40" t="s">
        <v>11404</v>
      </c>
      <c r="F5738" s="40" t="s">
        <v>11404</v>
      </c>
      <c r="G5738" s="40" t="s">
        <v>11404</v>
      </c>
      <c r="H5738" s="40" t="s">
        <v>11404</v>
      </c>
    </row>
    <row r="5739">
      <c r="A5739" s="39"/>
      <c r="E5739" s="40" t="s">
        <v>11404</v>
      </c>
      <c r="F5739" s="40" t="s">
        <v>11404</v>
      </c>
      <c r="G5739" s="40" t="s">
        <v>11404</v>
      </c>
      <c r="H5739" s="40" t="s">
        <v>11404</v>
      </c>
    </row>
    <row r="5740">
      <c r="A5740" s="39"/>
      <c r="E5740" s="40" t="s">
        <v>11404</v>
      </c>
      <c r="F5740" s="40" t="s">
        <v>11404</v>
      </c>
      <c r="G5740" s="40" t="s">
        <v>11404</v>
      </c>
      <c r="H5740" s="40" t="s">
        <v>11404</v>
      </c>
    </row>
    <row r="5741">
      <c r="A5741" s="39"/>
      <c r="E5741" s="40" t="s">
        <v>11404</v>
      </c>
      <c r="F5741" s="40" t="s">
        <v>11404</v>
      </c>
      <c r="G5741" s="40" t="s">
        <v>11404</v>
      </c>
      <c r="H5741" s="40" t="s">
        <v>11404</v>
      </c>
    </row>
    <row r="5742">
      <c r="A5742" s="39"/>
      <c r="E5742" s="40" t="s">
        <v>11404</v>
      </c>
      <c r="F5742" s="40" t="s">
        <v>11404</v>
      </c>
      <c r="G5742" s="40" t="s">
        <v>11404</v>
      </c>
      <c r="H5742" s="40" t="s">
        <v>11404</v>
      </c>
    </row>
    <row r="5743">
      <c r="A5743" s="39"/>
      <c r="E5743" s="40" t="s">
        <v>11404</v>
      </c>
      <c r="F5743" s="40" t="s">
        <v>11404</v>
      </c>
      <c r="G5743" s="40" t="s">
        <v>11404</v>
      </c>
      <c r="H5743" s="40" t="s">
        <v>11404</v>
      </c>
    </row>
    <row r="5744">
      <c r="A5744" s="39"/>
      <c r="E5744" s="40" t="s">
        <v>11404</v>
      </c>
      <c r="F5744" s="40" t="s">
        <v>11404</v>
      </c>
      <c r="G5744" s="40" t="s">
        <v>11404</v>
      </c>
      <c r="H5744" s="40" t="s">
        <v>11404</v>
      </c>
    </row>
    <row r="5745">
      <c r="A5745" s="39"/>
      <c r="E5745" s="40" t="s">
        <v>11404</v>
      </c>
      <c r="F5745" s="40" t="s">
        <v>11404</v>
      </c>
      <c r="G5745" s="40" t="s">
        <v>11404</v>
      </c>
      <c r="H5745" s="40" t="s">
        <v>11404</v>
      </c>
    </row>
    <row r="5746">
      <c r="A5746" s="39"/>
      <c r="E5746" s="40" t="s">
        <v>11404</v>
      </c>
      <c r="F5746" s="40" t="s">
        <v>11404</v>
      </c>
      <c r="G5746" s="40" t="s">
        <v>11404</v>
      </c>
      <c r="H5746" s="40" t="s">
        <v>11404</v>
      </c>
    </row>
    <row r="5747">
      <c r="A5747" s="39"/>
      <c r="E5747" s="40" t="s">
        <v>11404</v>
      </c>
      <c r="F5747" s="40" t="s">
        <v>11404</v>
      </c>
      <c r="G5747" s="40" t="s">
        <v>11404</v>
      </c>
      <c r="H5747" s="40" t="s">
        <v>11404</v>
      </c>
    </row>
    <row r="5748">
      <c r="A5748" s="39"/>
      <c r="E5748" s="40" t="s">
        <v>11404</v>
      </c>
      <c r="F5748" s="40" t="s">
        <v>11404</v>
      </c>
      <c r="G5748" s="40" t="s">
        <v>11404</v>
      </c>
      <c r="H5748" s="40" t="s">
        <v>11404</v>
      </c>
    </row>
    <row r="5749">
      <c r="A5749" s="39"/>
      <c r="E5749" s="40" t="s">
        <v>11404</v>
      </c>
      <c r="F5749" s="40" t="s">
        <v>11404</v>
      </c>
      <c r="G5749" s="40" t="s">
        <v>11404</v>
      </c>
      <c r="H5749" s="40" t="s">
        <v>11404</v>
      </c>
    </row>
    <row r="5750">
      <c r="A5750" s="39"/>
      <c r="E5750" s="40" t="s">
        <v>11404</v>
      </c>
      <c r="F5750" s="40" t="s">
        <v>11404</v>
      </c>
      <c r="G5750" s="40" t="s">
        <v>11404</v>
      </c>
      <c r="H5750" s="40" t="s">
        <v>11404</v>
      </c>
    </row>
    <row r="5751">
      <c r="A5751" s="39"/>
      <c r="E5751" s="40" t="s">
        <v>11404</v>
      </c>
      <c r="F5751" s="40" t="s">
        <v>11404</v>
      </c>
      <c r="G5751" s="40" t="s">
        <v>11404</v>
      </c>
      <c r="H5751" s="40" t="s">
        <v>11404</v>
      </c>
    </row>
    <row r="5752">
      <c r="A5752" s="39"/>
      <c r="E5752" s="40" t="s">
        <v>11404</v>
      </c>
      <c r="F5752" s="40" t="s">
        <v>11404</v>
      </c>
      <c r="G5752" s="40" t="s">
        <v>11404</v>
      </c>
      <c r="H5752" s="40" t="s">
        <v>11404</v>
      </c>
    </row>
    <row r="5753">
      <c r="A5753" s="39"/>
      <c r="E5753" s="40" t="s">
        <v>11404</v>
      </c>
      <c r="F5753" s="40" t="s">
        <v>11404</v>
      </c>
      <c r="G5753" s="40" t="s">
        <v>11404</v>
      </c>
      <c r="H5753" s="40" t="s">
        <v>11404</v>
      </c>
    </row>
    <row r="5754">
      <c r="A5754" s="39"/>
      <c r="E5754" s="40" t="s">
        <v>11404</v>
      </c>
      <c r="F5754" s="40" t="s">
        <v>11404</v>
      </c>
      <c r="G5754" s="40" t="s">
        <v>11404</v>
      </c>
      <c r="H5754" s="40" t="s">
        <v>11404</v>
      </c>
    </row>
    <row r="5755">
      <c r="A5755" s="39"/>
      <c r="E5755" s="40" t="s">
        <v>11404</v>
      </c>
      <c r="F5755" s="40" t="s">
        <v>11404</v>
      </c>
      <c r="G5755" s="40" t="s">
        <v>11404</v>
      </c>
      <c r="H5755" s="40" t="s">
        <v>11404</v>
      </c>
    </row>
    <row r="5756">
      <c r="A5756" s="39"/>
      <c r="E5756" s="40" t="s">
        <v>11404</v>
      </c>
      <c r="F5756" s="40" t="s">
        <v>11404</v>
      </c>
      <c r="G5756" s="40" t="s">
        <v>11404</v>
      </c>
      <c r="H5756" s="40" t="s">
        <v>11404</v>
      </c>
    </row>
    <row r="5757">
      <c r="A5757" s="39"/>
      <c r="E5757" s="40" t="s">
        <v>11404</v>
      </c>
      <c r="F5757" s="40" t="s">
        <v>11404</v>
      </c>
      <c r="G5757" s="40" t="s">
        <v>11404</v>
      </c>
      <c r="H5757" s="40" t="s">
        <v>11404</v>
      </c>
    </row>
    <row r="5758">
      <c r="A5758" s="39"/>
      <c r="E5758" s="40" t="s">
        <v>11404</v>
      </c>
      <c r="F5758" s="40" t="s">
        <v>11404</v>
      </c>
      <c r="G5758" s="40" t="s">
        <v>11404</v>
      </c>
      <c r="H5758" s="40" t="s">
        <v>11404</v>
      </c>
    </row>
    <row r="5759">
      <c r="A5759" s="39"/>
      <c r="E5759" s="40" t="s">
        <v>11404</v>
      </c>
      <c r="F5759" s="40" t="s">
        <v>11404</v>
      </c>
      <c r="G5759" s="40" t="s">
        <v>11404</v>
      </c>
      <c r="H5759" s="40" t="s">
        <v>11404</v>
      </c>
    </row>
    <row r="5760">
      <c r="A5760" s="39"/>
      <c r="E5760" s="40" t="s">
        <v>11404</v>
      </c>
      <c r="F5760" s="40" t="s">
        <v>11404</v>
      </c>
      <c r="G5760" s="40" t="s">
        <v>11404</v>
      </c>
      <c r="H5760" s="40" t="s">
        <v>11404</v>
      </c>
    </row>
    <row r="5761">
      <c r="A5761" s="39"/>
      <c r="E5761" s="40" t="s">
        <v>11404</v>
      </c>
      <c r="F5761" s="40" t="s">
        <v>11404</v>
      </c>
      <c r="G5761" s="40" t="s">
        <v>11404</v>
      </c>
      <c r="H5761" s="40" t="s">
        <v>11404</v>
      </c>
    </row>
    <row r="5762">
      <c r="A5762" s="39"/>
      <c r="E5762" s="40" t="s">
        <v>11404</v>
      </c>
      <c r="F5762" s="40" t="s">
        <v>11404</v>
      </c>
      <c r="G5762" s="40" t="s">
        <v>11404</v>
      </c>
      <c r="H5762" s="40" t="s">
        <v>11404</v>
      </c>
    </row>
    <row r="5763">
      <c r="A5763" s="39"/>
      <c r="E5763" s="40" t="s">
        <v>11404</v>
      </c>
      <c r="F5763" s="40" t="s">
        <v>11404</v>
      </c>
      <c r="G5763" s="40" t="s">
        <v>11404</v>
      </c>
      <c r="H5763" s="40" t="s">
        <v>11404</v>
      </c>
    </row>
    <row r="5764">
      <c r="A5764" s="39"/>
      <c r="E5764" s="40" t="s">
        <v>11404</v>
      </c>
      <c r="F5764" s="40" t="s">
        <v>11404</v>
      </c>
      <c r="G5764" s="40" t="s">
        <v>11404</v>
      </c>
      <c r="H5764" s="40" t="s">
        <v>11404</v>
      </c>
    </row>
    <row r="5765">
      <c r="A5765" s="39"/>
      <c r="E5765" s="40" t="s">
        <v>11404</v>
      </c>
      <c r="F5765" s="40" t="s">
        <v>11404</v>
      </c>
      <c r="G5765" s="40" t="s">
        <v>11404</v>
      </c>
      <c r="H5765" s="40" t="s">
        <v>11404</v>
      </c>
    </row>
    <row r="5766">
      <c r="A5766" s="39"/>
      <c r="E5766" s="40" t="s">
        <v>11404</v>
      </c>
      <c r="F5766" s="40" t="s">
        <v>11404</v>
      </c>
      <c r="G5766" s="40" t="s">
        <v>11404</v>
      </c>
      <c r="H5766" s="40" t="s">
        <v>11404</v>
      </c>
    </row>
    <row r="5767">
      <c r="A5767" s="39"/>
      <c r="E5767" s="40" t="s">
        <v>11404</v>
      </c>
      <c r="F5767" s="40" t="s">
        <v>11404</v>
      </c>
      <c r="G5767" s="40" t="s">
        <v>11404</v>
      </c>
      <c r="H5767" s="40" t="s">
        <v>11404</v>
      </c>
    </row>
    <row r="5768">
      <c r="A5768" s="39"/>
      <c r="E5768" s="40" t="s">
        <v>11404</v>
      </c>
      <c r="F5768" s="40" t="s">
        <v>11404</v>
      </c>
      <c r="G5768" s="40" t="s">
        <v>11404</v>
      </c>
      <c r="H5768" s="40" t="s">
        <v>11404</v>
      </c>
    </row>
    <row r="5769">
      <c r="A5769" s="39"/>
      <c r="E5769" s="40" t="s">
        <v>11404</v>
      </c>
      <c r="F5769" s="40" t="s">
        <v>11404</v>
      </c>
      <c r="G5769" s="40" t="s">
        <v>11404</v>
      </c>
      <c r="H5769" s="40" t="s">
        <v>11404</v>
      </c>
    </row>
    <row r="5770">
      <c r="A5770" s="39"/>
      <c r="E5770" s="40" t="s">
        <v>11404</v>
      </c>
      <c r="F5770" s="40" t="s">
        <v>11404</v>
      </c>
      <c r="G5770" s="40" t="s">
        <v>11404</v>
      </c>
      <c r="H5770" s="40" t="s">
        <v>11404</v>
      </c>
    </row>
    <row r="5771">
      <c r="A5771" s="39"/>
      <c r="E5771" s="40" t="s">
        <v>11404</v>
      </c>
      <c r="F5771" s="40" t="s">
        <v>11404</v>
      </c>
      <c r="G5771" s="40" t="s">
        <v>11404</v>
      </c>
      <c r="H5771" s="40" t="s">
        <v>11404</v>
      </c>
    </row>
    <row r="5772">
      <c r="A5772" s="39"/>
      <c r="E5772" s="40" t="s">
        <v>11404</v>
      </c>
      <c r="F5772" s="40" t="s">
        <v>11404</v>
      </c>
      <c r="G5772" s="40" t="s">
        <v>11404</v>
      </c>
      <c r="H5772" s="40" t="s">
        <v>11404</v>
      </c>
    </row>
    <row r="5773">
      <c r="A5773" s="39"/>
      <c r="E5773" s="40" t="s">
        <v>11404</v>
      </c>
      <c r="F5773" s="40" t="s">
        <v>11404</v>
      </c>
      <c r="G5773" s="40" t="s">
        <v>11404</v>
      </c>
      <c r="H5773" s="40" t="s">
        <v>11404</v>
      </c>
    </row>
    <row r="5774">
      <c r="A5774" s="39"/>
      <c r="E5774" s="40" t="s">
        <v>11404</v>
      </c>
      <c r="F5774" s="40" t="s">
        <v>11404</v>
      </c>
      <c r="G5774" s="40" t="s">
        <v>11404</v>
      </c>
      <c r="H5774" s="40" t="s">
        <v>11404</v>
      </c>
    </row>
    <row r="5775">
      <c r="A5775" s="39"/>
      <c r="E5775" s="40" t="s">
        <v>11404</v>
      </c>
      <c r="F5775" s="40" t="s">
        <v>11404</v>
      </c>
      <c r="G5775" s="40" t="s">
        <v>11404</v>
      </c>
      <c r="H5775" s="40" t="s">
        <v>11404</v>
      </c>
    </row>
    <row r="5776">
      <c r="A5776" s="39"/>
      <c r="E5776" s="40" t="s">
        <v>11404</v>
      </c>
      <c r="F5776" s="40" t="s">
        <v>11404</v>
      </c>
      <c r="G5776" s="40" t="s">
        <v>11404</v>
      </c>
      <c r="H5776" s="40" t="s">
        <v>11404</v>
      </c>
    </row>
    <row r="5777">
      <c r="A5777" s="39"/>
      <c r="E5777" s="40" t="s">
        <v>11404</v>
      </c>
      <c r="F5777" s="40" t="s">
        <v>11404</v>
      </c>
      <c r="G5777" s="40" t="s">
        <v>11404</v>
      </c>
      <c r="H5777" s="40" t="s">
        <v>11404</v>
      </c>
    </row>
    <row r="5778">
      <c r="A5778" s="39"/>
      <c r="E5778" s="40" t="s">
        <v>11404</v>
      </c>
      <c r="F5778" s="40" t="s">
        <v>11404</v>
      </c>
      <c r="G5778" s="40" t="s">
        <v>11404</v>
      </c>
      <c r="H5778" s="40" t="s">
        <v>11404</v>
      </c>
    </row>
    <row r="5779">
      <c r="A5779" s="39"/>
      <c r="E5779" s="40" t="s">
        <v>11404</v>
      </c>
      <c r="F5779" s="40" t="s">
        <v>11404</v>
      </c>
      <c r="G5779" s="40" t="s">
        <v>11404</v>
      </c>
      <c r="H5779" s="40" t="s">
        <v>11404</v>
      </c>
    </row>
    <row r="5780">
      <c r="A5780" s="39"/>
      <c r="E5780" s="40" t="s">
        <v>11404</v>
      </c>
      <c r="F5780" s="40" t="s">
        <v>11404</v>
      </c>
      <c r="G5780" s="40" t="s">
        <v>11404</v>
      </c>
      <c r="H5780" s="40" t="s">
        <v>11404</v>
      </c>
    </row>
    <row r="5781">
      <c r="A5781" s="39"/>
      <c r="E5781" s="40" t="s">
        <v>11404</v>
      </c>
      <c r="F5781" s="40" t="s">
        <v>11404</v>
      </c>
      <c r="G5781" s="40" t="s">
        <v>11404</v>
      </c>
      <c r="H5781" s="40" t="s">
        <v>11404</v>
      </c>
    </row>
    <row r="5782">
      <c r="A5782" s="39"/>
      <c r="E5782" s="40" t="s">
        <v>11404</v>
      </c>
      <c r="F5782" s="40" t="s">
        <v>11404</v>
      </c>
      <c r="G5782" s="40" t="s">
        <v>11404</v>
      </c>
      <c r="H5782" s="40" t="s">
        <v>11404</v>
      </c>
    </row>
    <row r="5783">
      <c r="A5783" s="39"/>
      <c r="E5783" s="40" t="s">
        <v>11404</v>
      </c>
      <c r="F5783" s="40" t="s">
        <v>11404</v>
      </c>
      <c r="G5783" s="40" t="s">
        <v>11404</v>
      </c>
      <c r="H5783" s="40" t="s">
        <v>11404</v>
      </c>
    </row>
    <row r="5784">
      <c r="A5784" s="39"/>
      <c r="E5784" s="40" t="s">
        <v>11404</v>
      </c>
      <c r="F5784" s="40" t="s">
        <v>11404</v>
      </c>
      <c r="G5784" s="40" t="s">
        <v>11404</v>
      </c>
      <c r="H5784" s="40" t="s">
        <v>11404</v>
      </c>
    </row>
    <row r="5785">
      <c r="A5785" s="39"/>
      <c r="E5785" s="40" t="s">
        <v>11404</v>
      </c>
      <c r="F5785" s="40" t="s">
        <v>11404</v>
      </c>
      <c r="G5785" s="40" t="s">
        <v>11404</v>
      </c>
      <c r="H5785" s="40" t="s">
        <v>11404</v>
      </c>
    </row>
    <row r="5786">
      <c r="A5786" s="39"/>
      <c r="E5786" s="40" t="s">
        <v>11404</v>
      </c>
      <c r="F5786" s="40" t="s">
        <v>11404</v>
      </c>
      <c r="G5786" s="40" t="s">
        <v>11404</v>
      </c>
      <c r="H5786" s="40" t="s">
        <v>11404</v>
      </c>
    </row>
    <row r="5787">
      <c r="A5787" s="39"/>
      <c r="E5787" s="40" t="s">
        <v>11404</v>
      </c>
      <c r="F5787" s="40" t="s">
        <v>11404</v>
      </c>
      <c r="G5787" s="40" t="s">
        <v>11404</v>
      </c>
      <c r="H5787" s="40" t="s">
        <v>11404</v>
      </c>
    </row>
    <row r="5788">
      <c r="A5788" s="39"/>
      <c r="E5788" s="40" t="s">
        <v>11404</v>
      </c>
      <c r="F5788" s="40" t="s">
        <v>11404</v>
      </c>
      <c r="G5788" s="40" t="s">
        <v>11404</v>
      </c>
      <c r="H5788" s="40" t="s">
        <v>11404</v>
      </c>
    </row>
    <row r="5789">
      <c r="A5789" s="39"/>
      <c r="E5789" s="40" t="s">
        <v>11404</v>
      </c>
      <c r="F5789" s="40" t="s">
        <v>11404</v>
      </c>
      <c r="G5789" s="40" t="s">
        <v>11404</v>
      </c>
      <c r="H5789" s="40" t="s">
        <v>11404</v>
      </c>
    </row>
    <row r="5790">
      <c r="A5790" s="39"/>
      <c r="E5790" s="40" t="s">
        <v>11404</v>
      </c>
      <c r="F5790" s="40" t="s">
        <v>11404</v>
      </c>
      <c r="G5790" s="40" t="s">
        <v>11404</v>
      </c>
      <c r="H5790" s="40" t="s">
        <v>11404</v>
      </c>
    </row>
    <row r="5791">
      <c r="A5791" s="39"/>
      <c r="E5791" s="40" t="s">
        <v>11404</v>
      </c>
      <c r="F5791" s="40" t="s">
        <v>11404</v>
      </c>
      <c r="G5791" s="40" t="s">
        <v>11404</v>
      </c>
      <c r="H5791" s="40" t="s">
        <v>11404</v>
      </c>
    </row>
    <row r="5792">
      <c r="A5792" s="39"/>
      <c r="E5792" s="40" t="s">
        <v>11404</v>
      </c>
      <c r="F5792" s="40" t="s">
        <v>11404</v>
      </c>
      <c r="G5792" s="40" t="s">
        <v>11404</v>
      </c>
      <c r="H5792" s="40" t="s">
        <v>11404</v>
      </c>
    </row>
    <row r="5793">
      <c r="A5793" s="39"/>
      <c r="E5793" s="40" t="s">
        <v>11404</v>
      </c>
      <c r="F5793" s="40" t="s">
        <v>11404</v>
      </c>
      <c r="G5793" s="40" t="s">
        <v>11404</v>
      </c>
      <c r="H5793" s="40" t="s">
        <v>11404</v>
      </c>
    </row>
    <row r="5794">
      <c r="A5794" s="39"/>
      <c r="E5794" s="40" t="s">
        <v>11404</v>
      </c>
      <c r="F5794" s="40" t="s">
        <v>11404</v>
      </c>
      <c r="G5794" s="40" t="s">
        <v>11404</v>
      </c>
      <c r="H5794" s="40" t="s">
        <v>11404</v>
      </c>
    </row>
    <row r="5795">
      <c r="A5795" s="39"/>
      <c r="E5795" s="40" t="s">
        <v>11404</v>
      </c>
      <c r="F5795" s="40" t="s">
        <v>11404</v>
      </c>
      <c r="G5795" s="40" t="s">
        <v>11404</v>
      </c>
      <c r="H5795" s="40" t="s">
        <v>11404</v>
      </c>
    </row>
    <row r="5796">
      <c r="A5796" s="39"/>
      <c r="E5796" s="40" t="s">
        <v>11404</v>
      </c>
      <c r="F5796" s="40" t="s">
        <v>11404</v>
      </c>
      <c r="G5796" s="40" t="s">
        <v>11404</v>
      </c>
      <c r="H5796" s="40" t="s">
        <v>11404</v>
      </c>
    </row>
    <row r="5797">
      <c r="A5797" s="39"/>
      <c r="E5797" s="40" t="s">
        <v>11404</v>
      </c>
      <c r="F5797" s="40" t="s">
        <v>11404</v>
      </c>
      <c r="G5797" s="40" t="s">
        <v>11404</v>
      </c>
      <c r="H5797" s="40" t="s">
        <v>11404</v>
      </c>
    </row>
    <row r="5798">
      <c r="A5798" s="39"/>
      <c r="E5798" s="40" t="s">
        <v>11404</v>
      </c>
      <c r="F5798" s="40" t="s">
        <v>11404</v>
      </c>
      <c r="G5798" s="40" t="s">
        <v>11404</v>
      </c>
      <c r="H5798" s="40" t="s">
        <v>11404</v>
      </c>
    </row>
    <row r="5799">
      <c r="A5799" s="39"/>
      <c r="E5799" s="40" t="s">
        <v>11404</v>
      </c>
      <c r="F5799" s="40" t="s">
        <v>11404</v>
      </c>
      <c r="G5799" s="40" t="s">
        <v>11404</v>
      </c>
      <c r="H5799" s="40" t="s">
        <v>11404</v>
      </c>
    </row>
    <row r="5800">
      <c r="A5800" s="39"/>
      <c r="E5800" s="40" t="s">
        <v>11404</v>
      </c>
      <c r="F5800" s="40" t="s">
        <v>11404</v>
      </c>
      <c r="G5800" s="40" t="s">
        <v>11404</v>
      </c>
      <c r="H5800" s="40" t="s">
        <v>11404</v>
      </c>
    </row>
    <row r="5801">
      <c r="A5801" s="39"/>
      <c r="E5801" s="40" t="s">
        <v>11404</v>
      </c>
      <c r="F5801" s="40" t="s">
        <v>11404</v>
      </c>
      <c r="G5801" s="40" t="s">
        <v>11404</v>
      </c>
      <c r="H5801" s="40" t="s">
        <v>11404</v>
      </c>
    </row>
    <row r="5802">
      <c r="A5802" s="39"/>
      <c r="E5802" s="40" t="s">
        <v>11404</v>
      </c>
      <c r="F5802" s="40" t="s">
        <v>11404</v>
      </c>
      <c r="G5802" s="40" t="s">
        <v>11404</v>
      </c>
      <c r="H5802" s="40" t="s">
        <v>11404</v>
      </c>
    </row>
    <row r="5803">
      <c r="A5803" s="39"/>
      <c r="E5803" s="40" t="s">
        <v>11404</v>
      </c>
      <c r="F5803" s="40" t="s">
        <v>11404</v>
      </c>
      <c r="G5803" s="40" t="s">
        <v>11404</v>
      </c>
      <c r="H5803" s="40" t="s">
        <v>11404</v>
      </c>
    </row>
    <row r="5804">
      <c r="A5804" s="39"/>
      <c r="E5804" s="40" t="s">
        <v>11404</v>
      </c>
      <c r="F5804" s="40" t="s">
        <v>11404</v>
      </c>
      <c r="G5804" s="40" t="s">
        <v>11404</v>
      </c>
      <c r="H5804" s="40" t="s">
        <v>11404</v>
      </c>
    </row>
    <row r="5805">
      <c r="A5805" s="39"/>
      <c r="E5805" s="40" t="s">
        <v>11404</v>
      </c>
      <c r="F5805" s="40" t="s">
        <v>11404</v>
      </c>
      <c r="G5805" s="40" t="s">
        <v>11404</v>
      </c>
      <c r="H5805" s="40" t="s">
        <v>11404</v>
      </c>
    </row>
    <row r="5806">
      <c r="A5806" s="39"/>
      <c r="E5806" s="40" t="s">
        <v>11404</v>
      </c>
      <c r="F5806" s="40" t="s">
        <v>11404</v>
      </c>
      <c r="G5806" s="40" t="s">
        <v>11404</v>
      </c>
      <c r="H5806" s="40" t="s">
        <v>11404</v>
      </c>
    </row>
    <row r="5807">
      <c r="A5807" s="39"/>
      <c r="E5807" s="40" t="s">
        <v>11404</v>
      </c>
      <c r="F5807" s="40" t="s">
        <v>11404</v>
      </c>
      <c r="G5807" s="40" t="s">
        <v>11404</v>
      </c>
      <c r="H5807" s="40" t="s">
        <v>11404</v>
      </c>
    </row>
    <row r="5808">
      <c r="A5808" s="39"/>
      <c r="E5808" s="40" t="s">
        <v>11404</v>
      </c>
      <c r="F5808" s="40" t="s">
        <v>11404</v>
      </c>
      <c r="G5808" s="40" t="s">
        <v>11404</v>
      </c>
      <c r="H5808" s="40" t="s">
        <v>11404</v>
      </c>
    </row>
    <row r="5809">
      <c r="A5809" s="39"/>
      <c r="E5809" s="40" t="s">
        <v>11404</v>
      </c>
      <c r="F5809" s="40" t="s">
        <v>11404</v>
      </c>
      <c r="G5809" s="40" t="s">
        <v>11404</v>
      </c>
      <c r="H5809" s="40" t="s">
        <v>11404</v>
      </c>
    </row>
    <row r="5810">
      <c r="A5810" s="39"/>
      <c r="E5810" s="40" t="s">
        <v>11404</v>
      </c>
      <c r="F5810" s="40" t="s">
        <v>11404</v>
      </c>
      <c r="G5810" s="40" t="s">
        <v>11404</v>
      </c>
      <c r="H5810" s="40" t="s">
        <v>11404</v>
      </c>
    </row>
    <row r="5811">
      <c r="A5811" s="39"/>
      <c r="E5811" s="40" t="s">
        <v>11404</v>
      </c>
      <c r="F5811" s="40" t="s">
        <v>11404</v>
      </c>
      <c r="G5811" s="40" t="s">
        <v>11404</v>
      </c>
      <c r="H5811" s="40" t="s">
        <v>11404</v>
      </c>
    </row>
    <row r="5812">
      <c r="A5812" s="39"/>
      <c r="E5812" s="40" t="s">
        <v>11404</v>
      </c>
      <c r="F5812" s="40" t="s">
        <v>11404</v>
      </c>
      <c r="G5812" s="40" t="s">
        <v>11404</v>
      </c>
      <c r="H5812" s="40" t="s">
        <v>11404</v>
      </c>
    </row>
    <row r="5813">
      <c r="A5813" s="39"/>
      <c r="E5813" s="40" t="s">
        <v>11404</v>
      </c>
      <c r="F5813" s="40" t="s">
        <v>11404</v>
      </c>
      <c r="G5813" s="40" t="s">
        <v>11404</v>
      </c>
      <c r="H5813" s="40" t="s">
        <v>11404</v>
      </c>
    </row>
    <row r="5814">
      <c r="A5814" s="39"/>
      <c r="E5814" s="40" t="s">
        <v>11404</v>
      </c>
      <c r="F5814" s="40" t="s">
        <v>11404</v>
      </c>
      <c r="G5814" s="40" t="s">
        <v>11404</v>
      </c>
      <c r="H5814" s="40" t="s">
        <v>11404</v>
      </c>
    </row>
    <row r="5815">
      <c r="A5815" s="39"/>
      <c r="E5815" s="40" t="s">
        <v>11404</v>
      </c>
      <c r="F5815" s="40" t="s">
        <v>11404</v>
      </c>
      <c r="G5815" s="40" t="s">
        <v>11404</v>
      </c>
      <c r="H5815" s="40" t="s">
        <v>11404</v>
      </c>
    </row>
    <row r="5816">
      <c r="A5816" s="39"/>
      <c r="E5816" s="40" t="s">
        <v>11404</v>
      </c>
      <c r="F5816" s="40" t="s">
        <v>11404</v>
      </c>
      <c r="G5816" s="40" t="s">
        <v>11404</v>
      </c>
      <c r="H5816" s="40" t="s">
        <v>11404</v>
      </c>
    </row>
    <row r="5817">
      <c r="A5817" s="39"/>
      <c r="E5817" s="40" t="s">
        <v>11404</v>
      </c>
      <c r="F5817" s="40" t="s">
        <v>11404</v>
      </c>
      <c r="G5817" s="40" t="s">
        <v>11404</v>
      </c>
      <c r="H5817" s="40" t="s">
        <v>11404</v>
      </c>
    </row>
    <row r="5818">
      <c r="A5818" s="39"/>
      <c r="E5818" s="40" t="s">
        <v>11404</v>
      </c>
      <c r="F5818" s="40" t="s">
        <v>11404</v>
      </c>
      <c r="G5818" s="40" t="s">
        <v>11404</v>
      </c>
      <c r="H5818" s="40" t="s">
        <v>11404</v>
      </c>
    </row>
    <row r="5819">
      <c r="A5819" s="39"/>
      <c r="E5819" s="40" t="s">
        <v>11404</v>
      </c>
      <c r="F5819" s="40" t="s">
        <v>11404</v>
      </c>
      <c r="G5819" s="40" t="s">
        <v>11404</v>
      </c>
      <c r="H5819" s="40" t="s">
        <v>11404</v>
      </c>
    </row>
    <row r="5820">
      <c r="A5820" s="39"/>
      <c r="E5820" s="40" t="s">
        <v>11404</v>
      </c>
      <c r="F5820" s="40" t="s">
        <v>11404</v>
      </c>
      <c r="G5820" s="40" t="s">
        <v>11404</v>
      </c>
      <c r="H5820" s="40" t="s">
        <v>11404</v>
      </c>
    </row>
    <row r="5821">
      <c r="A5821" s="39"/>
      <c r="E5821" s="40" t="s">
        <v>11404</v>
      </c>
      <c r="F5821" s="40" t="s">
        <v>11404</v>
      </c>
      <c r="G5821" s="40" t="s">
        <v>11404</v>
      </c>
      <c r="H5821" s="40" t="s">
        <v>11404</v>
      </c>
    </row>
    <row r="5822">
      <c r="A5822" s="39"/>
      <c r="E5822" s="40" t="s">
        <v>11404</v>
      </c>
      <c r="F5822" s="40" t="s">
        <v>11404</v>
      </c>
      <c r="G5822" s="40" t="s">
        <v>11404</v>
      </c>
      <c r="H5822" s="40" t="s">
        <v>11404</v>
      </c>
    </row>
    <row r="5823">
      <c r="A5823" s="39"/>
      <c r="E5823" s="40" t="s">
        <v>11404</v>
      </c>
      <c r="F5823" s="40" t="s">
        <v>11404</v>
      </c>
      <c r="G5823" s="40" t="s">
        <v>11404</v>
      </c>
      <c r="H5823" s="40" t="s">
        <v>11404</v>
      </c>
    </row>
    <row r="5824">
      <c r="A5824" s="39"/>
      <c r="E5824" s="40" t="s">
        <v>11404</v>
      </c>
      <c r="F5824" s="40" t="s">
        <v>11404</v>
      </c>
      <c r="G5824" s="40" t="s">
        <v>11404</v>
      </c>
      <c r="H5824" s="40" t="s">
        <v>11404</v>
      </c>
    </row>
    <row r="5825">
      <c r="A5825" s="39"/>
      <c r="E5825" s="40" t="s">
        <v>11404</v>
      </c>
      <c r="F5825" s="40" t="s">
        <v>11404</v>
      </c>
      <c r="G5825" s="40" t="s">
        <v>11404</v>
      </c>
      <c r="H5825" s="40" t="s">
        <v>11404</v>
      </c>
    </row>
    <row r="5826">
      <c r="A5826" s="39"/>
      <c r="E5826" s="40" t="s">
        <v>11404</v>
      </c>
      <c r="F5826" s="40" t="s">
        <v>11404</v>
      </c>
      <c r="G5826" s="40" t="s">
        <v>11404</v>
      </c>
      <c r="H5826" s="40" t="s">
        <v>11404</v>
      </c>
    </row>
    <row r="5827">
      <c r="A5827" s="39"/>
      <c r="E5827" s="40" t="s">
        <v>11404</v>
      </c>
      <c r="F5827" s="40" t="s">
        <v>11404</v>
      </c>
      <c r="G5827" s="40" t="s">
        <v>11404</v>
      </c>
      <c r="H5827" s="40" t="s">
        <v>11404</v>
      </c>
    </row>
    <row r="5828">
      <c r="A5828" s="39"/>
      <c r="E5828" s="40" t="s">
        <v>11404</v>
      </c>
      <c r="F5828" s="40" t="s">
        <v>11404</v>
      </c>
      <c r="G5828" s="40" t="s">
        <v>11404</v>
      </c>
      <c r="H5828" s="40" t="s">
        <v>11404</v>
      </c>
    </row>
    <row r="5829">
      <c r="A5829" s="39"/>
      <c r="E5829" s="40" t="s">
        <v>11404</v>
      </c>
      <c r="F5829" s="40" t="s">
        <v>11404</v>
      </c>
      <c r="G5829" s="40" t="s">
        <v>11404</v>
      </c>
      <c r="H5829" s="40" t="s">
        <v>11404</v>
      </c>
    </row>
    <row r="5830">
      <c r="A5830" s="39"/>
      <c r="E5830" s="40" t="s">
        <v>11404</v>
      </c>
      <c r="F5830" s="40" t="s">
        <v>11404</v>
      </c>
      <c r="G5830" s="40" t="s">
        <v>11404</v>
      </c>
      <c r="H5830" s="40" t="s">
        <v>11404</v>
      </c>
    </row>
    <row r="5831">
      <c r="A5831" s="39"/>
      <c r="E5831" s="40" t="s">
        <v>11404</v>
      </c>
      <c r="F5831" s="40" t="s">
        <v>11404</v>
      </c>
      <c r="G5831" s="40" t="s">
        <v>11404</v>
      </c>
      <c r="H5831" s="40" t="s">
        <v>11404</v>
      </c>
    </row>
    <row r="5832">
      <c r="A5832" s="39"/>
      <c r="E5832" s="40" t="s">
        <v>11404</v>
      </c>
      <c r="F5832" s="40" t="s">
        <v>11404</v>
      </c>
      <c r="G5832" s="40" t="s">
        <v>11404</v>
      </c>
      <c r="H5832" s="40" t="s">
        <v>11404</v>
      </c>
    </row>
    <row r="5833">
      <c r="A5833" s="39"/>
      <c r="E5833" s="40" t="s">
        <v>11404</v>
      </c>
      <c r="F5833" s="40" t="s">
        <v>11404</v>
      </c>
      <c r="G5833" s="40" t="s">
        <v>11404</v>
      </c>
      <c r="H5833" s="40" t="s">
        <v>11404</v>
      </c>
    </row>
    <row r="5834">
      <c r="A5834" s="39"/>
      <c r="E5834" s="40" t="s">
        <v>11404</v>
      </c>
      <c r="F5834" s="40" t="s">
        <v>11404</v>
      </c>
      <c r="G5834" s="40" t="s">
        <v>11404</v>
      </c>
      <c r="H5834" s="40" t="s">
        <v>11404</v>
      </c>
    </row>
    <row r="5835">
      <c r="A5835" s="39"/>
      <c r="E5835" s="40" t="s">
        <v>11404</v>
      </c>
      <c r="F5835" s="40" t="s">
        <v>11404</v>
      </c>
      <c r="G5835" s="40" t="s">
        <v>11404</v>
      </c>
      <c r="H5835" s="40" t="s">
        <v>11404</v>
      </c>
    </row>
    <row r="5836">
      <c r="A5836" s="39"/>
      <c r="E5836" s="40" t="s">
        <v>11404</v>
      </c>
      <c r="F5836" s="40" t="s">
        <v>11404</v>
      </c>
      <c r="G5836" s="40" t="s">
        <v>11404</v>
      </c>
      <c r="H5836" s="40" t="s">
        <v>11404</v>
      </c>
    </row>
    <row r="5837">
      <c r="A5837" s="39"/>
      <c r="E5837" s="40" t="s">
        <v>11404</v>
      </c>
      <c r="F5837" s="40" t="s">
        <v>11404</v>
      </c>
      <c r="G5837" s="40" t="s">
        <v>11404</v>
      </c>
      <c r="H5837" s="40" t="s">
        <v>11404</v>
      </c>
    </row>
    <row r="5838">
      <c r="A5838" s="39"/>
      <c r="E5838" s="40" t="s">
        <v>11404</v>
      </c>
      <c r="F5838" s="40" t="s">
        <v>11404</v>
      </c>
      <c r="G5838" s="40" t="s">
        <v>11404</v>
      </c>
      <c r="H5838" s="40" t="s">
        <v>11404</v>
      </c>
    </row>
    <row r="5839">
      <c r="A5839" s="39"/>
      <c r="E5839" s="40" t="s">
        <v>11404</v>
      </c>
      <c r="F5839" s="40" t="s">
        <v>11404</v>
      </c>
      <c r="G5839" s="40" t="s">
        <v>11404</v>
      </c>
      <c r="H5839" s="40" t="s">
        <v>11404</v>
      </c>
    </row>
    <row r="5840">
      <c r="A5840" s="39"/>
      <c r="E5840" s="40" t="s">
        <v>11404</v>
      </c>
      <c r="F5840" s="40" t="s">
        <v>11404</v>
      </c>
      <c r="G5840" s="40" t="s">
        <v>11404</v>
      </c>
      <c r="H5840" s="40" t="s">
        <v>11404</v>
      </c>
    </row>
    <row r="5841">
      <c r="A5841" s="39"/>
      <c r="E5841" s="40" t="s">
        <v>11404</v>
      </c>
      <c r="F5841" s="40" t="s">
        <v>11404</v>
      </c>
      <c r="G5841" s="40" t="s">
        <v>11404</v>
      </c>
      <c r="H5841" s="40" t="s">
        <v>11404</v>
      </c>
    </row>
    <row r="5842">
      <c r="A5842" s="39"/>
      <c r="E5842" s="40" t="s">
        <v>11404</v>
      </c>
      <c r="F5842" s="40" t="s">
        <v>11404</v>
      </c>
      <c r="G5842" s="40" t="s">
        <v>11404</v>
      </c>
      <c r="H5842" s="40" t="s">
        <v>11404</v>
      </c>
    </row>
    <row r="5843">
      <c r="A5843" s="39"/>
      <c r="E5843" s="40" t="s">
        <v>11404</v>
      </c>
      <c r="F5843" s="40" t="s">
        <v>11404</v>
      </c>
      <c r="G5843" s="40" t="s">
        <v>11404</v>
      </c>
      <c r="H5843" s="40" t="s">
        <v>11404</v>
      </c>
    </row>
    <row r="5844">
      <c r="A5844" s="39"/>
      <c r="E5844" s="40" t="s">
        <v>11404</v>
      </c>
      <c r="F5844" s="40" t="s">
        <v>11404</v>
      </c>
      <c r="G5844" s="40" t="s">
        <v>11404</v>
      </c>
      <c r="H5844" s="40" t="s">
        <v>11404</v>
      </c>
    </row>
    <row r="5845">
      <c r="A5845" s="39"/>
      <c r="E5845" s="40" t="s">
        <v>11404</v>
      </c>
      <c r="F5845" s="40" t="s">
        <v>11404</v>
      </c>
      <c r="G5845" s="40" t="s">
        <v>11404</v>
      </c>
      <c r="H5845" s="40" t="s">
        <v>11404</v>
      </c>
    </row>
    <row r="5846">
      <c r="A5846" s="39"/>
      <c r="E5846" s="40" t="s">
        <v>11404</v>
      </c>
      <c r="F5846" s="40" t="s">
        <v>11404</v>
      </c>
      <c r="G5846" s="40" t="s">
        <v>11404</v>
      </c>
      <c r="H5846" s="40" t="s">
        <v>11404</v>
      </c>
    </row>
    <row r="5847">
      <c r="A5847" s="39"/>
      <c r="E5847" s="40" t="s">
        <v>11404</v>
      </c>
      <c r="F5847" s="40" t="s">
        <v>11404</v>
      </c>
      <c r="G5847" s="40" t="s">
        <v>11404</v>
      </c>
      <c r="H5847" s="40" t="s">
        <v>11404</v>
      </c>
    </row>
    <row r="5848">
      <c r="A5848" s="39"/>
      <c r="E5848" s="40" t="s">
        <v>11404</v>
      </c>
      <c r="F5848" s="40" t="s">
        <v>11404</v>
      </c>
      <c r="G5848" s="40" t="s">
        <v>11404</v>
      </c>
      <c r="H5848" s="40" t="s">
        <v>11404</v>
      </c>
    </row>
    <row r="5849">
      <c r="A5849" s="39"/>
      <c r="E5849" s="40" t="s">
        <v>11404</v>
      </c>
      <c r="F5849" s="40" t="s">
        <v>11404</v>
      </c>
      <c r="G5849" s="40" t="s">
        <v>11404</v>
      </c>
      <c r="H5849" s="40" t="s">
        <v>11404</v>
      </c>
    </row>
    <row r="5850">
      <c r="A5850" s="39"/>
      <c r="E5850" s="40" t="s">
        <v>11404</v>
      </c>
      <c r="F5850" s="40" t="s">
        <v>11404</v>
      </c>
      <c r="G5850" s="40" t="s">
        <v>11404</v>
      </c>
      <c r="H5850" s="40" t="s">
        <v>11404</v>
      </c>
    </row>
    <row r="5851">
      <c r="A5851" s="39"/>
      <c r="E5851" s="40" t="s">
        <v>11404</v>
      </c>
      <c r="F5851" s="40" t="s">
        <v>11404</v>
      </c>
      <c r="G5851" s="40" t="s">
        <v>11404</v>
      </c>
      <c r="H5851" s="40" t="s">
        <v>11404</v>
      </c>
    </row>
    <row r="5852">
      <c r="A5852" s="39"/>
      <c r="E5852" s="40" t="s">
        <v>11404</v>
      </c>
      <c r="F5852" s="40" t="s">
        <v>11404</v>
      </c>
      <c r="G5852" s="40" t="s">
        <v>11404</v>
      </c>
      <c r="H5852" s="40" t="s">
        <v>11404</v>
      </c>
    </row>
    <row r="5853">
      <c r="A5853" s="39"/>
      <c r="E5853" s="40" t="s">
        <v>11404</v>
      </c>
      <c r="F5853" s="40" t="s">
        <v>11404</v>
      </c>
      <c r="G5853" s="40" t="s">
        <v>11404</v>
      </c>
      <c r="H5853" s="40" t="s">
        <v>11404</v>
      </c>
    </row>
    <row r="5854">
      <c r="A5854" s="39"/>
      <c r="E5854" s="40" t="s">
        <v>11404</v>
      </c>
      <c r="F5854" s="40" t="s">
        <v>11404</v>
      </c>
      <c r="G5854" s="40" t="s">
        <v>11404</v>
      </c>
      <c r="H5854" s="40" t="s">
        <v>11404</v>
      </c>
    </row>
    <row r="5855">
      <c r="A5855" s="39"/>
      <c r="E5855" s="40" t="s">
        <v>11404</v>
      </c>
      <c r="F5855" s="40" t="s">
        <v>11404</v>
      </c>
      <c r="G5855" s="40" t="s">
        <v>11404</v>
      </c>
      <c r="H5855" s="40" t="s">
        <v>11404</v>
      </c>
    </row>
    <row r="5856">
      <c r="A5856" s="39"/>
      <c r="E5856" s="40" t="s">
        <v>11404</v>
      </c>
      <c r="F5856" s="40" t="s">
        <v>11404</v>
      </c>
      <c r="G5856" s="40" t="s">
        <v>11404</v>
      </c>
      <c r="H5856" s="40" t="s">
        <v>11404</v>
      </c>
    </row>
    <row r="5857">
      <c r="A5857" s="39"/>
      <c r="E5857" s="40" t="s">
        <v>11404</v>
      </c>
      <c r="F5857" s="40" t="s">
        <v>11404</v>
      </c>
      <c r="G5857" s="40" t="s">
        <v>11404</v>
      </c>
      <c r="H5857" s="40" t="s">
        <v>11404</v>
      </c>
    </row>
    <row r="5858">
      <c r="A5858" s="39"/>
      <c r="E5858" s="40" t="s">
        <v>11404</v>
      </c>
      <c r="F5858" s="40" t="s">
        <v>11404</v>
      </c>
      <c r="G5858" s="40" t="s">
        <v>11404</v>
      </c>
      <c r="H5858" s="40" t="s">
        <v>11404</v>
      </c>
    </row>
    <row r="5859">
      <c r="A5859" s="39"/>
      <c r="E5859" s="40" t="s">
        <v>11404</v>
      </c>
      <c r="F5859" s="40" t="s">
        <v>11404</v>
      </c>
      <c r="G5859" s="40" t="s">
        <v>11404</v>
      </c>
      <c r="H5859" s="40" t="s">
        <v>11404</v>
      </c>
    </row>
    <row r="5860">
      <c r="A5860" s="39"/>
      <c r="E5860" s="40" t="s">
        <v>11404</v>
      </c>
      <c r="F5860" s="40" t="s">
        <v>11404</v>
      </c>
      <c r="G5860" s="40" t="s">
        <v>11404</v>
      </c>
      <c r="H5860" s="40" t="s">
        <v>11404</v>
      </c>
    </row>
    <row r="5861">
      <c r="A5861" s="39"/>
      <c r="E5861" s="40" t="s">
        <v>11404</v>
      </c>
      <c r="F5861" s="40" t="s">
        <v>11404</v>
      </c>
      <c r="G5861" s="40" t="s">
        <v>11404</v>
      </c>
      <c r="H5861" s="40" t="s">
        <v>11404</v>
      </c>
    </row>
    <row r="5862">
      <c r="A5862" s="39"/>
      <c r="E5862" s="40" t="s">
        <v>11404</v>
      </c>
      <c r="F5862" s="40" t="s">
        <v>11404</v>
      </c>
      <c r="G5862" s="40" t="s">
        <v>11404</v>
      </c>
      <c r="H5862" s="40" t="s">
        <v>11404</v>
      </c>
    </row>
    <row r="5863">
      <c r="A5863" s="39"/>
      <c r="E5863" s="40" t="s">
        <v>11404</v>
      </c>
      <c r="F5863" s="40" t="s">
        <v>11404</v>
      </c>
      <c r="G5863" s="40" t="s">
        <v>11404</v>
      </c>
      <c r="H5863" s="40" t="s">
        <v>11404</v>
      </c>
    </row>
    <row r="5864">
      <c r="A5864" s="39"/>
      <c r="E5864" s="40" t="s">
        <v>11404</v>
      </c>
      <c r="F5864" s="40" t="s">
        <v>11404</v>
      </c>
      <c r="G5864" s="40" t="s">
        <v>11404</v>
      </c>
      <c r="H5864" s="40" t="s">
        <v>11404</v>
      </c>
    </row>
    <row r="5865">
      <c r="A5865" s="39"/>
      <c r="E5865" s="40" t="s">
        <v>11404</v>
      </c>
      <c r="F5865" s="40" t="s">
        <v>11404</v>
      </c>
      <c r="G5865" s="40" t="s">
        <v>11404</v>
      </c>
      <c r="H5865" s="40" t="s">
        <v>11404</v>
      </c>
    </row>
    <row r="5866">
      <c r="A5866" s="39"/>
      <c r="E5866" s="40" t="s">
        <v>11404</v>
      </c>
      <c r="F5866" s="40" t="s">
        <v>11404</v>
      </c>
      <c r="G5866" s="40" t="s">
        <v>11404</v>
      </c>
      <c r="H5866" s="40" t="s">
        <v>11404</v>
      </c>
    </row>
    <row r="5867">
      <c r="A5867" s="39"/>
      <c r="E5867" s="40" t="s">
        <v>11404</v>
      </c>
      <c r="F5867" s="40" t="s">
        <v>11404</v>
      </c>
      <c r="G5867" s="40" t="s">
        <v>11404</v>
      </c>
      <c r="H5867" s="40" t="s">
        <v>11404</v>
      </c>
    </row>
    <row r="5868">
      <c r="A5868" s="39"/>
      <c r="E5868" s="40" t="s">
        <v>11404</v>
      </c>
      <c r="F5868" s="40" t="s">
        <v>11404</v>
      </c>
      <c r="G5868" s="40" t="s">
        <v>11404</v>
      </c>
      <c r="H5868" s="40" t="s">
        <v>11404</v>
      </c>
    </row>
    <row r="5869">
      <c r="A5869" s="39"/>
      <c r="E5869" s="40" t="s">
        <v>11404</v>
      </c>
      <c r="F5869" s="40" t="s">
        <v>11404</v>
      </c>
      <c r="G5869" s="40" t="s">
        <v>11404</v>
      </c>
      <c r="H5869" s="40" t="s">
        <v>11404</v>
      </c>
    </row>
    <row r="5870">
      <c r="A5870" s="39"/>
      <c r="E5870" s="40" t="s">
        <v>11404</v>
      </c>
      <c r="F5870" s="40" t="s">
        <v>11404</v>
      </c>
      <c r="G5870" s="40" t="s">
        <v>11404</v>
      </c>
      <c r="H5870" s="40" t="s">
        <v>11404</v>
      </c>
    </row>
    <row r="5871">
      <c r="A5871" s="39"/>
      <c r="E5871" s="40" t="s">
        <v>11404</v>
      </c>
      <c r="F5871" s="40" t="s">
        <v>11404</v>
      </c>
      <c r="G5871" s="40" t="s">
        <v>11404</v>
      </c>
      <c r="H5871" s="40" t="s">
        <v>11404</v>
      </c>
    </row>
    <row r="5872">
      <c r="A5872" s="39"/>
      <c r="E5872" s="40" t="s">
        <v>11404</v>
      </c>
      <c r="F5872" s="40" t="s">
        <v>11404</v>
      </c>
      <c r="G5872" s="40" t="s">
        <v>11404</v>
      </c>
      <c r="H5872" s="40" t="s">
        <v>11404</v>
      </c>
    </row>
    <row r="5873">
      <c r="A5873" s="39"/>
      <c r="E5873" s="40" t="s">
        <v>11404</v>
      </c>
      <c r="F5873" s="40" t="s">
        <v>11404</v>
      </c>
      <c r="G5873" s="40" t="s">
        <v>11404</v>
      </c>
      <c r="H5873" s="40" t="s">
        <v>11404</v>
      </c>
    </row>
    <row r="5874">
      <c r="A5874" s="39"/>
      <c r="E5874" s="40" t="s">
        <v>11404</v>
      </c>
      <c r="F5874" s="40" t="s">
        <v>11404</v>
      </c>
      <c r="G5874" s="40" t="s">
        <v>11404</v>
      </c>
      <c r="H5874" s="40" t="s">
        <v>11404</v>
      </c>
    </row>
    <row r="5875">
      <c r="A5875" s="39"/>
      <c r="E5875" s="40" t="s">
        <v>11404</v>
      </c>
      <c r="F5875" s="40" t="s">
        <v>11404</v>
      </c>
      <c r="G5875" s="40" t="s">
        <v>11404</v>
      </c>
      <c r="H5875" s="40" t="s">
        <v>11404</v>
      </c>
    </row>
    <row r="5876">
      <c r="A5876" s="39"/>
      <c r="E5876" s="40" t="s">
        <v>11404</v>
      </c>
      <c r="F5876" s="40" t="s">
        <v>11404</v>
      </c>
      <c r="G5876" s="40" t="s">
        <v>11404</v>
      </c>
      <c r="H5876" s="40" t="s">
        <v>11404</v>
      </c>
    </row>
    <row r="5877">
      <c r="A5877" s="39"/>
      <c r="E5877" s="40" t="s">
        <v>11404</v>
      </c>
      <c r="F5877" s="40" t="s">
        <v>11404</v>
      </c>
      <c r="G5877" s="40" t="s">
        <v>11404</v>
      </c>
      <c r="H5877" s="40" t="s">
        <v>11404</v>
      </c>
    </row>
    <row r="5878">
      <c r="A5878" s="39"/>
      <c r="E5878" s="40" t="s">
        <v>11404</v>
      </c>
      <c r="F5878" s="40" t="s">
        <v>11404</v>
      </c>
      <c r="G5878" s="40" t="s">
        <v>11404</v>
      </c>
      <c r="H5878" s="40" t="s">
        <v>11404</v>
      </c>
    </row>
    <row r="5879">
      <c r="A5879" s="39"/>
      <c r="E5879" s="40" t="s">
        <v>11404</v>
      </c>
      <c r="F5879" s="40" t="s">
        <v>11404</v>
      </c>
      <c r="G5879" s="40" t="s">
        <v>11404</v>
      </c>
      <c r="H5879" s="40" t="s">
        <v>11404</v>
      </c>
    </row>
    <row r="5880">
      <c r="A5880" s="39"/>
      <c r="E5880" s="40" t="s">
        <v>11404</v>
      </c>
      <c r="F5880" s="40" t="s">
        <v>11404</v>
      </c>
      <c r="G5880" s="40" t="s">
        <v>11404</v>
      </c>
      <c r="H5880" s="40" t="s">
        <v>11404</v>
      </c>
    </row>
    <row r="5881">
      <c r="A5881" s="39"/>
      <c r="E5881" s="40" t="s">
        <v>11404</v>
      </c>
      <c r="F5881" s="40" t="s">
        <v>11404</v>
      </c>
      <c r="G5881" s="40" t="s">
        <v>11404</v>
      </c>
      <c r="H5881" s="40" t="s">
        <v>11404</v>
      </c>
    </row>
    <row r="5882">
      <c r="A5882" s="39"/>
      <c r="E5882" s="40" t="s">
        <v>11404</v>
      </c>
      <c r="F5882" s="40" t="s">
        <v>11404</v>
      </c>
      <c r="G5882" s="40" t="s">
        <v>11404</v>
      </c>
      <c r="H5882" s="40" t="s">
        <v>11404</v>
      </c>
    </row>
    <row r="5883">
      <c r="A5883" s="39"/>
      <c r="E5883" s="40" t="s">
        <v>11404</v>
      </c>
      <c r="F5883" s="40" t="s">
        <v>11404</v>
      </c>
      <c r="G5883" s="40" t="s">
        <v>11404</v>
      </c>
      <c r="H5883" s="40" t="s">
        <v>11404</v>
      </c>
    </row>
    <row r="5884">
      <c r="A5884" s="39"/>
      <c r="E5884" s="40" t="s">
        <v>11404</v>
      </c>
      <c r="F5884" s="40" t="s">
        <v>11404</v>
      </c>
      <c r="G5884" s="40" t="s">
        <v>11404</v>
      </c>
      <c r="H5884" s="40" t="s">
        <v>11404</v>
      </c>
    </row>
    <row r="5885">
      <c r="A5885" s="39"/>
      <c r="E5885" s="40" t="s">
        <v>11404</v>
      </c>
      <c r="F5885" s="40" t="s">
        <v>11404</v>
      </c>
      <c r="G5885" s="40" t="s">
        <v>11404</v>
      </c>
      <c r="H5885" s="40" t="s">
        <v>11404</v>
      </c>
    </row>
    <row r="5886">
      <c r="A5886" s="39"/>
      <c r="E5886" s="40" t="s">
        <v>11404</v>
      </c>
      <c r="F5886" s="40" t="s">
        <v>11404</v>
      </c>
      <c r="G5886" s="40" t="s">
        <v>11404</v>
      </c>
      <c r="H5886" s="40" t="s">
        <v>11404</v>
      </c>
    </row>
    <row r="5887">
      <c r="A5887" s="39"/>
      <c r="E5887" s="40" t="s">
        <v>11404</v>
      </c>
      <c r="F5887" s="40" t="s">
        <v>11404</v>
      </c>
      <c r="G5887" s="40" t="s">
        <v>11404</v>
      </c>
      <c r="H5887" s="40" t="s">
        <v>11404</v>
      </c>
    </row>
    <row r="5888">
      <c r="A5888" s="39"/>
      <c r="E5888" s="40" t="s">
        <v>11404</v>
      </c>
      <c r="F5888" s="40" t="s">
        <v>11404</v>
      </c>
      <c r="G5888" s="40" t="s">
        <v>11404</v>
      </c>
      <c r="H5888" s="40" t="s">
        <v>11404</v>
      </c>
    </row>
    <row r="5889">
      <c r="A5889" s="39"/>
      <c r="E5889" s="40" t="s">
        <v>11404</v>
      </c>
      <c r="F5889" s="40" t="s">
        <v>11404</v>
      </c>
      <c r="G5889" s="40" t="s">
        <v>11404</v>
      </c>
      <c r="H5889" s="40" t="s">
        <v>11404</v>
      </c>
    </row>
    <row r="5890">
      <c r="A5890" s="39"/>
      <c r="E5890" s="40" t="s">
        <v>11404</v>
      </c>
      <c r="F5890" s="40" t="s">
        <v>11404</v>
      </c>
      <c r="G5890" s="40" t="s">
        <v>11404</v>
      </c>
      <c r="H5890" s="40" t="s">
        <v>11404</v>
      </c>
    </row>
    <row r="5891">
      <c r="A5891" s="39"/>
      <c r="E5891" s="40" t="s">
        <v>11404</v>
      </c>
      <c r="F5891" s="40" t="s">
        <v>11404</v>
      </c>
      <c r="G5891" s="40" t="s">
        <v>11404</v>
      </c>
      <c r="H5891" s="40" t="s">
        <v>11404</v>
      </c>
    </row>
    <row r="5892">
      <c r="A5892" s="39"/>
      <c r="E5892" s="40" t="s">
        <v>11404</v>
      </c>
      <c r="F5892" s="40" t="s">
        <v>11404</v>
      </c>
      <c r="G5892" s="40" t="s">
        <v>11404</v>
      </c>
      <c r="H5892" s="40" t="s">
        <v>11404</v>
      </c>
    </row>
    <row r="5893">
      <c r="A5893" s="39"/>
      <c r="E5893" s="40" t="s">
        <v>11404</v>
      </c>
      <c r="F5893" s="40" t="s">
        <v>11404</v>
      </c>
      <c r="G5893" s="40" t="s">
        <v>11404</v>
      </c>
      <c r="H5893" s="40" t="s">
        <v>11404</v>
      </c>
    </row>
    <row r="5894">
      <c r="A5894" s="39"/>
      <c r="E5894" s="40" t="s">
        <v>11404</v>
      </c>
      <c r="F5894" s="40" t="s">
        <v>11404</v>
      </c>
      <c r="G5894" s="40" t="s">
        <v>11404</v>
      </c>
      <c r="H5894" s="40" t="s">
        <v>11404</v>
      </c>
    </row>
    <row r="5895">
      <c r="A5895" s="39"/>
      <c r="E5895" s="40" t="s">
        <v>11404</v>
      </c>
      <c r="F5895" s="40" t="s">
        <v>11404</v>
      </c>
      <c r="G5895" s="40" t="s">
        <v>11404</v>
      </c>
      <c r="H5895" s="40" t="s">
        <v>11404</v>
      </c>
    </row>
    <row r="5896">
      <c r="A5896" s="39"/>
      <c r="E5896" s="40" t="s">
        <v>11404</v>
      </c>
      <c r="F5896" s="40" t="s">
        <v>11404</v>
      </c>
      <c r="G5896" s="40" t="s">
        <v>11404</v>
      </c>
      <c r="H5896" s="40" t="s">
        <v>11404</v>
      </c>
    </row>
    <row r="5897">
      <c r="A5897" s="39"/>
      <c r="E5897" s="40" t="s">
        <v>11404</v>
      </c>
      <c r="F5897" s="40" t="s">
        <v>11404</v>
      </c>
      <c r="G5897" s="40" t="s">
        <v>11404</v>
      </c>
      <c r="H5897" s="40" t="s">
        <v>11404</v>
      </c>
    </row>
    <row r="5898">
      <c r="A5898" s="39"/>
      <c r="E5898" s="40" t="s">
        <v>11404</v>
      </c>
      <c r="F5898" s="40" t="s">
        <v>11404</v>
      </c>
      <c r="G5898" s="40" t="s">
        <v>11404</v>
      </c>
      <c r="H5898" s="40" t="s">
        <v>11404</v>
      </c>
    </row>
    <row r="5899">
      <c r="A5899" s="39"/>
      <c r="E5899" s="40" t="s">
        <v>11404</v>
      </c>
      <c r="F5899" s="40" t="s">
        <v>11404</v>
      </c>
      <c r="G5899" s="40" t="s">
        <v>11404</v>
      </c>
      <c r="H5899" s="40" t="s">
        <v>11404</v>
      </c>
    </row>
    <row r="5900">
      <c r="A5900" s="39"/>
      <c r="E5900" s="40" t="s">
        <v>11404</v>
      </c>
      <c r="F5900" s="40" t="s">
        <v>11404</v>
      </c>
      <c r="G5900" s="40" t="s">
        <v>11404</v>
      </c>
      <c r="H5900" s="40" t="s">
        <v>11404</v>
      </c>
    </row>
    <row r="5901">
      <c r="A5901" s="39"/>
      <c r="E5901" s="40" t="s">
        <v>11404</v>
      </c>
      <c r="F5901" s="40" t="s">
        <v>11404</v>
      </c>
      <c r="G5901" s="40" t="s">
        <v>11404</v>
      </c>
      <c r="H5901" s="40" t="s">
        <v>11404</v>
      </c>
    </row>
    <row r="5902">
      <c r="A5902" s="39"/>
      <c r="E5902" s="40" t="s">
        <v>11404</v>
      </c>
      <c r="F5902" s="40" t="s">
        <v>11404</v>
      </c>
      <c r="G5902" s="40" t="s">
        <v>11404</v>
      </c>
      <c r="H5902" s="40" t="s">
        <v>11404</v>
      </c>
    </row>
    <row r="5903">
      <c r="A5903" s="39"/>
      <c r="E5903" s="40" t="s">
        <v>11404</v>
      </c>
      <c r="F5903" s="40" t="s">
        <v>11404</v>
      </c>
      <c r="G5903" s="40" t="s">
        <v>11404</v>
      </c>
      <c r="H5903" s="40" t="s">
        <v>11404</v>
      </c>
    </row>
    <row r="5904">
      <c r="A5904" s="39"/>
      <c r="E5904" s="40" t="s">
        <v>11404</v>
      </c>
      <c r="F5904" s="40" t="s">
        <v>11404</v>
      </c>
      <c r="G5904" s="40" t="s">
        <v>11404</v>
      </c>
      <c r="H5904" s="40" t="s">
        <v>11404</v>
      </c>
    </row>
    <row r="5905">
      <c r="A5905" s="39"/>
      <c r="E5905" s="40" t="s">
        <v>11404</v>
      </c>
      <c r="F5905" s="40" t="s">
        <v>11404</v>
      </c>
      <c r="G5905" s="40" t="s">
        <v>11404</v>
      </c>
      <c r="H5905" s="40" t="s">
        <v>11404</v>
      </c>
    </row>
    <row r="5906">
      <c r="A5906" s="39"/>
      <c r="E5906" s="40" t="s">
        <v>11404</v>
      </c>
      <c r="F5906" s="40" t="s">
        <v>11404</v>
      </c>
      <c r="G5906" s="40" t="s">
        <v>11404</v>
      </c>
      <c r="H5906" s="40" t="s">
        <v>11404</v>
      </c>
    </row>
    <row r="5907">
      <c r="A5907" s="39"/>
      <c r="E5907" s="40" t="s">
        <v>11404</v>
      </c>
      <c r="F5907" s="40" t="s">
        <v>11404</v>
      </c>
      <c r="G5907" s="40" t="s">
        <v>11404</v>
      </c>
      <c r="H5907" s="40" t="s">
        <v>11404</v>
      </c>
    </row>
    <row r="5908">
      <c r="A5908" s="39"/>
      <c r="E5908" s="40" t="s">
        <v>11404</v>
      </c>
      <c r="F5908" s="40" t="s">
        <v>11404</v>
      </c>
      <c r="G5908" s="40" t="s">
        <v>11404</v>
      </c>
      <c r="H5908" s="40" t="s">
        <v>11404</v>
      </c>
    </row>
    <row r="5909">
      <c r="A5909" s="39"/>
      <c r="E5909" s="40" t="s">
        <v>11404</v>
      </c>
      <c r="F5909" s="40" t="s">
        <v>11404</v>
      </c>
      <c r="G5909" s="40" t="s">
        <v>11404</v>
      </c>
      <c r="H5909" s="40" t="s">
        <v>11404</v>
      </c>
    </row>
    <row r="5910">
      <c r="A5910" s="39"/>
      <c r="E5910" s="40" t="s">
        <v>11404</v>
      </c>
      <c r="F5910" s="40" t="s">
        <v>11404</v>
      </c>
      <c r="G5910" s="40" t="s">
        <v>11404</v>
      </c>
      <c r="H5910" s="40" t="s">
        <v>11404</v>
      </c>
    </row>
    <row r="5911">
      <c r="A5911" s="39"/>
      <c r="E5911" s="40" t="s">
        <v>11404</v>
      </c>
      <c r="F5911" s="40" t="s">
        <v>11404</v>
      </c>
      <c r="G5911" s="40" t="s">
        <v>11404</v>
      </c>
      <c r="H5911" s="40" t="s">
        <v>11404</v>
      </c>
    </row>
    <row r="5912">
      <c r="A5912" s="39"/>
      <c r="E5912" s="40" t="s">
        <v>11404</v>
      </c>
      <c r="F5912" s="40" t="s">
        <v>11404</v>
      </c>
      <c r="G5912" s="40" t="s">
        <v>11404</v>
      </c>
      <c r="H5912" s="40" t="s">
        <v>11404</v>
      </c>
    </row>
    <row r="5913">
      <c r="A5913" s="39"/>
      <c r="E5913" s="40" t="s">
        <v>11404</v>
      </c>
      <c r="F5913" s="40" t="s">
        <v>11404</v>
      </c>
      <c r="G5913" s="40" t="s">
        <v>11404</v>
      </c>
      <c r="H5913" s="40" t="s">
        <v>11404</v>
      </c>
    </row>
    <row r="5914">
      <c r="A5914" s="39"/>
      <c r="E5914" s="40" t="s">
        <v>11404</v>
      </c>
      <c r="F5914" s="40" t="s">
        <v>11404</v>
      </c>
      <c r="G5914" s="40" t="s">
        <v>11404</v>
      </c>
      <c r="H5914" s="40" t="s">
        <v>11404</v>
      </c>
    </row>
    <row r="5915">
      <c r="A5915" s="39"/>
      <c r="E5915" s="40" t="s">
        <v>11404</v>
      </c>
      <c r="F5915" s="40" t="s">
        <v>11404</v>
      </c>
      <c r="G5915" s="40" t="s">
        <v>11404</v>
      </c>
      <c r="H5915" s="40" t="s">
        <v>11404</v>
      </c>
    </row>
    <row r="5916">
      <c r="A5916" s="39"/>
      <c r="E5916" s="40" t="s">
        <v>11404</v>
      </c>
      <c r="F5916" s="40" t="s">
        <v>11404</v>
      </c>
      <c r="G5916" s="40" t="s">
        <v>11404</v>
      </c>
      <c r="H5916" s="40" t="s">
        <v>11404</v>
      </c>
    </row>
    <row r="5917">
      <c r="A5917" s="39"/>
      <c r="E5917" s="40" t="s">
        <v>11404</v>
      </c>
      <c r="F5917" s="40" t="s">
        <v>11404</v>
      </c>
      <c r="G5917" s="40" t="s">
        <v>11404</v>
      </c>
      <c r="H5917" s="40" t="s">
        <v>11404</v>
      </c>
    </row>
    <row r="5918">
      <c r="A5918" s="39"/>
      <c r="E5918" s="40" t="s">
        <v>11404</v>
      </c>
      <c r="F5918" s="40" t="s">
        <v>11404</v>
      </c>
      <c r="G5918" s="40" t="s">
        <v>11404</v>
      </c>
      <c r="H5918" s="40" t="s">
        <v>11404</v>
      </c>
    </row>
    <row r="5919">
      <c r="A5919" s="39"/>
      <c r="E5919" s="40" t="s">
        <v>11404</v>
      </c>
      <c r="F5919" s="40" t="s">
        <v>11404</v>
      </c>
      <c r="G5919" s="40" t="s">
        <v>11404</v>
      </c>
      <c r="H5919" s="40" t="s">
        <v>11404</v>
      </c>
    </row>
    <row r="5920">
      <c r="A5920" s="39"/>
      <c r="E5920" s="40" t="s">
        <v>11404</v>
      </c>
      <c r="F5920" s="40" t="s">
        <v>11404</v>
      </c>
      <c r="G5920" s="40" t="s">
        <v>11404</v>
      </c>
      <c r="H5920" s="40" t="s">
        <v>11404</v>
      </c>
    </row>
    <row r="5921">
      <c r="A5921" s="39"/>
      <c r="E5921" s="40" t="s">
        <v>11404</v>
      </c>
      <c r="F5921" s="40" t="s">
        <v>11404</v>
      </c>
      <c r="G5921" s="40" t="s">
        <v>11404</v>
      </c>
      <c r="H5921" s="40" t="s">
        <v>11404</v>
      </c>
    </row>
    <row r="5922">
      <c r="A5922" s="39"/>
      <c r="E5922" s="40" t="s">
        <v>11404</v>
      </c>
      <c r="F5922" s="40" t="s">
        <v>11404</v>
      </c>
      <c r="G5922" s="40" t="s">
        <v>11404</v>
      </c>
      <c r="H5922" s="40" t="s">
        <v>11404</v>
      </c>
    </row>
    <row r="5923">
      <c r="A5923" s="39"/>
      <c r="E5923" s="40" t="s">
        <v>11404</v>
      </c>
      <c r="F5923" s="40" t="s">
        <v>11404</v>
      </c>
      <c r="G5923" s="40" t="s">
        <v>11404</v>
      </c>
      <c r="H5923" s="40" t="s">
        <v>11404</v>
      </c>
    </row>
    <row r="5924">
      <c r="A5924" s="39"/>
      <c r="E5924" s="40" t="s">
        <v>11404</v>
      </c>
      <c r="F5924" s="40" t="s">
        <v>11404</v>
      </c>
      <c r="G5924" s="40" t="s">
        <v>11404</v>
      </c>
      <c r="H5924" s="40" t="s">
        <v>11404</v>
      </c>
    </row>
    <row r="5925">
      <c r="A5925" s="39"/>
      <c r="E5925" s="40" t="s">
        <v>11404</v>
      </c>
      <c r="F5925" s="40" t="s">
        <v>11404</v>
      </c>
      <c r="G5925" s="40" t="s">
        <v>11404</v>
      </c>
      <c r="H5925" s="40" t="s">
        <v>11404</v>
      </c>
    </row>
    <row r="5926">
      <c r="A5926" s="39"/>
      <c r="E5926" s="40" t="s">
        <v>11404</v>
      </c>
      <c r="F5926" s="40" t="s">
        <v>11404</v>
      </c>
      <c r="G5926" s="40" t="s">
        <v>11404</v>
      </c>
      <c r="H5926" s="40" t="s">
        <v>11404</v>
      </c>
    </row>
    <row r="5927">
      <c r="A5927" s="39"/>
      <c r="E5927" s="40" t="s">
        <v>11404</v>
      </c>
      <c r="F5927" s="40" t="s">
        <v>11404</v>
      </c>
      <c r="G5927" s="40" t="s">
        <v>11404</v>
      </c>
      <c r="H5927" s="40" t="s">
        <v>11404</v>
      </c>
    </row>
    <row r="5928">
      <c r="A5928" s="39"/>
      <c r="E5928" s="40" t="s">
        <v>11404</v>
      </c>
      <c r="F5928" s="40" t="s">
        <v>11404</v>
      </c>
      <c r="G5928" s="40" t="s">
        <v>11404</v>
      </c>
      <c r="H5928" s="40" t="s">
        <v>11404</v>
      </c>
    </row>
    <row r="5929">
      <c r="A5929" s="39"/>
      <c r="E5929" s="40" t="s">
        <v>11404</v>
      </c>
      <c r="F5929" s="40" t="s">
        <v>11404</v>
      </c>
      <c r="G5929" s="40" t="s">
        <v>11404</v>
      </c>
      <c r="H5929" s="40" t="s">
        <v>11404</v>
      </c>
    </row>
    <row r="5930">
      <c r="A5930" s="39"/>
      <c r="E5930" s="40" t="s">
        <v>11404</v>
      </c>
      <c r="F5930" s="40" t="s">
        <v>11404</v>
      </c>
      <c r="G5930" s="40" t="s">
        <v>11404</v>
      </c>
      <c r="H5930" s="40" t="s">
        <v>11404</v>
      </c>
    </row>
    <row r="5931">
      <c r="A5931" s="39"/>
      <c r="E5931" s="40" t="s">
        <v>11404</v>
      </c>
      <c r="F5931" s="40" t="s">
        <v>11404</v>
      </c>
      <c r="G5931" s="40" t="s">
        <v>11404</v>
      </c>
      <c r="H5931" s="40" t="s">
        <v>11404</v>
      </c>
    </row>
    <row r="5932">
      <c r="A5932" s="39"/>
      <c r="E5932" s="40" t="s">
        <v>11404</v>
      </c>
      <c r="F5932" s="40" t="s">
        <v>11404</v>
      </c>
      <c r="G5932" s="40" t="s">
        <v>11404</v>
      </c>
      <c r="H5932" s="40" t="s">
        <v>11404</v>
      </c>
    </row>
    <row r="5933">
      <c r="A5933" s="39"/>
      <c r="E5933" s="40" t="s">
        <v>11404</v>
      </c>
      <c r="F5933" s="40" t="s">
        <v>11404</v>
      </c>
      <c r="G5933" s="40" t="s">
        <v>11404</v>
      </c>
      <c r="H5933" s="40" t="s">
        <v>11404</v>
      </c>
    </row>
    <row r="5934">
      <c r="A5934" s="39"/>
      <c r="E5934" s="40" t="s">
        <v>11404</v>
      </c>
      <c r="F5934" s="40" t="s">
        <v>11404</v>
      </c>
      <c r="G5934" s="40" t="s">
        <v>11404</v>
      </c>
      <c r="H5934" s="40" t="s">
        <v>11404</v>
      </c>
    </row>
    <row r="5935">
      <c r="A5935" s="39"/>
      <c r="E5935" s="40" t="s">
        <v>11404</v>
      </c>
      <c r="F5935" s="40" t="s">
        <v>11404</v>
      </c>
      <c r="G5935" s="40" t="s">
        <v>11404</v>
      </c>
      <c r="H5935" s="40" t="s">
        <v>11404</v>
      </c>
    </row>
    <row r="5936">
      <c r="A5936" s="39"/>
      <c r="E5936" s="40" t="s">
        <v>11404</v>
      </c>
      <c r="F5936" s="40" t="s">
        <v>11404</v>
      </c>
      <c r="G5936" s="40" t="s">
        <v>11404</v>
      </c>
      <c r="H5936" s="40" t="s">
        <v>11404</v>
      </c>
    </row>
    <row r="5937">
      <c r="A5937" s="39"/>
      <c r="E5937" s="40" t="s">
        <v>11404</v>
      </c>
      <c r="F5937" s="40" t="s">
        <v>11404</v>
      </c>
      <c r="G5937" s="40" t="s">
        <v>11404</v>
      </c>
      <c r="H5937" s="40" t="s">
        <v>11404</v>
      </c>
    </row>
    <row r="5938">
      <c r="A5938" s="39"/>
      <c r="E5938" s="40" t="s">
        <v>11404</v>
      </c>
      <c r="F5938" s="40" t="s">
        <v>11404</v>
      </c>
      <c r="G5938" s="40" t="s">
        <v>11404</v>
      </c>
      <c r="H5938" s="40" t="s">
        <v>11404</v>
      </c>
    </row>
    <row r="5939">
      <c r="A5939" s="39"/>
      <c r="E5939" s="40" t="s">
        <v>11404</v>
      </c>
      <c r="F5939" s="40" t="s">
        <v>11404</v>
      </c>
      <c r="G5939" s="40" t="s">
        <v>11404</v>
      </c>
      <c r="H5939" s="40" t="s">
        <v>11404</v>
      </c>
    </row>
    <row r="5940">
      <c r="A5940" s="39"/>
      <c r="E5940" s="40" t="s">
        <v>11404</v>
      </c>
      <c r="F5940" s="40" t="s">
        <v>11404</v>
      </c>
      <c r="G5940" s="40" t="s">
        <v>11404</v>
      </c>
      <c r="H5940" s="40" t="s">
        <v>11404</v>
      </c>
    </row>
    <row r="5941">
      <c r="A5941" s="39"/>
      <c r="E5941" s="40" t="s">
        <v>11404</v>
      </c>
      <c r="F5941" s="40" t="s">
        <v>11404</v>
      </c>
      <c r="G5941" s="40" t="s">
        <v>11404</v>
      </c>
      <c r="H5941" s="40" t="s">
        <v>11404</v>
      </c>
    </row>
    <row r="5942">
      <c r="A5942" s="39"/>
      <c r="E5942" s="40" t="s">
        <v>11404</v>
      </c>
      <c r="F5942" s="40" t="s">
        <v>11404</v>
      </c>
      <c r="G5942" s="40" t="s">
        <v>11404</v>
      </c>
      <c r="H5942" s="40" t="s">
        <v>11404</v>
      </c>
    </row>
    <row r="5943">
      <c r="A5943" s="39"/>
      <c r="E5943" s="40" t="s">
        <v>11404</v>
      </c>
      <c r="F5943" s="40" t="s">
        <v>11404</v>
      </c>
      <c r="G5943" s="40" t="s">
        <v>11404</v>
      </c>
      <c r="H5943" s="40" t="s">
        <v>11404</v>
      </c>
    </row>
    <row r="5944">
      <c r="A5944" s="39"/>
      <c r="E5944" s="40" t="s">
        <v>11404</v>
      </c>
      <c r="F5944" s="40" t="s">
        <v>11404</v>
      </c>
      <c r="G5944" s="40" t="s">
        <v>11404</v>
      </c>
      <c r="H5944" s="40" t="s">
        <v>11404</v>
      </c>
    </row>
    <row r="5945">
      <c r="A5945" s="39"/>
      <c r="E5945" s="40" t="s">
        <v>11404</v>
      </c>
      <c r="F5945" s="40" t="s">
        <v>11404</v>
      </c>
      <c r="G5945" s="40" t="s">
        <v>11404</v>
      </c>
      <c r="H5945" s="40" t="s">
        <v>11404</v>
      </c>
    </row>
    <row r="5946">
      <c r="A5946" s="39"/>
      <c r="E5946" s="40" t="s">
        <v>11404</v>
      </c>
      <c r="F5946" s="40" t="s">
        <v>11404</v>
      </c>
      <c r="G5946" s="40" t="s">
        <v>11404</v>
      </c>
      <c r="H5946" s="40" t="s">
        <v>11404</v>
      </c>
    </row>
    <row r="5947">
      <c r="A5947" s="39"/>
      <c r="E5947" s="40" t="s">
        <v>11404</v>
      </c>
      <c r="F5947" s="40" t="s">
        <v>11404</v>
      </c>
      <c r="G5947" s="40" t="s">
        <v>11404</v>
      </c>
      <c r="H5947" s="40" t="s">
        <v>11404</v>
      </c>
    </row>
    <row r="5948">
      <c r="A5948" s="39"/>
      <c r="E5948" s="40" t="s">
        <v>11404</v>
      </c>
      <c r="F5948" s="40" t="s">
        <v>11404</v>
      </c>
      <c r="G5948" s="40" t="s">
        <v>11404</v>
      </c>
      <c r="H5948" s="40" t="s">
        <v>11404</v>
      </c>
    </row>
    <row r="5949">
      <c r="A5949" s="39"/>
      <c r="E5949" s="40" t="s">
        <v>11404</v>
      </c>
      <c r="F5949" s="40" t="s">
        <v>11404</v>
      </c>
      <c r="G5949" s="40" t="s">
        <v>11404</v>
      </c>
      <c r="H5949" s="40" t="s">
        <v>11404</v>
      </c>
    </row>
    <row r="5950">
      <c r="A5950" s="39"/>
      <c r="E5950" s="40" t="s">
        <v>11404</v>
      </c>
      <c r="F5950" s="40" t="s">
        <v>11404</v>
      </c>
      <c r="G5950" s="40" t="s">
        <v>11404</v>
      </c>
      <c r="H5950" s="40" t="s">
        <v>11404</v>
      </c>
    </row>
    <row r="5951">
      <c r="A5951" s="39"/>
      <c r="E5951" s="40" t="s">
        <v>11404</v>
      </c>
      <c r="F5951" s="40" t="s">
        <v>11404</v>
      </c>
      <c r="G5951" s="40" t="s">
        <v>11404</v>
      </c>
      <c r="H5951" s="40" t="s">
        <v>11404</v>
      </c>
    </row>
    <row r="5952">
      <c r="A5952" s="39"/>
      <c r="E5952" s="40" t="s">
        <v>11404</v>
      </c>
      <c r="F5952" s="40" t="s">
        <v>11404</v>
      </c>
      <c r="G5952" s="40" t="s">
        <v>11404</v>
      </c>
      <c r="H5952" s="40" t="s">
        <v>11404</v>
      </c>
    </row>
    <row r="5953">
      <c r="A5953" s="39"/>
      <c r="E5953" s="40" t="s">
        <v>11404</v>
      </c>
      <c r="F5953" s="40" t="s">
        <v>11404</v>
      </c>
      <c r="G5953" s="40" t="s">
        <v>11404</v>
      </c>
      <c r="H5953" s="40" t="s">
        <v>11404</v>
      </c>
    </row>
    <row r="5954">
      <c r="A5954" s="39"/>
      <c r="E5954" s="40" t="s">
        <v>11404</v>
      </c>
      <c r="F5954" s="40" t="s">
        <v>11404</v>
      </c>
      <c r="G5954" s="40" t="s">
        <v>11404</v>
      </c>
      <c r="H5954" s="40" t="s">
        <v>11404</v>
      </c>
    </row>
    <row r="5955">
      <c r="A5955" s="39"/>
      <c r="E5955" s="40" t="s">
        <v>11404</v>
      </c>
      <c r="F5955" s="40" t="s">
        <v>11404</v>
      </c>
      <c r="G5955" s="40" t="s">
        <v>11404</v>
      </c>
      <c r="H5955" s="40" t="s">
        <v>11404</v>
      </c>
    </row>
    <row r="5956">
      <c r="A5956" s="39"/>
      <c r="E5956" s="40" t="s">
        <v>11404</v>
      </c>
      <c r="F5956" s="40" t="s">
        <v>11404</v>
      </c>
      <c r="G5956" s="40" t="s">
        <v>11404</v>
      </c>
      <c r="H5956" s="40" t="s">
        <v>11404</v>
      </c>
    </row>
    <row r="5957">
      <c r="A5957" s="39"/>
      <c r="E5957" s="40" t="s">
        <v>11404</v>
      </c>
      <c r="F5957" s="40" t="s">
        <v>11404</v>
      </c>
      <c r="G5957" s="40" t="s">
        <v>11404</v>
      </c>
      <c r="H5957" s="40" t="s">
        <v>11404</v>
      </c>
    </row>
    <row r="5958">
      <c r="A5958" s="39"/>
      <c r="E5958" s="40" t="s">
        <v>11404</v>
      </c>
      <c r="F5958" s="40" t="s">
        <v>11404</v>
      </c>
      <c r="G5958" s="40" t="s">
        <v>11404</v>
      </c>
      <c r="H5958" s="40" t="s">
        <v>11404</v>
      </c>
    </row>
    <row r="5959">
      <c r="A5959" s="39"/>
      <c r="E5959" s="40" t="s">
        <v>11404</v>
      </c>
      <c r="F5959" s="40" t="s">
        <v>11404</v>
      </c>
      <c r="G5959" s="40" t="s">
        <v>11404</v>
      </c>
      <c r="H5959" s="40" t="s">
        <v>11404</v>
      </c>
    </row>
    <row r="5960">
      <c r="A5960" s="39"/>
      <c r="E5960" s="40" t="s">
        <v>11404</v>
      </c>
      <c r="F5960" s="40" t="s">
        <v>11404</v>
      </c>
      <c r="G5960" s="40" t="s">
        <v>11404</v>
      </c>
      <c r="H5960" s="40" t="s">
        <v>11404</v>
      </c>
    </row>
    <row r="5961">
      <c r="A5961" s="39"/>
      <c r="E5961" s="40" t="s">
        <v>11404</v>
      </c>
      <c r="F5961" s="40" t="s">
        <v>11404</v>
      </c>
      <c r="G5961" s="40" t="s">
        <v>11404</v>
      </c>
      <c r="H5961" s="40" t="s">
        <v>11404</v>
      </c>
    </row>
    <row r="5962">
      <c r="A5962" s="39"/>
      <c r="E5962" s="40" t="s">
        <v>11404</v>
      </c>
      <c r="F5962" s="40" t="s">
        <v>11404</v>
      </c>
      <c r="G5962" s="40" t="s">
        <v>11404</v>
      </c>
      <c r="H5962" s="40" t="s">
        <v>11404</v>
      </c>
    </row>
    <row r="5963">
      <c r="A5963" s="39"/>
      <c r="E5963" s="40" t="s">
        <v>11404</v>
      </c>
      <c r="F5963" s="40" t="s">
        <v>11404</v>
      </c>
      <c r="G5963" s="40" t="s">
        <v>11404</v>
      </c>
      <c r="H5963" s="40" t="s">
        <v>11404</v>
      </c>
    </row>
    <row r="5964">
      <c r="A5964" s="39"/>
      <c r="E5964" s="40" t="s">
        <v>11404</v>
      </c>
      <c r="F5964" s="40" t="s">
        <v>11404</v>
      </c>
      <c r="G5964" s="40" t="s">
        <v>11404</v>
      </c>
      <c r="H5964" s="40" t="s">
        <v>11404</v>
      </c>
    </row>
    <row r="5965">
      <c r="A5965" s="39"/>
      <c r="E5965" s="40" t="s">
        <v>11404</v>
      </c>
      <c r="F5965" s="40" t="s">
        <v>11404</v>
      </c>
      <c r="G5965" s="40" t="s">
        <v>11404</v>
      </c>
      <c r="H5965" s="40" t="s">
        <v>11404</v>
      </c>
    </row>
    <row r="5966">
      <c r="A5966" s="39"/>
      <c r="E5966" s="40" t="s">
        <v>11404</v>
      </c>
      <c r="F5966" s="40" t="s">
        <v>11404</v>
      </c>
      <c r="G5966" s="40" t="s">
        <v>11404</v>
      </c>
      <c r="H5966" s="40" t="s">
        <v>11404</v>
      </c>
    </row>
    <row r="5967">
      <c r="A5967" s="39"/>
      <c r="E5967" s="40" t="s">
        <v>11404</v>
      </c>
      <c r="F5967" s="40" t="s">
        <v>11404</v>
      </c>
      <c r="G5967" s="40" t="s">
        <v>11404</v>
      </c>
      <c r="H5967" s="40" t="s">
        <v>11404</v>
      </c>
    </row>
    <row r="5968">
      <c r="A5968" s="39"/>
      <c r="E5968" s="40" t="s">
        <v>11404</v>
      </c>
      <c r="F5968" s="40" t="s">
        <v>11404</v>
      </c>
      <c r="G5968" s="40" t="s">
        <v>11404</v>
      </c>
      <c r="H5968" s="40" t="s">
        <v>11404</v>
      </c>
    </row>
    <row r="5969">
      <c r="A5969" s="39"/>
      <c r="E5969" s="40" t="s">
        <v>11404</v>
      </c>
      <c r="F5969" s="40" t="s">
        <v>11404</v>
      </c>
      <c r="G5969" s="40" t="s">
        <v>11404</v>
      </c>
      <c r="H5969" s="40" t="s">
        <v>11404</v>
      </c>
    </row>
    <row r="5970">
      <c r="A5970" s="39"/>
      <c r="E5970" s="40" t="s">
        <v>11404</v>
      </c>
      <c r="F5970" s="40" t="s">
        <v>11404</v>
      </c>
      <c r="G5970" s="40" t="s">
        <v>11404</v>
      </c>
      <c r="H5970" s="40" t="s">
        <v>11404</v>
      </c>
    </row>
    <row r="5971">
      <c r="A5971" s="39"/>
      <c r="E5971" s="40" t="s">
        <v>11404</v>
      </c>
      <c r="F5971" s="40" t="s">
        <v>11404</v>
      </c>
      <c r="G5971" s="40" t="s">
        <v>11404</v>
      </c>
      <c r="H5971" s="40" t="s">
        <v>11404</v>
      </c>
    </row>
    <row r="5972">
      <c r="A5972" s="39"/>
      <c r="E5972" s="40" t="s">
        <v>11404</v>
      </c>
      <c r="F5972" s="40" t="s">
        <v>11404</v>
      </c>
      <c r="G5972" s="40" t="s">
        <v>11404</v>
      </c>
      <c r="H5972" s="40" t="s">
        <v>11404</v>
      </c>
    </row>
    <row r="5973">
      <c r="A5973" s="39"/>
      <c r="E5973" s="40" t="s">
        <v>11404</v>
      </c>
      <c r="F5973" s="40" t="s">
        <v>11404</v>
      </c>
      <c r="G5973" s="40" t="s">
        <v>11404</v>
      </c>
      <c r="H5973" s="40" t="s">
        <v>11404</v>
      </c>
    </row>
    <row r="5974">
      <c r="A5974" s="39"/>
      <c r="E5974" s="40" t="s">
        <v>11404</v>
      </c>
      <c r="F5974" s="40" t="s">
        <v>11404</v>
      </c>
      <c r="G5974" s="40" t="s">
        <v>11404</v>
      </c>
      <c r="H5974" s="40" t="s">
        <v>11404</v>
      </c>
    </row>
    <row r="5975">
      <c r="A5975" s="39"/>
      <c r="E5975" s="40" t="s">
        <v>11404</v>
      </c>
      <c r="F5975" s="40" t="s">
        <v>11404</v>
      </c>
      <c r="G5975" s="40" t="s">
        <v>11404</v>
      </c>
      <c r="H5975" s="40" t="s">
        <v>11404</v>
      </c>
    </row>
    <row r="5976">
      <c r="A5976" s="39"/>
      <c r="E5976" s="40" t="s">
        <v>11404</v>
      </c>
      <c r="F5976" s="40" t="s">
        <v>11404</v>
      </c>
      <c r="G5976" s="40" t="s">
        <v>11404</v>
      </c>
      <c r="H5976" s="40" t="s">
        <v>11404</v>
      </c>
    </row>
    <row r="5977">
      <c r="A5977" s="39"/>
      <c r="E5977" s="40" t="s">
        <v>11404</v>
      </c>
      <c r="F5977" s="40" t="s">
        <v>11404</v>
      </c>
      <c r="G5977" s="40" t="s">
        <v>11404</v>
      </c>
      <c r="H5977" s="40" t="s">
        <v>11404</v>
      </c>
    </row>
    <row r="5978">
      <c r="A5978" s="39"/>
      <c r="E5978" s="40" t="s">
        <v>11404</v>
      </c>
      <c r="F5978" s="40" t="s">
        <v>11404</v>
      </c>
      <c r="G5978" s="40" t="s">
        <v>11404</v>
      </c>
      <c r="H5978" s="40" t="s">
        <v>11404</v>
      </c>
    </row>
    <row r="5979">
      <c r="A5979" s="39"/>
      <c r="E5979" s="40" t="s">
        <v>11404</v>
      </c>
      <c r="F5979" s="40" t="s">
        <v>11404</v>
      </c>
      <c r="G5979" s="40" t="s">
        <v>11404</v>
      </c>
      <c r="H5979" s="40" t="s">
        <v>11404</v>
      </c>
    </row>
    <row r="5980">
      <c r="A5980" s="39"/>
      <c r="E5980" s="40" t="s">
        <v>11404</v>
      </c>
      <c r="F5980" s="40" t="s">
        <v>11404</v>
      </c>
      <c r="G5980" s="40" t="s">
        <v>11404</v>
      </c>
      <c r="H5980" s="40" t="s">
        <v>11404</v>
      </c>
    </row>
    <row r="5981">
      <c r="A5981" s="39"/>
      <c r="E5981" s="40" t="s">
        <v>11404</v>
      </c>
      <c r="F5981" s="40" t="s">
        <v>11404</v>
      </c>
      <c r="G5981" s="40" t="s">
        <v>11404</v>
      </c>
      <c r="H5981" s="40" t="s">
        <v>11404</v>
      </c>
    </row>
    <row r="5982">
      <c r="A5982" s="39"/>
      <c r="E5982" s="40" t="s">
        <v>11404</v>
      </c>
      <c r="F5982" s="40" t="s">
        <v>11404</v>
      </c>
      <c r="G5982" s="40" t="s">
        <v>11404</v>
      </c>
      <c r="H5982" s="40" t="s">
        <v>11404</v>
      </c>
    </row>
    <row r="5983">
      <c r="A5983" s="39"/>
      <c r="E5983" s="40" t="s">
        <v>11404</v>
      </c>
      <c r="F5983" s="40" t="s">
        <v>11404</v>
      </c>
      <c r="G5983" s="40" t="s">
        <v>11404</v>
      </c>
      <c r="H5983" s="40" t="s">
        <v>11404</v>
      </c>
    </row>
    <row r="5984">
      <c r="A5984" s="39"/>
      <c r="E5984" s="40" t="s">
        <v>11404</v>
      </c>
      <c r="F5984" s="40" t="s">
        <v>11404</v>
      </c>
      <c r="G5984" s="40" t="s">
        <v>11404</v>
      </c>
      <c r="H5984" s="40" t="s">
        <v>11404</v>
      </c>
    </row>
    <row r="5985">
      <c r="A5985" s="39"/>
      <c r="E5985" s="40" t="s">
        <v>11404</v>
      </c>
      <c r="F5985" s="40" t="s">
        <v>11404</v>
      </c>
      <c r="G5985" s="40" t="s">
        <v>11404</v>
      </c>
      <c r="H5985" s="40" t="s">
        <v>11404</v>
      </c>
    </row>
    <row r="5986">
      <c r="A5986" s="39"/>
      <c r="E5986" s="40" t="s">
        <v>11404</v>
      </c>
      <c r="F5986" s="40" t="s">
        <v>11404</v>
      </c>
      <c r="G5986" s="40" t="s">
        <v>11404</v>
      </c>
      <c r="H5986" s="40" t="s">
        <v>11404</v>
      </c>
    </row>
    <row r="5987">
      <c r="A5987" s="39"/>
      <c r="E5987" s="40" t="s">
        <v>11404</v>
      </c>
      <c r="F5987" s="40" t="s">
        <v>11404</v>
      </c>
      <c r="G5987" s="40" t="s">
        <v>11404</v>
      </c>
      <c r="H5987" s="40" t="s">
        <v>11404</v>
      </c>
    </row>
    <row r="5988">
      <c r="A5988" s="39"/>
      <c r="E5988" s="40" t="s">
        <v>11404</v>
      </c>
      <c r="F5988" s="40" t="s">
        <v>11404</v>
      </c>
      <c r="G5988" s="40" t="s">
        <v>11404</v>
      </c>
      <c r="H5988" s="40" t="s">
        <v>11404</v>
      </c>
    </row>
    <row r="5989">
      <c r="A5989" s="39"/>
      <c r="E5989" s="40" t="s">
        <v>11404</v>
      </c>
      <c r="F5989" s="40" t="s">
        <v>11404</v>
      </c>
      <c r="G5989" s="40" t="s">
        <v>11404</v>
      </c>
      <c r="H5989" s="40" t="s">
        <v>11404</v>
      </c>
    </row>
    <row r="5990">
      <c r="A5990" s="39"/>
      <c r="E5990" s="40" t="s">
        <v>11404</v>
      </c>
      <c r="F5990" s="40" t="s">
        <v>11404</v>
      </c>
      <c r="G5990" s="40" t="s">
        <v>11404</v>
      </c>
      <c r="H5990" s="40" t="s">
        <v>11404</v>
      </c>
    </row>
    <row r="5991">
      <c r="A5991" s="39"/>
      <c r="E5991" s="40" t="s">
        <v>11404</v>
      </c>
      <c r="F5991" s="40" t="s">
        <v>11404</v>
      </c>
      <c r="G5991" s="40" t="s">
        <v>11404</v>
      </c>
      <c r="H5991" s="40" t="s">
        <v>11404</v>
      </c>
    </row>
    <row r="5992">
      <c r="A5992" s="39"/>
      <c r="E5992" s="40" t="s">
        <v>11404</v>
      </c>
      <c r="F5992" s="40" t="s">
        <v>11404</v>
      </c>
      <c r="G5992" s="40" t="s">
        <v>11404</v>
      </c>
      <c r="H5992" s="40" t="s">
        <v>11404</v>
      </c>
    </row>
    <row r="5993">
      <c r="A5993" s="39"/>
      <c r="E5993" s="40" t="s">
        <v>11404</v>
      </c>
      <c r="F5993" s="40" t="s">
        <v>11404</v>
      </c>
      <c r="G5993" s="40" t="s">
        <v>11404</v>
      </c>
      <c r="H5993" s="40" t="s">
        <v>11404</v>
      </c>
    </row>
    <row r="5994">
      <c r="A5994" s="39"/>
      <c r="E5994" s="40" t="s">
        <v>11404</v>
      </c>
      <c r="F5994" s="40" t="s">
        <v>11404</v>
      </c>
      <c r="G5994" s="40" t="s">
        <v>11404</v>
      </c>
      <c r="H5994" s="40" t="s">
        <v>11404</v>
      </c>
    </row>
    <row r="5995">
      <c r="A5995" s="39"/>
      <c r="E5995" s="40" t="s">
        <v>11404</v>
      </c>
      <c r="F5995" s="40" t="s">
        <v>11404</v>
      </c>
      <c r="G5995" s="40" t="s">
        <v>11404</v>
      </c>
      <c r="H5995" s="40" t="s">
        <v>11404</v>
      </c>
    </row>
    <row r="5996">
      <c r="A5996" s="39"/>
      <c r="E5996" s="40" t="s">
        <v>11404</v>
      </c>
      <c r="F5996" s="40" t="s">
        <v>11404</v>
      </c>
      <c r="G5996" s="40" t="s">
        <v>11404</v>
      </c>
      <c r="H5996" s="40" t="s">
        <v>11404</v>
      </c>
    </row>
    <row r="5997">
      <c r="A5997" s="39"/>
      <c r="E5997" s="40" t="s">
        <v>11404</v>
      </c>
      <c r="F5997" s="40" t="s">
        <v>11404</v>
      </c>
      <c r="G5997" s="40" t="s">
        <v>11404</v>
      </c>
      <c r="H5997" s="40" t="s">
        <v>11404</v>
      </c>
    </row>
    <row r="5998">
      <c r="A5998" s="39"/>
      <c r="E5998" s="40" t="s">
        <v>11404</v>
      </c>
      <c r="F5998" s="40" t="s">
        <v>11404</v>
      </c>
      <c r="G5998" s="40" t="s">
        <v>11404</v>
      </c>
      <c r="H5998" s="40" t="s">
        <v>11404</v>
      </c>
    </row>
    <row r="5999">
      <c r="A5999" s="39"/>
      <c r="E5999" s="40" t="s">
        <v>11404</v>
      </c>
      <c r="F5999" s="40" t="s">
        <v>11404</v>
      </c>
      <c r="G5999" s="40" t="s">
        <v>11404</v>
      </c>
      <c r="H5999" s="40" t="s">
        <v>11404</v>
      </c>
    </row>
    <row r="6000">
      <c r="A6000" s="39"/>
      <c r="E6000" s="40" t="s">
        <v>11404</v>
      </c>
      <c r="F6000" s="40" t="s">
        <v>11404</v>
      </c>
      <c r="G6000" s="40" t="s">
        <v>11404</v>
      </c>
      <c r="H6000" s="40" t="s">
        <v>11404</v>
      </c>
    </row>
    <row r="6001">
      <c r="A6001" s="39"/>
      <c r="E6001" s="40" t="s">
        <v>11404</v>
      </c>
      <c r="F6001" s="40" t="s">
        <v>11404</v>
      </c>
      <c r="G6001" s="40" t="s">
        <v>11404</v>
      </c>
      <c r="H6001" s="40" t="s">
        <v>11404</v>
      </c>
    </row>
    <row r="6002">
      <c r="A6002" s="39"/>
      <c r="E6002" s="40" t="s">
        <v>11404</v>
      </c>
      <c r="F6002" s="40" t="s">
        <v>11404</v>
      </c>
      <c r="G6002" s="40" t="s">
        <v>11404</v>
      </c>
      <c r="H6002" s="40" t="s">
        <v>11404</v>
      </c>
    </row>
    <row r="6003">
      <c r="A6003" s="39"/>
      <c r="E6003" s="40" t="s">
        <v>11404</v>
      </c>
      <c r="F6003" s="40" t="s">
        <v>11404</v>
      </c>
      <c r="G6003" s="40" t="s">
        <v>11404</v>
      </c>
      <c r="H6003" s="40" t="s">
        <v>11404</v>
      </c>
    </row>
    <row r="6004">
      <c r="A6004" s="39"/>
      <c r="E6004" s="40" t="s">
        <v>11404</v>
      </c>
      <c r="F6004" s="40" t="s">
        <v>11404</v>
      </c>
      <c r="G6004" s="40" t="s">
        <v>11404</v>
      </c>
      <c r="H6004" s="40" t="s">
        <v>11404</v>
      </c>
    </row>
    <row r="6005">
      <c r="A6005" s="39"/>
      <c r="E6005" s="40" t="s">
        <v>11404</v>
      </c>
      <c r="F6005" s="40" t="s">
        <v>11404</v>
      </c>
      <c r="G6005" s="40" t="s">
        <v>11404</v>
      </c>
      <c r="H6005" s="40" t="s">
        <v>11404</v>
      </c>
    </row>
    <row r="6006">
      <c r="A6006" s="39"/>
      <c r="E6006" s="40" t="s">
        <v>11404</v>
      </c>
      <c r="F6006" s="40" t="s">
        <v>11404</v>
      </c>
      <c r="G6006" s="40" t="s">
        <v>11404</v>
      </c>
      <c r="H6006" s="40" t="s">
        <v>11404</v>
      </c>
    </row>
    <row r="6007">
      <c r="A6007" s="39"/>
      <c r="E6007" s="40" t="s">
        <v>11404</v>
      </c>
      <c r="F6007" s="40" t="s">
        <v>11404</v>
      </c>
      <c r="G6007" s="40" t="s">
        <v>11404</v>
      </c>
      <c r="H6007" s="40" t="s">
        <v>11404</v>
      </c>
    </row>
    <row r="6008">
      <c r="A6008" s="39"/>
      <c r="E6008" s="40" t="s">
        <v>11404</v>
      </c>
      <c r="F6008" s="40" t="s">
        <v>11404</v>
      </c>
      <c r="G6008" s="40" t="s">
        <v>11404</v>
      </c>
      <c r="H6008" s="40" t="s">
        <v>11404</v>
      </c>
    </row>
    <row r="6009">
      <c r="A6009" s="39"/>
      <c r="E6009" s="40" t="s">
        <v>11404</v>
      </c>
      <c r="F6009" s="40" t="s">
        <v>11404</v>
      </c>
      <c r="G6009" s="40" t="s">
        <v>11404</v>
      </c>
      <c r="H6009" s="40" t="s">
        <v>11404</v>
      </c>
    </row>
    <row r="6010">
      <c r="A6010" s="39"/>
      <c r="E6010" s="40" t="s">
        <v>11404</v>
      </c>
      <c r="F6010" s="40" t="s">
        <v>11404</v>
      </c>
      <c r="G6010" s="40" t="s">
        <v>11404</v>
      </c>
      <c r="H6010" s="40" t="s">
        <v>11404</v>
      </c>
    </row>
    <row r="6011">
      <c r="A6011" s="39"/>
      <c r="E6011" s="40" t="s">
        <v>11404</v>
      </c>
      <c r="F6011" s="40" t="s">
        <v>11404</v>
      </c>
      <c r="G6011" s="40" t="s">
        <v>11404</v>
      </c>
      <c r="H6011" s="40" t="s">
        <v>11404</v>
      </c>
    </row>
    <row r="6012">
      <c r="A6012" s="39"/>
      <c r="E6012" s="40" t="s">
        <v>11404</v>
      </c>
      <c r="F6012" s="40" t="s">
        <v>11404</v>
      </c>
      <c r="G6012" s="40" t="s">
        <v>11404</v>
      </c>
      <c r="H6012" s="40" t="s">
        <v>11404</v>
      </c>
    </row>
    <row r="6013">
      <c r="A6013" s="39"/>
      <c r="E6013" s="40" t="s">
        <v>11404</v>
      </c>
      <c r="F6013" s="40" t="s">
        <v>11404</v>
      </c>
      <c r="G6013" s="40" t="s">
        <v>11404</v>
      </c>
      <c r="H6013" s="40" t="s">
        <v>11404</v>
      </c>
    </row>
    <row r="6014">
      <c r="A6014" s="39"/>
      <c r="E6014" s="40" t="s">
        <v>11404</v>
      </c>
      <c r="F6014" s="40" t="s">
        <v>11404</v>
      </c>
      <c r="G6014" s="40" t="s">
        <v>11404</v>
      </c>
      <c r="H6014" s="40" t="s">
        <v>11404</v>
      </c>
    </row>
    <row r="6015">
      <c r="A6015" s="39"/>
      <c r="E6015" s="40" t="s">
        <v>11404</v>
      </c>
      <c r="F6015" s="40" t="s">
        <v>11404</v>
      </c>
      <c r="G6015" s="40" t="s">
        <v>11404</v>
      </c>
      <c r="H6015" s="40" t="s">
        <v>11404</v>
      </c>
    </row>
    <row r="6016">
      <c r="A6016" s="39"/>
      <c r="E6016" s="40" t="s">
        <v>11404</v>
      </c>
      <c r="F6016" s="40" t="s">
        <v>11404</v>
      </c>
      <c r="G6016" s="40" t="s">
        <v>11404</v>
      </c>
      <c r="H6016" s="40" t="s">
        <v>11404</v>
      </c>
    </row>
    <row r="6017">
      <c r="A6017" s="39"/>
      <c r="E6017" s="40" t="s">
        <v>11404</v>
      </c>
      <c r="F6017" s="40" t="s">
        <v>11404</v>
      </c>
      <c r="G6017" s="40" t="s">
        <v>11404</v>
      </c>
      <c r="H6017" s="40" t="s">
        <v>11404</v>
      </c>
    </row>
    <row r="6018">
      <c r="A6018" s="39"/>
      <c r="E6018" s="40" t="s">
        <v>11404</v>
      </c>
      <c r="F6018" s="40" t="s">
        <v>11404</v>
      </c>
      <c r="G6018" s="40" t="s">
        <v>11404</v>
      </c>
      <c r="H6018" s="40" t="s">
        <v>11404</v>
      </c>
    </row>
    <row r="6019">
      <c r="A6019" s="39"/>
      <c r="E6019" s="40" t="s">
        <v>11404</v>
      </c>
      <c r="F6019" s="40" t="s">
        <v>11404</v>
      </c>
      <c r="G6019" s="40" t="s">
        <v>11404</v>
      </c>
      <c r="H6019" s="40" t="s">
        <v>11404</v>
      </c>
    </row>
    <row r="6020">
      <c r="A6020" s="39"/>
      <c r="E6020" s="40" t="s">
        <v>11404</v>
      </c>
      <c r="F6020" s="40" t="s">
        <v>11404</v>
      </c>
      <c r="G6020" s="40" t="s">
        <v>11404</v>
      </c>
      <c r="H6020" s="40" t="s">
        <v>11404</v>
      </c>
    </row>
    <row r="6021">
      <c r="A6021" s="39"/>
      <c r="E6021" s="40" t="s">
        <v>11404</v>
      </c>
      <c r="F6021" s="40" t="s">
        <v>11404</v>
      </c>
      <c r="G6021" s="40" t="s">
        <v>11404</v>
      </c>
      <c r="H6021" s="40" t="s">
        <v>11404</v>
      </c>
    </row>
    <row r="6022">
      <c r="A6022" s="39"/>
      <c r="E6022" s="40" t="s">
        <v>11404</v>
      </c>
      <c r="F6022" s="40" t="s">
        <v>11404</v>
      </c>
      <c r="G6022" s="40" t="s">
        <v>11404</v>
      </c>
      <c r="H6022" s="40" t="s">
        <v>11404</v>
      </c>
    </row>
    <row r="6023">
      <c r="A6023" s="39"/>
      <c r="E6023" s="40" t="s">
        <v>11404</v>
      </c>
      <c r="F6023" s="40" t="s">
        <v>11404</v>
      </c>
      <c r="G6023" s="40" t="s">
        <v>11404</v>
      </c>
      <c r="H6023" s="40" t="s">
        <v>11404</v>
      </c>
    </row>
    <row r="6024">
      <c r="A6024" s="39"/>
      <c r="E6024" s="40" t="s">
        <v>11404</v>
      </c>
      <c r="F6024" s="40" t="s">
        <v>11404</v>
      </c>
      <c r="G6024" s="40" t="s">
        <v>11404</v>
      </c>
      <c r="H6024" s="40" t="s">
        <v>11404</v>
      </c>
    </row>
    <row r="6025">
      <c r="A6025" s="39"/>
      <c r="E6025" s="40" t="s">
        <v>11404</v>
      </c>
      <c r="F6025" s="40" t="s">
        <v>11404</v>
      </c>
      <c r="G6025" s="40" t="s">
        <v>11404</v>
      </c>
      <c r="H6025" s="40" t="s">
        <v>11404</v>
      </c>
    </row>
    <row r="6026">
      <c r="A6026" s="39"/>
      <c r="E6026" s="40" t="s">
        <v>11404</v>
      </c>
      <c r="F6026" s="40" t="s">
        <v>11404</v>
      </c>
      <c r="G6026" s="40" t="s">
        <v>11404</v>
      </c>
      <c r="H6026" s="40" t="s">
        <v>11404</v>
      </c>
    </row>
    <row r="6027">
      <c r="A6027" s="39"/>
      <c r="E6027" s="40" t="s">
        <v>11404</v>
      </c>
      <c r="F6027" s="40" t="s">
        <v>11404</v>
      </c>
      <c r="G6027" s="40" t="s">
        <v>11404</v>
      </c>
      <c r="H6027" s="40" t="s">
        <v>11404</v>
      </c>
    </row>
    <row r="6028">
      <c r="A6028" s="39"/>
      <c r="E6028" s="40" t="s">
        <v>11404</v>
      </c>
      <c r="F6028" s="40" t="s">
        <v>11404</v>
      </c>
      <c r="G6028" s="40" t="s">
        <v>11404</v>
      </c>
      <c r="H6028" s="40" t="s">
        <v>11404</v>
      </c>
    </row>
    <row r="6029">
      <c r="A6029" s="39"/>
      <c r="E6029" s="40" t="s">
        <v>11404</v>
      </c>
      <c r="F6029" s="40" t="s">
        <v>11404</v>
      </c>
      <c r="G6029" s="40" t="s">
        <v>11404</v>
      </c>
      <c r="H6029" s="40" t="s">
        <v>11404</v>
      </c>
    </row>
    <row r="6030">
      <c r="A6030" s="39"/>
      <c r="E6030" s="40" t="s">
        <v>11404</v>
      </c>
      <c r="F6030" s="40" t="s">
        <v>11404</v>
      </c>
      <c r="G6030" s="40" t="s">
        <v>11404</v>
      </c>
      <c r="H6030" s="40" t="s">
        <v>11404</v>
      </c>
    </row>
    <row r="6031">
      <c r="A6031" s="39"/>
      <c r="E6031" s="40" t="s">
        <v>11404</v>
      </c>
      <c r="F6031" s="40" t="s">
        <v>11404</v>
      </c>
      <c r="G6031" s="40" t="s">
        <v>11404</v>
      </c>
      <c r="H6031" s="40" t="s">
        <v>11404</v>
      </c>
    </row>
    <row r="6032">
      <c r="A6032" s="39"/>
      <c r="E6032" s="40" t="s">
        <v>11404</v>
      </c>
      <c r="F6032" s="40" t="s">
        <v>11404</v>
      </c>
      <c r="G6032" s="40" t="s">
        <v>11404</v>
      </c>
      <c r="H6032" s="40" t="s">
        <v>11404</v>
      </c>
    </row>
    <row r="6033">
      <c r="A6033" s="39"/>
      <c r="E6033" s="40" t="s">
        <v>11404</v>
      </c>
      <c r="F6033" s="40" t="s">
        <v>11404</v>
      </c>
      <c r="G6033" s="40" t="s">
        <v>11404</v>
      </c>
      <c r="H6033" s="40" t="s">
        <v>11404</v>
      </c>
    </row>
    <row r="6034">
      <c r="A6034" s="39"/>
      <c r="E6034" s="40" t="s">
        <v>11404</v>
      </c>
      <c r="F6034" s="40" t="s">
        <v>11404</v>
      </c>
      <c r="G6034" s="40" t="s">
        <v>11404</v>
      </c>
      <c r="H6034" s="40" t="s">
        <v>11404</v>
      </c>
    </row>
    <row r="6035">
      <c r="A6035" s="39"/>
      <c r="E6035" s="40" t="s">
        <v>11404</v>
      </c>
      <c r="F6035" s="40" t="s">
        <v>11404</v>
      </c>
      <c r="G6035" s="40" t="s">
        <v>11404</v>
      </c>
      <c r="H6035" s="40" t="s">
        <v>11404</v>
      </c>
    </row>
    <row r="6036">
      <c r="A6036" s="39"/>
      <c r="E6036" s="40" t="s">
        <v>11404</v>
      </c>
      <c r="F6036" s="40" t="s">
        <v>11404</v>
      </c>
      <c r="G6036" s="40" t="s">
        <v>11404</v>
      </c>
      <c r="H6036" s="40" t="s">
        <v>11404</v>
      </c>
    </row>
    <row r="6037">
      <c r="A6037" s="39"/>
      <c r="E6037" s="40" t="s">
        <v>11404</v>
      </c>
      <c r="F6037" s="40" t="s">
        <v>11404</v>
      </c>
      <c r="G6037" s="40" t="s">
        <v>11404</v>
      </c>
      <c r="H6037" s="40" t="s">
        <v>11404</v>
      </c>
    </row>
    <row r="6038">
      <c r="A6038" s="39"/>
      <c r="E6038" s="40" t="s">
        <v>11404</v>
      </c>
      <c r="F6038" s="40" t="s">
        <v>11404</v>
      </c>
      <c r="G6038" s="40" t="s">
        <v>11404</v>
      </c>
      <c r="H6038" s="40" t="s">
        <v>11404</v>
      </c>
    </row>
    <row r="6039">
      <c r="A6039" s="39"/>
      <c r="E6039" s="40" t="s">
        <v>11404</v>
      </c>
      <c r="F6039" s="40" t="s">
        <v>11404</v>
      </c>
      <c r="G6039" s="40" t="s">
        <v>11404</v>
      </c>
      <c r="H6039" s="40" t="s">
        <v>11404</v>
      </c>
    </row>
    <row r="6040">
      <c r="A6040" s="39"/>
      <c r="E6040" s="40" t="s">
        <v>11404</v>
      </c>
      <c r="F6040" s="40" t="s">
        <v>11404</v>
      </c>
      <c r="G6040" s="40" t="s">
        <v>11404</v>
      </c>
      <c r="H6040" s="40" t="s">
        <v>11404</v>
      </c>
    </row>
    <row r="6041">
      <c r="A6041" s="39"/>
      <c r="E6041" s="40" t="s">
        <v>11404</v>
      </c>
      <c r="F6041" s="40" t="s">
        <v>11404</v>
      </c>
      <c r="G6041" s="40" t="s">
        <v>11404</v>
      </c>
      <c r="H6041" s="40" t="s">
        <v>11404</v>
      </c>
    </row>
    <row r="6042">
      <c r="A6042" s="39"/>
      <c r="E6042" s="40" t="s">
        <v>11404</v>
      </c>
      <c r="F6042" s="40" t="s">
        <v>11404</v>
      </c>
      <c r="G6042" s="40" t="s">
        <v>11404</v>
      </c>
      <c r="H6042" s="40" t="s">
        <v>11404</v>
      </c>
    </row>
    <row r="6043">
      <c r="A6043" s="39"/>
      <c r="E6043" s="40" t="s">
        <v>11404</v>
      </c>
      <c r="F6043" s="40" t="s">
        <v>11404</v>
      </c>
      <c r="G6043" s="40" t="s">
        <v>11404</v>
      </c>
      <c r="H6043" s="40" t="s">
        <v>11404</v>
      </c>
    </row>
    <row r="6044">
      <c r="A6044" s="39"/>
      <c r="E6044" s="40" t="s">
        <v>11404</v>
      </c>
      <c r="F6044" s="40" t="s">
        <v>11404</v>
      </c>
      <c r="G6044" s="40" t="s">
        <v>11404</v>
      </c>
      <c r="H6044" s="40" t="s">
        <v>11404</v>
      </c>
    </row>
    <row r="6045">
      <c r="A6045" s="39"/>
      <c r="E6045" s="40" t="s">
        <v>11404</v>
      </c>
      <c r="F6045" s="40" t="s">
        <v>11404</v>
      </c>
      <c r="G6045" s="40" t="s">
        <v>11404</v>
      </c>
      <c r="H6045" s="40" t="s">
        <v>11404</v>
      </c>
    </row>
    <row r="6046">
      <c r="A6046" s="39"/>
      <c r="E6046" s="40" t="s">
        <v>11404</v>
      </c>
      <c r="F6046" s="40" t="s">
        <v>11404</v>
      </c>
      <c r="G6046" s="40" t="s">
        <v>11404</v>
      </c>
      <c r="H6046" s="40" t="s">
        <v>11404</v>
      </c>
    </row>
    <row r="6047">
      <c r="A6047" s="39"/>
      <c r="E6047" s="40" t="s">
        <v>11404</v>
      </c>
      <c r="F6047" s="40" t="s">
        <v>11404</v>
      </c>
      <c r="G6047" s="40" t="s">
        <v>11404</v>
      </c>
      <c r="H6047" s="40" t="s">
        <v>11404</v>
      </c>
    </row>
    <row r="6048">
      <c r="A6048" s="39"/>
      <c r="E6048" s="40" t="s">
        <v>11404</v>
      </c>
      <c r="F6048" s="40" t="s">
        <v>11404</v>
      </c>
      <c r="G6048" s="40" t="s">
        <v>11404</v>
      </c>
      <c r="H6048" s="40" t="s">
        <v>11404</v>
      </c>
    </row>
    <row r="6049">
      <c r="A6049" s="39"/>
      <c r="E6049" s="40" t="s">
        <v>11404</v>
      </c>
      <c r="F6049" s="40" t="s">
        <v>11404</v>
      </c>
      <c r="G6049" s="40" t="s">
        <v>11404</v>
      </c>
      <c r="H6049" s="40" t="s">
        <v>11404</v>
      </c>
    </row>
    <row r="6050">
      <c r="A6050" s="39"/>
      <c r="E6050" s="40" t="s">
        <v>11404</v>
      </c>
      <c r="F6050" s="40" t="s">
        <v>11404</v>
      </c>
      <c r="G6050" s="40" t="s">
        <v>11404</v>
      </c>
      <c r="H6050" s="40" t="s">
        <v>11404</v>
      </c>
    </row>
    <row r="6051">
      <c r="A6051" s="39"/>
      <c r="E6051" s="40" t="s">
        <v>11404</v>
      </c>
      <c r="F6051" s="40" t="s">
        <v>11404</v>
      </c>
      <c r="G6051" s="40" t="s">
        <v>11404</v>
      </c>
      <c r="H6051" s="40" t="s">
        <v>11404</v>
      </c>
    </row>
    <row r="6052">
      <c r="A6052" s="39"/>
      <c r="E6052" s="40" t="s">
        <v>11404</v>
      </c>
      <c r="F6052" s="40" t="s">
        <v>11404</v>
      </c>
      <c r="G6052" s="40" t="s">
        <v>11404</v>
      </c>
      <c r="H6052" s="40" t="s">
        <v>11404</v>
      </c>
    </row>
    <row r="6053">
      <c r="A6053" s="39"/>
      <c r="E6053" s="40" t="s">
        <v>11404</v>
      </c>
      <c r="F6053" s="40" t="s">
        <v>11404</v>
      </c>
      <c r="G6053" s="40" t="s">
        <v>11404</v>
      </c>
      <c r="H6053" s="40" t="s">
        <v>11404</v>
      </c>
    </row>
    <row r="6054">
      <c r="A6054" s="39"/>
      <c r="E6054" s="40" t="s">
        <v>11404</v>
      </c>
      <c r="F6054" s="40" t="s">
        <v>11404</v>
      </c>
      <c r="G6054" s="40" t="s">
        <v>11404</v>
      </c>
      <c r="H6054" s="40" t="s">
        <v>11404</v>
      </c>
    </row>
    <row r="6055">
      <c r="A6055" s="39"/>
      <c r="E6055" s="40" t="s">
        <v>11404</v>
      </c>
      <c r="F6055" s="40" t="s">
        <v>11404</v>
      </c>
      <c r="G6055" s="40" t="s">
        <v>11404</v>
      </c>
      <c r="H6055" s="40" t="s">
        <v>11404</v>
      </c>
    </row>
    <row r="6056">
      <c r="A6056" s="39"/>
      <c r="E6056" s="40" t="s">
        <v>11404</v>
      </c>
      <c r="F6056" s="40" t="s">
        <v>11404</v>
      </c>
      <c r="G6056" s="40" t="s">
        <v>11404</v>
      </c>
      <c r="H6056" s="40" t="s">
        <v>11404</v>
      </c>
    </row>
    <row r="6057">
      <c r="A6057" s="39"/>
      <c r="E6057" s="40" t="s">
        <v>11404</v>
      </c>
      <c r="F6057" s="40" t="s">
        <v>11404</v>
      </c>
      <c r="G6057" s="40" t="s">
        <v>11404</v>
      </c>
      <c r="H6057" s="40" t="s">
        <v>11404</v>
      </c>
    </row>
    <row r="6058">
      <c r="A6058" s="39"/>
      <c r="E6058" s="40" t="s">
        <v>11404</v>
      </c>
      <c r="F6058" s="40" t="s">
        <v>11404</v>
      </c>
      <c r="G6058" s="40" t="s">
        <v>11404</v>
      </c>
      <c r="H6058" s="40" t="s">
        <v>11404</v>
      </c>
    </row>
    <row r="6059">
      <c r="A6059" s="39"/>
      <c r="E6059" s="40" t="s">
        <v>11404</v>
      </c>
      <c r="F6059" s="40" t="s">
        <v>11404</v>
      </c>
      <c r="G6059" s="40" t="s">
        <v>11404</v>
      </c>
      <c r="H6059" s="40" t="s">
        <v>11404</v>
      </c>
    </row>
    <row r="6060">
      <c r="A6060" s="39"/>
      <c r="E6060" s="40" t="s">
        <v>11404</v>
      </c>
      <c r="F6060" s="40" t="s">
        <v>11404</v>
      </c>
      <c r="G6060" s="40" t="s">
        <v>11404</v>
      </c>
      <c r="H6060" s="40" t="s">
        <v>11404</v>
      </c>
    </row>
    <row r="6061">
      <c r="A6061" s="39"/>
      <c r="E6061" s="40" t="s">
        <v>11404</v>
      </c>
      <c r="F6061" s="40" t="s">
        <v>11404</v>
      </c>
      <c r="G6061" s="40" t="s">
        <v>11404</v>
      </c>
      <c r="H6061" s="40" t="s">
        <v>11404</v>
      </c>
    </row>
    <row r="6062">
      <c r="A6062" s="39"/>
      <c r="E6062" s="40" t="s">
        <v>11404</v>
      </c>
      <c r="F6062" s="40" t="s">
        <v>11404</v>
      </c>
      <c r="G6062" s="40" t="s">
        <v>11404</v>
      </c>
      <c r="H6062" s="40" t="s">
        <v>11404</v>
      </c>
    </row>
    <row r="6063">
      <c r="A6063" s="39"/>
      <c r="E6063" s="40" t="s">
        <v>11404</v>
      </c>
      <c r="F6063" s="40" t="s">
        <v>11404</v>
      </c>
      <c r="G6063" s="40" t="s">
        <v>11404</v>
      </c>
      <c r="H6063" s="40" t="s">
        <v>11404</v>
      </c>
    </row>
    <row r="6064">
      <c r="A6064" s="39"/>
      <c r="E6064" s="40" t="s">
        <v>11404</v>
      </c>
      <c r="F6064" s="40" t="s">
        <v>11404</v>
      </c>
      <c r="G6064" s="40" t="s">
        <v>11404</v>
      </c>
      <c r="H6064" s="40" t="s">
        <v>11404</v>
      </c>
    </row>
    <row r="6065">
      <c r="A6065" s="39"/>
      <c r="E6065" s="40" t="s">
        <v>11404</v>
      </c>
      <c r="F6065" s="40" t="s">
        <v>11404</v>
      </c>
      <c r="G6065" s="40" t="s">
        <v>11404</v>
      </c>
      <c r="H6065" s="40" t="s">
        <v>11404</v>
      </c>
    </row>
    <row r="6066">
      <c r="A6066" s="39"/>
      <c r="E6066" s="40" t="s">
        <v>11404</v>
      </c>
      <c r="F6066" s="40" t="s">
        <v>11404</v>
      </c>
      <c r="G6066" s="40" t="s">
        <v>11404</v>
      </c>
      <c r="H6066" s="40" t="s">
        <v>11404</v>
      </c>
    </row>
    <row r="6067">
      <c r="A6067" s="39"/>
      <c r="E6067" s="40" t="s">
        <v>11404</v>
      </c>
      <c r="F6067" s="40" t="s">
        <v>11404</v>
      </c>
      <c r="G6067" s="40" t="s">
        <v>11404</v>
      </c>
      <c r="H6067" s="40" t="s">
        <v>11404</v>
      </c>
    </row>
    <row r="6068">
      <c r="A6068" s="39"/>
      <c r="E6068" s="40" t="s">
        <v>11404</v>
      </c>
      <c r="F6068" s="40" t="s">
        <v>11404</v>
      </c>
      <c r="G6068" s="40" t="s">
        <v>11404</v>
      </c>
      <c r="H6068" s="40" t="s">
        <v>11404</v>
      </c>
    </row>
    <row r="6069">
      <c r="A6069" s="39"/>
      <c r="E6069" s="40" t="s">
        <v>11404</v>
      </c>
      <c r="F6069" s="40" t="s">
        <v>11404</v>
      </c>
      <c r="G6069" s="40" t="s">
        <v>11404</v>
      </c>
      <c r="H6069" s="40" t="s">
        <v>11404</v>
      </c>
    </row>
    <row r="6070">
      <c r="A6070" s="39"/>
      <c r="E6070" s="40" t="s">
        <v>11404</v>
      </c>
      <c r="F6070" s="40" t="s">
        <v>11404</v>
      </c>
      <c r="G6070" s="40" t="s">
        <v>11404</v>
      </c>
      <c r="H6070" s="40" t="s">
        <v>11404</v>
      </c>
    </row>
    <row r="6071">
      <c r="A6071" s="39"/>
      <c r="E6071" s="40" t="s">
        <v>11404</v>
      </c>
      <c r="F6071" s="40" t="s">
        <v>11404</v>
      </c>
      <c r="G6071" s="40" t="s">
        <v>11404</v>
      </c>
      <c r="H6071" s="40" t="s">
        <v>11404</v>
      </c>
    </row>
    <row r="6072">
      <c r="A6072" s="39"/>
      <c r="E6072" s="40" t="s">
        <v>11404</v>
      </c>
      <c r="F6072" s="40" t="s">
        <v>11404</v>
      </c>
      <c r="G6072" s="40" t="s">
        <v>11404</v>
      </c>
      <c r="H6072" s="40" t="s">
        <v>11404</v>
      </c>
    </row>
    <row r="6073">
      <c r="A6073" s="39"/>
      <c r="E6073" s="40" t="s">
        <v>11404</v>
      </c>
      <c r="F6073" s="40" t="s">
        <v>11404</v>
      </c>
      <c r="G6073" s="40" t="s">
        <v>11404</v>
      </c>
      <c r="H6073" s="40" t="s">
        <v>11404</v>
      </c>
    </row>
    <row r="6074">
      <c r="A6074" s="39"/>
      <c r="E6074" s="40" t="s">
        <v>11404</v>
      </c>
      <c r="F6074" s="40" t="s">
        <v>11404</v>
      </c>
      <c r="G6074" s="40" t="s">
        <v>11404</v>
      </c>
      <c r="H6074" s="40" t="s">
        <v>11404</v>
      </c>
    </row>
    <row r="6075">
      <c r="A6075" s="39"/>
      <c r="E6075" s="40" t="s">
        <v>11404</v>
      </c>
      <c r="F6075" s="40" t="s">
        <v>11404</v>
      </c>
      <c r="G6075" s="40" t="s">
        <v>11404</v>
      </c>
      <c r="H6075" s="40" t="s">
        <v>11404</v>
      </c>
    </row>
    <row r="6076">
      <c r="A6076" s="39"/>
      <c r="E6076" s="40" t="s">
        <v>11404</v>
      </c>
      <c r="F6076" s="40" t="s">
        <v>11404</v>
      </c>
      <c r="G6076" s="40" t="s">
        <v>11404</v>
      </c>
      <c r="H6076" s="40" t="s">
        <v>11404</v>
      </c>
    </row>
    <row r="6077">
      <c r="A6077" s="39"/>
      <c r="E6077" s="40" t="s">
        <v>11404</v>
      </c>
      <c r="F6077" s="40" t="s">
        <v>11404</v>
      </c>
      <c r="G6077" s="40" t="s">
        <v>11404</v>
      </c>
      <c r="H6077" s="40" t="s">
        <v>11404</v>
      </c>
    </row>
    <row r="6078">
      <c r="A6078" s="39"/>
      <c r="E6078" s="40" t="s">
        <v>11404</v>
      </c>
      <c r="F6078" s="40" t="s">
        <v>11404</v>
      </c>
      <c r="G6078" s="40" t="s">
        <v>11404</v>
      </c>
      <c r="H6078" s="40" t="s">
        <v>11404</v>
      </c>
    </row>
    <row r="6079">
      <c r="A6079" s="39"/>
      <c r="E6079" s="40" t="s">
        <v>11404</v>
      </c>
      <c r="F6079" s="40" t="s">
        <v>11404</v>
      </c>
      <c r="G6079" s="40" t="s">
        <v>11404</v>
      </c>
      <c r="H6079" s="40" t="s">
        <v>11404</v>
      </c>
    </row>
    <row r="6080">
      <c r="A6080" s="39"/>
      <c r="E6080" s="40" t="s">
        <v>11404</v>
      </c>
      <c r="F6080" s="40" t="s">
        <v>11404</v>
      </c>
      <c r="G6080" s="40" t="s">
        <v>11404</v>
      </c>
      <c r="H6080" s="40" t="s">
        <v>11404</v>
      </c>
    </row>
    <row r="6081">
      <c r="A6081" s="39"/>
      <c r="E6081" s="40" t="s">
        <v>11404</v>
      </c>
      <c r="F6081" s="40" t="s">
        <v>11404</v>
      </c>
      <c r="G6081" s="40" t="s">
        <v>11404</v>
      </c>
      <c r="H6081" s="40" t="s">
        <v>11404</v>
      </c>
    </row>
    <row r="6082">
      <c r="A6082" s="39"/>
      <c r="E6082" s="40" t="s">
        <v>11404</v>
      </c>
      <c r="F6082" s="40" t="s">
        <v>11404</v>
      </c>
      <c r="G6082" s="40" t="s">
        <v>11404</v>
      </c>
      <c r="H6082" s="40" t="s">
        <v>11404</v>
      </c>
    </row>
    <row r="6083">
      <c r="A6083" s="39"/>
      <c r="E6083" s="40" t="s">
        <v>11404</v>
      </c>
      <c r="F6083" s="40" t="s">
        <v>11404</v>
      </c>
      <c r="G6083" s="40" t="s">
        <v>11404</v>
      </c>
      <c r="H6083" s="40" t="s">
        <v>11404</v>
      </c>
    </row>
    <row r="6084">
      <c r="A6084" s="39"/>
      <c r="E6084" s="40" t="s">
        <v>11404</v>
      </c>
      <c r="F6084" s="40" t="s">
        <v>11404</v>
      </c>
      <c r="G6084" s="40" t="s">
        <v>11404</v>
      </c>
      <c r="H6084" s="40" t="s">
        <v>11404</v>
      </c>
    </row>
    <row r="6085">
      <c r="A6085" s="39"/>
      <c r="E6085" s="40" t="s">
        <v>11404</v>
      </c>
      <c r="F6085" s="40" t="s">
        <v>11404</v>
      </c>
      <c r="G6085" s="40" t="s">
        <v>11404</v>
      </c>
      <c r="H6085" s="40" t="s">
        <v>11404</v>
      </c>
    </row>
    <row r="6086">
      <c r="A6086" s="39"/>
      <c r="E6086" s="40" t="s">
        <v>11404</v>
      </c>
      <c r="F6086" s="40" t="s">
        <v>11404</v>
      </c>
      <c r="G6086" s="40" t="s">
        <v>11404</v>
      </c>
      <c r="H6086" s="40" t="s">
        <v>11404</v>
      </c>
    </row>
    <row r="6087">
      <c r="A6087" s="39"/>
      <c r="E6087" s="40" t="s">
        <v>11404</v>
      </c>
      <c r="F6087" s="40" t="s">
        <v>11404</v>
      </c>
      <c r="G6087" s="40" t="s">
        <v>11404</v>
      </c>
      <c r="H6087" s="40" t="s">
        <v>11404</v>
      </c>
    </row>
    <row r="6088">
      <c r="A6088" s="39"/>
      <c r="E6088" s="40" t="s">
        <v>11404</v>
      </c>
      <c r="F6088" s="40" t="s">
        <v>11404</v>
      </c>
      <c r="G6088" s="40" t="s">
        <v>11404</v>
      </c>
      <c r="H6088" s="40" t="s">
        <v>11404</v>
      </c>
    </row>
    <row r="6089">
      <c r="A6089" s="39"/>
      <c r="E6089" s="40" t="s">
        <v>11404</v>
      </c>
      <c r="F6089" s="40" t="s">
        <v>11404</v>
      </c>
      <c r="G6089" s="40" t="s">
        <v>11404</v>
      </c>
      <c r="H6089" s="40" t="s">
        <v>11404</v>
      </c>
    </row>
    <row r="6090">
      <c r="A6090" s="39"/>
      <c r="E6090" s="40" t="s">
        <v>11404</v>
      </c>
      <c r="F6090" s="40" t="s">
        <v>11404</v>
      </c>
      <c r="G6090" s="40" t="s">
        <v>11404</v>
      </c>
      <c r="H6090" s="40" t="s">
        <v>11404</v>
      </c>
    </row>
    <row r="6091">
      <c r="A6091" s="39"/>
      <c r="E6091" s="40" t="s">
        <v>11404</v>
      </c>
      <c r="F6091" s="40" t="s">
        <v>11404</v>
      </c>
      <c r="G6091" s="40" t="s">
        <v>11404</v>
      </c>
      <c r="H6091" s="40" t="s">
        <v>11404</v>
      </c>
    </row>
    <row r="6092">
      <c r="A6092" s="39"/>
      <c r="E6092" s="40" t="s">
        <v>11404</v>
      </c>
      <c r="F6092" s="40" t="s">
        <v>11404</v>
      </c>
      <c r="G6092" s="40" t="s">
        <v>11404</v>
      </c>
      <c r="H6092" s="40" t="s">
        <v>11404</v>
      </c>
    </row>
    <row r="6093">
      <c r="A6093" s="39"/>
      <c r="E6093" s="40" t="s">
        <v>11404</v>
      </c>
      <c r="F6093" s="40" t="s">
        <v>11404</v>
      </c>
      <c r="G6093" s="40" t="s">
        <v>11404</v>
      </c>
      <c r="H6093" s="40" t="s">
        <v>11404</v>
      </c>
    </row>
    <row r="6094">
      <c r="A6094" s="39"/>
      <c r="E6094" s="40" t="s">
        <v>11404</v>
      </c>
      <c r="F6094" s="40" t="s">
        <v>11404</v>
      </c>
      <c r="G6094" s="40" t="s">
        <v>11404</v>
      </c>
      <c r="H6094" s="40" t="s">
        <v>11404</v>
      </c>
    </row>
    <row r="6095">
      <c r="A6095" s="39"/>
      <c r="E6095" s="40" t="s">
        <v>11404</v>
      </c>
      <c r="F6095" s="40" t="s">
        <v>11404</v>
      </c>
      <c r="G6095" s="40" t="s">
        <v>11404</v>
      </c>
      <c r="H6095" s="40" t="s">
        <v>11404</v>
      </c>
    </row>
    <row r="6096">
      <c r="A6096" s="39"/>
      <c r="E6096" s="40" t="s">
        <v>11404</v>
      </c>
      <c r="F6096" s="40" t="s">
        <v>11404</v>
      </c>
      <c r="G6096" s="40" t="s">
        <v>11404</v>
      </c>
      <c r="H6096" s="40" t="s">
        <v>11404</v>
      </c>
    </row>
    <row r="6097">
      <c r="A6097" s="39"/>
      <c r="E6097" s="40" t="s">
        <v>11404</v>
      </c>
      <c r="F6097" s="40" t="s">
        <v>11404</v>
      </c>
      <c r="G6097" s="40" t="s">
        <v>11404</v>
      </c>
      <c r="H6097" s="40" t="s">
        <v>11404</v>
      </c>
    </row>
    <row r="6098">
      <c r="A6098" s="39"/>
      <c r="E6098" s="40" t="s">
        <v>11404</v>
      </c>
      <c r="F6098" s="40" t="s">
        <v>11404</v>
      </c>
      <c r="G6098" s="40" t="s">
        <v>11404</v>
      </c>
      <c r="H6098" s="40" t="s">
        <v>11404</v>
      </c>
    </row>
    <row r="6099">
      <c r="A6099" s="39"/>
      <c r="E6099" s="40" t="s">
        <v>11404</v>
      </c>
      <c r="F6099" s="40" t="s">
        <v>11404</v>
      </c>
      <c r="G6099" s="40" t="s">
        <v>11404</v>
      </c>
      <c r="H6099" s="40" t="s">
        <v>11404</v>
      </c>
    </row>
    <row r="6100">
      <c r="A6100" s="39"/>
      <c r="E6100" s="40" t="s">
        <v>11404</v>
      </c>
      <c r="F6100" s="40" t="s">
        <v>11404</v>
      </c>
      <c r="G6100" s="40" t="s">
        <v>11404</v>
      </c>
      <c r="H6100" s="40" t="s">
        <v>11404</v>
      </c>
    </row>
    <row r="6101">
      <c r="A6101" s="39"/>
      <c r="E6101" s="40" t="s">
        <v>11404</v>
      </c>
      <c r="F6101" s="40" t="s">
        <v>11404</v>
      </c>
      <c r="G6101" s="40" t="s">
        <v>11404</v>
      </c>
      <c r="H6101" s="40" t="s">
        <v>11404</v>
      </c>
    </row>
    <row r="6102">
      <c r="A6102" s="39"/>
      <c r="E6102" s="40" t="s">
        <v>11404</v>
      </c>
      <c r="F6102" s="40" t="s">
        <v>11404</v>
      </c>
      <c r="G6102" s="40" t="s">
        <v>11404</v>
      </c>
      <c r="H6102" s="40" t="s">
        <v>11404</v>
      </c>
    </row>
    <row r="6103">
      <c r="A6103" s="39"/>
      <c r="E6103" s="40" t="s">
        <v>11404</v>
      </c>
      <c r="F6103" s="40" t="s">
        <v>11404</v>
      </c>
      <c r="G6103" s="40" t="s">
        <v>11404</v>
      </c>
      <c r="H6103" s="40" t="s">
        <v>11404</v>
      </c>
    </row>
    <row r="6104">
      <c r="A6104" s="39"/>
      <c r="E6104" s="40" t="s">
        <v>11404</v>
      </c>
      <c r="F6104" s="40" t="s">
        <v>11404</v>
      </c>
      <c r="G6104" s="40" t="s">
        <v>11404</v>
      </c>
      <c r="H6104" s="40" t="s">
        <v>11404</v>
      </c>
    </row>
    <row r="6105">
      <c r="A6105" s="39"/>
      <c r="E6105" s="40" t="s">
        <v>11404</v>
      </c>
      <c r="F6105" s="40" t="s">
        <v>11404</v>
      </c>
      <c r="G6105" s="40" t="s">
        <v>11404</v>
      </c>
      <c r="H6105" s="40" t="s">
        <v>11404</v>
      </c>
    </row>
    <row r="6106">
      <c r="A6106" s="39"/>
      <c r="E6106" s="40" t="s">
        <v>11404</v>
      </c>
      <c r="F6106" s="40" t="s">
        <v>11404</v>
      </c>
      <c r="G6106" s="40" t="s">
        <v>11404</v>
      </c>
      <c r="H6106" s="40" t="s">
        <v>11404</v>
      </c>
    </row>
    <row r="6107">
      <c r="A6107" s="39"/>
      <c r="E6107" s="40" t="s">
        <v>11404</v>
      </c>
      <c r="F6107" s="40" t="s">
        <v>11404</v>
      </c>
      <c r="G6107" s="40" t="s">
        <v>11404</v>
      </c>
      <c r="H6107" s="40" t="s">
        <v>11404</v>
      </c>
    </row>
    <row r="6108">
      <c r="A6108" s="39"/>
      <c r="E6108" s="40" t="s">
        <v>11404</v>
      </c>
      <c r="F6108" s="40" t="s">
        <v>11404</v>
      </c>
      <c r="G6108" s="40" t="s">
        <v>11404</v>
      </c>
      <c r="H6108" s="40" t="s">
        <v>11404</v>
      </c>
    </row>
    <row r="6109">
      <c r="A6109" s="39"/>
      <c r="E6109" s="40" t="s">
        <v>11404</v>
      </c>
      <c r="F6109" s="40" t="s">
        <v>11404</v>
      </c>
      <c r="G6109" s="40" t="s">
        <v>11404</v>
      </c>
      <c r="H6109" s="40" t="s">
        <v>11404</v>
      </c>
    </row>
    <row r="6110">
      <c r="A6110" s="39"/>
      <c r="E6110" s="40" t="s">
        <v>11404</v>
      </c>
      <c r="F6110" s="40" t="s">
        <v>11404</v>
      </c>
      <c r="G6110" s="40" t="s">
        <v>11404</v>
      </c>
      <c r="H6110" s="40" t="s">
        <v>11404</v>
      </c>
    </row>
    <row r="6111">
      <c r="A6111" s="39"/>
      <c r="E6111" s="40" t="s">
        <v>11404</v>
      </c>
      <c r="F6111" s="40" t="s">
        <v>11404</v>
      </c>
      <c r="G6111" s="40" t="s">
        <v>11404</v>
      </c>
      <c r="H6111" s="40" t="s">
        <v>11404</v>
      </c>
    </row>
    <row r="6112">
      <c r="A6112" s="39"/>
      <c r="E6112" s="40" t="s">
        <v>11404</v>
      </c>
      <c r="F6112" s="40" t="s">
        <v>11404</v>
      </c>
      <c r="G6112" s="40" t="s">
        <v>11404</v>
      </c>
      <c r="H6112" s="40" t="s">
        <v>11404</v>
      </c>
    </row>
    <row r="6113">
      <c r="A6113" s="39"/>
      <c r="E6113" s="40" t="s">
        <v>11404</v>
      </c>
      <c r="F6113" s="40" t="s">
        <v>11404</v>
      </c>
      <c r="G6113" s="40" t="s">
        <v>11404</v>
      </c>
      <c r="H6113" s="40" t="s">
        <v>11404</v>
      </c>
    </row>
    <row r="6114">
      <c r="A6114" s="39"/>
      <c r="E6114" s="40" t="s">
        <v>11404</v>
      </c>
      <c r="F6114" s="40" t="s">
        <v>11404</v>
      </c>
      <c r="G6114" s="40" t="s">
        <v>11404</v>
      </c>
      <c r="H6114" s="40" t="s">
        <v>11404</v>
      </c>
    </row>
    <row r="6115">
      <c r="A6115" s="39"/>
      <c r="E6115" s="40" t="s">
        <v>11404</v>
      </c>
      <c r="F6115" s="40" t="s">
        <v>11404</v>
      </c>
      <c r="G6115" s="40" t="s">
        <v>11404</v>
      </c>
      <c r="H6115" s="40" t="s">
        <v>11404</v>
      </c>
    </row>
    <row r="6116">
      <c r="A6116" s="39"/>
      <c r="E6116" s="40" t="s">
        <v>11404</v>
      </c>
      <c r="F6116" s="40" t="s">
        <v>11404</v>
      </c>
      <c r="G6116" s="40" t="s">
        <v>11404</v>
      </c>
      <c r="H6116" s="40" t="s">
        <v>11404</v>
      </c>
    </row>
    <row r="6117">
      <c r="A6117" s="39"/>
      <c r="E6117" s="40" t="s">
        <v>11404</v>
      </c>
      <c r="F6117" s="40" t="s">
        <v>11404</v>
      </c>
      <c r="G6117" s="40" t="s">
        <v>11404</v>
      </c>
      <c r="H6117" s="40" t="s">
        <v>11404</v>
      </c>
    </row>
    <row r="6118">
      <c r="A6118" s="39"/>
      <c r="E6118" s="40" t="s">
        <v>11404</v>
      </c>
      <c r="F6118" s="40" t="s">
        <v>11404</v>
      </c>
      <c r="G6118" s="40" t="s">
        <v>11404</v>
      </c>
      <c r="H6118" s="40" t="s">
        <v>11404</v>
      </c>
    </row>
    <row r="6119">
      <c r="A6119" s="39"/>
      <c r="E6119" s="40" t="s">
        <v>11404</v>
      </c>
      <c r="F6119" s="40" t="s">
        <v>11404</v>
      </c>
      <c r="G6119" s="40" t="s">
        <v>11404</v>
      </c>
      <c r="H6119" s="40" t="s">
        <v>11404</v>
      </c>
    </row>
    <row r="6120">
      <c r="A6120" s="39"/>
      <c r="E6120" s="40" t="s">
        <v>11404</v>
      </c>
      <c r="F6120" s="40" t="s">
        <v>11404</v>
      </c>
      <c r="G6120" s="40" t="s">
        <v>11404</v>
      </c>
      <c r="H6120" s="40" t="s">
        <v>11404</v>
      </c>
    </row>
    <row r="6121">
      <c r="A6121" s="39"/>
      <c r="E6121" s="40" t="s">
        <v>11404</v>
      </c>
      <c r="F6121" s="40" t="s">
        <v>11404</v>
      </c>
      <c r="G6121" s="40" t="s">
        <v>11404</v>
      </c>
      <c r="H6121" s="40" t="s">
        <v>11404</v>
      </c>
    </row>
    <row r="6122">
      <c r="A6122" s="39"/>
      <c r="E6122" s="40" t="s">
        <v>11404</v>
      </c>
      <c r="F6122" s="40" t="s">
        <v>11404</v>
      </c>
      <c r="G6122" s="40" t="s">
        <v>11404</v>
      </c>
      <c r="H6122" s="40" t="s">
        <v>11404</v>
      </c>
    </row>
    <row r="6123">
      <c r="A6123" s="39"/>
      <c r="E6123" s="40" t="s">
        <v>11404</v>
      </c>
      <c r="F6123" s="40" t="s">
        <v>11404</v>
      </c>
      <c r="G6123" s="40" t="s">
        <v>11404</v>
      </c>
      <c r="H6123" s="40" t="s">
        <v>11404</v>
      </c>
    </row>
    <row r="6124">
      <c r="A6124" s="39"/>
      <c r="E6124" s="40" t="s">
        <v>11404</v>
      </c>
      <c r="F6124" s="40" t="s">
        <v>11404</v>
      </c>
      <c r="G6124" s="40" t="s">
        <v>11404</v>
      </c>
      <c r="H6124" s="40" t="s">
        <v>11404</v>
      </c>
    </row>
    <row r="6125">
      <c r="A6125" s="39"/>
      <c r="E6125" s="40" t="s">
        <v>11404</v>
      </c>
      <c r="F6125" s="40" t="s">
        <v>11404</v>
      </c>
      <c r="G6125" s="40" t="s">
        <v>11404</v>
      </c>
      <c r="H6125" s="40" t="s">
        <v>11404</v>
      </c>
    </row>
    <row r="6126">
      <c r="A6126" s="39"/>
      <c r="E6126" s="40" t="s">
        <v>11404</v>
      </c>
      <c r="F6126" s="40" t="s">
        <v>11404</v>
      </c>
      <c r="G6126" s="40" t="s">
        <v>11404</v>
      </c>
      <c r="H6126" s="40" t="s">
        <v>11404</v>
      </c>
    </row>
    <row r="6127">
      <c r="A6127" s="39"/>
      <c r="E6127" s="40" t="s">
        <v>11404</v>
      </c>
      <c r="F6127" s="40" t="s">
        <v>11404</v>
      </c>
      <c r="G6127" s="40" t="s">
        <v>11404</v>
      </c>
      <c r="H6127" s="40" t="s">
        <v>11404</v>
      </c>
    </row>
    <row r="6128">
      <c r="A6128" s="39"/>
      <c r="E6128" s="40" t="s">
        <v>11404</v>
      </c>
      <c r="F6128" s="40" t="s">
        <v>11404</v>
      </c>
      <c r="G6128" s="40" t="s">
        <v>11404</v>
      </c>
      <c r="H6128" s="40" t="s">
        <v>11404</v>
      </c>
    </row>
    <row r="6129">
      <c r="A6129" s="39"/>
      <c r="E6129" s="40" t="s">
        <v>11404</v>
      </c>
      <c r="F6129" s="40" t="s">
        <v>11404</v>
      </c>
      <c r="G6129" s="40" t="s">
        <v>11404</v>
      </c>
      <c r="H6129" s="40" t="s">
        <v>11404</v>
      </c>
    </row>
    <row r="6130">
      <c r="A6130" s="39"/>
      <c r="E6130" s="40" t="s">
        <v>11404</v>
      </c>
      <c r="F6130" s="40" t="s">
        <v>11404</v>
      </c>
      <c r="G6130" s="40" t="s">
        <v>11404</v>
      </c>
      <c r="H6130" s="40" t="s">
        <v>11404</v>
      </c>
    </row>
    <row r="6131">
      <c r="A6131" s="39"/>
      <c r="E6131" s="40" t="s">
        <v>11404</v>
      </c>
      <c r="F6131" s="40" t="s">
        <v>11404</v>
      </c>
      <c r="G6131" s="40" t="s">
        <v>11404</v>
      </c>
      <c r="H6131" s="40" t="s">
        <v>11404</v>
      </c>
    </row>
    <row r="6132">
      <c r="A6132" s="39"/>
      <c r="E6132" s="40" t="s">
        <v>11404</v>
      </c>
      <c r="F6132" s="40" t="s">
        <v>11404</v>
      </c>
      <c r="G6132" s="40" t="s">
        <v>11404</v>
      </c>
      <c r="H6132" s="40" t="s">
        <v>11404</v>
      </c>
    </row>
    <row r="6133">
      <c r="A6133" s="39"/>
      <c r="E6133" s="40" t="s">
        <v>11404</v>
      </c>
      <c r="F6133" s="40" t="s">
        <v>11404</v>
      </c>
      <c r="G6133" s="40" t="s">
        <v>11404</v>
      </c>
      <c r="H6133" s="40" t="s">
        <v>11404</v>
      </c>
    </row>
    <row r="6134">
      <c r="A6134" s="39"/>
      <c r="E6134" s="40" t="s">
        <v>11404</v>
      </c>
      <c r="F6134" s="40" t="s">
        <v>11404</v>
      </c>
      <c r="G6134" s="40" t="s">
        <v>11404</v>
      </c>
      <c r="H6134" s="40" t="s">
        <v>11404</v>
      </c>
    </row>
    <row r="6135">
      <c r="A6135" s="39"/>
      <c r="E6135" s="40" t="s">
        <v>11404</v>
      </c>
      <c r="F6135" s="40" t="s">
        <v>11404</v>
      </c>
      <c r="G6135" s="40" t="s">
        <v>11404</v>
      </c>
      <c r="H6135" s="40" t="s">
        <v>11404</v>
      </c>
    </row>
    <row r="6136">
      <c r="A6136" s="39"/>
      <c r="E6136" s="40" t="s">
        <v>11404</v>
      </c>
      <c r="F6136" s="40" t="s">
        <v>11404</v>
      </c>
      <c r="G6136" s="40" t="s">
        <v>11404</v>
      </c>
      <c r="H6136" s="40" t="s">
        <v>11404</v>
      </c>
    </row>
    <row r="6137">
      <c r="A6137" s="39"/>
      <c r="E6137" s="40" t="s">
        <v>11404</v>
      </c>
      <c r="F6137" s="40" t="s">
        <v>11404</v>
      </c>
      <c r="G6137" s="40" t="s">
        <v>11404</v>
      </c>
      <c r="H6137" s="40" t="s">
        <v>11404</v>
      </c>
    </row>
    <row r="6138">
      <c r="A6138" s="39"/>
      <c r="E6138" s="40" t="s">
        <v>11404</v>
      </c>
      <c r="F6138" s="40" t="s">
        <v>11404</v>
      </c>
      <c r="G6138" s="40" t="s">
        <v>11404</v>
      </c>
      <c r="H6138" s="40" t="s">
        <v>11404</v>
      </c>
    </row>
    <row r="6139">
      <c r="A6139" s="39"/>
      <c r="E6139" s="40" t="s">
        <v>11404</v>
      </c>
      <c r="F6139" s="40" t="s">
        <v>11404</v>
      </c>
      <c r="G6139" s="40" t="s">
        <v>11404</v>
      </c>
      <c r="H6139" s="40" t="s">
        <v>11404</v>
      </c>
    </row>
    <row r="6140">
      <c r="A6140" s="39"/>
      <c r="E6140" s="40" t="s">
        <v>11404</v>
      </c>
      <c r="F6140" s="40" t="s">
        <v>11404</v>
      </c>
      <c r="G6140" s="40" t="s">
        <v>11404</v>
      </c>
      <c r="H6140" s="40" t="s">
        <v>11404</v>
      </c>
    </row>
    <row r="6141">
      <c r="A6141" s="39"/>
      <c r="E6141" s="40" t="s">
        <v>11404</v>
      </c>
      <c r="F6141" s="40" t="s">
        <v>11404</v>
      </c>
      <c r="G6141" s="40" t="s">
        <v>11404</v>
      </c>
      <c r="H6141" s="40" t="s">
        <v>11404</v>
      </c>
    </row>
    <row r="6142">
      <c r="A6142" s="39"/>
      <c r="E6142" s="40" t="s">
        <v>11404</v>
      </c>
      <c r="F6142" s="40" t="s">
        <v>11404</v>
      </c>
      <c r="G6142" s="40" t="s">
        <v>11404</v>
      </c>
      <c r="H6142" s="40" t="s">
        <v>11404</v>
      </c>
    </row>
    <row r="6143">
      <c r="A6143" s="39"/>
      <c r="E6143" s="40" t="s">
        <v>11404</v>
      </c>
      <c r="F6143" s="40" t="s">
        <v>11404</v>
      </c>
      <c r="G6143" s="40" t="s">
        <v>11404</v>
      </c>
      <c r="H6143" s="40" t="s">
        <v>11404</v>
      </c>
    </row>
    <row r="6144">
      <c r="A6144" s="39"/>
      <c r="E6144" s="40" t="s">
        <v>11404</v>
      </c>
      <c r="F6144" s="40" t="s">
        <v>11404</v>
      </c>
      <c r="G6144" s="40" t="s">
        <v>11404</v>
      </c>
      <c r="H6144" s="40" t="s">
        <v>11404</v>
      </c>
    </row>
    <row r="6145">
      <c r="A6145" s="39"/>
      <c r="E6145" s="40" t="s">
        <v>11404</v>
      </c>
      <c r="F6145" s="40" t="s">
        <v>11404</v>
      </c>
      <c r="G6145" s="40" t="s">
        <v>11404</v>
      </c>
      <c r="H6145" s="40" t="s">
        <v>11404</v>
      </c>
    </row>
    <row r="6146">
      <c r="A6146" s="39"/>
      <c r="E6146" s="40" t="s">
        <v>11404</v>
      </c>
      <c r="F6146" s="40" t="s">
        <v>11404</v>
      </c>
      <c r="G6146" s="40" t="s">
        <v>11404</v>
      </c>
      <c r="H6146" s="40" t="s">
        <v>11404</v>
      </c>
    </row>
    <row r="6147">
      <c r="A6147" s="39"/>
      <c r="E6147" s="40" t="s">
        <v>11404</v>
      </c>
      <c r="F6147" s="40" t="s">
        <v>11404</v>
      </c>
      <c r="G6147" s="40" t="s">
        <v>11404</v>
      </c>
      <c r="H6147" s="40" t="s">
        <v>11404</v>
      </c>
    </row>
    <row r="6148">
      <c r="A6148" s="39"/>
      <c r="E6148" s="40" t="s">
        <v>11404</v>
      </c>
      <c r="F6148" s="40" t="s">
        <v>11404</v>
      </c>
      <c r="G6148" s="40" t="s">
        <v>11404</v>
      </c>
      <c r="H6148" s="40" t="s">
        <v>11404</v>
      </c>
    </row>
    <row r="6149">
      <c r="A6149" s="39"/>
      <c r="E6149" s="40" t="s">
        <v>11404</v>
      </c>
      <c r="F6149" s="40" t="s">
        <v>11404</v>
      </c>
      <c r="G6149" s="40" t="s">
        <v>11404</v>
      </c>
      <c r="H6149" s="40" t="s">
        <v>11404</v>
      </c>
    </row>
    <row r="6150">
      <c r="A6150" s="39"/>
      <c r="E6150" s="40" t="s">
        <v>11404</v>
      </c>
      <c r="F6150" s="40" t="s">
        <v>11404</v>
      </c>
      <c r="G6150" s="40" t="s">
        <v>11404</v>
      </c>
      <c r="H6150" s="40" t="s">
        <v>11404</v>
      </c>
    </row>
    <row r="6151">
      <c r="A6151" s="39"/>
      <c r="E6151" s="40" t="s">
        <v>11404</v>
      </c>
      <c r="F6151" s="40" t="s">
        <v>11404</v>
      </c>
      <c r="G6151" s="40" t="s">
        <v>11404</v>
      </c>
      <c r="H6151" s="40" t="s">
        <v>11404</v>
      </c>
    </row>
    <row r="6152">
      <c r="A6152" s="39"/>
      <c r="E6152" s="40" t="s">
        <v>11404</v>
      </c>
      <c r="F6152" s="40" t="s">
        <v>11404</v>
      </c>
      <c r="G6152" s="40" t="s">
        <v>11404</v>
      </c>
      <c r="H6152" s="40" t="s">
        <v>11404</v>
      </c>
    </row>
    <row r="6153">
      <c r="A6153" s="39"/>
      <c r="E6153" s="40" t="s">
        <v>11404</v>
      </c>
      <c r="F6153" s="40" t="s">
        <v>11404</v>
      </c>
      <c r="G6153" s="40" t="s">
        <v>11404</v>
      </c>
      <c r="H6153" s="40" t="s">
        <v>11404</v>
      </c>
    </row>
    <row r="6154">
      <c r="A6154" s="39"/>
      <c r="E6154" s="40" t="s">
        <v>11404</v>
      </c>
      <c r="F6154" s="40" t="s">
        <v>11404</v>
      </c>
      <c r="G6154" s="40" t="s">
        <v>11404</v>
      </c>
      <c r="H6154" s="40" t="s">
        <v>11404</v>
      </c>
    </row>
    <row r="6155">
      <c r="A6155" s="39"/>
      <c r="E6155" s="40" t="s">
        <v>11404</v>
      </c>
      <c r="F6155" s="40" t="s">
        <v>11404</v>
      </c>
      <c r="G6155" s="40" t="s">
        <v>11404</v>
      </c>
      <c r="H6155" s="40" t="s">
        <v>11404</v>
      </c>
    </row>
    <row r="6156">
      <c r="A6156" s="39"/>
      <c r="E6156" s="40" t="s">
        <v>11404</v>
      </c>
      <c r="F6156" s="40" t="s">
        <v>11404</v>
      </c>
      <c r="G6156" s="40" t="s">
        <v>11404</v>
      </c>
      <c r="H6156" s="40" t="s">
        <v>11404</v>
      </c>
    </row>
    <row r="6157">
      <c r="A6157" s="39"/>
      <c r="E6157" s="40" t="s">
        <v>11404</v>
      </c>
      <c r="F6157" s="40" t="s">
        <v>11404</v>
      </c>
      <c r="G6157" s="40" t="s">
        <v>11404</v>
      </c>
      <c r="H6157" s="40" t="s">
        <v>11404</v>
      </c>
    </row>
    <row r="6158">
      <c r="A6158" s="39"/>
      <c r="E6158" s="40" t="s">
        <v>11404</v>
      </c>
      <c r="F6158" s="40" t="s">
        <v>11404</v>
      </c>
      <c r="G6158" s="40" t="s">
        <v>11404</v>
      </c>
      <c r="H6158" s="40" t="s">
        <v>11404</v>
      </c>
    </row>
    <row r="6159">
      <c r="A6159" s="39"/>
      <c r="E6159" s="40" t="s">
        <v>11404</v>
      </c>
      <c r="F6159" s="40" t="s">
        <v>11404</v>
      </c>
      <c r="G6159" s="40" t="s">
        <v>11404</v>
      </c>
      <c r="H6159" s="40" t="s">
        <v>11404</v>
      </c>
    </row>
    <row r="6160">
      <c r="A6160" s="39"/>
      <c r="E6160" s="40" t="s">
        <v>11404</v>
      </c>
      <c r="F6160" s="40" t="s">
        <v>11404</v>
      </c>
      <c r="G6160" s="40" t="s">
        <v>11404</v>
      </c>
      <c r="H6160" s="40" t="s">
        <v>11404</v>
      </c>
    </row>
    <row r="6161">
      <c r="A6161" s="39"/>
      <c r="E6161" s="40" t="s">
        <v>11404</v>
      </c>
      <c r="F6161" s="40" t="s">
        <v>11404</v>
      </c>
      <c r="G6161" s="40" t="s">
        <v>11404</v>
      </c>
      <c r="H6161" s="40" t="s">
        <v>11404</v>
      </c>
    </row>
    <row r="6162">
      <c r="A6162" s="39"/>
      <c r="E6162" s="40" t="s">
        <v>11404</v>
      </c>
      <c r="F6162" s="40" t="s">
        <v>11404</v>
      </c>
      <c r="G6162" s="40" t="s">
        <v>11404</v>
      </c>
      <c r="H6162" s="40" t="s">
        <v>11404</v>
      </c>
    </row>
    <row r="6163">
      <c r="A6163" s="39"/>
      <c r="E6163" s="40" t="s">
        <v>11404</v>
      </c>
      <c r="F6163" s="40" t="s">
        <v>11404</v>
      </c>
      <c r="G6163" s="40" t="s">
        <v>11404</v>
      </c>
      <c r="H6163" s="40" t="s">
        <v>11404</v>
      </c>
    </row>
    <row r="6164">
      <c r="A6164" s="39"/>
      <c r="E6164" s="40" t="s">
        <v>11404</v>
      </c>
      <c r="F6164" s="40" t="s">
        <v>11404</v>
      </c>
      <c r="G6164" s="40" t="s">
        <v>11404</v>
      </c>
      <c r="H6164" s="40" t="s">
        <v>11404</v>
      </c>
    </row>
    <row r="6165">
      <c r="A6165" s="39"/>
      <c r="E6165" s="40" t="s">
        <v>11404</v>
      </c>
      <c r="F6165" s="40" t="s">
        <v>11404</v>
      </c>
      <c r="G6165" s="40" t="s">
        <v>11404</v>
      </c>
      <c r="H6165" s="40" t="s">
        <v>11404</v>
      </c>
    </row>
    <row r="6166">
      <c r="A6166" s="39"/>
      <c r="E6166" s="40" t="s">
        <v>11404</v>
      </c>
      <c r="F6166" s="40" t="s">
        <v>11404</v>
      </c>
      <c r="G6166" s="40" t="s">
        <v>11404</v>
      </c>
      <c r="H6166" s="40" t="s">
        <v>11404</v>
      </c>
    </row>
    <row r="6167">
      <c r="A6167" s="39"/>
      <c r="E6167" s="40" t="s">
        <v>11404</v>
      </c>
      <c r="F6167" s="40" t="s">
        <v>11404</v>
      </c>
      <c r="G6167" s="40" t="s">
        <v>11404</v>
      </c>
      <c r="H6167" s="40" t="s">
        <v>11404</v>
      </c>
    </row>
    <row r="6168">
      <c r="A6168" s="39"/>
      <c r="E6168" s="40" t="s">
        <v>11404</v>
      </c>
      <c r="F6168" s="40" t="s">
        <v>11404</v>
      </c>
      <c r="G6168" s="40" t="s">
        <v>11404</v>
      </c>
      <c r="H6168" s="40" t="s">
        <v>11404</v>
      </c>
    </row>
    <row r="6169">
      <c r="A6169" s="39"/>
      <c r="E6169" s="40" t="s">
        <v>11404</v>
      </c>
      <c r="F6169" s="40" t="s">
        <v>11404</v>
      </c>
      <c r="G6169" s="40" t="s">
        <v>11404</v>
      </c>
      <c r="H6169" s="40" t="s">
        <v>11404</v>
      </c>
    </row>
    <row r="6170">
      <c r="A6170" s="39"/>
      <c r="E6170" s="40" t="s">
        <v>11404</v>
      </c>
      <c r="F6170" s="40" t="s">
        <v>11404</v>
      </c>
      <c r="G6170" s="40" t="s">
        <v>11404</v>
      </c>
      <c r="H6170" s="40" t="s">
        <v>11404</v>
      </c>
    </row>
    <row r="6171">
      <c r="A6171" s="39"/>
      <c r="E6171" s="40" t="s">
        <v>11404</v>
      </c>
      <c r="F6171" s="40" t="s">
        <v>11404</v>
      </c>
      <c r="G6171" s="40" t="s">
        <v>11404</v>
      </c>
      <c r="H6171" s="40" t="s">
        <v>11404</v>
      </c>
    </row>
    <row r="6172">
      <c r="A6172" s="39"/>
      <c r="E6172" s="40" t="s">
        <v>11404</v>
      </c>
      <c r="F6172" s="40" t="s">
        <v>11404</v>
      </c>
      <c r="G6172" s="40" t="s">
        <v>11404</v>
      </c>
      <c r="H6172" s="40" t="s">
        <v>11404</v>
      </c>
    </row>
    <row r="6173">
      <c r="A6173" s="39"/>
      <c r="E6173" s="40" t="s">
        <v>11404</v>
      </c>
      <c r="F6173" s="40" t="s">
        <v>11404</v>
      </c>
      <c r="G6173" s="40" t="s">
        <v>11404</v>
      </c>
      <c r="H6173" s="40" t="s">
        <v>11404</v>
      </c>
    </row>
    <row r="6174">
      <c r="A6174" s="39"/>
      <c r="E6174" s="40" t="s">
        <v>11404</v>
      </c>
      <c r="F6174" s="40" t="s">
        <v>11404</v>
      </c>
      <c r="G6174" s="40" t="s">
        <v>11404</v>
      </c>
      <c r="H6174" s="40" t="s">
        <v>11404</v>
      </c>
    </row>
    <row r="6175">
      <c r="A6175" s="39"/>
      <c r="E6175" s="40" t="s">
        <v>11404</v>
      </c>
      <c r="F6175" s="40" t="s">
        <v>11404</v>
      </c>
      <c r="G6175" s="40" t="s">
        <v>11404</v>
      </c>
      <c r="H6175" s="40" t="s">
        <v>11404</v>
      </c>
    </row>
    <row r="6176">
      <c r="A6176" s="39"/>
      <c r="E6176" s="40" t="s">
        <v>11404</v>
      </c>
      <c r="F6176" s="40" t="s">
        <v>11404</v>
      </c>
      <c r="G6176" s="40" t="s">
        <v>11404</v>
      </c>
      <c r="H6176" s="40" t="s">
        <v>11404</v>
      </c>
    </row>
    <row r="6177">
      <c r="A6177" s="39"/>
      <c r="E6177" s="40" t="s">
        <v>11404</v>
      </c>
      <c r="F6177" s="40" t="s">
        <v>11404</v>
      </c>
      <c r="G6177" s="40" t="s">
        <v>11404</v>
      </c>
      <c r="H6177" s="40" t="s">
        <v>11404</v>
      </c>
    </row>
    <row r="6178">
      <c r="A6178" s="39"/>
      <c r="E6178" s="40" t="s">
        <v>11404</v>
      </c>
      <c r="F6178" s="40" t="s">
        <v>11404</v>
      </c>
      <c r="G6178" s="40" t="s">
        <v>11404</v>
      </c>
      <c r="H6178" s="40" t="s">
        <v>11404</v>
      </c>
    </row>
    <row r="6179">
      <c r="A6179" s="39"/>
      <c r="E6179" s="40" t="s">
        <v>11404</v>
      </c>
      <c r="F6179" s="40" t="s">
        <v>11404</v>
      </c>
      <c r="G6179" s="40" t="s">
        <v>11404</v>
      </c>
      <c r="H6179" s="40" t="s">
        <v>11404</v>
      </c>
    </row>
    <row r="6180">
      <c r="A6180" s="39"/>
      <c r="E6180" s="40" t="s">
        <v>11404</v>
      </c>
      <c r="F6180" s="40" t="s">
        <v>11404</v>
      </c>
      <c r="G6180" s="40" t="s">
        <v>11404</v>
      </c>
      <c r="H6180" s="40" t="s">
        <v>11404</v>
      </c>
    </row>
    <row r="6181">
      <c r="A6181" s="39"/>
      <c r="E6181" s="40" t="s">
        <v>11404</v>
      </c>
      <c r="F6181" s="40" t="s">
        <v>11404</v>
      </c>
      <c r="G6181" s="40" t="s">
        <v>11404</v>
      </c>
      <c r="H6181" s="40" t="s">
        <v>11404</v>
      </c>
    </row>
    <row r="6182">
      <c r="A6182" s="39"/>
      <c r="E6182" s="40" t="s">
        <v>11404</v>
      </c>
      <c r="F6182" s="40" t="s">
        <v>11404</v>
      </c>
      <c r="G6182" s="40" t="s">
        <v>11404</v>
      </c>
      <c r="H6182" s="40" t="s">
        <v>11404</v>
      </c>
    </row>
    <row r="6183">
      <c r="A6183" s="39"/>
      <c r="E6183" s="40" t="s">
        <v>11404</v>
      </c>
      <c r="F6183" s="40" t="s">
        <v>11404</v>
      </c>
      <c r="G6183" s="40" t="s">
        <v>11404</v>
      </c>
      <c r="H6183" s="40" t="s">
        <v>11404</v>
      </c>
    </row>
    <row r="6184">
      <c r="A6184" s="39"/>
      <c r="E6184" s="40" t="s">
        <v>11404</v>
      </c>
      <c r="F6184" s="40" t="s">
        <v>11404</v>
      </c>
      <c r="G6184" s="40" t="s">
        <v>11404</v>
      </c>
      <c r="H6184" s="40" t="s">
        <v>11404</v>
      </c>
    </row>
    <row r="6185">
      <c r="A6185" s="39"/>
      <c r="E6185" s="40" t="s">
        <v>11404</v>
      </c>
      <c r="F6185" s="40" t="s">
        <v>11404</v>
      </c>
      <c r="G6185" s="40" t="s">
        <v>11404</v>
      </c>
      <c r="H6185" s="40" t="s">
        <v>11404</v>
      </c>
    </row>
    <row r="6186">
      <c r="A6186" s="39"/>
      <c r="E6186" s="40" t="s">
        <v>11404</v>
      </c>
      <c r="F6186" s="40" t="s">
        <v>11404</v>
      </c>
      <c r="G6186" s="40" t="s">
        <v>11404</v>
      </c>
      <c r="H6186" s="40" t="s">
        <v>11404</v>
      </c>
    </row>
    <row r="6187">
      <c r="A6187" s="39"/>
      <c r="E6187" s="40" t="s">
        <v>11404</v>
      </c>
      <c r="F6187" s="40" t="s">
        <v>11404</v>
      </c>
      <c r="G6187" s="40" t="s">
        <v>11404</v>
      </c>
      <c r="H6187" s="40" t="s">
        <v>11404</v>
      </c>
    </row>
    <row r="6188">
      <c r="A6188" s="39"/>
      <c r="E6188" s="40" t="s">
        <v>11404</v>
      </c>
      <c r="F6188" s="40" t="s">
        <v>11404</v>
      </c>
      <c r="G6188" s="40" t="s">
        <v>11404</v>
      </c>
      <c r="H6188" s="40" t="s">
        <v>11404</v>
      </c>
    </row>
    <row r="6189">
      <c r="A6189" s="39"/>
      <c r="E6189" s="40" t="s">
        <v>11404</v>
      </c>
      <c r="F6189" s="40" t="s">
        <v>11404</v>
      </c>
      <c r="G6189" s="40" t="s">
        <v>11404</v>
      </c>
      <c r="H6189" s="40" t="s">
        <v>11404</v>
      </c>
    </row>
    <row r="6190">
      <c r="A6190" s="39"/>
      <c r="E6190" s="40" t="s">
        <v>11404</v>
      </c>
      <c r="F6190" s="40" t="s">
        <v>11404</v>
      </c>
      <c r="G6190" s="40" t="s">
        <v>11404</v>
      </c>
      <c r="H6190" s="40" t="s">
        <v>11404</v>
      </c>
    </row>
    <row r="6191">
      <c r="A6191" s="39"/>
      <c r="E6191" s="40" t="s">
        <v>11404</v>
      </c>
      <c r="F6191" s="40" t="s">
        <v>11404</v>
      </c>
      <c r="G6191" s="40" t="s">
        <v>11404</v>
      </c>
      <c r="H6191" s="40" t="s">
        <v>11404</v>
      </c>
    </row>
    <row r="6192">
      <c r="A6192" s="39"/>
      <c r="E6192" s="40" t="s">
        <v>11404</v>
      </c>
      <c r="F6192" s="40" t="s">
        <v>11404</v>
      </c>
      <c r="G6192" s="40" t="s">
        <v>11404</v>
      </c>
      <c r="H6192" s="40" t="s">
        <v>11404</v>
      </c>
    </row>
    <row r="6193">
      <c r="A6193" s="39"/>
      <c r="E6193" s="40" t="s">
        <v>11404</v>
      </c>
      <c r="F6193" s="40" t="s">
        <v>11404</v>
      </c>
      <c r="G6193" s="40" t="s">
        <v>11404</v>
      </c>
      <c r="H6193" s="40" t="s">
        <v>11404</v>
      </c>
    </row>
    <row r="6194">
      <c r="A6194" s="39"/>
      <c r="E6194" s="40" t="s">
        <v>11404</v>
      </c>
      <c r="F6194" s="40" t="s">
        <v>11404</v>
      </c>
      <c r="G6194" s="40" t="s">
        <v>11404</v>
      </c>
      <c r="H6194" s="40" t="s">
        <v>11404</v>
      </c>
    </row>
    <row r="6195">
      <c r="A6195" s="39"/>
      <c r="E6195" s="40" t="s">
        <v>11404</v>
      </c>
      <c r="F6195" s="40" t="s">
        <v>11404</v>
      </c>
      <c r="G6195" s="40" t="s">
        <v>11404</v>
      </c>
      <c r="H6195" s="40" t="s">
        <v>11404</v>
      </c>
    </row>
    <row r="6196">
      <c r="A6196" s="39"/>
      <c r="E6196" s="40" t="s">
        <v>11404</v>
      </c>
      <c r="F6196" s="40" t="s">
        <v>11404</v>
      </c>
      <c r="G6196" s="40" t="s">
        <v>11404</v>
      </c>
      <c r="H6196" s="40" t="s">
        <v>11404</v>
      </c>
    </row>
    <row r="6197">
      <c r="A6197" s="39"/>
      <c r="E6197" s="40" t="s">
        <v>11404</v>
      </c>
      <c r="F6197" s="40" t="s">
        <v>11404</v>
      </c>
      <c r="G6197" s="40" t="s">
        <v>11404</v>
      </c>
      <c r="H6197" s="40" t="s">
        <v>11404</v>
      </c>
    </row>
    <row r="6198">
      <c r="A6198" s="39"/>
      <c r="E6198" s="40" t="s">
        <v>11404</v>
      </c>
      <c r="F6198" s="40" t="s">
        <v>11404</v>
      </c>
      <c r="G6198" s="40" t="s">
        <v>11404</v>
      </c>
      <c r="H6198" s="40" t="s">
        <v>11404</v>
      </c>
    </row>
    <row r="6199">
      <c r="A6199" s="39"/>
      <c r="E6199" s="40" t="s">
        <v>11404</v>
      </c>
      <c r="F6199" s="40" t="s">
        <v>11404</v>
      </c>
      <c r="G6199" s="40" t="s">
        <v>11404</v>
      </c>
      <c r="H6199" s="40" t="s">
        <v>11404</v>
      </c>
    </row>
    <row r="6200">
      <c r="A6200" s="39"/>
      <c r="E6200" s="40" t="s">
        <v>11404</v>
      </c>
      <c r="F6200" s="40" t="s">
        <v>11404</v>
      </c>
      <c r="G6200" s="40" t="s">
        <v>11404</v>
      </c>
      <c r="H6200" s="40" t="s">
        <v>11404</v>
      </c>
    </row>
    <row r="6201">
      <c r="A6201" s="39"/>
      <c r="E6201" s="40" t="s">
        <v>11404</v>
      </c>
      <c r="F6201" s="40" t="s">
        <v>11404</v>
      </c>
      <c r="G6201" s="40" t="s">
        <v>11404</v>
      </c>
      <c r="H6201" s="40" t="s">
        <v>11404</v>
      </c>
    </row>
    <row r="6202">
      <c r="A6202" s="39"/>
      <c r="E6202" s="40" t="s">
        <v>11404</v>
      </c>
      <c r="F6202" s="40" t="s">
        <v>11404</v>
      </c>
      <c r="G6202" s="40" t="s">
        <v>11404</v>
      </c>
      <c r="H6202" s="40" t="s">
        <v>11404</v>
      </c>
    </row>
    <row r="6203">
      <c r="A6203" s="39"/>
      <c r="E6203" s="40" t="s">
        <v>11404</v>
      </c>
      <c r="F6203" s="40" t="s">
        <v>11404</v>
      </c>
      <c r="G6203" s="40" t="s">
        <v>11404</v>
      </c>
      <c r="H6203" s="40" t="s">
        <v>11404</v>
      </c>
    </row>
    <row r="6204">
      <c r="A6204" s="39"/>
      <c r="E6204" s="40" t="s">
        <v>11404</v>
      </c>
      <c r="F6204" s="40" t="s">
        <v>11404</v>
      </c>
      <c r="G6204" s="40" t="s">
        <v>11404</v>
      </c>
      <c r="H6204" s="40" t="s">
        <v>11404</v>
      </c>
    </row>
    <row r="6205">
      <c r="A6205" s="39"/>
      <c r="E6205" s="40" t="s">
        <v>11404</v>
      </c>
      <c r="F6205" s="40" t="s">
        <v>11404</v>
      </c>
      <c r="G6205" s="40" t="s">
        <v>11404</v>
      </c>
      <c r="H6205" s="40" t="s">
        <v>11404</v>
      </c>
    </row>
    <row r="6206">
      <c r="A6206" s="39"/>
      <c r="E6206" s="40" t="s">
        <v>11404</v>
      </c>
      <c r="F6206" s="40" t="s">
        <v>11404</v>
      </c>
      <c r="G6206" s="40" t="s">
        <v>11404</v>
      </c>
      <c r="H6206" s="40" t="s">
        <v>11404</v>
      </c>
    </row>
    <row r="6207">
      <c r="A6207" s="39"/>
      <c r="E6207" s="40" t="s">
        <v>11404</v>
      </c>
      <c r="F6207" s="40" t="s">
        <v>11404</v>
      </c>
      <c r="G6207" s="40" t="s">
        <v>11404</v>
      </c>
      <c r="H6207" s="40" t="s">
        <v>11404</v>
      </c>
    </row>
    <row r="6208">
      <c r="A6208" s="39"/>
      <c r="E6208" s="40" t="s">
        <v>11404</v>
      </c>
      <c r="F6208" s="40" t="s">
        <v>11404</v>
      </c>
      <c r="G6208" s="40" t="s">
        <v>11404</v>
      </c>
      <c r="H6208" s="40" t="s">
        <v>11404</v>
      </c>
    </row>
    <row r="6209">
      <c r="A6209" s="39"/>
      <c r="E6209" s="40" t="s">
        <v>11404</v>
      </c>
      <c r="F6209" s="40" t="s">
        <v>11404</v>
      </c>
      <c r="G6209" s="40" t="s">
        <v>11404</v>
      </c>
      <c r="H6209" s="40" t="s">
        <v>11404</v>
      </c>
    </row>
    <row r="6210">
      <c r="A6210" s="39"/>
      <c r="E6210" s="40" t="s">
        <v>11404</v>
      </c>
      <c r="F6210" s="40" t="s">
        <v>11404</v>
      </c>
      <c r="G6210" s="40" t="s">
        <v>11404</v>
      </c>
      <c r="H6210" s="40" t="s">
        <v>11404</v>
      </c>
    </row>
    <row r="6211">
      <c r="A6211" s="39"/>
      <c r="E6211" s="40" t="s">
        <v>11404</v>
      </c>
      <c r="F6211" s="40" t="s">
        <v>11404</v>
      </c>
      <c r="G6211" s="40" t="s">
        <v>11404</v>
      </c>
      <c r="H6211" s="40" t="s">
        <v>11404</v>
      </c>
    </row>
    <row r="6212">
      <c r="A6212" s="39"/>
      <c r="E6212" s="40" t="s">
        <v>11404</v>
      </c>
      <c r="F6212" s="40" t="s">
        <v>11404</v>
      </c>
      <c r="G6212" s="40" t="s">
        <v>11404</v>
      </c>
      <c r="H6212" s="40" t="s">
        <v>11404</v>
      </c>
    </row>
    <row r="6213">
      <c r="A6213" s="39"/>
      <c r="E6213" s="40" t="s">
        <v>11404</v>
      </c>
      <c r="F6213" s="40" t="s">
        <v>11404</v>
      </c>
      <c r="G6213" s="40" t="s">
        <v>11404</v>
      </c>
      <c r="H6213" s="40" t="s">
        <v>11404</v>
      </c>
    </row>
    <row r="6214">
      <c r="A6214" s="39"/>
      <c r="E6214" s="40" t="s">
        <v>11404</v>
      </c>
      <c r="F6214" s="40" t="s">
        <v>11404</v>
      </c>
      <c r="G6214" s="40" t="s">
        <v>11404</v>
      </c>
      <c r="H6214" s="40" t="s">
        <v>11404</v>
      </c>
    </row>
    <row r="6215">
      <c r="A6215" s="39"/>
      <c r="E6215" s="40" t="s">
        <v>11404</v>
      </c>
      <c r="F6215" s="40" t="s">
        <v>11404</v>
      </c>
      <c r="G6215" s="40" t="s">
        <v>11404</v>
      </c>
      <c r="H6215" s="40" t="s">
        <v>11404</v>
      </c>
    </row>
    <row r="6216">
      <c r="A6216" s="39"/>
      <c r="E6216" s="40" t="s">
        <v>11404</v>
      </c>
      <c r="F6216" s="40" t="s">
        <v>11404</v>
      </c>
      <c r="G6216" s="40" t="s">
        <v>11404</v>
      </c>
      <c r="H6216" s="40" t="s">
        <v>11404</v>
      </c>
    </row>
    <row r="6217">
      <c r="A6217" s="39"/>
      <c r="E6217" s="40" t="s">
        <v>11404</v>
      </c>
      <c r="F6217" s="40" t="s">
        <v>11404</v>
      </c>
      <c r="G6217" s="40" t="s">
        <v>11404</v>
      </c>
      <c r="H6217" s="40" t="s">
        <v>11404</v>
      </c>
    </row>
    <row r="6218">
      <c r="A6218" s="39"/>
      <c r="E6218" s="40" t="s">
        <v>11404</v>
      </c>
      <c r="F6218" s="40" t="s">
        <v>11404</v>
      </c>
      <c r="G6218" s="40" t="s">
        <v>11404</v>
      </c>
      <c r="H6218" s="40" t="s">
        <v>11404</v>
      </c>
    </row>
    <row r="6219">
      <c r="A6219" s="39"/>
      <c r="E6219" s="40" t="s">
        <v>11404</v>
      </c>
      <c r="F6219" s="40" t="s">
        <v>11404</v>
      </c>
      <c r="G6219" s="40" t="s">
        <v>11404</v>
      </c>
      <c r="H6219" s="40" t="s">
        <v>11404</v>
      </c>
    </row>
    <row r="6220">
      <c r="A6220" s="39"/>
      <c r="E6220" s="40" t="s">
        <v>11404</v>
      </c>
      <c r="F6220" s="40" t="s">
        <v>11404</v>
      </c>
      <c r="G6220" s="40" t="s">
        <v>11404</v>
      </c>
      <c r="H6220" s="40" t="s">
        <v>11404</v>
      </c>
    </row>
    <row r="6221">
      <c r="A6221" s="39"/>
      <c r="E6221" s="40" t="s">
        <v>11404</v>
      </c>
      <c r="F6221" s="40" t="s">
        <v>11404</v>
      </c>
      <c r="G6221" s="40" t="s">
        <v>11404</v>
      </c>
      <c r="H6221" s="40" t="s">
        <v>11404</v>
      </c>
    </row>
    <row r="6222">
      <c r="A6222" s="39"/>
      <c r="E6222" s="40" t="s">
        <v>11404</v>
      </c>
      <c r="F6222" s="40" t="s">
        <v>11404</v>
      </c>
      <c r="G6222" s="40" t="s">
        <v>11404</v>
      </c>
      <c r="H6222" s="40" t="s">
        <v>11404</v>
      </c>
    </row>
    <row r="6223">
      <c r="A6223" s="39"/>
      <c r="E6223" s="40" t="s">
        <v>11404</v>
      </c>
      <c r="F6223" s="40" t="s">
        <v>11404</v>
      </c>
      <c r="G6223" s="40" t="s">
        <v>11404</v>
      </c>
      <c r="H6223" s="40" t="s">
        <v>11404</v>
      </c>
    </row>
    <row r="6224">
      <c r="A6224" s="39"/>
      <c r="E6224" s="40" t="s">
        <v>11404</v>
      </c>
      <c r="F6224" s="40" t="s">
        <v>11404</v>
      </c>
      <c r="G6224" s="40" t="s">
        <v>11404</v>
      </c>
      <c r="H6224" s="40" t="s">
        <v>11404</v>
      </c>
    </row>
    <row r="6225">
      <c r="A6225" s="39"/>
      <c r="E6225" s="40" t="s">
        <v>11404</v>
      </c>
      <c r="F6225" s="40" t="s">
        <v>11404</v>
      </c>
      <c r="G6225" s="40" t="s">
        <v>11404</v>
      </c>
      <c r="H6225" s="40" t="s">
        <v>11404</v>
      </c>
    </row>
    <row r="6226">
      <c r="A6226" s="39"/>
      <c r="E6226" s="40" t="s">
        <v>11404</v>
      </c>
      <c r="F6226" s="40" t="s">
        <v>11404</v>
      </c>
      <c r="G6226" s="40" t="s">
        <v>11404</v>
      </c>
      <c r="H6226" s="40" t="s">
        <v>11404</v>
      </c>
    </row>
    <row r="6227">
      <c r="A6227" s="39"/>
      <c r="E6227" s="40" t="s">
        <v>11404</v>
      </c>
      <c r="F6227" s="40" t="s">
        <v>11404</v>
      </c>
      <c r="G6227" s="40" t="s">
        <v>11404</v>
      </c>
      <c r="H6227" s="40" t="s">
        <v>11404</v>
      </c>
    </row>
    <row r="6228">
      <c r="A6228" s="39"/>
      <c r="E6228" s="40" t="s">
        <v>11404</v>
      </c>
      <c r="F6228" s="40" t="s">
        <v>11404</v>
      </c>
      <c r="G6228" s="40" t="s">
        <v>11404</v>
      </c>
      <c r="H6228" s="40" t="s">
        <v>11404</v>
      </c>
    </row>
    <row r="6229">
      <c r="A6229" s="39"/>
      <c r="E6229" s="40" t="s">
        <v>11404</v>
      </c>
      <c r="F6229" s="40" t="s">
        <v>11404</v>
      </c>
      <c r="G6229" s="40" t="s">
        <v>11404</v>
      </c>
      <c r="H6229" s="40" t="s">
        <v>11404</v>
      </c>
    </row>
    <row r="6230">
      <c r="A6230" s="39"/>
      <c r="E6230" s="40" t="s">
        <v>11404</v>
      </c>
      <c r="F6230" s="40" t="s">
        <v>11404</v>
      </c>
      <c r="G6230" s="40" t="s">
        <v>11404</v>
      </c>
      <c r="H6230" s="40" t="s">
        <v>11404</v>
      </c>
    </row>
    <row r="6231">
      <c r="A6231" s="39"/>
      <c r="E6231" s="40" t="s">
        <v>11404</v>
      </c>
      <c r="F6231" s="40" t="s">
        <v>11404</v>
      </c>
      <c r="G6231" s="40" t="s">
        <v>11404</v>
      </c>
      <c r="H6231" s="40" t="s">
        <v>11404</v>
      </c>
    </row>
    <row r="6232">
      <c r="A6232" s="39"/>
      <c r="E6232" s="40" t="s">
        <v>11404</v>
      </c>
      <c r="F6232" s="40" t="s">
        <v>11404</v>
      </c>
      <c r="G6232" s="40" t="s">
        <v>11404</v>
      </c>
      <c r="H6232" s="40" t="s">
        <v>11404</v>
      </c>
    </row>
    <row r="6233">
      <c r="A6233" s="39"/>
      <c r="E6233" s="40" t="s">
        <v>11404</v>
      </c>
      <c r="F6233" s="40" t="s">
        <v>11404</v>
      </c>
      <c r="G6233" s="40" t="s">
        <v>11404</v>
      </c>
      <c r="H6233" s="40" t="s">
        <v>11404</v>
      </c>
    </row>
    <row r="6234">
      <c r="A6234" s="39"/>
      <c r="E6234" s="40" t="s">
        <v>11404</v>
      </c>
      <c r="F6234" s="40" t="s">
        <v>11404</v>
      </c>
      <c r="G6234" s="40" t="s">
        <v>11404</v>
      </c>
      <c r="H6234" s="40" t="s">
        <v>11404</v>
      </c>
    </row>
    <row r="6235">
      <c r="A6235" s="39"/>
      <c r="E6235" s="40" t="s">
        <v>11404</v>
      </c>
      <c r="F6235" s="40" t="s">
        <v>11404</v>
      </c>
      <c r="G6235" s="40" t="s">
        <v>11404</v>
      </c>
      <c r="H6235" s="40" t="s">
        <v>11404</v>
      </c>
    </row>
    <row r="6236">
      <c r="A6236" s="39"/>
      <c r="E6236" s="40" t="s">
        <v>11404</v>
      </c>
      <c r="F6236" s="40" t="s">
        <v>11404</v>
      </c>
      <c r="G6236" s="40" t="s">
        <v>11404</v>
      </c>
      <c r="H6236" s="40" t="s">
        <v>11404</v>
      </c>
    </row>
    <row r="6237">
      <c r="A6237" s="39"/>
      <c r="E6237" s="40" t="s">
        <v>11404</v>
      </c>
      <c r="F6237" s="40" t="s">
        <v>11404</v>
      </c>
      <c r="G6237" s="40" t="s">
        <v>11404</v>
      </c>
      <c r="H6237" s="40" t="s">
        <v>11404</v>
      </c>
    </row>
    <row r="6238">
      <c r="A6238" s="39"/>
      <c r="E6238" s="40" t="s">
        <v>11404</v>
      </c>
      <c r="F6238" s="40" t="s">
        <v>11404</v>
      </c>
      <c r="G6238" s="40" t="s">
        <v>11404</v>
      </c>
      <c r="H6238" s="40" t="s">
        <v>11404</v>
      </c>
    </row>
    <row r="6239">
      <c r="A6239" s="39"/>
      <c r="E6239" s="40" t="s">
        <v>11404</v>
      </c>
      <c r="F6239" s="40" t="s">
        <v>11404</v>
      </c>
      <c r="G6239" s="40" t="s">
        <v>11404</v>
      </c>
      <c r="H6239" s="40" t="s">
        <v>11404</v>
      </c>
    </row>
    <row r="6240">
      <c r="A6240" s="39"/>
      <c r="E6240" s="40" t="s">
        <v>11404</v>
      </c>
      <c r="F6240" s="40" t="s">
        <v>11404</v>
      </c>
      <c r="G6240" s="40" t="s">
        <v>11404</v>
      </c>
      <c r="H6240" s="40" t="s">
        <v>11404</v>
      </c>
    </row>
    <row r="6241">
      <c r="A6241" s="39"/>
      <c r="E6241" s="40" t="s">
        <v>11404</v>
      </c>
      <c r="F6241" s="40" t="s">
        <v>11404</v>
      </c>
      <c r="G6241" s="40" t="s">
        <v>11404</v>
      </c>
      <c r="H6241" s="40" t="s">
        <v>11404</v>
      </c>
    </row>
    <row r="6242">
      <c r="A6242" s="39"/>
      <c r="E6242" s="40" t="s">
        <v>11404</v>
      </c>
      <c r="F6242" s="40" t="s">
        <v>11404</v>
      </c>
      <c r="G6242" s="40" t="s">
        <v>11404</v>
      </c>
      <c r="H6242" s="40" t="s">
        <v>11404</v>
      </c>
    </row>
    <row r="6243">
      <c r="A6243" s="39"/>
      <c r="E6243" s="40" t="s">
        <v>11404</v>
      </c>
      <c r="F6243" s="40" t="s">
        <v>11404</v>
      </c>
      <c r="G6243" s="40" t="s">
        <v>11404</v>
      </c>
      <c r="H6243" s="40" t="s">
        <v>11404</v>
      </c>
    </row>
    <row r="6244">
      <c r="A6244" s="39"/>
      <c r="E6244" s="40" t="s">
        <v>11404</v>
      </c>
      <c r="F6244" s="40" t="s">
        <v>11404</v>
      </c>
      <c r="G6244" s="40" t="s">
        <v>11404</v>
      </c>
      <c r="H6244" s="40" t="s">
        <v>11404</v>
      </c>
    </row>
    <row r="6245">
      <c r="A6245" s="39"/>
      <c r="E6245" s="40" t="s">
        <v>11404</v>
      </c>
      <c r="F6245" s="40" t="s">
        <v>11404</v>
      </c>
      <c r="G6245" s="40" t="s">
        <v>11404</v>
      </c>
      <c r="H6245" s="40" t="s">
        <v>11404</v>
      </c>
    </row>
    <row r="6246">
      <c r="A6246" s="39"/>
      <c r="E6246" s="40" t="s">
        <v>11404</v>
      </c>
      <c r="F6246" s="40" t="s">
        <v>11404</v>
      </c>
      <c r="G6246" s="40" t="s">
        <v>11404</v>
      </c>
      <c r="H6246" s="40" t="s">
        <v>11404</v>
      </c>
    </row>
    <row r="6247">
      <c r="A6247" s="39"/>
      <c r="E6247" s="40" t="s">
        <v>11404</v>
      </c>
      <c r="F6247" s="40" t="s">
        <v>11404</v>
      </c>
      <c r="G6247" s="40" t="s">
        <v>11404</v>
      </c>
      <c r="H6247" s="40" t="s">
        <v>11404</v>
      </c>
    </row>
    <row r="6248">
      <c r="A6248" s="39"/>
      <c r="E6248" s="40" t="s">
        <v>11404</v>
      </c>
      <c r="F6248" s="40" t="s">
        <v>11404</v>
      </c>
      <c r="G6248" s="40" t="s">
        <v>11404</v>
      </c>
      <c r="H6248" s="40" t="s">
        <v>11404</v>
      </c>
    </row>
    <row r="6249">
      <c r="A6249" s="39"/>
      <c r="E6249" s="40" t="s">
        <v>11404</v>
      </c>
      <c r="F6249" s="40" t="s">
        <v>11404</v>
      </c>
      <c r="G6249" s="40" t="s">
        <v>11404</v>
      </c>
      <c r="H6249" s="40" t="s">
        <v>11404</v>
      </c>
    </row>
    <row r="6250">
      <c r="A6250" s="39"/>
      <c r="E6250" s="40" t="s">
        <v>11404</v>
      </c>
      <c r="F6250" s="40" t="s">
        <v>11404</v>
      </c>
      <c r="G6250" s="40" t="s">
        <v>11404</v>
      </c>
      <c r="H6250" s="40" t="s">
        <v>11404</v>
      </c>
    </row>
    <row r="6251">
      <c r="A6251" s="39"/>
      <c r="E6251" s="40" t="s">
        <v>11404</v>
      </c>
      <c r="F6251" s="40" t="s">
        <v>11404</v>
      </c>
      <c r="G6251" s="40" t="s">
        <v>11404</v>
      </c>
      <c r="H6251" s="40" t="s">
        <v>11404</v>
      </c>
    </row>
    <row r="6252">
      <c r="A6252" s="39"/>
      <c r="E6252" s="40" t="s">
        <v>11404</v>
      </c>
      <c r="F6252" s="40" t="s">
        <v>11404</v>
      </c>
      <c r="G6252" s="40" t="s">
        <v>11404</v>
      </c>
      <c r="H6252" s="40" t="s">
        <v>11404</v>
      </c>
    </row>
    <row r="6253">
      <c r="A6253" s="39"/>
      <c r="E6253" s="40" t="s">
        <v>11404</v>
      </c>
      <c r="F6253" s="40" t="s">
        <v>11404</v>
      </c>
      <c r="G6253" s="40" t="s">
        <v>11404</v>
      </c>
      <c r="H6253" s="40" t="s">
        <v>11404</v>
      </c>
    </row>
    <row r="6254">
      <c r="A6254" s="39"/>
      <c r="E6254" s="40" t="s">
        <v>11404</v>
      </c>
      <c r="F6254" s="40" t="s">
        <v>11404</v>
      </c>
      <c r="G6254" s="40" t="s">
        <v>11404</v>
      </c>
      <c r="H6254" s="40" t="s">
        <v>11404</v>
      </c>
    </row>
    <row r="6255">
      <c r="A6255" s="39"/>
      <c r="E6255" s="40" t="s">
        <v>11404</v>
      </c>
      <c r="F6255" s="40" t="s">
        <v>11404</v>
      </c>
      <c r="G6255" s="40" t="s">
        <v>11404</v>
      </c>
      <c r="H6255" s="40" t="s">
        <v>11404</v>
      </c>
    </row>
    <row r="6256">
      <c r="A6256" s="39"/>
      <c r="E6256" s="40" t="s">
        <v>11404</v>
      </c>
      <c r="F6256" s="40" t="s">
        <v>11404</v>
      </c>
      <c r="G6256" s="40" t="s">
        <v>11404</v>
      </c>
      <c r="H6256" s="40" t="s">
        <v>11404</v>
      </c>
    </row>
    <row r="6257">
      <c r="A6257" s="39"/>
      <c r="E6257" s="40" t="s">
        <v>11404</v>
      </c>
      <c r="F6257" s="40" t="s">
        <v>11404</v>
      </c>
      <c r="G6257" s="40" t="s">
        <v>11404</v>
      </c>
      <c r="H6257" s="40" t="s">
        <v>11404</v>
      </c>
    </row>
    <row r="6258">
      <c r="A6258" s="39"/>
      <c r="E6258" s="40" t="s">
        <v>11404</v>
      </c>
      <c r="F6258" s="40" t="s">
        <v>11404</v>
      </c>
      <c r="G6258" s="40" t="s">
        <v>11404</v>
      </c>
      <c r="H6258" s="40" t="s">
        <v>11404</v>
      </c>
    </row>
    <row r="6259">
      <c r="A6259" s="39"/>
      <c r="E6259" s="40" t="s">
        <v>11404</v>
      </c>
      <c r="F6259" s="40" t="s">
        <v>11404</v>
      </c>
      <c r="G6259" s="40" t="s">
        <v>11404</v>
      </c>
      <c r="H6259" s="40" t="s">
        <v>11404</v>
      </c>
    </row>
    <row r="6260">
      <c r="A6260" s="39"/>
      <c r="E6260" s="40" t="s">
        <v>11404</v>
      </c>
      <c r="F6260" s="40" t="s">
        <v>11404</v>
      </c>
      <c r="G6260" s="40" t="s">
        <v>11404</v>
      </c>
      <c r="H6260" s="40" t="s">
        <v>11404</v>
      </c>
    </row>
    <row r="6261">
      <c r="A6261" s="39"/>
      <c r="E6261" s="40" t="s">
        <v>11404</v>
      </c>
      <c r="F6261" s="40" t="s">
        <v>11404</v>
      </c>
      <c r="G6261" s="40" t="s">
        <v>11404</v>
      </c>
      <c r="H6261" s="40" t="s">
        <v>11404</v>
      </c>
    </row>
    <row r="6262">
      <c r="A6262" s="39"/>
      <c r="E6262" s="40" t="s">
        <v>11404</v>
      </c>
      <c r="F6262" s="40" t="s">
        <v>11404</v>
      </c>
      <c r="G6262" s="40" t="s">
        <v>11404</v>
      </c>
      <c r="H6262" s="40" t="s">
        <v>11404</v>
      </c>
    </row>
    <row r="6263">
      <c r="A6263" s="39"/>
      <c r="E6263" s="40" t="s">
        <v>11404</v>
      </c>
      <c r="F6263" s="40" t="s">
        <v>11404</v>
      </c>
      <c r="G6263" s="40" t="s">
        <v>11404</v>
      </c>
      <c r="H6263" s="40" t="s">
        <v>11404</v>
      </c>
    </row>
    <row r="6264">
      <c r="A6264" s="39"/>
      <c r="E6264" s="40" t="s">
        <v>11404</v>
      </c>
      <c r="F6264" s="40" t="s">
        <v>11404</v>
      </c>
      <c r="G6264" s="40" t="s">
        <v>11404</v>
      </c>
      <c r="H6264" s="40" t="s">
        <v>11404</v>
      </c>
    </row>
    <row r="6265">
      <c r="A6265" s="39"/>
      <c r="E6265" s="40" t="s">
        <v>11404</v>
      </c>
      <c r="F6265" s="40" t="s">
        <v>11404</v>
      </c>
      <c r="G6265" s="40" t="s">
        <v>11404</v>
      </c>
      <c r="H6265" s="40" t="s">
        <v>11404</v>
      </c>
    </row>
    <row r="6266">
      <c r="A6266" s="39"/>
      <c r="E6266" s="40" t="s">
        <v>11404</v>
      </c>
      <c r="F6266" s="40" t="s">
        <v>11404</v>
      </c>
      <c r="G6266" s="40" t="s">
        <v>11404</v>
      </c>
      <c r="H6266" s="40" t="s">
        <v>11404</v>
      </c>
    </row>
    <row r="6267">
      <c r="A6267" s="39"/>
      <c r="E6267" s="40" t="s">
        <v>11404</v>
      </c>
      <c r="F6267" s="40" t="s">
        <v>11404</v>
      </c>
      <c r="G6267" s="40" t="s">
        <v>11404</v>
      </c>
      <c r="H6267" s="40" t="s">
        <v>11404</v>
      </c>
    </row>
    <row r="6268">
      <c r="A6268" s="39"/>
      <c r="E6268" s="40" t="s">
        <v>11404</v>
      </c>
      <c r="F6268" s="40" t="s">
        <v>11404</v>
      </c>
      <c r="G6268" s="40" t="s">
        <v>11404</v>
      </c>
      <c r="H6268" s="40" t="s">
        <v>11404</v>
      </c>
    </row>
    <row r="6269">
      <c r="A6269" s="39"/>
      <c r="E6269" s="40" t="s">
        <v>11404</v>
      </c>
      <c r="F6269" s="40" t="s">
        <v>11404</v>
      </c>
      <c r="G6269" s="40" t="s">
        <v>11404</v>
      </c>
      <c r="H6269" s="40" t="s">
        <v>11404</v>
      </c>
    </row>
    <row r="6270">
      <c r="A6270" s="39"/>
      <c r="E6270" s="40" t="s">
        <v>11404</v>
      </c>
      <c r="F6270" s="40" t="s">
        <v>11404</v>
      </c>
      <c r="G6270" s="40" t="s">
        <v>11404</v>
      </c>
      <c r="H6270" s="40" t="s">
        <v>11404</v>
      </c>
    </row>
    <row r="6271">
      <c r="A6271" s="39"/>
      <c r="E6271" s="40" t="s">
        <v>11404</v>
      </c>
      <c r="F6271" s="40" t="s">
        <v>11404</v>
      </c>
      <c r="G6271" s="40" t="s">
        <v>11404</v>
      </c>
      <c r="H6271" s="40" t="s">
        <v>11404</v>
      </c>
    </row>
    <row r="6272">
      <c r="A6272" s="39"/>
      <c r="E6272" s="40" t="s">
        <v>11404</v>
      </c>
      <c r="F6272" s="40" t="s">
        <v>11404</v>
      </c>
      <c r="G6272" s="40" t="s">
        <v>11404</v>
      </c>
      <c r="H6272" s="40" t="s">
        <v>11404</v>
      </c>
    </row>
    <row r="6273">
      <c r="A6273" s="39"/>
      <c r="E6273" s="40" t="s">
        <v>11404</v>
      </c>
      <c r="F6273" s="40" t="s">
        <v>11404</v>
      </c>
      <c r="G6273" s="40" t="s">
        <v>11404</v>
      </c>
      <c r="H6273" s="40" t="s">
        <v>11404</v>
      </c>
    </row>
    <row r="6274">
      <c r="A6274" s="39"/>
      <c r="E6274" s="40" t="s">
        <v>11404</v>
      </c>
      <c r="F6274" s="40" t="s">
        <v>11404</v>
      </c>
      <c r="G6274" s="40" t="s">
        <v>11404</v>
      </c>
      <c r="H6274" s="40" t="s">
        <v>11404</v>
      </c>
    </row>
    <row r="6275">
      <c r="A6275" s="39"/>
      <c r="E6275" s="40" t="s">
        <v>11404</v>
      </c>
      <c r="F6275" s="40" t="s">
        <v>11404</v>
      </c>
      <c r="G6275" s="40" t="s">
        <v>11404</v>
      </c>
      <c r="H6275" s="40" t="s">
        <v>11404</v>
      </c>
    </row>
    <row r="6276">
      <c r="A6276" s="39"/>
      <c r="E6276" s="40" t="s">
        <v>11404</v>
      </c>
      <c r="F6276" s="40" t="s">
        <v>11404</v>
      </c>
      <c r="G6276" s="40" t="s">
        <v>11404</v>
      </c>
      <c r="H6276" s="40" t="s">
        <v>11404</v>
      </c>
    </row>
    <row r="6277">
      <c r="A6277" s="39"/>
      <c r="E6277" s="40" t="s">
        <v>11404</v>
      </c>
      <c r="F6277" s="40" t="s">
        <v>11404</v>
      </c>
      <c r="G6277" s="40" t="s">
        <v>11404</v>
      </c>
      <c r="H6277" s="40" t="s">
        <v>11404</v>
      </c>
    </row>
    <row r="6278">
      <c r="A6278" s="39"/>
      <c r="E6278" s="40" t="s">
        <v>11404</v>
      </c>
      <c r="F6278" s="40" t="s">
        <v>11404</v>
      </c>
      <c r="G6278" s="40" t="s">
        <v>11404</v>
      </c>
      <c r="H6278" s="40" t="s">
        <v>11404</v>
      </c>
    </row>
    <row r="6279">
      <c r="A6279" s="39"/>
      <c r="E6279" s="40" t="s">
        <v>11404</v>
      </c>
      <c r="F6279" s="40" t="s">
        <v>11404</v>
      </c>
      <c r="G6279" s="40" t="s">
        <v>11404</v>
      </c>
      <c r="H6279" s="40" t="s">
        <v>11404</v>
      </c>
    </row>
    <row r="6280">
      <c r="A6280" s="39"/>
      <c r="E6280" s="40" t="s">
        <v>11404</v>
      </c>
      <c r="F6280" s="40" t="s">
        <v>11404</v>
      </c>
      <c r="G6280" s="40" t="s">
        <v>11404</v>
      </c>
      <c r="H6280" s="40" t="s">
        <v>11404</v>
      </c>
    </row>
    <row r="6281">
      <c r="A6281" s="39"/>
      <c r="E6281" s="40" t="s">
        <v>11404</v>
      </c>
      <c r="F6281" s="40" t="s">
        <v>11404</v>
      </c>
      <c r="G6281" s="40" t="s">
        <v>11404</v>
      </c>
      <c r="H6281" s="40" t="s">
        <v>11404</v>
      </c>
    </row>
    <row r="6282">
      <c r="A6282" s="39"/>
      <c r="E6282" s="40" t="s">
        <v>11404</v>
      </c>
      <c r="F6282" s="40" t="s">
        <v>11404</v>
      </c>
      <c r="G6282" s="40" t="s">
        <v>11404</v>
      </c>
      <c r="H6282" s="40" t="s">
        <v>11404</v>
      </c>
    </row>
    <row r="6283">
      <c r="A6283" s="39"/>
      <c r="E6283" s="40" t="s">
        <v>11404</v>
      </c>
      <c r="F6283" s="40" t="s">
        <v>11404</v>
      </c>
      <c r="G6283" s="40" t="s">
        <v>11404</v>
      </c>
      <c r="H6283" s="40" t="s">
        <v>11404</v>
      </c>
    </row>
    <row r="6284">
      <c r="A6284" s="39"/>
      <c r="E6284" s="40" t="s">
        <v>11404</v>
      </c>
      <c r="F6284" s="40" t="s">
        <v>11404</v>
      </c>
      <c r="G6284" s="40" t="s">
        <v>11404</v>
      </c>
      <c r="H6284" s="40" t="s">
        <v>11404</v>
      </c>
    </row>
    <row r="6285">
      <c r="A6285" s="39"/>
      <c r="E6285" s="40" t="s">
        <v>11404</v>
      </c>
      <c r="F6285" s="40" t="s">
        <v>11404</v>
      </c>
      <c r="G6285" s="40" t="s">
        <v>11404</v>
      </c>
      <c r="H6285" s="40" t="s">
        <v>11404</v>
      </c>
    </row>
    <row r="6286">
      <c r="A6286" s="39"/>
      <c r="E6286" s="40" t="s">
        <v>11404</v>
      </c>
      <c r="F6286" s="40" t="s">
        <v>11404</v>
      </c>
      <c r="G6286" s="40" t="s">
        <v>11404</v>
      </c>
      <c r="H6286" s="40" t="s">
        <v>11404</v>
      </c>
    </row>
    <row r="6287">
      <c r="A6287" s="39"/>
      <c r="E6287" s="40" t="s">
        <v>11404</v>
      </c>
      <c r="F6287" s="40" t="s">
        <v>11404</v>
      </c>
      <c r="G6287" s="40" t="s">
        <v>11404</v>
      </c>
      <c r="H6287" s="40" t="s">
        <v>11404</v>
      </c>
    </row>
    <row r="6288">
      <c r="A6288" s="39"/>
      <c r="E6288" s="40" t="s">
        <v>11404</v>
      </c>
      <c r="F6288" s="40" t="s">
        <v>11404</v>
      </c>
      <c r="G6288" s="40" t="s">
        <v>11404</v>
      </c>
      <c r="H6288" s="40" t="s">
        <v>11404</v>
      </c>
    </row>
    <row r="6289">
      <c r="A6289" s="39"/>
      <c r="E6289" s="40" t="s">
        <v>11404</v>
      </c>
      <c r="F6289" s="40" t="s">
        <v>11404</v>
      </c>
      <c r="G6289" s="40" t="s">
        <v>11404</v>
      </c>
      <c r="H6289" s="40" t="s">
        <v>11404</v>
      </c>
    </row>
    <row r="6290">
      <c r="A6290" s="39"/>
      <c r="E6290" s="40" t="s">
        <v>11404</v>
      </c>
      <c r="F6290" s="40" t="s">
        <v>11404</v>
      </c>
      <c r="G6290" s="40" t="s">
        <v>11404</v>
      </c>
      <c r="H6290" s="40" t="s">
        <v>11404</v>
      </c>
    </row>
    <row r="6291">
      <c r="A6291" s="39"/>
      <c r="E6291" s="40" t="s">
        <v>11404</v>
      </c>
      <c r="F6291" s="40" t="s">
        <v>11404</v>
      </c>
      <c r="G6291" s="40" t="s">
        <v>11404</v>
      </c>
      <c r="H6291" s="40" t="s">
        <v>11404</v>
      </c>
    </row>
    <row r="6292">
      <c r="A6292" s="39"/>
      <c r="E6292" s="40" t="s">
        <v>11404</v>
      </c>
      <c r="F6292" s="40" t="s">
        <v>11404</v>
      </c>
      <c r="G6292" s="40" t="s">
        <v>11404</v>
      </c>
      <c r="H6292" s="40" t="s">
        <v>11404</v>
      </c>
    </row>
    <row r="6293">
      <c r="A6293" s="39"/>
      <c r="E6293" s="40" t="s">
        <v>11404</v>
      </c>
      <c r="F6293" s="40" t="s">
        <v>11404</v>
      </c>
      <c r="G6293" s="40" t="s">
        <v>11404</v>
      </c>
      <c r="H6293" s="40" t="s">
        <v>11404</v>
      </c>
    </row>
    <row r="6294">
      <c r="A6294" s="39"/>
      <c r="E6294" s="40" t="s">
        <v>11404</v>
      </c>
      <c r="F6294" s="40" t="s">
        <v>11404</v>
      </c>
      <c r="G6294" s="40" t="s">
        <v>11404</v>
      </c>
      <c r="H6294" s="40" t="s">
        <v>11404</v>
      </c>
    </row>
    <row r="6295">
      <c r="A6295" s="39"/>
      <c r="E6295" s="40" t="s">
        <v>11404</v>
      </c>
      <c r="F6295" s="40" t="s">
        <v>11404</v>
      </c>
      <c r="G6295" s="40" t="s">
        <v>11404</v>
      </c>
      <c r="H6295" s="40" t="s">
        <v>11404</v>
      </c>
    </row>
    <row r="6296">
      <c r="A6296" s="39"/>
      <c r="E6296" s="40" t="s">
        <v>11404</v>
      </c>
      <c r="F6296" s="40" t="s">
        <v>11404</v>
      </c>
      <c r="G6296" s="40" t="s">
        <v>11404</v>
      </c>
      <c r="H6296" s="40" t="s">
        <v>11404</v>
      </c>
    </row>
    <row r="6297">
      <c r="A6297" s="39"/>
      <c r="E6297" s="40" t="s">
        <v>11404</v>
      </c>
      <c r="F6297" s="40" t="s">
        <v>11404</v>
      </c>
      <c r="G6297" s="40" t="s">
        <v>11404</v>
      </c>
      <c r="H6297" s="40" t="s">
        <v>11404</v>
      </c>
    </row>
    <row r="6298">
      <c r="A6298" s="39"/>
      <c r="E6298" s="40" t="s">
        <v>11404</v>
      </c>
      <c r="F6298" s="40" t="s">
        <v>11404</v>
      </c>
      <c r="G6298" s="40" t="s">
        <v>11404</v>
      </c>
      <c r="H6298" s="40" t="s">
        <v>11404</v>
      </c>
    </row>
    <row r="6299">
      <c r="A6299" s="39"/>
      <c r="E6299" s="40" t="s">
        <v>11404</v>
      </c>
      <c r="F6299" s="40" t="s">
        <v>11404</v>
      </c>
      <c r="G6299" s="40" t="s">
        <v>11404</v>
      </c>
      <c r="H6299" s="40" t="s">
        <v>11404</v>
      </c>
    </row>
    <row r="6300">
      <c r="A6300" s="39"/>
      <c r="E6300" s="40" t="s">
        <v>11404</v>
      </c>
      <c r="F6300" s="40" t="s">
        <v>11404</v>
      </c>
      <c r="G6300" s="40" t="s">
        <v>11404</v>
      </c>
      <c r="H6300" s="40" t="s">
        <v>11404</v>
      </c>
    </row>
    <row r="6301">
      <c r="A6301" s="39"/>
      <c r="E6301" s="40" t="s">
        <v>11404</v>
      </c>
      <c r="F6301" s="40" t="s">
        <v>11404</v>
      </c>
      <c r="G6301" s="40" t="s">
        <v>11404</v>
      </c>
      <c r="H6301" s="40" t="s">
        <v>11404</v>
      </c>
    </row>
    <row r="6302">
      <c r="A6302" s="39"/>
      <c r="E6302" s="40" t="s">
        <v>11404</v>
      </c>
      <c r="F6302" s="40" t="s">
        <v>11404</v>
      </c>
      <c r="G6302" s="40" t="s">
        <v>11404</v>
      </c>
      <c r="H6302" s="40" t="s">
        <v>11404</v>
      </c>
    </row>
    <row r="6303">
      <c r="A6303" s="39"/>
      <c r="E6303" s="40" t="s">
        <v>11404</v>
      </c>
      <c r="F6303" s="40" t="s">
        <v>11404</v>
      </c>
      <c r="G6303" s="40" t="s">
        <v>11404</v>
      </c>
      <c r="H6303" s="40" t="s">
        <v>11404</v>
      </c>
    </row>
    <row r="6304">
      <c r="A6304" s="39"/>
      <c r="E6304" s="40" t="s">
        <v>11404</v>
      </c>
      <c r="F6304" s="40" t="s">
        <v>11404</v>
      </c>
      <c r="G6304" s="40" t="s">
        <v>11404</v>
      </c>
      <c r="H6304" s="40" t="s">
        <v>11404</v>
      </c>
    </row>
    <row r="6305">
      <c r="A6305" s="39"/>
      <c r="E6305" s="40" t="s">
        <v>11404</v>
      </c>
      <c r="F6305" s="40" t="s">
        <v>11404</v>
      </c>
      <c r="G6305" s="40" t="s">
        <v>11404</v>
      </c>
      <c r="H6305" s="40" t="s">
        <v>11404</v>
      </c>
    </row>
    <row r="6306">
      <c r="A6306" s="39"/>
      <c r="E6306" s="40" t="s">
        <v>11404</v>
      </c>
      <c r="F6306" s="40" t="s">
        <v>11404</v>
      </c>
      <c r="G6306" s="40" t="s">
        <v>11404</v>
      </c>
      <c r="H6306" s="40" t="s">
        <v>11404</v>
      </c>
    </row>
    <row r="6307">
      <c r="A6307" s="39"/>
      <c r="E6307" s="40" t="s">
        <v>11404</v>
      </c>
      <c r="F6307" s="40" t="s">
        <v>11404</v>
      </c>
      <c r="G6307" s="40" t="s">
        <v>11404</v>
      </c>
      <c r="H6307" s="40" t="s">
        <v>11404</v>
      </c>
    </row>
    <row r="6308">
      <c r="A6308" s="39"/>
      <c r="E6308" s="40" t="s">
        <v>11404</v>
      </c>
      <c r="F6308" s="40" t="s">
        <v>11404</v>
      </c>
      <c r="G6308" s="40" t="s">
        <v>11404</v>
      </c>
      <c r="H6308" s="40" t="s">
        <v>11404</v>
      </c>
    </row>
    <row r="6309">
      <c r="A6309" s="39"/>
      <c r="E6309" s="40" t="s">
        <v>11404</v>
      </c>
      <c r="F6309" s="40" t="s">
        <v>11404</v>
      </c>
      <c r="G6309" s="40" t="s">
        <v>11404</v>
      </c>
      <c r="H6309" s="40" t="s">
        <v>11404</v>
      </c>
    </row>
    <row r="6310">
      <c r="A6310" s="39"/>
      <c r="E6310" s="40" t="s">
        <v>11404</v>
      </c>
      <c r="F6310" s="40" t="s">
        <v>11404</v>
      </c>
      <c r="G6310" s="40" t="s">
        <v>11404</v>
      </c>
      <c r="H6310" s="40" t="s">
        <v>11404</v>
      </c>
    </row>
    <row r="6311">
      <c r="A6311" s="39"/>
      <c r="E6311" s="40" t="s">
        <v>11404</v>
      </c>
      <c r="F6311" s="40" t="s">
        <v>11404</v>
      </c>
      <c r="G6311" s="40" t="s">
        <v>11404</v>
      </c>
      <c r="H6311" s="40" t="s">
        <v>11404</v>
      </c>
    </row>
    <row r="6312">
      <c r="A6312" s="39"/>
      <c r="E6312" s="40" t="s">
        <v>11404</v>
      </c>
      <c r="F6312" s="40" t="s">
        <v>11404</v>
      </c>
      <c r="G6312" s="40" t="s">
        <v>11404</v>
      </c>
      <c r="H6312" s="40" t="s">
        <v>11404</v>
      </c>
    </row>
    <row r="6313">
      <c r="A6313" s="39"/>
      <c r="E6313" s="40" t="s">
        <v>11404</v>
      </c>
      <c r="F6313" s="40" t="s">
        <v>11404</v>
      </c>
      <c r="G6313" s="40" t="s">
        <v>11404</v>
      </c>
      <c r="H6313" s="40" t="s">
        <v>11404</v>
      </c>
    </row>
    <row r="6314">
      <c r="A6314" s="39"/>
      <c r="E6314" s="40" t="s">
        <v>11404</v>
      </c>
      <c r="F6314" s="40" t="s">
        <v>11404</v>
      </c>
      <c r="G6314" s="40" t="s">
        <v>11404</v>
      </c>
      <c r="H6314" s="40" t="s">
        <v>11404</v>
      </c>
    </row>
    <row r="6315">
      <c r="A6315" s="39"/>
      <c r="E6315" s="40" t="s">
        <v>11404</v>
      </c>
      <c r="F6315" s="40" t="s">
        <v>11404</v>
      </c>
      <c r="G6315" s="40" t="s">
        <v>11404</v>
      </c>
      <c r="H6315" s="40" t="s">
        <v>11404</v>
      </c>
    </row>
    <row r="6316">
      <c r="A6316" s="39"/>
      <c r="E6316" s="40" t="s">
        <v>11404</v>
      </c>
      <c r="F6316" s="40" t="s">
        <v>11404</v>
      </c>
      <c r="G6316" s="40" t="s">
        <v>11404</v>
      </c>
      <c r="H6316" s="40" t="s">
        <v>11404</v>
      </c>
    </row>
    <row r="6317">
      <c r="A6317" s="39"/>
      <c r="E6317" s="40" t="s">
        <v>11404</v>
      </c>
      <c r="F6317" s="40" t="s">
        <v>11404</v>
      </c>
      <c r="G6317" s="40" t="s">
        <v>11404</v>
      </c>
      <c r="H6317" s="40" t="s">
        <v>11404</v>
      </c>
    </row>
    <row r="6318">
      <c r="A6318" s="39"/>
      <c r="E6318" s="40" t="s">
        <v>11404</v>
      </c>
      <c r="F6318" s="40" t="s">
        <v>11404</v>
      </c>
      <c r="G6318" s="40" t="s">
        <v>11404</v>
      </c>
      <c r="H6318" s="40" t="s">
        <v>11404</v>
      </c>
    </row>
    <row r="6319">
      <c r="A6319" s="39"/>
      <c r="E6319" s="40" t="s">
        <v>11404</v>
      </c>
      <c r="F6319" s="40" t="s">
        <v>11404</v>
      </c>
      <c r="G6319" s="40" t="s">
        <v>11404</v>
      </c>
      <c r="H6319" s="40" t="s">
        <v>11404</v>
      </c>
    </row>
    <row r="6320">
      <c r="A6320" s="39"/>
      <c r="E6320" s="40" t="s">
        <v>11404</v>
      </c>
      <c r="F6320" s="40" t="s">
        <v>11404</v>
      </c>
      <c r="G6320" s="40" t="s">
        <v>11404</v>
      </c>
      <c r="H6320" s="40" t="s">
        <v>11404</v>
      </c>
    </row>
    <row r="6321">
      <c r="A6321" s="39"/>
      <c r="E6321" s="40" t="s">
        <v>11404</v>
      </c>
      <c r="F6321" s="40" t="s">
        <v>11404</v>
      </c>
      <c r="G6321" s="40" t="s">
        <v>11404</v>
      </c>
      <c r="H6321" s="40" t="s">
        <v>11404</v>
      </c>
    </row>
    <row r="6322">
      <c r="A6322" s="39"/>
      <c r="E6322" s="40" t="s">
        <v>11404</v>
      </c>
      <c r="F6322" s="40" t="s">
        <v>11404</v>
      </c>
      <c r="G6322" s="40" t="s">
        <v>11404</v>
      </c>
      <c r="H6322" s="40" t="s">
        <v>11404</v>
      </c>
    </row>
    <row r="6323">
      <c r="A6323" s="39"/>
      <c r="E6323" s="40" t="s">
        <v>11404</v>
      </c>
      <c r="F6323" s="40" t="s">
        <v>11404</v>
      </c>
      <c r="G6323" s="40" t="s">
        <v>11404</v>
      </c>
      <c r="H6323" s="40" t="s">
        <v>11404</v>
      </c>
    </row>
    <row r="6324">
      <c r="A6324" s="39"/>
      <c r="E6324" s="40" t="s">
        <v>11404</v>
      </c>
      <c r="F6324" s="40" t="s">
        <v>11404</v>
      </c>
      <c r="G6324" s="40" t="s">
        <v>11404</v>
      </c>
      <c r="H6324" s="40" t="s">
        <v>11404</v>
      </c>
    </row>
    <row r="6325">
      <c r="A6325" s="39"/>
      <c r="E6325" s="40" t="s">
        <v>11404</v>
      </c>
      <c r="F6325" s="40" t="s">
        <v>11404</v>
      </c>
      <c r="G6325" s="40" t="s">
        <v>11404</v>
      </c>
      <c r="H6325" s="40" t="s">
        <v>11404</v>
      </c>
    </row>
    <row r="6326">
      <c r="A6326" s="39"/>
      <c r="E6326" s="40" t="s">
        <v>11404</v>
      </c>
      <c r="F6326" s="40" t="s">
        <v>11404</v>
      </c>
      <c r="G6326" s="40" t="s">
        <v>11404</v>
      </c>
      <c r="H6326" s="40" t="s">
        <v>11404</v>
      </c>
    </row>
    <row r="6327">
      <c r="A6327" s="39"/>
      <c r="E6327" s="40" t="s">
        <v>11404</v>
      </c>
      <c r="F6327" s="40" t="s">
        <v>11404</v>
      </c>
      <c r="G6327" s="40" t="s">
        <v>11404</v>
      </c>
      <c r="H6327" s="40" t="s">
        <v>11404</v>
      </c>
    </row>
    <row r="6328">
      <c r="A6328" s="39"/>
      <c r="E6328" s="40" t="s">
        <v>11404</v>
      </c>
      <c r="F6328" s="40" t="s">
        <v>11404</v>
      </c>
      <c r="G6328" s="40" t="s">
        <v>11404</v>
      </c>
      <c r="H6328" s="40" t="s">
        <v>11404</v>
      </c>
    </row>
    <row r="6329">
      <c r="A6329" s="39"/>
      <c r="E6329" s="40" t="s">
        <v>11404</v>
      </c>
      <c r="F6329" s="40" t="s">
        <v>11404</v>
      </c>
      <c r="G6329" s="40" t="s">
        <v>11404</v>
      </c>
      <c r="H6329" s="40" t="s">
        <v>11404</v>
      </c>
    </row>
    <row r="6330">
      <c r="A6330" s="39"/>
      <c r="E6330" s="40" t="s">
        <v>11404</v>
      </c>
      <c r="F6330" s="40" t="s">
        <v>11404</v>
      </c>
      <c r="G6330" s="40" t="s">
        <v>11404</v>
      </c>
      <c r="H6330" s="40" t="s">
        <v>11404</v>
      </c>
    </row>
    <row r="6331">
      <c r="A6331" s="39"/>
      <c r="E6331" s="40" t="s">
        <v>11404</v>
      </c>
      <c r="F6331" s="40" t="s">
        <v>11404</v>
      </c>
      <c r="G6331" s="40" t="s">
        <v>11404</v>
      </c>
      <c r="H6331" s="40" t="s">
        <v>11404</v>
      </c>
    </row>
    <row r="6332">
      <c r="A6332" s="39"/>
      <c r="E6332" s="40" t="s">
        <v>11404</v>
      </c>
      <c r="F6332" s="40" t="s">
        <v>11404</v>
      </c>
      <c r="G6332" s="40" t="s">
        <v>11404</v>
      </c>
      <c r="H6332" s="40" t="s">
        <v>11404</v>
      </c>
    </row>
    <row r="6333">
      <c r="A6333" s="39"/>
      <c r="E6333" s="40" t="s">
        <v>11404</v>
      </c>
      <c r="F6333" s="40" t="s">
        <v>11404</v>
      </c>
      <c r="G6333" s="40" t="s">
        <v>11404</v>
      </c>
      <c r="H6333" s="40" t="s">
        <v>11404</v>
      </c>
    </row>
    <row r="6334">
      <c r="A6334" s="39"/>
      <c r="E6334" s="40" t="s">
        <v>11404</v>
      </c>
      <c r="F6334" s="40" t="s">
        <v>11404</v>
      </c>
      <c r="G6334" s="40" t="s">
        <v>11404</v>
      </c>
      <c r="H6334" s="40" t="s">
        <v>11404</v>
      </c>
    </row>
    <row r="6335">
      <c r="A6335" s="39"/>
      <c r="E6335" s="40" t="s">
        <v>11404</v>
      </c>
      <c r="F6335" s="40" t="s">
        <v>11404</v>
      </c>
      <c r="G6335" s="40" t="s">
        <v>11404</v>
      </c>
      <c r="H6335" s="40" t="s">
        <v>11404</v>
      </c>
    </row>
    <row r="6336">
      <c r="A6336" s="39"/>
      <c r="E6336" s="40" t="s">
        <v>11404</v>
      </c>
      <c r="F6336" s="40" t="s">
        <v>11404</v>
      </c>
      <c r="G6336" s="40" t="s">
        <v>11404</v>
      </c>
      <c r="H6336" s="40" t="s">
        <v>11404</v>
      </c>
    </row>
    <row r="6337">
      <c r="A6337" s="39"/>
      <c r="E6337" s="40" t="s">
        <v>11404</v>
      </c>
      <c r="F6337" s="40" t="s">
        <v>11404</v>
      </c>
      <c r="G6337" s="40" t="s">
        <v>11404</v>
      </c>
      <c r="H6337" s="40" t="s">
        <v>11404</v>
      </c>
    </row>
    <row r="6338">
      <c r="A6338" s="39"/>
      <c r="E6338" s="40" t="s">
        <v>11404</v>
      </c>
      <c r="F6338" s="40" t="s">
        <v>11404</v>
      </c>
      <c r="G6338" s="40" t="s">
        <v>11404</v>
      </c>
      <c r="H6338" s="40" t="s">
        <v>11404</v>
      </c>
    </row>
    <row r="6339">
      <c r="A6339" s="39"/>
      <c r="E6339" s="40" t="s">
        <v>11404</v>
      </c>
      <c r="F6339" s="40" t="s">
        <v>11404</v>
      </c>
      <c r="G6339" s="40" t="s">
        <v>11404</v>
      </c>
      <c r="H6339" s="40" t="s">
        <v>11404</v>
      </c>
    </row>
    <row r="6340">
      <c r="A6340" s="39"/>
      <c r="E6340" s="40" t="s">
        <v>11404</v>
      </c>
      <c r="F6340" s="40" t="s">
        <v>11404</v>
      </c>
      <c r="G6340" s="40" t="s">
        <v>11404</v>
      </c>
      <c r="H6340" s="40" t="s">
        <v>11404</v>
      </c>
    </row>
    <row r="6341">
      <c r="A6341" s="39"/>
      <c r="E6341" s="40" t="s">
        <v>11404</v>
      </c>
      <c r="F6341" s="40" t="s">
        <v>11404</v>
      </c>
      <c r="G6341" s="40" t="s">
        <v>11404</v>
      </c>
      <c r="H6341" s="40" t="s">
        <v>11404</v>
      </c>
    </row>
    <row r="6342">
      <c r="A6342" s="39"/>
      <c r="E6342" s="40" t="s">
        <v>11404</v>
      </c>
      <c r="F6342" s="40" t="s">
        <v>11404</v>
      </c>
      <c r="G6342" s="40" t="s">
        <v>11404</v>
      </c>
      <c r="H6342" s="40" t="s">
        <v>11404</v>
      </c>
    </row>
    <row r="6343">
      <c r="A6343" s="39"/>
      <c r="E6343" s="40" t="s">
        <v>11404</v>
      </c>
      <c r="F6343" s="40" t="s">
        <v>11404</v>
      </c>
      <c r="G6343" s="40" t="s">
        <v>11404</v>
      </c>
      <c r="H6343" s="40" t="s">
        <v>11404</v>
      </c>
    </row>
    <row r="6344">
      <c r="A6344" s="39"/>
      <c r="E6344" s="40" t="s">
        <v>11404</v>
      </c>
      <c r="F6344" s="40" t="s">
        <v>11404</v>
      </c>
      <c r="G6344" s="40" t="s">
        <v>11404</v>
      </c>
      <c r="H6344" s="40" t="s">
        <v>11404</v>
      </c>
    </row>
    <row r="6345">
      <c r="A6345" s="39"/>
      <c r="E6345" s="40" t="s">
        <v>11404</v>
      </c>
      <c r="F6345" s="40" t="s">
        <v>11404</v>
      </c>
      <c r="G6345" s="40" t="s">
        <v>11404</v>
      </c>
      <c r="H6345" s="40" t="s">
        <v>11404</v>
      </c>
    </row>
    <row r="6346">
      <c r="A6346" s="39"/>
      <c r="E6346" s="40" t="s">
        <v>11404</v>
      </c>
      <c r="F6346" s="40" t="s">
        <v>11404</v>
      </c>
      <c r="G6346" s="40" t="s">
        <v>11404</v>
      </c>
      <c r="H6346" s="40" t="s">
        <v>11404</v>
      </c>
    </row>
    <row r="6347">
      <c r="A6347" s="39"/>
      <c r="E6347" s="40" t="s">
        <v>11404</v>
      </c>
      <c r="F6347" s="40" t="s">
        <v>11404</v>
      </c>
      <c r="G6347" s="40" t="s">
        <v>11404</v>
      </c>
      <c r="H6347" s="40" t="s">
        <v>11404</v>
      </c>
    </row>
    <row r="6348">
      <c r="A6348" s="39"/>
      <c r="E6348" s="40" t="s">
        <v>11404</v>
      </c>
      <c r="F6348" s="40" t="s">
        <v>11404</v>
      </c>
      <c r="G6348" s="40" t="s">
        <v>11404</v>
      </c>
      <c r="H6348" s="40" t="s">
        <v>11404</v>
      </c>
    </row>
    <row r="6349">
      <c r="A6349" s="39"/>
      <c r="E6349" s="40" t="s">
        <v>11404</v>
      </c>
      <c r="F6349" s="40" t="s">
        <v>11404</v>
      </c>
      <c r="G6349" s="40" t="s">
        <v>11404</v>
      </c>
      <c r="H6349" s="40" t="s">
        <v>11404</v>
      </c>
    </row>
    <row r="6350">
      <c r="A6350" s="39"/>
      <c r="E6350" s="40" t="s">
        <v>11404</v>
      </c>
      <c r="F6350" s="40" t="s">
        <v>11404</v>
      </c>
      <c r="G6350" s="40" t="s">
        <v>11404</v>
      </c>
      <c r="H6350" s="40" t="s">
        <v>11404</v>
      </c>
    </row>
    <row r="6351">
      <c r="A6351" s="39"/>
      <c r="E6351" s="40" t="s">
        <v>11404</v>
      </c>
      <c r="F6351" s="40" t="s">
        <v>11404</v>
      </c>
      <c r="G6351" s="40" t="s">
        <v>11404</v>
      </c>
      <c r="H6351" s="40" t="s">
        <v>11404</v>
      </c>
    </row>
    <row r="6352">
      <c r="A6352" s="39"/>
      <c r="E6352" s="40" t="s">
        <v>11404</v>
      </c>
      <c r="F6352" s="40" t="s">
        <v>11404</v>
      </c>
      <c r="G6352" s="40" t="s">
        <v>11404</v>
      </c>
      <c r="H6352" s="40" t="s">
        <v>11404</v>
      </c>
    </row>
    <row r="6353">
      <c r="A6353" s="39"/>
      <c r="E6353" s="40" t="s">
        <v>11404</v>
      </c>
      <c r="F6353" s="40" t="s">
        <v>11404</v>
      </c>
      <c r="G6353" s="40" t="s">
        <v>11404</v>
      </c>
      <c r="H6353" s="40" t="s">
        <v>11404</v>
      </c>
    </row>
    <row r="6354">
      <c r="A6354" s="39"/>
      <c r="E6354" s="40" t="s">
        <v>11404</v>
      </c>
      <c r="F6354" s="40" t="s">
        <v>11404</v>
      </c>
      <c r="G6354" s="40" t="s">
        <v>11404</v>
      </c>
      <c r="H6354" s="40" t="s">
        <v>11404</v>
      </c>
    </row>
    <row r="6355">
      <c r="A6355" s="39"/>
      <c r="E6355" s="40" t="s">
        <v>11404</v>
      </c>
      <c r="F6355" s="40" t="s">
        <v>11404</v>
      </c>
      <c r="G6355" s="40" t="s">
        <v>11404</v>
      </c>
      <c r="H6355" s="40" t="s">
        <v>11404</v>
      </c>
    </row>
    <row r="6356">
      <c r="A6356" s="39"/>
      <c r="E6356" s="40" t="s">
        <v>11404</v>
      </c>
      <c r="F6356" s="40" t="s">
        <v>11404</v>
      </c>
      <c r="G6356" s="40" t="s">
        <v>11404</v>
      </c>
      <c r="H6356" s="40" t="s">
        <v>11404</v>
      </c>
    </row>
    <row r="6357">
      <c r="A6357" s="39"/>
      <c r="E6357" s="40" t="s">
        <v>11404</v>
      </c>
      <c r="F6357" s="40" t="s">
        <v>11404</v>
      </c>
      <c r="G6357" s="40" t="s">
        <v>11404</v>
      </c>
      <c r="H6357" s="40" t="s">
        <v>11404</v>
      </c>
    </row>
    <row r="6358">
      <c r="A6358" s="39"/>
      <c r="E6358" s="40" t="s">
        <v>11404</v>
      </c>
      <c r="F6358" s="40" t="s">
        <v>11404</v>
      </c>
      <c r="G6358" s="40" t="s">
        <v>11404</v>
      </c>
      <c r="H6358" s="40" t="s">
        <v>11404</v>
      </c>
    </row>
    <row r="6359">
      <c r="A6359" s="39"/>
      <c r="E6359" s="40" t="s">
        <v>11404</v>
      </c>
      <c r="F6359" s="40" t="s">
        <v>11404</v>
      </c>
      <c r="G6359" s="40" t="s">
        <v>11404</v>
      </c>
      <c r="H6359" s="40" t="s">
        <v>11404</v>
      </c>
    </row>
    <row r="6360">
      <c r="A6360" s="39"/>
      <c r="E6360" s="40" t="s">
        <v>11404</v>
      </c>
      <c r="F6360" s="40" t="s">
        <v>11404</v>
      </c>
      <c r="G6360" s="40" t="s">
        <v>11404</v>
      </c>
      <c r="H6360" s="40" t="s">
        <v>11404</v>
      </c>
    </row>
    <row r="6361">
      <c r="A6361" s="39"/>
      <c r="E6361" s="40" t="s">
        <v>11404</v>
      </c>
      <c r="F6361" s="40" t="s">
        <v>11404</v>
      </c>
      <c r="G6361" s="40" t="s">
        <v>11404</v>
      </c>
      <c r="H6361" s="40" t="s">
        <v>11404</v>
      </c>
    </row>
    <row r="6362">
      <c r="A6362" s="39"/>
      <c r="E6362" s="40" t="s">
        <v>11404</v>
      </c>
      <c r="F6362" s="40" t="s">
        <v>11404</v>
      </c>
      <c r="G6362" s="40" t="s">
        <v>11404</v>
      </c>
      <c r="H6362" s="40" t="s">
        <v>11404</v>
      </c>
    </row>
    <row r="6363">
      <c r="A6363" s="39"/>
      <c r="E6363" s="40" t="s">
        <v>11404</v>
      </c>
      <c r="F6363" s="40" t="s">
        <v>11404</v>
      </c>
      <c r="G6363" s="40" t="s">
        <v>11404</v>
      </c>
      <c r="H6363" s="40" t="s">
        <v>11404</v>
      </c>
    </row>
    <row r="6364">
      <c r="A6364" s="39"/>
      <c r="E6364" s="40" t="s">
        <v>11404</v>
      </c>
      <c r="F6364" s="40" t="s">
        <v>11404</v>
      </c>
      <c r="G6364" s="40" t="s">
        <v>11404</v>
      </c>
      <c r="H6364" s="40" t="s">
        <v>11404</v>
      </c>
    </row>
    <row r="6365">
      <c r="A6365" s="39"/>
      <c r="E6365" s="40" t="s">
        <v>11404</v>
      </c>
      <c r="F6365" s="40" t="s">
        <v>11404</v>
      </c>
      <c r="G6365" s="40" t="s">
        <v>11404</v>
      </c>
      <c r="H6365" s="40" t="s">
        <v>11404</v>
      </c>
    </row>
    <row r="6366">
      <c r="A6366" s="39"/>
      <c r="E6366" s="40" t="s">
        <v>11404</v>
      </c>
      <c r="F6366" s="40" t="s">
        <v>11404</v>
      </c>
      <c r="G6366" s="40" t="s">
        <v>11404</v>
      </c>
      <c r="H6366" s="40" t="s">
        <v>11404</v>
      </c>
    </row>
    <row r="6367">
      <c r="A6367" s="39"/>
      <c r="E6367" s="40" t="s">
        <v>11404</v>
      </c>
      <c r="F6367" s="40" t="s">
        <v>11404</v>
      </c>
      <c r="G6367" s="40" t="s">
        <v>11404</v>
      </c>
      <c r="H6367" s="40" t="s">
        <v>11404</v>
      </c>
    </row>
    <row r="6368">
      <c r="A6368" s="39"/>
      <c r="E6368" s="40" t="s">
        <v>11404</v>
      </c>
      <c r="F6368" s="40" t="s">
        <v>11404</v>
      </c>
      <c r="G6368" s="40" t="s">
        <v>11404</v>
      </c>
      <c r="H6368" s="40" t="s">
        <v>11404</v>
      </c>
    </row>
    <row r="6369">
      <c r="A6369" s="39"/>
      <c r="E6369" s="40" t="s">
        <v>11404</v>
      </c>
      <c r="F6369" s="40" t="s">
        <v>11404</v>
      </c>
      <c r="G6369" s="40" t="s">
        <v>11404</v>
      </c>
      <c r="H6369" s="40" t="s">
        <v>11404</v>
      </c>
    </row>
    <row r="6370">
      <c r="A6370" s="39"/>
      <c r="E6370" s="40" t="s">
        <v>11404</v>
      </c>
      <c r="F6370" s="40" t="s">
        <v>11404</v>
      </c>
      <c r="G6370" s="40" t="s">
        <v>11404</v>
      </c>
      <c r="H6370" s="40" t="s">
        <v>11404</v>
      </c>
    </row>
    <row r="6371">
      <c r="A6371" s="39"/>
      <c r="E6371" s="40" t="s">
        <v>11404</v>
      </c>
      <c r="F6371" s="40" t="s">
        <v>11404</v>
      </c>
      <c r="G6371" s="40" t="s">
        <v>11404</v>
      </c>
      <c r="H6371" s="40" t="s">
        <v>11404</v>
      </c>
    </row>
    <row r="6372">
      <c r="A6372" s="39"/>
      <c r="E6372" s="40" t="s">
        <v>11404</v>
      </c>
      <c r="F6372" s="40" t="s">
        <v>11404</v>
      </c>
      <c r="G6372" s="40" t="s">
        <v>11404</v>
      </c>
      <c r="H6372" s="40" t="s">
        <v>11404</v>
      </c>
    </row>
    <row r="6373">
      <c r="A6373" s="39"/>
      <c r="E6373" s="40" t="s">
        <v>11404</v>
      </c>
      <c r="F6373" s="40" t="s">
        <v>11404</v>
      </c>
      <c r="G6373" s="40" t="s">
        <v>11404</v>
      </c>
      <c r="H6373" s="40" t="s">
        <v>11404</v>
      </c>
    </row>
    <row r="6374">
      <c r="A6374" s="39"/>
      <c r="E6374" s="40" t="s">
        <v>11404</v>
      </c>
      <c r="F6374" s="40" t="s">
        <v>11404</v>
      </c>
      <c r="G6374" s="40" t="s">
        <v>11404</v>
      </c>
      <c r="H6374" s="40" t="s">
        <v>11404</v>
      </c>
    </row>
    <row r="6375">
      <c r="A6375" s="39"/>
      <c r="E6375" s="40" t="s">
        <v>11404</v>
      </c>
      <c r="F6375" s="40" t="s">
        <v>11404</v>
      </c>
      <c r="G6375" s="40" t="s">
        <v>11404</v>
      </c>
      <c r="H6375" s="40" t="s">
        <v>11404</v>
      </c>
    </row>
    <row r="6376">
      <c r="A6376" s="39"/>
      <c r="E6376" s="40" t="s">
        <v>11404</v>
      </c>
      <c r="F6376" s="40" t="s">
        <v>11404</v>
      </c>
      <c r="G6376" s="40" t="s">
        <v>11404</v>
      </c>
      <c r="H6376" s="40" t="s">
        <v>11404</v>
      </c>
    </row>
    <row r="6377">
      <c r="A6377" s="39"/>
      <c r="E6377" s="40" t="s">
        <v>11404</v>
      </c>
      <c r="F6377" s="40" t="s">
        <v>11404</v>
      </c>
      <c r="G6377" s="40" t="s">
        <v>11404</v>
      </c>
      <c r="H6377" s="40" t="s">
        <v>11404</v>
      </c>
    </row>
    <row r="6378">
      <c r="A6378" s="39"/>
      <c r="E6378" s="40" t="s">
        <v>11404</v>
      </c>
      <c r="F6378" s="40" t="s">
        <v>11404</v>
      </c>
      <c r="G6378" s="40" t="s">
        <v>11404</v>
      </c>
      <c r="H6378" s="40" t="s">
        <v>11404</v>
      </c>
    </row>
    <row r="6379">
      <c r="A6379" s="39"/>
      <c r="E6379" s="40" t="s">
        <v>11404</v>
      </c>
      <c r="F6379" s="40" t="s">
        <v>11404</v>
      </c>
      <c r="G6379" s="40" t="s">
        <v>11404</v>
      </c>
      <c r="H6379" s="40" t="s">
        <v>11404</v>
      </c>
    </row>
    <row r="6380">
      <c r="A6380" s="39"/>
      <c r="E6380" s="40" t="s">
        <v>11404</v>
      </c>
      <c r="F6380" s="40" t="s">
        <v>11404</v>
      </c>
      <c r="G6380" s="40" t="s">
        <v>11404</v>
      </c>
      <c r="H6380" s="40" t="s">
        <v>11404</v>
      </c>
    </row>
    <row r="6381">
      <c r="A6381" s="39"/>
      <c r="E6381" s="40" t="s">
        <v>11404</v>
      </c>
      <c r="F6381" s="40" t="s">
        <v>11404</v>
      </c>
      <c r="G6381" s="40" t="s">
        <v>11404</v>
      </c>
      <c r="H6381" s="40" t="s">
        <v>11404</v>
      </c>
    </row>
    <row r="6382">
      <c r="A6382" s="39"/>
      <c r="E6382" s="40" t="s">
        <v>11404</v>
      </c>
      <c r="F6382" s="40" t="s">
        <v>11404</v>
      </c>
      <c r="G6382" s="40" t="s">
        <v>11404</v>
      </c>
      <c r="H6382" s="40" t="s">
        <v>11404</v>
      </c>
    </row>
    <row r="6383">
      <c r="A6383" s="39"/>
      <c r="E6383" s="40" t="s">
        <v>11404</v>
      </c>
      <c r="F6383" s="40" t="s">
        <v>11404</v>
      </c>
      <c r="G6383" s="40" t="s">
        <v>11404</v>
      </c>
      <c r="H6383" s="40" t="s">
        <v>11404</v>
      </c>
    </row>
    <row r="6384">
      <c r="A6384" s="39"/>
      <c r="E6384" s="40" t="s">
        <v>11404</v>
      </c>
      <c r="F6384" s="40" t="s">
        <v>11404</v>
      </c>
      <c r="G6384" s="40" t="s">
        <v>11404</v>
      </c>
      <c r="H6384" s="40" t="s">
        <v>11404</v>
      </c>
    </row>
    <row r="6385">
      <c r="A6385" s="39"/>
      <c r="E6385" s="40" t="s">
        <v>11404</v>
      </c>
      <c r="F6385" s="40" t="s">
        <v>11404</v>
      </c>
      <c r="G6385" s="40" t="s">
        <v>11404</v>
      </c>
      <c r="H6385" s="40" t="s">
        <v>11404</v>
      </c>
    </row>
    <row r="6386">
      <c r="A6386" s="39"/>
      <c r="E6386" s="40" t="s">
        <v>11404</v>
      </c>
      <c r="F6386" s="40" t="s">
        <v>11404</v>
      </c>
      <c r="G6386" s="40" t="s">
        <v>11404</v>
      </c>
      <c r="H6386" s="40" t="s">
        <v>11404</v>
      </c>
    </row>
    <row r="6387">
      <c r="A6387" s="39"/>
      <c r="E6387" s="40" t="s">
        <v>11404</v>
      </c>
      <c r="F6387" s="40" t="s">
        <v>11404</v>
      </c>
      <c r="G6387" s="40" t="s">
        <v>11404</v>
      </c>
      <c r="H6387" s="40" t="s">
        <v>11404</v>
      </c>
    </row>
    <row r="6388">
      <c r="A6388" s="39"/>
      <c r="E6388" s="40" t="s">
        <v>11404</v>
      </c>
      <c r="F6388" s="40" t="s">
        <v>11404</v>
      </c>
      <c r="G6388" s="40" t="s">
        <v>11404</v>
      </c>
      <c r="H6388" s="40" t="s">
        <v>11404</v>
      </c>
    </row>
    <row r="6389">
      <c r="A6389" s="39"/>
      <c r="E6389" s="40" t="s">
        <v>11404</v>
      </c>
      <c r="F6389" s="40" t="s">
        <v>11404</v>
      </c>
      <c r="G6389" s="40" t="s">
        <v>11404</v>
      </c>
      <c r="H6389" s="40" t="s">
        <v>11404</v>
      </c>
    </row>
    <row r="6390">
      <c r="A6390" s="39"/>
      <c r="E6390" s="40" t="s">
        <v>11404</v>
      </c>
      <c r="F6390" s="40" t="s">
        <v>11404</v>
      </c>
      <c r="G6390" s="40" t="s">
        <v>11404</v>
      </c>
      <c r="H6390" s="40" t="s">
        <v>11404</v>
      </c>
    </row>
    <row r="6391">
      <c r="A6391" s="39"/>
      <c r="E6391" s="40" t="s">
        <v>11404</v>
      </c>
      <c r="F6391" s="40" t="s">
        <v>11404</v>
      </c>
      <c r="G6391" s="40" t="s">
        <v>11404</v>
      </c>
      <c r="H6391" s="40" t="s">
        <v>11404</v>
      </c>
    </row>
    <row r="6392">
      <c r="A6392" s="39"/>
      <c r="E6392" s="40" t="s">
        <v>11404</v>
      </c>
      <c r="F6392" s="40" t="s">
        <v>11404</v>
      </c>
      <c r="G6392" s="40" t="s">
        <v>11404</v>
      </c>
      <c r="H6392" s="40" t="s">
        <v>11404</v>
      </c>
    </row>
    <row r="6393">
      <c r="A6393" s="39"/>
      <c r="E6393" s="40" t="s">
        <v>11404</v>
      </c>
      <c r="F6393" s="40" t="s">
        <v>11404</v>
      </c>
      <c r="G6393" s="40" t="s">
        <v>11404</v>
      </c>
      <c r="H6393" s="40" t="s">
        <v>11404</v>
      </c>
    </row>
    <row r="6394">
      <c r="A6394" s="39"/>
      <c r="E6394" s="40" t="s">
        <v>11404</v>
      </c>
      <c r="F6394" s="40" t="s">
        <v>11404</v>
      </c>
      <c r="G6394" s="40" t="s">
        <v>11404</v>
      </c>
      <c r="H6394" s="40" t="s">
        <v>11404</v>
      </c>
    </row>
    <row r="6395">
      <c r="A6395" s="39"/>
      <c r="E6395" s="40" t="s">
        <v>11404</v>
      </c>
      <c r="F6395" s="40" t="s">
        <v>11404</v>
      </c>
      <c r="G6395" s="40" t="s">
        <v>11404</v>
      </c>
      <c r="H6395" s="40" t="s">
        <v>11404</v>
      </c>
    </row>
    <row r="6396">
      <c r="A6396" s="39"/>
      <c r="E6396" s="40" t="s">
        <v>11404</v>
      </c>
      <c r="F6396" s="40" t="s">
        <v>11404</v>
      </c>
      <c r="G6396" s="40" t="s">
        <v>11404</v>
      </c>
      <c r="H6396" s="40" t="s">
        <v>11404</v>
      </c>
    </row>
    <row r="6397">
      <c r="A6397" s="39"/>
      <c r="E6397" s="40" t="s">
        <v>11404</v>
      </c>
      <c r="F6397" s="40" t="s">
        <v>11404</v>
      </c>
      <c r="G6397" s="40" t="s">
        <v>11404</v>
      </c>
      <c r="H6397" s="40" t="s">
        <v>11404</v>
      </c>
    </row>
    <row r="6398">
      <c r="A6398" s="39"/>
      <c r="E6398" s="40" t="s">
        <v>11404</v>
      </c>
      <c r="F6398" s="40" t="s">
        <v>11404</v>
      </c>
      <c r="G6398" s="40" t="s">
        <v>11404</v>
      </c>
      <c r="H6398" s="40" t="s">
        <v>11404</v>
      </c>
    </row>
    <row r="6399">
      <c r="A6399" s="39"/>
      <c r="E6399" s="40" t="s">
        <v>11404</v>
      </c>
      <c r="F6399" s="40" t="s">
        <v>11404</v>
      </c>
      <c r="G6399" s="40" t="s">
        <v>11404</v>
      </c>
      <c r="H6399" s="40" t="s">
        <v>11404</v>
      </c>
    </row>
    <row r="6400">
      <c r="A6400" s="39"/>
      <c r="E6400" s="40" t="s">
        <v>11404</v>
      </c>
      <c r="F6400" s="40" t="s">
        <v>11404</v>
      </c>
      <c r="G6400" s="40" t="s">
        <v>11404</v>
      </c>
      <c r="H6400" s="40" t="s">
        <v>11404</v>
      </c>
    </row>
    <row r="6401">
      <c r="A6401" s="39"/>
      <c r="E6401" s="40" t="s">
        <v>11404</v>
      </c>
      <c r="F6401" s="40" t="s">
        <v>11404</v>
      </c>
      <c r="G6401" s="40" t="s">
        <v>11404</v>
      </c>
      <c r="H6401" s="40" t="s">
        <v>11404</v>
      </c>
    </row>
    <row r="6402">
      <c r="A6402" s="39"/>
      <c r="E6402" s="40" t="s">
        <v>11404</v>
      </c>
      <c r="F6402" s="40" t="s">
        <v>11404</v>
      </c>
      <c r="G6402" s="40" t="s">
        <v>11404</v>
      </c>
      <c r="H6402" s="40" t="s">
        <v>11404</v>
      </c>
    </row>
    <row r="6403">
      <c r="A6403" s="39"/>
      <c r="E6403" s="40" t="s">
        <v>11404</v>
      </c>
      <c r="F6403" s="40" t="s">
        <v>11404</v>
      </c>
      <c r="G6403" s="40" t="s">
        <v>11404</v>
      </c>
      <c r="H6403" s="40" t="s">
        <v>11404</v>
      </c>
    </row>
    <row r="6404">
      <c r="A6404" s="39"/>
      <c r="E6404" s="40" t="s">
        <v>11404</v>
      </c>
      <c r="F6404" s="40" t="s">
        <v>11404</v>
      </c>
      <c r="G6404" s="40" t="s">
        <v>11404</v>
      </c>
      <c r="H6404" s="40" t="s">
        <v>11404</v>
      </c>
    </row>
    <row r="6405">
      <c r="A6405" s="39"/>
      <c r="E6405" s="40" t="s">
        <v>11404</v>
      </c>
      <c r="F6405" s="40" t="s">
        <v>11404</v>
      </c>
      <c r="G6405" s="40" t="s">
        <v>11404</v>
      </c>
      <c r="H6405" s="40" t="s">
        <v>11404</v>
      </c>
    </row>
    <row r="6406">
      <c r="A6406" s="39"/>
      <c r="E6406" s="40" t="s">
        <v>11404</v>
      </c>
      <c r="F6406" s="40" t="s">
        <v>11404</v>
      </c>
      <c r="G6406" s="40" t="s">
        <v>11404</v>
      </c>
      <c r="H6406" s="40" t="s">
        <v>11404</v>
      </c>
    </row>
    <row r="6407">
      <c r="A6407" s="39"/>
      <c r="E6407" s="40" t="s">
        <v>11404</v>
      </c>
      <c r="F6407" s="40" t="s">
        <v>11404</v>
      </c>
      <c r="G6407" s="40" t="s">
        <v>11404</v>
      </c>
      <c r="H6407" s="40" t="s">
        <v>11404</v>
      </c>
    </row>
    <row r="6408">
      <c r="A6408" s="39"/>
      <c r="E6408" s="40" t="s">
        <v>11404</v>
      </c>
      <c r="F6408" s="40" t="s">
        <v>11404</v>
      </c>
      <c r="G6408" s="40" t="s">
        <v>11404</v>
      </c>
      <c r="H6408" s="40" t="s">
        <v>11404</v>
      </c>
    </row>
    <row r="6409">
      <c r="A6409" s="39"/>
      <c r="E6409" s="40" t="s">
        <v>11404</v>
      </c>
      <c r="F6409" s="40" t="s">
        <v>11404</v>
      </c>
      <c r="G6409" s="40" t="s">
        <v>11404</v>
      </c>
      <c r="H6409" s="40" t="s">
        <v>11404</v>
      </c>
    </row>
    <row r="6410">
      <c r="A6410" s="39"/>
      <c r="E6410" s="40" t="s">
        <v>11404</v>
      </c>
      <c r="F6410" s="40" t="s">
        <v>11404</v>
      </c>
      <c r="G6410" s="40" t="s">
        <v>11404</v>
      </c>
      <c r="H6410" s="40" t="s">
        <v>11404</v>
      </c>
    </row>
    <row r="6411">
      <c r="A6411" s="39"/>
      <c r="E6411" s="40" t="s">
        <v>11404</v>
      </c>
      <c r="F6411" s="40" t="s">
        <v>11404</v>
      </c>
      <c r="G6411" s="40" t="s">
        <v>11404</v>
      </c>
      <c r="H6411" s="40" t="s">
        <v>11404</v>
      </c>
    </row>
    <row r="6412">
      <c r="A6412" s="39"/>
      <c r="E6412" s="40" t="s">
        <v>11404</v>
      </c>
      <c r="F6412" s="40" t="s">
        <v>11404</v>
      </c>
      <c r="G6412" s="40" t="s">
        <v>11404</v>
      </c>
      <c r="H6412" s="40" t="s">
        <v>11404</v>
      </c>
    </row>
    <row r="6413">
      <c r="A6413" s="39"/>
      <c r="E6413" s="40" t="s">
        <v>11404</v>
      </c>
      <c r="F6413" s="40" t="s">
        <v>11404</v>
      </c>
      <c r="G6413" s="40" t="s">
        <v>11404</v>
      </c>
      <c r="H6413" s="40" t="s">
        <v>11404</v>
      </c>
    </row>
    <row r="6414">
      <c r="A6414" s="39"/>
      <c r="E6414" s="40" t="s">
        <v>11404</v>
      </c>
      <c r="F6414" s="40" t="s">
        <v>11404</v>
      </c>
      <c r="G6414" s="40" t="s">
        <v>11404</v>
      </c>
      <c r="H6414" s="40" t="s">
        <v>11404</v>
      </c>
    </row>
    <row r="6415">
      <c r="A6415" s="39"/>
      <c r="E6415" s="40" t="s">
        <v>11404</v>
      </c>
      <c r="F6415" s="40" t="s">
        <v>11404</v>
      </c>
      <c r="G6415" s="40" t="s">
        <v>11404</v>
      </c>
      <c r="H6415" s="40" t="s">
        <v>11404</v>
      </c>
    </row>
    <row r="6416">
      <c r="A6416" s="39"/>
      <c r="E6416" s="40" t="s">
        <v>11404</v>
      </c>
      <c r="F6416" s="40" t="s">
        <v>11404</v>
      </c>
      <c r="G6416" s="40" t="s">
        <v>11404</v>
      </c>
      <c r="H6416" s="40" t="s">
        <v>11404</v>
      </c>
    </row>
    <row r="6417">
      <c r="A6417" s="39"/>
      <c r="E6417" s="40" t="s">
        <v>11404</v>
      </c>
      <c r="F6417" s="40" t="s">
        <v>11404</v>
      </c>
      <c r="G6417" s="40" t="s">
        <v>11404</v>
      </c>
      <c r="H6417" s="40" t="s">
        <v>11404</v>
      </c>
    </row>
    <row r="6418">
      <c r="A6418" s="39"/>
      <c r="E6418" s="40" t="s">
        <v>11404</v>
      </c>
      <c r="F6418" s="40" t="s">
        <v>11404</v>
      </c>
      <c r="G6418" s="40" t="s">
        <v>11404</v>
      </c>
      <c r="H6418" s="40" t="s">
        <v>11404</v>
      </c>
    </row>
    <row r="6419">
      <c r="A6419" s="39"/>
      <c r="E6419" s="40" t="s">
        <v>11404</v>
      </c>
      <c r="F6419" s="40" t="s">
        <v>11404</v>
      </c>
      <c r="G6419" s="40" t="s">
        <v>11404</v>
      </c>
      <c r="H6419" s="40" t="s">
        <v>11404</v>
      </c>
    </row>
    <row r="6420">
      <c r="A6420" s="39"/>
      <c r="E6420" s="40" t="s">
        <v>11404</v>
      </c>
      <c r="F6420" s="40" t="s">
        <v>11404</v>
      </c>
      <c r="G6420" s="40" t="s">
        <v>11404</v>
      </c>
      <c r="H6420" s="40" t="s">
        <v>11404</v>
      </c>
    </row>
    <row r="6421">
      <c r="A6421" s="39"/>
      <c r="E6421" s="40" t="s">
        <v>11404</v>
      </c>
      <c r="F6421" s="40" t="s">
        <v>11404</v>
      </c>
      <c r="G6421" s="40" t="s">
        <v>11404</v>
      </c>
      <c r="H6421" s="40" t="s">
        <v>11404</v>
      </c>
    </row>
    <row r="6422">
      <c r="A6422" s="39"/>
      <c r="E6422" s="40" t="s">
        <v>11404</v>
      </c>
      <c r="F6422" s="40" t="s">
        <v>11404</v>
      </c>
      <c r="G6422" s="40" t="s">
        <v>11404</v>
      </c>
      <c r="H6422" s="40" t="s">
        <v>11404</v>
      </c>
    </row>
    <row r="6423">
      <c r="A6423" s="39"/>
      <c r="E6423" s="40" t="s">
        <v>11404</v>
      </c>
      <c r="F6423" s="40" t="s">
        <v>11404</v>
      </c>
      <c r="G6423" s="40" t="s">
        <v>11404</v>
      </c>
      <c r="H6423" s="40" t="s">
        <v>11404</v>
      </c>
    </row>
    <row r="6424">
      <c r="A6424" s="39"/>
      <c r="E6424" s="40" t="s">
        <v>11404</v>
      </c>
      <c r="F6424" s="40" t="s">
        <v>11404</v>
      </c>
      <c r="G6424" s="40" t="s">
        <v>11404</v>
      </c>
      <c r="H6424" s="40" t="s">
        <v>11404</v>
      </c>
    </row>
    <row r="6425">
      <c r="A6425" s="39"/>
      <c r="E6425" s="40" t="s">
        <v>11404</v>
      </c>
      <c r="F6425" s="40" t="s">
        <v>11404</v>
      </c>
      <c r="G6425" s="40" t="s">
        <v>11404</v>
      </c>
      <c r="H6425" s="40" t="s">
        <v>11404</v>
      </c>
    </row>
    <row r="6426">
      <c r="A6426" s="39"/>
      <c r="E6426" s="40" t="s">
        <v>11404</v>
      </c>
      <c r="F6426" s="40" t="s">
        <v>11404</v>
      </c>
      <c r="G6426" s="40" t="s">
        <v>11404</v>
      </c>
      <c r="H6426" s="40" t="s">
        <v>11404</v>
      </c>
    </row>
    <row r="6427">
      <c r="A6427" s="39"/>
      <c r="E6427" s="40" t="s">
        <v>11404</v>
      </c>
      <c r="F6427" s="40" t="s">
        <v>11404</v>
      </c>
      <c r="G6427" s="40" t="s">
        <v>11404</v>
      </c>
      <c r="H6427" s="40" t="s">
        <v>11404</v>
      </c>
    </row>
    <row r="6428">
      <c r="A6428" s="39"/>
      <c r="E6428" s="40" t="s">
        <v>11404</v>
      </c>
      <c r="F6428" s="40" t="s">
        <v>11404</v>
      </c>
      <c r="G6428" s="40" t="s">
        <v>11404</v>
      </c>
      <c r="H6428" s="40" t="s">
        <v>11404</v>
      </c>
    </row>
    <row r="6429">
      <c r="A6429" s="39"/>
      <c r="E6429" s="40" t="s">
        <v>11404</v>
      </c>
      <c r="F6429" s="40" t="s">
        <v>11404</v>
      </c>
      <c r="G6429" s="40" t="s">
        <v>11404</v>
      </c>
      <c r="H6429" s="40" t="s">
        <v>11404</v>
      </c>
    </row>
    <row r="6430">
      <c r="A6430" s="39"/>
      <c r="E6430" s="40" t="s">
        <v>11404</v>
      </c>
      <c r="F6430" s="40" t="s">
        <v>11404</v>
      </c>
      <c r="G6430" s="40" t="s">
        <v>11404</v>
      </c>
      <c r="H6430" s="40" t="s">
        <v>11404</v>
      </c>
    </row>
    <row r="6431">
      <c r="A6431" s="39"/>
      <c r="E6431" s="40" t="s">
        <v>11404</v>
      </c>
      <c r="F6431" s="40" t="s">
        <v>11404</v>
      </c>
      <c r="G6431" s="40" t="s">
        <v>11404</v>
      </c>
      <c r="H6431" s="40" t="s">
        <v>11404</v>
      </c>
    </row>
    <row r="6432">
      <c r="A6432" s="39"/>
      <c r="E6432" s="40" t="s">
        <v>11404</v>
      </c>
      <c r="F6432" s="40" t="s">
        <v>11404</v>
      </c>
      <c r="G6432" s="40" t="s">
        <v>11404</v>
      </c>
      <c r="H6432" s="40" t="s">
        <v>11404</v>
      </c>
    </row>
    <row r="6433">
      <c r="A6433" s="39"/>
      <c r="E6433" s="40" t="s">
        <v>11404</v>
      </c>
      <c r="F6433" s="40" t="s">
        <v>11404</v>
      </c>
      <c r="G6433" s="40" t="s">
        <v>11404</v>
      </c>
      <c r="H6433" s="40" t="s">
        <v>11404</v>
      </c>
    </row>
    <row r="6434">
      <c r="A6434" s="39"/>
      <c r="E6434" s="40" t="s">
        <v>11404</v>
      </c>
      <c r="F6434" s="40" t="s">
        <v>11404</v>
      </c>
      <c r="G6434" s="40" t="s">
        <v>11404</v>
      </c>
      <c r="H6434" s="40" t="s">
        <v>11404</v>
      </c>
    </row>
    <row r="6435">
      <c r="A6435" s="39"/>
      <c r="E6435" s="40" t="s">
        <v>11404</v>
      </c>
      <c r="F6435" s="40" t="s">
        <v>11404</v>
      </c>
      <c r="G6435" s="40" t="s">
        <v>11404</v>
      </c>
      <c r="H6435" s="40" t="s">
        <v>11404</v>
      </c>
    </row>
    <row r="6436">
      <c r="A6436" s="39"/>
      <c r="E6436" s="40" t="s">
        <v>11404</v>
      </c>
      <c r="F6436" s="40" t="s">
        <v>11404</v>
      </c>
      <c r="G6436" s="40" t="s">
        <v>11404</v>
      </c>
      <c r="H6436" s="40" t="s">
        <v>11404</v>
      </c>
    </row>
    <row r="6437">
      <c r="A6437" s="39"/>
      <c r="E6437" s="40" t="s">
        <v>11404</v>
      </c>
      <c r="F6437" s="40" t="s">
        <v>11404</v>
      </c>
      <c r="G6437" s="40" t="s">
        <v>11404</v>
      </c>
      <c r="H6437" s="40" t="s">
        <v>11404</v>
      </c>
    </row>
    <row r="6438">
      <c r="A6438" s="39"/>
      <c r="E6438" s="40" t="s">
        <v>11404</v>
      </c>
      <c r="F6438" s="40" t="s">
        <v>11404</v>
      </c>
      <c r="G6438" s="40" t="s">
        <v>11404</v>
      </c>
      <c r="H6438" s="40" t="s">
        <v>11404</v>
      </c>
    </row>
    <row r="6439">
      <c r="A6439" s="39"/>
      <c r="E6439" s="40" t="s">
        <v>11404</v>
      </c>
      <c r="F6439" s="40" t="s">
        <v>11404</v>
      </c>
      <c r="G6439" s="40" t="s">
        <v>11404</v>
      </c>
      <c r="H6439" s="40" t="s">
        <v>11404</v>
      </c>
    </row>
    <row r="6440">
      <c r="A6440" s="39"/>
      <c r="E6440" s="40" t="s">
        <v>11404</v>
      </c>
      <c r="F6440" s="40" t="s">
        <v>11404</v>
      </c>
      <c r="G6440" s="40" t="s">
        <v>11404</v>
      </c>
      <c r="H6440" s="40" t="s">
        <v>11404</v>
      </c>
    </row>
    <row r="6441">
      <c r="A6441" s="39"/>
      <c r="E6441" s="40" t="s">
        <v>11404</v>
      </c>
      <c r="F6441" s="40" t="s">
        <v>11404</v>
      </c>
      <c r="G6441" s="40" t="s">
        <v>11404</v>
      </c>
      <c r="H6441" s="40" t="s">
        <v>11404</v>
      </c>
    </row>
    <row r="6442">
      <c r="A6442" s="39"/>
      <c r="E6442" s="40" t="s">
        <v>11404</v>
      </c>
      <c r="F6442" s="40" t="s">
        <v>11404</v>
      </c>
      <c r="G6442" s="40" t="s">
        <v>11404</v>
      </c>
      <c r="H6442" s="40" t="s">
        <v>11404</v>
      </c>
    </row>
    <row r="6443">
      <c r="A6443" s="39"/>
      <c r="E6443" s="40" t="s">
        <v>11404</v>
      </c>
      <c r="F6443" s="40" t="s">
        <v>11404</v>
      </c>
      <c r="G6443" s="40" t="s">
        <v>11404</v>
      </c>
      <c r="H6443" s="40" t="s">
        <v>11404</v>
      </c>
    </row>
    <row r="6444">
      <c r="A6444" s="39"/>
      <c r="E6444" s="40" t="s">
        <v>11404</v>
      </c>
      <c r="F6444" s="40" t="s">
        <v>11404</v>
      </c>
      <c r="G6444" s="40" t="s">
        <v>11404</v>
      </c>
      <c r="H6444" s="40" t="s">
        <v>11404</v>
      </c>
    </row>
    <row r="6445">
      <c r="A6445" s="39"/>
      <c r="E6445" s="40" t="s">
        <v>11404</v>
      </c>
      <c r="F6445" s="40" t="s">
        <v>11404</v>
      </c>
      <c r="G6445" s="40" t="s">
        <v>11404</v>
      </c>
      <c r="H6445" s="40" t="s">
        <v>11404</v>
      </c>
    </row>
    <row r="6446">
      <c r="A6446" s="39"/>
      <c r="E6446" s="40" t="s">
        <v>11404</v>
      </c>
      <c r="F6446" s="40" t="s">
        <v>11404</v>
      </c>
      <c r="G6446" s="40" t="s">
        <v>11404</v>
      </c>
      <c r="H6446" s="40" t="s">
        <v>11404</v>
      </c>
    </row>
    <row r="6447">
      <c r="A6447" s="39"/>
      <c r="E6447" s="40" t="s">
        <v>11404</v>
      </c>
      <c r="F6447" s="40" t="s">
        <v>11404</v>
      </c>
      <c r="G6447" s="40" t="s">
        <v>11404</v>
      </c>
      <c r="H6447" s="40" t="s">
        <v>11404</v>
      </c>
    </row>
    <row r="6448">
      <c r="A6448" s="39"/>
      <c r="E6448" s="40" t="s">
        <v>11404</v>
      </c>
      <c r="F6448" s="40" t="s">
        <v>11404</v>
      </c>
      <c r="G6448" s="40" t="s">
        <v>11404</v>
      </c>
      <c r="H6448" s="40" t="s">
        <v>11404</v>
      </c>
    </row>
    <row r="6449">
      <c r="A6449" s="39"/>
      <c r="E6449" s="40" t="s">
        <v>11404</v>
      </c>
      <c r="F6449" s="40" t="s">
        <v>11404</v>
      </c>
      <c r="G6449" s="40" t="s">
        <v>11404</v>
      </c>
      <c r="H6449" s="40" t="s">
        <v>11404</v>
      </c>
    </row>
    <row r="6450">
      <c r="A6450" s="39"/>
      <c r="E6450" s="40" t="s">
        <v>11404</v>
      </c>
      <c r="F6450" s="40" t="s">
        <v>11404</v>
      </c>
      <c r="G6450" s="40" t="s">
        <v>11404</v>
      </c>
      <c r="H6450" s="40" t="s">
        <v>11404</v>
      </c>
    </row>
    <row r="6451">
      <c r="A6451" s="39"/>
      <c r="E6451" s="40" t="s">
        <v>11404</v>
      </c>
      <c r="F6451" s="40" t="s">
        <v>11404</v>
      </c>
      <c r="G6451" s="40" t="s">
        <v>11404</v>
      </c>
      <c r="H6451" s="40" t="s">
        <v>11404</v>
      </c>
    </row>
    <row r="6452">
      <c r="A6452" s="39"/>
      <c r="E6452" s="40" t="s">
        <v>11404</v>
      </c>
      <c r="F6452" s="40" t="s">
        <v>11404</v>
      </c>
      <c r="G6452" s="40" t="s">
        <v>11404</v>
      </c>
      <c r="H6452" s="40" t="s">
        <v>11404</v>
      </c>
    </row>
    <row r="6453">
      <c r="A6453" s="39"/>
      <c r="E6453" s="40" t="s">
        <v>11404</v>
      </c>
      <c r="F6453" s="40" t="s">
        <v>11404</v>
      </c>
      <c r="G6453" s="40" t="s">
        <v>11404</v>
      </c>
      <c r="H6453" s="40" t="s">
        <v>11404</v>
      </c>
    </row>
    <row r="6454">
      <c r="A6454" s="39"/>
      <c r="E6454" s="40" t="s">
        <v>11404</v>
      </c>
      <c r="F6454" s="40" t="s">
        <v>11404</v>
      </c>
      <c r="G6454" s="40" t="s">
        <v>11404</v>
      </c>
      <c r="H6454" s="40" t="s">
        <v>11404</v>
      </c>
    </row>
    <row r="6455">
      <c r="A6455" s="39"/>
      <c r="E6455" s="40" t="s">
        <v>11404</v>
      </c>
      <c r="F6455" s="40" t="s">
        <v>11404</v>
      </c>
      <c r="G6455" s="40" t="s">
        <v>11404</v>
      </c>
      <c r="H6455" s="40" t="s">
        <v>11404</v>
      </c>
    </row>
    <row r="6456">
      <c r="A6456" s="39"/>
      <c r="E6456" s="40" t="s">
        <v>11404</v>
      </c>
      <c r="F6456" s="40" t="s">
        <v>11404</v>
      </c>
      <c r="G6456" s="40" t="s">
        <v>11404</v>
      </c>
      <c r="H6456" s="40" t="s">
        <v>11404</v>
      </c>
    </row>
    <row r="6457">
      <c r="A6457" s="39"/>
      <c r="E6457" s="40" t="s">
        <v>11404</v>
      </c>
      <c r="F6457" s="40" t="s">
        <v>11404</v>
      </c>
      <c r="G6457" s="40" t="s">
        <v>11404</v>
      </c>
      <c r="H6457" s="40" t="s">
        <v>11404</v>
      </c>
    </row>
    <row r="6458">
      <c r="A6458" s="39"/>
      <c r="E6458" s="40" t="s">
        <v>11404</v>
      </c>
      <c r="F6458" s="40" t="s">
        <v>11404</v>
      </c>
      <c r="G6458" s="40" t="s">
        <v>11404</v>
      </c>
      <c r="H6458" s="40" t="s">
        <v>11404</v>
      </c>
    </row>
    <row r="6459">
      <c r="A6459" s="39"/>
      <c r="E6459" s="40" t="s">
        <v>11404</v>
      </c>
      <c r="F6459" s="40" t="s">
        <v>11404</v>
      </c>
      <c r="G6459" s="40" t="s">
        <v>11404</v>
      </c>
      <c r="H6459" s="40" t="s">
        <v>11404</v>
      </c>
    </row>
    <row r="6460">
      <c r="A6460" s="39"/>
      <c r="E6460" s="40" t="s">
        <v>11404</v>
      </c>
      <c r="F6460" s="40" t="s">
        <v>11404</v>
      </c>
      <c r="G6460" s="40" t="s">
        <v>11404</v>
      </c>
      <c r="H6460" s="40" t="s">
        <v>11404</v>
      </c>
    </row>
    <row r="6461">
      <c r="A6461" s="39"/>
      <c r="E6461" s="40" t="s">
        <v>11404</v>
      </c>
      <c r="F6461" s="40" t="s">
        <v>11404</v>
      </c>
      <c r="G6461" s="40" t="s">
        <v>11404</v>
      </c>
      <c r="H6461" s="40" t="s">
        <v>11404</v>
      </c>
    </row>
    <row r="6462">
      <c r="A6462" s="39"/>
      <c r="E6462" s="40" t="s">
        <v>11404</v>
      </c>
      <c r="F6462" s="40" t="s">
        <v>11404</v>
      </c>
      <c r="G6462" s="40" t="s">
        <v>11404</v>
      </c>
      <c r="H6462" s="40" t="s">
        <v>11404</v>
      </c>
    </row>
    <row r="6463">
      <c r="A6463" s="39"/>
      <c r="E6463" s="40" t="s">
        <v>11404</v>
      </c>
      <c r="F6463" s="40" t="s">
        <v>11404</v>
      </c>
      <c r="G6463" s="40" t="s">
        <v>11404</v>
      </c>
      <c r="H6463" s="40" t="s">
        <v>11404</v>
      </c>
    </row>
    <row r="6464">
      <c r="A6464" s="39"/>
      <c r="E6464" s="40" t="s">
        <v>11404</v>
      </c>
      <c r="F6464" s="40" t="s">
        <v>11404</v>
      </c>
      <c r="G6464" s="40" t="s">
        <v>11404</v>
      </c>
      <c r="H6464" s="40" t="s">
        <v>11404</v>
      </c>
    </row>
    <row r="6465">
      <c r="A6465" s="39"/>
      <c r="E6465" s="40" t="s">
        <v>11404</v>
      </c>
      <c r="F6465" s="40" t="s">
        <v>11404</v>
      </c>
      <c r="G6465" s="40" t="s">
        <v>11404</v>
      </c>
      <c r="H6465" s="40" t="s">
        <v>11404</v>
      </c>
    </row>
    <row r="6466">
      <c r="A6466" s="39"/>
      <c r="E6466" s="40" t="s">
        <v>11404</v>
      </c>
      <c r="F6466" s="40" t="s">
        <v>11404</v>
      </c>
      <c r="G6466" s="40" t="s">
        <v>11404</v>
      </c>
      <c r="H6466" s="40" t="s">
        <v>11404</v>
      </c>
    </row>
    <row r="6467">
      <c r="A6467" s="39"/>
      <c r="E6467" s="40" t="s">
        <v>11404</v>
      </c>
      <c r="F6467" s="40" t="s">
        <v>11404</v>
      </c>
      <c r="G6467" s="40" t="s">
        <v>11404</v>
      </c>
      <c r="H6467" s="40" t="s">
        <v>11404</v>
      </c>
    </row>
    <row r="6468">
      <c r="A6468" s="39"/>
      <c r="E6468" s="40" t="s">
        <v>11404</v>
      </c>
      <c r="F6468" s="40" t="s">
        <v>11404</v>
      </c>
      <c r="G6468" s="40" t="s">
        <v>11404</v>
      </c>
      <c r="H6468" s="40" t="s">
        <v>11404</v>
      </c>
    </row>
    <row r="6469">
      <c r="A6469" s="39"/>
      <c r="E6469" s="40" t="s">
        <v>11404</v>
      </c>
      <c r="F6469" s="40" t="s">
        <v>11404</v>
      </c>
      <c r="G6469" s="40" t="s">
        <v>11404</v>
      </c>
      <c r="H6469" s="40" t="s">
        <v>11404</v>
      </c>
    </row>
    <row r="6470">
      <c r="A6470" s="39"/>
      <c r="E6470" s="40" t="s">
        <v>11404</v>
      </c>
      <c r="F6470" s="40" t="s">
        <v>11404</v>
      </c>
      <c r="G6470" s="40" t="s">
        <v>11404</v>
      </c>
      <c r="H6470" s="40" t="s">
        <v>11404</v>
      </c>
    </row>
    <row r="6471">
      <c r="A6471" s="39"/>
      <c r="E6471" s="40" t="s">
        <v>11404</v>
      </c>
      <c r="F6471" s="40" t="s">
        <v>11404</v>
      </c>
      <c r="G6471" s="40" t="s">
        <v>11404</v>
      </c>
      <c r="H6471" s="40" t="s">
        <v>11404</v>
      </c>
    </row>
    <row r="6472">
      <c r="A6472" s="39"/>
      <c r="E6472" s="40" t="s">
        <v>11404</v>
      </c>
      <c r="F6472" s="40" t="s">
        <v>11404</v>
      </c>
      <c r="G6472" s="40" t="s">
        <v>11404</v>
      </c>
      <c r="H6472" s="40" t="s">
        <v>11404</v>
      </c>
    </row>
    <row r="6473">
      <c r="A6473" s="39"/>
      <c r="E6473" s="40" t="s">
        <v>11404</v>
      </c>
      <c r="F6473" s="40" t="s">
        <v>11404</v>
      </c>
      <c r="G6473" s="40" t="s">
        <v>11404</v>
      </c>
      <c r="H6473" s="40" t="s">
        <v>11404</v>
      </c>
    </row>
    <row r="6474">
      <c r="A6474" s="39"/>
      <c r="E6474" s="40" t="s">
        <v>11404</v>
      </c>
      <c r="F6474" s="40" t="s">
        <v>11404</v>
      </c>
      <c r="G6474" s="40" t="s">
        <v>11404</v>
      </c>
      <c r="H6474" s="40" t="s">
        <v>11404</v>
      </c>
    </row>
    <row r="6475">
      <c r="A6475" s="39"/>
      <c r="E6475" s="40" t="s">
        <v>11404</v>
      </c>
      <c r="F6475" s="40" t="s">
        <v>11404</v>
      </c>
      <c r="G6475" s="40" t="s">
        <v>11404</v>
      </c>
      <c r="H6475" s="40" t="s">
        <v>11404</v>
      </c>
    </row>
    <row r="6476">
      <c r="A6476" s="39"/>
      <c r="E6476" s="40" t="s">
        <v>11404</v>
      </c>
      <c r="F6476" s="40" t="s">
        <v>11404</v>
      </c>
      <c r="G6476" s="40" t="s">
        <v>11404</v>
      </c>
      <c r="H6476" s="40" t="s">
        <v>11404</v>
      </c>
    </row>
    <row r="6477">
      <c r="A6477" s="39"/>
      <c r="E6477" s="40" t="s">
        <v>11404</v>
      </c>
      <c r="F6477" s="40" t="s">
        <v>11404</v>
      </c>
      <c r="G6477" s="40" t="s">
        <v>11404</v>
      </c>
      <c r="H6477" s="40" t="s">
        <v>11404</v>
      </c>
    </row>
    <row r="6478">
      <c r="A6478" s="39"/>
      <c r="E6478" s="40" t="s">
        <v>11404</v>
      </c>
      <c r="F6478" s="40" t="s">
        <v>11404</v>
      </c>
      <c r="G6478" s="40" t="s">
        <v>11404</v>
      </c>
      <c r="H6478" s="40" t="s">
        <v>11404</v>
      </c>
    </row>
    <row r="6479">
      <c r="A6479" s="39"/>
      <c r="E6479" s="40" t="s">
        <v>11404</v>
      </c>
      <c r="F6479" s="40" t="s">
        <v>11404</v>
      </c>
      <c r="G6479" s="40" t="s">
        <v>11404</v>
      </c>
      <c r="H6479" s="40" t="s">
        <v>11404</v>
      </c>
    </row>
    <row r="6480">
      <c r="A6480" s="39"/>
      <c r="E6480" s="40" t="s">
        <v>11404</v>
      </c>
      <c r="F6480" s="40" t="s">
        <v>11404</v>
      </c>
      <c r="G6480" s="40" t="s">
        <v>11404</v>
      </c>
      <c r="H6480" s="40" t="s">
        <v>11404</v>
      </c>
    </row>
    <row r="6481">
      <c r="A6481" s="39"/>
      <c r="E6481" s="40" t="s">
        <v>11404</v>
      </c>
      <c r="F6481" s="40" t="s">
        <v>11404</v>
      </c>
      <c r="G6481" s="40" t="s">
        <v>11404</v>
      </c>
      <c r="H6481" s="40" t="s">
        <v>11404</v>
      </c>
    </row>
    <row r="6482">
      <c r="A6482" s="39"/>
      <c r="E6482" s="40" t="s">
        <v>11404</v>
      </c>
      <c r="F6482" s="40" t="s">
        <v>11404</v>
      </c>
      <c r="G6482" s="40" t="s">
        <v>11404</v>
      </c>
      <c r="H6482" s="40" t="s">
        <v>11404</v>
      </c>
    </row>
    <row r="6483">
      <c r="A6483" s="39"/>
      <c r="E6483" s="40" t="s">
        <v>11404</v>
      </c>
      <c r="F6483" s="40" t="s">
        <v>11404</v>
      </c>
      <c r="G6483" s="40" t="s">
        <v>11404</v>
      </c>
      <c r="H6483" s="40" t="s">
        <v>11404</v>
      </c>
    </row>
    <row r="6484">
      <c r="A6484" s="39"/>
      <c r="E6484" s="40" t="s">
        <v>11404</v>
      </c>
      <c r="F6484" s="40" t="s">
        <v>11404</v>
      </c>
      <c r="G6484" s="40" t="s">
        <v>11404</v>
      </c>
      <c r="H6484" s="40" t="s">
        <v>11404</v>
      </c>
    </row>
    <row r="6485">
      <c r="A6485" s="39"/>
      <c r="E6485" s="40" t="s">
        <v>11404</v>
      </c>
      <c r="F6485" s="40" t="s">
        <v>11404</v>
      </c>
      <c r="G6485" s="40" t="s">
        <v>11404</v>
      </c>
      <c r="H6485" s="40" t="s">
        <v>11404</v>
      </c>
    </row>
    <row r="6486">
      <c r="A6486" s="39"/>
      <c r="E6486" s="40" t="s">
        <v>11404</v>
      </c>
      <c r="F6486" s="40" t="s">
        <v>11404</v>
      </c>
      <c r="G6486" s="40" t="s">
        <v>11404</v>
      </c>
      <c r="H6486" s="40" t="s">
        <v>11404</v>
      </c>
    </row>
    <row r="6487">
      <c r="A6487" s="39"/>
      <c r="E6487" s="40" t="s">
        <v>11404</v>
      </c>
      <c r="F6487" s="40" t="s">
        <v>11404</v>
      </c>
      <c r="G6487" s="40" t="s">
        <v>11404</v>
      </c>
      <c r="H6487" s="40" t="s">
        <v>11404</v>
      </c>
    </row>
    <row r="6488">
      <c r="A6488" s="39"/>
      <c r="E6488" s="40" t="s">
        <v>11404</v>
      </c>
      <c r="F6488" s="40" t="s">
        <v>11404</v>
      </c>
      <c r="G6488" s="40" t="s">
        <v>11404</v>
      </c>
      <c r="H6488" s="40" t="s">
        <v>11404</v>
      </c>
    </row>
    <row r="6489">
      <c r="A6489" s="39"/>
      <c r="E6489" s="40" t="s">
        <v>11404</v>
      </c>
      <c r="F6489" s="40" t="s">
        <v>11404</v>
      </c>
      <c r="G6489" s="40" t="s">
        <v>11404</v>
      </c>
      <c r="H6489" s="40" t="s">
        <v>11404</v>
      </c>
    </row>
    <row r="6490">
      <c r="A6490" s="39"/>
      <c r="E6490" s="40" t="s">
        <v>11404</v>
      </c>
      <c r="F6490" s="40" t="s">
        <v>11404</v>
      </c>
      <c r="G6490" s="40" t="s">
        <v>11404</v>
      </c>
      <c r="H6490" s="40" t="s">
        <v>11404</v>
      </c>
    </row>
    <row r="6491">
      <c r="A6491" s="39"/>
      <c r="E6491" s="40" t="s">
        <v>11404</v>
      </c>
      <c r="F6491" s="40" t="s">
        <v>11404</v>
      </c>
      <c r="G6491" s="40" t="s">
        <v>11404</v>
      </c>
      <c r="H6491" s="40" t="s">
        <v>11404</v>
      </c>
    </row>
    <row r="6492">
      <c r="A6492" s="39"/>
      <c r="E6492" s="40" t="s">
        <v>11404</v>
      </c>
      <c r="F6492" s="40" t="s">
        <v>11404</v>
      </c>
      <c r="G6492" s="40" t="s">
        <v>11404</v>
      </c>
      <c r="H6492" s="40" t="s">
        <v>11404</v>
      </c>
    </row>
    <row r="6493">
      <c r="A6493" s="39"/>
      <c r="E6493" s="40" t="s">
        <v>11404</v>
      </c>
      <c r="F6493" s="40" t="s">
        <v>11404</v>
      </c>
      <c r="G6493" s="40" t="s">
        <v>11404</v>
      </c>
      <c r="H6493" s="40" t="s">
        <v>11404</v>
      </c>
    </row>
    <row r="6494">
      <c r="A6494" s="39"/>
      <c r="E6494" s="40" t="s">
        <v>11404</v>
      </c>
      <c r="F6494" s="40" t="s">
        <v>11404</v>
      </c>
      <c r="G6494" s="40" t="s">
        <v>11404</v>
      </c>
      <c r="H6494" s="40" t="s">
        <v>11404</v>
      </c>
    </row>
    <row r="6495">
      <c r="A6495" s="39"/>
      <c r="E6495" s="40" t="s">
        <v>11404</v>
      </c>
      <c r="F6495" s="40" t="s">
        <v>11404</v>
      </c>
      <c r="G6495" s="40" t="s">
        <v>11404</v>
      </c>
      <c r="H6495" s="40" t="s">
        <v>11404</v>
      </c>
    </row>
    <row r="6496">
      <c r="A6496" s="39"/>
      <c r="E6496" s="40" t="s">
        <v>11404</v>
      </c>
      <c r="F6496" s="40" t="s">
        <v>11404</v>
      </c>
      <c r="G6496" s="40" t="s">
        <v>11404</v>
      </c>
      <c r="H6496" s="40" t="s">
        <v>11404</v>
      </c>
    </row>
    <row r="6497">
      <c r="A6497" s="39"/>
      <c r="E6497" s="40" t="s">
        <v>11404</v>
      </c>
      <c r="F6497" s="40" t="s">
        <v>11404</v>
      </c>
      <c r="G6497" s="40" t="s">
        <v>11404</v>
      </c>
      <c r="H6497" s="40" t="s">
        <v>11404</v>
      </c>
    </row>
    <row r="6498">
      <c r="A6498" s="39"/>
      <c r="E6498" s="40" t="s">
        <v>11404</v>
      </c>
      <c r="F6498" s="40" t="s">
        <v>11404</v>
      </c>
      <c r="G6498" s="40" t="s">
        <v>11404</v>
      </c>
      <c r="H6498" s="40" t="s">
        <v>11404</v>
      </c>
    </row>
    <row r="6499">
      <c r="A6499" s="39"/>
      <c r="E6499" s="40" t="s">
        <v>11404</v>
      </c>
      <c r="F6499" s="40" t="s">
        <v>11404</v>
      </c>
      <c r="G6499" s="40" t="s">
        <v>11404</v>
      </c>
      <c r="H6499" s="40" t="s">
        <v>11404</v>
      </c>
    </row>
    <row r="6500">
      <c r="A6500" s="39"/>
      <c r="E6500" s="40" t="s">
        <v>11404</v>
      </c>
      <c r="F6500" s="40" t="s">
        <v>11404</v>
      </c>
      <c r="G6500" s="40" t="s">
        <v>11404</v>
      </c>
      <c r="H6500" s="40" t="s">
        <v>11404</v>
      </c>
    </row>
    <row r="6501">
      <c r="A6501" s="39"/>
      <c r="E6501" s="40" t="s">
        <v>11404</v>
      </c>
      <c r="F6501" s="40" t="s">
        <v>11404</v>
      </c>
      <c r="G6501" s="40" t="s">
        <v>11404</v>
      </c>
      <c r="H6501" s="40" t="s">
        <v>11404</v>
      </c>
    </row>
    <row r="6502">
      <c r="A6502" s="39"/>
      <c r="E6502" s="40" t="s">
        <v>11404</v>
      </c>
      <c r="F6502" s="40" t="s">
        <v>11404</v>
      </c>
      <c r="G6502" s="40" t="s">
        <v>11404</v>
      </c>
      <c r="H6502" s="40" t="s">
        <v>11404</v>
      </c>
    </row>
    <row r="6503">
      <c r="A6503" s="39"/>
      <c r="E6503" s="40" t="s">
        <v>11404</v>
      </c>
      <c r="F6503" s="40" t="s">
        <v>11404</v>
      </c>
      <c r="G6503" s="40" t="s">
        <v>11404</v>
      </c>
      <c r="H6503" s="40" t="s">
        <v>11404</v>
      </c>
    </row>
    <row r="6504">
      <c r="A6504" s="39"/>
      <c r="E6504" s="40" t="s">
        <v>11404</v>
      </c>
      <c r="F6504" s="40" t="s">
        <v>11404</v>
      </c>
      <c r="G6504" s="40" t="s">
        <v>11404</v>
      </c>
      <c r="H6504" s="40" t="s">
        <v>11404</v>
      </c>
    </row>
    <row r="6505">
      <c r="A6505" s="39"/>
      <c r="E6505" s="40" t="s">
        <v>11404</v>
      </c>
      <c r="F6505" s="40" t="s">
        <v>11404</v>
      </c>
      <c r="G6505" s="40" t="s">
        <v>11404</v>
      </c>
      <c r="H6505" s="40" t="s">
        <v>11404</v>
      </c>
    </row>
    <row r="6506">
      <c r="A6506" s="39"/>
      <c r="E6506" s="40" t="s">
        <v>11404</v>
      </c>
      <c r="F6506" s="40" t="s">
        <v>11404</v>
      </c>
      <c r="G6506" s="40" t="s">
        <v>11404</v>
      </c>
      <c r="H6506" s="40" t="s">
        <v>11404</v>
      </c>
    </row>
    <row r="6507">
      <c r="A6507" s="39"/>
      <c r="E6507" s="40" t="s">
        <v>11404</v>
      </c>
      <c r="F6507" s="40" t="s">
        <v>11404</v>
      </c>
      <c r="G6507" s="40" t="s">
        <v>11404</v>
      </c>
      <c r="H6507" s="40" t="s">
        <v>11404</v>
      </c>
    </row>
    <row r="6508">
      <c r="A6508" s="39"/>
      <c r="E6508" s="40" t="s">
        <v>11404</v>
      </c>
      <c r="F6508" s="40" t="s">
        <v>11404</v>
      </c>
      <c r="G6508" s="40" t="s">
        <v>11404</v>
      </c>
      <c r="H6508" s="40" t="s">
        <v>11404</v>
      </c>
    </row>
    <row r="6509">
      <c r="A6509" s="39"/>
      <c r="E6509" s="40" t="s">
        <v>11404</v>
      </c>
      <c r="F6509" s="40" t="s">
        <v>11404</v>
      </c>
      <c r="G6509" s="40" t="s">
        <v>11404</v>
      </c>
      <c r="H6509" s="40" t="s">
        <v>11404</v>
      </c>
    </row>
    <row r="6510">
      <c r="A6510" s="39"/>
      <c r="E6510" s="40" t="s">
        <v>11404</v>
      </c>
      <c r="F6510" s="40" t="s">
        <v>11404</v>
      </c>
      <c r="G6510" s="40" t="s">
        <v>11404</v>
      </c>
      <c r="H6510" s="40" t="s">
        <v>11404</v>
      </c>
    </row>
    <row r="6511">
      <c r="A6511" s="39"/>
      <c r="E6511" s="40" t="s">
        <v>11404</v>
      </c>
      <c r="F6511" s="40" t="s">
        <v>11404</v>
      </c>
      <c r="G6511" s="40" t="s">
        <v>11404</v>
      </c>
      <c r="H6511" s="40" t="s">
        <v>11404</v>
      </c>
    </row>
    <row r="6512">
      <c r="A6512" s="39"/>
      <c r="E6512" s="40" t="s">
        <v>11404</v>
      </c>
      <c r="F6512" s="40" t="s">
        <v>11404</v>
      </c>
      <c r="G6512" s="40" t="s">
        <v>11404</v>
      </c>
      <c r="H6512" s="40" t="s">
        <v>11404</v>
      </c>
    </row>
    <row r="6513">
      <c r="A6513" s="39"/>
      <c r="E6513" s="40" t="s">
        <v>11404</v>
      </c>
      <c r="F6513" s="40" t="s">
        <v>11404</v>
      </c>
      <c r="G6513" s="40" t="s">
        <v>11404</v>
      </c>
      <c r="H6513" s="40" t="s">
        <v>11404</v>
      </c>
    </row>
    <row r="6514">
      <c r="A6514" s="39"/>
      <c r="E6514" s="40" t="s">
        <v>11404</v>
      </c>
      <c r="F6514" s="40" t="s">
        <v>11404</v>
      </c>
      <c r="G6514" s="40" t="s">
        <v>11404</v>
      </c>
      <c r="H6514" s="40" t="s">
        <v>11404</v>
      </c>
    </row>
    <row r="6515">
      <c r="A6515" s="39"/>
      <c r="E6515" s="40" t="s">
        <v>11404</v>
      </c>
      <c r="F6515" s="40" t="s">
        <v>11404</v>
      </c>
      <c r="G6515" s="40" t="s">
        <v>11404</v>
      </c>
      <c r="H6515" s="40" t="s">
        <v>11404</v>
      </c>
    </row>
    <row r="6516">
      <c r="A6516" s="39"/>
      <c r="E6516" s="40" t="s">
        <v>11404</v>
      </c>
      <c r="F6516" s="40" t="s">
        <v>11404</v>
      </c>
      <c r="G6516" s="40" t="s">
        <v>11404</v>
      </c>
      <c r="H6516" s="40" t="s">
        <v>11404</v>
      </c>
    </row>
    <row r="6517">
      <c r="A6517" s="39"/>
      <c r="E6517" s="40" t="s">
        <v>11404</v>
      </c>
      <c r="F6517" s="40" t="s">
        <v>11404</v>
      </c>
      <c r="G6517" s="40" t="s">
        <v>11404</v>
      </c>
      <c r="H6517" s="40" t="s">
        <v>11404</v>
      </c>
    </row>
    <row r="6518">
      <c r="A6518" s="39"/>
      <c r="E6518" s="40" t="s">
        <v>11404</v>
      </c>
      <c r="F6518" s="40" t="s">
        <v>11404</v>
      </c>
      <c r="G6518" s="40" t="s">
        <v>11404</v>
      </c>
      <c r="H6518" s="40" t="s">
        <v>11404</v>
      </c>
    </row>
    <row r="6519">
      <c r="A6519" s="39"/>
      <c r="E6519" s="40" t="s">
        <v>11404</v>
      </c>
      <c r="F6519" s="40" t="s">
        <v>11404</v>
      </c>
      <c r="G6519" s="40" t="s">
        <v>11404</v>
      </c>
      <c r="H6519" s="40" t="s">
        <v>11404</v>
      </c>
    </row>
    <row r="6520">
      <c r="A6520" s="39"/>
      <c r="E6520" s="40" t="s">
        <v>11404</v>
      </c>
      <c r="F6520" s="40" t="s">
        <v>11404</v>
      </c>
      <c r="G6520" s="40" t="s">
        <v>11404</v>
      </c>
      <c r="H6520" s="40" t="s">
        <v>11404</v>
      </c>
    </row>
    <row r="6521">
      <c r="A6521" s="39"/>
      <c r="E6521" s="40" t="s">
        <v>11404</v>
      </c>
      <c r="F6521" s="40" t="s">
        <v>11404</v>
      </c>
      <c r="G6521" s="40" t="s">
        <v>11404</v>
      </c>
      <c r="H6521" s="40" t="s">
        <v>11404</v>
      </c>
    </row>
    <row r="6522">
      <c r="A6522" s="39"/>
      <c r="E6522" s="40" t="s">
        <v>11404</v>
      </c>
      <c r="F6522" s="40" t="s">
        <v>11404</v>
      </c>
      <c r="G6522" s="40" t="s">
        <v>11404</v>
      </c>
      <c r="H6522" s="40" t="s">
        <v>11404</v>
      </c>
    </row>
    <row r="6523">
      <c r="A6523" s="39"/>
      <c r="E6523" s="40" t="s">
        <v>11404</v>
      </c>
      <c r="F6523" s="40" t="s">
        <v>11404</v>
      </c>
      <c r="G6523" s="40" t="s">
        <v>11404</v>
      </c>
      <c r="H6523" s="40" t="s">
        <v>11404</v>
      </c>
    </row>
    <row r="6524">
      <c r="A6524" s="39"/>
      <c r="E6524" s="40" t="s">
        <v>11404</v>
      </c>
      <c r="F6524" s="40" t="s">
        <v>11404</v>
      </c>
      <c r="G6524" s="40" t="s">
        <v>11404</v>
      </c>
      <c r="H6524" s="40" t="s">
        <v>11404</v>
      </c>
    </row>
    <row r="6525">
      <c r="A6525" s="39"/>
      <c r="E6525" s="40" t="s">
        <v>11404</v>
      </c>
      <c r="F6525" s="40" t="s">
        <v>11404</v>
      </c>
      <c r="G6525" s="40" t="s">
        <v>11404</v>
      </c>
      <c r="H6525" s="40" t="s">
        <v>11404</v>
      </c>
    </row>
    <row r="6526">
      <c r="A6526" s="39"/>
      <c r="E6526" s="40" t="s">
        <v>11404</v>
      </c>
      <c r="F6526" s="40" t="s">
        <v>11404</v>
      </c>
      <c r="G6526" s="40" t="s">
        <v>11404</v>
      </c>
      <c r="H6526" s="40" t="s">
        <v>11404</v>
      </c>
    </row>
    <row r="6527">
      <c r="A6527" s="39"/>
      <c r="E6527" s="40" t="s">
        <v>11404</v>
      </c>
      <c r="F6527" s="40" t="s">
        <v>11404</v>
      </c>
      <c r="G6527" s="40" t="s">
        <v>11404</v>
      </c>
      <c r="H6527" s="40" t="s">
        <v>11404</v>
      </c>
    </row>
    <row r="6528">
      <c r="A6528" s="39"/>
      <c r="E6528" s="40" t="s">
        <v>11404</v>
      </c>
      <c r="F6528" s="40" t="s">
        <v>11404</v>
      </c>
      <c r="G6528" s="40" t="s">
        <v>11404</v>
      </c>
      <c r="H6528" s="40" t="s">
        <v>11404</v>
      </c>
    </row>
    <row r="6529">
      <c r="A6529" s="39"/>
      <c r="E6529" s="40" t="s">
        <v>11404</v>
      </c>
      <c r="F6529" s="40" t="s">
        <v>11404</v>
      </c>
      <c r="G6529" s="40" t="s">
        <v>11404</v>
      </c>
      <c r="H6529" s="40" t="s">
        <v>11404</v>
      </c>
    </row>
    <row r="6530">
      <c r="A6530" s="39"/>
      <c r="E6530" s="40" t="s">
        <v>11404</v>
      </c>
      <c r="F6530" s="40" t="s">
        <v>11404</v>
      </c>
      <c r="G6530" s="40" t="s">
        <v>11404</v>
      </c>
      <c r="H6530" s="40" t="s">
        <v>11404</v>
      </c>
    </row>
    <row r="6531">
      <c r="A6531" s="39"/>
      <c r="E6531" s="40" t="s">
        <v>11404</v>
      </c>
      <c r="F6531" s="40" t="s">
        <v>11404</v>
      </c>
      <c r="G6531" s="40" t="s">
        <v>11404</v>
      </c>
      <c r="H6531" s="40" t="s">
        <v>11404</v>
      </c>
    </row>
    <row r="6532">
      <c r="A6532" s="39"/>
      <c r="E6532" s="40" t="s">
        <v>11404</v>
      </c>
      <c r="F6532" s="40" t="s">
        <v>11404</v>
      </c>
      <c r="G6532" s="40" t="s">
        <v>11404</v>
      </c>
      <c r="H6532" s="40" t="s">
        <v>11404</v>
      </c>
    </row>
    <row r="6533">
      <c r="A6533" s="39"/>
      <c r="E6533" s="40" t="s">
        <v>11404</v>
      </c>
      <c r="F6533" s="40" t="s">
        <v>11404</v>
      </c>
      <c r="G6533" s="40" t="s">
        <v>11404</v>
      </c>
      <c r="H6533" s="40" t="s">
        <v>11404</v>
      </c>
    </row>
    <row r="6534">
      <c r="A6534" s="39"/>
      <c r="E6534" s="40" t="s">
        <v>11404</v>
      </c>
      <c r="F6534" s="40" t="s">
        <v>11404</v>
      </c>
      <c r="G6534" s="40" t="s">
        <v>11404</v>
      </c>
      <c r="H6534" s="40" t="s">
        <v>11404</v>
      </c>
    </row>
    <row r="6535">
      <c r="A6535" s="39"/>
      <c r="E6535" s="40" t="s">
        <v>11404</v>
      </c>
      <c r="F6535" s="40" t="s">
        <v>11404</v>
      </c>
      <c r="G6535" s="40" t="s">
        <v>11404</v>
      </c>
      <c r="H6535" s="40" t="s">
        <v>11404</v>
      </c>
    </row>
    <row r="6536">
      <c r="A6536" s="39"/>
      <c r="E6536" s="40" t="s">
        <v>11404</v>
      </c>
      <c r="F6536" s="40" t="s">
        <v>11404</v>
      </c>
      <c r="G6536" s="40" t="s">
        <v>11404</v>
      </c>
      <c r="H6536" s="40" t="s">
        <v>11404</v>
      </c>
    </row>
    <row r="6537">
      <c r="A6537" s="39"/>
      <c r="E6537" s="40" t="s">
        <v>11404</v>
      </c>
      <c r="F6537" s="40" t="s">
        <v>11404</v>
      </c>
      <c r="G6537" s="40" t="s">
        <v>11404</v>
      </c>
      <c r="H6537" s="40" t="s">
        <v>11404</v>
      </c>
    </row>
    <row r="6538">
      <c r="A6538" s="39"/>
      <c r="E6538" s="40" t="s">
        <v>11404</v>
      </c>
      <c r="F6538" s="40" t="s">
        <v>11404</v>
      </c>
      <c r="G6538" s="40" t="s">
        <v>11404</v>
      </c>
      <c r="H6538" s="40" t="s">
        <v>11404</v>
      </c>
    </row>
    <row r="6539">
      <c r="A6539" s="39"/>
      <c r="E6539" s="40" t="s">
        <v>11404</v>
      </c>
      <c r="F6539" s="40" t="s">
        <v>11404</v>
      </c>
      <c r="G6539" s="40" t="s">
        <v>11404</v>
      </c>
      <c r="H6539" s="40" t="s">
        <v>11404</v>
      </c>
    </row>
    <row r="6540">
      <c r="A6540" s="39"/>
      <c r="E6540" s="40" t="s">
        <v>11404</v>
      </c>
      <c r="F6540" s="40" t="s">
        <v>11404</v>
      </c>
      <c r="G6540" s="40" t="s">
        <v>11404</v>
      </c>
      <c r="H6540" s="40" t="s">
        <v>11404</v>
      </c>
    </row>
    <row r="6541">
      <c r="A6541" s="39"/>
      <c r="E6541" s="40" t="s">
        <v>11404</v>
      </c>
      <c r="F6541" s="40" t="s">
        <v>11404</v>
      </c>
      <c r="G6541" s="40" t="s">
        <v>11404</v>
      </c>
      <c r="H6541" s="40" t="s">
        <v>11404</v>
      </c>
    </row>
    <row r="6542">
      <c r="A6542" s="39"/>
      <c r="E6542" s="40" t="s">
        <v>11404</v>
      </c>
      <c r="F6542" s="40" t="s">
        <v>11404</v>
      </c>
      <c r="G6542" s="40" t="s">
        <v>11404</v>
      </c>
      <c r="H6542" s="40" t="s">
        <v>11404</v>
      </c>
    </row>
    <row r="6543">
      <c r="A6543" s="39"/>
      <c r="E6543" s="40" t="s">
        <v>11404</v>
      </c>
      <c r="F6543" s="40" t="s">
        <v>11404</v>
      </c>
      <c r="G6543" s="40" t="s">
        <v>11404</v>
      </c>
      <c r="H6543" s="40" t="s">
        <v>11404</v>
      </c>
    </row>
    <row r="6544">
      <c r="A6544" s="39"/>
      <c r="E6544" s="40" t="s">
        <v>11404</v>
      </c>
      <c r="F6544" s="40" t="s">
        <v>11404</v>
      </c>
      <c r="G6544" s="40" t="s">
        <v>11404</v>
      </c>
      <c r="H6544" s="40" t="s">
        <v>11404</v>
      </c>
    </row>
    <row r="6545">
      <c r="A6545" s="39"/>
      <c r="E6545" s="40" t="s">
        <v>11404</v>
      </c>
      <c r="F6545" s="40" t="s">
        <v>11404</v>
      </c>
      <c r="G6545" s="40" t="s">
        <v>11404</v>
      </c>
      <c r="H6545" s="40" t="s">
        <v>11404</v>
      </c>
    </row>
    <row r="6546">
      <c r="A6546" s="39"/>
      <c r="E6546" s="40" t="s">
        <v>11404</v>
      </c>
      <c r="F6546" s="40" t="s">
        <v>11404</v>
      </c>
      <c r="G6546" s="40" t="s">
        <v>11404</v>
      </c>
      <c r="H6546" s="40" t="s">
        <v>11404</v>
      </c>
    </row>
    <row r="6547">
      <c r="A6547" s="39"/>
      <c r="E6547" s="40" t="s">
        <v>11404</v>
      </c>
      <c r="F6547" s="40" t="s">
        <v>11404</v>
      </c>
      <c r="G6547" s="40" t="s">
        <v>11404</v>
      </c>
      <c r="H6547" s="40" t="s">
        <v>11404</v>
      </c>
    </row>
    <row r="6548">
      <c r="A6548" s="39"/>
      <c r="E6548" s="40" t="s">
        <v>11404</v>
      </c>
      <c r="F6548" s="40" t="s">
        <v>11404</v>
      </c>
      <c r="G6548" s="40" t="s">
        <v>11404</v>
      </c>
      <c r="H6548" s="40" t="s">
        <v>11404</v>
      </c>
    </row>
    <row r="6549">
      <c r="A6549" s="39"/>
      <c r="E6549" s="40" t="s">
        <v>11404</v>
      </c>
      <c r="F6549" s="40" t="s">
        <v>11404</v>
      </c>
      <c r="G6549" s="40" t="s">
        <v>11404</v>
      </c>
      <c r="H6549" s="40" t="s">
        <v>11404</v>
      </c>
    </row>
    <row r="6550">
      <c r="A6550" s="39"/>
      <c r="E6550" s="40" t="s">
        <v>11404</v>
      </c>
      <c r="F6550" s="40" t="s">
        <v>11404</v>
      </c>
      <c r="G6550" s="40" t="s">
        <v>11404</v>
      </c>
      <c r="H6550" s="40" t="s">
        <v>11404</v>
      </c>
    </row>
    <row r="6551">
      <c r="A6551" s="39"/>
      <c r="E6551" s="40" t="s">
        <v>11404</v>
      </c>
      <c r="F6551" s="40" t="s">
        <v>11404</v>
      </c>
      <c r="G6551" s="40" t="s">
        <v>11404</v>
      </c>
      <c r="H6551" s="40" t="s">
        <v>11404</v>
      </c>
    </row>
    <row r="6552">
      <c r="A6552" s="39"/>
      <c r="E6552" s="40" t="s">
        <v>11404</v>
      </c>
      <c r="F6552" s="40" t="s">
        <v>11404</v>
      </c>
      <c r="G6552" s="40" t="s">
        <v>11404</v>
      </c>
      <c r="H6552" s="40" t="s">
        <v>11404</v>
      </c>
    </row>
    <row r="6553">
      <c r="A6553" s="39"/>
      <c r="E6553" s="40" t="s">
        <v>11404</v>
      </c>
      <c r="F6553" s="40" t="s">
        <v>11404</v>
      </c>
      <c r="G6553" s="40" t="s">
        <v>11404</v>
      </c>
      <c r="H6553" s="40" t="s">
        <v>11404</v>
      </c>
    </row>
    <row r="6554">
      <c r="A6554" s="39"/>
      <c r="E6554" s="40" t="s">
        <v>11404</v>
      </c>
      <c r="F6554" s="40" t="s">
        <v>11404</v>
      </c>
      <c r="G6554" s="40" t="s">
        <v>11404</v>
      </c>
      <c r="H6554" s="40" t="s">
        <v>11404</v>
      </c>
    </row>
    <row r="6555">
      <c r="A6555" s="39"/>
      <c r="E6555" s="40" t="s">
        <v>11404</v>
      </c>
      <c r="F6555" s="40" t="s">
        <v>11404</v>
      </c>
      <c r="G6555" s="40" t="s">
        <v>11404</v>
      </c>
      <c r="H6555" s="40" t="s">
        <v>11404</v>
      </c>
    </row>
    <row r="6556">
      <c r="A6556" s="39"/>
      <c r="E6556" s="40" t="s">
        <v>11404</v>
      </c>
      <c r="F6556" s="40" t="s">
        <v>11404</v>
      </c>
      <c r="G6556" s="40" t="s">
        <v>11404</v>
      </c>
      <c r="H6556" s="40" t="s">
        <v>11404</v>
      </c>
    </row>
    <row r="6557">
      <c r="A6557" s="39"/>
      <c r="E6557" s="40" t="s">
        <v>11404</v>
      </c>
      <c r="F6557" s="40" t="s">
        <v>11404</v>
      </c>
      <c r="G6557" s="40" t="s">
        <v>11404</v>
      </c>
      <c r="H6557" s="40" t="s">
        <v>11404</v>
      </c>
    </row>
    <row r="6558">
      <c r="A6558" s="39"/>
      <c r="E6558" s="40" t="s">
        <v>11404</v>
      </c>
      <c r="F6558" s="40" t="s">
        <v>11404</v>
      </c>
      <c r="G6558" s="40" t="s">
        <v>11404</v>
      </c>
      <c r="H6558" s="40" t="s">
        <v>11404</v>
      </c>
    </row>
    <row r="6559">
      <c r="A6559" s="39"/>
      <c r="E6559" s="40" t="s">
        <v>11404</v>
      </c>
      <c r="F6559" s="40" t="s">
        <v>11404</v>
      </c>
      <c r="G6559" s="40" t="s">
        <v>11404</v>
      </c>
      <c r="H6559" s="40" t="s">
        <v>11404</v>
      </c>
    </row>
    <row r="6560">
      <c r="A6560" s="39"/>
      <c r="E6560" s="40" t="s">
        <v>11404</v>
      </c>
      <c r="F6560" s="40" t="s">
        <v>11404</v>
      </c>
      <c r="G6560" s="40" t="s">
        <v>11404</v>
      </c>
      <c r="H6560" s="40" t="s">
        <v>11404</v>
      </c>
    </row>
    <row r="6561">
      <c r="A6561" s="39"/>
      <c r="E6561" s="40" t="s">
        <v>11404</v>
      </c>
      <c r="F6561" s="40" t="s">
        <v>11404</v>
      </c>
      <c r="G6561" s="40" t="s">
        <v>11404</v>
      </c>
      <c r="H6561" s="40" t="s">
        <v>11404</v>
      </c>
    </row>
    <row r="6562">
      <c r="A6562" s="39"/>
      <c r="E6562" s="40" t="s">
        <v>11404</v>
      </c>
      <c r="F6562" s="40" t="s">
        <v>11404</v>
      </c>
      <c r="G6562" s="40" t="s">
        <v>11404</v>
      </c>
      <c r="H6562" s="40" t="s">
        <v>11404</v>
      </c>
    </row>
    <row r="6563">
      <c r="A6563" s="39"/>
      <c r="E6563" s="40" t="s">
        <v>11404</v>
      </c>
      <c r="F6563" s="40" t="s">
        <v>11404</v>
      </c>
      <c r="G6563" s="40" t="s">
        <v>11404</v>
      </c>
      <c r="H6563" s="40" t="s">
        <v>11404</v>
      </c>
    </row>
    <row r="6564">
      <c r="A6564" s="39"/>
      <c r="E6564" s="40" t="s">
        <v>11404</v>
      </c>
      <c r="F6564" s="40" t="s">
        <v>11404</v>
      </c>
      <c r="G6564" s="40" t="s">
        <v>11404</v>
      </c>
      <c r="H6564" s="40" t="s">
        <v>11404</v>
      </c>
    </row>
    <row r="6565">
      <c r="A6565" s="39"/>
      <c r="E6565" s="40" t="s">
        <v>11404</v>
      </c>
      <c r="F6565" s="40" t="s">
        <v>11404</v>
      </c>
      <c r="G6565" s="40" t="s">
        <v>11404</v>
      </c>
      <c r="H6565" s="40" t="s">
        <v>11404</v>
      </c>
    </row>
    <row r="6566">
      <c r="A6566" s="39"/>
      <c r="E6566" s="40" t="s">
        <v>11404</v>
      </c>
      <c r="F6566" s="40" t="s">
        <v>11404</v>
      </c>
      <c r="G6566" s="40" t="s">
        <v>11404</v>
      </c>
      <c r="H6566" s="40" t="s">
        <v>11404</v>
      </c>
    </row>
    <row r="6567">
      <c r="A6567" s="39"/>
      <c r="E6567" s="40" t="s">
        <v>11404</v>
      </c>
      <c r="F6567" s="40" t="s">
        <v>11404</v>
      </c>
      <c r="G6567" s="40" t="s">
        <v>11404</v>
      </c>
      <c r="H6567" s="40" t="s">
        <v>11404</v>
      </c>
    </row>
    <row r="6568">
      <c r="A6568" s="39"/>
      <c r="E6568" s="40" t="s">
        <v>11404</v>
      </c>
      <c r="F6568" s="40" t="s">
        <v>11404</v>
      </c>
      <c r="G6568" s="40" t="s">
        <v>11404</v>
      </c>
      <c r="H6568" s="40" t="s">
        <v>11404</v>
      </c>
    </row>
    <row r="6569">
      <c r="A6569" s="39"/>
      <c r="E6569" s="40" t="s">
        <v>11404</v>
      </c>
      <c r="F6569" s="40" t="s">
        <v>11404</v>
      </c>
      <c r="G6569" s="40" t="s">
        <v>11404</v>
      </c>
      <c r="H6569" s="40" t="s">
        <v>11404</v>
      </c>
    </row>
    <row r="6570">
      <c r="A6570" s="39"/>
      <c r="E6570" s="40" t="s">
        <v>11404</v>
      </c>
      <c r="F6570" s="40" t="s">
        <v>11404</v>
      </c>
      <c r="G6570" s="40" t="s">
        <v>11404</v>
      </c>
      <c r="H6570" s="40" t="s">
        <v>11404</v>
      </c>
    </row>
    <row r="6571">
      <c r="A6571" s="39"/>
      <c r="E6571" s="40" t="s">
        <v>11404</v>
      </c>
      <c r="F6571" s="40" t="s">
        <v>11404</v>
      </c>
      <c r="G6571" s="40" t="s">
        <v>11404</v>
      </c>
      <c r="H6571" s="40" t="s">
        <v>11404</v>
      </c>
    </row>
    <row r="6572">
      <c r="A6572" s="39"/>
      <c r="E6572" s="40" t="s">
        <v>11404</v>
      </c>
      <c r="F6572" s="40" t="s">
        <v>11404</v>
      </c>
      <c r="G6572" s="40" t="s">
        <v>11404</v>
      </c>
      <c r="H6572" s="40" t="s">
        <v>11404</v>
      </c>
    </row>
    <row r="6573">
      <c r="A6573" s="39"/>
      <c r="E6573" s="40" t="s">
        <v>11404</v>
      </c>
      <c r="F6573" s="40" t="s">
        <v>11404</v>
      </c>
      <c r="G6573" s="40" t="s">
        <v>11404</v>
      </c>
      <c r="H6573" s="40" t="s">
        <v>11404</v>
      </c>
    </row>
    <row r="6574">
      <c r="A6574" s="39"/>
      <c r="E6574" s="40" t="s">
        <v>11404</v>
      </c>
      <c r="F6574" s="40" t="s">
        <v>11404</v>
      </c>
      <c r="G6574" s="40" t="s">
        <v>11404</v>
      </c>
      <c r="H6574" s="40" t="s">
        <v>11404</v>
      </c>
    </row>
    <row r="6575">
      <c r="A6575" s="39"/>
      <c r="E6575" s="40" t="s">
        <v>11404</v>
      </c>
      <c r="F6575" s="40" t="s">
        <v>11404</v>
      </c>
      <c r="G6575" s="40" t="s">
        <v>11404</v>
      </c>
      <c r="H6575" s="40" t="s">
        <v>11404</v>
      </c>
    </row>
    <row r="6576">
      <c r="A6576" s="39"/>
      <c r="E6576" s="40" t="s">
        <v>11404</v>
      </c>
      <c r="F6576" s="40" t="s">
        <v>11404</v>
      </c>
      <c r="G6576" s="40" t="s">
        <v>11404</v>
      </c>
      <c r="H6576" s="40" t="s">
        <v>11404</v>
      </c>
    </row>
    <row r="6577">
      <c r="A6577" s="39"/>
      <c r="E6577" s="40" t="s">
        <v>11404</v>
      </c>
      <c r="F6577" s="40" t="s">
        <v>11404</v>
      </c>
      <c r="G6577" s="40" t="s">
        <v>11404</v>
      </c>
      <c r="H6577" s="40" t="s">
        <v>11404</v>
      </c>
    </row>
    <row r="6578">
      <c r="A6578" s="39"/>
      <c r="E6578" s="40" t="s">
        <v>11404</v>
      </c>
      <c r="F6578" s="40" t="s">
        <v>11404</v>
      </c>
      <c r="G6578" s="40" t="s">
        <v>11404</v>
      </c>
      <c r="H6578" s="40" t="s">
        <v>11404</v>
      </c>
    </row>
    <row r="6579">
      <c r="A6579" s="39"/>
      <c r="E6579" s="40" t="s">
        <v>11404</v>
      </c>
      <c r="F6579" s="40" t="s">
        <v>11404</v>
      </c>
      <c r="G6579" s="40" t="s">
        <v>11404</v>
      </c>
      <c r="H6579" s="40" t="s">
        <v>11404</v>
      </c>
    </row>
    <row r="6580">
      <c r="A6580" s="39"/>
      <c r="E6580" s="40" t="s">
        <v>11404</v>
      </c>
      <c r="F6580" s="40" t="s">
        <v>11404</v>
      </c>
      <c r="G6580" s="40" t="s">
        <v>11404</v>
      </c>
      <c r="H6580" s="40" t="s">
        <v>11404</v>
      </c>
    </row>
    <row r="6581">
      <c r="A6581" s="39"/>
      <c r="E6581" s="40" t="s">
        <v>11404</v>
      </c>
      <c r="F6581" s="40" t="s">
        <v>11404</v>
      </c>
      <c r="G6581" s="40" t="s">
        <v>11404</v>
      </c>
      <c r="H6581" s="40" t="s">
        <v>11404</v>
      </c>
    </row>
    <row r="6582">
      <c r="A6582" s="39"/>
      <c r="E6582" s="40" t="s">
        <v>11404</v>
      </c>
      <c r="F6582" s="40" t="s">
        <v>11404</v>
      </c>
      <c r="G6582" s="40" t="s">
        <v>11404</v>
      </c>
      <c r="H6582" s="40" t="s">
        <v>11404</v>
      </c>
    </row>
    <row r="6583">
      <c r="A6583" s="39"/>
      <c r="E6583" s="40" t="s">
        <v>11404</v>
      </c>
      <c r="F6583" s="40" t="s">
        <v>11404</v>
      </c>
      <c r="G6583" s="40" t="s">
        <v>11404</v>
      </c>
      <c r="H6583" s="40" t="s">
        <v>11404</v>
      </c>
    </row>
    <row r="6584">
      <c r="A6584" s="39"/>
      <c r="E6584" s="40" t="s">
        <v>11404</v>
      </c>
      <c r="F6584" s="40" t="s">
        <v>11404</v>
      </c>
      <c r="G6584" s="40" t="s">
        <v>11404</v>
      </c>
      <c r="H6584" s="40" t="s">
        <v>11404</v>
      </c>
    </row>
    <row r="6585">
      <c r="A6585" s="39"/>
      <c r="E6585" s="40" t="s">
        <v>11404</v>
      </c>
      <c r="F6585" s="40" t="s">
        <v>11404</v>
      </c>
      <c r="G6585" s="40" t="s">
        <v>11404</v>
      </c>
      <c r="H6585" s="40" t="s">
        <v>11404</v>
      </c>
    </row>
    <row r="6586">
      <c r="A6586" s="39"/>
      <c r="E6586" s="40" t="s">
        <v>11404</v>
      </c>
      <c r="F6586" s="40" t="s">
        <v>11404</v>
      </c>
      <c r="G6586" s="40" t="s">
        <v>11404</v>
      </c>
      <c r="H6586" s="40" t="s">
        <v>11404</v>
      </c>
    </row>
    <row r="6587">
      <c r="A6587" s="39"/>
      <c r="E6587" s="40" t="s">
        <v>11404</v>
      </c>
      <c r="F6587" s="40" t="s">
        <v>11404</v>
      </c>
      <c r="G6587" s="40" t="s">
        <v>11404</v>
      </c>
      <c r="H6587" s="40" t="s">
        <v>11404</v>
      </c>
    </row>
    <row r="6588">
      <c r="A6588" s="39"/>
      <c r="E6588" s="40" t="s">
        <v>11404</v>
      </c>
      <c r="F6588" s="40" t="s">
        <v>11404</v>
      </c>
      <c r="G6588" s="40" t="s">
        <v>11404</v>
      </c>
      <c r="H6588" s="40" t="s">
        <v>11404</v>
      </c>
    </row>
    <row r="6589">
      <c r="A6589" s="39"/>
      <c r="E6589" s="40" t="s">
        <v>11404</v>
      </c>
      <c r="F6589" s="40" t="s">
        <v>11404</v>
      </c>
      <c r="G6589" s="40" t="s">
        <v>11404</v>
      </c>
      <c r="H6589" s="40" t="s">
        <v>11404</v>
      </c>
    </row>
    <row r="6590">
      <c r="A6590" s="39"/>
      <c r="E6590" s="40" t="s">
        <v>11404</v>
      </c>
      <c r="F6590" s="40" t="s">
        <v>11404</v>
      </c>
      <c r="G6590" s="40" t="s">
        <v>11404</v>
      </c>
      <c r="H6590" s="40" t="s">
        <v>11404</v>
      </c>
    </row>
    <row r="6591">
      <c r="A6591" s="39"/>
      <c r="E6591" s="40" t="s">
        <v>11404</v>
      </c>
      <c r="F6591" s="40" t="s">
        <v>11404</v>
      </c>
      <c r="G6591" s="40" t="s">
        <v>11404</v>
      </c>
      <c r="H6591" s="40" t="s">
        <v>11404</v>
      </c>
    </row>
    <row r="6592">
      <c r="A6592" s="39"/>
      <c r="E6592" s="40" t="s">
        <v>11404</v>
      </c>
      <c r="F6592" s="40" t="s">
        <v>11404</v>
      </c>
      <c r="G6592" s="40" t="s">
        <v>11404</v>
      </c>
      <c r="H6592" s="40" t="s">
        <v>11404</v>
      </c>
    </row>
    <row r="6593">
      <c r="A6593" s="39"/>
      <c r="E6593" s="40" t="s">
        <v>11404</v>
      </c>
      <c r="F6593" s="40" t="s">
        <v>11404</v>
      </c>
      <c r="G6593" s="40" t="s">
        <v>11404</v>
      </c>
      <c r="H6593" s="40" t="s">
        <v>11404</v>
      </c>
    </row>
    <row r="6594">
      <c r="A6594" s="39"/>
      <c r="E6594" s="40" t="s">
        <v>11404</v>
      </c>
      <c r="F6594" s="40" t="s">
        <v>11404</v>
      </c>
      <c r="G6594" s="40" t="s">
        <v>11404</v>
      </c>
      <c r="H6594" s="40" t="s">
        <v>11404</v>
      </c>
    </row>
    <row r="6595">
      <c r="A6595" s="39"/>
      <c r="E6595" s="40" t="s">
        <v>11404</v>
      </c>
      <c r="F6595" s="40" t="s">
        <v>11404</v>
      </c>
      <c r="G6595" s="40" t="s">
        <v>11404</v>
      </c>
      <c r="H6595" s="40" t="s">
        <v>11404</v>
      </c>
    </row>
    <row r="6596">
      <c r="A6596" s="39"/>
      <c r="E6596" s="40" t="s">
        <v>11404</v>
      </c>
      <c r="F6596" s="40" t="s">
        <v>11404</v>
      </c>
      <c r="G6596" s="40" t="s">
        <v>11404</v>
      </c>
      <c r="H6596" s="40" t="s">
        <v>11404</v>
      </c>
    </row>
    <row r="6597">
      <c r="A6597" s="39"/>
      <c r="E6597" s="40" t="s">
        <v>11404</v>
      </c>
      <c r="F6597" s="40" t="s">
        <v>11404</v>
      </c>
      <c r="G6597" s="40" t="s">
        <v>11404</v>
      </c>
      <c r="H6597" s="40" t="s">
        <v>11404</v>
      </c>
    </row>
    <row r="6598">
      <c r="A6598" s="39"/>
      <c r="E6598" s="40" t="s">
        <v>11404</v>
      </c>
      <c r="F6598" s="40" t="s">
        <v>11404</v>
      </c>
      <c r="G6598" s="40" t="s">
        <v>11404</v>
      </c>
      <c r="H6598" s="40" t="s">
        <v>11404</v>
      </c>
    </row>
    <row r="6599">
      <c r="A6599" s="39"/>
      <c r="E6599" s="40" t="s">
        <v>11404</v>
      </c>
      <c r="F6599" s="40" t="s">
        <v>11404</v>
      </c>
      <c r="G6599" s="40" t="s">
        <v>11404</v>
      </c>
      <c r="H6599" s="40" t="s">
        <v>11404</v>
      </c>
    </row>
    <row r="6600">
      <c r="A6600" s="39"/>
      <c r="E6600" s="40" t="s">
        <v>11404</v>
      </c>
      <c r="F6600" s="40" t="s">
        <v>11404</v>
      </c>
      <c r="G6600" s="40" t="s">
        <v>11404</v>
      </c>
      <c r="H6600" s="40" t="s">
        <v>11404</v>
      </c>
    </row>
    <row r="6601">
      <c r="A6601" s="39"/>
      <c r="E6601" s="40" t="s">
        <v>11404</v>
      </c>
      <c r="F6601" s="40" t="s">
        <v>11404</v>
      </c>
      <c r="G6601" s="40" t="s">
        <v>11404</v>
      </c>
      <c r="H6601" s="40" t="s">
        <v>11404</v>
      </c>
    </row>
    <row r="6602">
      <c r="A6602" s="39"/>
      <c r="E6602" s="40" t="s">
        <v>11404</v>
      </c>
      <c r="F6602" s="40" t="s">
        <v>11404</v>
      </c>
      <c r="G6602" s="40" t="s">
        <v>11404</v>
      </c>
      <c r="H6602" s="40" t="s">
        <v>11404</v>
      </c>
    </row>
    <row r="6603">
      <c r="A6603" s="39"/>
      <c r="E6603" s="40" t="s">
        <v>11404</v>
      </c>
      <c r="F6603" s="40" t="s">
        <v>11404</v>
      </c>
      <c r="G6603" s="40" t="s">
        <v>11404</v>
      </c>
      <c r="H6603" s="40" t="s">
        <v>11404</v>
      </c>
    </row>
    <row r="6604">
      <c r="A6604" s="39"/>
      <c r="E6604" s="40" t="s">
        <v>11404</v>
      </c>
      <c r="F6604" s="40" t="s">
        <v>11404</v>
      </c>
      <c r="G6604" s="40" t="s">
        <v>11404</v>
      </c>
      <c r="H6604" s="40" t="s">
        <v>11404</v>
      </c>
    </row>
    <row r="6605">
      <c r="A6605" s="39"/>
      <c r="E6605" s="40" t="s">
        <v>11404</v>
      </c>
      <c r="F6605" s="40" t="s">
        <v>11404</v>
      </c>
      <c r="G6605" s="40" t="s">
        <v>11404</v>
      </c>
      <c r="H6605" s="40" t="s">
        <v>11404</v>
      </c>
    </row>
    <row r="6606">
      <c r="A6606" s="39"/>
      <c r="E6606" s="40" t="s">
        <v>11404</v>
      </c>
      <c r="F6606" s="40" t="s">
        <v>11404</v>
      </c>
      <c r="G6606" s="40" t="s">
        <v>11404</v>
      </c>
      <c r="H6606" s="40" t="s">
        <v>11404</v>
      </c>
    </row>
    <row r="6607">
      <c r="A6607" s="39"/>
      <c r="E6607" s="40" t="s">
        <v>11404</v>
      </c>
      <c r="F6607" s="40" t="s">
        <v>11404</v>
      </c>
      <c r="G6607" s="40" t="s">
        <v>11404</v>
      </c>
      <c r="H6607" s="40" t="s">
        <v>11404</v>
      </c>
    </row>
    <row r="6608">
      <c r="A6608" s="39"/>
      <c r="E6608" s="40" t="s">
        <v>11404</v>
      </c>
      <c r="F6608" s="40" t="s">
        <v>11404</v>
      </c>
      <c r="G6608" s="40" t="s">
        <v>11404</v>
      </c>
      <c r="H6608" s="40" t="s">
        <v>11404</v>
      </c>
    </row>
    <row r="6609">
      <c r="A6609" s="39"/>
      <c r="E6609" s="40" t="s">
        <v>11404</v>
      </c>
      <c r="F6609" s="40" t="s">
        <v>11404</v>
      </c>
      <c r="G6609" s="40" t="s">
        <v>11404</v>
      </c>
      <c r="H6609" s="40" t="s">
        <v>11404</v>
      </c>
    </row>
    <row r="6610">
      <c r="A6610" s="39"/>
      <c r="E6610" s="40" t="s">
        <v>11404</v>
      </c>
      <c r="F6610" s="40" t="s">
        <v>11404</v>
      </c>
      <c r="G6610" s="40" t="s">
        <v>11404</v>
      </c>
      <c r="H6610" s="40" t="s">
        <v>11404</v>
      </c>
    </row>
    <row r="6611">
      <c r="A6611" s="39"/>
      <c r="E6611" s="40" t="s">
        <v>11404</v>
      </c>
      <c r="F6611" s="40" t="s">
        <v>11404</v>
      </c>
      <c r="G6611" s="40" t="s">
        <v>11404</v>
      </c>
      <c r="H6611" s="40" t="s">
        <v>11404</v>
      </c>
    </row>
    <row r="6612">
      <c r="A6612" s="39"/>
      <c r="E6612" s="40" t="s">
        <v>11404</v>
      </c>
      <c r="F6612" s="40" t="s">
        <v>11404</v>
      </c>
      <c r="G6612" s="40" t="s">
        <v>11404</v>
      </c>
      <c r="H6612" s="40" t="s">
        <v>11404</v>
      </c>
    </row>
    <row r="6613">
      <c r="A6613" s="39"/>
      <c r="E6613" s="40" t="s">
        <v>11404</v>
      </c>
      <c r="F6613" s="40" t="s">
        <v>11404</v>
      </c>
      <c r="G6613" s="40" t="s">
        <v>11404</v>
      </c>
      <c r="H6613" s="40" t="s">
        <v>11404</v>
      </c>
    </row>
    <row r="6614">
      <c r="A6614" s="39"/>
      <c r="E6614" s="40" t="s">
        <v>11404</v>
      </c>
      <c r="F6614" s="40" t="s">
        <v>11404</v>
      </c>
      <c r="G6614" s="40" t="s">
        <v>11404</v>
      </c>
      <c r="H6614" s="40" t="s">
        <v>11404</v>
      </c>
    </row>
    <row r="6615">
      <c r="A6615" s="39"/>
      <c r="E6615" s="40" t="s">
        <v>11404</v>
      </c>
      <c r="F6615" s="40" t="s">
        <v>11404</v>
      </c>
      <c r="G6615" s="40" t="s">
        <v>11404</v>
      </c>
      <c r="H6615" s="40" t="s">
        <v>11404</v>
      </c>
    </row>
    <row r="6616">
      <c r="A6616" s="39"/>
      <c r="E6616" s="40" t="s">
        <v>11404</v>
      </c>
      <c r="F6616" s="40" t="s">
        <v>11404</v>
      </c>
      <c r="G6616" s="40" t="s">
        <v>11404</v>
      </c>
      <c r="H6616" s="40" t="s">
        <v>11404</v>
      </c>
    </row>
    <row r="6617">
      <c r="A6617" s="39"/>
      <c r="E6617" s="40" t="s">
        <v>11404</v>
      </c>
      <c r="F6617" s="40" t="s">
        <v>11404</v>
      </c>
      <c r="G6617" s="40" t="s">
        <v>11404</v>
      </c>
      <c r="H6617" s="40" t="s">
        <v>11404</v>
      </c>
    </row>
    <row r="6618">
      <c r="A6618" s="39"/>
      <c r="E6618" s="40" t="s">
        <v>11404</v>
      </c>
      <c r="F6618" s="40" t="s">
        <v>11404</v>
      </c>
      <c r="G6618" s="40" t="s">
        <v>11404</v>
      </c>
      <c r="H6618" s="40" t="s">
        <v>11404</v>
      </c>
    </row>
    <row r="6619">
      <c r="A6619" s="39"/>
      <c r="E6619" s="40" t="s">
        <v>11404</v>
      </c>
      <c r="F6619" s="40" t="s">
        <v>11404</v>
      </c>
      <c r="G6619" s="40" t="s">
        <v>11404</v>
      </c>
      <c r="H6619" s="40" t="s">
        <v>11404</v>
      </c>
    </row>
    <row r="6620">
      <c r="A6620" s="39"/>
      <c r="E6620" s="40" t="s">
        <v>11404</v>
      </c>
      <c r="F6620" s="40" t="s">
        <v>11404</v>
      </c>
      <c r="G6620" s="40" t="s">
        <v>11404</v>
      </c>
      <c r="H6620" s="40" t="s">
        <v>11404</v>
      </c>
    </row>
    <row r="6621">
      <c r="A6621" s="39"/>
      <c r="E6621" s="40" t="s">
        <v>11404</v>
      </c>
      <c r="F6621" s="40" t="s">
        <v>11404</v>
      </c>
      <c r="G6621" s="40" t="s">
        <v>11404</v>
      </c>
      <c r="H6621" s="40" t="s">
        <v>11404</v>
      </c>
    </row>
    <row r="6622">
      <c r="A6622" s="39"/>
      <c r="E6622" s="40" t="s">
        <v>11404</v>
      </c>
      <c r="F6622" s="40" t="s">
        <v>11404</v>
      </c>
      <c r="G6622" s="40" t="s">
        <v>11404</v>
      </c>
      <c r="H6622" s="40" t="s">
        <v>11404</v>
      </c>
    </row>
    <row r="6623">
      <c r="A6623" s="39"/>
      <c r="E6623" s="40" t="s">
        <v>11404</v>
      </c>
      <c r="F6623" s="40" t="s">
        <v>11404</v>
      </c>
      <c r="G6623" s="40" t="s">
        <v>11404</v>
      </c>
      <c r="H6623" s="40" t="s">
        <v>11404</v>
      </c>
    </row>
    <row r="6624">
      <c r="A6624" s="39"/>
      <c r="E6624" s="40" t="s">
        <v>11404</v>
      </c>
      <c r="F6624" s="40" t="s">
        <v>11404</v>
      </c>
      <c r="G6624" s="40" t="s">
        <v>11404</v>
      </c>
      <c r="H6624" s="40" t="s">
        <v>11404</v>
      </c>
    </row>
    <row r="6625">
      <c r="A6625" s="39"/>
      <c r="E6625" s="40" t="s">
        <v>11404</v>
      </c>
      <c r="F6625" s="40" t="s">
        <v>11404</v>
      </c>
      <c r="G6625" s="40" t="s">
        <v>11404</v>
      </c>
      <c r="H6625" s="40" t="s">
        <v>11404</v>
      </c>
    </row>
    <row r="6626">
      <c r="A6626" s="39"/>
      <c r="E6626" s="40" t="s">
        <v>11404</v>
      </c>
      <c r="F6626" s="40" t="s">
        <v>11404</v>
      </c>
      <c r="G6626" s="40" t="s">
        <v>11404</v>
      </c>
      <c r="H6626" s="40" t="s">
        <v>11404</v>
      </c>
    </row>
    <row r="6627">
      <c r="A6627" s="39"/>
      <c r="E6627" s="40" t="s">
        <v>11404</v>
      </c>
      <c r="F6627" s="40" t="s">
        <v>11404</v>
      </c>
      <c r="G6627" s="40" t="s">
        <v>11404</v>
      </c>
      <c r="H6627" s="40" t="s">
        <v>11404</v>
      </c>
    </row>
    <row r="6628">
      <c r="A6628" s="39"/>
      <c r="E6628" s="40" t="s">
        <v>11404</v>
      </c>
      <c r="F6628" s="40" t="s">
        <v>11404</v>
      </c>
      <c r="G6628" s="40" t="s">
        <v>11404</v>
      </c>
      <c r="H6628" s="40" t="s">
        <v>11404</v>
      </c>
    </row>
    <row r="6629">
      <c r="A6629" s="39"/>
      <c r="E6629" s="40" t="s">
        <v>11404</v>
      </c>
      <c r="F6629" s="40" t="s">
        <v>11404</v>
      </c>
      <c r="G6629" s="40" t="s">
        <v>11404</v>
      </c>
      <c r="H6629" s="40" t="s">
        <v>11404</v>
      </c>
    </row>
    <row r="6630">
      <c r="A6630" s="39"/>
      <c r="E6630" s="40" t="s">
        <v>11404</v>
      </c>
      <c r="F6630" s="40" t="s">
        <v>11404</v>
      </c>
      <c r="G6630" s="40" t="s">
        <v>11404</v>
      </c>
      <c r="H6630" s="40" t="s">
        <v>11404</v>
      </c>
    </row>
    <row r="6631">
      <c r="A6631" s="39"/>
      <c r="E6631" s="40" t="s">
        <v>11404</v>
      </c>
      <c r="F6631" s="40" t="s">
        <v>11404</v>
      </c>
      <c r="G6631" s="40" t="s">
        <v>11404</v>
      </c>
      <c r="H6631" s="40" t="s">
        <v>11404</v>
      </c>
    </row>
    <row r="6632">
      <c r="A6632" s="39"/>
      <c r="E6632" s="40" t="s">
        <v>11404</v>
      </c>
      <c r="F6632" s="40" t="s">
        <v>11404</v>
      </c>
      <c r="G6632" s="40" t="s">
        <v>11404</v>
      </c>
      <c r="H6632" s="40" t="s">
        <v>11404</v>
      </c>
    </row>
    <row r="6633">
      <c r="A6633" s="39"/>
      <c r="E6633" s="40" t="s">
        <v>11404</v>
      </c>
      <c r="F6633" s="40" t="s">
        <v>11404</v>
      </c>
      <c r="G6633" s="40" t="s">
        <v>11404</v>
      </c>
      <c r="H6633" s="40" t="s">
        <v>11404</v>
      </c>
    </row>
    <row r="6634">
      <c r="A6634" s="39"/>
      <c r="E6634" s="40" t="s">
        <v>11404</v>
      </c>
      <c r="F6634" s="40" t="s">
        <v>11404</v>
      </c>
      <c r="G6634" s="40" t="s">
        <v>11404</v>
      </c>
      <c r="H6634" s="40" t="s">
        <v>11404</v>
      </c>
    </row>
    <row r="6635">
      <c r="A6635" s="39"/>
      <c r="E6635" s="40" t="s">
        <v>11404</v>
      </c>
      <c r="F6635" s="40" t="s">
        <v>11404</v>
      </c>
      <c r="G6635" s="40" t="s">
        <v>11404</v>
      </c>
      <c r="H6635" s="40" t="s">
        <v>11404</v>
      </c>
    </row>
    <row r="6636">
      <c r="A6636" s="39"/>
      <c r="E6636" s="40" t="s">
        <v>11404</v>
      </c>
      <c r="F6636" s="40" t="s">
        <v>11404</v>
      </c>
      <c r="G6636" s="40" t="s">
        <v>11404</v>
      </c>
      <c r="H6636" s="40" t="s">
        <v>11404</v>
      </c>
    </row>
    <row r="6637">
      <c r="A6637" s="39"/>
      <c r="E6637" s="40" t="s">
        <v>11404</v>
      </c>
      <c r="F6637" s="40" t="s">
        <v>11404</v>
      </c>
      <c r="G6637" s="40" t="s">
        <v>11404</v>
      </c>
      <c r="H6637" s="40" t="s">
        <v>11404</v>
      </c>
    </row>
    <row r="6638">
      <c r="A6638" s="39"/>
      <c r="E6638" s="40" t="s">
        <v>11404</v>
      </c>
      <c r="F6638" s="40" t="s">
        <v>11404</v>
      </c>
      <c r="G6638" s="40" t="s">
        <v>11404</v>
      </c>
      <c r="H6638" s="40" t="s">
        <v>11404</v>
      </c>
    </row>
    <row r="6639">
      <c r="A6639" s="39"/>
      <c r="E6639" s="40" t="s">
        <v>11404</v>
      </c>
      <c r="F6639" s="40" t="s">
        <v>11404</v>
      </c>
      <c r="G6639" s="40" t="s">
        <v>11404</v>
      </c>
      <c r="H6639" s="40" t="s">
        <v>11404</v>
      </c>
    </row>
    <row r="6640">
      <c r="A6640" s="39"/>
      <c r="E6640" s="40" t="s">
        <v>11404</v>
      </c>
      <c r="F6640" s="40" t="s">
        <v>11404</v>
      </c>
      <c r="G6640" s="40" t="s">
        <v>11404</v>
      </c>
      <c r="H6640" s="40" t="s">
        <v>11404</v>
      </c>
    </row>
    <row r="6641">
      <c r="A6641" s="39"/>
      <c r="E6641" s="40" t="s">
        <v>11404</v>
      </c>
      <c r="F6641" s="40" t="s">
        <v>11404</v>
      </c>
      <c r="G6641" s="40" t="s">
        <v>11404</v>
      </c>
      <c r="H6641" s="40" t="s">
        <v>11404</v>
      </c>
    </row>
    <row r="6642">
      <c r="A6642" s="39"/>
      <c r="E6642" s="40" t="s">
        <v>11404</v>
      </c>
      <c r="F6642" s="40" t="s">
        <v>11404</v>
      </c>
      <c r="G6642" s="40" t="s">
        <v>11404</v>
      </c>
      <c r="H6642" s="40" t="s">
        <v>11404</v>
      </c>
    </row>
    <row r="6643">
      <c r="A6643" s="39"/>
      <c r="E6643" s="40" t="s">
        <v>11404</v>
      </c>
      <c r="F6643" s="40" t="s">
        <v>11404</v>
      </c>
      <c r="G6643" s="40" t="s">
        <v>11404</v>
      </c>
      <c r="H6643" s="40" t="s">
        <v>11404</v>
      </c>
    </row>
    <row r="6644">
      <c r="A6644" s="39"/>
      <c r="E6644" s="40" t="s">
        <v>11404</v>
      </c>
      <c r="F6644" s="40" t="s">
        <v>11404</v>
      </c>
      <c r="G6644" s="40" t="s">
        <v>11404</v>
      </c>
      <c r="H6644" s="40" t="s">
        <v>11404</v>
      </c>
    </row>
    <row r="6645">
      <c r="A6645" s="39"/>
      <c r="E6645" s="40" t="s">
        <v>11404</v>
      </c>
      <c r="F6645" s="40" t="s">
        <v>11404</v>
      </c>
      <c r="G6645" s="40" t="s">
        <v>11404</v>
      </c>
      <c r="H6645" s="40" t="s">
        <v>11404</v>
      </c>
    </row>
    <row r="6646">
      <c r="A6646" s="39"/>
      <c r="E6646" s="40" t="s">
        <v>11404</v>
      </c>
      <c r="F6646" s="40" t="s">
        <v>11404</v>
      </c>
      <c r="G6646" s="40" t="s">
        <v>11404</v>
      </c>
      <c r="H6646" s="40" t="s">
        <v>11404</v>
      </c>
    </row>
    <row r="6647">
      <c r="A6647" s="39"/>
      <c r="E6647" s="40" t="s">
        <v>11404</v>
      </c>
      <c r="F6647" s="40" t="s">
        <v>11404</v>
      </c>
      <c r="G6647" s="40" t="s">
        <v>11404</v>
      </c>
      <c r="H6647" s="40" t="s">
        <v>11404</v>
      </c>
    </row>
    <row r="6648">
      <c r="A6648" s="39"/>
      <c r="E6648" s="40" t="s">
        <v>11404</v>
      </c>
      <c r="F6648" s="40" t="s">
        <v>11404</v>
      </c>
      <c r="G6648" s="40" t="s">
        <v>11404</v>
      </c>
      <c r="H6648" s="40" t="s">
        <v>11404</v>
      </c>
    </row>
    <row r="6649">
      <c r="A6649" s="39"/>
      <c r="E6649" s="40" t="s">
        <v>11404</v>
      </c>
      <c r="F6649" s="40" t="s">
        <v>11404</v>
      </c>
      <c r="G6649" s="40" t="s">
        <v>11404</v>
      </c>
      <c r="H6649" s="40" t="s">
        <v>11404</v>
      </c>
    </row>
    <row r="6650">
      <c r="A6650" s="39"/>
      <c r="E6650" s="40" t="s">
        <v>11404</v>
      </c>
      <c r="F6650" s="40" t="s">
        <v>11404</v>
      </c>
      <c r="G6650" s="40" t="s">
        <v>11404</v>
      </c>
      <c r="H6650" s="40" t="s">
        <v>11404</v>
      </c>
    </row>
    <row r="6651">
      <c r="A6651" s="39"/>
      <c r="E6651" s="40" t="s">
        <v>11404</v>
      </c>
      <c r="F6651" s="40" t="s">
        <v>11404</v>
      </c>
      <c r="G6651" s="40" t="s">
        <v>11404</v>
      </c>
      <c r="H6651" s="40" t="s">
        <v>11404</v>
      </c>
    </row>
    <row r="6652">
      <c r="A6652" s="39"/>
      <c r="E6652" s="40" t="s">
        <v>11404</v>
      </c>
      <c r="F6652" s="40" t="s">
        <v>11404</v>
      </c>
      <c r="G6652" s="40" t="s">
        <v>11404</v>
      </c>
      <c r="H6652" s="40" t="s">
        <v>11404</v>
      </c>
    </row>
    <row r="6653">
      <c r="A6653" s="39"/>
      <c r="E6653" s="40" t="s">
        <v>11404</v>
      </c>
      <c r="F6653" s="40" t="s">
        <v>11404</v>
      </c>
      <c r="G6653" s="40" t="s">
        <v>11404</v>
      </c>
      <c r="H6653" s="40" t="s">
        <v>11404</v>
      </c>
    </row>
    <row r="6654">
      <c r="A6654" s="39"/>
      <c r="E6654" s="40" t="s">
        <v>11404</v>
      </c>
      <c r="F6654" s="40" t="s">
        <v>11404</v>
      </c>
      <c r="G6654" s="40" t="s">
        <v>11404</v>
      </c>
      <c r="H6654" s="40" t="s">
        <v>11404</v>
      </c>
    </row>
    <row r="6655">
      <c r="A6655" s="39"/>
      <c r="E6655" s="40" t="s">
        <v>11404</v>
      </c>
      <c r="F6655" s="40" t="s">
        <v>11404</v>
      </c>
      <c r="G6655" s="40" t="s">
        <v>11404</v>
      </c>
      <c r="H6655" s="40" t="s">
        <v>11404</v>
      </c>
    </row>
    <row r="6656">
      <c r="A6656" s="39"/>
      <c r="E6656" s="40" t="s">
        <v>11404</v>
      </c>
      <c r="F6656" s="40" t="s">
        <v>11404</v>
      </c>
      <c r="G6656" s="40" t="s">
        <v>11404</v>
      </c>
      <c r="H6656" s="40" t="s">
        <v>11404</v>
      </c>
    </row>
    <row r="6657">
      <c r="A6657" s="39"/>
      <c r="E6657" s="40" t="s">
        <v>11404</v>
      </c>
      <c r="F6657" s="40" t="s">
        <v>11404</v>
      </c>
      <c r="G6657" s="40" t="s">
        <v>11404</v>
      </c>
      <c r="H6657" s="40" t="s">
        <v>11404</v>
      </c>
    </row>
    <row r="6658">
      <c r="A6658" s="39"/>
      <c r="E6658" s="40" t="s">
        <v>11404</v>
      </c>
      <c r="F6658" s="40" t="s">
        <v>11404</v>
      </c>
      <c r="G6658" s="40" t="s">
        <v>11404</v>
      </c>
      <c r="H6658" s="40" t="s">
        <v>11404</v>
      </c>
    </row>
    <row r="6659">
      <c r="A6659" s="39"/>
      <c r="E6659" s="40" t="s">
        <v>11404</v>
      </c>
      <c r="F6659" s="40" t="s">
        <v>11404</v>
      </c>
      <c r="G6659" s="40" t="s">
        <v>11404</v>
      </c>
      <c r="H6659" s="40" t="s">
        <v>11404</v>
      </c>
    </row>
    <row r="6660">
      <c r="A6660" s="39"/>
      <c r="E6660" s="40" t="s">
        <v>11404</v>
      </c>
      <c r="F6660" s="40" t="s">
        <v>11404</v>
      </c>
      <c r="G6660" s="40" t="s">
        <v>11404</v>
      </c>
      <c r="H6660" s="40" t="s">
        <v>11404</v>
      </c>
    </row>
    <row r="6661">
      <c r="A6661" s="39"/>
      <c r="E6661" s="40" t="s">
        <v>11404</v>
      </c>
      <c r="F6661" s="40" t="s">
        <v>11404</v>
      </c>
      <c r="G6661" s="40" t="s">
        <v>11404</v>
      </c>
      <c r="H6661" s="40" t="s">
        <v>11404</v>
      </c>
    </row>
    <row r="6662">
      <c r="A6662" s="39"/>
      <c r="E6662" s="40" t="s">
        <v>11404</v>
      </c>
      <c r="F6662" s="40" t="s">
        <v>11404</v>
      </c>
      <c r="G6662" s="40" t="s">
        <v>11404</v>
      </c>
      <c r="H6662" s="40" t="s">
        <v>11404</v>
      </c>
    </row>
    <row r="6663">
      <c r="A6663" s="39"/>
      <c r="E6663" s="40" t="s">
        <v>11404</v>
      </c>
      <c r="F6663" s="40" t="s">
        <v>11404</v>
      </c>
      <c r="G6663" s="40" t="s">
        <v>11404</v>
      </c>
      <c r="H6663" s="40" t="s">
        <v>11404</v>
      </c>
    </row>
    <row r="6664">
      <c r="A6664" s="39"/>
      <c r="E6664" s="40" t="s">
        <v>11404</v>
      </c>
      <c r="F6664" s="40" t="s">
        <v>11404</v>
      </c>
      <c r="G6664" s="40" t="s">
        <v>11404</v>
      </c>
      <c r="H6664" s="40" t="s">
        <v>11404</v>
      </c>
    </row>
    <row r="6665">
      <c r="A6665" s="39"/>
      <c r="E6665" s="40" t="s">
        <v>11404</v>
      </c>
      <c r="F6665" s="40" t="s">
        <v>11404</v>
      </c>
      <c r="G6665" s="40" t="s">
        <v>11404</v>
      </c>
      <c r="H6665" s="40" t="s">
        <v>11404</v>
      </c>
    </row>
    <row r="6666">
      <c r="A6666" s="39"/>
      <c r="E6666" s="40" t="s">
        <v>11404</v>
      </c>
      <c r="F6666" s="40" t="s">
        <v>11404</v>
      </c>
      <c r="G6666" s="40" t="s">
        <v>11404</v>
      </c>
      <c r="H6666" s="40" t="s">
        <v>11404</v>
      </c>
    </row>
    <row r="6667">
      <c r="A6667" s="39"/>
      <c r="E6667" s="40" t="s">
        <v>11404</v>
      </c>
      <c r="F6667" s="40" t="s">
        <v>11404</v>
      </c>
      <c r="G6667" s="40" t="s">
        <v>11404</v>
      </c>
      <c r="H6667" s="40" t="s">
        <v>11404</v>
      </c>
    </row>
    <row r="6668">
      <c r="A6668" s="39"/>
      <c r="E6668" s="40" t="s">
        <v>11404</v>
      </c>
      <c r="F6668" s="40" t="s">
        <v>11404</v>
      </c>
      <c r="G6668" s="40" t="s">
        <v>11404</v>
      </c>
      <c r="H6668" s="40" t="s">
        <v>11404</v>
      </c>
    </row>
    <row r="6669">
      <c r="A6669" s="39"/>
      <c r="E6669" s="40" t="s">
        <v>11404</v>
      </c>
      <c r="F6669" s="40" t="s">
        <v>11404</v>
      </c>
      <c r="G6669" s="40" t="s">
        <v>11404</v>
      </c>
      <c r="H6669" s="40" t="s">
        <v>11404</v>
      </c>
    </row>
    <row r="6670">
      <c r="A6670" s="39"/>
      <c r="E6670" s="40" t="s">
        <v>11404</v>
      </c>
      <c r="F6670" s="40" t="s">
        <v>11404</v>
      </c>
      <c r="G6670" s="40" t="s">
        <v>11404</v>
      </c>
      <c r="H6670" s="40" t="s">
        <v>11404</v>
      </c>
    </row>
    <row r="6671">
      <c r="A6671" s="39"/>
      <c r="E6671" s="40" t="s">
        <v>11404</v>
      </c>
      <c r="F6671" s="40" t="s">
        <v>11404</v>
      </c>
      <c r="G6671" s="40" t="s">
        <v>11404</v>
      </c>
      <c r="H6671" s="40" t="s">
        <v>11404</v>
      </c>
    </row>
    <row r="6672">
      <c r="A6672" s="39"/>
      <c r="E6672" s="40" t="s">
        <v>11404</v>
      </c>
      <c r="F6672" s="40" t="s">
        <v>11404</v>
      </c>
      <c r="G6672" s="40" t="s">
        <v>11404</v>
      </c>
      <c r="H6672" s="40" t="s">
        <v>11404</v>
      </c>
    </row>
    <row r="6673">
      <c r="A6673" s="39"/>
      <c r="E6673" s="40" t="s">
        <v>11404</v>
      </c>
      <c r="F6673" s="40" t="s">
        <v>11404</v>
      </c>
      <c r="G6673" s="40" t="s">
        <v>11404</v>
      </c>
      <c r="H6673" s="40" t="s">
        <v>11404</v>
      </c>
    </row>
    <row r="6674">
      <c r="A6674" s="39"/>
      <c r="E6674" s="40" t="s">
        <v>11404</v>
      </c>
      <c r="F6674" s="40" t="s">
        <v>11404</v>
      </c>
      <c r="G6674" s="40" t="s">
        <v>11404</v>
      </c>
      <c r="H6674" s="40" t="s">
        <v>11404</v>
      </c>
    </row>
    <row r="6675">
      <c r="A6675" s="39"/>
      <c r="E6675" s="40" t="s">
        <v>11404</v>
      </c>
      <c r="F6675" s="40" t="s">
        <v>11404</v>
      </c>
      <c r="G6675" s="40" t="s">
        <v>11404</v>
      </c>
      <c r="H6675" s="40" t="s">
        <v>11404</v>
      </c>
    </row>
    <row r="6676">
      <c r="A6676" s="39"/>
      <c r="E6676" s="40" t="s">
        <v>11404</v>
      </c>
      <c r="F6676" s="40" t="s">
        <v>11404</v>
      </c>
      <c r="G6676" s="40" t="s">
        <v>11404</v>
      </c>
      <c r="H6676" s="40" t="s">
        <v>11404</v>
      </c>
    </row>
    <row r="6677">
      <c r="A6677" s="39"/>
      <c r="E6677" s="40" t="s">
        <v>11404</v>
      </c>
      <c r="F6677" s="40" t="s">
        <v>11404</v>
      </c>
      <c r="G6677" s="40" t="s">
        <v>11404</v>
      </c>
      <c r="H6677" s="40" t="s">
        <v>11404</v>
      </c>
    </row>
    <row r="6678">
      <c r="A6678" s="39"/>
      <c r="E6678" s="40" t="s">
        <v>11404</v>
      </c>
      <c r="F6678" s="40" t="s">
        <v>11404</v>
      </c>
      <c r="G6678" s="40" t="s">
        <v>11404</v>
      </c>
      <c r="H6678" s="40" t="s">
        <v>11404</v>
      </c>
    </row>
    <row r="6679">
      <c r="A6679" s="39"/>
      <c r="E6679" s="40" t="s">
        <v>11404</v>
      </c>
      <c r="F6679" s="40" t="s">
        <v>11404</v>
      </c>
      <c r="G6679" s="40" t="s">
        <v>11404</v>
      </c>
      <c r="H6679" s="40" t="s">
        <v>11404</v>
      </c>
    </row>
    <row r="6680">
      <c r="A6680" s="39"/>
      <c r="E6680" s="40" t="s">
        <v>11404</v>
      </c>
      <c r="F6680" s="40" t="s">
        <v>11404</v>
      </c>
      <c r="G6680" s="40" t="s">
        <v>11404</v>
      </c>
      <c r="H6680" s="40" t="s">
        <v>11404</v>
      </c>
    </row>
    <row r="6681">
      <c r="A6681" s="39"/>
      <c r="E6681" s="40" t="s">
        <v>11404</v>
      </c>
      <c r="F6681" s="40" t="s">
        <v>11404</v>
      </c>
      <c r="G6681" s="40" t="s">
        <v>11404</v>
      </c>
      <c r="H6681" s="40" t="s">
        <v>11404</v>
      </c>
    </row>
    <row r="6682">
      <c r="A6682" s="39"/>
      <c r="E6682" s="40" t="s">
        <v>11404</v>
      </c>
      <c r="F6682" s="40" t="s">
        <v>11404</v>
      </c>
      <c r="G6682" s="40" t="s">
        <v>11404</v>
      </c>
      <c r="H6682" s="40" t="s">
        <v>11404</v>
      </c>
    </row>
    <row r="6683">
      <c r="A6683" s="39"/>
      <c r="E6683" s="40" t="s">
        <v>11404</v>
      </c>
      <c r="F6683" s="40" t="s">
        <v>11404</v>
      </c>
      <c r="G6683" s="40" t="s">
        <v>11404</v>
      </c>
      <c r="H6683" s="40" t="s">
        <v>11404</v>
      </c>
    </row>
    <row r="6684">
      <c r="A6684" s="39"/>
      <c r="E6684" s="40" t="s">
        <v>11404</v>
      </c>
      <c r="F6684" s="40" t="s">
        <v>11404</v>
      </c>
      <c r="G6684" s="40" t="s">
        <v>11404</v>
      </c>
      <c r="H6684" s="40" t="s">
        <v>11404</v>
      </c>
    </row>
    <row r="6685">
      <c r="A6685" s="39"/>
      <c r="E6685" s="40" t="s">
        <v>11404</v>
      </c>
      <c r="F6685" s="40" t="s">
        <v>11404</v>
      </c>
      <c r="G6685" s="40" t="s">
        <v>11404</v>
      </c>
      <c r="H6685" s="40" t="s">
        <v>11404</v>
      </c>
    </row>
    <row r="6686">
      <c r="A6686" s="39"/>
      <c r="E6686" s="40" t="s">
        <v>11404</v>
      </c>
      <c r="F6686" s="40" t="s">
        <v>11404</v>
      </c>
      <c r="G6686" s="40" t="s">
        <v>11404</v>
      </c>
      <c r="H6686" s="40" t="s">
        <v>11404</v>
      </c>
    </row>
    <row r="6687">
      <c r="A6687" s="39"/>
      <c r="E6687" s="40" t="s">
        <v>11404</v>
      </c>
      <c r="F6687" s="40" t="s">
        <v>11404</v>
      </c>
      <c r="G6687" s="40" t="s">
        <v>11404</v>
      </c>
      <c r="H6687" s="40" t="s">
        <v>11404</v>
      </c>
    </row>
    <row r="6688">
      <c r="A6688" s="39"/>
      <c r="E6688" s="40" t="s">
        <v>11404</v>
      </c>
      <c r="F6688" s="40" t="s">
        <v>11404</v>
      </c>
      <c r="G6688" s="40" t="s">
        <v>11404</v>
      </c>
      <c r="H6688" s="40" t="s">
        <v>11404</v>
      </c>
    </row>
    <row r="6689">
      <c r="A6689" s="39"/>
      <c r="E6689" s="40" t="s">
        <v>11404</v>
      </c>
      <c r="F6689" s="40" t="s">
        <v>11404</v>
      </c>
      <c r="G6689" s="40" t="s">
        <v>11404</v>
      </c>
      <c r="H6689" s="40" t="s">
        <v>11404</v>
      </c>
    </row>
    <row r="6690">
      <c r="A6690" s="39"/>
      <c r="E6690" s="40" t="s">
        <v>11404</v>
      </c>
      <c r="F6690" s="40" t="s">
        <v>11404</v>
      </c>
      <c r="G6690" s="40" t="s">
        <v>11404</v>
      </c>
      <c r="H6690" s="40" t="s">
        <v>11404</v>
      </c>
    </row>
    <row r="6691">
      <c r="A6691" s="39"/>
      <c r="E6691" s="40" t="s">
        <v>11404</v>
      </c>
      <c r="F6691" s="40" t="s">
        <v>11404</v>
      </c>
      <c r="G6691" s="40" t="s">
        <v>11404</v>
      </c>
      <c r="H6691" s="40" t="s">
        <v>11404</v>
      </c>
    </row>
    <row r="6692">
      <c r="A6692" s="39"/>
      <c r="E6692" s="40" t="s">
        <v>11404</v>
      </c>
      <c r="F6692" s="40" t="s">
        <v>11404</v>
      </c>
      <c r="G6692" s="40" t="s">
        <v>11404</v>
      </c>
      <c r="H6692" s="40" t="s">
        <v>11404</v>
      </c>
    </row>
    <row r="6693">
      <c r="A6693" s="39"/>
      <c r="E6693" s="40" t="s">
        <v>11404</v>
      </c>
      <c r="F6693" s="40" t="s">
        <v>11404</v>
      </c>
      <c r="G6693" s="40" t="s">
        <v>11404</v>
      </c>
      <c r="H6693" s="40" t="s">
        <v>11404</v>
      </c>
    </row>
    <row r="6694">
      <c r="A6694" s="39"/>
      <c r="E6694" s="40" t="s">
        <v>11404</v>
      </c>
      <c r="F6694" s="40" t="s">
        <v>11404</v>
      </c>
      <c r="G6694" s="40" t="s">
        <v>11404</v>
      </c>
      <c r="H6694" s="40" t="s">
        <v>11404</v>
      </c>
    </row>
    <row r="6695">
      <c r="A6695" s="39"/>
      <c r="E6695" s="40" t="s">
        <v>11404</v>
      </c>
      <c r="F6695" s="40" t="s">
        <v>11404</v>
      </c>
      <c r="G6695" s="40" t="s">
        <v>11404</v>
      </c>
      <c r="H6695" s="40" t="s">
        <v>11404</v>
      </c>
    </row>
    <row r="6696">
      <c r="A6696" s="39"/>
      <c r="E6696" s="40" t="s">
        <v>11404</v>
      </c>
      <c r="F6696" s="40" t="s">
        <v>11404</v>
      </c>
      <c r="G6696" s="40" t="s">
        <v>11404</v>
      </c>
      <c r="H6696" s="40" t="s">
        <v>11404</v>
      </c>
    </row>
    <row r="6697">
      <c r="A6697" s="39"/>
      <c r="E6697" s="40" t="s">
        <v>11404</v>
      </c>
      <c r="F6697" s="40" t="s">
        <v>11404</v>
      </c>
      <c r="G6697" s="40" t="s">
        <v>11404</v>
      </c>
      <c r="H6697" s="40" t="s">
        <v>11404</v>
      </c>
    </row>
    <row r="6698">
      <c r="A6698" s="39"/>
      <c r="E6698" s="40" t="s">
        <v>11404</v>
      </c>
      <c r="F6698" s="40" t="s">
        <v>11404</v>
      </c>
      <c r="G6698" s="40" t="s">
        <v>11404</v>
      </c>
      <c r="H6698" s="40" t="s">
        <v>11404</v>
      </c>
    </row>
    <row r="6699">
      <c r="A6699" s="39"/>
      <c r="E6699" s="40" t="s">
        <v>11404</v>
      </c>
      <c r="F6699" s="40" t="s">
        <v>11404</v>
      </c>
      <c r="G6699" s="40" t="s">
        <v>11404</v>
      </c>
      <c r="H6699" s="40" t="s">
        <v>11404</v>
      </c>
    </row>
    <row r="6700">
      <c r="A6700" s="39"/>
      <c r="E6700" s="40" t="s">
        <v>11404</v>
      </c>
      <c r="F6700" s="40" t="s">
        <v>11404</v>
      </c>
      <c r="G6700" s="40" t="s">
        <v>11404</v>
      </c>
      <c r="H6700" s="40" t="s">
        <v>11404</v>
      </c>
    </row>
    <row r="6701">
      <c r="A6701" s="39"/>
      <c r="E6701" s="40" t="s">
        <v>11404</v>
      </c>
      <c r="F6701" s="40" t="s">
        <v>11404</v>
      </c>
      <c r="G6701" s="40" t="s">
        <v>11404</v>
      </c>
      <c r="H6701" s="40" t="s">
        <v>11404</v>
      </c>
    </row>
    <row r="6702">
      <c r="A6702" s="39"/>
      <c r="E6702" s="40" t="s">
        <v>11404</v>
      </c>
      <c r="F6702" s="40" t="s">
        <v>11404</v>
      </c>
      <c r="G6702" s="40" t="s">
        <v>11404</v>
      </c>
      <c r="H6702" s="40" t="s">
        <v>11404</v>
      </c>
    </row>
    <row r="6703">
      <c r="A6703" s="39"/>
      <c r="E6703" s="40" t="s">
        <v>11404</v>
      </c>
      <c r="F6703" s="40" t="s">
        <v>11404</v>
      </c>
      <c r="G6703" s="40" t="s">
        <v>11404</v>
      </c>
      <c r="H6703" s="40" t="s">
        <v>11404</v>
      </c>
    </row>
    <row r="6704">
      <c r="A6704" s="39"/>
      <c r="E6704" s="40" t="s">
        <v>11404</v>
      </c>
      <c r="F6704" s="40" t="s">
        <v>11404</v>
      </c>
      <c r="G6704" s="40" t="s">
        <v>11404</v>
      </c>
      <c r="H6704" s="40" t="s">
        <v>11404</v>
      </c>
    </row>
    <row r="6705">
      <c r="A6705" s="39"/>
      <c r="E6705" s="40" t="s">
        <v>11404</v>
      </c>
      <c r="F6705" s="40" t="s">
        <v>11404</v>
      </c>
      <c r="G6705" s="40" t="s">
        <v>11404</v>
      </c>
      <c r="H6705" s="40" t="s">
        <v>11404</v>
      </c>
    </row>
    <row r="6706">
      <c r="A6706" s="39"/>
      <c r="E6706" s="40" t="s">
        <v>11404</v>
      </c>
      <c r="F6706" s="40" t="s">
        <v>11404</v>
      </c>
      <c r="G6706" s="40" t="s">
        <v>11404</v>
      </c>
      <c r="H6706" s="40" t="s">
        <v>11404</v>
      </c>
    </row>
    <row r="6707">
      <c r="A6707" s="39"/>
      <c r="E6707" s="40" t="s">
        <v>11404</v>
      </c>
      <c r="F6707" s="40" t="s">
        <v>11404</v>
      </c>
      <c r="G6707" s="40" t="s">
        <v>11404</v>
      </c>
      <c r="H6707" s="40" t="s">
        <v>11404</v>
      </c>
    </row>
    <row r="6708">
      <c r="A6708" s="39"/>
      <c r="E6708" s="40" t="s">
        <v>11404</v>
      </c>
      <c r="F6708" s="40" t="s">
        <v>11404</v>
      </c>
      <c r="G6708" s="40" t="s">
        <v>11404</v>
      </c>
      <c r="H6708" s="40" t="s">
        <v>11404</v>
      </c>
    </row>
    <row r="6709">
      <c r="A6709" s="39"/>
      <c r="E6709" s="40" t="s">
        <v>11404</v>
      </c>
      <c r="F6709" s="40" t="s">
        <v>11404</v>
      </c>
      <c r="G6709" s="40" t="s">
        <v>11404</v>
      </c>
      <c r="H6709" s="40" t="s">
        <v>11404</v>
      </c>
    </row>
    <row r="6710">
      <c r="A6710" s="39"/>
      <c r="E6710" s="40" t="s">
        <v>11404</v>
      </c>
      <c r="F6710" s="40" t="s">
        <v>11404</v>
      </c>
      <c r="G6710" s="40" t="s">
        <v>11404</v>
      </c>
      <c r="H6710" s="40" t="s">
        <v>11404</v>
      </c>
    </row>
    <row r="6711">
      <c r="A6711" s="39"/>
      <c r="E6711" s="40" t="s">
        <v>11404</v>
      </c>
      <c r="F6711" s="40" t="s">
        <v>11404</v>
      </c>
      <c r="G6711" s="40" t="s">
        <v>11404</v>
      </c>
      <c r="H6711" s="40" t="s">
        <v>11404</v>
      </c>
    </row>
    <row r="6712">
      <c r="A6712" s="39"/>
      <c r="E6712" s="40" t="s">
        <v>11404</v>
      </c>
      <c r="F6712" s="40" t="s">
        <v>11404</v>
      </c>
      <c r="G6712" s="40" t="s">
        <v>11404</v>
      </c>
      <c r="H6712" s="40" t="s">
        <v>11404</v>
      </c>
    </row>
    <row r="6713">
      <c r="A6713" s="39"/>
      <c r="E6713" s="40" t="s">
        <v>11404</v>
      </c>
      <c r="F6713" s="40" t="s">
        <v>11404</v>
      </c>
      <c r="G6713" s="40" t="s">
        <v>11404</v>
      </c>
      <c r="H6713" s="40" t="s">
        <v>11404</v>
      </c>
    </row>
    <row r="6714">
      <c r="A6714" s="39"/>
      <c r="E6714" s="40" t="s">
        <v>11404</v>
      </c>
      <c r="F6714" s="40" t="s">
        <v>11404</v>
      </c>
      <c r="G6714" s="40" t="s">
        <v>11404</v>
      </c>
      <c r="H6714" s="40" t="s">
        <v>11404</v>
      </c>
    </row>
    <row r="6715">
      <c r="A6715" s="39"/>
      <c r="E6715" s="40" t="s">
        <v>11404</v>
      </c>
      <c r="F6715" s="40" t="s">
        <v>11404</v>
      </c>
      <c r="G6715" s="40" t="s">
        <v>11404</v>
      </c>
      <c r="H6715" s="40" t="s">
        <v>11404</v>
      </c>
    </row>
    <row r="6716">
      <c r="A6716" s="39"/>
      <c r="E6716" s="40" t="s">
        <v>11404</v>
      </c>
      <c r="F6716" s="40" t="s">
        <v>11404</v>
      </c>
      <c r="G6716" s="40" t="s">
        <v>11404</v>
      </c>
      <c r="H6716" s="40" t="s">
        <v>11404</v>
      </c>
    </row>
    <row r="6717">
      <c r="A6717" s="39"/>
      <c r="E6717" s="40" t="s">
        <v>11404</v>
      </c>
      <c r="F6717" s="40" t="s">
        <v>11404</v>
      </c>
      <c r="G6717" s="40" t="s">
        <v>11404</v>
      </c>
      <c r="H6717" s="40" t="s">
        <v>11404</v>
      </c>
    </row>
    <row r="6718">
      <c r="A6718" s="39"/>
      <c r="E6718" s="40" t="s">
        <v>11404</v>
      </c>
      <c r="F6718" s="40" t="s">
        <v>11404</v>
      </c>
      <c r="G6718" s="40" t="s">
        <v>11404</v>
      </c>
      <c r="H6718" s="40" t="s">
        <v>11404</v>
      </c>
    </row>
    <row r="6719">
      <c r="A6719" s="39"/>
      <c r="E6719" s="40" t="s">
        <v>11404</v>
      </c>
      <c r="F6719" s="40" t="s">
        <v>11404</v>
      </c>
      <c r="G6719" s="40" t="s">
        <v>11404</v>
      </c>
      <c r="H6719" s="40" t="s">
        <v>11404</v>
      </c>
    </row>
    <row r="6720">
      <c r="A6720" s="39"/>
      <c r="E6720" s="40" t="s">
        <v>11404</v>
      </c>
      <c r="F6720" s="40" t="s">
        <v>11404</v>
      </c>
      <c r="G6720" s="40" t="s">
        <v>11404</v>
      </c>
      <c r="H6720" s="40" t="s">
        <v>11404</v>
      </c>
    </row>
    <row r="6721">
      <c r="A6721" s="39"/>
      <c r="E6721" s="40" t="s">
        <v>11404</v>
      </c>
      <c r="F6721" s="40" t="s">
        <v>11404</v>
      </c>
      <c r="G6721" s="40" t="s">
        <v>11404</v>
      </c>
      <c r="H6721" s="40" t="s">
        <v>11404</v>
      </c>
    </row>
    <row r="6722">
      <c r="A6722" s="39"/>
      <c r="E6722" s="40" t="s">
        <v>11404</v>
      </c>
      <c r="F6722" s="40" t="s">
        <v>11404</v>
      </c>
      <c r="G6722" s="40" t="s">
        <v>11404</v>
      </c>
      <c r="H6722" s="40" t="s">
        <v>11404</v>
      </c>
    </row>
    <row r="6723">
      <c r="A6723" s="39"/>
      <c r="E6723" s="40" t="s">
        <v>11404</v>
      </c>
      <c r="F6723" s="40" t="s">
        <v>11404</v>
      </c>
      <c r="G6723" s="40" t="s">
        <v>11404</v>
      </c>
      <c r="H6723" s="40" t="s">
        <v>11404</v>
      </c>
    </row>
    <row r="6724">
      <c r="A6724" s="39"/>
      <c r="E6724" s="40" t="s">
        <v>11404</v>
      </c>
      <c r="F6724" s="40" t="s">
        <v>11404</v>
      </c>
      <c r="G6724" s="40" t="s">
        <v>11404</v>
      </c>
      <c r="H6724" s="40" t="s">
        <v>11404</v>
      </c>
    </row>
    <row r="6725">
      <c r="A6725" s="39"/>
      <c r="E6725" s="40" t="s">
        <v>11404</v>
      </c>
      <c r="F6725" s="40" t="s">
        <v>11404</v>
      </c>
      <c r="G6725" s="40" t="s">
        <v>11404</v>
      </c>
      <c r="H6725" s="40" t="s">
        <v>11404</v>
      </c>
    </row>
    <row r="6726">
      <c r="A6726" s="39"/>
      <c r="E6726" s="40" t="s">
        <v>11404</v>
      </c>
      <c r="F6726" s="40" t="s">
        <v>11404</v>
      </c>
      <c r="G6726" s="40" t="s">
        <v>11404</v>
      </c>
      <c r="H6726" s="40" t="s">
        <v>11404</v>
      </c>
    </row>
    <row r="6727">
      <c r="A6727" s="39"/>
      <c r="E6727" s="40" t="s">
        <v>11404</v>
      </c>
      <c r="F6727" s="40" t="s">
        <v>11404</v>
      </c>
      <c r="G6727" s="40" t="s">
        <v>11404</v>
      </c>
      <c r="H6727" s="40" t="s">
        <v>11404</v>
      </c>
    </row>
    <row r="6728">
      <c r="A6728" s="39"/>
      <c r="E6728" s="40" t="s">
        <v>11404</v>
      </c>
      <c r="F6728" s="40" t="s">
        <v>11404</v>
      </c>
      <c r="G6728" s="40" t="s">
        <v>11404</v>
      </c>
      <c r="H6728" s="40" t="s">
        <v>11404</v>
      </c>
    </row>
    <row r="6729">
      <c r="A6729" s="39"/>
      <c r="E6729" s="40" t="s">
        <v>11404</v>
      </c>
      <c r="F6729" s="40" t="s">
        <v>11404</v>
      </c>
      <c r="G6729" s="40" t="s">
        <v>11404</v>
      </c>
      <c r="H6729" s="40" t="s">
        <v>11404</v>
      </c>
    </row>
    <row r="6730">
      <c r="A6730" s="39"/>
      <c r="E6730" s="40" t="s">
        <v>11404</v>
      </c>
      <c r="F6730" s="40" t="s">
        <v>11404</v>
      </c>
      <c r="G6730" s="40" t="s">
        <v>11404</v>
      </c>
      <c r="H6730" s="40" t="s">
        <v>11404</v>
      </c>
    </row>
    <row r="6731">
      <c r="A6731" s="39"/>
      <c r="E6731" s="40" t="s">
        <v>11404</v>
      </c>
      <c r="F6731" s="40" t="s">
        <v>11404</v>
      </c>
      <c r="G6731" s="40" t="s">
        <v>11404</v>
      </c>
      <c r="H6731" s="40" t="s">
        <v>11404</v>
      </c>
    </row>
    <row r="6732">
      <c r="A6732" s="39"/>
      <c r="E6732" s="40" t="s">
        <v>11404</v>
      </c>
      <c r="F6732" s="40" t="s">
        <v>11404</v>
      </c>
      <c r="G6732" s="40" t="s">
        <v>11404</v>
      </c>
      <c r="H6732" s="40" t="s">
        <v>11404</v>
      </c>
    </row>
    <row r="6733">
      <c r="A6733" s="39"/>
      <c r="E6733" s="40" t="s">
        <v>11404</v>
      </c>
      <c r="F6733" s="40" t="s">
        <v>11404</v>
      </c>
      <c r="G6733" s="40" t="s">
        <v>11404</v>
      </c>
      <c r="H6733" s="40" t="s">
        <v>11404</v>
      </c>
    </row>
    <row r="6734">
      <c r="A6734" s="39"/>
      <c r="E6734" s="40" t="s">
        <v>11404</v>
      </c>
      <c r="F6734" s="40" t="s">
        <v>11404</v>
      </c>
      <c r="G6734" s="40" t="s">
        <v>11404</v>
      </c>
      <c r="H6734" s="40" t="s">
        <v>11404</v>
      </c>
    </row>
    <row r="6735">
      <c r="A6735" s="39"/>
      <c r="E6735" s="40" t="s">
        <v>11404</v>
      </c>
      <c r="F6735" s="40" t="s">
        <v>11404</v>
      </c>
      <c r="G6735" s="40" t="s">
        <v>11404</v>
      </c>
      <c r="H6735" s="40" t="s">
        <v>11404</v>
      </c>
    </row>
    <row r="6736">
      <c r="A6736" s="39"/>
      <c r="E6736" s="40" t="s">
        <v>11404</v>
      </c>
      <c r="F6736" s="40" t="s">
        <v>11404</v>
      </c>
      <c r="G6736" s="40" t="s">
        <v>11404</v>
      </c>
      <c r="H6736" s="40" t="s">
        <v>11404</v>
      </c>
    </row>
    <row r="6737">
      <c r="A6737" s="39"/>
      <c r="E6737" s="40" t="s">
        <v>11404</v>
      </c>
      <c r="F6737" s="40" t="s">
        <v>11404</v>
      </c>
      <c r="G6737" s="40" t="s">
        <v>11404</v>
      </c>
      <c r="H6737" s="40" t="s">
        <v>11404</v>
      </c>
    </row>
    <row r="6738">
      <c r="A6738" s="39"/>
      <c r="E6738" s="40" t="s">
        <v>11404</v>
      </c>
      <c r="F6738" s="40" t="s">
        <v>11404</v>
      </c>
      <c r="G6738" s="40" t="s">
        <v>11404</v>
      </c>
      <c r="H6738" s="40" t="s">
        <v>11404</v>
      </c>
    </row>
    <row r="6739">
      <c r="A6739" s="39"/>
      <c r="E6739" s="40" t="s">
        <v>11404</v>
      </c>
      <c r="F6739" s="40" t="s">
        <v>11404</v>
      </c>
      <c r="G6739" s="40" t="s">
        <v>11404</v>
      </c>
      <c r="H6739" s="40" t="s">
        <v>11404</v>
      </c>
    </row>
    <row r="6740">
      <c r="A6740" s="39"/>
      <c r="E6740" s="40" t="s">
        <v>11404</v>
      </c>
      <c r="F6740" s="40" t="s">
        <v>11404</v>
      </c>
      <c r="G6740" s="40" t="s">
        <v>11404</v>
      </c>
      <c r="H6740" s="40" t="s">
        <v>11404</v>
      </c>
    </row>
    <row r="6741">
      <c r="A6741" s="39"/>
      <c r="E6741" s="40" t="s">
        <v>11404</v>
      </c>
      <c r="F6741" s="40" t="s">
        <v>11404</v>
      </c>
      <c r="G6741" s="40" t="s">
        <v>11404</v>
      </c>
      <c r="H6741" s="40" t="s">
        <v>11404</v>
      </c>
    </row>
    <row r="6742">
      <c r="A6742" s="39"/>
      <c r="E6742" s="40" t="s">
        <v>11404</v>
      </c>
      <c r="F6742" s="40" t="s">
        <v>11404</v>
      </c>
      <c r="G6742" s="40" t="s">
        <v>11404</v>
      </c>
      <c r="H6742" s="40" t="s">
        <v>11404</v>
      </c>
    </row>
    <row r="6743">
      <c r="A6743" s="39"/>
      <c r="E6743" s="40" t="s">
        <v>11404</v>
      </c>
      <c r="F6743" s="40" t="s">
        <v>11404</v>
      </c>
      <c r="G6743" s="40" t="s">
        <v>11404</v>
      </c>
      <c r="H6743" s="40" t="s">
        <v>11404</v>
      </c>
    </row>
    <row r="6744">
      <c r="A6744" s="39"/>
      <c r="E6744" s="40" t="s">
        <v>11404</v>
      </c>
      <c r="F6744" s="40" t="s">
        <v>11404</v>
      </c>
      <c r="G6744" s="40" t="s">
        <v>11404</v>
      </c>
      <c r="H6744" s="40" t="s">
        <v>11404</v>
      </c>
    </row>
    <row r="6745">
      <c r="A6745" s="39"/>
      <c r="E6745" s="40" t="s">
        <v>11404</v>
      </c>
      <c r="F6745" s="40" t="s">
        <v>11404</v>
      </c>
      <c r="G6745" s="40" t="s">
        <v>11404</v>
      </c>
      <c r="H6745" s="40" t="s">
        <v>11404</v>
      </c>
    </row>
    <row r="6746">
      <c r="A6746" s="39"/>
      <c r="E6746" s="40" t="s">
        <v>11404</v>
      </c>
      <c r="F6746" s="40" t="s">
        <v>11404</v>
      </c>
      <c r="G6746" s="40" t="s">
        <v>11404</v>
      </c>
      <c r="H6746" s="40" t="s">
        <v>11404</v>
      </c>
    </row>
    <row r="6747">
      <c r="A6747" s="39"/>
      <c r="E6747" s="40" t="s">
        <v>11404</v>
      </c>
      <c r="F6747" s="40" t="s">
        <v>11404</v>
      </c>
      <c r="G6747" s="40" t="s">
        <v>11404</v>
      </c>
      <c r="H6747" s="40" t="s">
        <v>11404</v>
      </c>
    </row>
    <row r="6748">
      <c r="A6748" s="39"/>
      <c r="E6748" s="40" t="s">
        <v>11404</v>
      </c>
      <c r="F6748" s="40" t="s">
        <v>11404</v>
      </c>
      <c r="G6748" s="40" t="s">
        <v>11404</v>
      </c>
      <c r="H6748" s="40" t="s">
        <v>11404</v>
      </c>
    </row>
    <row r="6749">
      <c r="A6749" s="39"/>
      <c r="E6749" s="40" t="s">
        <v>11404</v>
      </c>
      <c r="F6749" s="40" t="s">
        <v>11404</v>
      </c>
      <c r="G6749" s="40" t="s">
        <v>11404</v>
      </c>
      <c r="H6749" s="40" t="s">
        <v>11404</v>
      </c>
    </row>
    <row r="6750">
      <c r="A6750" s="39"/>
      <c r="E6750" s="40" t="s">
        <v>11404</v>
      </c>
      <c r="F6750" s="40" t="s">
        <v>11404</v>
      </c>
      <c r="G6750" s="40" t="s">
        <v>11404</v>
      </c>
      <c r="H6750" s="40" t="s">
        <v>11404</v>
      </c>
    </row>
    <row r="6751">
      <c r="A6751" s="39"/>
      <c r="E6751" s="40" t="s">
        <v>11404</v>
      </c>
      <c r="F6751" s="40" t="s">
        <v>11404</v>
      </c>
      <c r="G6751" s="40" t="s">
        <v>11404</v>
      </c>
      <c r="H6751" s="40" t="s">
        <v>11404</v>
      </c>
    </row>
    <row r="6752">
      <c r="A6752" s="39"/>
      <c r="E6752" s="40" t="s">
        <v>11404</v>
      </c>
      <c r="F6752" s="40" t="s">
        <v>11404</v>
      </c>
      <c r="G6752" s="40" t="s">
        <v>11404</v>
      </c>
      <c r="H6752" s="40" t="s">
        <v>11404</v>
      </c>
    </row>
    <row r="6753">
      <c r="A6753" s="39"/>
      <c r="E6753" s="40" t="s">
        <v>11404</v>
      </c>
      <c r="F6753" s="40" t="s">
        <v>11404</v>
      </c>
      <c r="G6753" s="40" t="s">
        <v>11404</v>
      </c>
      <c r="H6753" s="40" t="s">
        <v>11404</v>
      </c>
    </row>
    <row r="6754">
      <c r="A6754" s="39"/>
      <c r="E6754" s="40" t="s">
        <v>11404</v>
      </c>
      <c r="F6754" s="40" t="s">
        <v>11404</v>
      </c>
      <c r="G6754" s="40" t="s">
        <v>11404</v>
      </c>
      <c r="H6754" s="40" t="s">
        <v>11404</v>
      </c>
    </row>
    <row r="6755">
      <c r="A6755" s="39"/>
      <c r="E6755" s="40" t="s">
        <v>11404</v>
      </c>
      <c r="F6755" s="40" t="s">
        <v>11404</v>
      </c>
      <c r="G6755" s="40" t="s">
        <v>11404</v>
      </c>
      <c r="H6755" s="40" t="s">
        <v>11404</v>
      </c>
    </row>
    <row r="6756">
      <c r="A6756" s="39"/>
      <c r="E6756" s="40" t="s">
        <v>11404</v>
      </c>
      <c r="F6756" s="40" t="s">
        <v>11404</v>
      </c>
      <c r="G6756" s="40" t="s">
        <v>11404</v>
      </c>
      <c r="H6756" s="40" t="s">
        <v>11404</v>
      </c>
    </row>
    <row r="6757">
      <c r="A6757" s="39"/>
      <c r="E6757" s="40" t="s">
        <v>11404</v>
      </c>
      <c r="F6757" s="40" t="s">
        <v>11404</v>
      </c>
      <c r="G6757" s="40" t="s">
        <v>11404</v>
      </c>
      <c r="H6757" s="40" t="s">
        <v>11404</v>
      </c>
    </row>
    <row r="6758">
      <c r="A6758" s="39"/>
      <c r="E6758" s="40" t="s">
        <v>11404</v>
      </c>
      <c r="F6758" s="40" t="s">
        <v>11404</v>
      </c>
      <c r="G6758" s="40" t="s">
        <v>11404</v>
      </c>
      <c r="H6758" s="40" t="s">
        <v>11404</v>
      </c>
    </row>
    <row r="6759">
      <c r="A6759" s="39"/>
      <c r="E6759" s="40" t="s">
        <v>11404</v>
      </c>
      <c r="F6759" s="40" t="s">
        <v>11404</v>
      </c>
      <c r="G6759" s="40" t="s">
        <v>11404</v>
      </c>
      <c r="H6759" s="40" t="s">
        <v>11404</v>
      </c>
    </row>
    <row r="6760">
      <c r="A6760" s="39"/>
      <c r="E6760" s="40" t="s">
        <v>11404</v>
      </c>
      <c r="F6760" s="40" t="s">
        <v>11404</v>
      </c>
      <c r="G6760" s="40" t="s">
        <v>11404</v>
      </c>
      <c r="H6760" s="40" t="s">
        <v>11404</v>
      </c>
    </row>
    <row r="6761">
      <c r="A6761" s="39"/>
      <c r="E6761" s="40" t="s">
        <v>11404</v>
      </c>
      <c r="F6761" s="40" t="s">
        <v>11404</v>
      </c>
      <c r="G6761" s="40" t="s">
        <v>11404</v>
      </c>
      <c r="H6761" s="40" t="s">
        <v>11404</v>
      </c>
    </row>
    <row r="6762">
      <c r="A6762" s="39"/>
      <c r="E6762" s="40" t="s">
        <v>11404</v>
      </c>
      <c r="F6762" s="40" t="s">
        <v>11404</v>
      </c>
      <c r="G6762" s="40" t="s">
        <v>11404</v>
      </c>
      <c r="H6762" s="40" t="s">
        <v>11404</v>
      </c>
    </row>
    <row r="6763">
      <c r="A6763" s="39"/>
      <c r="E6763" s="40" t="s">
        <v>11404</v>
      </c>
      <c r="F6763" s="40" t="s">
        <v>11404</v>
      </c>
      <c r="G6763" s="40" t="s">
        <v>11404</v>
      </c>
      <c r="H6763" s="40" t="s">
        <v>11404</v>
      </c>
    </row>
    <row r="6764">
      <c r="A6764" s="39"/>
      <c r="E6764" s="40" t="s">
        <v>11404</v>
      </c>
      <c r="F6764" s="40" t="s">
        <v>11404</v>
      </c>
      <c r="G6764" s="40" t="s">
        <v>11404</v>
      </c>
      <c r="H6764" s="40" t="s">
        <v>11404</v>
      </c>
    </row>
    <row r="6765">
      <c r="A6765" s="39"/>
      <c r="E6765" s="40" t="s">
        <v>11404</v>
      </c>
      <c r="F6765" s="40" t="s">
        <v>11404</v>
      </c>
      <c r="G6765" s="40" t="s">
        <v>11404</v>
      </c>
      <c r="H6765" s="40" t="s">
        <v>11404</v>
      </c>
    </row>
    <row r="6766">
      <c r="A6766" s="39"/>
      <c r="E6766" s="40" t="s">
        <v>11404</v>
      </c>
      <c r="F6766" s="40" t="s">
        <v>11404</v>
      </c>
      <c r="G6766" s="40" t="s">
        <v>11404</v>
      </c>
      <c r="H6766" s="40" t="s">
        <v>11404</v>
      </c>
    </row>
    <row r="6767">
      <c r="A6767" s="39"/>
      <c r="E6767" s="40" t="s">
        <v>11404</v>
      </c>
      <c r="F6767" s="40" t="s">
        <v>11404</v>
      </c>
      <c r="G6767" s="40" t="s">
        <v>11404</v>
      </c>
      <c r="H6767" s="40" t="s">
        <v>11404</v>
      </c>
    </row>
    <row r="6768">
      <c r="A6768" s="39"/>
      <c r="E6768" s="40" t="s">
        <v>11404</v>
      </c>
      <c r="F6768" s="40" t="s">
        <v>11404</v>
      </c>
      <c r="G6768" s="40" t="s">
        <v>11404</v>
      </c>
      <c r="H6768" s="40" t="s">
        <v>11404</v>
      </c>
    </row>
    <row r="6769">
      <c r="A6769" s="39"/>
      <c r="E6769" s="40" t="s">
        <v>11404</v>
      </c>
      <c r="F6769" s="40" t="s">
        <v>11404</v>
      </c>
      <c r="G6769" s="40" t="s">
        <v>11404</v>
      </c>
      <c r="H6769" s="40" t="s">
        <v>11404</v>
      </c>
    </row>
    <row r="6770">
      <c r="A6770" s="39"/>
      <c r="E6770" s="40" t="s">
        <v>11404</v>
      </c>
      <c r="F6770" s="40" t="s">
        <v>11404</v>
      </c>
      <c r="G6770" s="40" t="s">
        <v>11404</v>
      </c>
      <c r="H6770" s="40" t="s">
        <v>11404</v>
      </c>
    </row>
    <row r="6771">
      <c r="A6771" s="39"/>
      <c r="E6771" s="40" t="s">
        <v>11404</v>
      </c>
      <c r="F6771" s="40" t="s">
        <v>11404</v>
      </c>
      <c r="G6771" s="40" t="s">
        <v>11404</v>
      </c>
      <c r="H6771" s="40" t="s">
        <v>11404</v>
      </c>
    </row>
    <row r="6772">
      <c r="A6772" s="39"/>
      <c r="E6772" s="40" t="s">
        <v>11404</v>
      </c>
      <c r="F6772" s="40" t="s">
        <v>11404</v>
      </c>
      <c r="G6772" s="40" t="s">
        <v>11404</v>
      </c>
      <c r="H6772" s="40" t="s">
        <v>11404</v>
      </c>
    </row>
    <row r="6773">
      <c r="A6773" s="39"/>
      <c r="E6773" s="40" t="s">
        <v>11404</v>
      </c>
      <c r="F6773" s="40" t="s">
        <v>11404</v>
      </c>
      <c r="G6773" s="40" t="s">
        <v>11404</v>
      </c>
      <c r="H6773" s="40" t="s">
        <v>11404</v>
      </c>
    </row>
    <row r="6774">
      <c r="A6774" s="39"/>
      <c r="E6774" s="40" t="s">
        <v>11404</v>
      </c>
      <c r="F6774" s="40" t="s">
        <v>11404</v>
      </c>
      <c r="G6774" s="40" t="s">
        <v>11404</v>
      </c>
      <c r="H6774" s="40" t="s">
        <v>11404</v>
      </c>
    </row>
    <row r="6775">
      <c r="A6775" s="39"/>
      <c r="E6775" s="40" t="s">
        <v>11404</v>
      </c>
      <c r="F6775" s="40" t="s">
        <v>11404</v>
      </c>
      <c r="G6775" s="40" t="s">
        <v>11404</v>
      </c>
      <c r="H6775" s="40" t="s">
        <v>11404</v>
      </c>
    </row>
    <row r="6776">
      <c r="A6776" s="39"/>
      <c r="E6776" s="40" t="s">
        <v>11404</v>
      </c>
      <c r="F6776" s="40" t="s">
        <v>11404</v>
      </c>
      <c r="G6776" s="40" t="s">
        <v>11404</v>
      </c>
      <c r="H6776" s="40" t="s">
        <v>11404</v>
      </c>
    </row>
    <row r="6777">
      <c r="A6777" s="39"/>
      <c r="E6777" s="40" t="s">
        <v>11404</v>
      </c>
      <c r="F6777" s="40" t="s">
        <v>11404</v>
      </c>
      <c r="G6777" s="40" t="s">
        <v>11404</v>
      </c>
      <c r="H6777" s="40" t="s">
        <v>11404</v>
      </c>
    </row>
    <row r="6778">
      <c r="A6778" s="39"/>
      <c r="E6778" s="40" t="s">
        <v>11404</v>
      </c>
      <c r="F6778" s="40" t="s">
        <v>11404</v>
      </c>
      <c r="G6778" s="40" t="s">
        <v>11404</v>
      </c>
      <c r="H6778" s="40" t="s">
        <v>11404</v>
      </c>
    </row>
    <row r="6779">
      <c r="A6779" s="39"/>
      <c r="E6779" s="40" t="s">
        <v>11404</v>
      </c>
      <c r="F6779" s="40" t="s">
        <v>11404</v>
      </c>
      <c r="G6779" s="40" t="s">
        <v>11404</v>
      </c>
      <c r="H6779" s="40" t="s">
        <v>11404</v>
      </c>
    </row>
    <row r="6780">
      <c r="A6780" s="39"/>
      <c r="E6780" s="40" t="s">
        <v>11404</v>
      </c>
      <c r="F6780" s="40" t="s">
        <v>11404</v>
      </c>
      <c r="G6780" s="40" t="s">
        <v>11404</v>
      </c>
      <c r="H6780" s="40" t="s">
        <v>11404</v>
      </c>
    </row>
    <row r="6781">
      <c r="A6781" s="39"/>
      <c r="E6781" s="40" t="s">
        <v>11404</v>
      </c>
      <c r="F6781" s="40" t="s">
        <v>11404</v>
      </c>
      <c r="G6781" s="40" t="s">
        <v>11404</v>
      </c>
      <c r="H6781" s="40" t="s">
        <v>11404</v>
      </c>
    </row>
    <row r="6782">
      <c r="A6782" s="39"/>
      <c r="E6782" s="40" t="s">
        <v>11404</v>
      </c>
      <c r="F6782" s="40" t="s">
        <v>11404</v>
      </c>
      <c r="G6782" s="40" t="s">
        <v>11404</v>
      </c>
      <c r="H6782" s="40" t="s">
        <v>11404</v>
      </c>
    </row>
    <row r="6783">
      <c r="A6783" s="39"/>
      <c r="E6783" s="40" t="s">
        <v>11404</v>
      </c>
      <c r="F6783" s="40" t="s">
        <v>11404</v>
      </c>
      <c r="G6783" s="40" t="s">
        <v>11404</v>
      </c>
      <c r="H6783" s="40" t="s">
        <v>11404</v>
      </c>
    </row>
    <row r="6784">
      <c r="A6784" s="39"/>
      <c r="E6784" s="40" t="s">
        <v>11404</v>
      </c>
      <c r="F6784" s="40" t="s">
        <v>11404</v>
      </c>
      <c r="G6784" s="40" t="s">
        <v>11404</v>
      </c>
      <c r="H6784" s="40" t="s">
        <v>11404</v>
      </c>
    </row>
    <row r="6785">
      <c r="A6785" s="39"/>
      <c r="E6785" s="40" t="s">
        <v>11404</v>
      </c>
      <c r="F6785" s="40" t="s">
        <v>11404</v>
      </c>
      <c r="G6785" s="40" t="s">
        <v>11404</v>
      </c>
      <c r="H6785" s="40" t="s">
        <v>11404</v>
      </c>
    </row>
    <row r="6786">
      <c r="A6786" s="39"/>
      <c r="E6786" s="40" t="s">
        <v>11404</v>
      </c>
      <c r="F6786" s="40" t="s">
        <v>11404</v>
      </c>
      <c r="G6786" s="40" t="s">
        <v>11404</v>
      </c>
      <c r="H6786" s="40" t="s">
        <v>11404</v>
      </c>
    </row>
    <row r="6787">
      <c r="A6787" s="39"/>
      <c r="E6787" s="40" t="s">
        <v>11404</v>
      </c>
      <c r="F6787" s="40" t="s">
        <v>11404</v>
      </c>
      <c r="G6787" s="40" t="s">
        <v>11404</v>
      </c>
      <c r="H6787" s="40" t="s">
        <v>11404</v>
      </c>
    </row>
    <row r="6788">
      <c r="A6788" s="39"/>
      <c r="E6788" s="40" t="s">
        <v>11404</v>
      </c>
      <c r="F6788" s="40" t="s">
        <v>11404</v>
      </c>
      <c r="G6788" s="40" t="s">
        <v>11404</v>
      </c>
      <c r="H6788" s="40" t="s">
        <v>11404</v>
      </c>
    </row>
    <row r="6789">
      <c r="A6789" s="39"/>
      <c r="E6789" s="40" t="s">
        <v>11404</v>
      </c>
      <c r="F6789" s="40" t="s">
        <v>11404</v>
      </c>
      <c r="G6789" s="40" t="s">
        <v>11404</v>
      </c>
      <c r="H6789" s="40" t="s">
        <v>11404</v>
      </c>
    </row>
    <row r="6790">
      <c r="A6790" s="39"/>
      <c r="E6790" s="40" t="s">
        <v>11404</v>
      </c>
      <c r="F6790" s="40" t="s">
        <v>11404</v>
      </c>
      <c r="G6790" s="40" t="s">
        <v>11404</v>
      </c>
      <c r="H6790" s="40" t="s">
        <v>11404</v>
      </c>
    </row>
    <row r="6791">
      <c r="A6791" s="39"/>
      <c r="E6791" s="40" t="s">
        <v>11404</v>
      </c>
      <c r="F6791" s="40" t="s">
        <v>11404</v>
      </c>
      <c r="G6791" s="40" t="s">
        <v>11404</v>
      </c>
      <c r="H6791" s="40" t="s">
        <v>11404</v>
      </c>
    </row>
    <row r="6792">
      <c r="A6792" s="39"/>
      <c r="E6792" s="40" t="s">
        <v>11404</v>
      </c>
      <c r="F6792" s="40" t="s">
        <v>11404</v>
      </c>
      <c r="G6792" s="40" t="s">
        <v>11404</v>
      </c>
      <c r="H6792" s="40" t="s">
        <v>11404</v>
      </c>
    </row>
    <row r="6793">
      <c r="A6793" s="39"/>
      <c r="E6793" s="40" t="s">
        <v>11404</v>
      </c>
      <c r="F6793" s="40" t="s">
        <v>11404</v>
      </c>
      <c r="G6793" s="40" t="s">
        <v>11404</v>
      </c>
      <c r="H6793" s="40" t="s">
        <v>11404</v>
      </c>
    </row>
    <row r="6794">
      <c r="A6794" s="39"/>
      <c r="E6794" s="40" t="s">
        <v>11404</v>
      </c>
      <c r="F6794" s="40" t="s">
        <v>11404</v>
      </c>
      <c r="G6794" s="40" t="s">
        <v>11404</v>
      </c>
      <c r="H6794" s="40" t="s">
        <v>11404</v>
      </c>
    </row>
    <row r="6795">
      <c r="A6795" s="39"/>
      <c r="E6795" s="40" t="s">
        <v>11404</v>
      </c>
      <c r="F6795" s="40" t="s">
        <v>11404</v>
      </c>
      <c r="G6795" s="40" t="s">
        <v>11404</v>
      </c>
      <c r="H6795" s="40" t="s">
        <v>11404</v>
      </c>
    </row>
    <row r="6796">
      <c r="A6796" s="39"/>
      <c r="E6796" s="40" t="s">
        <v>11404</v>
      </c>
      <c r="F6796" s="40" t="s">
        <v>11404</v>
      </c>
      <c r="G6796" s="40" t="s">
        <v>11404</v>
      </c>
      <c r="H6796" s="40" t="s">
        <v>11404</v>
      </c>
    </row>
    <row r="6797">
      <c r="A6797" s="39"/>
      <c r="E6797" s="40" t="s">
        <v>11404</v>
      </c>
      <c r="F6797" s="40" t="s">
        <v>11404</v>
      </c>
      <c r="G6797" s="40" t="s">
        <v>11404</v>
      </c>
      <c r="H6797" s="40" t="s">
        <v>11404</v>
      </c>
    </row>
    <row r="6798">
      <c r="A6798" s="39"/>
      <c r="E6798" s="40" t="s">
        <v>11404</v>
      </c>
      <c r="F6798" s="40" t="s">
        <v>11404</v>
      </c>
      <c r="G6798" s="40" t="s">
        <v>11404</v>
      </c>
      <c r="H6798" s="40" t="s">
        <v>11404</v>
      </c>
    </row>
    <row r="6799">
      <c r="A6799" s="39"/>
      <c r="E6799" s="40" t="s">
        <v>11404</v>
      </c>
      <c r="F6799" s="40" t="s">
        <v>11404</v>
      </c>
      <c r="G6799" s="40" t="s">
        <v>11404</v>
      </c>
      <c r="H6799" s="40" t="s">
        <v>11404</v>
      </c>
    </row>
    <row r="6800">
      <c r="A6800" s="39"/>
      <c r="E6800" s="40" t="s">
        <v>11404</v>
      </c>
      <c r="F6800" s="40" t="s">
        <v>11404</v>
      </c>
      <c r="G6800" s="40" t="s">
        <v>11404</v>
      </c>
      <c r="H6800" s="40" t="s">
        <v>11404</v>
      </c>
    </row>
    <row r="6801">
      <c r="A6801" s="39"/>
      <c r="E6801" s="40" t="s">
        <v>11404</v>
      </c>
      <c r="F6801" s="40" t="s">
        <v>11404</v>
      </c>
      <c r="G6801" s="40" t="s">
        <v>11404</v>
      </c>
      <c r="H6801" s="40" t="s">
        <v>11404</v>
      </c>
    </row>
    <row r="6802">
      <c r="A6802" s="39"/>
      <c r="E6802" s="40" t="s">
        <v>11404</v>
      </c>
      <c r="F6802" s="40" t="s">
        <v>11404</v>
      </c>
      <c r="G6802" s="40" t="s">
        <v>11404</v>
      </c>
      <c r="H6802" s="40" t="s">
        <v>11404</v>
      </c>
    </row>
    <row r="6803">
      <c r="A6803" s="39"/>
      <c r="E6803" s="40" t="s">
        <v>11404</v>
      </c>
      <c r="F6803" s="40" t="s">
        <v>11404</v>
      </c>
      <c r="G6803" s="40" t="s">
        <v>11404</v>
      </c>
      <c r="H6803" s="40" t="s">
        <v>11404</v>
      </c>
    </row>
    <row r="6804">
      <c r="A6804" s="39"/>
      <c r="E6804" s="40" t="s">
        <v>11404</v>
      </c>
      <c r="F6804" s="40" t="s">
        <v>11404</v>
      </c>
      <c r="G6804" s="40" t="s">
        <v>11404</v>
      </c>
      <c r="H6804" s="40" t="s">
        <v>11404</v>
      </c>
    </row>
    <row r="6805">
      <c r="A6805" s="39"/>
      <c r="E6805" s="40" t="s">
        <v>11404</v>
      </c>
      <c r="F6805" s="40" t="s">
        <v>11404</v>
      </c>
      <c r="G6805" s="40" t="s">
        <v>11404</v>
      </c>
      <c r="H6805" s="40" t="s">
        <v>11404</v>
      </c>
    </row>
    <row r="6806">
      <c r="A6806" s="39"/>
      <c r="E6806" s="40" t="s">
        <v>11404</v>
      </c>
      <c r="F6806" s="40" t="s">
        <v>11404</v>
      </c>
      <c r="G6806" s="40" t="s">
        <v>11404</v>
      </c>
      <c r="H6806" s="40" t="s">
        <v>11404</v>
      </c>
    </row>
    <row r="6807">
      <c r="A6807" s="39"/>
      <c r="E6807" s="40" t="s">
        <v>11404</v>
      </c>
      <c r="F6807" s="40" t="s">
        <v>11404</v>
      </c>
      <c r="G6807" s="40" t="s">
        <v>11404</v>
      </c>
      <c r="H6807" s="40" t="s">
        <v>11404</v>
      </c>
    </row>
    <row r="6808">
      <c r="A6808" s="39"/>
      <c r="E6808" s="40" t="s">
        <v>11404</v>
      </c>
      <c r="F6808" s="40" t="s">
        <v>11404</v>
      </c>
      <c r="G6808" s="40" t="s">
        <v>11404</v>
      </c>
      <c r="H6808" s="40" t="s">
        <v>11404</v>
      </c>
    </row>
    <row r="6809">
      <c r="A6809" s="39"/>
      <c r="E6809" s="40" t="s">
        <v>11404</v>
      </c>
      <c r="F6809" s="40" t="s">
        <v>11404</v>
      </c>
      <c r="G6809" s="40" t="s">
        <v>11404</v>
      </c>
      <c r="H6809" s="40" t="s">
        <v>11404</v>
      </c>
    </row>
    <row r="6810">
      <c r="A6810" s="39"/>
      <c r="E6810" s="40" t="s">
        <v>11404</v>
      </c>
      <c r="F6810" s="40" t="s">
        <v>11404</v>
      </c>
      <c r="G6810" s="40" t="s">
        <v>11404</v>
      </c>
      <c r="H6810" s="40" t="s">
        <v>11404</v>
      </c>
    </row>
    <row r="6811">
      <c r="A6811" s="39"/>
      <c r="E6811" s="40" t="s">
        <v>11404</v>
      </c>
      <c r="F6811" s="40" t="s">
        <v>11404</v>
      </c>
      <c r="G6811" s="40" t="s">
        <v>11404</v>
      </c>
      <c r="H6811" s="40" t="s">
        <v>11404</v>
      </c>
    </row>
    <row r="6812">
      <c r="A6812" s="39"/>
      <c r="E6812" s="40" t="s">
        <v>11404</v>
      </c>
      <c r="F6812" s="40" t="s">
        <v>11404</v>
      </c>
      <c r="G6812" s="40" t="s">
        <v>11404</v>
      </c>
      <c r="H6812" s="40" t="s">
        <v>11404</v>
      </c>
    </row>
    <row r="6813">
      <c r="A6813" s="39"/>
      <c r="E6813" s="40" t="s">
        <v>11404</v>
      </c>
      <c r="F6813" s="40" t="s">
        <v>11404</v>
      </c>
      <c r="G6813" s="40" t="s">
        <v>11404</v>
      </c>
      <c r="H6813" s="40" t="s">
        <v>11404</v>
      </c>
    </row>
    <row r="6814">
      <c r="A6814" s="39"/>
      <c r="E6814" s="40" t="s">
        <v>11404</v>
      </c>
      <c r="F6814" s="40" t="s">
        <v>11404</v>
      </c>
      <c r="G6814" s="40" t="s">
        <v>11404</v>
      </c>
      <c r="H6814" s="40" t="s">
        <v>11404</v>
      </c>
    </row>
    <row r="6815">
      <c r="A6815" s="39"/>
      <c r="E6815" s="40" t="s">
        <v>11404</v>
      </c>
      <c r="F6815" s="40" t="s">
        <v>11404</v>
      </c>
      <c r="G6815" s="40" t="s">
        <v>11404</v>
      </c>
      <c r="H6815" s="40" t="s">
        <v>11404</v>
      </c>
    </row>
    <row r="6816">
      <c r="A6816" s="39"/>
      <c r="E6816" s="40" t="s">
        <v>11404</v>
      </c>
      <c r="F6816" s="40" t="s">
        <v>11404</v>
      </c>
      <c r="G6816" s="40" t="s">
        <v>11404</v>
      </c>
      <c r="H6816" s="40" t="s">
        <v>11404</v>
      </c>
    </row>
    <row r="6817">
      <c r="A6817" s="39"/>
      <c r="E6817" s="40" t="s">
        <v>11404</v>
      </c>
      <c r="F6817" s="40" t="s">
        <v>11404</v>
      </c>
      <c r="G6817" s="40" t="s">
        <v>11404</v>
      </c>
      <c r="H6817" s="40" t="s">
        <v>11404</v>
      </c>
    </row>
    <row r="6818">
      <c r="A6818" s="39"/>
      <c r="E6818" s="40" t="s">
        <v>11404</v>
      </c>
      <c r="F6818" s="40" t="s">
        <v>11404</v>
      </c>
      <c r="G6818" s="40" t="s">
        <v>11404</v>
      </c>
      <c r="H6818" s="40" t="s">
        <v>11404</v>
      </c>
    </row>
    <row r="6819">
      <c r="A6819" s="39"/>
      <c r="E6819" s="40" t="s">
        <v>11404</v>
      </c>
      <c r="F6819" s="40" t="s">
        <v>11404</v>
      </c>
      <c r="G6819" s="40" t="s">
        <v>11404</v>
      </c>
      <c r="H6819" s="40" t="s">
        <v>11404</v>
      </c>
    </row>
    <row r="6820">
      <c r="A6820" s="39"/>
      <c r="E6820" s="40" t="s">
        <v>11404</v>
      </c>
      <c r="F6820" s="40" t="s">
        <v>11404</v>
      </c>
      <c r="G6820" s="40" t="s">
        <v>11404</v>
      </c>
      <c r="H6820" s="40" t="s">
        <v>11404</v>
      </c>
    </row>
    <row r="6821">
      <c r="A6821" s="39"/>
      <c r="E6821" s="40" t="s">
        <v>11404</v>
      </c>
      <c r="F6821" s="40" t="s">
        <v>11404</v>
      </c>
      <c r="G6821" s="40" t="s">
        <v>11404</v>
      </c>
      <c r="H6821" s="40" t="s">
        <v>11404</v>
      </c>
    </row>
    <row r="6822">
      <c r="A6822" s="39"/>
      <c r="E6822" s="40" t="s">
        <v>11404</v>
      </c>
      <c r="F6822" s="40" t="s">
        <v>11404</v>
      </c>
      <c r="G6822" s="40" t="s">
        <v>11404</v>
      </c>
      <c r="H6822" s="40" t="s">
        <v>11404</v>
      </c>
    </row>
    <row r="6823">
      <c r="A6823" s="39"/>
      <c r="E6823" s="40" t="s">
        <v>11404</v>
      </c>
      <c r="F6823" s="40" t="s">
        <v>11404</v>
      </c>
      <c r="G6823" s="40" t="s">
        <v>11404</v>
      </c>
      <c r="H6823" s="40" t="s">
        <v>11404</v>
      </c>
    </row>
    <row r="6824">
      <c r="A6824" s="39"/>
      <c r="E6824" s="40" t="s">
        <v>11404</v>
      </c>
      <c r="F6824" s="40" t="s">
        <v>11404</v>
      </c>
      <c r="G6824" s="40" t="s">
        <v>11404</v>
      </c>
      <c r="H6824" s="40" t="s">
        <v>11404</v>
      </c>
    </row>
    <row r="6825">
      <c r="A6825" s="39"/>
      <c r="E6825" s="40" t="s">
        <v>11404</v>
      </c>
      <c r="F6825" s="40" t="s">
        <v>11404</v>
      </c>
      <c r="G6825" s="40" t="s">
        <v>11404</v>
      </c>
      <c r="H6825" s="40" t="s">
        <v>11404</v>
      </c>
    </row>
    <row r="6826">
      <c r="A6826" s="39"/>
      <c r="E6826" s="40" t="s">
        <v>11404</v>
      </c>
      <c r="F6826" s="40" t="s">
        <v>11404</v>
      </c>
      <c r="G6826" s="40" t="s">
        <v>11404</v>
      </c>
      <c r="H6826" s="40" t="s">
        <v>11404</v>
      </c>
    </row>
    <row r="6827">
      <c r="A6827" s="39"/>
      <c r="E6827" s="40" t="s">
        <v>11404</v>
      </c>
      <c r="F6827" s="40" t="s">
        <v>11404</v>
      </c>
      <c r="G6827" s="40" t="s">
        <v>11404</v>
      </c>
      <c r="H6827" s="40" t="s">
        <v>11404</v>
      </c>
    </row>
    <row r="6828">
      <c r="A6828" s="39"/>
      <c r="E6828" s="40" t="s">
        <v>11404</v>
      </c>
      <c r="F6828" s="40" t="s">
        <v>11404</v>
      </c>
      <c r="G6828" s="40" t="s">
        <v>11404</v>
      </c>
      <c r="H6828" s="40" t="s">
        <v>11404</v>
      </c>
    </row>
    <row r="6829">
      <c r="A6829" s="39"/>
      <c r="E6829" s="40" t="s">
        <v>11404</v>
      </c>
      <c r="F6829" s="40" t="s">
        <v>11404</v>
      </c>
      <c r="G6829" s="40" t="s">
        <v>11404</v>
      </c>
      <c r="H6829" s="40" t="s">
        <v>11404</v>
      </c>
    </row>
    <row r="6830">
      <c r="A6830" s="39"/>
      <c r="E6830" s="40" t="s">
        <v>11404</v>
      </c>
      <c r="F6830" s="40" t="s">
        <v>11404</v>
      </c>
      <c r="G6830" s="40" t="s">
        <v>11404</v>
      </c>
      <c r="H6830" s="40" t="s">
        <v>11404</v>
      </c>
    </row>
    <row r="6831">
      <c r="A6831" s="39"/>
      <c r="E6831" s="40" t="s">
        <v>11404</v>
      </c>
      <c r="F6831" s="40" t="s">
        <v>11404</v>
      </c>
      <c r="G6831" s="40" t="s">
        <v>11404</v>
      </c>
      <c r="H6831" s="40" t="s">
        <v>11404</v>
      </c>
    </row>
    <row r="6832">
      <c r="A6832" s="39"/>
      <c r="E6832" s="40" t="s">
        <v>11404</v>
      </c>
      <c r="F6832" s="40" t="s">
        <v>11404</v>
      </c>
      <c r="G6832" s="40" t="s">
        <v>11404</v>
      </c>
      <c r="H6832" s="40" t="s">
        <v>11404</v>
      </c>
    </row>
    <row r="6833">
      <c r="A6833" s="39"/>
      <c r="E6833" s="40" t="s">
        <v>11404</v>
      </c>
      <c r="F6833" s="40" t="s">
        <v>11404</v>
      </c>
      <c r="G6833" s="40" t="s">
        <v>11404</v>
      </c>
      <c r="H6833" s="40" t="s">
        <v>11404</v>
      </c>
    </row>
    <row r="6834">
      <c r="A6834" s="39"/>
      <c r="E6834" s="40" t="s">
        <v>11404</v>
      </c>
      <c r="F6834" s="40" t="s">
        <v>11404</v>
      </c>
      <c r="G6834" s="40" t="s">
        <v>11404</v>
      </c>
      <c r="H6834" s="40" t="s">
        <v>11404</v>
      </c>
    </row>
    <row r="6835">
      <c r="A6835" s="39"/>
      <c r="E6835" s="40" t="s">
        <v>11404</v>
      </c>
      <c r="F6835" s="40" t="s">
        <v>11404</v>
      </c>
      <c r="G6835" s="40" t="s">
        <v>11404</v>
      </c>
      <c r="H6835" s="40" t="s">
        <v>11404</v>
      </c>
    </row>
    <row r="6836">
      <c r="A6836" s="39"/>
      <c r="E6836" s="40" t="s">
        <v>11404</v>
      </c>
      <c r="F6836" s="40" t="s">
        <v>11404</v>
      </c>
      <c r="G6836" s="40" t="s">
        <v>11404</v>
      </c>
      <c r="H6836" s="40" t="s">
        <v>11404</v>
      </c>
    </row>
    <row r="6837">
      <c r="A6837" s="39"/>
      <c r="E6837" s="40" t="s">
        <v>11404</v>
      </c>
      <c r="F6837" s="40" t="s">
        <v>11404</v>
      </c>
      <c r="G6837" s="40" t="s">
        <v>11404</v>
      </c>
      <c r="H6837" s="40" t="s">
        <v>11404</v>
      </c>
    </row>
    <row r="6838">
      <c r="A6838" s="39"/>
      <c r="E6838" s="40" t="s">
        <v>11404</v>
      </c>
      <c r="F6838" s="40" t="s">
        <v>11404</v>
      </c>
      <c r="G6838" s="40" t="s">
        <v>11404</v>
      </c>
      <c r="H6838" s="40" t="s">
        <v>11404</v>
      </c>
    </row>
    <row r="6839">
      <c r="A6839" s="39"/>
      <c r="E6839" s="40" t="s">
        <v>11404</v>
      </c>
      <c r="F6839" s="40" t="s">
        <v>11404</v>
      </c>
      <c r="G6839" s="40" t="s">
        <v>11404</v>
      </c>
      <c r="H6839" s="40" t="s">
        <v>11404</v>
      </c>
    </row>
    <row r="6840">
      <c r="A6840" s="39"/>
      <c r="E6840" s="40" t="s">
        <v>11404</v>
      </c>
      <c r="F6840" s="40" t="s">
        <v>11404</v>
      </c>
      <c r="G6840" s="40" t="s">
        <v>11404</v>
      </c>
      <c r="H6840" s="40" t="s">
        <v>11404</v>
      </c>
    </row>
    <row r="6841">
      <c r="A6841" s="39"/>
      <c r="E6841" s="40" t="s">
        <v>11404</v>
      </c>
      <c r="F6841" s="40" t="s">
        <v>11404</v>
      </c>
      <c r="G6841" s="40" t="s">
        <v>11404</v>
      </c>
      <c r="H6841" s="40" t="s">
        <v>11404</v>
      </c>
    </row>
    <row r="6842">
      <c r="A6842" s="39"/>
      <c r="E6842" s="40" t="s">
        <v>11404</v>
      </c>
      <c r="F6842" s="40" t="s">
        <v>11404</v>
      </c>
      <c r="G6842" s="40" t="s">
        <v>11404</v>
      </c>
      <c r="H6842" s="40" t="s">
        <v>11404</v>
      </c>
    </row>
    <row r="6843">
      <c r="A6843" s="39"/>
      <c r="E6843" s="40" t="s">
        <v>11404</v>
      </c>
      <c r="F6843" s="40" t="s">
        <v>11404</v>
      </c>
      <c r="G6843" s="40" t="s">
        <v>11404</v>
      </c>
      <c r="H6843" s="40" t="s">
        <v>11404</v>
      </c>
    </row>
    <row r="6844">
      <c r="A6844" s="39"/>
      <c r="E6844" s="40" t="s">
        <v>11404</v>
      </c>
      <c r="F6844" s="40" t="s">
        <v>11404</v>
      </c>
      <c r="G6844" s="40" t="s">
        <v>11404</v>
      </c>
      <c r="H6844" s="40" t="s">
        <v>11404</v>
      </c>
    </row>
    <row r="6845">
      <c r="A6845" s="39"/>
      <c r="E6845" s="40" t="s">
        <v>11404</v>
      </c>
      <c r="F6845" s="40" t="s">
        <v>11404</v>
      </c>
      <c r="G6845" s="40" t="s">
        <v>11404</v>
      </c>
      <c r="H6845" s="40" t="s">
        <v>11404</v>
      </c>
    </row>
    <row r="6846">
      <c r="A6846" s="39"/>
      <c r="E6846" s="40" t="s">
        <v>11404</v>
      </c>
      <c r="F6846" s="40" t="s">
        <v>11404</v>
      </c>
      <c r="G6846" s="40" t="s">
        <v>11404</v>
      </c>
      <c r="H6846" s="40" t="s">
        <v>11404</v>
      </c>
    </row>
    <row r="6847">
      <c r="A6847" s="39"/>
      <c r="E6847" s="40" t="s">
        <v>11404</v>
      </c>
      <c r="F6847" s="40" t="s">
        <v>11404</v>
      </c>
      <c r="G6847" s="40" t="s">
        <v>11404</v>
      </c>
      <c r="H6847" s="40" t="s">
        <v>11404</v>
      </c>
    </row>
    <row r="6848">
      <c r="A6848" s="39"/>
      <c r="E6848" s="40" t="s">
        <v>11404</v>
      </c>
      <c r="F6848" s="40" t="s">
        <v>11404</v>
      </c>
      <c r="G6848" s="40" t="s">
        <v>11404</v>
      </c>
      <c r="H6848" s="40" t="s">
        <v>11404</v>
      </c>
    </row>
    <row r="6849">
      <c r="A6849" s="39"/>
      <c r="E6849" s="40" t="s">
        <v>11404</v>
      </c>
      <c r="F6849" s="40" t="s">
        <v>11404</v>
      </c>
      <c r="G6849" s="40" t="s">
        <v>11404</v>
      </c>
      <c r="H6849" s="40" t="s">
        <v>11404</v>
      </c>
    </row>
    <row r="6850">
      <c r="A6850" s="39"/>
      <c r="E6850" s="40" t="s">
        <v>11404</v>
      </c>
      <c r="F6850" s="40" t="s">
        <v>11404</v>
      </c>
      <c r="G6850" s="40" t="s">
        <v>11404</v>
      </c>
      <c r="H6850" s="40" t="s">
        <v>11404</v>
      </c>
    </row>
    <row r="6851">
      <c r="A6851" s="39"/>
      <c r="E6851" s="40" t="s">
        <v>11404</v>
      </c>
      <c r="F6851" s="40" t="s">
        <v>11404</v>
      </c>
      <c r="G6851" s="40" t="s">
        <v>11404</v>
      </c>
      <c r="H6851" s="40" t="s">
        <v>11404</v>
      </c>
    </row>
    <row r="6852">
      <c r="A6852" s="39"/>
      <c r="E6852" s="40" t="s">
        <v>11404</v>
      </c>
      <c r="F6852" s="40" t="s">
        <v>11404</v>
      </c>
      <c r="G6852" s="40" t="s">
        <v>11404</v>
      </c>
      <c r="H6852" s="40" t="s">
        <v>11404</v>
      </c>
    </row>
    <row r="6853">
      <c r="A6853" s="39"/>
      <c r="E6853" s="40" t="s">
        <v>11404</v>
      </c>
      <c r="F6853" s="40" t="s">
        <v>11404</v>
      </c>
      <c r="G6853" s="40" t="s">
        <v>11404</v>
      </c>
      <c r="H6853" s="40" t="s">
        <v>11404</v>
      </c>
    </row>
    <row r="6854">
      <c r="A6854" s="39"/>
      <c r="E6854" s="40" t="s">
        <v>11404</v>
      </c>
      <c r="F6854" s="40" t="s">
        <v>11404</v>
      </c>
      <c r="G6854" s="40" t="s">
        <v>11404</v>
      </c>
      <c r="H6854" s="40" t="s">
        <v>11404</v>
      </c>
    </row>
    <row r="6855">
      <c r="A6855" s="39"/>
      <c r="E6855" s="40" t="s">
        <v>11404</v>
      </c>
      <c r="F6855" s="40" t="s">
        <v>11404</v>
      </c>
      <c r="G6855" s="40" t="s">
        <v>11404</v>
      </c>
      <c r="H6855" s="40" t="s">
        <v>11404</v>
      </c>
    </row>
    <row r="6856">
      <c r="A6856" s="39"/>
      <c r="E6856" s="40" t="s">
        <v>11404</v>
      </c>
      <c r="F6856" s="40" t="s">
        <v>11404</v>
      </c>
      <c r="G6856" s="40" t="s">
        <v>11404</v>
      </c>
      <c r="H6856" s="40" t="s">
        <v>11404</v>
      </c>
    </row>
    <row r="6857">
      <c r="A6857" s="39"/>
      <c r="E6857" s="40" t="s">
        <v>11404</v>
      </c>
      <c r="F6857" s="40" t="s">
        <v>11404</v>
      </c>
      <c r="G6857" s="40" t="s">
        <v>11404</v>
      </c>
      <c r="H6857" s="40" t="s">
        <v>11404</v>
      </c>
    </row>
    <row r="6858">
      <c r="A6858" s="39"/>
      <c r="E6858" s="40" t="s">
        <v>11404</v>
      </c>
      <c r="F6858" s="40" t="s">
        <v>11404</v>
      </c>
      <c r="G6858" s="40" t="s">
        <v>11404</v>
      </c>
      <c r="H6858" s="40" t="s">
        <v>11404</v>
      </c>
    </row>
    <row r="6859">
      <c r="A6859" s="39"/>
      <c r="E6859" s="40" t="s">
        <v>11404</v>
      </c>
      <c r="F6859" s="40" t="s">
        <v>11404</v>
      </c>
      <c r="G6859" s="40" t="s">
        <v>11404</v>
      </c>
      <c r="H6859" s="40" t="s">
        <v>11404</v>
      </c>
    </row>
    <row r="6860">
      <c r="A6860" s="39"/>
      <c r="E6860" s="40" t="s">
        <v>11404</v>
      </c>
      <c r="F6860" s="40" t="s">
        <v>11404</v>
      </c>
      <c r="G6860" s="40" t="s">
        <v>11404</v>
      </c>
      <c r="H6860" s="40" t="s">
        <v>11404</v>
      </c>
    </row>
    <row r="6861">
      <c r="A6861" s="39"/>
      <c r="E6861" s="40" t="s">
        <v>11404</v>
      </c>
      <c r="F6861" s="40" t="s">
        <v>11404</v>
      </c>
      <c r="G6861" s="40" t="s">
        <v>11404</v>
      </c>
      <c r="H6861" s="40" t="s">
        <v>11404</v>
      </c>
    </row>
    <row r="6862">
      <c r="A6862" s="39"/>
      <c r="E6862" s="40" t="s">
        <v>11404</v>
      </c>
      <c r="F6862" s="40" t="s">
        <v>11404</v>
      </c>
      <c r="G6862" s="40" t="s">
        <v>11404</v>
      </c>
      <c r="H6862" s="40" t="s">
        <v>11404</v>
      </c>
    </row>
    <row r="6863">
      <c r="A6863" s="39"/>
      <c r="E6863" s="40" t="s">
        <v>11404</v>
      </c>
      <c r="F6863" s="40" t="s">
        <v>11404</v>
      </c>
      <c r="G6863" s="40" t="s">
        <v>11404</v>
      </c>
      <c r="H6863" s="40" t="s">
        <v>11404</v>
      </c>
    </row>
    <row r="6864">
      <c r="A6864" s="39"/>
      <c r="E6864" s="40" t="s">
        <v>11404</v>
      </c>
      <c r="F6864" s="40" t="s">
        <v>11404</v>
      </c>
      <c r="G6864" s="40" t="s">
        <v>11404</v>
      </c>
      <c r="H6864" s="40" t="s">
        <v>11404</v>
      </c>
    </row>
    <row r="6865">
      <c r="A6865" s="39"/>
      <c r="E6865" s="40" t="s">
        <v>11404</v>
      </c>
      <c r="F6865" s="40" t="s">
        <v>11404</v>
      </c>
      <c r="G6865" s="40" t="s">
        <v>11404</v>
      </c>
      <c r="H6865" s="40" t="s">
        <v>11404</v>
      </c>
    </row>
    <row r="6866">
      <c r="A6866" s="39"/>
      <c r="E6866" s="40" t="s">
        <v>11404</v>
      </c>
      <c r="F6866" s="40" t="s">
        <v>11404</v>
      </c>
      <c r="G6866" s="40" t="s">
        <v>11404</v>
      </c>
      <c r="H6866" s="40" t="s">
        <v>11404</v>
      </c>
    </row>
    <row r="6867">
      <c r="A6867" s="39"/>
      <c r="E6867" s="40" t="s">
        <v>11404</v>
      </c>
      <c r="F6867" s="40" t="s">
        <v>11404</v>
      </c>
      <c r="G6867" s="40" t="s">
        <v>11404</v>
      </c>
      <c r="H6867" s="40" t="s">
        <v>11404</v>
      </c>
    </row>
    <row r="6868">
      <c r="A6868" s="39"/>
      <c r="E6868" s="40" t="s">
        <v>11404</v>
      </c>
      <c r="F6868" s="40" t="s">
        <v>11404</v>
      </c>
      <c r="G6868" s="40" t="s">
        <v>11404</v>
      </c>
      <c r="H6868" s="40" t="s">
        <v>11404</v>
      </c>
    </row>
    <row r="6869">
      <c r="A6869" s="39"/>
      <c r="E6869" s="40" t="s">
        <v>11404</v>
      </c>
      <c r="F6869" s="40" t="s">
        <v>11404</v>
      </c>
      <c r="G6869" s="40" t="s">
        <v>11404</v>
      </c>
      <c r="H6869" s="40" t="s">
        <v>11404</v>
      </c>
    </row>
    <row r="6870">
      <c r="A6870" s="39"/>
      <c r="E6870" s="40" t="s">
        <v>11404</v>
      </c>
      <c r="F6870" s="40" t="s">
        <v>11404</v>
      </c>
      <c r="G6870" s="40" t="s">
        <v>11404</v>
      </c>
      <c r="H6870" s="40" t="s">
        <v>11404</v>
      </c>
    </row>
    <row r="6871">
      <c r="A6871" s="39"/>
      <c r="E6871" s="40" t="s">
        <v>11404</v>
      </c>
      <c r="F6871" s="40" t="s">
        <v>11404</v>
      </c>
      <c r="G6871" s="40" t="s">
        <v>11404</v>
      </c>
      <c r="H6871" s="40" t="s">
        <v>11404</v>
      </c>
    </row>
    <row r="6872">
      <c r="A6872" s="39"/>
      <c r="E6872" s="40" t="s">
        <v>11404</v>
      </c>
      <c r="F6872" s="40" t="s">
        <v>11404</v>
      </c>
      <c r="G6872" s="40" t="s">
        <v>11404</v>
      </c>
      <c r="H6872" s="40" t="s">
        <v>11404</v>
      </c>
    </row>
    <row r="6873">
      <c r="A6873" s="39"/>
      <c r="E6873" s="40" t="s">
        <v>11404</v>
      </c>
      <c r="F6873" s="40" t="s">
        <v>11404</v>
      </c>
      <c r="G6873" s="40" t="s">
        <v>11404</v>
      </c>
      <c r="H6873" s="40" t="s">
        <v>11404</v>
      </c>
    </row>
    <row r="6874">
      <c r="A6874" s="39"/>
      <c r="E6874" s="40" t="s">
        <v>11404</v>
      </c>
      <c r="F6874" s="40" t="s">
        <v>11404</v>
      </c>
      <c r="G6874" s="40" t="s">
        <v>11404</v>
      </c>
      <c r="H6874" s="40" t="s">
        <v>11404</v>
      </c>
    </row>
    <row r="6875">
      <c r="A6875" s="39"/>
      <c r="E6875" s="40" t="s">
        <v>11404</v>
      </c>
      <c r="F6875" s="40" t="s">
        <v>11404</v>
      </c>
      <c r="G6875" s="40" t="s">
        <v>11404</v>
      </c>
      <c r="H6875" s="40" t="s">
        <v>11404</v>
      </c>
    </row>
    <row r="6876">
      <c r="A6876" s="39"/>
      <c r="E6876" s="40" t="s">
        <v>11404</v>
      </c>
      <c r="F6876" s="40" t="s">
        <v>11404</v>
      </c>
      <c r="G6876" s="40" t="s">
        <v>11404</v>
      </c>
      <c r="H6876" s="40" t="s">
        <v>11404</v>
      </c>
    </row>
    <row r="6877">
      <c r="A6877" s="39"/>
      <c r="E6877" s="40" t="s">
        <v>11404</v>
      </c>
      <c r="F6877" s="40" t="s">
        <v>11404</v>
      </c>
      <c r="G6877" s="40" t="s">
        <v>11404</v>
      </c>
      <c r="H6877" s="40" t="s">
        <v>11404</v>
      </c>
    </row>
    <row r="6878">
      <c r="A6878" s="39"/>
      <c r="E6878" s="40" t="s">
        <v>11404</v>
      </c>
      <c r="F6878" s="40" t="s">
        <v>11404</v>
      </c>
      <c r="G6878" s="40" t="s">
        <v>11404</v>
      </c>
      <c r="H6878" s="40" t="s">
        <v>11404</v>
      </c>
    </row>
    <row r="6879">
      <c r="A6879" s="39"/>
      <c r="E6879" s="40" t="s">
        <v>11404</v>
      </c>
      <c r="F6879" s="40" t="s">
        <v>11404</v>
      </c>
      <c r="G6879" s="40" t="s">
        <v>11404</v>
      </c>
      <c r="H6879" s="40" t="s">
        <v>11404</v>
      </c>
    </row>
    <row r="6880">
      <c r="A6880" s="39"/>
      <c r="E6880" s="40" t="s">
        <v>11404</v>
      </c>
      <c r="F6880" s="40" t="s">
        <v>11404</v>
      </c>
      <c r="G6880" s="40" t="s">
        <v>11404</v>
      </c>
      <c r="H6880" s="40" t="s">
        <v>11404</v>
      </c>
    </row>
    <row r="6881">
      <c r="A6881" s="39"/>
      <c r="E6881" s="40" t="s">
        <v>11404</v>
      </c>
      <c r="F6881" s="40" t="s">
        <v>11404</v>
      </c>
      <c r="G6881" s="40" t="s">
        <v>11404</v>
      </c>
      <c r="H6881" s="40" t="s">
        <v>11404</v>
      </c>
    </row>
    <row r="6882">
      <c r="A6882" s="39"/>
      <c r="E6882" s="40" t="s">
        <v>11404</v>
      </c>
      <c r="F6882" s="40" t="s">
        <v>11404</v>
      </c>
      <c r="G6882" s="40" t="s">
        <v>11404</v>
      </c>
      <c r="H6882" s="40" t="s">
        <v>11404</v>
      </c>
    </row>
    <row r="6883">
      <c r="A6883" s="39"/>
      <c r="E6883" s="40" t="s">
        <v>11404</v>
      </c>
      <c r="F6883" s="40" t="s">
        <v>11404</v>
      </c>
      <c r="G6883" s="40" t="s">
        <v>11404</v>
      </c>
      <c r="H6883" s="40" t="s">
        <v>11404</v>
      </c>
    </row>
    <row r="6884">
      <c r="A6884" s="39"/>
      <c r="E6884" s="40" t="s">
        <v>11404</v>
      </c>
      <c r="F6884" s="40" t="s">
        <v>11404</v>
      </c>
      <c r="G6884" s="40" t="s">
        <v>11404</v>
      </c>
      <c r="H6884" s="40" t="s">
        <v>11404</v>
      </c>
    </row>
    <row r="6885">
      <c r="A6885" s="39"/>
      <c r="E6885" s="40" t="s">
        <v>11404</v>
      </c>
      <c r="F6885" s="40" t="s">
        <v>11404</v>
      </c>
      <c r="G6885" s="40" t="s">
        <v>11404</v>
      </c>
      <c r="H6885" s="40" t="s">
        <v>11404</v>
      </c>
    </row>
    <row r="6886">
      <c r="A6886" s="39"/>
      <c r="E6886" s="40" t="s">
        <v>11404</v>
      </c>
      <c r="F6886" s="40" t="s">
        <v>11404</v>
      </c>
      <c r="G6886" s="40" t="s">
        <v>11404</v>
      </c>
      <c r="H6886" s="40" t="s">
        <v>11404</v>
      </c>
    </row>
    <row r="6887">
      <c r="A6887" s="39"/>
      <c r="E6887" s="40" t="s">
        <v>11404</v>
      </c>
      <c r="F6887" s="40" t="s">
        <v>11404</v>
      </c>
      <c r="G6887" s="40" t="s">
        <v>11404</v>
      </c>
      <c r="H6887" s="40" t="s">
        <v>11404</v>
      </c>
    </row>
    <row r="6888">
      <c r="A6888" s="39"/>
      <c r="E6888" s="40" t="s">
        <v>11404</v>
      </c>
      <c r="F6888" s="40" t="s">
        <v>11404</v>
      </c>
      <c r="G6888" s="40" t="s">
        <v>11404</v>
      </c>
      <c r="H6888" s="40" t="s">
        <v>11404</v>
      </c>
    </row>
    <row r="6889">
      <c r="A6889" s="39"/>
      <c r="E6889" s="40" t="s">
        <v>11404</v>
      </c>
      <c r="F6889" s="40" t="s">
        <v>11404</v>
      </c>
      <c r="G6889" s="40" t="s">
        <v>11404</v>
      </c>
      <c r="H6889" s="40" t="s">
        <v>11404</v>
      </c>
    </row>
    <row r="6890">
      <c r="A6890" s="39"/>
      <c r="E6890" s="40" t="s">
        <v>11404</v>
      </c>
      <c r="F6890" s="40" t="s">
        <v>11404</v>
      </c>
      <c r="G6890" s="40" t="s">
        <v>11404</v>
      </c>
      <c r="H6890" s="40" t="s">
        <v>11404</v>
      </c>
    </row>
    <row r="6891">
      <c r="A6891" s="39"/>
      <c r="E6891" s="40" t="s">
        <v>11404</v>
      </c>
      <c r="F6891" s="40" t="s">
        <v>11404</v>
      </c>
      <c r="G6891" s="40" t="s">
        <v>11404</v>
      </c>
      <c r="H6891" s="40" t="s">
        <v>11404</v>
      </c>
    </row>
    <row r="6892">
      <c r="A6892" s="39"/>
      <c r="E6892" s="40" t="s">
        <v>11404</v>
      </c>
      <c r="F6892" s="40" t="s">
        <v>11404</v>
      </c>
      <c r="G6892" s="40" t="s">
        <v>11404</v>
      </c>
      <c r="H6892" s="40" t="s">
        <v>11404</v>
      </c>
    </row>
    <row r="6893">
      <c r="A6893" s="39"/>
      <c r="E6893" s="40" t="s">
        <v>11404</v>
      </c>
      <c r="F6893" s="40" t="s">
        <v>11404</v>
      </c>
      <c r="G6893" s="40" t="s">
        <v>11404</v>
      </c>
      <c r="H6893" s="40" t="s">
        <v>11404</v>
      </c>
    </row>
    <row r="6894">
      <c r="A6894" s="39"/>
      <c r="E6894" s="40" t="s">
        <v>11404</v>
      </c>
      <c r="F6894" s="40" t="s">
        <v>11404</v>
      </c>
      <c r="G6894" s="40" t="s">
        <v>11404</v>
      </c>
      <c r="H6894" s="40" t="s">
        <v>11404</v>
      </c>
    </row>
    <row r="6895">
      <c r="A6895" s="39"/>
      <c r="E6895" s="40" t="s">
        <v>11404</v>
      </c>
      <c r="F6895" s="40" t="s">
        <v>11404</v>
      </c>
      <c r="G6895" s="40" t="s">
        <v>11404</v>
      </c>
      <c r="H6895" s="40" t="s">
        <v>11404</v>
      </c>
    </row>
    <row r="6896">
      <c r="A6896" s="39"/>
      <c r="E6896" s="40" t="s">
        <v>11404</v>
      </c>
      <c r="F6896" s="40" t="s">
        <v>11404</v>
      </c>
      <c r="G6896" s="40" t="s">
        <v>11404</v>
      </c>
      <c r="H6896" s="40" t="s">
        <v>11404</v>
      </c>
    </row>
    <row r="6897">
      <c r="A6897" s="39"/>
      <c r="E6897" s="40" t="s">
        <v>11404</v>
      </c>
      <c r="F6897" s="40" t="s">
        <v>11404</v>
      </c>
      <c r="G6897" s="40" t="s">
        <v>11404</v>
      </c>
      <c r="H6897" s="40" t="s">
        <v>11404</v>
      </c>
    </row>
    <row r="6898">
      <c r="A6898" s="39"/>
      <c r="E6898" s="40" t="s">
        <v>11404</v>
      </c>
      <c r="F6898" s="40" t="s">
        <v>11404</v>
      </c>
      <c r="G6898" s="40" t="s">
        <v>11404</v>
      </c>
      <c r="H6898" s="40" t="s">
        <v>11404</v>
      </c>
    </row>
    <row r="6899">
      <c r="A6899" s="39"/>
      <c r="E6899" s="40" t="s">
        <v>11404</v>
      </c>
      <c r="F6899" s="40" t="s">
        <v>11404</v>
      </c>
      <c r="G6899" s="40" t="s">
        <v>11404</v>
      </c>
      <c r="H6899" s="40" t="s">
        <v>11404</v>
      </c>
    </row>
    <row r="6900">
      <c r="A6900" s="39"/>
      <c r="E6900" s="40" t="s">
        <v>11404</v>
      </c>
      <c r="F6900" s="40" t="s">
        <v>11404</v>
      </c>
      <c r="G6900" s="40" t="s">
        <v>11404</v>
      </c>
      <c r="H6900" s="40" t="s">
        <v>11404</v>
      </c>
    </row>
    <row r="6901">
      <c r="A6901" s="39"/>
      <c r="E6901" s="40" t="s">
        <v>11404</v>
      </c>
      <c r="F6901" s="40" t="s">
        <v>11404</v>
      </c>
      <c r="G6901" s="40" t="s">
        <v>11404</v>
      </c>
      <c r="H6901" s="40" t="s">
        <v>11404</v>
      </c>
    </row>
    <row r="6902">
      <c r="A6902" s="39"/>
      <c r="E6902" s="40" t="s">
        <v>11404</v>
      </c>
      <c r="F6902" s="40" t="s">
        <v>11404</v>
      </c>
      <c r="G6902" s="40" t="s">
        <v>11404</v>
      </c>
      <c r="H6902" s="40" t="s">
        <v>11404</v>
      </c>
    </row>
    <row r="6903">
      <c r="A6903" s="39"/>
      <c r="E6903" s="40" t="s">
        <v>11404</v>
      </c>
      <c r="F6903" s="40" t="s">
        <v>11404</v>
      </c>
      <c r="G6903" s="40" t="s">
        <v>11404</v>
      </c>
      <c r="H6903" s="40" t="s">
        <v>11404</v>
      </c>
    </row>
    <row r="6904">
      <c r="A6904" s="39"/>
      <c r="E6904" s="40" t="s">
        <v>11404</v>
      </c>
      <c r="F6904" s="40" t="s">
        <v>11404</v>
      </c>
      <c r="G6904" s="40" t="s">
        <v>11404</v>
      </c>
      <c r="H6904" s="40" t="s">
        <v>11404</v>
      </c>
    </row>
    <row r="6905">
      <c r="A6905" s="39"/>
      <c r="E6905" s="40" t="s">
        <v>11404</v>
      </c>
      <c r="F6905" s="40" t="s">
        <v>11404</v>
      </c>
      <c r="G6905" s="40" t="s">
        <v>11404</v>
      </c>
      <c r="H6905" s="40" t="s">
        <v>11404</v>
      </c>
    </row>
    <row r="6906">
      <c r="A6906" s="39"/>
      <c r="E6906" s="40" t="s">
        <v>11404</v>
      </c>
      <c r="F6906" s="40" t="s">
        <v>11404</v>
      </c>
      <c r="G6906" s="40" t="s">
        <v>11404</v>
      </c>
      <c r="H6906" s="40" t="s">
        <v>11404</v>
      </c>
    </row>
    <row r="6907">
      <c r="A6907" s="39"/>
      <c r="E6907" s="40" t="s">
        <v>11404</v>
      </c>
      <c r="F6907" s="40" t="s">
        <v>11404</v>
      </c>
      <c r="G6907" s="40" t="s">
        <v>11404</v>
      </c>
      <c r="H6907" s="40" t="s">
        <v>11404</v>
      </c>
    </row>
    <row r="6908">
      <c r="A6908" s="39"/>
      <c r="E6908" s="40" t="s">
        <v>11404</v>
      </c>
      <c r="F6908" s="40" t="s">
        <v>11404</v>
      </c>
      <c r="G6908" s="40" t="s">
        <v>11404</v>
      </c>
      <c r="H6908" s="40" t="s">
        <v>11404</v>
      </c>
    </row>
    <row r="6909">
      <c r="A6909" s="39"/>
      <c r="E6909" s="40" t="s">
        <v>11404</v>
      </c>
      <c r="F6909" s="40" t="s">
        <v>11404</v>
      </c>
      <c r="G6909" s="40" t="s">
        <v>11404</v>
      </c>
      <c r="H6909" s="40" t="s">
        <v>11404</v>
      </c>
    </row>
    <row r="6910">
      <c r="A6910" s="39"/>
      <c r="E6910" s="40" t="s">
        <v>11404</v>
      </c>
      <c r="F6910" s="40" t="s">
        <v>11404</v>
      </c>
      <c r="G6910" s="40" t="s">
        <v>11404</v>
      </c>
      <c r="H6910" s="40" t="s">
        <v>11404</v>
      </c>
    </row>
    <row r="6911">
      <c r="A6911" s="39"/>
      <c r="E6911" s="40" t="s">
        <v>11404</v>
      </c>
      <c r="F6911" s="40" t="s">
        <v>11404</v>
      </c>
      <c r="G6911" s="40" t="s">
        <v>11404</v>
      </c>
      <c r="H6911" s="40" t="s">
        <v>11404</v>
      </c>
    </row>
    <row r="6912">
      <c r="A6912" s="39"/>
      <c r="E6912" s="40" t="s">
        <v>11404</v>
      </c>
      <c r="F6912" s="40" t="s">
        <v>11404</v>
      </c>
      <c r="G6912" s="40" t="s">
        <v>11404</v>
      </c>
      <c r="H6912" s="40" t="s">
        <v>11404</v>
      </c>
    </row>
    <row r="6913">
      <c r="A6913" s="39"/>
      <c r="E6913" s="40" t="s">
        <v>11404</v>
      </c>
      <c r="F6913" s="40" t="s">
        <v>11404</v>
      </c>
      <c r="G6913" s="40" t="s">
        <v>11404</v>
      </c>
      <c r="H6913" s="40" t="s">
        <v>11404</v>
      </c>
    </row>
    <row r="6914">
      <c r="A6914" s="39"/>
      <c r="E6914" s="40" t="s">
        <v>11404</v>
      </c>
      <c r="F6914" s="40" t="s">
        <v>11404</v>
      </c>
      <c r="G6914" s="40" t="s">
        <v>11404</v>
      </c>
      <c r="H6914" s="40" t="s">
        <v>11404</v>
      </c>
    </row>
    <row r="6915">
      <c r="A6915" s="39"/>
      <c r="E6915" s="40" t="s">
        <v>11404</v>
      </c>
      <c r="F6915" s="40" t="s">
        <v>11404</v>
      </c>
      <c r="G6915" s="40" t="s">
        <v>11404</v>
      </c>
      <c r="H6915" s="40" t="s">
        <v>11404</v>
      </c>
    </row>
    <row r="6916">
      <c r="A6916" s="39"/>
      <c r="E6916" s="40" t="s">
        <v>11404</v>
      </c>
      <c r="F6916" s="40" t="s">
        <v>11404</v>
      </c>
      <c r="G6916" s="40" t="s">
        <v>11404</v>
      </c>
      <c r="H6916" s="40" t="s">
        <v>11404</v>
      </c>
    </row>
    <row r="6917">
      <c r="A6917" s="39"/>
      <c r="E6917" s="40" t="s">
        <v>11404</v>
      </c>
      <c r="F6917" s="40" t="s">
        <v>11404</v>
      </c>
      <c r="G6917" s="40" t="s">
        <v>11404</v>
      </c>
      <c r="H6917" s="40" t="s">
        <v>11404</v>
      </c>
    </row>
    <row r="6918">
      <c r="A6918" s="39"/>
      <c r="E6918" s="40" t="s">
        <v>11404</v>
      </c>
      <c r="F6918" s="40" t="s">
        <v>11404</v>
      </c>
      <c r="G6918" s="40" t="s">
        <v>11404</v>
      </c>
      <c r="H6918" s="40" t="s">
        <v>11404</v>
      </c>
    </row>
    <row r="6919">
      <c r="A6919" s="39"/>
      <c r="E6919" s="40" t="s">
        <v>11404</v>
      </c>
      <c r="F6919" s="40" t="s">
        <v>11404</v>
      </c>
      <c r="G6919" s="40" t="s">
        <v>11404</v>
      </c>
      <c r="H6919" s="40" t="s">
        <v>11404</v>
      </c>
    </row>
    <row r="6920">
      <c r="A6920" s="39"/>
      <c r="E6920" s="40" t="s">
        <v>11404</v>
      </c>
      <c r="F6920" s="40" t="s">
        <v>11404</v>
      </c>
      <c r="G6920" s="40" t="s">
        <v>11404</v>
      </c>
      <c r="H6920" s="40" t="s">
        <v>11404</v>
      </c>
    </row>
    <row r="6921">
      <c r="A6921" s="39"/>
      <c r="E6921" s="40" t="s">
        <v>11404</v>
      </c>
      <c r="F6921" s="40" t="s">
        <v>11404</v>
      </c>
      <c r="G6921" s="40" t="s">
        <v>11404</v>
      </c>
      <c r="H6921" s="40" t="s">
        <v>11404</v>
      </c>
    </row>
    <row r="6922">
      <c r="A6922" s="39"/>
      <c r="E6922" s="40" t="s">
        <v>11404</v>
      </c>
      <c r="F6922" s="40" t="s">
        <v>11404</v>
      </c>
      <c r="G6922" s="40" t="s">
        <v>11404</v>
      </c>
      <c r="H6922" s="40" t="s">
        <v>11404</v>
      </c>
    </row>
    <row r="6923">
      <c r="A6923" s="39"/>
      <c r="E6923" s="40" t="s">
        <v>11404</v>
      </c>
      <c r="F6923" s="40" t="s">
        <v>11404</v>
      </c>
      <c r="G6923" s="40" t="s">
        <v>11404</v>
      </c>
      <c r="H6923" s="40" t="s">
        <v>11404</v>
      </c>
    </row>
    <row r="6924">
      <c r="A6924" s="39"/>
      <c r="E6924" s="40" t="s">
        <v>11404</v>
      </c>
      <c r="F6924" s="40" t="s">
        <v>11404</v>
      </c>
      <c r="G6924" s="40" t="s">
        <v>11404</v>
      </c>
      <c r="H6924" s="40" t="s">
        <v>11404</v>
      </c>
    </row>
    <row r="6925">
      <c r="A6925" s="39"/>
      <c r="E6925" s="40" t="s">
        <v>11404</v>
      </c>
      <c r="F6925" s="40" t="s">
        <v>11404</v>
      </c>
      <c r="G6925" s="40" t="s">
        <v>11404</v>
      </c>
      <c r="H6925" s="40" t="s">
        <v>11404</v>
      </c>
    </row>
    <row r="6926">
      <c r="A6926" s="39"/>
      <c r="E6926" s="40" t="s">
        <v>11404</v>
      </c>
      <c r="F6926" s="40" t="s">
        <v>11404</v>
      </c>
      <c r="G6926" s="40" t="s">
        <v>11404</v>
      </c>
      <c r="H6926" s="40" t="s">
        <v>11404</v>
      </c>
    </row>
    <row r="6927">
      <c r="A6927" s="39"/>
      <c r="E6927" s="40" t="s">
        <v>11404</v>
      </c>
      <c r="F6927" s="40" t="s">
        <v>11404</v>
      </c>
      <c r="G6927" s="40" t="s">
        <v>11404</v>
      </c>
      <c r="H6927" s="40" t="s">
        <v>11404</v>
      </c>
    </row>
    <row r="6928">
      <c r="A6928" s="39"/>
      <c r="E6928" s="40" t="s">
        <v>11404</v>
      </c>
      <c r="F6928" s="40" t="s">
        <v>11404</v>
      </c>
      <c r="G6928" s="40" t="s">
        <v>11404</v>
      </c>
      <c r="H6928" s="40" t="s">
        <v>11404</v>
      </c>
    </row>
    <row r="6929">
      <c r="A6929" s="39"/>
      <c r="E6929" s="40" t="s">
        <v>11404</v>
      </c>
      <c r="F6929" s="40" t="s">
        <v>11404</v>
      </c>
      <c r="G6929" s="40" t="s">
        <v>11404</v>
      </c>
      <c r="H6929" s="40" t="s">
        <v>11404</v>
      </c>
    </row>
    <row r="6930">
      <c r="A6930" s="39"/>
      <c r="E6930" s="40" t="s">
        <v>11404</v>
      </c>
      <c r="F6930" s="40" t="s">
        <v>11404</v>
      </c>
      <c r="G6930" s="40" t="s">
        <v>11404</v>
      </c>
      <c r="H6930" s="40" t="s">
        <v>11404</v>
      </c>
    </row>
    <row r="6931">
      <c r="A6931" s="39"/>
      <c r="E6931" s="40" t="s">
        <v>11404</v>
      </c>
      <c r="F6931" s="40" t="s">
        <v>11404</v>
      </c>
      <c r="G6931" s="40" t="s">
        <v>11404</v>
      </c>
      <c r="H6931" s="40" t="s">
        <v>11404</v>
      </c>
    </row>
    <row r="6932">
      <c r="A6932" s="39"/>
      <c r="E6932" s="40" t="s">
        <v>11404</v>
      </c>
      <c r="F6932" s="40" t="s">
        <v>11404</v>
      </c>
      <c r="G6932" s="40" t="s">
        <v>11404</v>
      </c>
      <c r="H6932" s="40" t="s">
        <v>11404</v>
      </c>
    </row>
    <row r="6933">
      <c r="A6933" s="39"/>
      <c r="E6933" s="40" t="s">
        <v>11404</v>
      </c>
      <c r="F6933" s="40" t="s">
        <v>11404</v>
      </c>
      <c r="G6933" s="40" t="s">
        <v>11404</v>
      </c>
      <c r="H6933" s="40" t="s">
        <v>11404</v>
      </c>
    </row>
    <row r="6934">
      <c r="A6934" s="39"/>
      <c r="E6934" s="40" t="s">
        <v>11404</v>
      </c>
      <c r="F6934" s="40" t="s">
        <v>11404</v>
      </c>
      <c r="G6934" s="40" t="s">
        <v>11404</v>
      </c>
      <c r="H6934" s="40" t="s">
        <v>11404</v>
      </c>
    </row>
    <row r="6935">
      <c r="A6935" s="39"/>
      <c r="E6935" s="40" t="s">
        <v>11404</v>
      </c>
      <c r="F6935" s="40" t="s">
        <v>11404</v>
      </c>
      <c r="G6935" s="40" t="s">
        <v>11404</v>
      </c>
      <c r="H6935" s="40" t="s">
        <v>11404</v>
      </c>
    </row>
    <row r="6936">
      <c r="A6936" s="39"/>
      <c r="E6936" s="40" t="s">
        <v>11404</v>
      </c>
      <c r="F6936" s="40" t="s">
        <v>11404</v>
      </c>
      <c r="G6936" s="40" t="s">
        <v>11404</v>
      </c>
      <c r="H6936" s="40" t="s">
        <v>11404</v>
      </c>
    </row>
    <row r="6937">
      <c r="A6937" s="39"/>
      <c r="E6937" s="40" t="s">
        <v>11404</v>
      </c>
      <c r="F6937" s="40" t="s">
        <v>11404</v>
      </c>
      <c r="G6937" s="40" t="s">
        <v>11404</v>
      </c>
      <c r="H6937" s="40" t="s">
        <v>11404</v>
      </c>
    </row>
    <row r="6938">
      <c r="A6938" s="39"/>
      <c r="E6938" s="40" t="s">
        <v>11404</v>
      </c>
      <c r="F6938" s="40" t="s">
        <v>11404</v>
      </c>
      <c r="G6938" s="40" t="s">
        <v>11404</v>
      </c>
      <c r="H6938" s="40" t="s">
        <v>11404</v>
      </c>
    </row>
    <row r="6939">
      <c r="A6939" s="39"/>
      <c r="E6939" s="40" t="s">
        <v>11404</v>
      </c>
      <c r="F6939" s="40" t="s">
        <v>11404</v>
      </c>
      <c r="G6939" s="40" t="s">
        <v>11404</v>
      </c>
      <c r="H6939" s="40" t="s">
        <v>11404</v>
      </c>
    </row>
    <row r="6940">
      <c r="A6940" s="39"/>
      <c r="E6940" s="40" t="s">
        <v>11404</v>
      </c>
      <c r="F6940" s="40" t="s">
        <v>11404</v>
      </c>
      <c r="G6940" s="40" t="s">
        <v>11404</v>
      </c>
      <c r="H6940" s="40" t="s">
        <v>11404</v>
      </c>
    </row>
    <row r="6941">
      <c r="A6941" s="39"/>
      <c r="E6941" s="40" t="s">
        <v>11404</v>
      </c>
      <c r="F6941" s="40" t="s">
        <v>11404</v>
      </c>
      <c r="G6941" s="40" t="s">
        <v>11404</v>
      </c>
      <c r="H6941" s="40" t="s">
        <v>11404</v>
      </c>
    </row>
    <row r="6942">
      <c r="A6942" s="39"/>
      <c r="E6942" s="40" t="s">
        <v>11404</v>
      </c>
      <c r="F6942" s="40" t="s">
        <v>11404</v>
      </c>
      <c r="G6942" s="40" t="s">
        <v>11404</v>
      </c>
      <c r="H6942" s="40" t="s">
        <v>11404</v>
      </c>
    </row>
    <row r="6943">
      <c r="A6943" s="39"/>
      <c r="E6943" s="40" t="s">
        <v>11404</v>
      </c>
      <c r="F6943" s="40" t="s">
        <v>11404</v>
      </c>
      <c r="G6943" s="40" t="s">
        <v>11404</v>
      </c>
      <c r="H6943" s="40" t="s">
        <v>11404</v>
      </c>
    </row>
    <row r="6944">
      <c r="A6944" s="39"/>
      <c r="E6944" s="40" t="s">
        <v>11404</v>
      </c>
      <c r="F6944" s="40" t="s">
        <v>11404</v>
      </c>
      <c r="G6944" s="40" t="s">
        <v>11404</v>
      </c>
      <c r="H6944" s="40" t="s">
        <v>11404</v>
      </c>
    </row>
    <row r="6945">
      <c r="A6945" s="39"/>
      <c r="E6945" s="40" t="s">
        <v>11404</v>
      </c>
      <c r="F6945" s="40" t="s">
        <v>11404</v>
      </c>
      <c r="G6945" s="40" t="s">
        <v>11404</v>
      </c>
      <c r="H6945" s="40" t="s">
        <v>11404</v>
      </c>
    </row>
    <row r="6946">
      <c r="A6946" s="39"/>
      <c r="E6946" s="40" t="s">
        <v>11404</v>
      </c>
      <c r="F6946" s="40" t="s">
        <v>11404</v>
      </c>
      <c r="G6946" s="40" t="s">
        <v>11404</v>
      </c>
      <c r="H6946" s="40" t="s">
        <v>11404</v>
      </c>
    </row>
    <row r="6947">
      <c r="A6947" s="39"/>
      <c r="E6947" s="40" t="s">
        <v>11404</v>
      </c>
      <c r="F6947" s="40" t="s">
        <v>11404</v>
      </c>
      <c r="G6947" s="40" t="s">
        <v>11404</v>
      </c>
      <c r="H6947" s="40" t="s">
        <v>11404</v>
      </c>
    </row>
    <row r="6948">
      <c r="A6948" s="39"/>
      <c r="E6948" s="40" t="s">
        <v>11404</v>
      </c>
      <c r="F6948" s="40" t="s">
        <v>11404</v>
      </c>
      <c r="G6948" s="40" t="s">
        <v>11404</v>
      </c>
      <c r="H6948" s="40" t="s">
        <v>11404</v>
      </c>
    </row>
    <row r="6949">
      <c r="A6949" s="39"/>
      <c r="E6949" s="40" t="s">
        <v>11404</v>
      </c>
      <c r="F6949" s="40" t="s">
        <v>11404</v>
      </c>
      <c r="G6949" s="40" t="s">
        <v>11404</v>
      </c>
      <c r="H6949" s="40" t="s">
        <v>11404</v>
      </c>
    </row>
    <row r="6950">
      <c r="A6950" s="39"/>
      <c r="E6950" s="40" t="s">
        <v>11404</v>
      </c>
      <c r="F6950" s="40" t="s">
        <v>11404</v>
      </c>
      <c r="G6950" s="40" t="s">
        <v>11404</v>
      </c>
      <c r="H6950" s="40" t="s">
        <v>11404</v>
      </c>
    </row>
    <row r="6951">
      <c r="A6951" s="39"/>
      <c r="E6951" s="40" t="s">
        <v>11404</v>
      </c>
      <c r="F6951" s="40" t="s">
        <v>11404</v>
      </c>
      <c r="G6951" s="40" t="s">
        <v>11404</v>
      </c>
      <c r="H6951" s="40" t="s">
        <v>11404</v>
      </c>
    </row>
    <row r="6952">
      <c r="A6952" s="39"/>
      <c r="E6952" s="40" t="s">
        <v>11404</v>
      </c>
      <c r="F6952" s="40" t="s">
        <v>11404</v>
      </c>
      <c r="G6952" s="40" t="s">
        <v>11404</v>
      </c>
      <c r="H6952" s="40" t="s">
        <v>11404</v>
      </c>
    </row>
    <row r="6953">
      <c r="A6953" s="39"/>
      <c r="E6953" s="40" t="s">
        <v>11404</v>
      </c>
      <c r="F6953" s="40" t="s">
        <v>11404</v>
      </c>
      <c r="G6953" s="40" t="s">
        <v>11404</v>
      </c>
      <c r="H6953" s="40" t="s">
        <v>11404</v>
      </c>
    </row>
    <row r="6954">
      <c r="A6954" s="39"/>
      <c r="E6954" s="40" t="s">
        <v>11404</v>
      </c>
      <c r="F6954" s="40" t="s">
        <v>11404</v>
      </c>
      <c r="G6954" s="40" t="s">
        <v>11404</v>
      </c>
      <c r="H6954" s="40" t="s">
        <v>11404</v>
      </c>
    </row>
    <row r="6955">
      <c r="A6955" s="39"/>
      <c r="E6955" s="40" t="s">
        <v>11404</v>
      </c>
      <c r="F6955" s="40" t="s">
        <v>11404</v>
      </c>
      <c r="G6955" s="40" t="s">
        <v>11404</v>
      </c>
      <c r="H6955" s="40" t="s">
        <v>11404</v>
      </c>
    </row>
    <row r="6956">
      <c r="A6956" s="39"/>
      <c r="E6956" s="40" t="s">
        <v>11404</v>
      </c>
      <c r="F6956" s="40" t="s">
        <v>11404</v>
      </c>
      <c r="G6956" s="40" t="s">
        <v>11404</v>
      </c>
      <c r="H6956" s="40" t="s">
        <v>11404</v>
      </c>
    </row>
    <row r="6957">
      <c r="A6957" s="39"/>
      <c r="E6957" s="40" t="s">
        <v>11404</v>
      </c>
      <c r="F6957" s="40" t="s">
        <v>11404</v>
      </c>
      <c r="G6957" s="40" t="s">
        <v>11404</v>
      </c>
      <c r="H6957" s="40" t="s">
        <v>11404</v>
      </c>
    </row>
    <row r="6958">
      <c r="A6958" s="39"/>
      <c r="E6958" s="40" t="s">
        <v>11404</v>
      </c>
      <c r="F6958" s="40" t="s">
        <v>11404</v>
      </c>
      <c r="G6958" s="40" t="s">
        <v>11404</v>
      </c>
      <c r="H6958" s="40" t="s">
        <v>11404</v>
      </c>
    </row>
    <row r="6959">
      <c r="A6959" s="39"/>
      <c r="E6959" s="40" t="s">
        <v>11404</v>
      </c>
      <c r="F6959" s="40" t="s">
        <v>11404</v>
      </c>
      <c r="G6959" s="40" t="s">
        <v>11404</v>
      </c>
      <c r="H6959" s="40" t="s">
        <v>11404</v>
      </c>
    </row>
    <row r="6960">
      <c r="A6960" s="39"/>
      <c r="E6960" s="40" t="s">
        <v>11404</v>
      </c>
      <c r="F6960" s="40" t="s">
        <v>11404</v>
      </c>
      <c r="G6960" s="40" t="s">
        <v>11404</v>
      </c>
      <c r="H6960" s="40" t="s">
        <v>11404</v>
      </c>
    </row>
    <row r="6961">
      <c r="A6961" s="39"/>
      <c r="E6961" s="40" t="s">
        <v>11404</v>
      </c>
      <c r="F6961" s="40" t="s">
        <v>11404</v>
      </c>
      <c r="G6961" s="40" t="s">
        <v>11404</v>
      </c>
      <c r="H6961" s="40" t="s">
        <v>11404</v>
      </c>
    </row>
    <row r="6962">
      <c r="A6962" s="39"/>
      <c r="E6962" s="40" t="s">
        <v>11404</v>
      </c>
      <c r="F6962" s="40" t="s">
        <v>11404</v>
      </c>
      <c r="G6962" s="40" t="s">
        <v>11404</v>
      </c>
      <c r="H6962" s="40" t="s">
        <v>11404</v>
      </c>
    </row>
    <row r="6963">
      <c r="A6963" s="39"/>
      <c r="E6963" s="40" t="s">
        <v>11404</v>
      </c>
      <c r="F6963" s="40" t="s">
        <v>11404</v>
      </c>
      <c r="G6963" s="40" t="s">
        <v>11404</v>
      </c>
      <c r="H6963" s="40" t="s">
        <v>11404</v>
      </c>
    </row>
    <row r="6964">
      <c r="A6964" s="39"/>
      <c r="E6964" s="40" t="s">
        <v>11404</v>
      </c>
      <c r="F6964" s="40" t="s">
        <v>11404</v>
      </c>
      <c r="G6964" s="40" t="s">
        <v>11404</v>
      </c>
      <c r="H6964" s="40" t="s">
        <v>11404</v>
      </c>
    </row>
    <row r="6965">
      <c r="A6965" s="39"/>
      <c r="E6965" s="40" t="s">
        <v>11404</v>
      </c>
      <c r="F6965" s="40" t="s">
        <v>11404</v>
      </c>
      <c r="G6965" s="40" t="s">
        <v>11404</v>
      </c>
      <c r="H6965" s="40" t="s">
        <v>11404</v>
      </c>
    </row>
    <row r="6966">
      <c r="A6966" s="39"/>
      <c r="E6966" s="40" t="s">
        <v>11404</v>
      </c>
      <c r="F6966" s="40" t="s">
        <v>11404</v>
      </c>
      <c r="G6966" s="40" t="s">
        <v>11404</v>
      </c>
      <c r="H6966" s="40" t="s">
        <v>11404</v>
      </c>
    </row>
    <row r="6967">
      <c r="A6967" s="39"/>
      <c r="E6967" s="40" t="s">
        <v>11404</v>
      </c>
      <c r="F6967" s="40" t="s">
        <v>11404</v>
      </c>
      <c r="G6967" s="40" t="s">
        <v>11404</v>
      </c>
      <c r="H6967" s="40" t="s">
        <v>11404</v>
      </c>
    </row>
    <row r="6968">
      <c r="A6968" s="39"/>
      <c r="E6968" s="40" t="s">
        <v>11404</v>
      </c>
      <c r="F6968" s="40" t="s">
        <v>11404</v>
      </c>
      <c r="G6968" s="40" t="s">
        <v>11404</v>
      </c>
      <c r="H6968" s="40" t="s">
        <v>11404</v>
      </c>
    </row>
    <row r="6969">
      <c r="A6969" s="39"/>
      <c r="E6969" s="40" t="s">
        <v>11404</v>
      </c>
      <c r="F6969" s="40" t="s">
        <v>11404</v>
      </c>
      <c r="G6969" s="40" t="s">
        <v>11404</v>
      </c>
      <c r="H6969" s="40" t="s">
        <v>11404</v>
      </c>
    </row>
    <row r="6970">
      <c r="A6970" s="39"/>
      <c r="E6970" s="40" t="s">
        <v>11404</v>
      </c>
      <c r="F6970" s="40" t="s">
        <v>11404</v>
      </c>
      <c r="G6970" s="40" t="s">
        <v>11404</v>
      </c>
      <c r="H6970" s="40" t="s">
        <v>11404</v>
      </c>
    </row>
    <row r="6971">
      <c r="A6971" s="39"/>
      <c r="E6971" s="40" t="s">
        <v>11404</v>
      </c>
      <c r="F6971" s="40" t="s">
        <v>11404</v>
      </c>
      <c r="G6971" s="40" t="s">
        <v>11404</v>
      </c>
      <c r="H6971" s="40" t="s">
        <v>11404</v>
      </c>
    </row>
    <row r="6972">
      <c r="A6972" s="39"/>
      <c r="E6972" s="40" t="s">
        <v>11404</v>
      </c>
      <c r="F6972" s="40" t="s">
        <v>11404</v>
      </c>
      <c r="G6972" s="40" t="s">
        <v>11404</v>
      </c>
      <c r="H6972" s="40" t="s">
        <v>11404</v>
      </c>
    </row>
    <row r="6973">
      <c r="A6973" s="39"/>
      <c r="E6973" s="40" t="s">
        <v>11404</v>
      </c>
      <c r="F6973" s="40" t="s">
        <v>11404</v>
      </c>
      <c r="G6973" s="40" t="s">
        <v>11404</v>
      </c>
      <c r="H6973" s="40" t="s">
        <v>11404</v>
      </c>
    </row>
    <row r="6974">
      <c r="A6974" s="39"/>
      <c r="E6974" s="40" t="s">
        <v>11404</v>
      </c>
      <c r="F6974" s="40" t="s">
        <v>11404</v>
      </c>
      <c r="G6974" s="40" t="s">
        <v>11404</v>
      </c>
      <c r="H6974" s="40" t="s">
        <v>11404</v>
      </c>
    </row>
    <row r="6975">
      <c r="A6975" s="39"/>
      <c r="E6975" s="40" t="s">
        <v>11404</v>
      </c>
      <c r="F6975" s="40" t="s">
        <v>11404</v>
      </c>
      <c r="G6975" s="40" t="s">
        <v>11404</v>
      </c>
      <c r="H6975" s="40" t="s">
        <v>11404</v>
      </c>
    </row>
    <row r="6976">
      <c r="A6976" s="39"/>
      <c r="E6976" s="40" t="s">
        <v>11404</v>
      </c>
      <c r="F6976" s="40" t="s">
        <v>11404</v>
      </c>
      <c r="G6976" s="40" t="s">
        <v>11404</v>
      </c>
      <c r="H6976" s="40" t="s">
        <v>11404</v>
      </c>
    </row>
    <row r="6977">
      <c r="A6977" s="39"/>
      <c r="E6977" s="40" t="s">
        <v>11404</v>
      </c>
      <c r="F6977" s="40" t="s">
        <v>11404</v>
      </c>
      <c r="G6977" s="40" t="s">
        <v>11404</v>
      </c>
      <c r="H6977" s="40" t="s">
        <v>11404</v>
      </c>
    </row>
    <row r="6978">
      <c r="A6978" s="39"/>
      <c r="E6978" s="40" t="s">
        <v>11404</v>
      </c>
      <c r="F6978" s="40" t="s">
        <v>11404</v>
      </c>
      <c r="G6978" s="40" t="s">
        <v>11404</v>
      </c>
      <c r="H6978" s="40" t="s">
        <v>11404</v>
      </c>
    </row>
    <row r="6979">
      <c r="A6979" s="39"/>
      <c r="E6979" s="40" t="s">
        <v>11404</v>
      </c>
      <c r="F6979" s="40" t="s">
        <v>11404</v>
      </c>
      <c r="G6979" s="40" t="s">
        <v>11404</v>
      </c>
      <c r="H6979" s="40" t="s">
        <v>11404</v>
      </c>
    </row>
    <row r="6980">
      <c r="A6980" s="39"/>
      <c r="E6980" s="40" t="s">
        <v>11404</v>
      </c>
      <c r="F6980" s="40" t="s">
        <v>11404</v>
      </c>
      <c r="G6980" s="40" t="s">
        <v>11404</v>
      </c>
      <c r="H6980" s="40" t="s">
        <v>11404</v>
      </c>
    </row>
    <row r="6981">
      <c r="A6981" s="39"/>
      <c r="E6981" s="40" t="s">
        <v>11404</v>
      </c>
      <c r="F6981" s="40" t="s">
        <v>11404</v>
      </c>
      <c r="G6981" s="40" t="s">
        <v>11404</v>
      </c>
      <c r="H6981" s="40" t="s">
        <v>11404</v>
      </c>
    </row>
    <row r="6982">
      <c r="A6982" s="39"/>
      <c r="E6982" s="40" t="s">
        <v>11404</v>
      </c>
      <c r="F6982" s="40" t="s">
        <v>11404</v>
      </c>
      <c r="G6982" s="40" t="s">
        <v>11404</v>
      </c>
      <c r="H6982" s="40" t="s">
        <v>11404</v>
      </c>
    </row>
    <row r="6983">
      <c r="A6983" s="39"/>
      <c r="E6983" s="40" t="s">
        <v>11404</v>
      </c>
      <c r="F6983" s="40" t="s">
        <v>11404</v>
      </c>
      <c r="G6983" s="40" t="s">
        <v>11404</v>
      </c>
      <c r="H6983" s="40" t="s">
        <v>11404</v>
      </c>
    </row>
    <row r="6984">
      <c r="A6984" s="39"/>
      <c r="E6984" s="40" t="s">
        <v>11404</v>
      </c>
      <c r="F6984" s="40" t="s">
        <v>11404</v>
      </c>
      <c r="G6984" s="40" t="s">
        <v>11404</v>
      </c>
      <c r="H6984" s="40" t="s">
        <v>11404</v>
      </c>
    </row>
    <row r="6985">
      <c r="A6985" s="39"/>
      <c r="E6985" s="40" t="s">
        <v>11404</v>
      </c>
      <c r="F6985" s="40" t="s">
        <v>11404</v>
      </c>
      <c r="G6985" s="40" t="s">
        <v>11404</v>
      </c>
      <c r="H6985" s="40" t="s">
        <v>11404</v>
      </c>
    </row>
    <row r="6986">
      <c r="A6986" s="39"/>
      <c r="E6986" s="40" t="s">
        <v>11404</v>
      </c>
      <c r="F6986" s="40" t="s">
        <v>11404</v>
      </c>
      <c r="G6986" s="40" t="s">
        <v>11404</v>
      </c>
      <c r="H6986" s="40" t="s">
        <v>11404</v>
      </c>
    </row>
    <row r="6987">
      <c r="A6987" s="39"/>
      <c r="E6987" s="40" t="s">
        <v>11404</v>
      </c>
      <c r="F6987" s="40" t="s">
        <v>11404</v>
      </c>
      <c r="G6987" s="40" t="s">
        <v>11404</v>
      </c>
      <c r="H6987" s="40" t="s">
        <v>11404</v>
      </c>
    </row>
    <row r="6988">
      <c r="A6988" s="39"/>
      <c r="E6988" s="40" t="s">
        <v>11404</v>
      </c>
      <c r="F6988" s="40" t="s">
        <v>11404</v>
      </c>
      <c r="G6988" s="40" t="s">
        <v>11404</v>
      </c>
      <c r="H6988" s="40" t="s">
        <v>11404</v>
      </c>
    </row>
    <row r="6989">
      <c r="A6989" s="39"/>
      <c r="E6989" s="40" t="s">
        <v>11404</v>
      </c>
      <c r="F6989" s="40" t="s">
        <v>11404</v>
      </c>
      <c r="G6989" s="40" t="s">
        <v>11404</v>
      </c>
      <c r="H6989" s="40" t="s">
        <v>11404</v>
      </c>
    </row>
    <row r="6990">
      <c r="A6990" s="39"/>
      <c r="E6990" s="40" t="s">
        <v>11404</v>
      </c>
      <c r="F6990" s="40" t="s">
        <v>11404</v>
      </c>
      <c r="G6990" s="40" t="s">
        <v>11404</v>
      </c>
      <c r="H6990" s="40" t="s">
        <v>11404</v>
      </c>
    </row>
    <row r="6991">
      <c r="A6991" s="39"/>
      <c r="E6991" s="40" t="s">
        <v>11404</v>
      </c>
      <c r="F6991" s="40" t="s">
        <v>11404</v>
      </c>
      <c r="G6991" s="40" t="s">
        <v>11404</v>
      </c>
      <c r="H6991" s="40" t="s">
        <v>11404</v>
      </c>
    </row>
    <row r="6992">
      <c r="A6992" s="39"/>
      <c r="E6992" s="40" t="s">
        <v>11404</v>
      </c>
      <c r="F6992" s="40" t="s">
        <v>11404</v>
      </c>
      <c r="G6992" s="40" t="s">
        <v>11404</v>
      </c>
      <c r="H6992" s="40" t="s">
        <v>11404</v>
      </c>
    </row>
    <row r="6993">
      <c r="A6993" s="39"/>
      <c r="E6993" s="40" t="s">
        <v>11404</v>
      </c>
      <c r="F6993" s="40" t="s">
        <v>11404</v>
      </c>
      <c r="G6993" s="40" t="s">
        <v>11404</v>
      </c>
      <c r="H6993" s="40" t="s">
        <v>11404</v>
      </c>
    </row>
    <row r="6994">
      <c r="A6994" s="39"/>
      <c r="E6994" s="40" t="s">
        <v>11404</v>
      </c>
      <c r="F6994" s="40" t="s">
        <v>11404</v>
      </c>
      <c r="G6994" s="40" t="s">
        <v>11404</v>
      </c>
      <c r="H6994" s="40" t="s">
        <v>11404</v>
      </c>
    </row>
    <row r="6995">
      <c r="A6995" s="39"/>
      <c r="E6995" s="40" t="s">
        <v>11404</v>
      </c>
      <c r="F6995" s="40" t="s">
        <v>11404</v>
      </c>
      <c r="G6995" s="40" t="s">
        <v>11404</v>
      </c>
      <c r="H6995" s="40" t="s">
        <v>11404</v>
      </c>
    </row>
    <row r="6996">
      <c r="A6996" s="39"/>
      <c r="E6996" s="40" t="s">
        <v>11404</v>
      </c>
      <c r="F6996" s="40" t="s">
        <v>11404</v>
      </c>
      <c r="G6996" s="40" t="s">
        <v>11404</v>
      </c>
      <c r="H6996" s="40" t="s">
        <v>11404</v>
      </c>
    </row>
    <row r="6997">
      <c r="A6997" s="39"/>
      <c r="E6997" s="40" t="s">
        <v>11404</v>
      </c>
      <c r="F6997" s="40" t="s">
        <v>11404</v>
      </c>
      <c r="G6997" s="40" t="s">
        <v>11404</v>
      </c>
      <c r="H6997" s="40" t="s">
        <v>11404</v>
      </c>
    </row>
    <row r="6998">
      <c r="A6998" s="39"/>
      <c r="E6998" s="40" t="s">
        <v>11404</v>
      </c>
      <c r="F6998" s="40" t="s">
        <v>11404</v>
      </c>
      <c r="G6998" s="40" t="s">
        <v>11404</v>
      </c>
      <c r="H6998" s="40" t="s">
        <v>11404</v>
      </c>
    </row>
    <row r="6999">
      <c r="A6999" s="39"/>
      <c r="E6999" s="40" t="s">
        <v>11404</v>
      </c>
      <c r="F6999" s="40" t="s">
        <v>11404</v>
      </c>
      <c r="G6999" s="40" t="s">
        <v>11404</v>
      </c>
      <c r="H6999" s="40" t="s">
        <v>11404</v>
      </c>
    </row>
    <row r="7000">
      <c r="A7000" s="39"/>
      <c r="E7000" s="40" t="s">
        <v>11404</v>
      </c>
      <c r="F7000" s="40" t="s">
        <v>11404</v>
      </c>
      <c r="G7000" s="40" t="s">
        <v>11404</v>
      </c>
      <c r="H7000" s="40" t="s">
        <v>11404</v>
      </c>
    </row>
    <row r="7001">
      <c r="A7001" s="39"/>
      <c r="E7001" s="40" t="s">
        <v>11404</v>
      </c>
      <c r="F7001" s="40" t="s">
        <v>11404</v>
      </c>
      <c r="G7001" s="40" t="s">
        <v>11404</v>
      </c>
      <c r="H7001" s="40" t="s">
        <v>11404</v>
      </c>
    </row>
    <row r="7002">
      <c r="A7002" s="39"/>
      <c r="E7002" s="40" t="s">
        <v>11404</v>
      </c>
      <c r="F7002" s="40" t="s">
        <v>11404</v>
      </c>
      <c r="G7002" s="40" t="s">
        <v>11404</v>
      </c>
      <c r="H7002" s="40" t="s">
        <v>11404</v>
      </c>
    </row>
    <row r="7003">
      <c r="A7003" s="39"/>
      <c r="E7003" s="40" t="s">
        <v>11404</v>
      </c>
      <c r="F7003" s="40" t="s">
        <v>11404</v>
      </c>
      <c r="G7003" s="40" t="s">
        <v>11404</v>
      </c>
      <c r="H7003" s="40" t="s">
        <v>11404</v>
      </c>
    </row>
    <row r="7004">
      <c r="A7004" s="39"/>
      <c r="E7004" s="40" t="s">
        <v>11404</v>
      </c>
      <c r="F7004" s="40" t="s">
        <v>11404</v>
      </c>
      <c r="G7004" s="40" t="s">
        <v>11404</v>
      </c>
      <c r="H7004" s="40" t="s">
        <v>11404</v>
      </c>
    </row>
    <row r="7005">
      <c r="A7005" s="39"/>
      <c r="E7005" s="40" t="s">
        <v>11404</v>
      </c>
      <c r="F7005" s="40" t="s">
        <v>11404</v>
      </c>
      <c r="G7005" s="40" t="s">
        <v>11404</v>
      </c>
      <c r="H7005" s="40" t="s">
        <v>11404</v>
      </c>
    </row>
    <row r="7006">
      <c r="A7006" s="39"/>
      <c r="E7006" s="40" t="s">
        <v>11404</v>
      </c>
      <c r="F7006" s="40" t="s">
        <v>11404</v>
      </c>
      <c r="G7006" s="40" t="s">
        <v>11404</v>
      </c>
      <c r="H7006" s="40" t="s">
        <v>11404</v>
      </c>
    </row>
    <row r="7007">
      <c r="A7007" s="39"/>
      <c r="E7007" s="40" t="s">
        <v>11404</v>
      </c>
      <c r="F7007" s="40" t="s">
        <v>11404</v>
      </c>
      <c r="G7007" s="40" t="s">
        <v>11404</v>
      </c>
      <c r="H7007" s="40" t="s">
        <v>11404</v>
      </c>
    </row>
    <row r="7008">
      <c r="A7008" s="39"/>
      <c r="E7008" s="40" t="s">
        <v>11404</v>
      </c>
      <c r="F7008" s="40" t="s">
        <v>11404</v>
      </c>
      <c r="G7008" s="40" t="s">
        <v>11404</v>
      </c>
      <c r="H7008" s="40" t="s">
        <v>11404</v>
      </c>
    </row>
    <row r="7009">
      <c r="A7009" s="39"/>
      <c r="E7009" s="40" t="s">
        <v>11404</v>
      </c>
      <c r="F7009" s="40" t="s">
        <v>11404</v>
      </c>
      <c r="G7009" s="40" t="s">
        <v>11404</v>
      </c>
      <c r="H7009" s="40" t="s">
        <v>11404</v>
      </c>
    </row>
    <row r="7010">
      <c r="A7010" s="39"/>
      <c r="E7010" s="40" t="s">
        <v>11404</v>
      </c>
      <c r="F7010" s="40" t="s">
        <v>11404</v>
      </c>
      <c r="G7010" s="40" t="s">
        <v>11404</v>
      </c>
      <c r="H7010" s="40" t="s">
        <v>11404</v>
      </c>
    </row>
    <row r="7011">
      <c r="A7011" s="39"/>
      <c r="E7011" s="40" t="s">
        <v>11404</v>
      </c>
      <c r="F7011" s="40" t="s">
        <v>11404</v>
      </c>
      <c r="G7011" s="40" t="s">
        <v>11404</v>
      </c>
      <c r="H7011" s="40" t="s">
        <v>11404</v>
      </c>
    </row>
    <row r="7012">
      <c r="A7012" s="39"/>
      <c r="E7012" s="40" t="s">
        <v>11404</v>
      </c>
      <c r="F7012" s="40" t="s">
        <v>11404</v>
      </c>
      <c r="G7012" s="40" t="s">
        <v>11404</v>
      </c>
      <c r="H7012" s="40" t="s">
        <v>11404</v>
      </c>
    </row>
    <row r="7013">
      <c r="A7013" s="39"/>
      <c r="E7013" s="40" t="s">
        <v>11404</v>
      </c>
      <c r="F7013" s="40" t="s">
        <v>11404</v>
      </c>
      <c r="G7013" s="40" t="s">
        <v>11404</v>
      </c>
      <c r="H7013" s="40" t="s">
        <v>11404</v>
      </c>
    </row>
    <row r="7014">
      <c r="A7014" s="39"/>
      <c r="E7014" s="40" t="s">
        <v>11404</v>
      </c>
      <c r="F7014" s="40" t="s">
        <v>11404</v>
      </c>
      <c r="G7014" s="40" t="s">
        <v>11404</v>
      </c>
      <c r="H7014" s="40" t="s">
        <v>11404</v>
      </c>
    </row>
    <row r="7015">
      <c r="A7015" s="39"/>
      <c r="E7015" s="40" t="s">
        <v>11404</v>
      </c>
      <c r="F7015" s="40" t="s">
        <v>11404</v>
      </c>
      <c r="G7015" s="40" t="s">
        <v>11404</v>
      </c>
      <c r="H7015" s="40" t="s">
        <v>11404</v>
      </c>
    </row>
    <row r="7016">
      <c r="A7016" s="39"/>
      <c r="E7016" s="40" t="s">
        <v>11404</v>
      </c>
      <c r="F7016" s="40" t="s">
        <v>11404</v>
      </c>
      <c r="G7016" s="40" t="s">
        <v>11404</v>
      </c>
      <c r="H7016" s="40" t="s">
        <v>11404</v>
      </c>
    </row>
    <row r="7017">
      <c r="A7017" s="39"/>
      <c r="E7017" s="40" t="s">
        <v>11404</v>
      </c>
      <c r="F7017" s="40" t="s">
        <v>11404</v>
      </c>
      <c r="G7017" s="40" t="s">
        <v>11404</v>
      </c>
      <c r="H7017" s="40" t="s">
        <v>11404</v>
      </c>
    </row>
    <row r="7018">
      <c r="A7018" s="39"/>
      <c r="E7018" s="40" t="s">
        <v>11404</v>
      </c>
      <c r="F7018" s="40" t="s">
        <v>11404</v>
      </c>
      <c r="G7018" s="40" t="s">
        <v>11404</v>
      </c>
      <c r="H7018" s="40" t="s">
        <v>11404</v>
      </c>
    </row>
    <row r="7019">
      <c r="A7019" s="39"/>
      <c r="E7019" s="40" t="s">
        <v>11404</v>
      </c>
      <c r="F7019" s="40" t="s">
        <v>11404</v>
      </c>
      <c r="G7019" s="40" t="s">
        <v>11404</v>
      </c>
      <c r="H7019" s="40" t="s">
        <v>11404</v>
      </c>
    </row>
    <row r="7020">
      <c r="A7020" s="39"/>
      <c r="E7020" s="40" t="s">
        <v>11404</v>
      </c>
      <c r="F7020" s="40" t="s">
        <v>11404</v>
      </c>
      <c r="G7020" s="40" t="s">
        <v>11404</v>
      </c>
      <c r="H7020" s="40" t="s">
        <v>11404</v>
      </c>
    </row>
    <row r="7021">
      <c r="A7021" s="39"/>
      <c r="E7021" s="40" t="s">
        <v>11404</v>
      </c>
      <c r="F7021" s="40" t="s">
        <v>11404</v>
      </c>
      <c r="G7021" s="40" t="s">
        <v>11404</v>
      </c>
      <c r="H7021" s="40" t="s">
        <v>11404</v>
      </c>
    </row>
    <row r="7022">
      <c r="A7022" s="39"/>
      <c r="E7022" s="40" t="s">
        <v>11404</v>
      </c>
      <c r="F7022" s="40" t="s">
        <v>11404</v>
      </c>
      <c r="G7022" s="40" t="s">
        <v>11404</v>
      </c>
      <c r="H7022" s="40" t="s">
        <v>11404</v>
      </c>
    </row>
    <row r="7023">
      <c r="A7023" s="39"/>
      <c r="E7023" s="40" t="s">
        <v>11404</v>
      </c>
      <c r="F7023" s="40" t="s">
        <v>11404</v>
      </c>
      <c r="G7023" s="40" t="s">
        <v>11404</v>
      </c>
      <c r="H7023" s="40" t="s">
        <v>11404</v>
      </c>
    </row>
    <row r="7024">
      <c r="A7024" s="39"/>
      <c r="E7024" s="40" t="s">
        <v>11404</v>
      </c>
      <c r="F7024" s="40" t="s">
        <v>11404</v>
      </c>
      <c r="G7024" s="40" t="s">
        <v>11404</v>
      </c>
      <c r="H7024" s="40" t="s">
        <v>11404</v>
      </c>
    </row>
    <row r="7025">
      <c r="A7025" s="39"/>
      <c r="E7025" s="40" t="s">
        <v>11404</v>
      </c>
      <c r="F7025" s="40" t="s">
        <v>11404</v>
      </c>
      <c r="G7025" s="40" t="s">
        <v>11404</v>
      </c>
      <c r="H7025" s="40" t="s">
        <v>11404</v>
      </c>
    </row>
    <row r="7026">
      <c r="A7026" s="39"/>
      <c r="E7026" s="40" t="s">
        <v>11404</v>
      </c>
      <c r="F7026" s="40" t="s">
        <v>11404</v>
      </c>
      <c r="G7026" s="40" t="s">
        <v>11404</v>
      </c>
      <c r="H7026" s="40" t="s">
        <v>11404</v>
      </c>
    </row>
    <row r="7027">
      <c r="A7027" s="39"/>
      <c r="E7027" s="40" t="s">
        <v>11404</v>
      </c>
      <c r="F7027" s="40" t="s">
        <v>11404</v>
      </c>
      <c r="G7027" s="40" t="s">
        <v>11404</v>
      </c>
      <c r="H7027" s="40" t="s">
        <v>11404</v>
      </c>
    </row>
    <row r="7028">
      <c r="A7028" s="39"/>
      <c r="E7028" s="40" t="s">
        <v>11404</v>
      </c>
      <c r="F7028" s="40" t="s">
        <v>11404</v>
      </c>
      <c r="G7028" s="40" t="s">
        <v>11404</v>
      </c>
      <c r="H7028" s="40" t="s">
        <v>11404</v>
      </c>
    </row>
    <row r="7029">
      <c r="A7029" s="39"/>
      <c r="E7029" s="40" t="s">
        <v>11404</v>
      </c>
      <c r="F7029" s="40" t="s">
        <v>11404</v>
      </c>
      <c r="G7029" s="40" t="s">
        <v>11404</v>
      </c>
      <c r="H7029" s="40" t="s">
        <v>11404</v>
      </c>
    </row>
    <row r="7030">
      <c r="A7030" s="39"/>
      <c r="E7030" s="40" t="s">
        <v>11404</v>
      </c>
      <c r="F7030" s="40" t="s">
        <v>11404</v>
      </c>
      <c r="G7030" s="40" t="s">
        <v>11404</v>
      </c>
      <c r="H7030" s="40" t="s">
        <v>11404</v>
      </c>
    </row>
    <row r="7031">
      <c r="A7031" s="39"/>
      <c r="E7031" s="40" t="s">
        <v>11404</v>
      </c>
      <c r="F7031" s="40" t="s">
        <v>11404</v>
      </c>
      <c r="G7031" s="40" t="s">
        <v>11404</v>
      </c>
      <c r="H7031" s="40" t="s">
        <v>11404</v>
      </c>
    </row>
    <row r="7032">
      <c r="A7032" s="39"/>
      <c r="E7032" s="40" t="s">
        <v>11404</v>
      </c>
      <c r="F7032" s="40" t="s">
        <v>11404</v>
      </c>
      <c r="G7032" s="40" t="s">
        <v>11404</v>
      </c>
      <c r="H7032" s="40" t="s">
        <v>11404</v>
      </c>
    </row>
    <row r="7033">
      <c r="A7033" s="39"/>
      <c r="E7033" s="40" t="s">
        <v>11404</v>
      </c>
      <c r="F7033" s="40" t="s">
        <v>11404</v>
      </c>
      <c r="G7033" s="40" t="s">
        <v>11404</v>
      </c>
      <c r="H7033" s="40" t="s">
        <v>11404</v>
      </c>
    </row>
    <row r="7034">
      <c r="A7034" s="39"/>
      <c r="E7034" s="40" t="s">
        <v>11404</v>
      </c>
      <c r="F7034" s="40" t="s">
        <v>11404</v>
      </c>
      <c r="G7034" s="40" t="s">
        <v>11404</v>
      </c>
      <c r="H7034" s="40" t="s">
        <v>11404</v>
      </c>
    </row>
    <row r="7035">
      <c r="A7035" s="39"/>
      <c r="E7035" s="40" t="s">
        <v>11404</v>
      </c>
      <c r="F7035" s="40" t="s">
        <v>11404</v>
      </c>
      <c r="G7035" s="40" t="s">
        <v>11404</v>
      </c>
      <c r="H7035" s="40" t="s">
        <v>11404</v>
      </c>
    </row>
    <row r="7036">
      <c r="A7036" s="39"/>
      <c r="E7036" s="40" t="s">
        <v>11404</v>
      </c>
      <c r="F7036" s="40" t="s">
        <v>11404</v>
      </c>
      <c r="G7036" s="40" t="s">
        <v>11404</v>
      </c>
      <c r="H7036" s="40" t="s">
        <v>11404</v>
      </c>
    </row>
    <row r="7037">
      <c r="A7037" s="39"/>
      <c r="E7037" s="40" t="s">
        <v>11404</v>
      </c>
      <c r="F7037" s="40" t="s">
        <v>11404</v>
      </c>
      <c r="G7037" s="40" t="s">
        <v>11404</v>
      </c>
      <c r="H7037" s="40" t="s">
        <v>11404</v>
      </c>
    </row>
    <row r="7038">
      <c r="A7038" s="39"/>
      <c r="E7038" s="40" t="s">
        <v>11404</v>
      </c>
      <c r="F7038" s="40" t="s">
        <v>11404</v>
      </c>
      <c r="G7038" s="40" t="s">
        <v>11404</v>
      </c>
      <c r="H7038" s="40" t="s">
        <v>11404</v>
      </c>
    </row>
    <row r="7039">
      <c r="A7039" s="39"/>
      <c r="E7039" s="40" t="s">
        <v>11404</v>
      </c>
      <c r="F7039" s="40" t="s">
        <v>11404</v>
      </c>
      <c r="G7039" s="40" t="s">
        <v>11404</v>
      </c>
      <c r="H7039" s="40" t="s">
        <v>11404</v>
      </c>
    </row>
    <row r="7040">
      <c r="A7040" s="39"/>
      <c r="E7040" s="40" t="s">
        <v>11404</v>
      </c>
      <c r="F7040" s="40" t="s">
        <v>11404</v>
      </c>
      <c r="G7040" s="40" t="s">
        <v>11404</v>
      </c>
      <c r="H7040" s="40" t="s">
        <v>11404</v>
      </c>
    </row>
    <row r="7041">
      <c r="A7041" s="39"/>
      <c r="E7041" s="40" t="s">
        <v>11404</v>
      </c>
      <c r="F7041" s="40" t="s">
        <v>11404</v>
      </c>
      <c r="G7041" s="40" t="s">
        <v>11404</v>
      </c>
      <c r="H7041" s="40" t="s">
        <v>11404</v>
      </c>
    </row>
    <row r="7042">
      <c r="A7042" s="39"/>
      <c r="E7042" s="40" t="s">
        <v>11404</v>
      </c>
      <c r="F7042" s="40" t="s">
        <v>11404</v>
      </c>
      <c r="G7042" s="40" t="s">
        <v>11404</v>
      </c>
      <c r="H7042" s="40" t="s">
        <v>11404</v>
      </c>
    </row>
    <row r="7043">
      <c r="A7043" s="39"/>
      <c r="E7043" s="40" t="s">
        <v>11404</v>
      </c>
      <c r="F7043" s="40" t="s">
        <v>11404</v>
      </c>
      <c r="G7043" s="40" t="s">
        <v>11404</v>
      </c>
      <c r="H7043" s="40" t="s">
        <v>11404</v>
      </c>
    </row>
    <row r="7044">
      <c r="A7044" s="39"/>
      <c r="E7044" s="40" t="s">
        <v>11404</v>
      </c>
      <c r="F7044" s="40" t="s">
        <v>11404</v>
      </c>
      <c r="G7044" s="40" t="s">
        <v>11404</v>
      </c>
      <c r="H7044" s="40" t="s">
        <v>11404</v>
      </c>
    </row>
    <row r="7045">
      <c r="A7045" s="39"/>
      <c r="E7045" s="40" t="s">
        <v>11404</v>
      </c>
      <c r="F7045" s="40" t="s">
        <v>11404</v>
      </c>
      <c r="G7045" s="40" t="s">
        <v>11404</v>
      </c>
      <c r="H7045" s="40" t="s">
        <v>11404</v>
      </c>
    </row>
    <row r="7046">
      <c r="A7046" s="39"/>
      <c r="E7046" s="40" t="s">
        <v>11404</v>
      </c>
      <c r="F7046" s="40" t="s">
        <v>11404</v>
      </c>
      <c r="G7046" s="40" t="s">
        <v>11404</v>
      </c>
      <c r="H7046" s="40" t="s">
        <v>11404</v>
      </c>
    </row>
    <row r="7047">
      <c r="A7047" s="39"/>
      <c r="E7047" s="40" t="s">
        <v>11404</v>
      </c>
      <c r="F7047" s="40" t="s">
        <v>11404</v>
      </c>
      <c r="G7047" s="40" t="s">
        <v>11404</v>
      </c>
      <c r="H7047" s="40" t="s">
        <v>11404</v>
      </c>
    </row>
    <row r="7048">
      <c r="A7048" s="39"/>
      <c r="E7048" s="40" t="s">
        <v>11404</v>
      </c>
      <c r="F7048" s="40" t="s">
        <v>11404</v>
      </c>
      <c r="G7048" s="40" t="s">
        <v>11404</v>
      </c>
      <c r="H7048" s="40" t="s">
        <v>11404</v>
      </c>
    </row>
    <row r="7049">
      <c r="A7049" s="39"/>
      <c r="E7049" s="40" t="s">
        <v>11404</v>
      </c>
      <c r="F7049" s="40" t="s">
        <v>11404</v>
      </c>
      <c r="G7049" s="40" t="s">
        <v>11404</v>
      </c>
      <c r="H7049" s="40" t="s">
        <v>11404</v>
      </c>
    </row>
    <row r="7050">
      <c r="A7050" s="39"/>
      <c r="E7050" s="40" t="s">
        <v>11404</v>
      </c>
      <c r="F7050" s="40" t="s">
        <v>11404</v>
      </c>
      <c r="G7050" s="40" t="s">
        <v>11404</v>
      </c>
      <c r="H7050" s="40" t="s">
        <v>11404</v>
      </c>
    </row>
    <row r="7051">
      <c r="A7051" s="39"/>
      <c r="E7051" s="40" t="s">
        <v>11404</v>
      </c>
      <c r="F7051" s="40" t="s">
        <v>11404</v>
      </c>
      <c r="G7051" s="40" t="s">
        <v>11404</v>
      </c>
      <c r="H7051" s="40" t="s">
        <v>11404</v>
      </c>
    </row>
    <row r="7052">
      <c r="A7052" s="39"/>
      <c r="E7052" s="40" t="s">
        <v>11404</v>
      </c>
      <c r="F7052" s="40" t="s">
        <v>11404</v>
      </c>
      <c r="G7052" s="40" t="s">
        <v>11404</v>
      </c>
      <c r="H7052" s="40" t="s">
        <v>11404</v>
      </c>
    </row>
    <row r="7053">
      <c r="A7053" s="39"/>
      <c r="E7053" s="40" t="s">
        <v>11404</v>
      </c>
      <c r="F7053" s="40" t="s">
        <v>11404</v>
      </c>
      <c r="G7053" s="40" t="s">
        <v>11404</v>
      </c>
      <c r="H7053" s="40" t="s">
        <v>11404</v>
      </c>
    </row>
    <row r="7054">
      <c r="A7054" s="39"/>
      <c r="E7054" s="40" t="s">
        <v>11404</v>
      </c>
      <c r="F7054" s="40" t="s">
        <v>11404</v>
      </c>
      <c r="G7054" s="40" t="s">
        <v>11404</v>
      </c>
      <c r="H7054" s="40" t="s">
        <v>11404</v>
      </c>
    </row>
    <row r="7055">
      <c r="A7055" s="39"/>
      <c r="E7055" s="40" t="s">
        <v>11404</v>
      </c>
      <c r="F7055" s="40" t="s">
        <v>11404</v>
      </c>
      <c r="G7055" s="40" t="s">
        <v>11404</v>
      </c>
      <c r="H7055" s="40" t="s">
        <v>11404</v>
      </c>
    </row>
    <row r="7056">
      <c r="A7056" s="39"/>
      <c r="E7056" s="40" t="s">
        <v>11404</v>
      </c>
      <c r="F7056" s="40" t="s">
        <v>11404</v>
      </c>
      <c r="G7056" s="40" t="s">
        <v>11404</v>
      </c>
      <c r="H7056" s="40" t="s">
        <v>11404</v>
      </c>
    </row>
    <row r="7057">
      <c r="A7057" s="39"/>
      <c r="E7057" s="40" t="s">
        <v>11404</v>
      </c>
      <c r="F7057" s="40" t="s">
        <v>11404</v>
      </c>
      <c r="G7057" s="40" t="s">
        <v>11404</v>
      </c>
      <c r="H7057" s="40" t="s">
        <v>11404</v>
      </c>
    </row>
    <row r="7058">
      <c r="A7058" s="39"/>
      <c r="E7058" s="40" t="s">
        <v>11404</v>
      </c>
      <c r="F7058" s="40" t="s">
        <v>11404</v>
      </c>
      <c r="G7058" s="40" t="s">
        <v>11404</v>
      </c>
      <c r="H7058" s="40" t="s">
        <v>11404</v>
      </c>
    </row>
    <row r="7059">
      <c r="A7059" s="39"/>
      <c r="E7059" s="40" t="s">
        <v>11404</v>
      </c>
      <c r="F7059" s="40" t="s">
        <v>11404</v>
      </c>
      <c r="G7059" s="40" t="s">
        <v>11404</v>
      </c>
      <c r="H7059" s="40" t="s">
        <v>11404</v>
      </c>
    </row>
    <row r="7060">
      <c r="A7060" s="39"/>
      <c r="E7060" s="40" t="s">
        <v>11404</v>
      </c>
      <c r="F7060" s="40" t="s">
        <v>11404</v>
      </c>
      <c r="G7060" s="40" t="s">
        <v>11404</v>
      </c>
      <c r="H7060" s="40" t="s">
        <v>11404</v>
      </c>
    </row>
    <row r="7061">
      <c r="A7061" s="39"/>
      <c r="E7061" s="40" t="s">
        <v>11404</v>
      </c>
      <c r="F7061" s="40" t="s">
        <v>11404</v>
      </c>
      <c r="G7061" s="40" t="s">
        <v>11404</v>
      </c>
      <c r="H7061" s="40" t="s">
        <v>11404</v>
      </c>
    </row>
    <row r="7062">
      <c r="A7062" s="39"/>
      <c r="E7062" s="40" t="s">
        <v>11404</v>
      </c>
      <c r="F7062" s="40" t="s">
        <v>11404</v>
      </c>
      <c r="G7062" s="40" t="s">
        <v>11404</v>
      </c>
      <c r="H7062" s="40" t="s">
        <v>11404</v>
      </c>
    </row>
    <row r="7063">
      <c r="A7063" s="39"/>
      <c r="E7063" s="40" t="s">
        <v>11404</v>
      </c>
      <c r="F7063" s="40" t="s">
        <v>11404</v>
      </c>
      <c r="G7063" s="40" t="s">
        <v>11404</v>
      </c>
      <c r="H7063" s="40" t="s">
        <v>11404</v>
      </c>
    </row>
    <row r="7064">
      <c r="A7064" s="39"/>
      <c r="E7064" s="40" t="s">
        <v>11404</v>
      </c>
      <c r="F7064" s="40" t="s">
        <v>11404</v>
      </c>
      <c r="G7064" s="40" t="s">
        <v>11404</v>
      </c>
      <c r="H7064" s="40" t="s">
        <v>11404</v>
      </c>
    </row>
    <row r="7065">
      <c r="A7065" s="39"/>
      <c r="E7065" s="40" t="s">
        <v>11404</v>
      </c>
      <c r="F7065" s="40" t="s">
        <v>11404</v>
      </c>
      <c r="G7065" s="40" t="s">
        <v>11404</v>
      </c>
      <c r="H7065" s="40" t="s">
        <v>11404</v>
      </c>
    </row>
    <row r="7066">
      <c r="A7066" s="39"/>
      <c r="E7066" s="40" t="s">
        <v>11404</v>
      </c>
      <c r="F7066" s="40" t="s">
        <v>11404</v>
      </c>
      <c r="G7066" s="40" t="s">
        <v>11404</v>
      </c>
      <c r="H7066" s="40" t="s">
        <v>11404</v>
      </c>
    </row>
    <row r="7067">
      <c r="A7067" s="39"/>
      <c r="E7067" s="40" t="s">
        <v>11404</v>
      </c>
      <c r="F7067" s="40" t="s">
        <v>11404</v>
      </c>
      <c r="G7067" s="40" t="s">
        <v>11404</v>
      </c>
      <c r="H7067" s="40" t="s">
        <v>11404</v>
      </c>
    </row>
    <row r="7068">
      <c r="A7068" s="39"/>
      <c r="E7068" s="40" t="s">
        <v>11404</v>
      </c>
      <c r="F7068" s="40" t="s">
        <v>11404</v>
      </c>
      <c r="G7068" s="40" t="s">
        <v>11404</v>
      </c>
      <c r="H7068" s="40" t="s">
        <v>11404</v>
      </c>
    </row>
    <row r="7069">
      <c r="A7069" s="39"/>
      <c r="E7069" s="40" t="s">
        <v>11404</v>
      </c>
      <c r="F7069" s="40" t="s">
        <v>11404</v>
      </c>
      <c r="G7069" s="40" t="s">
        <v>11404</v>
      </c>
      <c r="H7069" s="40" t="s">
        <v>11404</v>
      </c>
    </row>
    <row r="7070">
      <c r="A7070" s="39"/>
      <c r="E7070" s="40" t="s">
        <v>11404</v>
      </c>
      <c r="F7070" s="40" t="s">
        <v>11404</v>
      </c>
      <c r="G7070" s="40" t="s">
        <v>11404</v>
      </c>
      <c r="H7070" s="40" t="s">
        <v>11404</v>
      </c>
    </row>
    <row r="7071">
      <c r="A7071" s="39"/>
      <c r="E7071" s="40" t="s">
        <v>11404</v>
      </c>
      <c r="F7071" s="40" t="s">
        <v>11404</v>
      </c>
      <c r="G7071" s="40" t="s">
        <v>11404</v>
      </c>
      <c r="H7071" s="40" t="s">
        <v>11404</v>
      </c>
    </row>
    <row r="7072">
      <c r="A7072" s="39"/>
      <c r="E7072" s="40" t="s">
        <v>11404</v>
      </c>
      <c r="F7072" s="40" t="s">
        <v>11404</v>
      </c>
      <c r="G7072" s="40" t="s">
        <v>11404</v>
      </c>
      <c r="H7072" s="40" t="s">
        <v>11404</v>
      </c>
    </row>
    <row r="7073">
      <c r="A7073" s="39"/>
      <c r="E7073" s="40" t="s">
        <v>11404</v>
      </c>
      <c r="F7073" s="40" t="s">
        <v>11404</v>
      </c>
      <c r="G7073" s="40" t="s">
        <v>11404</v>
      </c>
      <c r="H7073" s="40" t="s">
        <v>11404</v>
      </c>
    </row>
    <row r="7074">
      <c r="A7074" s="39"/>
      <c r="E7074" s="40" t="s">
        <v>11404</v>
      </c>
      <c r="F7074" s="40" t="s">
        <v>11404</v>
      </c>
      <c r="G7074" s="40" t="s">
        <v>11404</v>
      </c>
      <c r="H7074" s="40" t="s">
        <v>11404</v>
      </c>
    </row>
    <row r="7075">
      <c r="A7075" s="39"/>
      <c r="E7075" s="40" t="s">
        <v>11404</v>
      </c>
      <c r="F7075" s="40" t="s">
        <v>11404</v>
      </c>
      <c r="G7075" s="40" t="s">
        <v>11404</v>
      </c>
      <c r="H7075" s="40" t="s">
        <v>11404</v>
      </c>
    </row>
    <row r="7076">
      <c r="A7076" s="39"/>
      <c r="E7076" s="40" t="s">
        <v>11404</v>
      </c>
      <c r="F7076" s="40" t="s">
        <v>11404</v>
      </c>
      <c r="G7076" s="40" t="s">
        <v>11404</v>
      </c>
      <c r="H7076" s="40" t="s">
        <v>11404</v>
      </c>
    </row>
    <row r="7077">
      <c r="A7077" s="39"/>
      <c r="E7077" s="40" t="s">
        <v>11404</v>
      </c>
      <c r="F7077" s="40" t="s">
        <v>11404</v>
      </c>
      <c r="G7077" s="40" t="s">
        <v>11404</v>
      </c>
      <c r="H7077" s="40" t="s">
        <v>11404</v>
      </c>
    </row>
    <row r="7078">
      <c r="A7078" s="39"/>
      <c r="E7078" s="40" t="s">
        <v>11404</v>
      </c>
      <c r="F7078" s="40" t="s">
        <v>11404</v>
      </c>
      <c r="G7078" s="40" t="s">
        <v>11404</v>
      </c>
      <c r="H7078" s="40" t="s">
        <v>11404</v>
      </c>
    </row>
    <row r="7079">
      <c r="A7079" s="39"/>
      <c r="E7079" s="40" t="s">
        <v>11404</v>
      </c>
      <c r="F7079" s="40" t="s">
        <v>11404</v>
      </c>
      <c r="G7079" s="40" t="s">
        <v>11404</v>
      </c>
      <c r="H7079" s="40" t="s">
        <v>11404</v>
      </c>
    </row>
    <row r="7080">
      <c r="A7080" s="39"/>
      <c r="E7080" s="40" t="s">
        <v>11404</v>
      </c>
      <c r="F7080" s="40" t="s">
        <v>11404</v>
      </c>
      <c r="G7080" s="40" t="s">
        <v>11404</v>
      </c>
      <c r="H7080" s="40" t="s">
        <v>11404</v>
      </c>
    </row>
    <row r="7081">
      <c r="A7081" s="39"/>
      <c r="E7081" s="40" t="s">
        <v>11404</v>
      </c>
      <c r="F7081" s="40" t="s">
        <v>11404</v>
      </c>
      <c r="G7081" s="40" t="s">
        <v>11404</v>
      </c>
      <c r="H7081" s="40" t="s">
        <v>11404</v>
      </c>
    </row>
    <row r="7082">
      <c r="A7082" s="39"/>
      <c r="E7082" s="40" t="s">
        <v>11404</v>
      </c>
      <c r="F7082" s="40" t="s">
        <v>11404</v>
      </c>
      <c r="G7082" s="40" t="s">
        <v>11404</v>
      </c>
      <c r="H7082" s="40" t="s">
        <v>11404</v>
      </c>
    </row>
    <row r="7083">
      <c r="A7083" s="39"/>
      <c r="E7083" s="40" t="s">
        <v>11404</v>
      </c>
      <c r="F7083" s="40" t="s">
        <v>11404</v>
      </c>
      <c r="G7083" s="40" t="s">
        <v>11404</v>
      </c>
      <c r="H7083" s="40" t="s">
        <v>11404</v>
      </c>
    </row>
    <row r="7084">
      <c r="A7084" s="39"/>
      <c r="E7084" s="40" t="s">
        <v>11404</v>
      </c>
      <c r="F7084" s="40" t="s">
        <v>11404</v>
      </c>
      <c r="G7084" s="40" t="s">
        <v>11404</v>
      </c>
      <c r="H7084" s="40" t="s">
        <v>11404</v>
      </c>
    </row>
    <row r="7085">
      <c r="A7085" s="39"/>
      <c r="E7085" s="40" t="s">
        <v>11404</v>
      </c>
      <c r="F7085" s="40" t="s">
        <v>11404</v>
      </c>
      <c r="G7085" s="40" t="s">
        <v>11404</v>
      </c>
      <c r="H7085" s="40" t="s">
        <v>11404</v>
      </c>
    </row>
    <row r="7086">
      <c r="A7086" s="39"/>
      <c r="E7086" s="40" t="s">
        <v>11404</v>
      </c>
      <c r="F7086" s="40" t="s">
        <v>11404</v>
      </c>
      <c r="G7086" s="40" t="s">
        <v>11404</v>
      </c>
      <c r="H7086" s="40" t="s">
        <v>11404</v>
      </c>
    </row>
    <row r="7087">
      <c r="A7087" s="39"/>
      <c r="E7087" s="40" t="s">
        <v>11404</v>
      </c>
      <c r="F7087" s="40" t="s">
        <v>11404</v>
      </c>
      <c r="G7087" s="40" t="s">
        <v>11404</v>
      </c>
      <c r="H7087" s="40" t="s">
        <v>11404</v>
      </c>
    </row>
    <row r="7088">
      <c r="A7088" s="39"/>
      <c r="E7088" s="40" t="s">
        <v>11404</v>
      </c>
      <c r="F7088" s="40" t="s">
        <v>11404</v>
      </c>
      <c r="G7088" s="40" t="s">
        <v>11404</v>
      </c>
      <c r="H7088" s="40" t="s">
        <v>11404</v>
      </c>
    </row>
    <row r="7089">
      <c r="A7089" s="39"/>
      <c r="E7089" s="40" t="s">
        <v>11404</v>
      </c>
      <c r="F7089" s="40" t="s">
        <v>11404</v>
      </c>
      <c r="G7089" s="40" t="s">
        <v>11404</v>
      </c>
      <c r="H7089" s="40" t="s">
        <v>11404</v>
      </c>
    </row>
    <row r="7090">
      <c r="A7090" s="39"/>
      <c r="E7090" s="40" t="s">
        <v>11404</v>
      </c>
      <c r="F7090" s="40" t="s">
        <v>11404</v>
      </c>
      <c r="G7090" s="40" t="s">
        <v>11404</v>
      </c>
      <c r="H7090" s="40" t="s">
        <v>11404</v>
      </c>
    </row>
    <row r="7091">
      <c r="A7091" s="39"/>
      <c r="E7091" s="40" t="s">
        <v>11404</v>
      </c>
      <c r="F7091" s="40" t="s">
        <v>11404</v>
      </c>
      <c r="G7091" s="40" t="s">
        <v>11404</v>
      </c>
      <c r="H7091" s="40" t="s">
        <v>11404</v>
      </c>
    </row>
    <row r="7092">
      <c r="A7092" s="39"/>
      <c r="E7092" s="40" t="s">
        <v>11404</v>
      </c>
      <c r="F7092" s="40" t="s">
        <v>11404</v>
      </c>
      <c r="G7092" s="40" t="s">
        <v>11404</v>
      </c>
      <c r="H7092" s="40" t="s">
        <v>11404</v>
      </c>
    </row>
    <row r="7093">
      <c r="A7093" s="39"/>
      <c r="E7093" s="40" t="s">
        <v>11404</v>
      </c>
      <c r="F7093" s="40" t="s">
        <v>11404</v>
      </c>
      <c r="G7093" s="40" t="s">
        <v>11404</v>
      </c>
      <c r="H7093" s="40" t="s">
        <v>11404</v>
      </c>
    </row>
    <row r="7094">
      <c r="A7094" s="39"/>
      <c r="E7094" s="40" t="s">
        <v>11404</v>
      </c>
      <c r="F7094" s="40" t="s">
        <v>11404</v>
      </c>
      <c r="G7094" s="40" t="s">
        <v>11404</v>
      </c>
      <c r="H7094" s="40" t="s">
        <v>11404</v>
      </c>
    </row>
    <row r="7095">
      <c r="A7095" s="39"/>
      <c r="E7095" s="40" t="s">
        <v>11404</v>
      </c>
      <c r="F7095" s="40" t="s">
        <v>11404</v>
      </c>
      <c r="G7095" s="40" t="s">
        <v>11404</v>
      </c>
      <c r="H7095" s="40" t="s">
        <v>11404</v>
      </c>
    </row>
    <row r="7096">
      <c r="A7096" s="39"/>
      <c r="E7096" s="40" t="s">
        <v>11404</v>
      </c>
      <c r="F7096" s="40" t="s">
        <v>11404</v>
      </c>
      <c r="G7096" s="40" t="s">
        <v>11404</v>
      </c>
      <c r="H7096" s="40" t="s">
        <v>11404</v>
      </c>
    </row>
    <row r="7097">
      <c r="A7097" s="39"/>
      <c r="E7097" s="40" t="s">
        <v>11404</v>
      </c>
      <c r="F7097" s="40" t="s">
        <v>11404</v>
      </c>
      <c r="G7097" s="40" t="s">
        <v>11404</v>
      </c>
      <c r="H7097" s="40" t="s">
        <v>11404</v>
      </c>
    </row>
    <row r="7098">
      <c r="A7098" s="39"/>
      <c r="E7098" s="40" t="s">
        <v>11404</v>
      </c>
      <c r="F7098" s="40" t="s">
        <v>11404</v>
      </c>
      <c r="G7098" s="40" t="s">
        <v>11404</v>
      </c>
      <c r="H7098" s="40" t="s">
        <v>11404</v>
      </c>
    </row>
    <row r="7099">
      <c r="A7099" s="39"/>
      <c r="E7099" s="40" t="s">
        <v>11404</v>
      </c>
      <c r="F7099" s="40" t="s">
        <v>11404</v>
      </c>
      <c r="G7099" s="40" t="s">
        <v>11404</v>
      </c>
      <c r="H7099" s="40" t="s">
        <v>11404</v>
      </c>
    </row>
    <row r="7100">
      <c r="A7100" s="39"/>
      <c r="E7100" s="40" t="s">
        <v>11404</v>
      </c>
      <c r="F7100" s="40" t="s">
        <v>11404</v>
      </c>
      <c r="G7100" s="40" t="s">
        <v>11404</v>
      </c>
      <c r="H7100" s="40" t="s">
        <v>11404</v>
      </c>
    </row>
    <row r="7101">
      <c r="A7101" s="39"/>
      <c r="E7101" s="40" t="s">
        <v>11404</v>
      </c>
      <c r="F7101" s="40" t="s">
        <v>11404</v>
      </c>
      <c r="G7101" s="40" t="s">
        <v>11404</v>
      </c>
      <c r="H7101" s="40" t="s">
        <v>11404</v>
      </c>
    </row>
    <row r="7102">
      <c r="A7102" s="39"/>
      <c r="E7102" s="40" t="s">
        <v>11404</v>
      </c>
      <c r="F7102" s="40" t="s">
        <v>11404</v>
      </c>
      <c r="G7102" s="40" t="s">
        <v>11404</v>
      </c>
      <c r="H7102" s="40" t="s">
        <v>11404</v>
      </c>
    </row>
    <row r="7103">
      <c r="A7103" s="39"/>
      <c r="E7103" s="40" t="s">
        <v>11404</v>
      </c>
      <c r="F7103" s="40" t="s">
        <v>11404</v>
      </c>
      <c r="G7103" s="40" t="s">
        <v>11404</v>
      </c>
      <c r="H7103" s="40" t="s">
        <v>11404</v>
      </c>
    </row>
    <row r="7104">
      <c r="A7104" s="39"/>
      <c r="E7104" s="40" t="s">
        <v>11404</v>
      </c>
      <c r="F7104" s="40" t="s">
        <v>11404</v>
      </c>
      <c r="G7104" s="40" t="s">
        <v>11404</v>
      </c>
      <c r="H7104" s="40" t="s">
        <v>11404</v>
      </c>
    </row>
    <row r="7105">
      <c r="A7105" s="39"/>
      <c r="E7105" s="40" t="s">
        <v>11404</v>
      </c>
      <c r="F7105" s="40" t="s">
        <v>11404</v>
      </c>
      <c r="G7105" s="40" t="s">
        <v>11404</v>
      </c>
      <c r="H7105" s="40" t="s">
        <v>11404</v>
      </c>
    </row>
    <row r="7106">
      <c r="A7106" s="39"/>
      <c r="E7106" s="40" t="s">
        <v>11404</v>
      </c>
      <c r="F7106" s="40" t="s">
        <v>11404</v>
      </c>
      <c r="G7106" s="40" t="s">
        <v>11404</v>
      </c>
      <c r="H7106" s="40" t="s">
        <v>11404</v>
      </c>
    </row>
    <row r="7107">
      <c r="A7107" s="39"/>
      <c r="E7107" s="40" t="s">
        <v>11404</v>
      </c>
      <c r="F7107" s="40" t="s">
        <v>11404</v>
      </c>
      <c r="G7107" s="40" t="s">
        <v>11404</v>
      </c>
      <c r="H7107" s="40" t="s">
        <v>11404</v>
      </c>
    </row>
    <row r="7108">
      <c r="A7108" s="39"/>
      <c r="E7108" s="40" t="s">
        <v>11404</v>
      </c>
      <c r="F7108" s="40" t="s">
        <v>11404</v>
      </c>
      <c r="G7108" s="40" t="s">
        <v>11404</v>
      </c>
      <c r="H7108" s="40" t="s">
        <v>11404</v>
      </c>
    </row>
    <row r="7109">
      <c r="A7109" s="39"/>
      <c r="E7109" s="40" t="s">
        <v>11404</v>
      </c>
      <c r="F7109" s="40" t="s">
        <v>11404</v>
      </c>
      <c r="G7109" s="40" t="s">
        <v>11404</v>
      </c>
      <c r="H7109" s="40" t="s">
        <v>11404</v>
      </c>
    </row>
    <row r="7110">
      <c r="A7110" s="39"/>
      <c r="E7110" s="40" t="s">
        <v>11404</v>
      </c>
      <c r="F7110" s="40" t="s">
        <v>11404</v>
      </c>
      <c r="G7110" s="40" t="s">
        <v>11404</v>
      </c>
      <c r="H7110" s="40" t="s">
        <v>11404</v>
      </c>
    </row>
    <row r="7111">
      <c r="A7111" s="39"/>
      <c r="E7111" s="40" t="s">
        <v>11404</v>
      </c>
      <c r="F7111" s="40" t="s">
        <v>11404</v>
      </c>
      <c r="G7111" s="40" t="s">
        <v>11404</v>
      </c>
      <c r="H7111" s="40" t="s">
        <v>11404</v>
      </c>
    </row>
    <row r="7112">
      <c r="A7112" s="39"/>
      <c r="E7112" s="40" t="s">
        <v>11404</v>
      </c>
      <c r="F7112" s="40" t="s">
        <v>11404</v>
      </c>
      <c r="G7112" s="40" t="s">
        <v>11404</v>
      </c>
      <c r="H7112" s="40" t="s">
        <v>11404</v>
      </c>
    </row>
    <row r="7113">
      <c r="A7113" s="39"/>
      <c r="E7113" s="40" t="s">
        <v>11404</v>
      </c>
      <c r="F7113" s="40" t="s">
        <v>11404</v>
      </c>
      <c r="G7113" s="40" t="s">
        <v>11404</v>
      </c>
      <c r="H7113" s="40" t="s">
        <v>11404</v>
      </c>
    </row>
    <row r="7114">
      <c r="A7114" s="39"/>
      <c r="E7114" s="40" t="s">
        <v>11404</v>
      </c>
      <c r="F7114" s="40" t="s">
        <v>11404</v>
      </c>
      <c r="G7114" s="40" t="s">
        <v>11404</v>
      </c>
      <c r="H7114" s="40" t="s">
        <v>11404</v>
      </c>
    </row>
    <row r="7115">
      <c r="A7115" s="39"/>
      <c r="E7115" s="40" t="s">
        <v>11404</v>
      </c>
      <c r="F7115" s="40" t="s">
        <v>11404</v>
      </c>
      <c r="G7115" s="40" t="s">
        <v>11404</v>
      </c>
      <c r="H7115" s="40" t="s">
        <v>11404</v>
      </c>
    </row>
    <row r="7116">
      <c r="A7116" s="39"/>
      <c r="E7116" s="40" t="s">
        <v>11404</v>
      </c>
      <c r="F7116" s="40" t="s">
        <v>11404</v>
      </c>
      <c r="G7116" s="40" t="s">
        <v>11404</v>
      </c>
      <c r="H7116" s="40" t="s">
        <v>11404</v>
      </c>
    </row>
    <row r="7117">
      <c r="A7117" s="39"/>
      <c r="E7117" s="40" t="s">
        <v>11404</v>
      </c>
      <c r="F7117" s="40" t="s">
        <v>11404</v>
      </c>
      <c r="G7117" s="40" t="s">
        <v>11404</v>
      </c>
      <c r="H7117" s="40" t="s">
        <v>11404</v>
      </c>
    </row>
    <row r="7118">
      <c r="A7118" s="39"/>
      <c r="E7118" s="40" t="s">
        <v>11404</v>
      </c>
      <c r="F7118" s="40" t="s">
        <v>11404</v>
      </c>
      <c r="G7118" s="40" t="s">
        <v>11404</v>
      </c>
      <c r="H7118" s="40" t="s">
        <v>11404</v>
      </c>
    </row>
    <row r="7119">
      <c r="A7119" s="39"/>
      <c r="E7119" s="40" t="s">
        <v>11404</v>
      </c>
      <c r="F7119" s="40" t="s">
        <v>11404</v>
      </c>
      <c r="G7119" s="40" t="s">
        <v>11404</v>
      </c>
      <c r="H7119" s="40" t="s">
        <v>11404</v>
      </c>
    </row>
    <row r="7120">
      <c r="A7120" s="39"/>
      <c r="E7120" s="40" t="s">
        <v>11404</v>
      </c>
      <c r="F7120" s="40" t="s">
        <v>11404</v>
      </c>
      <c r="G7120" s="40" t="s">
        <v>11404</v>
      </c>
      <c r="H7120" s="40" t="s">
        <v>11404</v>
      </c>
    </row>
    <row r="7121">
      <c r="A7121" s="39"/>
      <c r="E7121" s="40" t="s">
        <v>11404</v>
      </c>
      <c r="F7121" s="40" t="s">
        <v>11404</v>
      </c>
      <c r="G7121" s="40" t="s">
        <v>11404</v>
      </c>
      <c r="H7121" s="40" t="s">
        <v>11404</v>
      </c>
    </row>
    <row r="7122">
      <c r="A7122" s="39"/>
      <c r="E7122" s="40" t="s">
        <v>11404</v>
      </c>
      <c r="F7122" s="40" t="s">
        <v>11404</v>
      </c>
      <c r="G7122" s="40" t="s">
        <v>11404</v>
      </c>
      <c r="H7122" s="40" t="s">
        <v>11404</v>
      </c>
    </row>
    <row r="7123">
      <c r="A7123" s="39"/>
      <c r="E7123" s="40" t="s">
        <v>11404</v>
      </c>
      <c r="F7123" s="40" t="s">
        <v>11404</v>
      </c>
      <c r="G7123" s="40" t="s">
        <v>11404</v>
      </c>
      <c r="H7123" s="40" t="s">
        <v>11404</v>
      </c>
    </row>
    <row r="7124">
      <c r="A7124" s="39"/>
      <c r="E7124" s="40" t="s">
        <v>11404</v>
      </c>
      <c r="F7124" s="40" t="s">
        <v>11404</v>
      </c>
      <c r="G7124" s="40" t="s">
        <v>11404</v>
      </c>
      <c r="H7124" s="40" t="s">
        <v>11404</v>
      </c>
    </row>
    <row r="7125">
      <c r="A7125" s="39"/>
      <c r="E7125" s="40" t="s">
        <v>11404</v>
      </c>
      <c r="F7125" s="40" t="s">
        <v>11404</v>
      </c>
      <c r="G7125" s="40" t="s">
        <v>11404</v>
      </c>
      <c r="H7125" s="40" t="s">
        <v>11404</v>
      </c>
    </row>
    <row r="7126">
      <c r="A7126" s="39"/>
      <c r="E7126" s="40" t="s">
        <v>11404</v>
      </c>
      <c r="F7126" s="40" t="s">
        <v>11404</v>
      </c>
      <c r="G7126" s="40" t="s">
        <v>11404</v>
      </c>
      <c r="H7126" s="40" t="s">
        <v>11404</v>
      </c>
    </row>
    <row r="7127">
      <c r="A7127" s="39"/>
      <c r="E7127" s="40" t="s">
        <v>11404</v>
      </c>
      <c r="F7127" s="40" t="s">
        <v>11404</v>
      </c>
      <c r="G7127" s="40" t="s">
        <v>11404</v>
      </c>
      <c r="H7127" s="40" t="s">
        <v>11404</v>
      </c>
    </row>
    <row r="7128">
      <c r="A7128" s="39"/>
      <c r="E7128" s="40" t="s">
        <v>11404</v>
      </c>
      <c r="F7128" s="40" t="s">
        <v>11404</v>
      </c>
      <c r="G7128" s="40" t="s">
        <v>11404</v>
      </c>
      <c r="H7128" s="40" t="s">
        <v>11404</v>
      </c>
    </row>
    <row r="7129">
      <c r="A7129" s="39"/>
      <c r="E7129" s="40" t="s">
        <v>11404</v>
      </c>
      <c r="F7129" s="40" t="s">
        <v>11404</v>
      </c>
      <c r="G7129" s="40" t="s">
        <v>11404</v>
      </c>
      <c r="H7129" s="40" t="s">
        <v>11404</v>
      </c>
    </row>
    <row r="7130">
      <c r="A7130" s="39"/>
      <c r="E7130" s="40" t="s">
        <v>11404</v>
      </c>
      <c r="F7130" s="40" t="s">
        <v>11404</v>
      </c>
      <c r="G7130" s="40" t="s">
        <v>11404</v>
      </c>
      <c r="H7130" s="40" t="s">
        <v>11404</v>
      </c>
    </row>
    <row r="7131">
      <c r="A7131" s="39"/>
      <c r="E7131" s="40" t="s">
        <v>11404</v>
      </c>
      <c r="F7131" s="40" t="s">
        <v>11404</v>
      </c>
      <c r="G7131" s="40" t="s">
        <v>11404</v>
      </c>
      <c r="H7131" s="40" t="s">
        <v>11404</v>
      </c>
    </row>
    <row r="7132">
      <c r="A7132" s="39"/>
      <c r="E7132" s="40" t="s">
        <v>11404</v>
      </c>
      <c r="F7132" s="40" t="s">
        <v>11404</v>
      </c>
      <c r="G7132" s="40" t="s">
        <v>11404</v>
      </c>
      <c r="H7132" s="40" t="s">
        <v>11404</v>
      </c>
    </row>
    <row r="7133">
      <c r="A7133" s="39"/>
      <c r="E7133" s="40" t="s">
        <v>11404</v>
      </c>
      <c r="F7133" s="40" t="s">
        <v>11404</v>
      </c>
      <c r="G7133" s="40" t="s">
        <v>11404</v>
      </c>
      <c r="H7133" s="40" t="s">
        <v>11404</v>
      </c>
    </row>
    <row r="7134">
      <c r="A7134" s="39"/>
      <c r="E7134" s="40" t="s">
        <v>11404</v>
      </c>
      <c r="F7134" s="40" t="s">
        <v>11404</v>
      </c>
      <c r="G7134" s="40" t="s">
        <v>11404</v>
      </c>
      <c r="H7134" s="40" t="s">
        <v>11404</v>
      </c>
    </row>
    <row r="7135">
      <c r="A7135" s="39"/>
      <c r="E7135" s="40" t="s">
        <v>11404</v>
      </c>
      <c r="F7135" s="40" t="s">
        <v>11404</v>
      </c>
      <c r="G7135" s="40" t="s">
        <v>11404</v>
      </c>
      <c r="H7135" s="40" t="s">
        <v>11404</v>
      </c>
    </row>
    <row r="7136">
      <c r="A7136" s="39"/>
      <c r="E7136" s="40" t="s">
        <v>11404</v>
      </c>
      <c r="F7136" s="40" t="s">
        <v>11404</v>
      </c>
      <c r="G7136" s="40" t="s">
        <v>11404</v>
      </c>
      <c r="H7136" s="40" t="s">
        <v>11404</v>
      </c>
    </row>
    <row r="7137">
      <c r="A7137" s="39"/>
      <c r="E7137" s="40" t="s">
        <v>11404</v>
      </c>
      <c r="F7137" s="40" t="s">
        <v>11404</v>
      </c>
      <c r="G7137" s="40" t="s">
        <v>11404</v>
      </c>
      <c r="H7137" s="40" t="s">
        <v>11404</v>
      </c>
    </row>
    <row r="7138">
      <c r="A7138" s="39"/>
      <c r="E7138" s="40" t="s">
        <v>11404</v>
      </c>
      <c r="F7138" s="40" t="s">
        <v>11404</v>
      </c>
      <c r="G7138" s="40" t="s">
        <v>11404</v>
      </c>
      <c r="H7138" s="40" t="s">
        <v>11404</v>
      </c>
    </row>
    <row r="7139">
      <c r="A7139" s="39"/>
      <c r="E7139" s="40" t="s">
        <v>11404</v>
      </c>
      <c r="F7139" s="40" t="s">
        <v>11404</v>
      </c>
      <c r="G7139" s="40" t="s">
        <v>11404</v>
      </c>
      <c r="H7139" s="40" t="s">
        <v>11404</v>
      </c>
    </row>
    <row r="7140">
      <c r="A7140" s="39"/>
      <c r="E7140" s="40" t="s">
        <v>11404</v>
      </c>
      <c r="F7140" s="40" t="s">
        <v>11404</v>
      </c>
      <c r="G7140" s="40" t="s">
        <v>11404</v>
      </c>
      <c r="H7140" s="40" t="s">
        <v>11404</v>
      </c>
    </row>
    <row r="7141">
      <c r="A7141" s="39"/>
      <c r="E7141" s="40" t="s">
        <v>11404</v>
      </c>
      <c r="F7141" s="40" t="s">
        <v>11404</v>
      </c>
      <c r="G7141" s="40" t="s">
        <v>11404</v>
      </c>
      <c r="H7141" s="40" t="s">
        <v>11404</v>
      </c>
    </row>
    <row r="7142">
      <c r="A7142" s="39"/>
      <c r="E7142" s="40" t="s">
        <v>11404</v>
      </c>
      <c r="F7142" s="40" t="s">
        <v>11404</v>
      </c>
      <c r="G7142" s="40" t="s">
        <v>11404</v>
      </c>
      <c r="H7142" s="40" t="s">
        <v>11404</v>
      </c>
    </row>
    <row r="7143">
      <c r="A7143" s="39"/>
      <c r="E7143" s="40" t="s">
        <v>11404</v>
      </c>
      <c r="F7143" s="40" t="s">
        <v>11404</v>
      </c>
      <c r="G7143" s="40" t="s">
        <v>11404</v>
      </c>
      <c r="H7143" s="40" t="s">
        <v>11404</v>
      </c>
    </row>
    <row r="7144">
      <c r="A7144" s="39"/>
      <c r="E7144" s="40" t="s">
        <v>11404</v>
      </c>
      <c r="F7144" s="40" t="s">
        <v>11404</v>
      </c>
      <c r="G7144" s="40" t="s">
        <v>11404</v>
      </c>
      <c r="H7144" s="40" t="s">
        <v>11404</v>
      </c>
    </row>
    <row r="7145">
      <c r="A7145" s="39"/>
      <c r="E7145" s="40" t="s">
        <v>11404</v>
      </c>
      <c r="F7145" s="40" t="s">
        <v>11404</v>
      </c>
      <c r="G7145" s="40" t="s">
        <v>11404</v>
      </c>
      <c r="H7145" s="40" t="s">
        <v>11404</v>
      </c>
    </row>
    <row r="7146">
      <c r="A7146" s="39"/>
      <c r="E7146" s="40" t="s">
        <v>11404</v>
      </c>
      <c r="F7146" s="40" t="s">
        <v>11404</v>
      </c>
      <c r="G7146" s="40" t="s">
        <v>11404</v>
      </c>
      <c r="H7146" s="40" t="s">
        <v>11404</v>
      </c>
    </row>
    <row r="7147">
      <c r="A7147" s="39"/>
      <c r="E7147" s="40" t="s">
        <v>11404</v>
      </c>
      <c r="F7147" s="40" t="s">
        <v>11404</v>
      </c>
      <c r="G7147" s="40" t="s">
        <v>11404</v>
      </c>
      <c r="H7147" s="40" t="s">
        <v>11404</v>
      </c>
    </row>
    <row r="7148">
      <c r="A7148" s="39"/>
      <c r="E7148" s="40" t="s">
        <v>11404</v>
      </c>
      <c r="F7148" s="40" t="s">
        <v>11404</v>
      </c>
      <c r="G7148" s="40" t="s">
        <v>11404</v>
      </c>
      <c r="H7148" s="40" t="s">
        <v>11404</v>
      </c>
    </row>
    <row r="7149">
      <c r="A7149" s="39"/>
      <c r="E7149" s="40" t="s">
        <v>11404</v>
      </c>
      <c r="F7149" s="40" t="s">
        <v>11404</v>
      </c>
      <c r="G7149" s="40" t="s">
        <v>11404</v>
      </c>
      <c r="H7149" s="40" t="s">
        <v>11404</v>
      </c>
    </row>
    <row r="7150">
      <c r="A7150" s="39"/>
      <c r="E7150" s="40" t="s">
        <v>11404</v>
      </c>
      <c r="F7150" s="40" t="s">
        <v>11404</v>
      </c>
      <c r="G7150" s="40" t="s">
        <v>11404</v>
      </c>
      <c r="H7150" s="40" t="s">
        <v>11404</v>
      </c>
    </row>
    <row r="7151">
      <c r="A7151" s="39"/>
      <c r="E7151" s="40" t="s">
        <v>11404</v>
      </c>
      <c r="F7151" s="40" t="s">
        <v>11404</v>
      </c>
      <c r="G7151" s="40" t="s">
        <v>11404</v>
      </c>
      <c r="H7151" s="40" t="s">
        <v>11404</v>
      </c>
    </row>
    <row r="7152">
      <c r="A7152" s="39"/>
      <c r="E7152" s="40" t="s">
        <v>11404</v>
      </c>
      <c r="F7152" s="40" t="s">
        <v>11404</v>
      </c>
      <c r="G7152" s="40" t="s">
        <v>11404</v>
      </c>
      <c r="H7152" s="40" t="s">
        <v>11404</v>
      </c>
    </row>
    <row r="7153">
      <c r="A7153" s="39"/>
      <c r="E7153" s="40" t="s">
        <v>11404</v>
      </c>
      <c r="F7153" s="40" t="s">
        <v>11404</v>
      </c>
      <c r="G7153" s="40" t="s">
        <v>11404</v>
      </c>
      <c r="H7153" s="40" t="s">
        <v>11404</v>
      </c>
    </row>
    <row r="7154">
      <c r="A7154" s="39"/>
      <c r="E7154" s="40" t="s">
        <v>11404</v>
      </c>
      <c r="F7154" s="40" t="s">
        <v>11404</v>
      </c>
      <c r="G7154" s="40" t="s">
        <v>11404</v>
      </c>
      <c r="H7154" s="40" t="s">
        <v>11404</v>
      </c>
    </row>
    <row r="7155">
      <c r="A7155" s="39"/>
      <c r="E7155" s="40" t="s">
        <v>11404</v>
      </c>
      <c r="F7155" s="40" t="s">
        <v>11404</v>
      </c>
      <c r="G7155" s="40" t="s">
        <v>11404</v>
      </c>
      <c r="H7155" s="40" t="s">
        <v>11404</v>
      </c>
    </row>
    <row r="7156">
      <c r="A7156" s="39"/>
      <c r="E7156" s="40" t="s">
        <v>11404</v>
      </c>
      <c r="F7156" s="40" t="s">
        <v>11404</v>
      </c>
      <c r="G7156" s="40" t="s">
        <v>11404</v>
      </c>
      <c r="H7156" s="40" t="s">
        <v>11404</v>
      </c>
    </row>
    <row r="7157">
      <c r="A7157" s="39"/>
      <c r="E7157" s="40" t="s">
        <v>11404</v>
      </c>
      <c r="F7157" s="40" t="s">
        <v>11404</v>
      </c>
      <c r="G7157" s="40" t="s">
        <v>11404</v>
      </c>
      <c r="H7157" s="40" t="s">
        <v>11404</v>
      </c>
    </row>
    <row r="7158">
      <c r="A7158" s="39"/>
      <c r="E7158" s="40" t="s">
        <v>11404</v>
      </c>
      <c r="F7158" s="40" t="s">
        <v>11404</v>
      </c>
      <c r="G7158" s="40" t="s">
        <v>11404</v>
      </c>
      <c r="H7158" s="40" t="s">
        <v>11404</v>
      </c>
    </row>
    <row r="7159">
      <c r="A7159" s="39"/>
      <c r="E7159" s="40" t="s">
        <v>11404</v>
      </c>
      <c r="F7159" s="40" t="s">
        <v>11404</v>
      </c>
      <c r="G7159" s="40" t="s">
        <v>11404</v>
      </c>
      <c r="H7159" s="40" t="s">
        <v>11404</v>
      </c>
    </row>
    <row r="7160">
      <c r="A7160" s="39"/>
      <c r="E7160" s="40" t="s">
        <v>11404</v>
      </c>
      <c r="F7160" s="40" t="s">
        <v>11404</v>
      </c>
      <c r="G7160" s="40" t="s">
        <v>11404</v>
      </c>
      <c r="H7160" s="40" t="s">
        <v>11404</v>
      </c>
    </row>
    <row r="7161">
      <c r="A7161" s="39"/>
      <c r="E7161" s="40" t="s">
        <v>11404</v>
      </c>
      <c r="F7161" s="40" t="s">
        <v>11404</v>
      </c>
      <c r="G7161" s="40" t="s">
        <v>11404</v>
      </c>
      <c r="H7161" s="40" t="s">
        <v>11404</v>
      </c>
    </row>
    <row r="7162">
      <c r="A7162" s="39"/>
      <c r="E7162" s="40" t="s">
        <v>11404</v>
      </c>
      <c r="F7162" s="40" t="s">
        <v>11404</v>
      </c>
      <c r="G7162" s="40" t="s">
        <v>11404</v>
      </c>
      <c r="H7162" s="40" t="s">
        <v>11404</v>
      </c>
    </row>
    <row r="7163">
      <c r="A7163" s="39"/>
      <c r="E7163" s="40" t="s">
        <v>11404</v>
      </c>
      <c r="F7163" s="40" t="s">
        <v>11404</v>
      </c>
      <c r="G7163" s="40" t="s">
        <v>11404</v>
      </c>
      <c r="H7163" s="40" t="s">
        <v>11404</v>
      </c>
    </row>
    <row r="7164">
      <c r="A7164" s="39"/>
      <c r="E7164" s="40" t="s">
        <v>11404</v>
      </c>
      <c r="F7164" s="40" t="s">
        <v>11404</v>
      </c>
      <c r="G7164" s="40" t="s">
        <v>11404</v>
      </c>
      <c r="H7164" s="40" t="s">
        <v>11404</v>
      </c>
    </row>
    <row r="7165">
      <c r="A7165" s="39"/>
      <c r="E7165" s="40" t="s">
        <v>11404</v>
      </c>
      <c r="F7165" s="40" t="s">
        <v>11404</v>
      </c>
      <c r="G7165" s="40" t="s">
        <v>11404</v>
      </c>
      <c r="H7165" s="40" t="s">
        <v>11404</v>
      </c>
    </row>
    <row r="7166">
      <c r="A7166" s="39"/>
      <c r="E7166" s="40" t="s">
        <v>11404</v>
      </c>
      <c r="F7166" s="40" t="s">
        <v>11404</v>
      </c>
      <c r="G7166" s="40" t="s">
        <v>11404</v>
      </c>
      <c r="H7166" s="40" t="s">
        <v>11404</v>
      </c>
    </row>
    <row r="7167">
      <c r="A7167" s="39"/>
      <c r="E7167" s="40" t="s">
        <v>11404</v>
      </c>
      <c r="F7167" s="40" t="s">
        <v>11404</v>
      </c>
      <c r="G7167" s="40" t="s">
        <v>11404</v>
      </c>
      <c r="H7167" s="40" t="s">
        <v>11404</v>
      </c>
    </row>
    <row r="7168">
      <c r="A7168" s="39"/>
      <c r="E7168" s="40" t="s">
        <v>11404</v>
      </c>
      <c r="F7168" s="40" t="s">
        <v>11404</v>
      </c>
      <c r="G7168" s="40" t="s">
        <v>11404</v>
      </c>
      <c r="H7168" s="40" t="s">
        <v>11404</v>
      </c>
    </row>
    <row r="7169">
      <c r="A7169" s="39"/>
      <c r="E7169" s="40" t="s">
        <v>11404</v>
      </c>
      <c r="F7169" s="40" t="s">
        <v>11404</v>
      </c>
      <c r="G7169" s="40" t="s">
        <v>11404</v>
      </c>
      <c r="H7169" s="40" t="s">
        <v>11404</v>
      </c>
    </row>
    <row r="7170">
      <c r="A7170" s="39"/>
      <c r="E7170" s="40" t="s">
        <v>11404</v>
      </c>
      <c r="F7170" s="40" t="s">
        <v>11404</v>
      </c>
      <c r="G7170" s="40" t="s">
        <v>11404</v>
      </c>
      <c r="H7170" s="40" t="s">
        <v>11404</v>
      </c>
    </row>
    <row r="7171">
      <c r="A7171" s="39"/>
      <c r="E7171" s="40" t="s">
        <v>11404</v>
      </c>
      <c r="F7171" s="40" t="s">
        <v>11404</v>
      </c>
      <c r="G7171" s="40" t="s">
        <v>11404</v>
      </c>
      <c r="H7171" s="40" t="s">
        <v>11404</v>
      </c>
    </row>
    <row r="7172">
      <c r="A7172" s="39"/>
      <c r="E7172" s="40" t="s">
        <v>11404</v>
      </c>
      <c r="F7172" s="40" t="s">
        <v>11404</v>
      </c>
      <c r="G7172" s="40" t="s">
        <v>11404</v>
      </c>
      <c r="H7172" s="40" t="s">
        <v>11404</v>
      </c>
    </row>
    <row r="7173">
      <c r="A7173" s="39"/>
      <c r="E7173" s="40" t="s">
        <v>11404</v>
      </c>
      <c r="F7173" s="40" t="s">
        <v>11404</v>
      </c>
      <c r="G7173" s="40" t="s">
        <v>11404</v>
      </c>
      <c r="H7173" s="40" t="s">
        <v>11404</v>
      </c>
    </row>
    <row r="7174">
      <c r="A7174" s="39"/>
      <c r="E7174" s="40" t="s">
        <v>11404</v>
      </c>
      <c r="F7174" s="40" t="s">
        <v>11404</v>
      </c>
      <c r="G7174" s="40" t="s">
        <v>11404</v>
      </c>
      <c r="H7174" s="40" t="s">
        <v>11404</v>
      </c>
    </row>
    <row r="7175">
      <c r="A7175" s="39"/>
      <c r="E7175" s="40" t="s">
        <v>11404</v>
      </c>
      <c r="F7175" s="40" t="s">
        <v>11404</v>
      </c>
      <c r="G7175" s="40" t="s">
        <v>11404</v>
      </c>
      <c r="H7175" s="40" t="s">
        <v>11404</v>
      </c>
    </row>
    <row r="7176">
      <c r="A7176" s="39"/>
      <c r="E7176" s="40" t="s">
        <v>11404</v>
      </c>
      <c r="F7176" s="40" t="s">
        <v>11404</v>
      </c>
      <c r="G7176" s="40" t="s">
        <v>11404</v>
      </c>
      <c r="H7176" s="40" t="s">
        <v>11404</v>
      </c>
    </row>
    <row r="7177">
      <c r="A7177" s="39"/>
      <c r="E7177" s="40" t="s">
        <v>11404</v>
      </c>
      <c r="F7177" s="40" t="s">
        <v>11404</v>
      </c>
      <c r="G7177" s="40" t="s">
        <v>11404</v>
      </c>
      <c r="H7177" s="40" t="s">
        <v>11404</v>
      </c>
    </row>
    <row r="7178">
      <c r="A7178" s="39"/>
      <c r="E7178" s="40" t="s">
        <v>11404</v>
      </c>
      <c r="F7178" s="40" t="s">
        <v>11404</v>
      </c>
      <c r="G7178" s="40" t="s">
        <v>11404</v>
      </c>
      <c r="H7178" s="40" t="s">
        <v>11404</v>
      </c>
    </row>
    <row r="7179">
      <c r="A7179" s="39"/>
      <c r="E7179" s="40" t="s">
        <v>11404</v>
      </c>
      <c r="F7179" s="40" t="s">
        <v>11404</v>
      </c>
      <c r="G7179" s="40" t="s">
        <v>11404</v>
      </c>
      <c r="H7179" s="40" t="s">
        <v>11404</v>
      </c>
    </row>
    <row r="7180">
      <c r="A7180" s="39"/>
      <c r="E7180" s="40" t="s">
        <v>11404</v>
      </c>
      <c r="F7180" s="40" t="s">
        <v>11404</v>
      </c>
      <c r="G7180" s="40" t="s">
        <v>11404</v>
      </c>
      <c r="H7180" s="40" t="s">
        <v>11404</v>
      </c>
    </row>
    <row r="7181">
      <c r="A7181" s="39"/>
      <c r="E7181" s="40" t="s">
        <v>11404</v>
      </c>
      <c r="F7181" s="40" t="s">
        <v>11404</v>
      </c>
      <c r="G7181" s="40" t="s">
        <v>11404</v>
      </c>
      <c r="H7181" s="40" t="s">
        <v>11404</v>
      </c>
    </row>
    <row r="7182">
      <c r="A7182" s="39"/>
      <c r="E7182" s="40" t="s">
        <v>11404</v>
      </c>
      <c r="F7182" s="40" t="s">
        <v>11404</v>
      </c>
      <c r="G7182" s="40" t="s">
        <v>11404</v>
      </c>
      <c r="H7182" s="40" t="s">
        <v>11404</v>
      </c>
    </row>
    <row r="7183">
      <c r="A7183" s="39"/>
      <c r="E7183" s="40" t="s">
        <v>11404</v>
      </c>
      <c r="F7183" s="40" t="s">
        <v>11404</v>
      </c>
      <c r="G7183" s="40" t="s">
        <v>11404</v>
      </c>
      <c r="H7183" s="40" t="s">
        <v>11404</v>
      </c>
    </row>
    <row r="7184">
      <c r="A7184" s="39"/>
      <c r="E7184" s="40" t="s">
        <v>11404</v>
      </c>
      <c r="F7184" s="40" t="s">
        <v>11404</v>
      </c>
      <c r="G7184" s="40" t="s">
        <v>11404</v>
      </c>
      <c r="H7184" s="40" t="s">
        <v>11404</v>
      </c>
    </row>
    <row r="7185">
      <c r="A7185" s="39"/>
      <c r="E7185" s="40" t="s">
        <v>11404</v>
      </c>
      <c r="F7185" s="40" t="s">
        <v>11404</v>
      </c>
      <c r="G7185" s="40" t="s">
        <v>11404</v>
      </c>
      <c r="H7185" s="40" t="s">
        <v>11404</v>
      </c>
    </row>
    <row r="7186">
      <c r="A7186" s="39"/>
      <c r="E7186" s="40" t="s">
        <v>11404</v>
      </c>
      <c r="F7186" s="40" t="s">
        <v>11404</v>
      </c>
      <c r="G7186" s="40" t="s">
        <v>11404</v>
      </c>
      <c r="H7186" s="40" t="s">
        <v>11404</v>
      </c>
    </row>
    <row r="7187">
      <c r="A7187" s="39"/>
      <c r="E7187" s="40" t="s">
        <v>11404</v>
      </c>
      <c r="F7187" s="40" t="s">
        <v>11404</v>
      </c>
      <c r="G7187" s="40" t="s">
        <v>11404</v>
      </c>
      <c r="H7187" s="40" t="s">
        <v>11404</v>
      </c>
    </row>
    <row r="7188">
      <c r="A7188" s="39"/>
      <c r="E7188" s="40" t="s">
        <v>11404</v>
      </c>
      <c r="F7188" s="40" t="s">
        <v>11404</v>
      </c>
      <c r="G7188" s="40" t="s">
        <v>11404</v>
      </c>
      <c r="H7188" s="40" t="s">
        <v>11404</v>
      </c>
    </row>
    <row r="7189">
      <c r="A7189" s="39"/>
      <c r="E7189" s="40" t="s">
        <v>11404</v>
      </c>
      <c r="F7189" s="40" t="s">
        <v>11404</v>
      </c>
      <c r="G7189" s="40" t="s">
        <v>11404</v>
      </c>
      <c r="H7189" s="40" t="s">
        <v>11404</v>
      </c>
    </row>
    <row r="7190">
      <c r="A7190" s="39"/>
      <c r="E7190" s="40" t="s">
        <v>11404</v>
      </c>
      <c r="F7190" s="40" t="s">
        <v>11404</v>
      </c>
      <c r="G7190" s="40" t="s">
        <v>11404</v>
      </c>
      <c r="H7190" s="40" t="s">
        <v>11404</v>
      </c>
    </row>
    <row r="7191">
      <c r="A7191" s="39"/>
      <c r="E7191" s="40" t="s">
        <v>11404</v>
      </c>
      <c r="F7191" s="40" t="s">
        <v>11404</v>
      </c>
      <c r="G7191" s="40" t="s">
        <v>11404</v>
      </c>
      <c r="H7191" s="40" t="s">
        <v>11404</v>
      </c>
    </row>
    <row r="7192">
      <c r="A7192" s="39"/>
      <c r="E7192" s="40" t="s">
        <v>11404</v>
      </c>
      <c r="F7192" s="40" t="s">
        <v>11404</v>
      </c>
      <c r="G7192" s="40" t="s">
        <v>11404</v>
      </c>
      <c r="H7192" s="40" t="s">
        <v>11404</v>
      </c>
    </row>
    <row r="7193">
      <c r="A7193" s="39"/>
      <c r="E7193" s="40" t="s">
        <v>11404</v>
      </c>
      <c r="F7193" s="40" t="s">
        <v>11404</v>
      </c>
      <c r="G7193" s="40" t="s">
        <v>11404</v>
      </c>
      <c r="H7193" s="40" t="s">
        <v>11404</v>
      </c>
    </row>
    <row r="7194">
      <c r="A7194" s="39"/>
      <c r="E7194" s="40" t="s">
        <v>11404</v>
      </c>
      <c r="F7194" s="40" t="s">
        <v>11404</v>
      </c>
      <c r="G7194" s="40" t="s">
        <v>11404</v>
      </c>
      <c r="H7194" s="40" t="s">
        <v>11404</v>
      </c>
    </row>
    <row r="7195">
      <c r="A7195" s="39"/>
      <c r="E7195" s="40" t="s">
        <v>11404</v>
      </c>
      <c r="F7195" s="40" t="s">
        <v>11404</v>
      </c>
      <c r="G7195" s="40" t="s">
        <v>11404</v>
      </c>
      <c r="H7195" s="40" t="s">
        <v>11404</v>
      </c>
    </row>
    <row r="7196">
      <c r="A7196" s="39"/>
      <c r="E7196" s="40" t="s">
        <v>11404</v>
      </c>
      <c r="F7196" s="40" t="s">
        <v>11404</v>
      </c>
      <c r="G7196" s="40" t="s">
        <v>11404</v>
      </c>
      <c r="H7196" s="40" t="s">
        <v>11404</v>
      </c>
    </row>
    <row r="7197">
      <c r="A7197" s="39"/>
      <c r="E7197" s="40" t="s">
        <v>11404</v>
      </c>
      <c r="F7197" s="40" t="s">
        <v>11404</v>
      </c>
      <c r="G7197" s="40" t="s">
        <v>11404</v>
      </c>
      <c r="H7197" s="40" t="s">
        <v>11404</v>
      </c>
    </row>
    <row r="7198">
      <c r="A7198" s="39"/>
      <c r="E7198" s="40" t="s">
        <v>11404</v>
      </c>
      <c r="F7198" s="40" t="s">
        <v>11404</v>
      </c>
      <c r="G7198" s="40" t="s">
        <v>11404</v>
      </c>
      <c r="H7198" s="40" t="s">
        <v>11404</v>
      </c>
    </row>
    <row r="7199">
      <c r="A7199" s="39"/>
      <c r="E7199" s="40" t="s">
        <v>11404</v>
      </c>
      <c r="F7199" s="40" t="s">
        <v>11404</v>
      </c>
      <c r="G7199" s="40" t="s">
        <v>11404</v>
      </c>
      <c r="H7199" s="40" t="s">
        <v>11404</v>
      </c>
    </row>
    <row r="7200">
      <c r="A7200" s="39"/>
      <c r="E7200" s="40" t="s">
        <v>11404</v>
      </c>
      <c r="F7200" s="40" t="s">
        <v>11404</v>
      </c>
      <c r="G7200" s="40" t="s">
        <v>11404</v>
      </c>
      <c r="H7200" s="40" t="s">
        <v>11404</v>
      </c>
    </row>
    <row r="7201">
      <c r="A7201" s="39"/>
      <c r="E7201" s="40" t="s">
        <v>11404</v>
      </c>
      <c r="F7201" s="40" t="s">
        <v>11404</v>
      </c>
      <c r="G7201" s="40" t="s">
        <v>11404</v>
      </c>
      <c r="H7201" s="40" t="s">
        <v>11404</v>
      </c>
    </row>
    <row r="7202">
      <c r="A7202" s="39"/>
      <c r="E7202" s="40" t="s">
        <v>11404</v>
      </c>
      <c r="F7202" s="40" t="s">
        <v>11404</v>
      </c>
      <c r="G7202" s="40" t="s">
        <v>11404</v>
      </c>
      <c r="H7202" s="40" t="s">
        <v>11404</v>
      </c>
    </row>
    <row r="7203">
      <c r="A7203" s="39"/>
      <c r="E7203" s="40" t="s">
        <v>11404</v>
      </c>
      <c r="F7203" s="40" t="s">
        <v>11404</v>
      </c>
      <c r="G7203" s="40" t="s">
        <v>11404</v>
      </c>
      <c r="H7203" s="40" t="s">
        <v>11404</v>
      </c>
    </row>
    <row r="7204">
      <c r="A7204" s="39"/>
      <c r="E7204" s="40" t="s">
        <v>11404</v>
      </c>
      <c r="F7204" s="40" t="s">
        <v>11404</v>
      </c>
      <c r="G7204" s="40" t="s">
        <v>11404</v>
      </c>
      <c r="H7204" s="40" t="s">
        <v>11404</v>
      </c>
    </row>
    <row r="7205">
      <c r="A7205" s="39"/>
      <c r="E7205" s="40" t="s">
        <v>11404</v>
      </c>
      <c r="F7205" s="40" t="s">
        <v>11404</v>
      </c>
      <c r="G7205" s="40" t="s">
        <v>11404</v>
      </c>
      <c r="H7205" s="40" t="s">
        <v>11404</v>
      </c>
    </row>
    <row r="7206">
      <c r="A7206" s="39"/>
      <c r="E7206" s="40" t="s">
        <v>11404</v>
      </c>
      <c r="F7206" s="40" t="s">
        <v>11404</v>
      </c>
      <c r="G7206" s="40" t="s">
        <v>11404</v>
      </c>
      <c r="H7206" s="40" t="s">
        <v>11404</v>
      </c>
    </row>
    <row r="7207">
      <c r="A7207" s="39"/>
      <c r="E7207" s="40" t="s">
        <v>11404</v>
      </c>
      <c r="F7207" s="40" t="s">
        <v>11404</v>
      </c>
      <c r="G7207" s="40" t="s">
        <v>11404</v>
      </c>
      <c r="H7207" s="40" t="s">
        <v>11404</v>
      </c>
    </row>
    <row r="7208">
      <c r="A7208" s="39"/>
      <c r="E7208" s="40" t="s">
        <v>11404</v>
      </c>
      <c r="F7208" s="40" t="s">
        <v>11404</v>
      </c>
      <c r="G7208" s="40" t="s">
        <v>11404</v>
      </c>
      <c r="H7208" s="40" t="s">
        <v>11404</v>
      </c>
    </row>
    <row r="7209">
      <c r="A7209" s="39"/>
      <c r="E7209" s="40" t="s">
        <v>11404</v>
      </c>
      <c r="F7209" s="40" t="s">
        <v>11404</v>
      </c>
      <c r="G7209" s="40" t="s">
        <v>11404</v>
      </c>
      <c r="H7209" s="40" t="s">
        <v>11404</v>
      </c>
    </row>
    <row r="7210">
      <c r="A7210" s="39"/>
      <c r="E7210" s="40" t="s">
        <v>11404</v>
      </c>
      <c r="F7210" s="40" t="s">
        <v>11404</v>
      </c>
      <c r="G7210" s="40" t="s">
        <v>11404</v>
      </c>
      <c r="H7210" s="40" t="s">
        <v>11404</v>
      </c>
    </row>
    <row r="7211">
      <c r="A7211" s="39"/>
      <c r="E7211" s="40" t="s">
        <v>11404</v>
      </c>
      <c r="F7211" s="40" t="s">
        <v>11404</v>
      </c>
      <c r="G7211" s="40" t="s">
        <v>11404</v>
      </c>
      <c r="H7211" s="40" t="s">
        <v>11404</v>
      </c>
    </row>
    <row r="7212">
      <c r="A7212" s="39"/>
      <c r="E7212" s="40" t="s">
        <v>11404</v>
      </c>
      <c r="F7212" s="40" t="s">
        <v>11404</v>
      </c>
      <c r="G7212" s="40" t="s">
        <v>11404</v>
      </c>
      <c r="H7212" s="40" t="s">
        <v>11404</v>
      </c>
    </row>
    <row r="7213">
      <c r="A7213" s="39"/>
      <c r="E7213" s="40" t="s">
        <v>11404</v>
      </c>
      <c r="F7213" s="40" t="s">
        <v>11404</v>
      </c>
      <c r="G7213" s="40" t="s">
        <v>11404</v>
      </c>
      <c r="H7213" s="40" t="s">
        <v>11404</v>
      </c>
    </row>
    <row r="7214">
      <c r="A7214" s="39"/>
      <c r="E7214" s="40" t="s">
        <v>11404</v>
      </c>
      <c r="F7214" s="40" t="s">
        <v>11404</v>
      </c>
      <c r="G7214" s="40" t="s">
        <v>11404</v>
      </c>
      <c r="H7214" s="40" t="s">
        <v>11404</v>
      </c>
    </row>
    <row r="7215">
      <c r="A7215" s="39"/>
      <c r="E7215" s="40" t="s">
        <v>11404</v>
      </c>
      <c r="F7215" s="40" t="s">
        <v>11404</v>
      </c>
      <c r="G7215" s="40" t="s">
        <v>11404</v>
      </c>
      <c r="H7215" s="40" t="s">
        <v>11404</v>
      </c>
    </row>
    <row r="7216">
      <c r="A7216" s="39"/>
      <c r="E7216" s="40" t="s">
        <v>11404</v>
      </c>
      <c r="F7216" s="40" t="s">
        <v>11404</v>
      </c>
      <c r="G7216" s="40" t="s">
        <v>11404</v>
      </c>
      <c r="H7216" s="40" t="s">
        <v>11404</v>
      </c>
    </row>
    <row r="7217">
      <c r="A7217" s="39"/>
      <c r="E7217" s="40" t="s">
        <v>11404</v>
      </c>
      <c r="F7217" s="40" t="s">
        <v>11404</v>
      </c>
      <c r="G7217" s="40" t="s">
        <v>11404</v>
      </c>
      <c r="H7217" s="40" t="s">
        <v>11404</v>
      </c>
    </row>
    <row r="7218">
      <c r="A7218" s="39"/>
      <c r="E7218" s="40" t="s">
        <v>11404</v>
      </c>
      <c r="F7218" s="40" t="s">
        <v>11404</v>
      </c>
      <c r="G7218" s="40" t="s">
        <v>11404</v>
      </c>
      <c r="H7218" s="40" t="s">
        <v>11404</v>
      </c>
    </row>
    <row r="7219">
      <c r="A7219" s="39"/>
      <c r="E7219" s="40" t="s">
        <v>11404</v>
      </c>
      <c r="F7219" s="40" t="s">
        <v>11404</v>
      </c>
      <c r="G7219" s="40" t="s">
        <v>11404</v>
      </c>
      <c r="H7219" s="40" t="s">
        <v>11404</v>
      </c>
    </row>
    <row r="7220">
      <c r="A7220" s="39"/>
      <c r="E7220" s="40" t="s">
        <v>11404</v>
      </c>
      <c r="F7220" s="40" t="s">
        <v>11404</v>
      </c>
      <c r="G7220" s="40" t="s">
        <v>11404</v>
      </c>
      <c r="H7220" s="40" t="s">
        <v>11404</v>
      </c>
    </row>
    <row r="7221">
      <c r="A7221" s="39"/>
      <c r="E7221" s="40" t="s">
        <v>11404</v>
      </c>
      <c r="F7221" s="40" t="s">
        <v>11404</v>
      </c>
      <c r="G7221" s="40" t="s">
        <v>11404</v>
      </c>
      <c r="H7221" s="40" t="s">
        <v>11404</v>
      </c>
    </row>
    <row r="7222">
      <c r="A7222" s="39"/>
      <c r="E7222" s="40" t="s">
        <v>11404</v>
      </c>
      <c r="F7222" s="40" t="s">
        <v>11404</v>
      </c>
      <c r="G7222" s="40" t="s">
        <v>11404</v>
      </c>
      <c r="H7222" s="40" t="s">
        <v>11404</v>
      </c>
    </row>
    <row r="7223">
      <c r="A7223" s="39"/>
      <c r="E7223" s="40" t="s">
        <v>11404</v>
      </c>
      <c r="F7223" s="40" t="s">
        <v>11404</v>
      </c>
      <c r="G7223" s="40" t="s">
        <v>11404</v>
      </c>
      <c r="H7223" s="40" t="s">
        <v>11404</v>
      </c>
    </row>
    <row r="7224">
      <c r="A7224" s="39"/>
      <c r="E7224" s="40" t="s">
        <v>11404</v>
      </c>
      <c r="F7224" s="40" t="s">
        <v>11404</v>
      </c>
      <c r="G7224" s="40" t="s">
        <v>11404</v>
      </c>
      <c r="H7224" s="40" t="s">
        <v>11404</v>
      </c>
    </row>
    <row r="7225">
      <c r="A7225" s="39"/>
      <c r="E7225" s="40" t="s">
        <v>11404</v>
      </c>
      <c r="F7225" s="40" t="s">
        <v>11404</v>
      </c>
      <c r="G7225" s="40" t="s">
        <v>11404</v>
      </c>
      <c r="H7225" s="40" t="s">
        <v>11404</v>
      </c>
    </row>
    <row r="7226">
      <c r="A7226" s="39"/>
      <c r="E7226" s="40" t="s">
        <v>11404</v>
      </c>
      <c r="F7226" s="40" t="s">
        <v>11404</v>
      </c>
      <c r="G7226" s="40" t="s">
        <v>11404</v>
      </c>
      <c r="H7226" s="40" t="s">
        <v>11404</v>
      </c>
    </row>
    <row r="7227">
      <c r="A7227" s="39"/>
      <c r="E7227" s="40" t="s">
        <v>11404</v>
      </c>
      <c r="F7227" s="40" t="s">
        <v>11404</v>
      </c>
      <c r="G7227" s="40" t="s">
        <v>11404</v>
      </c>
      <c r="H7227" s="40" t="s">
        <v>11404</v>
      </c>
    </row>
    <row r="7228">
      <c r="A7228" s="39"/>
      <c r="E7228" s="40" t="s">
        <v>11404</v>
      </c>
      <c r="F7228" s="40" t="s">
        <v>11404</v>
      </c>
      <c r="G7228" s="40" t="s">
        <v>11404</v>
      </c>
      <c r="H7228" s="40" t="s">
        <v>11404</v>
      </c>
    </row>
    <row r="7229">
      <c r="A7229" s="39"/>
      <c r="E7229" s="40" t="s">
        <v>11404</v>
      </c>
      <c r="F7229" s="40" t="s">
        <v>11404</v>
      </c>
      <c r="G7229" s="40" t="s">
        <v>11404</v>
      </c>
      <c r="H7229" s="40" t="s">
        <v>11404</v>
      </c>
    </row>
    <row r="7230">
      <c r="A7230" s="39"/>
      <c r="E7230" s="40" t="s">
        <v>11404</v>
      </c>
      <c r="F7230" s="40" t="s">
        <v>11404</v>
      </c>
      <c r="G7230" s="40" t="s">
        <v>11404</v>
      </c>
      <c r="H7230" s="40" t="s">
        <v>11404</v>
      </c>
    </row>
    <row r="7231">
      <c r="A7231" s="39"/>
      <c r="E7231" s="40" t="s">
        <v>11404</v>
      </c>
      <c r="F7231" s="40" t="s">
        <v>11404</v>
      </c>
      <c r="G7231" s="40" t="s">
        <v>11404</v>
      </c>
      <c r="H7231" s="40" t="s">
        <v>11404</v>
      </c>
    </row>
    <row r="7232">
      <c r="A7232" s="39"/>
      <c r="E7232" s="40" t="s">
        <v>11404</v>
      </c>
      <c r="F7232" s="40" t="s">
        <v>11404</v>
      </c>
      <c r="G7232" s="40" t="s">
        <v>11404</v>
      </c>
      <c r="H7232" s="40" t="s">
        <v>11404</v>
      </c>
    </row>
    <row r="7233">
      <c r="A7233" s="39"/>
      <c r="E7233" s="40" t="s">
        <v>11404</v>
      </c>
      <c r="F7233" s="40" t="s">
        <v>11404</v>
      </c>
      <c r="G7233" s="40" t="s">
        <v>11404</v>
      </c>
      <c r="H7233" s="40" t="s">
        <v>11404</v>
      </c>
    </row>
    <row r="7234">
      <c r="A7234" s="39"/>
      <c r="E7234" s="40" t="s">
        <v>11404</v>
      </c>
      <c r="F7234" s="40" t="s">
        <v>11404</v>
      </c>
      <c r="G7234" s="40" t="s">
        <v>11404</v>
      </c>
      <c r="H7234" s="40" t="s">
        <v>11404</v>
      </c>
    </row>
    <row r="7235">
      <c r="A7235" s="39"/>
      <c r="E7235" s="40" t="s">
        <v>11404</v>
      </c>
      <c r="F7235" s="40" t="s">
        <v>11404</v>
      </c>
      <c r="G7235" s="40" t="s">
        <v>11404</v>
      </c>
      <c r="H7235" s="40" t="s">
        <v>11404</v>
      </c>
    </row>
    <row r="7236">
      <c r="A7236" s="39"/>
      <c r="E7236" s="40" t="s">
        <v>11404</v>
      </c>
      <c r="F7236" s="40" t="s">
        <v>11404</v>
      </c>
      <c r="G7236" s="40" t="s">
        <v>11404</v>
      </c>
      <c r="H7236" s="40" t="s">
        <v>11404</v>
      </c>
    </row>
    <row r="7237">
      <c r="A7237" s="39"/>
      <c r="E7237" s="40" t="s">
        <v>11404</v>
      </c>
      <c r="F7237" s="40" t="s">
        <v>11404</v>
      </c>
      <c r="G7237" s="40" t="s">
        <v>11404</v>
      </c>
      <c r="H7237" s="40" t="s">
        <v>11404</v>
      </c>
    </row>
    <row r="7238">
      <c r="A7238" s="39"/>
      <c r="E7238" s="40" t="s">
        <v>11404</v>
      </c>
      <c r="F7238" s="40" t="s">
        <v>11404</v>
      </c>
      <c r="G7238" s="40" t="s">
        <v>11404</v>
      </c>
      <c r="H7238" s="40" t="s">
        <v>11404</v>
      </c>
    </row>
    <row r="7239">
      <c r="A7239" s="39"/>
      <c r="E7239" s="40" t="s">
        <v>11404</v>
      </c>
      <c r="F7239" s="40" t="s">
        <v>11404</v>
      </c>
      <c r="G7239" s="40" t="s">
        <v>11404</v>
      </c>
      <c r="H7239" s="40" t="s">
        <v>11404</v>
      </c>
    </row>
    <row r="7240">
      <c r="A7240" s="39"/>
      <c r="E7240" s="40" t="s">
        <v>11404</v>
      </c>
      <c r="F7240" s="40" t="s">
        <v>11404</v>
      </c>
      <c r="G7240" s="40" t="s">
        <v>11404</v>
      </c>
      <c r="H7240" s="40" t="s">
        <v>11404</v>
      </c>
    </row>
    <row r="7241">
      <c r="A7241" s="39"/>
      <c r="E7241" s="40" t="s">
        <v>11404</v>
      </c>
      <c r="F7241" s="40" t="s">
        <v>11404</v>
      </c>
      <c r="G7241" s="40" t="s">
        <v>11404</v>
      </c>
      <c r="H7241" s="40" t="s">
        <v>11404</v>
      </c>
    </row>
    <row r="7242">
      <c r="A7242" s="39"/>
      <c r="E7242" s="40" t="s">
        <v>11404</v>
      </c>
      <c r="F7242" s="40" t="s">
        <v>11404</v>
      </c>
      <c r="G7242" s="40" t="s">
        <v>11404</v>
      </c>
      <c r="H7242" s="40" t="s">
        <v>11404</v>
      </c>
    </row>
    <row r="7243">
      <c r="A7243" s="39"/>
      <c r="E7243" s="40" t="s">
        <v>11404</v>
      </c>
      <c r="F7243" s="40" t="s">
        <v>11404</v>
      </c>
      <c r="G7243" s="40" t="s">
        <v>11404</v>
      </c>
      <c r="H7243" s="40" t="s">
        <v>11404</v>
      </c>
    </row>
    <row r="7244">
      <c r="A7244" s="39"/>
      <c r="E7244" s="40" t="s">
        <v>11404</v>
      </c>
      <c r="F7244" s="40" t="s">
        <v>11404</v>
      </c>
      <c r="G7244" s="40" t="s">
        <v>11404</v>
      </c>
      <c r="H7244" s="40" t="s">
        <v>11404</v>
      </c>
    </row>
    <row r="7245">
      <c r="A7245" s="39"/>
      <c r="E7245" s="40" t="s">
        <v>11404</v>
      </c>
      <c r="F7245" s="40" t="s">
        <v>11404</v>
      </c>
      <c r="G7245" s="40" t="s">
        <v>11404</v>
      </c>
      <c r="H7245" s="40" t="s">
        <v>11404</v>
      </c>
    </row>
    <row r="7246">
      <c r="A7246" s="39"/>
      <c r="E7246" s="40" t="s">
        <v>11404</v>
      </c>
      <c r="F7246" s="40" t="s">
        <v>11404</v>
      </c>
      <c r="G7246" s="40" t="s">
        <v>11404</v>
      </c>
      <c r="H7246" s="40" t="s">
        <v>11404</v>
      </c>
    </row>
    <row r="7247">
      <c r="A7247" s="39"/>
      <c r="E7247" s="40" t="s">
        <v>11404</v>
      </c>
      <c r="F7247" s="40" t="s">
        <v>11404</v>
      </c>
      <c r="G7247" s="40" t="s">
        <v>11404</v>
      </c>
      <c r="H7247" s="40" t="s">
        <v>11404</v>
      </c>
    </row>
    <row r="7248">
      <c r="A7248" s="39"/>
      <c r="E7248" s="40" t="s">
        <v>11404</v>
      </c>
      <c r="F7248" s="40" t="s">
        <v>11404</v>
      </c>
      <c r="G7248" s="40" t="s">
        <v>11404</v>
      </c>
      <c r="H7248" s="40" t="s">
        <v>11404</v>
      </c>
    </row>
    <row r="7249">
      <c r="A7249" s="39"/>
      <c r="E7249" s="40" t="s">
        <v>11404</v>
      </c>
      <c r="F7249" s="40" t="s">
        <v>11404</v>
      </c>
      <c r="G7249" s="40" t="s">
        <v>11404</v>
      </c>
      <c r="H7249" s="40" t="s">
        <v>11404</v>
      </c>
    </row>
    <row r="7250">
      <c r="A7250" s="39"/>
      <c r="E7250" s="40" t="s">
        <v>11404</v>
      </c>
      <c r="F7250" s="40" t="s">
        <v>11404</v>
      </c>
      <c r="G7250" s="40" t="s">
        <v>11404</v>
      </c>
      <c r="H7250" s="40" t="s">
        <v>11404</v>
      </c>
    </row>
    <row r="7251">
      <c r="A7251" s="39"/>
      <c r="E7251" s="40" t="s">
        <v>11404</v>
      </c>
      <c r="F7251" s="40" t="s">
        <v>11404</v>
      </c>
      <c r="G7251" s="40" t="s">
        <v>11404</v>
      </c>
      <c r="H7251" s="40" t="s">
        <v>11404</v>
      </c>
    </row>
    <row r="7252">
      <c r="A7252" s="39"/>
      <c r="E7252" s="40" t="s">
        <v>11404</v>
      </c>
      <c r="F7252" s="40" t="s">
        <v>11404</v>
      </c>
      <c r="G7252" s="40" t="s">
        <v>11404</v>
      </c>
      <c r="H7252" s="40" t="s">
        <v>11404</v>
      </c>
    </row>
    <row r="7253">
      <c r="A7253" s="39"/>
      <c r="E7253" s="40" t="s">
        <v>11404</v>
      </c>
      <c r="F7253" s="40" t="s">
        <v>11404</v>
      </c>
      <c r="G7253" s="40" t="s">
        <v>11404</v>
      </c>
      <c r="H7253" s="40" t="s">
        <v>11404</v>
      </c>
    </row>
    <row r="7254">
      <c r="A7254" s="39"/>
      <c r="E7254" s="40" t="s">
        <v>11404</v>
      </c>
      <c r="F7254" s="40" t="s">
        <v>11404</v>
      </c>
      <c r="G7254" s="40" t="s">
        <v>11404</v>
      </c>
      <c r="H7254" s="40" t="s">
        <v>11404</v>
      </c>
    </row>
    <row r="7255">
      <c r="A7255" s="39"/>
      <c r="E7255" s="40" t="s">
        <v>11404</v>
      </c>
      <c r="F7255" s="40" t="s">
        <v>11404</v>
      </c>
      <c r="G7255" s="40" t="s">
        <v>11404</v>
      </c>
      <c r="H7255" s="40" t="s">
        <v>11404</v>
      </c>
    </row>
    <row r="7256">
      <c r="A7256" s="39"/>
      <c r="E7256" s="40" t="s">
        <v>11404</v>
      </c>
      <c r="F7256" s="40" t="s">
        <v>11404</v>
      </c>
      <c r="G7256" s="40" t="s">
        <v>11404</v>
      </c>
      <c r="H7256" s="40" t="s">
        <v>11404</v>
      </c>
    </row>
    <row r="7257">
      <c r="A7257" s="39"/>
      <c r="E7257" s="40" t="s">
        <v>11404</v>
      </c>
      <c r="F7257" s="40" t="s">
        <v>11404</v>
      </c>
      <c r="G7257" s="40" t="s">
        <v>11404</v>
      </c>
      <c r="H7257" s="40" t="s">
        <v>11404</v>
      </c>
    </row>
    <row r="7258">
      <c r="A7258" s="39"/>
      <c r="E7258" s="40" t="s">
        <v>11404</v>
      </c>
      <c r="F7258" s="40" t="s">
        <v>11404</v>
      </c>
      <c r="G7258" s="40" t="s">
        <v>11404</v>
      </c>
      <c r="H7258" s="40" t="s">
        <v>11404</v>
      </c>
    </row>
    <row r="7259">
      <c r="A7259" s="39"/>
      <c r="E7259" s="40" t="s">
        <v>11404</v>
      </c>
      <c r="F7259" s="40" t="s">
        <v>11404</v>
      </c>
      <c r="G7259" s="40" t="s">
        <v>11404</v>
      </c>
      <c r="H7259" s="40" t="s">
        <v>11404</v>
      </c>
    </row>
    <row r="7260">
      <c r="A7260" s="39"/>
      <c r="E7260" s="40" t="s">
        <v>11404</v>
      </c>
      <c r="F7260" s="40" t="s">
        <v>11404</v>
      </c>
      <c r="G7260" s="40" t="s">
        <v>11404</v>
      </c>
      <c r="H7260" s="40" t="s">
        <v>11404</v>
      </c>
    </row>
    <row r="7261">
      <c r="A7261" s="39"/>
      <c r="E7261" s="40" t="s">
        <v>11404</v>
      </c>
      <c r="F7261" s="40" t="s">
        <v>11404</v>
      </c>
      <c r="G7261" s="40" t="s">
        <v>11404</v>
      </c>
      <c r="H7261" s="40" t="s">
        <v>11404</v>
      </c>
    </row>
    <row r="7262">
      <c r="A7262" s="39"/>
      <c r="E7262" s="40" t="s">
        <v>11404</v>
      </c>
      <c r="F7262" s="40" t="s">
        <v>11404</v>
      </c>
      <c r="G7262" s="40" t="s">
        <v>11404</v>
      </c>
      <c r="H7262" s="40" t="s">
        <v>11404</v>
      </c>
    </row>
    <row r="7263">
      <c r="A7263" s="39"/>
      <c r="E7263" s="40" t="s">
        <v>11404</v>
      </c>
      <c r="F7263" s="40" t="s">
        <v>11404</v>
      </c>
      <c r="G7263" s="40" t="s">
        <v>11404</v>
      </c>
      <c r="H7263" s="40" t="s">
        <v>11404</v>
      </c>
    </row>
    <row r="7264">
      <c r="A7264" s="39"/>
      <c r="E7264" s="40" t="s">
        <v>11404</v>
      </c>
      <c r="F7264" s="40" t="s">
        <v>11404</v>
      </c>
      <c r="G7264" s="40" t="s">
        <v>11404</v>
      </c>
      <c r="H7264" s="40" t="s">
        <v>11404</v>
      </c>
    </row>
    <row r="7265">
      <c r="A7265" s="39"/>
      <c r="E7265" s="40" t="s">
        <v>11404</v>
      </c>
      <c r="F7265" s="40" t="s">
        <v>11404</v>
      </c>
      <c r="G7265" s="40" t="s">
        <v>11404</v>
      </c>
      <c r="H7265" s="40" t="s">
        <v>11404</v>
      </c>
    </row>
    <row r="7266">
      <c r="A7266" s="39"/>
      <c r="E7266" s="40" t="s">
        <v>11404</v>
      </c>
      <c r="F7266" s="40" t="s">
        <v>11404</v>
      </c>
      <c r="G7266" s="40" t="s">
        <v>11404</v>
      </c>
      <c r="H7266" s="40" t="s">
        <v>11404</v>
      </c>
    </row>
    <row r="7267">
      <c r="A7267" s="39"/>
      <c r="E7267" s="40" t="s">
        <v>11404</v>
      </c>
      <c r="F7267" s="40" t="s">
        <v>11404</v>
      </c>
      <c r="G7267" s="40" t="s">
        <v>11404</v>
      </c>
      <c r="H7267" s="40" t="s">
        <v>11404</v>
      </c>
    </row>
    <row r="7268">
      <c r="A7268" s="39"/>
      <c r="E7268" s="40" t="s">
        <v>11404</v>
      </c>
      <c r="F7268" s="40" t="s">
        <v>11404</v>
      </c>
      <c r="G7268" s="40" t="s">
        <v>11404</v>
      </c>
      <c r="H7268" s="40" t="s">
        <v>11404</v>
      </c>
    </row>
    <row r="7269">
      <c r="A7269" s="39"/>
      <c r="E7269" s="40" t="s">
        <v>11404</v>
      </c>
      <c r="F7269" s="40" t="s">
        <v>11404</v>
      </c>
      <c r="G7269" s="40" t="s">
        <v>11404</v>
      </c>
      <c r="H7269" s="40" t="s">
        <v>11404</v>
      </c>
    </row>
    <row r="7270">
      <c r="A7270" s="39"/>
      <c r="E7270" s="40" t="s">
        <v>11404</v>
      </c>
      <c r="F7270" s="40" t="s">
        <v>11404</v>
      </c>
      <c r="G7270" s="40" t="s">
        <v>11404</v>
      </c>
      <c r="H7270" s="40" t="s">
        <v>11404</v>
      </c>
    </row>
    <row r="7271">
      <c r="A7271" s="39"/>
      <c r="E7271" s="40" t="s">
        <v>11404</v>
      </c>
      <c r="F7271" s="40" t="s">
        <v>11404</v>
      </c>
      <c r="G7271" s="40" t="s">
        <v>11404</v>
      </c>
      <c r="H7271" s="40" t="s">
        <v>11404</v>
      </c>
    </row>
    <row r="7272">
      <c r="A7272" s="39"/>
      <c r="E7272" s="40" t="s">
        <v>11404</v>
      </c>
      <c r="F7272" s="40" t="s">
        <v>11404</v>
      </c>
      <c r="G7272" s="40" t="s">
        <v>11404</v>
      </c>
      <c r="H7272" s="40" t="s">
        <v>11404</v>
      </c>
    </row>
    <row r="7273">
      <c r="A7273" s="39"/>
      <c r="E7273" s="40" t="s">
        <v>11404</v>
      </c>
      <c r="F7273" s="40" t="s">
        <v>11404</v>
      </c>
      <c r="G7273" s="40" t="s">
        <v>11404</v>
      </c>
      <c r="H7273" s="40" t="s">
        <v>11404</v>
      </c>
    </row>
    <row r="7274">
      <c r="A7274" s="39"/>
      <c r="E7274" s="40" t="s">
        <v>11404</v>
      </c>
      <c r="F7274" s="40" t="s">
        <v>11404</v>
      </c>
      <c r="G7274" s="40" t="s">
        <v>11404</v>
      </c>
      <c r="H7274" s="40" t="s">
        <v>11404</v>
      </c>
    </row>
    <row r="7275">
      <c r="A7275" s="39"/>
      <c r="E7275" s="40" t="s">
        <v>11404</v>
      </c>
      <c r="F7275" s="40" t="s">
        <v>11404</v>
      </c>
      <c r="G7275" s="40" t="s">
        <v>11404</v>
      </c>
      <c r="H7275" s="40" t="s">
        <v>11404</v>
      </c>
    </row>
    <row r="7276">
      <c r="A7276" s="39"/>
      <c r="E7276" s="40" t="s">
        <v>11404</v>
      </c>
      <c r="F7276" s="40" t="s">
        <v>11404</v>
      </c>
      <c r="G7276" s="40" t="s">
        <v>11404</v>
      </c>
      <c r="H7276" s="40" t="s">
        <v>11404</v>
      </c>
    </row>
    <row r="7277">
      <c r="A7277" s="39"/>
      <c r="E7277" s="40" t="s">
        <v>11404</v>
      </c>
      <c r="F7277" s="40" t="s">
        <v>11404</v>
      </c>
      <c r="G7277" s="40" t="s">
        <v>11404</v>
      </c>
      <c r="H7277" s="40" t="s">
        <v>11404</v>
      </c>
    </row>
    <row r="7278">
      <c r="A7278" s="39"/>
      <c r="E7278" s="40" t="s">
        <v>11404</v>
      </c>
      <c r="F7278" s="40" t="s">
        <v>11404</v>
      </c>
      <c r="G7278" s="40" t="s">
        <v>11404</v>
      </c>
      <c r="H7278" s="40" t="s">
        <v>11404</v>
      </c>
    </row>
    <row r="7279">
      <c r="A7279" s="39"/>
      <c r="E7279" s="40" t="s">
        <v>11404</v>
      </c>
      <c r="F7279" s="40" t="s">
        <v>11404</v>
      </c>
      <c r="G7279" s="40" t="s">
        <v>11404</v>
      </c>
      <c r="H7279" s="40" t="s">
        <v>11404</v>
      </c>
    </row>
    <row r="7280">
      <c r="A7280" s="39"/>
      <c r="E7280" s="40" t="s">
        <v>11404</v>
      </c>
      <c r="F7280" s="40" t="s">
        <v>11404</v>
      </c>
      <c r="G7280" s="40" t="s">
        <v>11404</v>
      </c>
      <c r="H7280" s="40" t="s">
        <v>11404</v>
      </c>
    </row>
    <row r="7281">
      <c r="A7281" s="39"/>
      <c r="E7281" s="40" t="s">
        <v>11404</v>
      </c>
      <c r="F7281" s="40" t="s">
        <v>11404</v>
      </c>
      <c r="G7281" s="40" t="s">
        <v>11404</v>
      </c>
      <c r="H7281" s="40" t="s">
        <v>11404</v>
      </c>
    </row>
    <row r="7282">
      <c r="A7282" s="39"/>
      <c r="E7282" s="40" t="s">
        <v>11404</v>
      </c>
      <c r="F7282" s="40" t="s">
        <v>11404</v>
      </c>
      <c r="G7282" s="40" t="s">
        <v>11404</v>
      </c>
      <c r="H7282" s="40" t="s">
        <v>11404</v>
      </c>
    </row>
    <row r="7283">
      <c r="A7283" s="39"/>
      <c r="E7283" s="40" t="s">
        <v>11404</v>
      </c>
      <c r="F7283" s="40" t="s">
        <v>11404</v>
      </c>
      <c r="G7283" s="40" t="s">
        <v>11404</v>
      </c>
      <c r="H7283" s="40" t="s">
        <v>11404</v>
      </c>
    </row>
    <row r="7284">
      <c r="A7284" s="39"/>
      <c r="E7284" s="40" t="s">
        <v>11404</v>
      </c>
      <c r="F7284" s="40" t="s">
        <v>11404</v>
      </c>
      <c r="G7284" s="40" t="s">
        <v>11404</v>
      </c>
      <c r="H7284" s="40" t="s">
        <v>11404</v>
      </c>
    </row>
    <row r="7285">
      <c r="A7285" s="39"/>
      <c r="E7285" s="40" t="s">
        <v>11404</v>
      </c>
      <c r="F7285" s="40" t="s">
        <v>11404</v>
      </c>
      <c r="G7285" s="40" t="s">
        <v>11404</v>
      </c>
      <c r="H7285" s="40" t="s">
        <v>11404</v>
      </c>
    </row>
    <row r="7286">
      <c r="A7286" s="39"/>
      <c r="E7286" s="40" t="s">
        <v>11404</v>
      </c>
      <c r="F7286" s="40" t="s">
        <v>11404</v>
      </c>
      <c r="G7286" s="40" t="s">
        <v>11404</v>
      </c>
      <c r="H7286" s="40" t="s">
        <v>11404</v>
      </c>
    </row>
    <row r="7287">
      <c r="A7287" s="39"/>
      <c r="E7287" s="40" t="s">
        <v>11404</v>
      </c>
      <c r="F7287" s="40" t="s">
        <v>11404</v>
      </c>
      <c r="G7287" s="40" t="s">
        <v>11404</v>
      </c>
      <c r="H7287" s="40" t="s">
        <v>11404</v>
      </c>
    </row>
    <row r="7288">
      <c r="A7288" s="39"/>
      <c r="E7288" s="40" t="s">
        <v>11404</v>
      </c>
      <c r="F7288" s="40" t="s">
        <v>11404</v>
      </c>
      <c r="G7288" s="40" t="s">
        <v>11404</v>
      </c>
      <c r="H7288" s="40" t="s">
        <v>11404</v>
      </c>
    </row>
    <row r="7289">
      <c r="A7289" s="39"/>
      <c r="E7289" s="40" t="s">
        <v>11404</v>
      </c>
      <c r="F7289" s="40" t="s">
        <v>11404</v>
      </c>
      <c r="G7289" s="40" t="s">
        <v>11404</v>
      </c>
      <c r="H7289" s="40" t="s">
        <v>11404</v>
      </c>
    </row>
    <row r="7290">
      <c r="A7290" s="39"/>
      <c r="E7290" s="40" t="s">
        <v>11404</v>
      </c>
      <c r="F7290" s="40" t="s">
        <v>11404</v>
      </c>
      <c r="G7290" s="40" t="s">
        <v>11404</v>
      </c>
      <c r="H7290" s="40" t="s">
        <v>11404</v>
      </c>
    </row>
    <row r="7291">
      <c r="A7291" s="39"/>
      <c r="E7291" s="40" t="s">
        <v>11404</v>
      </c>
      <c r="F7291" s="40" t="s">
        <v>11404</v>
      </c>
      <c r="G7291" s="40" t="s">
        <v>11404</v>
      </c>
      <c r="H7291" s="40" t="s">
        <v>11404</v>
      </c>
    </row>
    <row r="7292">
      <c r="A7292" s="39"/>
      <c r="E7292" s="40" t="s">
        <v>11404</v>
      </c>
      <c r="F7292" s="40" t="s">
        <v>11404</v>
      </c>
      <c r="G7292" s="40" t="s">
        <v>11404</v>
      </c>
      <c r="H7292" s="40" t="s">
        <v>11404</v>
      </c>
    </row>
    <row r="7293">
      <c r="A7293" s="39"/>
      <c r="E7293" s="40" t="s">
        <v>11404</v>
      </c>
      <c r="F7293" s="40" t="s">
        <v>11404</v>
      </c>
      <c r="G7293" s="40" t="s">
        <v>11404</v>
      </c>
      <c r="H7293" s="40" t="s">
        <v>11404</v>
      </c>
    </row>
    <row r="7294">
      <c r="A7294" s="39"/>
      <c r="E7294" s="40" t="s">
        <v>11404</v>
      </c>
      <c r="F7294" s="40" t="s">
        <v>11404</v>
      </c>
      <c r="G7294" s="40" t="s">
        <v>11404</v>
      </c>
      <c r="H7294" s="40" t="s">
        <v>11404</v>
      </c>
    </row>
    <row r="7295">
      <c r="A7295" s="39"/>
      <c r="E7295" s="40" t="s">
        <v>11404</v>
      </c>
      <c r="F7295" s="40" t="s">
        <v>11404</v>
      </c>
      <c r="G7295" s="40" t="s">
        <v>11404</v>
      </c>
      <c r="H7295" s="40" t="s">
        <v>11404</v>
      </c>
    </row>
    <row r="7296">
      <c r="A7296" s="39"/>
      <c r="E7296" s="40" t="s">
        <v>11404</v>
      </c>
      <c r="F7296" s="40" t="s">
        <v>11404</v>
      </c>
      <c r="G7296" s="40" t="s">
        <v>11404</v>
      </c>
      <c r="H7296" s="40" t="s">
        <v>11404</v>
      </c>
    </row>
    <row r="7297">
      <c r="A7297" s="39"/>
      <c r="E7297" s="40" t="s">
        <v>11404</v>
      </c>
      <c r="F7297" s="40" t="s">
        <v>11404</v>
      </c>
      <c r="G7297" s="40" t="s">
        <v>11404</v>
      </c>
      <c r="H7297" s="40" t="s">
        <v>11404</v>
      </c>
    </row>
    <row r="7298">
      <c r="A7298" s="39"/>
      <c r="E7298" s="40" t="s">
        <v>11404</v>
      </c>
      <c r="F7298" s="40" t="s">
        <v>11404</v>
      </c>
      <c r="G7298" s="40" t="s">
        <v>11404</v>
      </c>
      <c r="H7298" s="40" t="s">
        <v>11404</v>
      </c>
    </row>
    <row r="7299">
      <c r="A7299" s="39"/>
      <c r="E7299" s="40" t="s">
        <v>11404</v>
      </c>
      <c r="F7299" s="40" t="s">
        <v>11404</v>
      </c>
      <c r="G7299" s="40" t="s">
        <v>11404</v>
      </c>
      <c r="H7299" s="40" t="s">
        <v>11404</v>
      </c>
    </row>
    <row r="7300">
      <c r="A7300" s="39"/>
      <c r="E7300" s="40" t="s">
        <v>11404</v>
      </c>
      <c r="F7300" s="40" t="s">
        <v>11404</v>
      </c>
      <c r="G7300" s="40" t="s">
        <v>11404</v>
      </c>
      <c r="H7300" s="40" t="s">
        <v>11404</v>
      </c>
    </row>
    <row r="7301">
      <c r="A7301" s="39"/>
      <c r="E7301" s="40" t="s">
        <v>11404</v>
      </c>
      <c r="F7301" s="40" t="s">
        <v>11404</v>
      </c>
      <c r="G7301" s="40" t="s">
        <v>11404</v>
      </c>
      <c r="H7301" s="40" t="s">
        <v>11404</v>
      </c>
    </row>
    <row r="7302">
      <c r="A7302" s="39"/>
      <c r="E7302" s="40" t="s">
        <v>11404</v>
      </c>
      <c r="F7302" s="40" t="s">
        <v>11404</v>
      </c>
      <c r="G7302" s="40" t="s">
        <v>11404</v>
      </c>
      <c r="H7302" s="40" t="s">
        <v>11404</v>
      </c>
    </row>
    <row r="7303">
      <c r="A7303" s="39"/>
      <c r="E7303" s="40" t="s">
        <v>11404</v>
      </c>
      <c r="F7303" s="40" t="s">
        <v>11404</v>
      </c>
      <c r="G7303" s="40" t="s">
        <v>11404</v>
      </c>
      <c r="H7303" s="40" t="s">
        <v>11404</v>
      </c>
    </row>
    <row r="7304">
      <c r="A7304" s="39"/>
      <c r="E7304" s="40" t="s">
        <v>11404</v>
      </c>
      <c r="F7304" s="40" t="s">
        <v>11404</v>
      </c>
      <c r="G7304" s="40" t="s">
        <v>11404</v>
      </c>
      <c r="H7304" s="40" t="s">
        <v>11404</v>
      </c>
    </row>
    <row r="7305">
      <c r="A7305" s="39"/>
      <c r="E7305" s="40" t="s">
        <v>11404</v>
      </c>
      <c r="F7305" s="40" t="s">
        <v>11404</v>
      </c>
      <c r="G7305" s="40" t="s">
        <v>11404</v>
      </c>
      <c r="H7305" s="40" t="s">
        <v>11404</v>
      </c>
    </row>
    <row r="7306">
      <c r="A7306" s="39"/>
      <c r="E7306" s="40" t="s">
        <v>11404</v>
      </c>
      <c r="F7306" s="40" t="s">
        <v>11404</v>
      </c>
      <c r="G7306" s="40" t="s">
        <v>11404</v>
      </c>
      <c r="H7306" s="40" t="s">
        <v>11404</v>
      </c>
    </row>
    <row r="7307">
      <c r="A7307" s="39"/>
      <c r="E7307" s="40" t="s">
        <v>11404</v>
      </c>
      <c r="F7307" s="40" t="s">
        <v>11404</v>
      </c>
      <c r="G7307" s="40" t="s">
        <v>11404</v>
      </c>
      <c r="H7307" s="40" t="s">
        <v>11404</v>
      </c>
    </row>
    <row r="7308">
      <c r="A7308" s="39"/>
      <c r="E7308" s="40" t="s">
        <v>11404</v>
      </c>
      <c r="F7308" s="40" t="s">
        <v>11404</v>
      </c>
      <c r="G7308" s="40" t="s">
        <v>11404</v>
      </c>
      <c r="H7308" s="40" t="s">
        <v>11404</v>
      </c>
    </row>
    <row r="7309">
      <c r="A7309" s="39"/>
      <c r="E7309" s="40" t="s">
        <v>11404</v>
      </c>
      <c r="F7309" s="40" t="s">
        <v>11404</v>
      </c>
      <c r="G7309" s="40" t="s">
        <v>11404</v>
      </c>
      <c r="H7309" s="40" t="s">
        <v>11404</v>
      </c>
    </row>
    <row r="7310">
      <c r="A7310" s="39"/>
      <c r="E7310" s="40" t="s">
        <v>11404</v>
      </c>
      <c r="F7310" s="40" t="s">
        <v>11404</v>
      </c>
      <c r="G7310" s="40" t="s">
        <v>11404</v>
      </c>
      <c r="H7310" s="40" t="s">
        <v>11404</v>
      </c>
    </row>
    <row r="7311">
      <c r="A7311" s="39"/>
      <c r="E7311" s="40" t="s">
        <v>11404</v>
      </c>
      <c r="F7311" s="40" t="s">
        <v>11404</v>
      </c>
      <c r="G7311" s="40" t="s">
        <v>11404</v>
      </c>
      <c r="H7311" s="40" t="s">
        <v>11404</v>
      </c>
    </row>
    <row r="7312">
      <c r="A7312" s="39"/>
      <c r="E7312" s="40" t="s">
        <v>11404</v>
      </c>
      <c r="F7312" s="40" t="s">
        <v>11404</v>
      </c>
      <c r="G7312" s="40" t="s">
        <v>11404</v>
      </c>
      <c r="H7312" s="40" t="s">
        <v>11404</v>
      </c>
    </row>
    <row r="7313">
      <c r="A7313" s="39"/>
      <c r="E7313" s="40" t="s">
        <v>11404</v>
      </c>
      <c r="F7313" s="40" t="s">
        <v>11404</v>
      </c>
      <c r="G7313" s="40" t="s">
        <v>11404</v>
      </c>
      <c r="H7313" s="40" t="s">
        <v>11404</v>
      </c>
    </row>
    <row r="7314">
      <c r="A7314" s="39"/>
      <c r="E7314" s="40" t="s">
        <v>11404</v>
      </c>
      <c r="F7314" s="40" t="s">
        <v>11404</v>
      </c>
      <c r="G7314" s="40" t="s">
        <v>11404</v>
      </c>
      <c r="H7314" s="40" t="s">
        <v>11404</v>
      </c>
    </row>
    <row r="7315">
      <c r="A7315" s="39"/>
      <c r="E7315" s="40" t="s">
        <v>11404</v>
      </c>
      <c r="F7315" s="40" t="s">
        <v>11404</v>
      </c>
      <c r="G7315" s="40" t="s">
        <v>11404</v>
      </c>
      <c r="H7315" s="40" t="s">
        <v>11404</v>
      </c>
    </row>
    <row r="7316">
      <c r="A7316" s="39"/>
      <c r="E7316" s="40" t="s">
        <v>11404</v>
      </c>
      <c r="F7316" s="40" t="s">
        <v>11404</v>
      </c>
      <c r="G7316" s="40" t="s">
        <v>11404</v>
      </c>
      <c r="H7316" s="40" t="s">
        <v>11404</v>
      </c>
    </row>
    <row r="7317">
      <c r="A7317" s="39"/>
      <c r="E7317" s="40" t="s">
        <v>11404</v>
      </c>
      <c r="F7317" s="40" t="s">
        <v>11404</v>
      </c>
      <c r="G7317" s="40" t="s">
        <v>11404</v>
      </c>
      <c r="H7317" s="40" t="s">
        <v>11404</v>
      </c>
    </row>
    <row r="7318">
      <c r="A7318" s="39"/>
      <c r="E7318" s="40" t="s">
        <v>11404</v>
      </c>
      <c r="F7318" s="40" t="s">
        <v>11404</v>
      </c>
      <c r="G7318" s="40" t="s">
        <v>11404</v>
      </c>
      <c r="H7318" s="40" t="s">
        <v>11404</v>
      </c>
    </row>
    <row r="7319">
      <c r="A7319" s="39"/>
      <c r="E7319" s="40" t="s">
        <v>11404</v>
      </c>
      <c r="F7319" s="40" t="s">
        <v>11404</v>
      </c>
      <c r="G7319" s="40" t="s">
        <v>11404</v>
      </c>
      <c r="H7319" s="40" t="s">
        <v>11404</v>
      </c>
    </row>
    <row r="7320">
      <c r="A7320" s="39"/>
      <c r="E7320" s="40" t="s">
        <v>11404</v>
      </c>
      <c r="F7320" s="40" t="s">
        <v>11404</v>
      </c>
      <c r="G7320" s="40" t="s">
        <v>11404</v>
      </c>
      <c r="H7320" s="40" t="s">
        <v>11404</v>
      </c>
    </row>
    <row r="7321">
      <c r="A7321" s="39"/>
      <c r="E7321" s="40" t="s">
        <v>11404</v>
      </c>
      <c r="F7321" s="40" t="s">
        <v>11404</v>
      </c>
      <c r="G7321" s="40" t="s">
        <v>11404</v>
      </c>
      <c r="H7321" s="40" t="s">
        <v>11404</v>
      </c>
    </row>
    <row r="7322">
      <c r="A7322" s="39"/>
      <c r="E7322" s="40" t="s">
        <v>11404</v>
      </c>
      <c r="F7322" s="40" t="s">
        <v>11404</v>
      </c>
      <c r="G7322" s="40" t="s">
        <v>11404</v>
      </c>
      <c r="H7322" s="40" t="s">
        <v>11404</v>
      </c>
    </row>
    <row r="7323">
      <c r="A7323" s="39"/>
      <c r="E7323" s="40" t="s">
        <v>11404</v>
      </c>
      <c r="F7323" s="40" t="s">
        <v>11404</v>
      </c>
      <c r="G7323" s="40" t="s">
        <v>11404</v>
      </c>
      <c r="H7323" s="40" t="s">
        <v>11404</v>
      </c>
    </row>
    <row r="7324">
      <c r="A7324" s="39"/>
      <c r="E7324" s="40" t="s">
        <v>11404</v>
      </c>
      <c r="F7324" s="40" t="s">
        <v>11404</v>
      </c>
      <c r="G7324" s="40" t="s">
        <v>11404</v>
      </c>
      <c r="H7324" s="40" t="s">
        <v>11404</v>
      </c>
    </row>
    <row r="7325">
      <c r="A7325" s="39"/>
      <c r="E7325" s="40" t="s">
        <v>11404</v>
      </c>
      <c r="F7325" s="40" t="s">
        <v>11404</v>
      </c>
      <c r="G7325" s="40" t="s">
        <v>11404</v>
      </c>
      <c r="H7325" s="40" t="s">
        <v>11404</v>
      </c>
    </row>
    <row r="7326">
      <c r="A7326" s="39"/>
      <c r="E7326" s="40" t="s">
        <v>11404</v>
      </c>
      <c r="F7326" s="40" t="s">
        <v>11404</v>
      </c>
      <c r="G7326" s="40" t="s">
        <v>11404</v>
      </c>
      <c r="H7326" s="40" t="s">
        <v>11404</v>
      </c>
    </row>
    <row r="7327">
      <c r="A7327" s="39"/>
      <c r="E7327" s="40" t="s">
        <v>11404</v>
      </c>
      <c r="F7327" s="40" t="s">
        <v>11404</v>
      </c>
      <c r="G7327" s="40" t="s">
        <v>11404</v>
      </c>
      <c r="H7327" s="40" t="s">
        <v>11404</v>
      </c>
    </row>
    <row r="7328">
      <c r="A7328" s="39"/>
      <c r="E7328" s="40" t="s">
        <v>11404</v>
      </c>
      <c r="F7328" s="40" t="s">
        <v>11404</v>
      </c>
      <c r="G7328" s="40" t="s">
        <v>11404</v>
      </c>
      <c r="H7328" s="40" t="s">
        <v>11404</v>
      </c>
    </row>
    <row r="7329">
      <c r="A7329" s="39"/>
      <c r="E7329" s="40" t="s">
        <v>11404</v>
      </c>
      <c r="F7329" s="40" t="s">
        <v>11404</v>
      </c>
      <c r="G7329" s="40" t="s">
        <v>11404</v>
      </c>
      <c r="H7329" s="40" t="s">
        <v>11404</v>
      </c>
    </row>
    <row r="7330">
      <c r="A7330" s="39"/>
      <c r="E7330" s="40" t="s">
        <v>11404</v>
      </c>
      <c r="F7330" s="40" t="s">
        <v>11404</v>
      </c>
      <c r="G7330" s="40" t="s">
        <v>11404</v>
      </c>
      <c r="H7330" s="40" t="s">
        <v>11404</v>
      </c>
    </row>
    <row r="7331">
      <c r="A7331" s="39"/>
      <c r="E7331" s="40" t="s">
        <v>11404</v>
      </c>
      <c r="F7331" s="40" t="s">
        <v>11404</v>
      </c>
      <c r="G7331" s="40" t="s">
        <v>11404</v>
      </c>
      <c r="H7331" s="40" t="s">
        <v>11404</v>
      </c>
    </row>
    <row r="7332">
      <c r="A7332" s="39"/>
      <c r="E7332" s="40" t="s">
        <v>11404</v>
      </c>
      <c r="F7332" s="40" t="s">
        <v>11404</v>
      </c>
      <c r="G7332" s="40" t="s">
        <v>11404</v>
      </c>
      <c r="H7332" s="40" t="s">
        <v>11404</v>
      </c>
    </row>
    <row r="7333">
      <c r="A7333" s="39"/>
      <c r="E7333" s="40" t="s">
        <v>11404</v>
      </c>
      <c r="F7333" s="40" t="s">
        <v>11404</v>
      </c>
      <c r="G7333" s="40" t="s">
        <v>11404</v>
      </c>
      <c r="H7333" s="40" t="s">
        <v>11404</v>
      </c>
    </row>
    <row r="7334">
      <c r="A7334" s="39"/>
      <c r="E7334" s="40" t="s">
        <v>11404</v>
      </c>
      <c r="F7334" s="40" t="s">
        <v>11404</v>
      </c>
      <c r="G7334" s="40" t="s">
        <v>11404</v>
      </c>
      <c r="H7334" s="40" t="s">
        <v>11404</v>
      </c>
    </row>
    <row r="7335">
      <c r="A7335" s="39"/>
      <c r="E7335" s="40" t="s">
        <v>11404</v>
      </c>
      <c r="F7335" s="40" t="s">
        <v>11404</v>
      </c>
      <c r="G7335" s="40" t="s">
        <v>11404</v>
      </c>
      <c r="H7335" s="40" t="s">
        <v>11404</v>
      </c>
    </row>
    <row r="7336">
      <c r="A7336" s="39"/>
      <c r="E7336" s="40" t="s">
        <v>11404</v>
      </c>
      <c r="F7336" s="40" t="s">
        <v>11404</v>
      </c>
      <c r="G7336" s="40" t="s">
        <v>11404</v>
      </c>
      <c r="H7336" s="40" t="s">
        <v>11404</v>
      </c>
    </row>
    <row r="7337">
      <c r="A7337" s="39"/>
      <c r="E7337" s="40" t="s">
        <v>11404</v>
      </c>
      <c r="F7337" s="40" t="s">
        <v>11404</v>
      </c>
      <c r="G7337" s="40" t="s">
        <v>11404</v>
      </c>
      <c r="H7337" s="40" t="s">
        <v>11404</v>
      </c>
    </row>
    <row r="7338">
      <c r="A7338" s="39"/>
      <c r="E7338" s="40" t="s">
        <v>11404</v>
      </c>
      <c r="F7338" s="40" t="s">
        <v>11404</v>
      </c>
      <c r="G7338" s="40" t="s">
        <v>11404</v>
      </c>
      <c r="H7338" s="40" t="s">
        <v>11404</v>
      </c>
    </row>
    <row r="7339">
      <c r="A7339" s="39"/>
      <c r="E7339" s="40" t="s">
        <v>11404</v>
      </c>
      <c r="F7339" s="40" t="s">
        <v>11404</v>
      </c>
      <c r="G7339" s="40" t="s">
        <v>11404</v>
      </c>
      <c r="H7339" s="40" t="s">
        <v>11404</v>
      </c>
    </row>
    <row r="7340">
      <c r="A7340" s="39"/>
      <c r="E7340" s="40" t="s">
        <v>11404</v>
      </c>
      <c r="F7340" s="40" t="s">
        <v>11404</v>
      </c>
      <c r="G7340" s="40" t="s">
        <v>11404</v>
      </c>
      <c r="H7340" s="40" t="s">
        <v>11404</v>
      </c>
    </row>
    <row r="7341">
      <c r="A7341" s="39"/>
      <c r="E7341" s="40" t="s">
        <v>11404</v>
      </c>
      <c r="F7341" s="40" t="s">
        <v>11404</v>
      </c>
      <c r="G7341" s="40" t="s">
        <v>11404</v>
      </c>
      <c r="H7341" s="40" t="s">
        <v>11404</v>
      </c>
    </row>
    <row r="7342">
      <c r="A7342" s="39"/>
      <c r="E7342" s="40" t="s">
        <v>11404</v>
      </c>
      <c r="F7342" s="40" t="s">
        <v>11404</v>
      </c>
      <c r="G7342" s="40" t="s">
        <v>11404</v>
      </c>
      <c r="H7342" s="40" t="s">
        <v>11404</v>
      </c>
    </row>
    <row r="7343">
      <c r="A7343" s="39"/>
      <c r="E7343" s="40" t="s">
        <v>11404</v>
      </c>
      <c r="F7343" s="40" t="s">
        <v>11404</v>
      </c>
      <c r="G7343" s="40" t="s">
        <v>11404</v>
      </c>
      <c r="H7343" s="40" t="s">
        <v>11404</v>
      </c>
    </row>
    <row r="7344">
      <c r="A7344" s="39"/>
      <c r="E7344" s="40" t="s">
        <v>11404</v>
      </c>
      <c r="F7344" s="40" t="s">
        <v>11404</v>
      </c>
      <c r="G7344" s="40" t="s">
        <v>11404</v>
      </c>
      <c r="H7344" s="40" t="s">
        <v>11404</v>
      </c>
    </row>
    <row r="7345">
      <c r="A7345" s="39"/>
      <c r="E7345" s="40" t="s">
        <v>11404</v>
      </c>
      <c r="F7345" s="40" t="s">
        <v>11404</v>
      </c>
      <c r="G7345" s="40" t="s">
        <v>11404</v>
      </c>
      <c r="H7345" s="40" t="s">
        <v>11404</v>
      </c>
    </row>
    <row r="7346">
      <c r="A7346" s="39"/>
      <c r="E7346" s="40" t="s">
        <v>11404</v>
      </c>
      <c r="F7346" s="40" t="s">
        <v>11404</v>
      </c>
      <c r="G7346" s="40" t="s">
        <v>11404</v>
      </c>
      <c r="H7346" s="40" t="s">
        <v>11404</v>
      </c>
    </row>
    <row r="7347">
      <c r="A7347" s="39"/>
      <c r="E7347" s="40" t="s">
        <v>11404</v>
      </c>
      <c r="F7347" s="40" t="s">
        <v>11404</v>
      </c>
      <c r="G7347" s="40" t="s">
        <v>11404</v>
      </c>
      <c r="H7347" s="40" t="s">
        <v>11404</v>
      </c>
    </row>
    <row r="7348">
      <c r="A7348" s="39"/>
      <c r="E7348" s="40" t="s">
        <v>11404</v>
      </c>
      <c r="F7348" s="40" t="s">
        <v>11404</v>
      </c>
      <c r="G7348" s="40" t="s">
        <v>11404</v>
      </c>
      <c r="H7348" s="40" t="s">
        <v>11404</v>
      </c>
    </row>
    <row r="7349">
      <c r="A7349" s="39"/>
      <c r="E7349" s="40" t="s">
        <v>11404</v>
      </c>
      <c r="F7349" s="40" t="s">
        <v>11404</v>
      </c>
      <c r="G7349" s="40" t="s">
        <v>11404</v>
      </c>
      <c r="H7349" s="40" t="s">
        <v>11404</v>
      </c>
    </row>
    <row r="7350">
      <c r="A7350" s="39"/>
      <c r="E7350" s="40" t="s">
        <v>11404</v>
      </c>
      <c r="F7350" s="40" t="s">
        <v>11404</v>
      </c>
      <c r="G7350" s="40" t="s">
        <v>11404</v>
      </c>
      <c r="H7350" s="40" t="s">
        <v>11404</v>
      </c>
    </row>
    <row r="7351">
      <c r="A7351" s="39"/>
      <c r="E7351" s="40" t="s">
        <v>11404</v>
      </c>
      <c r="F7351" s="40" t="s">
        <v>11404</v>
      </c>
      <c r="G7351" s="40" t="s">
        <v>11404</v>
      </c>
      <c r="H7351" s="40" t="s">
        <v>11404</v>
      </c>
    </row>
    <row r="7352">
      <c r="A7352" s="39"/>
      <c r="E7352" s="40" t="s">
        <v>11404</v>
      </c>
      <c r="F7352" s="40" t="s">
        <v>11404</v>
      </c>
      <c r="G7352" s="40" t="s">
        <v>11404</v>
      </c>
      <c r="H7352" s="40" t="s">
        <v>11404</v>
      </c>
    </row>
    <row r="7353">
      <c r="A7353" s="39"/>
      <c r="E7353" s="40" t="s">
        <v>11404</v>
      </c>
      <c r="F7353" s="40" t="s">
        <v>11404</v>
      </c>
      <c r="G7353" s="40" t="s">
        <v>11404</v>
      </c>
      <c r="H7353" s="40" t="s">
        <v>11404</v>
      </c>
    </row>
    <row r="7354">
      <c r="A7354" s="39"/>
      <c r="E7354" s="40" t="s">
        <v>11404</v>
      </c>
      <c r="F7354" s="40" t="s">
        <v>11404</v>
      </c>
      <c r="G7354" s="40" t="s">
        <v>11404</v>
      </c>
      <c r="H7354" s="40" t="s">
        <v>11404</v>
      </c>
    </row>
    <row r="7355">
      <c r="A7355" s="39"/>
      <c r="E7355" s="40" t="s">
        <v>11404</v>
      </c>
      <c r="F7355" s="40" t="s">
        <v>11404</v>
      </c>
      <c r="G7355" s="40" t="s">
        <v>11404</v>
      </c>
      <c r="H7355" s="40" t="s">
        <v>11404</v>
      </c>
    </row>
    <row r="7356">
      <c r="A7356" s="39"/>
      <c r="E7356" s="40" t="s">
        <v>11404</v>
      </c>
      <c r="F7356" s="40" t="s">
        <v>11404</v>
      </c>
      <c r="G7356" s="40" t="s">
        <v>11404</v>
      </c>
      <c r="H7356" s="40" t="s">
        <v>11404</v>
      </c>
    </row>
    <row r="7357">
      <c r="A7357" s="39"/>
      <c r="E7357" s="40" t="s">
        <v>11404</v>
      </c>
      <c r="F7357" s="40" t="s">
        <v>11404</v>
      </c>
      <c r="G7357" s="40" t="s">
        <v>11404</v>
      </c>
      <c r="H7357" s="40" t="s">
        <v>11404</v>
      </c>
    </row>
    <row r="7358">
      <c r="A7358" s="39"/>
      <c r="E7358" s="40" t="s">
        <v>11404</v>
      </c>
      <c r="F7358" s="40" t="s">
        <v>11404</v>
      </c>
      <c r="G7358" s="40" t="s">
        <v>11404</v>
      </c>
      <c r="H7358" s="40" t="s">
        <v>11404</v>
      </c>
    </row>
    <row r="7359">
      <c r="A7359" s="39"/>
      <c r="E7359" s="40" t="s">
        <v>11404</v>
      </c>
      <c r="F7359" s="40" t="s">
        <v>11404</v>
      </c>
      <c r="G7359" s="40" t="s">
        <v>11404</v>
      </c>
      <c r="H7359" s="40" t="s">
        <v>11404</v>
      </c>
    </row>
    <row r="7360">
      <c r="A7360" s="39"/>
      <c r="E7360" s="40" t="s">
        <v>11404</v>
      </c>
      <c r="F7360" s="40" t="s">
        <v>11404</v>
      </c>
      <c r="G7360" s="40" t="s">
        <v>11404</v>
      </c>
      <c r="H7360" s="40" t="s">
        <v>11404</v>
      </c>
    </row>
    <row r="7361">
      <c r="A7361" s="39"/>
      <c r="E7361" s="40" t="s">
        <v>11404</v>
      </c>
      <c r="F7361" s="40" t="s">
        <v>11404</v>
      </c>
      <c r="G7361" s="40" t="s">
        <v>11404</v>
      </c>
      <c r="H7361" s="40" t="s">
        <v>11404</v>
      </c>
    </row>
    <row r="7362">
      <c r="A7362" s="39"/>
      <c r="E7362" s="40" t="s">
        <v>11404</v>
      </c>
      <c r="F7362" s="40" t="s">
        <v>11404</v>
      </c>
      <c r="G7362" s="40" t="s">
        <v>11404</v>
      </c>
      <c r="H7362" s="40" t="s">
        <v>11404</v>
      </c>
    </row>
    <row r="7363">
      <c r="A7363" s="39"/>
      <c r="E7363" s="40" t="s">
        <v>11404</v>
      </c>
      <c r="F7363" s="40" t="s">
        <v>11404</v>
      </c>
      <c r="G7363" s="40" t="s">
        <v>11404</v>
      </c>
      <c r="H7363" s="40" t="s">
        <v>11404</v>
      </c>
    </row>
    <row r="7364">
      <c r="A7364" s="39"/>
      <c r="E7364" s="40" t="s">
        <v>11404</v>
      </c>
      <c r="F7364" s="40" t="s">
        <v>11404</v>
      </c>
      <c r="G7364" s="40" t="s">
        <v>11404</v>
      </c>
      <c r="H7364" s="40" t="s">
        <v>11404</v>
      </c>
    </row>
    <row r="7365">
      <c r="A7365" s="39"/>
      <c r="E7365" s="40" t="s">
        <v>11404</v>
      </c>
      <c r="F7365" s="40" t="s">
        <v>11404</v>
      </c>
      <c r="G7365" s="40" t="s">
        <v>11404</v>
      </c>
      <c r="H7365" s="40" t="s">
        <v>11404</v>
      </c>
    </row>
    <row r="7366">
      <c r="A7366" s="39"/>
      <c r="E7366" s="40" t="s">
        <v>11404</v>
      </c>
      <c r="F7366" s="40" t="s">
        <v>11404</v>
      </c>
      <c r="G7366" s="40" t="s">
        <v>11404</v>
      </c>
      <c r="H7366" s="40" t="s">
        <v>11404</v>
      </c>
    </row>
    <row r="7367">
      <c r="A7367" s="39"/>
      <c r="E7367" s="40" t="s">
        <v>11404</v>
      </c>
      <c r="F7367" s="40" t="s">
        <v>11404</v>
      </c>
      <c r="G7367" s="40" t="s">
        <v>11404</v>
      </c>
      <c r="H7367" s="40" t="s">
        <v>11404</v>
      </c>
    </row>
    <row r="7368">
      <c r="A7368" s="39"/>
      <c r="E7368" s="40" t="s">
        <v>11404</v>
      </c>
      <c r="F7368" s="40" t="s">
        <v>11404</v>
      </c>
      <c r="G7368" s="40" t="s">
        <v>11404</v>
      </c>
      <c r="H7368" s="40" t="s">
        <v>11404</v>
      </c>
    </row>
    <row r="7369">
      <c r="A7369" s="39"/>
      <c r="E7369" s="40" t="s">
        <v>11404</v>
      </c>
      <c r="F7369" s="40" t="s">
        <v>11404</v>
      </c>
      <c r="G7369" s="40" t="s">
        <v>11404</v>
      </c>
      <c r="H7369" s="40" t="s">
        <v>11404</v>
      </c>
    </row>
    <row r="7370">
      <c r="A7370" s="39"/>
      <c r="E7370" s="40" t="s">
        <v>11404</v>
      </c>
      <c r="F7370" s="40" t="s">
        <v>11404</v>
      </c>
      <c r="G7370" s="40" t="s">
        <v>11404</v>
      </c>
      <c r="H7370" s="40" t="s">
        <v>11404</v>
      </c>
    </row>
    <row r="7371">
      <c r="A7371" s="39"/>
      <c r="E7371" s="40" t="s">
        <v>11404</v>
      </c>
      <c r="F7371" s="40" t="s">
        <v>11404</v>
      </c>
      <c r="G7371" s="40" t="s">
        <v>11404</v>
      </c>
      <c r="H7371" s="40" t="s">
        <v>11404</v>
      </c>
    </row>
    <row r="7372">
      <c r="A7372" s="39"/>
      <c r="E7372" s="40" t="s">
        <v>11404</v>
      </c>
      <c r="F7372" s="40" t="s">
        <v>11404</v>
      </c>
      <c r="G7372" s="40" t="s">
        <v>11404</v>
      </c>
      <c r="H7372" s="40" t="s">
        <v>11404</v>
      </c>
    </row>
    <row r="7373">
      <c r="A7373" s="39"/>
      <c r="E7373" s="40" t="s">
        <v>11404</v>
      </c>
      <c r="F7373" s="40" t="s">
        <v>11404</v>
      </c>
      <c r="G7373" s="40" t="s">
        <v>11404</v>
      </c>
      <c r="H7373" s="40" t="s">
        <v>11404</v>
      </c>
    </row>
    <row r="7374">
      <c r="A7374" s="39"/>
      <c r="E7374" s="40" t="s">
        <v>11404</v>
      </c>
      <c r="F7374" s="40" t="s">
        <v>11404</v>
      </c>
      <c r="G7374" s="40" t="s">
        <v>11404</v>
      </c>
      <c r="H7374" s="40" t="s">
        <v>11404</v>
      </c>
    </row>
    <row r="7375">
      <c r="A7375" s="39"/>
      <c r="E7375" s="40" t="s">
        <v>11404</v>
      </c>
      <c r="F7375" s="40" t="s">
        <v>11404</v>
      </c>
      <c r="G7375" s="40" t="s">
        <v>11404</v>
      </c>
      <c r="H7375" s="40" t="s">
        <v>11404</v>
      </c>
    </row>
    <row r="7376">
      <c r="A7376" s="39"/>
      <c r="E7376" s="40" t="s">
        <v>11404</v>
      </c>
      <c r="F7376" s="40" t="s">
        <v>11404</v>
      </c>
      <c r="G7376" s="40" t="s">
        <v>11404</v>
      </c>
      <c r="H7376" s="40" t="s">
        <v>11404</v>
      </c>
    </row>
    <row r="7377">
      <c r="A7377" s="39"/>
      <c r="E7377" s="40" t="s">
        <v>11404</v>
      </c>
      <c r="F7377" s="40" t="s">
        <v>11404</v>
      </c>
      <c r="G7377" s="40" t="s">
        <v>11404</v>
      </c>
      <c r="H7377" s="40" t="s">
        <v>11404</v>
      </c>
    </row>
    <row r="7378">
      <c r="A7378" s="39"/>
      <c r="E7378" s="40" t="s">
        <v>11404</v>
      </c>
      <c r="F7378" s="40" t="s">
        <v>11404</v>
      </c>
      <c r="G7378" s="40" t="s">
        <v>11404</v>
      </c>
      <c r="H7378" s="40" t="s">
        <v>11404</v>
      </c>
    </row>
    <row r="7379">
      <c r="A7379" s="39"/>
      <c r="E7379" s="40" t="s">
        <v>11404</v>
      </c>
      <c r="F7379" s="40" t="s">
        <v>11404</v>
      </c>
      <c r="G7379" s="40" t="s">
        <v>11404</v>
      </c>
      <c r="H7379" s="40" t="s">
        <v>11404</v>
      </c>
    </row>
    <row r="7380">
      <c r="A7380" s="39"/>
      <c r="E7380" s="40" t="s">
        <v>11404</v>
      </c>
      <c r="F7380" s="40" t="s">
        <v>11404</v>
      </c>
      <c r="G7380" s="40" t="s">
        <v>11404</v>
      </c>
      <c r="H7380" s="40" t="s">
        <v>11404</v>
      </c>
    </row>
    <row r="7381">
      <c r="A7381" s="39"/>
      <c r="E7381" s="40" t="s">
        <v>11404</v>
      </c>
      <c r="F7381" s="40" t="s">
        <v>11404</v>
      </c>
      <c r="G7381" s="40" t="s">
        <v>11404</v>
      </c>
      <c r="H7381" s="40" t="s">
        <v>11404</v>
      </c>
    </row>
    <row r="7382">
      <c r="A7382" s="39"/>
      <c r="E7382" s="40" t="s">
        <v>11404</v>
      </c>
      <c r="F7382" s="40" t="s">
        <v>11404</v>
      </c>
      <c r="G7382" s="40" t="s">
        <v>11404</v>
      </c>
      <c r="H7382" s="40" t="s">
        <v>11404</v>
      </c>
    </row>
    <row r="7383">
      <c r="A7383" s="39"/>
      <c r="E7383" s="40" t="s">
        <v>11404</v>
      </c>
      <c r="F7383" s="40" t="s">
        <v>11404</v>
      </c>
      <c r="G7383" s="40" t="s">
        <v>11404</v>
      </c>
      <c r="H7383" s="40" t="s">
        <v>11404</v>
      </c>
    </row>
    <row r="7384">
      <c r="A7384" s="39"/>
      <c r="E7384" s="40" t="s">
        <v>11404</v>
      </c>
      <c r="F7384" s="40" t="s">
        <v>11404</v>
      </c>
      <c r="G7384" s="40" t="s">
        <v>11404</v>
      </c>
      <c r="H7384" s="40" t="s">
        <v>11404</v>
      </c>
    </row>
    <row r="7385">
      <c r="A7385" s="39"/>
      <c r="E7385" s="40" t="s">
        <v>11404</v>
      </c>
      <c r="F7385" s="40" t="s">
        <v>11404</v>
      </c>
      <c r="G7385" s="40" t="s">
        <v>11404</v>
      </c>
      <c r="H7385" s="40" t="s">
        <v>11404</v>
      </c>
    </row>
    <row r="7386">
      <c r="A7386" s="39"/>
      <c r="E7386" s="40" t="s">
        <v>11404</v>
      </c>
      <c r="F7386" s="40" t="s">
        <v>11404</v>
      </c>
      <c r="G7386" s="40" t="s">
        <v>11404</v>
      </c>
      <c r="H7386" s="40" t="s">
        <v>11404</v>
      </c>
    </row>
    <row r="7387">
      <c r="A7387" s="39"/>
      <c r="E7387" s="40" t="s">
        <v>11404</v>
      </c>
      <c r="F7387" s="40" t="s">
        <v>11404</v>
      </c>
      <c r="G7387" s="40" t="s">
        <v>11404</v>
      </c>
      <c r="H7387" s="40" t="s">
        <v>11404</v>
      </c>
    </row>
    <row r="7388">
      <c r="A7388" s="39"/>
      <c r="E7388" s="40" t="s">
        <v>11404</v>
      </c>
      <c r="F7388" s="40" t="s">
        <v>11404</v>
      </c>
      <c r="G7388" s="40" t="s">
        <v>11404</v>
      </c>
      <c r="H7388" s="40" t="s">
        <v>11404</v>
      </c>
    </row>
    <row r="7389">
      <c r="A7389" s="39"/>
      <c r="E7389" s="40" t="s">
        <v>11404</v>
      </c>
      <c r="F7389" s="40" t="s">
        <v>11404</v>
      </c>
      <c r="G7389" s="40" t="s">
        <v>11404</v>
      </c>
      <c r="H7389" s="40" t="s">
        <v>11404</v>
      </c>
    </row>
    <row r="7390">
      <c r="A7390" s="39"/>
      <c r="E7390" s="40" t="s">
        <v>11404</v>
      </c>
      <c r="F7390" s="40" t="s">
        <v>11404</v>
      </c>
      <c r="G7390" s="40" t="s">
        <v>11404</v>
      </c>
      <c r="H7390" s="40" t="s">
        <v>11404</v>
      </c>
    </row>
    <row r="7391">
      <c r="A7391" s="39"/>
      <c r="E7391" s="40" t="s">
        <v>11404</v>
      </c>
      <c r="F7391" s="40" t="s">
        <v>11404</v>
      </c>
      <c r="G7391" s="40" t="s">
        <v>11404</v>
      </c>
      <c r="H7391" s="40" t="s">
        <v>11404</v>
      </c>
    </row>
    <row r="7392">
      <c r="A7392" s="39"/>
      <c r="E7392" s="40" t="s">
        <v>11404</v>
      </c>
      <c r="F7392" s="40" t="s">
        <v>11404</v>
      </c>
      <c r="G7392" s="40" t="s">
        <v>11404</v>
      </c>
      <c r="H7392" s="40" t="s">
        <v>11404</v>
      </c>
    </row>
    <row r="7393">
      <c r="A7393" s="39"/>
      <c r="E7393" s="40" t="s">
        <v>11404</v>
      </c>
      <c r="F7393" s="40" t="s">
        <v>11404</v>
      </c>
      <c r="G7393" s="40" t="s">
        <v>11404</v>
      </c>
      <c r="H7393" s="40" t="s">
        <v>11404</v>
      </c>
    </row>
    <row r="7394">
      <c r="A7394" s="39"/>
      <c r="E7394" s="40" t="s">
        <v>11404</v>
      </c>
      <c r="F7394" s="40" t="s">
        <v>11404</v>
      </c>
      <c r="G7394" s="40" t="s">
        <v>11404</v>
      </c>
      <c r="H7394" s="40" t="s">
        <v>11404</v>
      </c>
    </row>
    <row r="7395">
      <c r="A7395" s="39"/>
      <c r="E7395" s="40" t="s">
        <v>11404</v>
      </c>
      <c r="F7395" s="40" t="s">
        <v>11404</v>
      </c>
      <c r="G7395" s="40" t="s">
        <v>11404</v>
      </c>
      <c r="H7395" s="40" t="s">
        <v>11404</v>
      </c>
    </row>
    <row r="7396">
      <c r="A7396" s="39"/>
      <c r="E7396" s="40" t="s">
        <v>11404</v>
      </c>
      <c r="F7396" s="40" t="s">
        <v>11404</v>
      </c>
      <c r="G7396" s="40" t="s">
        <v>11404</v>
      </c>
      <c r="H7396" s="40" t="s">
        <v>11404</v>
      </c>
    </row>
    <row r="7397">
      <c r="A7397" s="39"/>
      <c r="E7397" s="40" t="s">
        <v>11404</v>
      </c>
      <c r="F7397" s="40" t="s">
        <v>11404</v>
      </c>
      <c r="G7397" s="40" t="s">
        <v>11404</v>
      </c>
      <c r="H7397" s="40" t="s">
        <v>11404</v>
      </c>
    </row>
    <row r="7398">
      <c r="A7398" s="39"/>
      <c r="E7398" s="40" t="s">
        <v>11404</v>
      </c>
      <c r="F7398" s="40" t="s">
        <v>11404</v>
      </c>
      <c r="G7398" s="40" t="s">
        <v>11404</v>
      </c>
      <c r="H7398" s="40" t="s">
        <v>11404</v>
      </c>
    </row>
    <row r="7399">
      <c r="A7399" s="39"/>
      <c r="E7399" s="40" t="s">
        <v>11404</v>
      </c>
      <c r="F7399" s="40" t="s">
        <v>11404</v>
      </c>
      <c r="G7399" s="40" t="s">
        <v>11404</v>
      </c>
      <c r="H7399" s="40" t="s">
        <v>11404</v>
      </c>
    </row>
    <row r="7400">
      <c r="A7400" s="39"/>
      <c r="E7400" s="40" t="s">
        <v>11404</v>
      </c>
      <c r="F7400" s="40" t="s">
        <v>11404</v>
      </c>
      <c r="G7400" s="40" t="s">
        <v>11404</v>
      </c>
      <c r="H7400" s="40" t="s">
        <v>11404</v>
      </c>
    </row>
    <row r="7401">
      <c r="A7401" s="39"/>
      <c r="E7401" s="40" t="s">
        <v>11404</v>
      </c>
      <c r="F7401" s="40" t="s">
        <v>11404</v>
      </c>
      <c r="G7401" s="40" t="s">
        <v>11404</v>
      </c>
      <c r="H7401" s="40" t="s">
        <v>11404</v>
      </c>
    </row>
    <row r="7402">
      <c r="A7402" s="39"/>
      <c r="E7402" s="40" t="s">
        <v>11404</v>
      </c>
      <c r="F7402" s="40" t="s">
        <v>11404</v>
      </c>
      <c r="G7402" s="40" t="s">
        <v>11404</v>
      </c>
      <c r="H7402" s="40" t="s">
        <v>11404</v>
      </c>
    </row>
    <row r="7403">
      <c r="A7403" s="39"/>
      <c r="E7403" s="40" t="s">
        <v>11404</v>
      </c>
      <c r="F7403" s="40" t="s">
        <v>11404</v>
      </c>
      <c r="G7403" s="40" t="s">
        <v>11404</v>
      </c>
      <c r="H7403" s="40" t="s">
        <v>11404</v>
      </c>
    </row>
    <row r="7404">
      <c r="A7404" s="39"/>
      <c r="E7404" s="40" t="s">
        <v>11404</v>
      </c>
      <c r="F7404" s="40" t="s">
        <v>11404</v>
      </c>
      <c r="G7404" s="40" t="s">
        <v>11404</v>
      </c>
      <c r="H7404" s="40" t="s">
        <v>11404</v>
      </c>
    </row>
    <row r="7405">
      <c r="A7405" s="39"/>
      <c r="E7405" s="40" t="s">
        <v>11404</v>
      </c>
      <c r="F7405" s="40" t="s">
        <v>11404</v>
      </c>
      <c r="G7405" s="40" t="s">
        <v>11404</v>
      </c>
      <c r="H7405" s="40" t="s">
        <v>11404</v>
      </c>
    </row>
    <row r="7406">
      <c r="A7406" s="39"/>
      <c r="E7406" s="40" t="s">
        <v>11404</v>
      </c>
      <c r="F7406" s="40" t="s">
        <v>11404</v>
      </c>
      <c r="G7406" s="40" t="s">
        <v>11404</v>
      </c>
      <c r="H7406" s="40" t="s">
        <v>11404</v>
      </c>
    </row>
    <row r="7407">
      <c r="A7407" s="39"/>
      <c r="E7407" s="40" t="s">
        <v>11404</v>
      </c>
      <c r="F7407" s="40" t="s">
        <v>11404</v>
      </c>
      <c r="G7407" s="40" t="s">
        <v>11404</v>
      </c>
      <c r="H7407" s="40" t="s">
        <v>11404</v>
      </c>
    </row>
    <row r="7408">
      <c r="A7408" s="39"/>
      <c r="E7408" s="40" t="s">
        <v>11404</v>
      </c>
      <c r="F7408" s="40" t="s">
        <v>11404</v>
      </c>
      <c r="G7408" s="40" t="s">
        <v>11404</v>
      </c>
      <c r="H7408" s="40" t="s">
        <v>11404</v>
      </c>
    </row>
    <row r="7409">
      <c r="A7409" s="39"/>
      <c r="E7409" s="40" t="s">
        <v>11404</v>
      </c>
      <c r="F7409" s="40" t="s">
        <v>11404</v>
      </c>
      <c r="G7409" s="40" t="s">
        <v>11404</v>
      </c>
      <c r="H7409" s="40" t="s">
        <v>11404</v>
      </c>
    </row>
    <row r="7410">
      <c r="A7410" s="39"/>
      <c r="E7410" s="40" t="s">
        <v>11404</v>
      </c>
      <c r="F7410" s="40" t="s">
        <v>11404</v>
      </c>
      <c r="G7410" s="40" t="s">
        <v>11404</v>
      </c>
      <c r="H7410" s="40" t="s">
        <v>11404</v>
      </c>
    </row>
    <row r="7411">
      <c r="A7411" s="39"/>
      <c r="E7411" s="40" t="s">
        <v>11404</v>
      </c>
      <c r="F7411" s="40" t="s">
        <v>11404</v>
      </c>
      <c r="G7411" s="40" t="s">
        <v>11404</v>
      </c>
      <c r="H7411" s="40" t="s">
        <v>11404</v>
      </c>
    </row>
    <row r="7412">
      <c r="A7412" s="39"/>
      <c r="E7412" s="40" t="s">
        <v>11404</v>
      </c>
      <c r="F7412" s="40" t="s">
        <v>11404</v>
      </c>
      <c r="G7412" s="40" t="s">
        <v>11404</v>
      </c>
      <c r="H7412" s="40" t="s">
        <v>11404</v>
      </c>
    </row>
    <row r="7413">
      <c r="A7413" s="39"/>
      <c r="E7413" s="40" t="s">
        <v>11404</v>
      </c>
      <c r="F7413" s="40" t="s">
        <v>11404</v>
      </c>
      <c r="G7413" s="40" t="s">
        <v>11404</v>
      </c>
      <c r="H7413" s="40" t="s">
        <v>11404</v>
      </c>
    </row>
    <row r="7414">
      <c r="A7414" s="39"/>
      <c r="E7414" s="40" t="s">
        <v>11404</v>
      </c>
      <c r="F7414" s="40" t="s">
        <v>11404</v>
      </c>
      <c r="G7414" s="40" t="s">
        <v>11404</v>
      </c>
      <c r="H7414" s="40" t="s">
        <v>11404</v>
      </c>
    </row>
    <row r="7415">
      <c r="A7415" s="39"/>
      <c r="E7415" s="40" t="s">
        <v>11404</v>
      </c>
      <c r="F7415" s="40" t="s">
        <v>11404</v>
      </c>
      <c r="G7415" s="40" t="s">
        <v>11404</v>
      </c>
      <c r="H7415" s="40" t="s">
        <v>11404</v>
      </c>
    </row>
    <row r="7416">
      <c r="A7416" s="39"/>
      <c r="E7416" s="40" t="s">
        <v>11404</v>
      </c>
      <c r="F7416" s="40" t="s">
        <v>11404</v>
      </c>
      <c r="G7416" s="40" t="s">
        <v>11404</v>
      </c>
      <c r="H7416" s="40" t="s">
        <v>11404</v>
      </c>
    </row>
    <row r="7417">
      <c r="A7417" s="39"/>
      <c r="E7417" s="40" t="s">
        <v>11404</v>
      </c>
      <c r="F7417" s="40" t="s">
        <v>11404</v>
      </c>
      <c r="G7417" s="40" t="s">
        <v>11404</v>
      </c>
      <c r="H7417" s="40" t="s">
        <v>11404</v>
      </c>
    </row>
    <row r="7418">
      <c r="A7418" s="39"/>
      <c r="E7418" s="40" t="s">
        <v>11404</v>
      </c>
      <c r="F7418" s="40" t="s">
        <v>11404</v>
      </c>
      <c r="G7418" s="40" t="s">
        <v>11404</v>
      </c>
      <c r="H7418" s="40" t="s">
        <v>11404</v>
      </c>
    </row>
    <row r="7419">
      <c r="A7419" s="39"/>
      <c r="E7419" s="40" t="s">
        <v>11404</v>
      </c>
      <c r="F7419" s="40" t="s">
        <v>11404</v>
      </c>
      <c r="G7419" s="40" t="s">
        <v>11404</v>
      </c>
      <c r="H7419" s="40" t="s">
        <v>11404</v>
      </c>
    </row>
    <row r="7420">
      <c r="A7420" s="39"/>
      <c r="E7420" s="40" t="s">
        <v>11404</v>
      </c>
      <c r="F7420" s="40" t="s">
        <v>11404</v>
      </c>
      <c r="G7420" s="40" t="s">
        <v>11404</v>
      </c>
      <c r="H7420" s="40" t="s">
        <v>11404</v>
      </c>
    </row>
    <row r="7421">
      <c r="A7421" s="39"/>
      <c r="E7421" s="40" t="s">
        <v>11404</v>
      </c>
      <c r="F7421" s="40" t="s">
        <v>11404</v>
      </c>
      <c r="G7421" s="40" t="s">
        <v>11404</v>
      </c>
      <c r="H7421" s="40" t="s">
        <v>11404</v>
      </c>
    </row>
    <row r="7422">
      <c r="A7422" s="39"/>
      <c r="E7422" s="40" t="s">
        <v>11404</v>
      </c>
      <c r="F7422" s="40" t="s">
        <v>11404</v>
      </c>
      <c r="G7422" s="40" t="s">
        <v>11404</v>
      </c>
      <c r="H7422" s="40" t="s">
        <v>11404</v>
      </c>
    </row>
    <row r="7423">
      <c r="A7423" s="39"/>
      <c r="E7423" s="40" t="s">
        <v>11404</v>
      </c>
      <c r="F7423" s="40" t="s">
        <v>11404</v>
      </c>
      <c r="G7423" s="40" t="s">
        <v>11404</v>
      </c>
      <c r="H7423" s="40" t="s">
        <v>11404</v>
      </c>
    </row>
    <row r="7424">
      <c r="A7424" s="39"/>
      <c r="E7424" s="40" t="s">
        <v>11404</v>
      </c>
      <c r="F7424" s="40" t="s">
        <v>11404</v>
      </c>
      <c r="G7424" s="40" t="s">
        <v>11404</v>
      </c>
      <c r="H7424" s="40" t="s">
        <v>11404</v>
      </c>
    </row>
    <row r="7425">
      <c r="A7425" s="39"/>
      <c r="E7425" s="40" t="s">
        <v>11404</v>
      </c>
      <c r="F7425" s="40" t="s">
        <v>11404</v>
      </c>
      <c r="G7425" s="40" t="s">
        <v>11404</v>
      </c>
      <c r="H7425" s="40" t="s">
        <v>11404</v>
      </c>
    </row>
    <row r="7426">
      <c r="A7426" s="39"/>
      <c r="E7426" s="40" t="s">
        <v>11404</v>
      </c>
      <c r="F7426" s="40" t="s">
        <v>11404</v>
      </c>
      <c r="G7426" s="40" t="s">
        <v>11404</v>
      </c>
      <c r="H7426" s="40" t="s">
        <v>11404</v>
      </c>
    </row>
    <row r="7427">
      <c r="A7427" s="39"/>
      <c r="E7427" s="40" t="s">
        <v>11404</v>
      </c>
      <c r="F7427" s="40" t="s">
        <v>11404</v>
      </c>
      <c r="G7427" s="40" t="s">
        <v>11404</v>
      </c>
      <c r="H7427" s="40" t="s">
        <v>11404</v>
      </c>
    </row>
    <row r="7428">
      <c r="A7428" s="39"/>
      <c r="E7428" s="40" t="s">
        <v>11404</v>
      </c>
      <c r="F7428" s="40" t="s">
        <v>11404</v>
      </c>
      <c r="G7428" s="40" t="s">
        <v>11404</v>
      </c>
      <c r="H7428" s="40" t="s">
        <v>11404</v>
      </c>
    </row>
    <row r="7429">
      <c r="A7429" s="39"/>
      <c r="E7429" s="40" t="s">
        <v>11404</v>
      </c>
      <c r="F7429" s="40" t="s">
        <v>11404</v>
      </c>
      <c r="G7429" s="40" t="s">
        <v>11404</v>
      </c>
      <c r="H7429" s="40" t="s">
        <v>11404</v>
      </c>
    </row>
    <row r="7430">
      <c r="A7430" s="39"/>
      <c r="E7430" s="40" t="s">
        <v>11404</v>
      </c>
      <c r="F7430" s="40" t="s">
        <v>11404</v>
      </c>
      <c r="G7430" s="40" t="s">
        <v>11404</v>
      </c>
      <c r="H7430" s="40" t="s">
        <v>11404</v>
      </c>
    </row>
    <row r="7431">
      <c r="A7431" s="39"/>
      <c r="E7431" s="40" t="s">
        <v>11404</v>
      </c>
      <c r="F7431" s="40" t="s">
        <v>11404</v>
      </c>
      <c r="G7431" s="40" t="s">
        <v>11404</v>
      </c>
      <c r="H7431" s="40" t="s">
        <v>11404</v>
      </c>
    </row>
    <row r="7432">
      <c r="A7432" s="39"/>
      <c r="E7432" s="40" t="s">
        <v>11404</v>
      </c>
      <c r="F7432" s="40" t="s">
        <v>11404</v>
      </c>
      <c r="G7432" s="40" t="s">
        <v>11404</v>
      </c>
      <c r="H7432" s="40" t="s">
        <v>11404</v>
      </c>
    </row>
    <row r="7433">
      <c r="A7433" s="39"/>
      <c r="E7433" s="40" t="s">
        <v>11404</v>
      </c>
      <c r="F7433" s="40" t="s">
        <v>11404</v>
      </c>
      <c r="G7433" s="40" t="s">
        <v>11404</v>
      </c>
      <c r="H7433" s="40" t="s">
        <v>11404</v>
      </c>
    </row>
    <row r="7434">
      <c r="A7434" s="39"/>
      <c r="E7434" s="40" t="s">
        <v>11404</v>
      </c>
      <c r="F7434" s="40" t="s">
        <v>11404</v>
      </c>
      <c r="G7434" s="40" t="s">
        <v>11404</v>
      </c>
      <c r="H7434" s="40" t="s">
        <v>11404</v>
      </c>
    </row>
    <row r="7435">
      <c r="A7435" s="39"/>
      <c r="E7435" s="40" t="s">
        <v>11404</v>
      </c>
      <c r="F7435" s="40" t="s">
        <v>11404</v>
      </c>
      <c r="G7435" s="40" t="s">
        <v>11404</v>
      </c>
      <c r="H7435" s="40" t="s">
        <v>11404</v>
      </c>
    </row>
    <row r="7436">
      <c r="A7436" s="39"/>
      <c r="E7436" s="40" t="s">
        <v>11404</v>
      </c>
      <c r="F7436" s="40" t="s">
        <v>11404</v>
      </c>
      <c r="G7436" s="40" t="s">
        <v>11404</v>
      </c>
      <c r="H7436" s="40" t="s">
        <v>11404</v>
      </c>
    </row>
    <row r="7437">
      <c r="A7437" s="39"/>
      <c r="E7437" s="40" t="s">
        <v>11404</v>
      </c>
      <c r="F7437" s="40" t="s">
        <v>11404</v>
      </c>
      <c r="G7437" s="40" t="s">
        <v>11404</v>
      </c>
      <c r="H7437" s="40" t="s">
        <v>11404</v>
      </c>
    </row>
    <row r="7438">
      <c r="A7438" s="39"/>
      <c r="E7438" s="40" t="s">
        <v>11404</v>
      </c>
      <c r="F7438" s="40" t="s">
        <v>11404</v>
      </c>
      <c r="G7438" s="40" t="s">
        <v>11404</v>
      </c>
      <c r="H7438" s="40" t="s">
        <v>11404</v>
      </c>
    </row>
    <row r="7439">
      <c r="A7439" s="39"/>
      <c r="E7439" s="40" t="s">
        <v>11404</v>
      </c>
      <c r="F7439" s="40" t="s">
        <v>11404</v>
      </c>
      <c r="G7439" s="40" t="s">
        <v>11404</v>
      </c>
      <c r="H7439" s="40" t="s">
        <v>11404</v>
      </c>
    </row>
    <row r="7440">
      <c r="A7440" s="39"/>
      <c r="E7440" s="40" t="s">
        <v>11404</v>
      </c>
      <c r="F7440" s="40" t="s">
        <v>11404</v>
      </c>
      <c r="G7440" s="40" t="s">
        <v>11404</v>
      </c>
      <c r="H7440" s="40" t="s">
        <v>11404</v>
      </c>
    </row>
    <row r="7441">
      <c r="A7441" s="39"/>
      <c r="E7441" s="40" t="s">
        <v>11404</v>
      </c>
      <c r="F7441" s="40" t="s">
        <v>11404</v>
      </c>
      <c r="G7441" s="40" t="s">
        <v>11404</v>
      </c>
      <c r="H7441" s="40" t="s">
        <v>11404</v>
      </c>
    </row>
    <row r="7442">
      <c r="A7442" s="39"/>
      <c r="E7442" s="40" t="s">
        <v>11404</v>
      </c>
      <c r="F7442" s="40" t="s">
        <v>11404</v>
      </c>
      <c r="G7442" s="40" t="s">
        <v>11404</v>
      </c>
      <c r="H7442" s="40" t="s">
        <v>11404</v>
      </c>
    </row>
    <row r="7443">
      <c r="A7443" s="39"/>
      <c r="E7443" s="40" t="s">
        <v>11404</v>
      </c>
      <c r="F7443" s="40" t="s">
        <v>11404</v>
      </c>
      <c r="G7443" s="40" t="s">
        <v>11404</v>
      </c>
      <c r="H7443" s="40" t="s">
        <v>11404</v>
      </c>
    </row>
    <row r="7444">
      <c r="A7444" s="39"/>
      <c r="E7444" s="40" t="s">
        <v>11404</v>
      </c>
      <c r="F7444" s="40" t="s">
        <v>11404</v>
      </c>
      <c r="G7444" s="40" t="s">
        <v>11404</v>
      </c>
      <c r="H7444" s="40" t="s">
        <v>11404</v>
      </c>
    </row>
    <row r="7445">
      <c r="A7445" s="39"/>
      <c r="E7445" s="40" t="s">
        <v>11404</v>
      </c>
      <c r="F7445" s="40" t="s">
        <v>11404</v>
      </c>
      <c r="G7445" s="40" t="s">
        <v>11404</v>
      </c>
      <c r="H7445" s="40" t="s">
        <v>11404</v>
      </c>
    </row>
    <row r="7446">
      <c r="A7446" s="39"/>
      <c r="E7446" s="40" t="s">
        <v>11404</v>
      </c>
      <c r="F7446" s="40" t="s">
        <v>11404</v>
      </c>
      <c r="G7446" s="40" t="s">
        <v>11404</v>
      </c>
      <c r="H7446" s="40" t="s">
        <v>11404</v>
      </c>
    </row>
    <row r="7447">
      <c r="A7447" s="39"/>
      <c r="E7447" s="40" t="s">
        <v>11404</v>
      </c>
      <c r="F7447" s="40" t="s">
        <v>11404</v>
      </c>
      <c r="G7447" s="40" t="s">
        <v>11404</v>
      </c>
      <c r="H7447" s="40" t="s">
        <v>11404</v>
      </c>
    </row>
    <row r="7448">
      <c r="A7448" s="39"/>
      <c r="E7448" s="40" t="s">
        <v>11404</v>
      </c>
      <c r="F7448" s="40" t="s">
        <v>11404</v>
      </c>
      <c r="G7448" s="40" t="s">
        <v>11404</v>
      </c>
      <c r="H7448" s="40" t="s">
        <v>11404</v>
      </c>
    </row>
    <row r="7449">
      <c r="A7449" s="39"/>
      <c r="E7449" s="40" t="s">
        <v>11404</v>
      </c>
      <c r="F7449" s="40" t="s">
        <v>11404</v>
      </c>
      <c r="G7449" s="40" t="s">
        <v>11404</v>
      </c>
      <c r="H7449" s="40" t="s">
        <v>11404</v>
      </c>
    </row>
    <row r="7450">
      <c r="A7450" s="39"/>
      <c r="E7450" s="40" t="s">
        <v>11404</v>
      </c>
      <c r="F7450" s="40" t="s">
        <v>11404</v>
      </c>
      <c r="G7450" s="40" t="s">
        <v>11404</v>
      </c>
      <c r="H7450" s="40" t="s">
        <v>11404</v>
      </c>
    </row>
    <row r="7451">
      <c r="A7451" s="39"/>
      <c r="E7451" s="40" t="s">
        <v>11404</v>
      </c>
      <c r="F7451" s="40" t="s">
        <v>11404</v>
      </c>
      <c r="G7451" s="40" t="s">
        <v>11404</v>
      </c>
      <c r="H7451" s="40" t="s">
        <v>11404</v>
      </c>
    </row>
    <row r="7452">
      <c r="A7452" s="39"/>
      <c r="E7452" s="40" t="s">
        <v>11404</v>
      </c>
      <c r="F7452" s="40" t="s">
        <v>11404</v>
      </c>
      <c r="G7452" s="40" t="s">
        <v>11404</v>
      </c>
      <c r="H7452" s="40" t="s">
        <v>11404</v>
      </c>
    </row>
    <row r="7453">
      <c r="A7453" s="39"/>
      <c r="E7453" s="40" t="s">
        <v>11404</v>
      </c>
      <c r="F7453" s="40" t="s">
        <v>11404</v>
      </c>
      <c r="G7453" s="40" t="s">
        <v>11404</v>
      </c>
      <c r="H7453" s="40" t="s">
        <v>11404</v>
      </c>
    </row>
    <row r="7454">
      <c r="A7454" s="39"/>
      <c r="E7454" s="40" t="s">
        <v>11404</v>
      </c>
      <c r="F7454" s="40" t="s">
        <v>11404</v>
      </c>
      <c r="G7454" s="40" t="s">
        <v>11404</v>
      </c>
      <c r="H7454" s="40" t="s">
        <v>11404</v>
      </c>
    </row>
    <row r="7455">
      <c r="A7455" s="39"/>
      <c r="E7455" s="40" t="s">
        <v>11404</v>
      </c>
      <c r="F7455" s="40" t="s">
        <v>11404</v>
      </c>
      <c r="G7455" s="40" t="s">
        <v>11404</v>
      </c>
      <c r="H7455" s="40" t="s">
        <v>11404</v>
      </c>
    </row>
    <row r="7456">
      <c r="A7456" s="39"/>
      <c r="E7456" s="40" t="s">
        <v>11404</v>
      </c>
      <c r="F7456" s="40" t="s">
        <v>11404</v>
      </c>
      <c r="G7456" s="40" t="s">
        <v>11404</v>
      </c>
      <c r="H7456" s="40" t="s">
        <v>11404</v>
      </c>
    </row>
    <row r="7457">
      <c r="A7457" s="39"/>
      <c r="E7457" s="40" t="s">
        <v>11404</v>
      </c>
      <c r="F7457" s="40" t="s">
        <v>11404</v>
      </c>
      <c r="G7457" s="40" t="s">
        <v>11404</v>
      </c>
      <c r="H7457" s="40" t="s">
        <v>11404</v>
      </c>
    </row>
    <row r="7458">
      <c r="A7458" s="39"/>
      <c r="E7458" s="40" t="s">
        <v>11404</v>
      </c>
      <c r="F7458" s="40" t="s">
        <v>11404</v>
      </c>
      <c r="G7458" s="40" t="s">
        <v>11404</v>
      </c>
      <c r="H7458" s="40" t="s">
        <v>11404</v>
      </c>
    </row>
    <row r="7459">
      <c r="A7459" s="39"/>
      <c r="E7459" s="40" t="s">
        <v>11404</v>
      </c>
      <c r="F7459" s="40" t="s">
        <v>11404</v>
      </c>
      <c r="G7459" s="40" t="s">
        <v>11404</v>
      </c>
      <c r="H7459" s="40" t="s">
        <v>11404</v>
      </c>
    </row>
    <row r="7460">
      <c r="A7460" s="39"/>
      <c r="E7460" s="40" t="s">
        <v>11404</v>
      </c>
      <c r="F7460" s="40" t="s">
        <v>11404</v>
      </c>
      <c r="G7460" s="40" t="s">
        <v>11404</v>
      </c>
      <c r="H7460" s="40" t="s">
        <v>11404</v>
      </c>
    </row>
    <row r="7461">
      <c r="A7461" s="39"/>
      <c r="E7461" s="40" t="s">
        <v>11404</v>
      </c>
      <c r="F7461" s="40" t="s">
        <v>11404</v>
      </c>
      <c r="G7461" s="40" t="s">
        <v>11404</v>
      </c>
      <c r="H7461" s="40" t="s">
        <v>11404</v>
      </c>
    </row>
    <row r="7462">
      <c r="A7462" s="39"/>
      <c r="E7462" s="40" t="s">
        <v>11404</v>
      </c>
      <c r="F7462" s="40" t="s">
        <v>11404</v>
      </c>
      <c r="G7462" s="40" t="s">
        <v>11404</v>
      </c>
      <c r="H7462" s="40" t="s">
        <v>11404</v>
      </c>
    </row>
    <row r="7463">
      <c r="A7463" s="39"/>
      <c r="E7463" s="40" t="s">
        <v>11404</v>
      </c>
      <c r="F7463" s="40" t="s">
        <v>11404</v>
      </c>
      <c r="G7463" s="40" t="s">
        <v>11404</v>
      </c>
      <c r="H7463" s="40" t="s">
        <v>11404</v>
      </c>
    </row>
    <row r="7464">
      <c r="A7464" s="39"/>
      <c r="E7464" s="40" t="s">
        <v>11404</v>
      </c>
      <c r="F7464" s="40" t="s">
        <v>11404</v>
      </c>
      <c r="G7464" s="40" t="s">
        <v>11404</v>
      </c>
      <c r="H7464" s="40" t="s">
        <v>11404</v>
      </c>
    </row>
    <row r="7465">
      <c r="A7465" s="39"/>
      <c r="E7465" s="40" t="s">
        <v>11404</v>
      </c>
      <c r="F7465" s="40" t="s">
        <v>11404</v>
      </c>
      <c r="G7465" s="40" t="s">
        <v>11404</v>
      </c>
      <c r="H7465" s="40" t="s">
        <v>11404</v>
      </c>
    </row>
    <row r="7466">
      <c r="A7466" s="39"/>
      <c r="E7466" s="40" t="s">
        <v>11404</v>
      </c>
      <c r="F7466" s="40" t="s">
        <v>11404</v>
      </c>
      <c r="G7466" s="40" t="s">
        <v>11404</v>
      </c>
      <c r="H7466" s="40" t="s">
        <v>11404</v>
      </c>
    </row>
    <row r="7467">
      <c r="A7467" s="39"/>
      <c r="E7467" s="40" t="s">
        <v>11404</v>
      </c>
      <c r="F7467" s="40" t="s">
        <v>11404</v>
      </c>
      <c r="G7467" s="40" t="s">
        <v>11404</v>
      </c>
      <c r="H7467" s="40" t="s">
        <v>11404</v>
      </c>
    </row>
    <row r="7468">
      <c r="A7468" s="39"/>
      <c r="E7468" s="40" t="s">
        <v>11404</v>
      </c>
      <c r="F7468" s="40" t="s">
        <v>11404</v>
      </c>
      <c r="G7468" s="40" t="s">
        <v>11404</v>
      </c>
      <c r="H7468" s="40" t="s">
        <v>11404</v>
      </c>
    </row>
    <row r="7469">
      <c r="A7469" s="39"/>
      <c r="E7469" s="40" t="s">
        <v>11404</v>
      </c>
      <c r="F7469" s="40" t="s">
        <v>11404</v>
      </c>
      <c r="G7469" s="40" t="s">
        <v>11404</v>
      </c>
      <c r="H7469" s="40" t="s">
        <v>11404</v>
      </c>
    </row>
    <row r="7470">
      <c r="A7470" s="39"/>
      <c r="E7470" s="40" t="s">
        <v>11404</v>
      </c>
      <c r="F7470" s="40" t="s">
        <v>11404</v>
      </c>
      <c r="G7470" s="40" t="s">
        <v>11404</v>
      </c>
      <c r="H7470" s="40" t="s">
        <v>11404</v>
      </c>
    </row>
    <row r="7471">
      <c r="A7471" s="39"/>
      <c r="E7471" s="40" t="s">
        <v>11404</v>
      </c>
      <c r="F7471" s="40" t="s">
        <v>11404</v>
      </c>
      <c r="G7471" s="40" t="s">
        <v>11404</v>
      </c>
      <c r="H7471" s="40" t="s">
        <v>11404</v>
      </c>
    </row>
    <row r="7472">
      <c r="A7472" s="39"/>
      <c r="E7472" s="40" t="s">
        <v>11404</v>
      </c>
      <c r="F7472" s="40" t="s">
        <v>11404</v>
      </c>
      <c r="G7472" s="40" t="s">
        <v>11404</v>
      </c>
      <c r="H7472" s="40" t="s">
        <v>11404</v>
      </c>
    </row>
    <row r="7473">
      <c r="A7473" s="39"/>
      <c r="E7473" s="40" t="s">
        <v>11404</v>
      </c>
      <c r="F7473" s="40" t="s">
        <v>11404</v>
      </c>
      <c r="G7473" s="40" t="s">
        <v>11404</v>
      </c>
      <c r="H7473" s="40" t="s">
        <v>11404</v>
      </c>
    </row>
    <row r="7474">
      <c r="A7474" s="39"/>
      <c r="E7474" s="40" t="s">
        <v>11404</v>
      </c>
      <c r="F7474" s="40" t="s">
        <v>11404</v>
      </c>
      <c r="G7474" s="40" t="s">
        <v>11404</v>
      </c>
      <c r="H7474" s="40" t="s">
        <v>11404</v>
      </c>
    </row>
    <row r="7475">
      <c r="A7475" s="39"/>
      <c r="E7475" s="40" t="s">
        <v>11404</v>
      </c>
      <c r="F7475" s="40" t="s">
        <v>11404</v>
      </c>
      <c r="G7475" s="40" t="s">
        <v>11404</v>
      </c>
      <c r="H7475" s="40" t="s">
        <v>11404</v>
      </c>
    </row>
    <row r="7476">
      <c r="A7476" s="39"/>
      <c r="E7476" s="40" t="s">
        <v>11404</v>
      </c>
      <c r="F7476" s="40" t="s">
        <v>11404</v>
      </c>
      <c r="G7476" s="40" t="s">
        <v>11404</v>
      </c>
      <c r="H7476" s="40" t="s">
        <v>11404</v>
      </c>
    </row>
    <row r="7477">
      <c r="A7477" s="39"/>
      <c r="E7477" s="40" t="s">
        <v>11404</v>
      </c>
      <c r="F7477" s="40" t="s">
        <v>11404</v>
      </c>
      <c r="G7477" s="40" t="s">
        <v>11404</v>
      </c>
      <c r="H7477" s="40" t="s">
        <v>11404</v>
      </c>
    </row>
    <row r="7478">
      <c r="A7478" s="39"/>
      <c r="E7478" s="40" t="s">
        <v>11404</v>
      </c>
      <c r="F7478" s="40" t="s">
        <v>11404</v>
      </c>
      <c r="G7478" s="40" t="s">
        <v>11404</v>
      </c>
      <c r="H7478" s="40" t="s">
        <v>11404</v>
      </c>
    </row>
    <row r="7479">
      <c r="A7479" s="39"/>
      <c r="E7479" s="40" t="s">
        <v>11404</v>
      </c>
      <c r="F7479" s="40" t="s">
        <v>11404</v>
      </c>
      <c r="G7479" s="40" t="s">
        <v>11404</v>
      </c>
      <c r="H7479" s="40" t="s">
        <v>11404</v>
      </c>
    </row>
    <row r="7480">
      <c r="A7480" s="39"/>
      <c r="E7480" s="40" t="s">
        <v>11404</v>
      </c>
      <c r="F7480" s="40" t="s">
        <v>11404</v>
      </c>
      <c r="G7480" s="40" t="s">
        <v>11404</v>
      </c>
      <c r="H7480" s="40" t="s">
        <v>11404</v>
      </c>
    </row>
    <row r="7481">
      <c r="A7481" s="39"/>
      <c r="E7481" s="40" t="s">
        <v>11404</v>
      </c>
      <c r="F7481" s="40" t="s">
        <v>11404</v>
      </c>
      <c r="G7481" s="40" t="s">
        <v>11404</v>
      </c>
      <c r="H7481" s="40" t="s">
        <v>11404</v>
      </c>
    </row>
    <row r="7482">
      <c r="A7482" s="39"/>
      <c r="E7482" s="40" t="s">
        <v>11404</v>
      </c>
      <c r="F7482" s="40" t="s">
        <v>11404</v>
      </c>
      <c r="G7482" s="40" t="s">
        <v>11404</v>
      </c>
      <c r="H7482" s="40" t="s">
        <v>11404</v>
      </c>
    </row>
    <row r="7483">
      <c r="A7483" s="39"/>
      <c r="E7483" s="40" t="s">
        <v>11404</v>
      </c>
      <c r="F7483" s="40" t="s">
        <v>11404</v>
      </c>
      <c r="G7483" s="40" t="s">
        <v>11404</v>
      </c>
      <c r="H7483" s="40" t="s">
        <v>11404</v>
      </c>
    </row>
    <row r="7484">
      <c r="A7484" s="39"/>
      <c r="E7484" s="40" t="s">
        <v>11404</v>
      </c>
      <c r="F7484" s="40" t="s">
        <v>11404</v>
      </c>
      <c r="G7484" s="40" t="s">
        <v>11404</v>
      </c>
      <c r="H7484" s="40" t="s">
        <v>11404</v>
      </c>
    </row>
    <row r="7485">
      <c r="A7485" s="39"/>
      <c r="E7485" s="40" t="s">
        <v>11404</v>
      </c>
      <c r="F7485" s="40" t="s">
        <v>11404</v>
      </c>
      <c r="G7485" s="40" t="s">
        <v>11404</v>
      </c>
      <c r="H7485" s="40" t="s">
        <v>11404</v>
      </c>
    </row>
    <row r="7486">
      <c r="A7486" s="39"/>
      <c r="E7486" s="40" t="s">
        <v>11404</v>
      </c>
      <c r="F7486" s="40" t="s">
        <v>11404</v>
      </c>
      <c r="G7486" s="40" t="s">
        <v>11404</v>
      </c>
      <c r="H7486" s="40" t="s">
        <v>11404</v>
      </c>
    </row>
    <row r="7487">
      <c r="A7487" s="39"/>
      <c r="E7487" s="40" t="s">
        <v>11404</v>
      </c>
      <c r="F7487" s="40" t="s">
        <v>11404</v>
      </c>
      <c r="G7487" s="40" t="s">
        <v>11404</v>
      </c>
      <c r="H7487" s="40" t="s">
        <v>11404</v>
      </c>
    </row>
    <row r="7488">
      <c r="A7488" s="39"/>
      <c r="E7488" s="40" t="s">
        <v>11404</v>
      </c>
      <c r="F7488" s="40" t="s">
        <v>11404</v>
      </c>
      <c r="G7488" s="40" t="s">
        <v>11404</v>
      </c>
      <c r="H7488" s="40" t="s">
        <v>11404</v>
      </c>
    </row>
    <row r="7489">
      <c r="A7489" s="39"/>
      <c r="E7489" s="40" t="s">
        <v>11404</v>
      </c>
      <c r="F7489" s="40" t="s">
        <v>11404</v>
      </c>
      <c r="G7489" s="40" t="s">
        <v>11404</v>
      </c>
      <c r="H7489" s="40" t="s">
        <v>11404</v>
      </c>
    </row>
    <row r="7490">
      <c r="A7490" s="39"/>
      <c r="E7490" s="40" t="s">
        <v>11404</v>
      </c>
      <c r="F7490" s="40" t="s">
        <v>11404</v>
      </c>
      <c r="G7490" s="40" t="s">
        <v>11404</v>
      </c>
      <c r="H7490" s="40" t="s">
        <v>11404</v>
      </c>
    </row>
    <row r="7491">
      <c r="A7491" s="39"/>
      <c r="E7491" s="40" t="s">
        <v>11404</v>
      </c>
      <c r="F7491" s="40" t="s">
        <v>11404</v>
      </c>
      <c r="G7491" s="40" t="s">
        <v>11404</v>
      </c>
      <c r="H7491" s="40" t="s">
        <v>11404</v>
      </c>
    </row>
    <row r="7492">
      <c r="A7492" s="39"/>
      <c r="E7492" s="40" t="s">
        <v>11404</v>
      </c>
      <c r="F7492" s="40" t="s">
        <v>11404</v>
      </c>
      <c r="G7492" s="40" t="s">
        <v>11404</v>
      </c>
      <c r="H7492" s="40" t="s">
        <v>11404</v>
      </c>
    </row>
    <row r="7493">
      <c r="A7493" s="39"/>
      <c r="E7493" s="40" t="s">
        <v>11404</v>
      </c>
      <c r="F7493" s="40" t="s">
        <v>11404</v>
      </c>
      <c r="G7493" s="40" t="s">
        <v>11404</v>
      </c>
      <c r="H7493" s="40" t="s">
        <v>11404</v>
      </c>
    </row>
    <row r="7494">
      <c r="A7494" s="39"/>
      <c r="E7494" s="40" t="s">
        <v>11404</v>
      </c>
      <c r="F7494" s="40" t="s">
        <v>11404</v>
      </c>
      <c r="G7494" s="40" t="s">
        <v>11404</v>
      </c>
      <c r="H7494" s="40" t="s">
        <v>11404</v>
      </c>
    </row>
    <row r="7495">
      <c r="A7495" s="39"/>
      <c r="E7495" s="40" t="s">
        <v>11404</v>
      </c>
      <c r="F7495" s="40" t="s">
        <v>11404</v>
      </c>
      <c r="G7495" s="40" t="s">
        <v>11404</v>
      </c>
      <c r="H7495" s="40" t="s">
        <v>11404</v>
      </c>
    </row>
    <row r="7496">
      <c r="A7496" s="39"/>
      <c r="E7496" s="40" t="s">
        <v>11404</v>
      </c>
      <c r="F7496" s="40" t="s">
        <v>11404</v>
      </c>
      <c r="G7496" s="40" t="s">
        <v>11404</v>
      </c>
      <c r="H7496" s="40" t="s">
        <v>11404</v>
      </c>
    </row>
    <row r="7497">
      <c r="A7497" s="39"/>
      <c r="E7497" s="40" t="s">
        <v>11404</v>
      </c>
      <c r="F7497" s="40" t="s">
        <v>11404</v>
      </c>
      <c r="G7497" s="40" t="s">
        <v>11404</v>
      </c>
      <c r="H7497" s="40" t="s">
        <v>11404</v>
      </c>
    </row>
    <row r="7498">
      <c r="A7498" s="39"/>
      <c r="E7498" s="40" t="s">
        <v>11404</v>
      </c>
      <c r="F7498" s="40" t="s">
        <v>11404</v>
      </c>
      <c r="G7498" s="40" t="s">
        <v>11404</v>
      </c>
      <c r="H7498" s="40" t="s">
        <v>11404</v>
      </c>
    </row>
    <row r="7499">
      <c r="A7499" s="39"/>
      <c r="E7499" s="40" t="s">
        <v>11404</v>
      </c>
      <c r="F7499" s="40" t="s">
        <v>11404</v>
      </c>
      <c r="G7499" s="40" t="s">
        <v>11404</v>
      </c>
      <c r="H7499" s="40" t="s">
        <v>11404</v>
      </c>
    </row>
    <row r="7500">
      <c r="A7500" s="39"/>
      <c r="E7500" s="40" t="s">
        <v>11404</v>
      </c>
      <c r="F7500" s="40" t="s">
        <v>11404</v>
      </c>
      <c r="G7500" s="40" t="s">
        <v>11404</v>
      </c>
      <c r="H7500" s="40" t="s">
        <v>11404</v>
      </c>
    </row>
    <row r="7501">
      <c r="A7501" s="39"/>
      <c r="E7501" s="40" t="s">
        <v>11404</v>
      </c>
      <c r="F7501" s="40" t="s">
        <v>11404</v>
      </c>
      <c r="G7501" s="40" t="s">
        <v>11404</v>
      </c>
      <c r="H7501" s="40" t="s">
        <v>11404</v>
      </c>
    </row>
    <row r="7502">
      <c r="A7502" s="39"/>
      <c r="E7502" s="40" t="s">
        <v>11404</v>
      </c>
      <c r="F7502" s="40" t="s">
        <v>11404</v>
      </c>
      <c r="G7502" s="40" t="s">
        <v>11404</v>
      </c>
      <c r="H7502" s="40" t="s">
        <v>11404</v>
      </c>
    </row>
    <row r="7503">
      <c r="A7503" s="39"/>
      <c r="E7503" s="40" t="s">
        <v>11404</v>
      </c>
      <c r="F7503" s="40" t="s">
        <v>11404</v>
      </c>
      <c r="G7503" s="40" t="s">
        <v>11404</v>
      </c>
      <c r="H7503" s="40" t="s">
        <v>11404</v>
      </c>
    </row>
    <row r="7504">
      <c r="A7504" s="39"/>
      <c r="E7504" s="40" t="s">
        <v>11404</v>
      </c>
      <c r="F7504" s="40" t="s">
        <v>11404</v>
      </c>
      <c r="G7504" s="40" t="s">
        <v>11404</v>
      </c>
      <c r="H7504" s="40" t="s">
        <v>11404</v>
      </c>
    </row>
    <row r="7505">
      <c r="A7505" s="39"/>
      <c r="E7505" s="40" t="s">
        <v>11404</v>
      </c>
      <c r="F7505" s="40" t="s">
        <v>11404</v>
      </c>
      <c r="G7505" s="40" t="s">
        <v>11404</v>
      </c>
      <c r="H7505" s="40" t="s">
        <v>11404</v>
      </c>
    </row>
    <row r="7506">
      <c r="A7506" s="39"/>
      <c r="E7506" s="40" t="s">
        <v>11404</v>
      </c>
      <c r="F7506" s="40" t="s">
        <v>11404</v>
      </c>
      <c r="G7506" s="40" t="s">
        <v>11404</v>
      </c>
      <c r="H7506" s="40" t="s">
        <v>11404</v>
      </c>
    </row>
    <row r="7507">
      <c r="A7507" s="39"/>
      <c r="E7507" s="40" t="s">
        <v>11404</v>
      </c>
      <c r="F7507" s="40" t="s">
        <v>11404</v>
      </c>
      <c r="G7507" s="40" t="s">
        <v>11404</v>
      </c>
      <c r="H7507" s="40" t="s">
        <v>11404</v>
      </c>
    </row>
    <row r="7508">
      <c r="A7508" s="39"/>
      <c r="E7508" s="40" t="s">
        <v>11404</v>
      </c>
      <c r="F7508" s="40" t="s">
        <v>11404</v>
      </c>
      <c r="G7508" s="40" t="s">
        <v>11404</v>
      </c>
      <c r="H7508" s="40" t="s">
        <v>11404</v>
      </c>
    </row>
    <row r="7509">
      <c r="A7509" s="39"/>
      <c r="E7509" s="40" t="s">
        <v>11404</v>
      </c>
      <c r="F7509" s="40" t="s">
        <v>11404</v>
      </c>
      <c r="G7509" s="40" t="s">
        <v>11404</v>
      </c>
      <c r="H7509" s="40" t="s">
        <v>11404</v>
      </c>
    </row>
    <row r="7510">
      <c r="A7510" s="39"/>
      <c r="E7510" s="40" t="s">
        <v>11404</v>
      </c>
      <c r="F7510" s="40" t="s">
        <v>11404</v>
      </c>
      <c r="G7510" s="40" t="s">
        <v>11404</v>
      </c>
      <c r="H7510" s="40" t="s">
        <v>11404</v>
      </c>
    </row>
    <row r="7511">
      <c r="A7511" s="39"/>
      <c r="E7511" s="40" t="s">
        <v>11404</v>
      </c>
      <c r="F7511" s="40" t="s">
        <v>11404</v>
      </c>
      <c r="G7511" s="40" t="s">
        <v>11404</v>
      </c>
      <c r="H7511" s="40" t="s">
        <v>11404</v>
      </c>
    </row>
    <row r="7512">
      <c r="A7512" s="39"/>
      <c r="E7512" s="40" t="s">
        <v>11404</v>
      </c>
      <c r="F7512" s="40" t="s">
        <v>11404</v>
      </c>
      <c r="G7512" s="40" t="s">
        <v>11404</v>
      </c>
      <c r="H7512" s="40" t="s">
        <v>11404</v>
      </c>
    </row>
    <row r="7513">
      <c r="A7513" s="39"/>
      <c r="E7513" s="40" t="s">
        <v>11404</v>
      </c>
      <c r="F7513" s="40" t="s">
        <v>11404</v>
      </c>
      <c r="G7513" s="40" t="s">
        <v>11404</v>
      </c>
      <c r="H7513" s="40" t="s">
        <v>11404</v>
      </c>
    </row>
    <row r="7514">
      <c r="A7514" s="39"/>
      <c r="E7514" s="40" t="s">
        <v>11404</v>
      </c>
      <c r="F7514" s="40" t="s">
        <v>11404</v>
      </c>
      <c r="G7514" s="40" t="s">
        <v>11404</v>
      </c>
      <c r="H7514" s="40" t="s">
        <v>11404</v>
      </c>
    </row>
    <row r="7515">
      <c r="A7515" s="39"/>
      <c r="E7515" s="40" t="s">
        <v>11404</v>
      </c>
      <c r="F7515" s="40" t="s">
        <v>11404</v>
      </c>
      <c r="G7515" s="40" t="s">
        <v>11404</v>
      </c>
      <c r="H7515" s="40" t="s">
        <v>11404</v>
      </c>
    </row>
    <row r="7516">
      <c r="A7516" s="39"/>
      <c r="E7516" s="40" t="s">
        <v>11404</v>
      </c>
      <c r="F7516" s="40" t="s">
        <v>11404</v>
      </c>
      <c r="G7516" s="40" t="s">
        <v>11404</v>
      </c>
      <c r="H7516" s="40" t="s">
        <v>11404</v>
      </c>
    </row>
    <row r="7517">
      <c r="A7517" s="39"/>
      <c r="E7517" s="40" t="s">
        <v>11404</v>
      </c>
      <c r="F7517" s="40" t="s">
        <v>11404</v>
      </c>
      <c r="G7517" s="40" t="s">
        <v>11404</v>
      </c>
      <c r="H7517" s="40" t="s">
        <v>11404</v>
      </c>
    </row>
    <row r="7518">
      <c r="A7518" s="39"/>
      <c r="E7518" s="40" t="s">
        <v>11404</v>
      </c>
      <c r="F7518" s="40" t="s">
        <v>11404</v>
      </c>
      <c r="G7518" s="40" t="s">
        <v>11404</v>
      </c>
      <c r="H7518" s="40" t="s">
        <v>11404</v>
      </c>
    </row>
    <row r="7519">
      <c r="A7519" s="39"/>
      <c r="E7519" s="40" t="s">
        <v>11404</v>
      </c>
      <c r="F7519" s="40" t="s">
        <v>11404</v>
      </c>
      <c r="G7519" s="40" t="s">
        <v>11404</v>
      </c>
      <c r="H7519" s="40" t="s">
        <v>11404</v>
      </c>
    </row>
    <row r="7520">
      <c r="A7520" s="39"/>
      <c r="E7520" s="40" t="s">
        <v>11404</v>
      </c>
      <c r="F7520" s="40" t="s">
        <v>11404</v>
      </c>
      <c r="G7520" s="40" t="s">
        <v>11404</v>
      </c>
      <c r="H7520" s="40" t="s">
        <v>11404</v>
      </c>
    </row>
    <row r="7521">
      <c r="A7521" s="39"/>
      <c r="E7521" s="40" t="s">
        <v>11404</v>
      </c>
      <c r="F7521" s="40" t="s">
        <v>11404</v>
      </c>
      <c r="G7521" s="40" t="s">
        <v>11404</v>
      </c>
      <c r="H7521" s="40" t="s">
        <v>11404</v>
      </c>
    </row>
    <row r="7522">
      <c r="A7522" s="39"/>
      <c r="E7522" s="40" t="s">
        <v>11404</v>
      </c>
      <c r="F7522" s="40" t="s">
        <v>11404</v>
      </c>
      <c r="G7522" s="40" t="s">
        <v>11404</v>
      </c>
      <c r="H7522" s="40" t="s">
        <v>11404</v>
      </c>
    </row>
    <row r="7523">
      <c r="A7523" s="39"/>
      <c r="E7523" s="40" t="s">
        <v>11404</v>
      </c>
      <c r="F7523" s="40" t="s">
        <v>11404</v>
      </c>
      <c r="G7523" s="40" t="s">
        <v>11404</v>
      </c>
      <c r="H7523" s="40" t="s">
        <v>11404</v>
      </c>
    </row>
    <row r="7524">
      <c r="A7524" s="39"/>
      <c r="E7524" s="40" t="s">
        <v>11404</v>
      </c>
      <c r="F7524" s="40" t="s">
        <v>11404</v>
      </c>
      <c r="G7524" s="40" t="s">
        <v>11404</v>
      </c>
      <c r="H7524" s="40" t="s">
        <v>11404</v>
      </c>
    </row>
    <row r="7525">
      <c r="A7525" s="39"/>
      <c r="E7525" s="40" t="s">
        <v>11404</v>
      </c>
      <c r="F7525" s="40" t="s">
        <v>11404</v>
      </c>
      <c r="G7525" s="40" t="s">
        <v>11404</v>
      </c>
      <c r="H7525" s="40" t="s">
        <v>11404</v>
      </c>
    </row>
    <row r="7526">
      <c r="A7526" s="39"/>
      <c r="E7526" s="40" t="s">
        <v>11404</v>
      </c>
      <c r="F7526" s="40" t="s">
        <v>11404</v>
      </c>
      <c r="G7526" s="40" t="s">
        <v>11404</v>
      </c>
      <c r="H7526" s="40" t="s">
        <v>11404</v>
      </c>
    </row>
    <row r="7527">
      <c r="A7527" s="39"/>
      <c r="E7527" s="40" t="s">
        <v>11404</v>
      </c>
      <c r="F7527" s="40" t="s">
        <v>11404</v>
      </c>
      <c r="G7527" s="40" t="s">
        <v>11404</v>
      </c>
      <c r="H7527" s="40" t="s">
        <v>11404</v>
      </c>
    </row>
    <row r="7528">
      <c r="A7528" s="39"/>
      <c r="E7528" s="40" t="s">
        <v>11404</v>
      </c>
      <c r="F7528" s="40" t="s">
        <v>11404</v>
      </c>
      <c r="G7528" s="40" t="s">
        <v>11404</v>
      </c>
      <c r="H7528" s="40" t="s">
        <v>11404</v>
      </c>
    </row>
    <row r="7529">
      <c r="A7529" s="39"/>
      <c r="E7529" s="40" t="s">
        <v>11404</v>
      </c>
      <c r="F7529" s="40" t="s">
        <v>11404</v>
      </c>
      <c r="G7529" s="40" t="s">
        <v>11404</v>
      </c>
      <c r="H7529" s="40" t="s">
        <v>11404</v>
      </c>
    </row>
    <row r="7530">
      <c r="A7530" s="39"/>
      <c r="E7530" s="40" t="s">
        <v>11404</v>
      </c>
      <c r="F7530" s="40" t="s">
        <v>11404</v>
      </c>
      <c r="G7530" s="40" t="s">
        <v>11404</v>
      </c>
      <c r="H7530" s="40" t="s">
        <v>11404</v>
      </c>
    </row>
    <row r="7531">
      <c r="A7531" s="39"/>
      <c r="E7531" s="40" t="s">
        <v>11404</v>
      </c>
      <c r="F7531" s="40" t="s">
        <v>11404</v>
      </c>
      <c r="G7531" s="40" t="s">
        <v>11404</v>
      </c>
      <c r="H7531" s="40" t="s">
        <v>11404</v>
      </c>
    </row>
    <row r="7532">
      <c r="A7532" s="39"/>
      <c r="E7532" s="40" t="s">
        <v>11404</v>
      </c>
      <c r="F7532" s="40" t="s">
        <v>11404</v>
      </c>
      <c r="G7532" s="40" t="s">
        <v>11404</v>
      </c>
      <c r="H7532" s="40" t="s">
        <v>11404</v>
      </c>
    </row>
    <row r="7533">
      <c r="A7533" s="39"/>
      <c r="E7533" s="40" t="s">
        <v>11404</v>
      </c>
      <c r="F7533" s="40" t="s">
        <v>11404</v>
      </c>
      <c r="G7533" s="40" t="s">
        <v>11404</v>
      </c>
      <c r="H7533" s="40" t="s">
        <v>11404</v>
      </c>
    </row>
    <row r="7534">
      <c r="A7534" s="39"/>
      <c r="E7534" s="40" t="s">
        <v>11404</v>
      </c>
      <c r="F7534" s="40" t="s">
        <v>11404</v>
      </c>
      <c r="G7534" s="40" t="s">
        <v>11404</v>
      </c>
      <c r="H7534" s="40" t="s">
        <v>11404</v>
      </c>
    </row>
    <row r="7535">
      <c r="A7535" s="39"/>
      <c r="E7535" s="40" t="s">
        <v>11404</v>
      </c>
      <c r="F7535" s="40" t="s">
        <v>11404</v>
      </c>
      <c r="G7535" s="40" t="s">
        <v>11404</v>
      </c>
      <c r="H7535" s="40" t="s">
        <v>11404</v>
      </c>
    </row>
    <row r="7536">
      <c r="A7536" s="39"/>
      <c r="E7536" s="40" t="s">
        <v>11404</v>
      </c>
      <c r="F7536" s="40" t="s">
        <v>11404</v>
      </c>
      <c r="G7536" s="40" t="s">
        <v>11404</v>
      </c>
      <c r="H7536" s="40" t="s">
        <v>11404</v>
      </c>
    </row>
    <row r="7537">
      <c r="A7537" s="39"/>
      <c r="E7537" s="40" t="s">
        <v>11404</v>
      </c>
      <c r="F7537" s="40" t="s">
        <v>11404</v>
      </c>
      <c r="G7537" s="40" t="s">
        <v>11404</v>
      </c>
      <c r="H7537" s="40" t="s">
        <v>11404</v>
      </c>
    </row>
    <row r="7538">
      <c r="A7538" s="39"/>
      <c r="E7538" s="40" t="s">
        <v>11404</v>
      </c>
      <c r="F7538" s="40" t="s">
        <v>11404</v>
      </c>
      <c r="G7538" s="40" t="s">
        <v>11404</v>
      </c>
      <c r="H7538" s="40" t="s">
        <v>11404</v>
      </c>
    </row>
    <row r="7539">
      <c r="A7539" s="39"/>
      <c r="E7539" s="40" t="s">
        <v>11404</v>
      </c>
      <c r="F7539" s="40" t="s">
        <v>11404</v>
      </c>
      <c r="G7539" s="40" t="s">
        <v>11404</v>
      </c>
      <c r="H7539" s="40" t="s">
        <v>11404</v>
      </c>
    </row>
    <row r="7540">
      <c r="A7540" s="39"/>
      <c r="E7540" s="40" t="s">
        <v>11404</v>
      </c>
      <c r="F7540" s="40" t="s">
        <v>11404</v>
      </c>
      <c r="G7540" s="40" t="s">
        <v>11404</v>
      </c>
      <c r="H7540" s="40" t="s">
        <v>11404</v>
      </c>
    </row>
    <row r="7541">
      <c r="A7541" s="39"/>
      <c r="E7541" s="40" t="s">
        <v>11404</v>
      </c>
      <c r="F7541" s="40" t="s">
        <v>11404</v>
      </c>
      <c r="G7541" s="40" t="s">
        <v>11404</v>
      </c>
      <c r="H7541" s="40" t="s">
        <v>11404</v>
      </c>
    </row>
    <row r="7542">
      <c r="A7542" s="39"/>
      <c r="E7542" s="40" t="s">
        <v>11404</v>
      </c>
      <c r="F7542" s="40" t="s">
        <v>11404</v>
      </c>
      <c r="G7542" s="40" t="s">
        <v>11404</v>
      </c>
      <c r="H7542" s="40" t="s">
        <v>11404</v>
      </c>
    </row>
    <row r="7543">
      <c r="A7543" s="39"/>
      <c r="E7543" s="40" t="s">
        <v>11404</v>
      </c>
      <c r="F7543" s="40" t="s">
        <v>11404</v>
      </c>
      <c r="G7543" s="40" t="s">
        <v>11404</v>
      </c>
      <c r="H7543" s="40" t="s">
        <v>11404</v>
      </c>
    </row>
    <row r="7544">
      <c r="A7544" s="39"/>
      <c r="E7544" s="40" t="s">
        <v>11404</v>
      </c>
      <c r="F7544" s="40" t="s">
        <v>11404</v>
      </c>
      <c r="G7544" s="40" t="s">
        <v>11404</v>
      </c>
      <c r="H7544" s="40" t="s">
        <v>11404</v>
      </c>
    </row>
    <row r="7545">
      <c r="A7545" s="39"/>
      <c r="E7545" s="40" t="s">
        <v>11404</v>
      </c>
      <c r="F7545" s="40" t="s">
        <v>11404</v>
      </c>
      <c r="G7545" s="40" t="s">
        <v>11404</v>
      </c>
      <c r="H7545" s="40" t="s">
        <v>11404</v>
      </c>
    </row>
    <row r="7546">
      <c r="A7546" s="39"/>
      <c r="E7546" s="40" t="s">
        <v>11404</v>
      </c>
      <c r="F7546" s="40" t="s">
        <v>11404</v>
      </c>
      <c r="G7546" s="40" t="s">
        <v>11404</v>
      </c>
      <c r="H7546" s="40" t="s">
        <v>11404</v>
      </c>
    </row>
    <row r="7547">
      <c r="A7547" s="39"/>
      <c r="E7547" s="40" t="s">
        <v>11404</v>
      </c>
      <c r="F7547" s="40" t="s">
        <v>11404</v>
      </c>
      <c r="G7547" s="40" t="s">
        <v>11404</v>
      </c>
      <c r="H7547" s="40" t="s">
        <v>11404</v>
      </c>
    </row>
    <row r="7548">
      <c r="A7548" s="39"/>
      <c r="E7548" s="40" t="s">
        <v>11404</v>
      </c>
      <c r="F7548" s="40" t="s">
        <v>11404</v>
      </c>
      <c r="G7548" s="40" t="s">
        <v>11404</v>
      </c>
      <c r="H7548" s="40" t="s">
        <v>11404</v>
      </c>
    </row>
    <row r="7549">
      <c r="A7549" s="39"/>
      <c r="E7549" s="40" t="s">
        <v>11404</v>
      </c>
      <c r="F7549" s="40" t="s">
        <v>11404</v>
      </c>
      <c r="G7549" s="40" t="s">
        <v>11404</v>
      </c>
      <c r="H7549" s="40" t="s">
        <v>11404</v>
      </c>
    </row>
    <row r="7550">
      <c r="A7550" s="39"/>
      <c r="E7550" s="40" t="s">
        <v>11404</v>
      </c>
      <c r="F7550" s="40" t="s">
        <v>11404</v>
      </c>
      <c r="G7550" s="40" t="s">
        <v>11404</v>
      </c>
      <c r="H7550" s="40" t="s">
        <v>11404</v>
      </c>
    </row>
    <row r="7551">
      <c r="A7551" s="39"/>
      <c r="E7551" s="40" t="s">
        <v>11404</v>
      </c>
      <c r="F7551" s="40" t="s">
        <v>11404</v>
      </c>
      <c r="G7551" s="40" t="s">
        <v>11404</v>
      </c>
      <c r="H7551" s="40" t="s">
        <v>11404</v>
      </c>
    </row>
    <row r="7552">
      <c r="A7552" s="39"/>
      <c r="E7552" s="40" t="s">
        <v>11404</v>
      </c>
      <c r="F7552" s="40" t="s">
        <v>11404</v>
      </c>
      <c r="G7552" s="40" t="s">
        <v>11404</v>
      </c>
      <c r="H7552" s="40" t="s">
        <v>11404</v>
      </c>
    </row>
    <row r="7553">
      <c r="A7553" s="39"/>
      <c r="E7553" s="40" t="s">
        <v>11404</v>
      </c>
      <c r="F7553" s="40" t="s">
        <v>11404</v>
      </c>
      <c r="G7553" s="40" t="s">
        <v>11404</v>
      </c>
      <c r="H7553" s="40" t="s">
        <v>11404</v>
      </c>
    </row>
    <row r="7554">
      <c r="A7554" s="39"/>
      <c r="E7554" s="40" t="s">
        <v>11404</v>
      </c>
      <c r="F7554" s="40" t="s">
        <v>11404</v>
      </c>
      <c r="G7554" s="40" t="s">
        <v>11404</v>
      </c>
      <c r="H7554" s="40" t="s">
        <v>11404</v>
      </c>
    </row>
    <row r="7555">
      <c r="A7555" s="39"/>
      <c r="E7555" s="40" t="s">
        <v>11404</v>
      </c>
      <c r="F7555" s="40" t="s">
        <v>11404</v>
      </c>
      <c r="G7555" s="40" t="s">
        <v>11404</v>
      </c>
      <c r="H7555" s="40" t="s">
        <v>11404</v>
      </c>
    </row>
    <row r="7556">
      <c r="A7556" s="39"/>
      <c r="E7556" s="40" t="s">
        <v>11404</v>
      </c>
      <c r="F7556" s="40" t="s">
        <v>11404</v>
      </c>
      <c r="G7556" s="40" t="s">
        <v>11404</v>
      </c>
      <c r="H7556" s="40" t="s">
        <v>11404</v>
      </c>
    </row>
    <row r="7557">
      <c r="A7557" s="39"/>
      <c r="E7557" s="40" t="s">
        <v>11404</v>
      </c>
      <c r="F7557" s="40" t="s">
        <v>11404</v>
      </c>
      <c r="G7557" s="40" t="s">
        <v>11404</v>
      </c>
      <c r="H7557" s="40" t="s">
        <v>11404</v>
      </c>
    </row>
    <row r="7558">
      <c r="A7558" s="39"/>
      <c r="E7558" s="40" t="s">
        <v>11404</v>
      </c>
      <c r="F7558" s="40" t="s">
        <v>11404</v>
      </c>
      <c r="G7558" s="40" t="s">
        <v>11404</v>
      </c>
      <c r="H7558" s="40" t="s">
        <v>11404</v>
      </c>
    </row>
    <row r="7559">
      <c r="A7559" s="39"/>
      <c r="E7559" s="40" t="s">
        <v>11404</v>
      </c>
      <c r="F7559" s="40" t="s">
        <v>11404</v>
      </c>
      <c r="G7559" s="40" t="s">
        <v>11404</v>
      </c>
      <c r="H7559" s="40" t="s">
        <v>11404</v>
      </c>
    </row>
    <row r="7560">
      <c r="A7560" s="39"/>
      <c r="E7560" s="40" t="s">
        <v>11404</v>
      </c>
      <c r="F7560" s="40" t="s">
        <v>11404</v>
      </c>
      <c r="G7560" s="40" t="s">
        <v>11404</v>
      </c>
      <c r="H7560" s="40" t="s">
        <v>11404</v>
      </c>
    </row>
    <row r="7561">
      <c r="A7561" s="39"/>
      <c r="E7561" s="40" t="s">
        <v>11404</v>
      </c>
      <c r="F7561" s="40" t="s">
        <v>11404</v>
      </c>
      <c r="G7561" s="40" t="s">
        <v>11404</v>
      </c>
      <c r="H7561" s="40" t="s">
        <v>11404</v>
      </c>
    </row>
    <row r="7562">
      <c r="A7562" s="39"/>
      <c r="E7562" s="40" t="s">
        <v>11404</v>
      </c>
      <c r="F7562" s="40" t="s">
        <v>11404</v>
      </c>
      <c r="G7562" s="40" t="s">
        <v>11404</v>
      </c>
      <c r="H7562" s="40" t="s">
        <v>11404</v>
      </c>
    </row>
    <row r="7563">
      <c r="A7563" s="39"/>
      <c r="E7563" s="40" t="s">
        <v>11404</v>
      </c>
      <c r="F7563" s="40" t="s">
        <v>11404</v>
      </c>
      <c r="G7563" s="40" t="s">
        <v>11404</v>
      </c>
      <c r="H7563" s="40" t="s">
        <v>11404</v>
      </c>
    </row>
    <row r="7564">
      <c r="A7564" s="39"/>
      <c r="E7564" s="40" t="s">
        <v>11404</v>
      </c>
      <c r="F7564" s="40" t="s">
        <v>11404</v>
      </c>
      <c r="G7564" s="40" t="s">
        <v>11404</v>
      </c>
      <c r="H7564" s="40" t="s">
        <v>11404</v>
      </c>
    </row>
    <row r="7565">
      <c r="A7565" s="39"/>
      <c r="E7565" s="40" t="s">
        <v>11404</v>
      </c>
      <c r="F7565" s="40" t="s">
        <v>11404</v>
      </c>
      <c r="G7565" s="40" t="s">
        <v>11404</v>
      </c>
      <c r="H7565" s="40" t="s">
        <v>11404</v>
      </c>
    </row>
    <row r="7566">
      <c r="A7566" s="39"/>
      <c r="E7566" s="40" t="s">
        <v>11404</v>
      </c>
      <c r="F7566" s="40" t="s">
        <v>11404</v>
      </c>
      <c r="G7566" s="40" t="s">
        <v>11404</v>
      </c>
      <c r="H7566" s="40" t="s">
        <v>11404</v>
      </c>
    </row>
    <row r="7567">
      <c r="A7567" s="39"/>
      <c r="E7567" s="40" t="s">
        <v>11404</v>
      </c>
      <c r="F7567" s="40" t="s">
        <v>11404</v>
      </c>
      <c r="G7567" s="40" t="s">
        <v>11404</v>
      </c>
      <c r="H7567" s="40" t="s">
        <v>11404</v>
      </c>
    </row>
    <row r="7568">
      <c r="A7568" s="39"/>
      <c r="E7568" s="40" t="s">
        <v>11404</v>
      </c>
      <c r="F7568" s="40" t="s">
        <v>11404</v>
      </c>
      <c r="G7568" s="40" t="s">
        <v>11404</v>
      </c>
      <c r="H7568" s="40" t="s">
        <v>11404</v>
      </c>
    </row>
    <row r="7569">
      <c r="A7569" s="39"/>
      <c r="E7569" s="40" t="s">
        <v>11404</v>
      </c>
      <c r="F7569" s="40" t="s">
        <v>11404</v>
      </c>
      <c r="G7569" s="40" t="s">
        <v>11404</v>
      </c>
      <c r="H7569" s="40" t="s">
        <v>11404</v>
      </c>
    </row>
    <row r="7570">
      <c r="A7570" s="39"/>
      <c r="E7570" s="40" t="s">
        <v>11404</v>
      </c>
      <c r="F7570" s="40" t="s">
        <v>11404</v>
      </c>
      <c r="G7570" s="40" t="s">
        <v>11404</v>
      </c>
      <c r="H7570" s="40" t="s">
        <v>11404</v>
      </c>
    </row>
    <row r="7571">
      <c r="A7571" s="39"/>
      <c r="E7571" s="40" t="s">
        <v>11404</v>
      </c>
      <c r="F7571" s="40" t="s">
        <v>11404</v>
      </c>
      <c r="G7571" s="40" t="s">
        <v>11404</v>
      </c>
      <c r="H7571" s="40" t="s">
        <v>11404</v>
      </c>
    </row>
    <row r="7572">
      <c r="A7572" s="39"/>
      <c r="E7572" s="40" t="s">
        <v>11404</v>
      </c>
      <c r="F7572" s="40" t="s">
        <v>11404</v>
      </c>
      <c r="G7572" s="40" t="s">
        <v>11404</v>
      </c>
      <c r="H7572" s="40" t="s">
        <v>11404</v>
      </c>
    </row>
    <row r="7573">
      <c r="A7573" s="39"/>
      <c r="E7573" s="40" t="s">
        <v>11404</v>
      </c>
      <c r="F7573" s="40" t="s">
        <v>11404</v>
      </c>
      <c r="G7573" s="40" t="s">
        <v>11404</v>
      </c>
      <c r="H7573" s="40" t="s">
        <v>11404</v>
      </c>
    </row>
    <row r="7574">
      <c r="A7574" s="39"/>
      <c r="E7574" s="40" t="s">
        <v>11404</v>
      </c>
      <c r="F7574" s="40" t="s">
        <v>11404</v>
      </c>
      <c r="G7574" s="40" t="s">
        <v>11404</v>
      </c>
      <c r="H7574" s="40" t="s">
        <v>11404</v>
      </c>
    </row>
    <row r="7575">
      <c r="A7575" s="39"/>
      <c r="E7575" s="40" t="s">
        <v>11404</v>
      </c>
      <c r="F7575" s="40" t="s">
        <v>11404</v>
      </c>
      <c r="G7575" s="40" t="s">
        <v>11404</v>
      </c>
      <c r="H7575" s="40" t="s">
        <v>11404</v>
      </c>
    </row>
    <row r="7576">
      <c r="A7576" s="39"/>
      <c r="E7576" s="40" t="s">
        <v>11404</v>
      </c>
      <c r="F7576" s="40" t="s">
        <v>11404</v>
      </c>
      <c r="G7576" s="40" t="s">
        <v>11404</v>
      </c>
      <c r="H7576" s="40" t="s">
        <v>11404</v>
      </c>
    </row>
    <row r="7577">
      <c r="A7577" s="39"/>
      <c r="E7577" s="40" t="s">
        <v>11404</v>
      </c>
      <c r="F7577" s="40" t="s">
        <v>11404</v>
      </c>
      <c r="G7577" s="40" t="s">
        <v>11404</v>
      </c>
      <c r="H7577" s="40" t="s">
        <v>11404</v>
      </c>
    </row>
    <row r="7578">
      <c r="A7578" s="39"/>
      <c r="E7578" s="40" t="s">
        <v>11404</v>
      </c>
      <c r="F7578" s="40" t="s">
        <v>11404</v>
      </c>
      <c r="G7578" s="40" t="s">
        <v>11404</v>
      </c>
      <c r="H7578" s="40" t="s">
        <v>11404</v>
      </c>
    </row>
    <row r="7579">
      <c r="A7579" s="39"/>
      <c r="E7579" s="40" t="s">
        <v>11404</v>
      </c>
      <c r="F7579" s="40" t="s">
        <v>11404</v>
      </c>
      <c r="G7579" s="40" t="s">
        <v>11404</v>
      </c>
      <c r="H7579" s="40" t="s">
        <v>11404</v>
      </c>
    </row>
    <row r="7580">
      <c r="A7580" s="39"/>
      <c r="E7580" s="40" t="s">
        <v>11404</v>
      </c>
      <c r="F7580" s="40" t="s">
        <v>11404</v>
      </c>
      <c r="G7580" s="40" t="s">
        <v>11404</v>
      </c>
      <c r="H7580" s="40" t="s">
        <v>11404</v>
      </c>
    </row>
    <row r="7581">
      <c r="A7581" s="39"/>
      <c r="E7581" s="40" t="s">
        <v>11404</v>
      </c>
      <c r="F7581" s="40" t="s">
        <v>11404</v>
      </c>
      <c r="G7581" s="40" t="s">
        <v>11404</v>
      </c>
      <c r="H7581" s="40" t="s">
        <v>11404</v>
      </c>
    </row>
    <row r="7582">
      <c r="A7582" s="39"/>
      <c r="E7582" s="40" t="s">
        <v>11404</v>
      </c>
      <c r="F7582" s="40" t="s">
        <v>11404</v>
      </c>
      <c r="G7582" s="40" t="s">
        <v>11404</v>
      </c>
      <c r="H7582" s="40" t="s">
        <v>11404</v>
      </c>
    </row>
    <row r="7583">
      <c r="A7583" s="39"/>
      <c r="E7583" s="40" t="s">
        <v>11404</v>
      </c>
      <c r="F7583" s="40" t="s">
        <v>11404</v>
      </c>
      <c r="G7583" s="40" t="s">
        <v>11404</v>
      </c>
      <c r="H7583" s="40" t="s">
        <v>11404</v>
      </c>
    </row>
    <row r="7584">
      <c r="A7584" s="39"/>
      <c r="E7584" s="40" t="s">
        <v>11404</v>
      </c>
      <c r="F7584" s="40" t="s">
        <v>11404</v>
      </c>
      <c r="G7584" s="40" t="s">
        <v>11404</v>
      </c>
      <c r="H7584" s="40" t="s">
        <v>11404</v>
      </c>
    </row>
    <row r="7585">
      <c r="A7585" s="39"/>
      <c r="E7585" s="40" t="s">
        <v>11404</v>
      </c>
      <c r="F7585" s="40" t="s">
        <v>11404</v>
      </c>
      <c r="G7585" s="40" t="s">
        <v>11404</v>
      </c>
      <c r="H7585" s="40" t="s">
        <v>11404</v>
      </c>
    </row>
    <row r="7586">
      <c r="A7586" s="39"/>
      <c r="E7586" s="40" t="s">
        <v>11404</v>
      </c>
      <c r="F7586" s="40" t="s">
        <v>11404</v>
      </c>
      <c r="G7586" s="40" t="s">
        <v>11404</v>
      </c>
      <c r="H7586" s="40" t="s">
        <v>11404</v>
      </c>
    </row>
    <row r="7587">
      <c r="A7587" s="39"/>
      <c r="E7587" s="40" t="s">
        <v>11404</v>
      </c>
      <c r="F7587" s="40" t="s">
        <v>11404</v>
      </c>
      <c r="G7587" s="40" t="s">
        <v>11404</v>
      </c>
      <c r="H7587" s="40" t="s">
        <v>11404</v>
      </c>
    </row>
    <row r="7588">
      <c r="A7588" s="39"/>
      <c r="E7588" s="40" t="s">
        <v>11404</v>
      </c>
      <c r="F7588" s="40" t="s">
        <v>11404</v>
      </c>
      <c r="G7588" s="40" t="s">
        <v>11404</v>
      </c>
      <c r="H7588" s="40" t="s">
        <v>11404</v>
      </c>
    </row>
    <row r="7589">
      <c r="A7589" s="39"/>
      <c r="E7589" s="40" t="s">
        <v>11404</v>
      </c>
      <c r="F7589" s="40" t="s">
        <v>11404</v>
      </c>
      <c r="G7589" s="40" t="s">
        <v>11404</v>
      </c>
      <c r="H7589" s="40" t="s">
        <v>11404</v>
      </c>
    </row>
    <row r="7590">
      <c r="A7590" s="39"/>
      <c r="E7590" s="40" t="s">
        <v>11404</v>
      </c>
      <c r="F7590" s="40" t="s">
        <v>11404</v>
      </c>
      <c r="G7590" s="40" t="s">
        <v>11404</v>
      </c>
      <c r="H7590" s="40" t="s">
        <v>11404</v>
      </c>
    </row>
    <row r="7591">
      <c r="A7591" s="39"/>
      <c r="E7591" s="40" t="s">
        <v>11404</v>
      </c>
      <c r="F7591" s="40" t="s">
        <v>11404</v>
      </c>
      <c r="G7591" s="40" t="s">
        <v>11404</v>
      </c>
      <c r="H7591" s="40" t="s">
        <v>11404</v>
      </c>
    </row>
    <row r="7592">
      <c r="A7592" s="39"/>
      <c r="E7592" s="40" t="s">
        <v>11404</v>
      </c>
      <c r="F7592" s="40" t="s">
        <v>11404</v>
      </c>
      <c r="G7592" s="40" t="s">
        <v>11404</v>
      </c>
      <c r="H7592" s="40" t="s">
        <v>11404</v>
      </c>
    </row>
    <row r="7593">
      <c r="A7593" s="39"/>
      <c r="E7593" s="40" t="s">
        <v>11404</v>
      </c>
      <c r="F7593" s="40" t="s">
        <v>11404</v>
      </c>
      <c r="G7593" s="40" t="s">
        <v>11404</v>
      </c>
      <c r="H7593" s="40" t="s">
        <v>11404</v>
      </c>
    </row>
    <row r="7594">
      <c r="A7594" s="39"/>
      <c r="E7594" s="40" t="s">
        <v>11404</v>
      </c>
      <c r="F7594" s="40" t="s">
        <v>11404</v>
      </c>
      <c r="G7594" s="40" t="s">
        <v>11404</v>
      </c>
      <c r="H7594" s="40" t="s">
        <v>11404</v>
      </c>
    </row>
    <row r="7595">
      <c r="A7595" s="39"/>
      <c r="E7595" s="40" t="s">
        <v>11404</v>
      </c>
      <c r="F7595" s="40" t="s">
        <v>11404</v>
      </c>
      <c r="G7595" s="40" t="s">
        <v>11404</v>
      </c>
      <c r="H7595" s="40" t="s">
        <v>11404</v>
      </c>
    </row>
    <row r="7596">
      <c r="A7596" s="39"/>
      <c r="E7596" s="40" t="s">
        <v>11404</v>
      </c>
      <c r="F7596" s="40" t="s">
        <v>11404</v>
      </c>
      <c r="G7596" s="40" t="s">
        <v>11404</v>
      </c>
      <c r="H7596" s="40" t="s">
        <v>11404</v>
      </c>
    </row>
    <row r="7597">
      <c r="A7597" s="39"/>
      <c r="E7597" s="40" t="s">
        <v>11404</v>
      </c>
      <c r="F7597" s="40" t="s">
        <v>11404</v>
      </c>
      <c r="G7597" s="40" t="s">
        <v>11404</v>
      </c>
      <c r="H7597" s="40" t="s">
        <v>11404</v>
      </c>
    </row>
    <row r="7598">
      <c r="A7598" s="39"/>
      <c r="E7598" s="40" t="s">
        <v>11404</v>
      </c>
      <c r="F7598" s="40" t="s">
        <v>11404</v>
      </c>
      <c r="G7598" s="40" t="s">
        <v>11404</v>
      </c>
      <c r="H7598" s="40" t="s">
        <v>11404</v>
      </c>
    </row>
    <row r="7599">
      <c r="A7599" s="39"/>
      <c r="E7599" s="40" t="s">
        <v>11404</v>
      </c>
      <c r="F7599" s="40" t="s">
        <v>11404</v>
      </c>
      <c r="G7599" s="40" t="s">
        <v>11404</v>
      </c>
      <c r="H7599" s="40" t="s">
        <v>11404</v>
      </c>
    </row>
    <row r="7600">
      <c r="A7600" s="39"/>
      <c r="E7600" s="40" t="s">
        <v>11404</v>
      </c>
      <c r="F7600" s="40" t="s">
        <v>11404</v>
      </c>
      <c r="G7600" s="40" t="s">
        <v>11404</v>
      </c>
      <c r="H7600" s="40" t="s">
        <v>11404</v>
      </c>
    </row>
    <row r="7601">
      <c r="A7601" s="39"/>
      <c r="E7601" s="40" t="s">
        <v>11404</v>
      </c>
      <c r="F7601" s="40" t="s">
        <v>11404</v>
      </c>
      <c r="G7601" s="40" t="s">
        <v>11404</v>
      </c>
      <c r="H7601" s="40" t="s">
        <v>11404</v>
      </c>
    </row>
    <row r="7602">
      <c r="A7602" s="39"/>
      <c r="E7602" s="40" t="s">
        <v>11404</v>
      </c>
      <c r="F7602" s="40" t="s">
        <v>11404</v>
      </c>
      <c r="G7602" s="40" t="s">
        <v>11404</v>
      </c>
      <c r="H7602" s="40" t="s">
        <v>11404</v>
      </c>
    </row>
    <row r="7603">
      <c r="A7603" s="39"/>
      <c r="E7603" s="40" t="s">
        <v>11404</v>
      </c>
      <c r="F7603" s="40" t="s">
        <v>11404</v>
      </c>
      <c r="G7603" s="40" t="s">
        <v>11404</v>
      </c>
      <c r="H7603" s="40" t="s">
        <v>11404</v>
      </c>
    </row>
    <row r="7604">
      <c r="A7604" s="39"/>
      <c r="E7604" s="40" t="s">
        <v>11404</v>
      </c>
      <c r="F7604" s="40" t="s">
        <v>11404</v>
      </c>
      <c r="G7604" s="40" t="s">
        <v>11404</v>
      </c>
      <c r="H7604" s="40" t="s">
        <v>11404</v>
      </c>
    </row>
    <row r="7605">
      <c r="A7605" s="39"/>
      <c r="E7605" s="40" t="s">
        <v>11404</v>
      </c>
      <c r="F7605" s="40" t="s">
        <v>11404</v>
      </c>
      <c r="G7605" s="40" t="s">
        <v>11404</v>
      </c>
      <c r="H7605" s="40" t="s">
        <v>11404</v>
      </c>
    </row>
    <row r="7606">
      <c r="A7606" s="39"/>
      <c r="E7606" s="40" t="s">
        <v>11404</v>
      </c>
      <c r="F7606" s="40" t="s">
        <v>11404</v>
      </c>
      <c r="G7606" s="40" t="s">
        <v>11404</v>
      </c>
      <c r="H7606" s="40" t="s">
        <v>11404</v>
      </c>
    </row>
    <row r="7607">
      <c r="A7607" s="39"/>
      <c r="E7607" s="40" t="s">
        <v>11404</v>
      </c>
      <c r="F7607" s="40" t="s">
        <v>11404</v>
      </c>
      <c r="G7607" s="40" t="s">
        <v>11404</v>
      </c>
      <c r="H7607" s="40" t="s">
        <v>11404</v>
      </c>
    </row>
    <row r="7608">
      <c r="A7608" s="39"/>
      <c r="E7608" s="40" t="s">
        <v>11404</v>
      </c>
      <c r="F7608" s="40" t="s">
        <v>11404</v>
      </c>
      <c r="G7608" s="40" t="s">
        <v>11404</v>
      </c>
      <c r="H7608" s="40" t="s">
        <v>11404</v>
      </c>
    </row>
    <row r="7609">
      <c r="A7609" s="39"/>
      <c r="E7609" s="40" t="s">
        <v>11404</v>
      </c>
      <c r="F7609" s="40" t="s">
        <v>11404</v>
      </c>
      <c r="G7609" s="40" t="s">
        <v>11404</v>
      </c>
      <c r="H7609" s="40" t="s">
        <v>11404</v>
      </c>
    </row>
    <row r="7610">
      <c r="A7610" s="39"/>
      <c r="E7610" s="40" t="s">
        <v>11404</v>
      </c>
      <c r="F7610" s="40" t="s">
        <v>11404</v>
      </c>
      <c r="G7610" s="40" t="s">
        <v>11404</v>
      </c>
      <c r="H7610" s="40" t="s">
        <v>11404</v>
      </c>
    </row>
    <row r="7611">
      <c r="A7611" s="39"/>
      <c r="E7611" s="40" t="s">
        <v>11404</v>
      </c>
      <c r="F7611" s="40" t="s">
        <v>11404</v>
      </c>
      <c r="G7611" s="40" t="s">
        <v>11404</v>
      </c>
      <c r="H7611" s="40" t="s">
        <v>11404</v>
      </c>
    </row>
    <row r="7612">
      <c r="A7612" s="39"/>
      <c r="E7612" s="40" t="s">
        <v>11404</v>
      </c>
      <c r="F7612" s="40" t="s">
        <v>11404</v>
      </c>
      <c r="G7612" s="40" t="s">
        <v>11404</v>
      </c>
      <c r="H7612" s="40" t="s">
        <v>11404</v>
      </c>
    </row>
    <row r="7613">
      <c r="A7613" s="39"/>
      <c r="E7613" s="40" t="s">
        <v>11404</v>
      </c>
      <c r="F7613" s="40" t="s">
        <v>11404</v>
      </c>
      <c r="G7613" s="40" t="s">
        <v>11404</v>
      </c>
      <c r="H7613" s="40" t="s">
        <v>11404</v>
      </c>
    </row>
    <row r="7614">
      <c r="A7614" s="39"/>
      <c r="E7614" s="40" t="s">
        <v>11404</v>
      </c>
      <c r="F7614" s="40" t="s">
        <v>11404</v>
      </c>
      <c r="G7614" s="40" t="s">
        <v>11404</v>
      </c>
      <c r="H7614" s="40" t="s">
        <v>11404</v>
      </c>
    </row>
    <row r="7615">
      <c r="A7615" s="39"/>
      <c r="E7615" s="40" t="s">
        <v>11404</v>
      </c>
      <c r="F7615" s="40" t="s">
        <v>11404</v>
      </c>
      <c r="G7615" s="40" t="s">
        <v>11404</v>
      </c>
      <c r="H7615" s="40" t="s">
        <v>11404</v>
      </c>
    </row>
    <row r="7616">
      <c r="A7616" s="39"/>
      <c r="E7616" s="40" t="s">
        <v>11404</v>
      </c>
      <c r="F7616" s="40" t="s">
        <v>11404</v>
      </c>
      <c r="G7616" s="40" t="s">
        <v>11404</v>
      </c>
      <c r="H7616" s="40" t="s">
        <v>11404</v>
      </c>
    </row>
    <row r="7617">
      <c r="A7617" s="39"/>
      <c r="E7617" s="40" t="s">
        <v>11404</v>
      </c>
      <c r="F7617" s="40" t="s">
        <v>11404</v>
      </c>
      <c r="G7617" s="40" t="s">
        <v>11404</v>
      </c>
      <c r="H7617" s="40" t="s">
        <v>11404</v>
      </c>
    </row>
    <row r="7618">
      <c r="A7618" s="39"/>
      <c r="E7618" s="40" t="s">
        <v>11404</v>
      </c>
      <c r="F7618" s="40" t="s">
        <v>11404</v>
      </c>
      <c r="G7618" s="40" t="s">
        <v>11404</v>
      </c>
      <c r="H7618" s="40" t="s">
        <v>11404</v>
      </c>
    </row>
    <row r="7619">
      <c r="A7619" s="39"/>
      <c r="E7619" s="40" t="s">
        <v>11404</v>
      </c>
      <c r="F7619" s="40" t="s">
        <v>11404</v>
      </c>
      <c r="G7619" s="40" t="s">
        <v>11404</v>
      </c>
      <c r="H7619" s="40" t="s">
        <v>11404</v>
      </c>
    </row>
    <row r="7620">
      <c r="A7620" s="39"/>
      <c r="E7620" s="40" t="s">
        <v>11404</v>
      </c>
      <c r="F7620" s="40" t="s">
        <v>11404</v>
      </c>
      <c r="G7620" s="40" t="s">
        <v>11404</v>
      </c>
      <c r="H7620" s="40" t="s">
        <v>11404</v>
      </c>
    </row>
    <row r="7621">
      <c r="A7621" s="39"/>
      <c r="E7621" s="40" t="s">
        <v>11404</v>
      </c>
      <c r="F7621" s="40" t="s">
        <v>11404</v>
      </c>
      <c r="G7621" s="40" t="s">
        <v>11404</v>
      </c>
      <c r="H7621" s="40" t="s">
        <v>11404</v>
      </c>
    </row>
    <row r="7622">
      <c r="A7622" s="39"/>
      <c r="E7622" s="40" t="s">
        <v>11404</v>
      </c>
      <c r="F7622" s="40" t="s">
        <v>11404</v>
      </c>
      <c r="G7622" s="40" t="s">
        <v>11404</v>
      </c>
      <c r="H7622" s="40" t="s">
        <v>11404</v>
      </c>
    </row>
    <row r="7623">
      <c r="A7623" s="39"/>
      <c r="E7623" s="40" t="s">
        <v>11404</v>
      </c>
      <c r="F7623" s="40" t="s">
        <v>11404</v>
      </c>
      <c r="G7623" s="40" t="s">
        <v>11404</v>
      </c>
      <c r="H7623" s="40" t="s">
        <v>11404</v>
      </c>
    </row>
    <row r="7624">
      <c r="A7624" s="39"/>
      <c r="E7624" s="40" t="s">
        <v>11404</v>
      </c>
      <c r="F7624" s="40" t="s">
        <v>11404</v>
      </c>
      <c r="G7624" s="40" t="s">
        <v>11404</v>
      </c>
      <c r="H7624" s="40" t="s">
        <v>11404</v>
      </c>
    </row>
    <row r="7625">
      <c r="A7625" s="39"/>
      <c r="E7625" s="40" t="s">
        <v>11404</v>
      </c>
      <c r="F7625" s="40" t="s">
        <v>11404</v>
      </c>
      <c r="G7625" s="40" t="s">
        <v>11404</v>
      </c>
      <c r="H7625" s="40" t="s">
        <v>11404</v>
      </c>
    </row>
    <row r="7626">
      <c r="A7626" s="39"/>
      <c r="E7626" s="40" t="s">
        <v>11404</v>
      </c>
      <c r="F7626" s="40" t="s">
        <v>11404</v>
      </c>
      <c r="G7626" s="40" t="s">
        <v>11404</v>
      </c>
      <c r="H7626" s="40" t="s">
        <v>11404</v>
      </c>
    </row>
    <row r="7627">
      <c r="A7627" s="39"/>
      <c r="E7627" s="40" t="s">
        <v>11404</v>
      </c>
      <c r="F7627" s="40" t="s">
        <v>11404</v>
      </c>
      <c r="G7627" s="40" t="s">
        <v>11404</v>
      </c>
      <c r="H7627" s="40" t="s">
        <v>11404</v>
      </c>
    </row>
    <row r="7628">
      <c r="A7628" s="39"/>
      <c r="E7628" s="40" t="s">
        <v>11404</v>
      </c>
      <c r="F7628" s="40" t="s">
        <v>11404</v>
      </c>
      <c r="G7628" s="40" t="s">
        <v>11404</v>
      </c>
      <c r="H7628" s="40" t="s">
        <v>11404</v>
      </c>
    </row>
    <row r="7629">
      <c r="A7629" s="39"/>
      <c r="E7629" s="40" t="s">
        <v>11404</v>
      </c>
      <c r="F7629" s="40" t="s">
        <v>11404</v>
      </c>
      <c r="G7629" s="40" t="s">
        <v>11404</v>
      </c>
      <c r="H7629" s="40" t="s">
        <v>11404</v>
      </c>
    </row>
    <row r="7630">
      <c r="A7630" s="39"/>
      <c r="E7630" s="40" t="s">
        <v>11404</v>
      </c>
      <c r="F7630" s="40" t="s">
        <v>11404</v>
      </c>
      <c r="G7630" s="40" t="s">
        <v>11404</v>
      </c>
      <c r="H7630" s="40" t="s">
        <v>11404</v>
      </c>
    </row>
    <row r="7631">
      <c r="A7631" s="39"/>
      <c r="E7631" s="40" t="s">
        <v>11404</v>
      </c>
      <c r="F7631" s="40" t="s">
        <v>11404</v>
      </c>
      <c r="G7631" s="40" t="s">
        <v>11404</v>
      </c>
      <c r="H7631" s="40" t="s">
        <v>11404</v>
      </c>
    </row>
    <row r="7632">
      <c r="A7632" s="39"/>
      <c r="E7632" s="40" t="s">
        <v>11404</v>
      </c>
      <c r="F7632" s="40" t="s">
        <v>11404</v>
      </c>
      <c r="G7632" s="40" t="s">
        <v>11404</v>
      </c>
      <c r="H7632" s="40" t="s">
        <v>11404</v>
      </c>
    </row>
    <row r="7633">
      <c r="A7633" s="39"/>
      <c r="E7633" s="40" t="s">
        <v>11404</v>
      </c>
      <c r="F7633" s="40" t="s">
        <v>11404</v>
      </c>
      <c r="G7633" s="40" t="s">
        <v>11404</v>
      </c>
      <c r="H7633" s="40" t="s">
        <v>11404</v>
      </c>
    </row>
    <row r="7634">
      <c r="A7634" s="39"/>
      <c r="E7634" s="40" t="s">
        <v>11404</v>
      </c>
      <c r="F7634" s="40" t="s">
        <v>11404</v>
      </c>
      <c r="G7634" s="40" t="s">
        <v>11404</v>
      </c>
      <c r="H7634" s="40" t="s">
        <v>11404</v>
      </c>
    </row>
    <row r="7635">
      <c r="A7635" s="39"/>
      <c r="E7635" s="40" t="s">
        <v>11404</v>
      </c>
      <c r="F7635" s="40" t="s">
        <v>11404</v>
      </c>
      <c r="G7635" s="40" t="s">
        <v>11404</v>
      </c>
      <c r="H7635" s="40" t="s">
        <v>11404</v>
      </c>
    </row>
    <row r="7636">
      <c r="A7636" s="39"/>
      <c r="E7636" s="40" t="s">
        <v>11404</v>
      </c>
      <c r="F7636" s="40" t="s">
        <v>11404</v>
      </c>
      <c r="G7636" s="40" t="s">
        <v>11404</v>
      </c>
      <c r="H7636" s="40" t="s">
        <v>11404</v>
      </c>
    </row>
    <row r="7637">
      <c r="A7637" s="39"/>
      <c r="E7637" s="40" t="s">
        <v>11404</v>
      </c>
      <c r="F7637" s="40" t="s">
        <v>11404</v>
      </c>
      <c r="G7637" s="40" t="s">
        <v>11404</v>
      </c>
      <c r="H7637" s="40" t="s">
        <v>11404</v>
      </c>
    </row>
    <row r="7638">
      <c r="A7638" s="39"/>
      <c r="E7638" s="40" t="s">
        <v>11404</v>
      </c>
      <c r="F7638" s="40" t="s">
        <v>11404</v>
      </c>
      <c r="G7638" s="40" t="s">
        <v>11404</v>
      </c>
      <c r="H7638" s="40" t="s">
        <v>11404</v>
      </c>
    </row>
    <row r="7639">
      <c r="A7639" s="39"/>
      <c r="E7639" s="40" t="s">
        <v>11404</v>
      </c>
      <c r="F7639" s="40" t="s">
        <v>11404</v>
      </c>
      <c r="G7639" s="40" t="s">
        <v>11404</v>
      </c>
      <c r="H7639" s="40" t="s">
        <v>11404</v>
      </c>
    </row>
    <row r="7640">
      <c r="A7640" s="39"/>
      <c r="E7640" s="40" t="s">
        <v>11404</v>
      </c>
      <c r="F7640" s="40" t="s">
        <v>11404</v>
      </c>
      <c r="G7640" s="40" t="s">
        <v>11404</v>
      </c>
      <c r="H7640" s="40" t="s">
        <v>11404</v>
      </c>
    </row>
    <row r="7641">
      <c r="A7641" s="39"/>
      <c r="E7641" s="40" t="s">
        <v>11404</v>
      </c>
      <c r="F7641" s="40" t="s">
        <v>11404</v>
      </c>
      <c r="G7641" s="40" t="s">
        <v>11404</v>
      </c>
      <c r="H7641" s="40" t="s">
        <v>11404</v>
      </c>
    </row>
    <row r="7642">
      <c r="A7642" s="39"/>
      <c r="E7642" s="40" t="s">
        <v>11404</v>
      </c>
      <c r="F7642" s="40" t="s">
        <v>11404</v>
      </c>
      <c r="G7642" s="40" t="s">
        <v>11404</v>
      </c>
      <c r="H7642" s="40" t="s">
        <v>11404</v>
      </c>
    </row>
    <row r="7643">
      <c r="A7643" s="39"/>
      <c r="E7643" s="40" t="s">
        <v>11404</v>
      </c>
      <c r="F7643" s="40" t="s">
        <v>11404</v>
      </c>
      <c r="G7643" s="40" t="s">
        <v>11404</v>
      </c>
      <c r="H7643" s="40" t="s">
        <v>11404</v>
      </c>
    </row>
    <row r="7644">
      <c r="A7644" s="39"/>
      <c r="E7644" s="40" t="s">
        <v>11404</v>
      </c>
      <c r="F7644" s="40" t="s">
        <v>11404</v>
      </c>
      <c r="G7644" s="40" t="s">
        <v>11404</v>
      </c>
      <c r="H7644" s="40" t="s">
        <v>11404</v>
      </c>
    </row>
    <row r="7645">
      <c r="A7645" s="39"/>
      <c r="E7645" s="40" t="s">
        <v>11404</v>
      </c>
      <c r="F7645" s="40" t="s">
        <v>11404</v>
      </c>
      <c r="G7645" s="40" t="s">
        <v>11404</v>
      </c>
      <c r="H7645" s="40" t="s">
        <v>11404</v>
      </c>
    </row>
    <row r="7646">
      <c r="A7646" s="39"/>
      <c r="E7646" s="40" t="s">
        <v>11404</v>
      </c>
      <c r="F7646" s="40" t="s">
        <v>11404</v>
      </c>
      <c r="G7646" s="40" t="s">
        <v>11404</v>
      </c>
      <c r="H7646" s="40" t="s">
        <v>11404</v>
      </c>
    </row>
    <row r="7647">
      <c r="A7647" s="39"/>
      <c r="E7647" s="40" t="s">
        <v>11404</v>
      </c>
      <c r="F7647" s="40" t="s">
        <v>11404</v>
      </c>
      <c r="G7647" s="40" t="s">
        <v>11404</v>
      </c>
      <c r="H7647" s="40" t="s">
        <v>11404</v>
      </c>
    </row>
    <row r="7648">
      <c r="A7648" s="39"/>
      <c r="E7648" s="40" t="s">
        <v>11404</v>
      </c>
      <c r="F7648" s="40" t="s">
        <v>11404</v>
      </c>
      <c r="G7648" s="40" t="s">
        <v>11404</v>
      </c>
      <c r="H7648" s="40" t="s">
        <v>11404</v>
      </c>
    </row>
    <row r="7649">
      <c r="A7649" s="39"/>
      <c r="E7649" s="40" t="s">
        <v>11404</v>
      </c>
      <c r="F7649" s="40" t="s">
        <v>11404</v>
      </c>
      <c r="G7649" s="40" t="s">
        <v>11404</v>
      </c>
      <c r="H7649" s="40" t="s">
        <v>11404</v>
      </c>
    </row>
    <row r="7650">
      <c r="A7650" s="39"/>
      <c r="E7650" s="40" t="s">
        <v>11404</v>
      </c>
      <c r="F7650" s="40" t="s">
        <v>11404</v>
      </c>
      <c r="G7650" s="40" t="s">
        <v>11404</v>
      </c>
      <c r="H7650" s="40" t="s">
        <v>11404</v>
      </c>
    </row>
    <row r="7651">
      <c r="A7651" s="39"/>
      <c r="E7651" s="40" t="s">
        <v>11404</v>
      </c>
      <c r="F7651" s="40" t="s">
        <v>11404</v>
      </c>
      <c r="G7651" s="40" t="s">
        <v>11404</v>
      </c>
      <c r="H7651" s="40" t="s">
        <v>11404</v>
      </c>
    </row>
    <row r="7652">
      <c r="A7652" s="39"/>
      <c r="E7652" s="40" t="s">
        <v>11404</v>
      </c>
      <c r="F7652" s="40" t="s">
        <v>11404</v>
      </c>
      <c r="G7652" s="40" t="s">
        <v>11404</v>
      </c>
      <c r="H7652" s="40" t="s">
        <v>11404</v>
      </c>
    </row>
    <row r="7653">
      <c r="A7653" s="39"/>
      <c r="E7653" s="40" t="s">
        <v>11404</v>
      </c>
      <c r="F7653" s="40" t="s">
        <v>11404</v>
      </c>
      <c r="G7653" s="40" t="s">
        <v>11404</v>
      </c>
      <c r="H7653" s="40" t="s">
        <v>11404</v>
      </c>
    </row>
    <row r="7654">
      <c r="A7654" s="39"/>
      <c r="E7654" s="40" t="s">
        <v>11404</v>
      </c>
      <c r="F7654" s="40" t="s">
        <v>11404</v>
      </c>
      <c r="G7654" s="40" t="s">
        <v>11404</v>
      </c>
      <c r="H7654" s="40" t="s">
        <v>11404</v>
      </c>
    </row>
    <row r="7655">
      <c r="A7655" s="39"/>
      <c r="E7655" s="40" t="s">
        <v>11404</v>
      </c>
      <c r="F7655" s="40" t="s">
        <v>11404</v>
      </c>
      <c r="G7655" s="40" t="s">
        <v>11404</v>
      </c>
      <c r="H7655" s="40" t="s">
        <v>11404</v>
      </c>
    </row>
    <row r="7656">
      <c r="A7656" s="39"/>
      <c r="E7656" s="40" t="s">
        <v>11404</v>
      </c>
      <c r="F7656" s="40" t="s">
        <v>11404</v>
      </c>
      <c r="G7656" s="40" t="s">
        <v>11404</v>
      </c>
      <c r="H7656" s="40" t="s">
        <v>11404</v>
      </c>
    </row>
    <row r="7657">
      <c r="A7657" s="39"/>
      <c r="E7657" s="40" t="s">
        <v>11404</v>
      </c>
      <c r="F7657" s="40" t="s">
        <v>11404</v>
      </c>
      <c r="G7657" s="40" t="s">
        <v>11404</v>
      </c>
      <c r="H7657" s="40" t="s">
        <v>11404</v>
      </c>
    </row>
    <row r="7658">
      <c r="A7658" s="39"/>
      <c r="E7658" s="40" t="s">
        <v>11404</v>
      </c>
      <c r="F7658" s="40" t="s">
        <v>11404</v>
      </c>
      <c r="G7658" s="40" t="s">
        <v>11404</v>
      </c>
      <c r="H7658" s="40" t="s">
        <v>11404</v>
      </c>
    </row>
    <row r="7659">
      <c r="A7659" s="39"/>
      <c r="E7659" s="40" t="s">
        <v>11404</v>
      </c>
      <c r="F7659" s="40" t="s">
        <v>11404</v>
      </c>
      <c r="G7659" s="40" t="s">
        <v>11404</v>
      </c>
      <c r="H7659" s="40" t="s">
        <v>11404</v>
      </c>
    </row>
    <row r="7660">
      <c r="A7660" s="39"/>
      <c r="E7660" s="40" t="s">
        <v>11404</v>
      </c>
      <c r="F7660" s="40" t="s">
        <v>11404</v>
      </c>
      <c r="G7660" s="40" t="s">
        <v>11404</v>
      </c>
      <c r="H7660" s="40" t="s">
        <v>11404</v>
      </c>
    </row>
    <row r="7661">
      <c r="A7661" s="39"/>
      <c r="E7661" s="40" t="s">
        <v>11404</v>
      </c>
      <c r="F7661" s="40" t="s">
        <v>11404</v>
      </c>
      <c r="G7661" s="40" t="s">
        <v>11404</v>
      </c>
      <c r="H7661" s="40" t="s">
        <v>11404</v>
      </c>
    </row>
    <row r="7662">
      <c r="A7662" s="39"/>
      <c r="E7662" s="40" t="s">
        <v>11404</v>
      </c>
      <c r="F7662" s="40" t="s">
        <v>11404</v>
      </c>
      <c r="G7662" s="40" t="s">
        <v>11404</v>
      </c>
      <c r="H7662" s="40" t="s">
        <v>11404</v>
      </c>
    </row>
    <row r="7663">
      <c r="A7663" s="39"/>
      <c r="E7663" s="40" t="s">
        <v>11404</v>
      </c>
      <c r="F7663" s="40" t="s">
        <v>11404</v>
      </c>
      <c r="G7663" s="40" t="s">
        <v>11404</v>
      </c>
      <c r="H7663" s="40" t="s">
        <v>11404</v>
      </c>
    </row>
    <row r="7664">
      <c r="A7664" s="39"/>
      <c r="E7664" s="40" t="s">
        <v>11404</v>
      </c>
      <c r="F7664" s="40" t="s">
        <v>11404</v>
      </c>
      <c r="G7664" s="40" t="s">
        <v>11404</v>
      </c>
      <c r="H7664" s="40" t="s">
        <v>11404</v>
      </c>
    </row>
    <row r="7665">
      <c r="A7665" s="39"/>
      <c r="E7665" s="40" t="s">
        <v>11404</v>
      </c>
      <c r="F7665" s="40" t="s">
        <v>11404</v>
      </c>
      <c r="G7665" s="40" t="s">
        <v>11404</v>
      </c>
      <c r="H7665" s="40" t="s">
        <v>11404</v>
      </c>
    </row>
    <row r="7666">
      <c r="A7666" s="39"/>
      <c r="E7666" s="40" t="s">
        <v>11404</v>
      </c>
      <c r="F7666" s="40" t="s">
        <v>11404</v>
      </c>
      <c r="G7666" s="40" t="s">
        <v>11404</v>
      </c>
      <c r="H7666" s="40" t="s">
        <v>11404</v>
      </c>
    </row>
    <row r="7667">
      <c r="A7667" s="39"/>
      <c r="E7667" s="40" t="s">
        <v>11404</v>
      </c>
      <c r="F7667" s="40" t="s">
        <v>11404</v>
      </c>
      <c r="G7667" s="40" t="s">
        <v>11404</v>
      </c>
      <c r="H7667" s="40" t="s">
        <v>11404</v>
      </c>
    </row>
    <row r="7668">
      <c r="A7668" s="39"/>
      <c r="E7668" s="40" t="s">
        <v>11404</v>
      </c>
      <c r="F7668" s="40" t="s">
        <v>11404</v>
      </c>
      <c r="G7668" s="40" t="s">
        <v>11404</v>
      </c>
      <c r="H7668" s="40" t="s">
        <v>11404</v>
      </c>
    </row>
    <row r="7669">
      <c r="A7669" s="39"/>
      <c r="E7669" s="40" t="s">
        <v>11404</v>
      </c>
      <c r="F7669" s="40" t="s">
        <v>11404</v>
      </c>
      <c r="G7669" s="40" t="s">
        <v>11404</v>
      </c>
      <c r="H7669" s="40" t="s">
        <v>11404</v>
      </c>
    </row>
    <row r="7670">
      <c r="A7670" s="39"/>
      <c r="E7670" s="40" t="s">
        <v>11404</v>
      </c>
      <c r="F7670" s="40" t="s">
        <v>11404</v>
      </c>
      <c r="G7670" s="40" t="s">
        <v>11404</v>
      </c>
      <c r="H7670" s="40" t="s">
        <v>11404</v>
      </c>
    </row>
    <row r="7671">
      <c r="A7671" s="39"/>
      <c r="E7671" s="40" t="s">
        <v>11404</v>
      </c>
      <c r="F7671" s="40" t="s">
        <v>11404</v>
      </c>
      <c r="G7671" s="40" t="s">
        <v>11404</v>
      </c>
      <c r="H7671" s="40" t="s">
        <v>11404</v>
      </c>
    </row>
    <row r="7672">
      <c r="A7672" s="39"/>
      <c r="E7672" s="40" t="s">
        <v>11404</v>
      </c>
      <c r="F7672" s="40" t="s">
        <v>11404</v>
      </c>
      <c r="G7672" s="40" t="s">
        <v>11404</v>
      </c>
      <c r="H7672" s="40" t="s">
        <v>11404</v>
      </c>
    </row>
    <row r="7673">
      <c r="A7673" s="39"/>
      <c r="E7673" s="40" t="s">
        <v>11404</v>
      </c>
      <c r="F7673" s="40" t="s">
        <v>11404</v>
      </c>
      <c r="G7673" s="40" t="s">
        <v>11404</v>
      </c>
      <c r="H7673" s="40" t="s">
        <v>11404</v>
      </c>
    </row>
    <row r="7674">
      <c r="A7674" s="39"/>
      <c r="E7674" s="40" t="s">
        <v>11404</v>
      </c>
      <c r="F7674" s="40" t="s">
        <v>11404</v>
      </c>
      <c r="G7674" s="40" t="s">
        <v>11404</v>
      </c>
      <c r="H7674" s="40" t="s">
        <v>11404</v>
      </c>
    </row>
    <row r="7675">
      <c r="A7675" s="39"/>
      <c r="E7675" s="40" t="s">
        <v>11404</v>
      </c>
      <c r="F7675" s="40" t="s">
        <v>11404</v>
      </c>
      <c r="G7675" s="40" t="s">
        <v>11404</v>
      </c>
      <c r="H7675" s="40" t="s">
        <v>11404</v>
      </c>
    </row>
    <row r="7676">
      <c r="A7676" s="39"/>
      <c r="E7676" s="40" t="s">
        <v>11404</v>
      </c>
      <c r="F7676" s="40" t="s">
        <v>11404</v>
      </c>
      <c r="G7676" s="40" t="s">
        <v>11404</v>
      </c>
      <c r="H7676" s="40" t="s">
        <v>11404</v>
      </c>
    </row>
    <row r="7677">
      <c r="A7677" s="39"/>
      <c r="E7677" s="40" t="s">
        <v>11404</v>
      </c>
      <c r="F7677" s="40" t="s">
        <v>11404</v>
      </c>
      <c r="G7677" s="40" t="s">
        <v>11404</v>
      </c>
      <c r="H7677" s="40" t="s">
        <v>11404</v>
      </c>
    </row>
    <row r="7678">
      <c r="A7678" s="39"/>
      <c r="E7678" s="40" t="s">
        <v>11404</v>
      </c>
      <c r="F7678" s="40" t="s">
        <v>11404</v>
      </c>
      <c r="G7678" s="40" t="s">
        <v>11404</v>
      </c>
      <c r="H7678" s="40" t="s">
        <v>11404</v>
      </c>
    </row>
    <row r="7679">
      <c r="A7679" s="39"/>
      <c r="E7679" s="40" t="s">
        <v>11404</v>
      </c>
      <c r="F7679" s="40" t="s">
        <v>11404</v>
      </c>
      <c r="G7679" s="40" t="s">
        <v>11404</v>
      </c>
      <c r="H7679" s="40" t="s">
        <v>11404</v>
      </c>
    </row>
    <row r="7680">
      <c r="A7680" s="39"/>
      <c r="E7680" s="40" t="s">
        <v>11404</v>
      </c>
      <c r="F7680" s="40" t="s">
        <v>11404</v>
      </c>
      <c r="G7680" s="40" t="s">
        <v>11404</v>
      </c>
      <c r="H7680" s="40" t="s">
        <v>11404</v>
      </c>
    </row>
    <row r="7681">
      <c r="A7681" s="39"/>
      <c r="E7681" s="40" t="s">
        <v>11404</v>
      </c>
      <c r="F7681" s="40" t="s">
        <v>11404</v>
      </c>
      <c r="G7681" s="40" t="s">
        <v>11404</v>
      </c>
      <c r="H7681" s="40" t="s">
        <v>11404</v>
      </c>
    </row>
    <row r="7682">
      <c r="A7682" s="39"/>
      <c r="E7682" s="40" t="s">
        <v>11404</v>
      </c>
      <c r="F7682" s="40" t="s">
        <v>11404</v>
      </c>
      <c r="G7682" s="40" t="s">
        <v>11404</v>
      </c>
      <c r="H7682" s="40" t="s">
        <v>11404</v>
      </c>
    </row>
    <row r="7683">
      <c r="A7683" s="39"/>
      <c r="E7683" s="40" t="s">
        <v>11404</v>
      </c>
      <c r="F7683" s="40" t="s">
        <v>11404</v>
      </c>
      <c r="G7683" s="40" t="s">
        <v>11404</v>
      </c>
      <c r="H7683" s="40" t="s">
        <v>11404</v>
      </c>
    </row>
    <row r="7684">
      <c r="A7684" s="39"/>
      <c r="E7684" s="40" t="s">
        <v>11404</v>
      </c>
      <c r="F7684" s="40" t="s">
        <v>11404</v>
      </c>
      <c r="G7684" s="40" t="s">
        <v>11404</v>
      </c>
      <c r="H7684" s="40" t="s">
        <v>11404</v>
      </c>
    </row>
    <row r="7685">
      <c r="A7685" s="39"/>
      <c r="E7685" s="40" t="s">
        <v>11404</v>
      </c>
      <c r="F7685" s="40" t="s">
        <v>11404</v>
      </c>
      <c r="G7685" s="40" t="s">
        <v>11404</v>
      </c>
      <c r="H7685" s="40" t="s">
        <v>11404</v>
      </c>
    </row>
    <row r="7686">
      <c r="A7686" s="39"/>
      <c r="E7686" s="40" t="s">
        <v>11404</v>
      </c>
      <c r="F7686" s="40" t="s">
        <v>11404</v>
      </c>
      <c r="G7686" s="40" t="s">
        <v>11404</v>
      </c>
      <c r="H7686" s="40" t="s">
        <v>11404</v>
      </c>
    </row>
    <row r="7687">
      <c r="A7687" s="39"/>
      <c r="E7687" s="40" t="s">
        <v>11404</v>
      </c>
      <c r="F7687" s="40" t="s">
        <v>11404</v>
      </c>
      <c r="G7687" s="40" t="s">
        <v>11404</v>
      </c>
      <c r="H7687" s="40" t="s">
        <v>11404</v>
      </c>
    </row>
    <row r="7688">
      <c r="A7688" s="39"/>
      <c r="E7688" s="40" t="s">
        <v>11404</v>
      </c>
      <c r="F7688" s="40" t="s">
        <v>11404</v>
      </c>
      <c r="G7688" s="40" t="s">
        <v>11404</v>
      </c>
      <c r="H7688" s="40" t="s">
        <v>11404</v>
      </c>
    </row>
    <row r="7689">
      <c r="A7689" s="39"/>
      <c r="E7689" s="40" t="s">
        <v>11404</v>
      </c>
      <c r="F7689" s="40" t="s">
        <v>11404</v>
      </c>
      <c r="G7689" s="40" t="s">
        <v>11404</v>
      </c>
      <c r="H7689" s="40" t="s">
        <v>11404</v>
      </c>
    </row>
    <row r="7690">
      <c r="A7690" s="39"/>
      <c r="E7690" s="40" t="s">
        <v>11404</v>
      </c>
      <c r="F7690" s="40" t="s">
        <v>11404</v>
      </c>
      <c r="G7690" s="40" t="s">
        <v>11404</v>
      </c>
      <c r="H7690" s="40" t="s">
        <v>11404</v>
      </c>
    </row>
    <row r="7691">
      <c r="A7691" s="39"/>
      <c r="E7691" s="40" t="s">
        <v>11404</v>
      </c>
      <c r="F7691" s="40" t="s">
        <v>11404</v>
      </c>
      <c r="G7691" s="40" t="s">
        <v>11404</v>
      </c>
      <c r="H7691" s="40" t="s">
        <v>11404</v>
      </c>
    </row>
    <row r="7692">
      <c r="A7692" s="39"/>
      <c r="E7692" s="40" t="s">
        <v>11404</v>
      </c>
      <c r="F7692" s="40" t="s">
        <v>11404</v>
      </c>
      <c r="G7692" s="40" t="s">
        <v>11404</v>
      </c>
      <c r="H7692" s="40" t="s">
        <v>11404</v>
      </c>
    </row>
    <row r="7693">
      <c r="A7693" s="39"/>
      <c r="E7693" s="40" t="s">
        <v>11404</v>
      </c>
      <c r="F7693" s="40" t="s">
        <v>11404</v>
      </c>
      <c r="G7693" s="40" t="s">
        <v>11404</v>
      </c>
      <c r="H7693" s="40" t="s">
        <v>11404</v>
      </c>
    </row>
    <row r="7694">
      <c r="A7694" s="39"/>
      <c r="E7694" s="40" t="s">
        <v>11404</v>
      </c>
      <c r="F7694" s="40" t="s">
        <v>11404</v>
      </c>
      <c r="G7694" s="40" t="s">
        <v>11404</v>
      </c>
      <c r="H7694" s="40" t="s">
        <v>11404</v>
      </c>
    </row>
    <row r="7695">
      <c r="A7695" s="39"/>
      <c r="E7695" s="40" t="s">
        <v>11404</v>
      </c>
      <c r="F7695" s="40" t="s">
        <v>11404</v>
      </c>
      <c r="G7695" s="40" t="s">
        <v>11404</v>
      </c>
      <c r="H7695" s="40" t="s">
        <v>11404</v>
      </c>
    </row>
    <row r="7696">
      <c r="A7696" s="39"/>
      <c r="E7696" s="40" t="s">
        <v>11404</v>
      </c>
      <c r="F7696" s="40" t="s">
        <v>11404</v>
      </c>
      <c r="G7696" s="40" t="s">
        <v>11404</v>
      </c>
      <c r="H7696" s="40" t="s">
        <v>11404</v>
      </c>
    </row>
    <row r="7697">
      <c r="A7697" s="39"/>
      <c r="E7697" s="40" t="s">
        <v>11404</v>
      </c>
      <c r="F7697" s="40" t="s">
        <v>11404</v>
      </c>
      <c r="G7697" s="40" t="s">
        <v>11404</v>
      </c>
      <c r="H7697" s="40" t="s">
        <v>11404</v>
      </c>
    </row>
    <row r="7698">
      <c r="A7698" s="39"/>
      <c r="E7698" s="40" t="s">
        <v>11404</v>
      </c>
      <c r="F7698" s="40" t="s">
        <v>11404</v>
      </c>
      <c r="G7698" s="40" t="s">
        <v>11404</v>
      </c>
      <c r="H7698" s="40" t="s">
        <v>11404</v>
      </c>
    </row>
    <row r="7699">
      <c r="A7699" s="39"/>
      <c r="E7699" s="40" t="s">
        <v>11404</v>
      </c>
      <c r="F7699" s="40" t="s">
        <v>11404</v>
      </c>
      <c r="G7699" s="40" t="s">
        <v>11404</v>
      </c>
      <c r="H7699" s="40" t="s">
        <v>11404</v>
      </c>
    </row>
    <row r="7700">
      <c r="A7700" s="39"/>
      <c r="E7700" s="40" t="s">
        <v>11404</v>
      </c>
      <c r="F7700" s="40" t="s">
        <v>11404</v>
      </c>
      <c r="G7700" s="40" t="s">
        <v>11404</v>
      </c>
      <c r="H7700" s="40" t="s">
        <v>11404</v>
      </c>
    </row>
    <row r="7701">
      <c r="A7701" s="39"/>
      <c r="E7701" s="40" t="s">
        <v>11404</v>
      </c>
      <c r="F7701" s="40" t="s">
        <v>11404</v>
      </c>
      <c r="G7701" s="40" t="s">
        <v>11404</v>
      </c>
      <c r="H7701" s="40" t="s">
        <v>11404</v>
      </c>
    </row>
    <row r="7702">
      <c r="A7702" s="39"/>
      <c r="E7702" s="40" t="s">
        <v>11404</v>
      </c>
      <c r="F7702" s="40" t="s">
        <v>11404</v>
      </c>
      <c r="G7702" s="40" t="s">
        <v>11404</v>
      </c>
      <c r="H7702" s="40" t="s">
        <v>11404</v>
      </c>
    </row>
    <row r="7703">
      <c r="A7703" s="39"/>
      <c r="E7703" s="40" t="s">
        <v>11404</v>
      </c>
      <c r="F7703" s="40" t="s">
        <v>11404</v>
      </c>
      <c r="G7703" s="40" t="s">
        <v>11404</v>
      </c>
      <c r="H7703" s="40" t="s">
        <v>11404</v>
      </c>
    </row>
    <row r="7704">
      <c r="A7704" s="39"/>
      <c r="E7704" s="40" t="s">
        <v>11404</v>
      </c>
      <c r="F7704" s="40" t="s">
        <v>11404</v>
      </c>
      <c r="G7704" s="40" t="s">
        <v>11404</v>
      </c>
      <c r="H7704" s="40" t="s">
        <v>11404</v>
      </c>
    </row>
    <row r="7705">
      <c r="A7705" s="39"/>
      <c r="E7705" s="40" t="s">
        <v>11404</v>
      </c>
      <c r="F7705" s="40" t="s">
        <v>11404</v>
      </c>
      <c r="G7705" s="40" t="s">
        <v>11404</v>
      </c>
      <c r="H7705" s="40" t="s">
        <v>11404</v>
      </c>
    </row>
    <row r="7706">
      <c r="A7706" s="39"/>
      <c r="E7706" s="40" t="s">
        <v>11404</v>
      </c>
      <c r="F7706" s="40" t="s">
        <v>11404</v>
      </c>
      <c r="G7706" s="40" t="s">
        <v>11404</v>
      </c>
      <c r="H7706" s="40" t="s">
        <v>11404</v>
      </c>
    </row>
    <row r="7707">
      <c r="A7707" s="39"/>
      <c r="E7707" s="40" t="s">
        <v>11404</v>
      </c>
      <c r="F7707" s="40" t="s">
        <v>11404</v>
      </c>
      <c r="G7707" s="40" t="s">
        <v>11404</v>
      </c>
      <c r="H7707" s="40" t="s">
        <v>11404</v>
      </c>
    </row>
    <row r="7708">
      <c r="A7708" s="39"/>
      <c r="E7708" s="40" t="s">
        <v>11404</v>
      </c>
      <c r="F7708" s="40" t="s">
        <v>11404</v>
      </c>
      <c r="G7708" s="40" t="s">
        <v>11404</v>
      </c>
      <c r="H7708" s="40" t="s">
        <v>11404</v>
      </c>
    </row>
    <row r="7709">
      <c r="A7709" s="39"/>
      <c r="E7709" s="40" t="s">
        <v>11404</v>
      </c>
      <c r="F7709" s="40" t="s">
        <v>11404</v>
      </c>
      <c r="G7709" s="40" t="s">
        <v>11404</v>
      </c>
      <c r="H7709" s="40" t="s">
        <v>11404</v>
      </c>
    </row>
    <row r="7710">
      <c r="A7710" s="39"/>
      <c r="E7710" s="40" t="s">
        <v>11404</v>
      </c>
      <c r="F7710" s="40" t="s">
        <v>11404</v>
      </c>
      <c r="G7710" s="40" t="s">
        <v>11404</v>
      </c>
      <c r="H7710" s="40" t="s">
        <v>11404</v>
      </c>
    </row>
    <row r="7711">
      <c r="A7711" s="39"/>
      <c r="E7711" s="40" t="s">
        <v>11404</v>
      </c>
      <c r="F7711" s="40" t="s">
        <v>11404</v>
      </c>
      <c r="G7711" s="40" t="s">
        <v>11404</v>
      </c>
      <c r="H7711" s="40" t="s">
        <v>11404</v>
      </c>
    </row>
    <row r="7712">
      <c r="A7712" s="39"/>
      <c r="E7712" s="40" t="s">
        <v>11404</v>
      </c>
      <c r="F7712" s="40" t="s">
        <v>11404</v>
      </c>
      <c r="G7712" s="40" t="s">
        <v>11404</v>
      </c>
      <c r="H7712" s="40" t="s">
        <v>11404</v>
      </c>
    </row>
    <row r="7713">
      <c r="A7713" s="39"/>
      <c r="E7713" s="40" t="s">
        <v>11404</v>
      </c>
      <c r="F7713" s="40" t="s">
        <v>11404</v>
      </c>
      <c r="G7713" s="40" t="s">
        <v>11404</v>
      </c>
      <c r="H7713" s="40" t="s">
        <v>11404</v>
      </c>
    </row>
    <row r="7714">
      <c r="A7714" s="39"/>
      <c r="E7714" s="40" t="s">
        <v>11404</v>
      </c>
      <c r="F7714" s="40" t="s">
        <v>11404</v>
      </c>
      <c r="G7714" s="40" t="s">
        <v>11404</v>
      </c>
      <c r="H7714" s="40" t="s">
        <v>11404</v>
      </c>
    </row>
    <row r="7715">
      <c r="A7715" s="39"/>
      <c r="E7715" s="40" t="s">
        <v>11404</v>
      </c>
      <c r="F7715" s="40" t="s">
        <v>11404</v>
      </c>
      <c r="G7715" s="40" t="s">
        <v>11404</v>
      </c>
      <c r="H7715" s="40" t="s">
        <v>11404</v>
      </c>
    </row>
    <row r="7716">
      <c r="A7716" s="39"/>
      <c r="E7716" s="40" t="s">
        <v>11404</v>
      </c>
      <c r="F7716" s="40" t="s">
        <v>11404</v>
      </c>
      <c r="G7716" s="40" t="s">
        <v>11404</v>
      </c>
      <c r="H7716" s="40" t="s">
        <v>11404</v>
      </c>
    </row>
    <row r="7717">
      <c r="A7717" s="39"/>
      <c r="E7717" s="40" t="s">
        <v>11404</v>
      </c>
      <c r="F7717" s="40" t="s">
        <v>11404</v>
      </c>
      <c r="G7717" s="40" t="s">
        <v>11404</v>
      </c>
      <c r="H7717" s="40" t="s">
        <v>11404</v>
      </c>
    </row>
    <row r="7718">
      <c r="A7718" s="39"/>
      <c r="E7718" s="40" t="s">
        <v>11404</v>
      </c>
      <c r="F7718" s="40" t="s">
        <v>11404</v>
      </c>
      <c r="G7718" s="40" t="s">
        <v>11404</v>
      </c>
      <c r="H7718" s="40" t="s">
        <v>11404</v>
      </c>
    </row>
    <row r="7719">
      <c r="A7719" s="39"/>
      <c r="E7719" s="40" t="s">
        <v>11404</v>
      </c>
      <c r="F7719" s="40" t="s">
        <v>11404</v>
      </c>
      <c r="G7719" s="40" t="s">
        <v>11404</v>
      </c>
      <c r="H7719" s="40" t="s">
        <v>11404</v>
      </c>
    </row>
    <row r="7720">
      <c r="A7720" s="39"/>
      <c r="E7720" s="40" t="s">
        <v>11404</v>
      </c>
      <c r="F7720" s="40" t="s">
        <v>11404</v>
      </c>
      <c r="G7720" s="40" t="s">
        <v>11404</v>
      </c>
      <c r="H7720" s="40" t="s">
        <v>11404</v>
      </c>
    </row>
    <row r="7721">
      <c r="A7721" s="39"/>
      <c r="E7721" s="40" t="s">
        <v>11404</v>
      </c>
      <c r="F7721" s="40" t="s">
        <v>11404</v>
      </c>
      <c r="G7721" s="40" t="s">
        <v>11404</v>
      </c>
      <c r="H7721" s="40" t="s">
        <v>11404</v>
      </c>
    </row>
    <row r="7722">
      <c r="A7722" s="39"/>
      <c r="E7722" s="40" t="s">
        <v>11404</v>
      </c>
      <c r="F7722" s="40" t="s">
        <v>11404</v>
      </c>
      <c r="G7722" s="40" t="s">
        <v>11404</v>
      </c>
      <c r="H7722" s="40" t="s">
        <v>11404</v>
      </c>
    </row>
    <row r="7723">
      <c r="A7723" s="39"/>
      <c r="E7723" s="40" t="s">
        <v>11404</v>
      </c>
      <c r="F7723" s="40" t="s">
        <v>11404</v>
      </c>
      <c r="G7723" s="40" t="s">
        <v>11404</v>
      </c>
      <c r="H7723" s="40" t="s">
        <v>11404</v>
      </c>
    </row>
    <row r="7724">
      <c r="A7724" s="39"/>
      <c r="E7724" s="40" t="s">
        <v>11404</v>
      </c>
      <c r="F7724" s="40" t="s">
        <v>11404</v>
      </c>
      <c r="G7724" s="40" t="s">
        <v>11404</v>
      </c>
      <c r="H7724" s="40" t="s">
        <v>11404</v>
      </c>
    </row>
    <row r="7725">
      <c r="A7725" s="39"/>
      <c r="E7725" s="40" t="s">
        <v>11404</v>
      </c>
      <c r="F7725" s="40" t="s">
        <v>11404</v>
      </c>
      <c r="G7725" s="40" t="s">
        <v>11404</v>
      </c>
      <c r="H7725" s="40" t="s">
        <v>11404</v>
      </c>
    </row>
    <row r="7726">
      <c r="A7726" s="39"/>
      <c r="E7726" s="40" t="s">
        <v>11404</v>
      </c>
      <c r="F7726" s="40" t="s">
        <v>11404</v>
      </c>
      <c r="G7726" s="40" t="s">
        <v>11404</v>
      </c>
      <c r="H7726" s="40" t="s">
        <v>11404</v>
      </c>
    </row>
    <row r="7727">
      <c r="A7727" s="39"/>
      <c r="E7727" s="40" t="s">
        <v>11404</v>
      </c>
      <c r="F7727" s="40" t="s">
        <v>11404</v>
      </c>
      <c r="G7727" s="40" t="s">
        <v>11404</v>
      </c>
      <c r="H7727" s="40" t="s">
        <v>11404</v>
      </c>
    </row>
    <row r="7728">
      <c r="A7728" s="39"/>
      <c r="E7728" s="40" t="s">
        <v>11404</v>
      </c>
      <c r="F7728" s="40" t="s">
        <v>11404</v>
      </c>
      <c r="G7728" s="40" t="s">
        <v>11404</v>
      </c>
      <c r="H7728" s="40" t="s">
        <v>11404</v>
      </c>
    </row>
    <row r="7729">
      <c r="A7729" s="39"/>
      <c r="E7729" s="40" t="s">
        <v>11404</v>
      </c>
      <c r="F7729" s="40" t="s">
        <v>11404</v>
      </c>
      <c r="G7729" s="40" t="s">
        <v>11404</v>
      </c>
      <c r="H7729" s="40" t="s">
        <v>11404</v>
      </c>
    </row>
    <row r="7730">
      <c r="A7730" s="39"/>
      <c r="E7730" s="40" t="s">
        <v>11404</v>
      </c>
      <c r="F7730" s="40" t="s">
        <v>11404</v>
      </c>
      <c r="G7730" s="40" t="s">
        <v>11404</v>
      </c>
      <c r="H7730" s="40" t="s">
        <v>11404</v>
      </c>
    </row>
    <row r="7731">
      <c r="A7731" s="39"/>
      <c r="E7731" s="40" t="s">
        <v>11404</v>
      </c>
      <c r="F7731" s="40" t="s">
        <v>11404</v>
      </c>
      <c r="G7731" s="40" t="s">
        <v>11404</v>
      </c>
      <c r="H7731" s="40" t="s">
        <v>11404</v>
      </c>
    </row>
    <row r="7732">
      <c r="A7732" s="39"/>
      <c r="E7732" s="40" t="s">
        <v>11404</v>
      </c>
      <c r="F7732" s="40" t="s">
        <v>11404</v>
      </c>
      <c r="G7732" s="40" t="s">
        <v>11404</v>
      </c>
      <c r="H7732" s="40" t="s">
        <v>11404</v>
      </c>
    </row>
    <row r="7733">
      <c r="A7733" s="39"/>
      <c r="E7733" s="40" t="s">
        <v>11404</v>
      </c>
      <c r="F7733" s="40" t="s">
        <v>11404</v>
      </c>
      <c r="G7733" s="40" t="s">
        <v>11404</v>
      </c>
      <c r="H7733" s="40" t="s">
        <v>11404</v>
      </c>
    </row>
    <row r="7734">
      <c r="A7734" s="39"/>
      <c r="E7734" s="40" t="s">
        <v>11404</v>
      </c>
      <c r="F7734" s="40" t="s">
        <v>11404</v>
      </c>
      <c r="G7734" s="40" t="s">
        <v>11404</v>
      </c>
      <c r="H7734" s="40" t="s">
        <v>11404</v>
      </c>
    </row>
    <row r="7735">
      <c r="A7735" s="39"/>
      <c r="E7735" s="40" t="s">
        <v>11404</v>
      </c>
      <c r="F7735" s="40" t="s">
        <v>11404</v>
      </c>
      <c r="G7735" s="40" t="s">
        <v>11404</v>
      </c>
      <c r="H7735" s="40" t="s">
        <v>11404</v>
      </c>
    </row>
    <row r="7736">
      <c r="A7736" s="39"/>
      <c r="E7736" s="40" t="s">
        <v>11404</v>
      </c>
      <c r="F7736" s="40" t="s">
        <v>11404</v>
      </c>
      <c r="G7736" s="40" t="s">
        <v>11404</v>
      </c>
      <c r="H7736" s="40" t="s">
        <v>11404</v>
      </c>
    </row>
    <row r="7737">
      <c r="A7737" s="39"/>
      <c r="E7737" s="40" t="s">
        <v>11404</v>
      </c>
      <c r="F7737" s="40" t="s">
        <v>11404</v>
      </c>
      <c r="G7737" s="40" t="s">
        <v>11404</v>
      </c>
      <c r="H7737" s="40" t="s">
        <v>11404</v>
      </c>
    </row>
    <row r="7738">
      <c r="A7738" s="39"/>
      <c r="E7738" s="40" t="s">
        <v>11404</v>
      </c>
      <c r="F7738" s="40" t="s">
        <v>11404</v>
      </c>
      <c r="G7738" s="40" t="s">
        <v>11404</v>
      </c>
      <c r="H7738" s="40" t="s">
        <v>11404</v>
      </c>
    </row>
    <row r="7739">
      <c r="A7739" s="39"/>
      <c r="E7739" s="40" t="s">
        <v>11404</v>
      </c>
      <c r="F7739" s="40" t="s">
        <v>11404</v>
      </c>
      <c r="G7739" s="40" t="s">
        <v>11404</v>
      </c>
      <c r="H7739" s="40" t="s">
        <v>11404</v>
      </c>
    </row>
    <row r="7740">
      <c r="A7740" s="39"/>
      <c r="E7740" s="40" t="s">
        <v>11404</v>
      </c>
      <c r="F7740" s="40" t="s">
        <v>11404</v>
      </c>
      <c r="G7740" s="40" t="s">
        <v>11404</v>
      </c>
      <c r="H7740" s="40" t="s">
        <v>11404</v>
      </c>
    </row>
    <row r="7741">
      <c r="A7741" s="39"/>
      <c r="E7741" s="40" t="s">
        <v>11404</v>
      </c>
      <c r="F7741" s="40" t="s">
        <v>11404</v>
      </c>
      <c r="G7741" s="40" t="s">
        <v>11404</v>
      </c>
      <c r="H7741" s="40" t="s">
        <v>11404</v>
      </c>
    </row>
    <row r="7742">
      <c r="A7742" s="39"/>
      <c r="E7742" s="40" t="s">
        <v>11404</v>
      </c>
      <c r="F7742" s="40" t="s">
        <v>11404</v>
      </c>
      <c r="G7742" s="40" t="s">
        <v>11404</v>
      </c>
      <c r="H7742" s="40" t="s">
        <v>11404</v>
      </c>
    </row>
    <row r="7743">
      <c r="A7743" s="39"/>
      <c r="E7743" s="40" t="s">
        <v>11404</v>
      </c>
      <c r="F7743" s="40" t="s">
        <v>11404</v>
      </c>
      <c r="G7743" s="40" t="s">
        <v>11404</v>
      </c>
      <c r="H7743" s="40" t="s">
        <v>11404</v>
      </c>
    </row>
    <row r="7744">
      <c r="A7744" s="39"/>
      <c r="E7744" s="40" t="s">
        <v>11404</v>
      </c>
      <c r="F7744" s="40" t="s">
        <v>11404</v>
      </c>
      <c r="G7744" s="40" t="s">
        <v>11404</v>
      </c>
      <c r="H7744" s="40" t="s">
        <v>11404</v>
      </c>
    </row>
    <row r="7745">
      <c r="A7745" s="39"/>
      <c r="E7745" s="40" t="s">
        <v>11404</v>
      </c>
      <c r="F7745" s="40" t="s">
        <v>11404</v>
      </c>
      <c r="G7745" s="40" t="s">
        <v>11404</v>
      </c>
      <c r="H7745" s="40" t="s">
        <v>11404</v>
      </c>
    </row>
    <row r="7746">
      <c r="A7746" s="39"/>
      <c r="E7746" s="40" t="s">
        <v>11404</v>
      </c>
      <c r="F7746" s="40" t="s">
        <v>11404</v>
      </c>
      <c r="G7746" s="40" t="s">
        <v>11404</v>
      </c>
      <c r="H7746" s="40" t="s">
        <v>11404</v>
      </c>
    </row>
    <row r="7747">
      <c r="A7747" s="39"/>
      <c r="E7747" s="40" t="s">
        <v>11404</v>
      </c>
      <c r="F7747" s="40" t="s">
        <v>11404</v>
      </c>
      <c r="G7747" s="40" t="s">
        <v>11404</v>
      </c>
      <c r="H7747" s="40" t="s">
        <v>11404</v>
      </c>
    </row>
    <row r="7748">
      <c r="A7748" s="39"/>
      <c r="E7748" s="40" t="s">
        <v>11404</v>
      </c>
      <c r="F7748" s="40" t="s">
        <v>11404</v>
      </c>
      <c r="G7748" s="40" t="s">
        <v>11404</v>
      </c>
      <c r="H7748" s="40" t="s">
        <v>11404</v>
      </c>
    </row>
    <row r="7749">
      <c r="A7749" s="39"/>
      <c r="E7749" s="40" t="s">
        <v>11404</v>
      </c>
      <c r="F7749" s="40" t="s">
        <v>11404</v>
      </c>
      <c r="G7749" s="40" t="s">
        <v>11404</v>
      </c>
      <c r="H7749" s="40" t="s">
        <v>11404</v>
      </c>
    </row>
    <row r="7750">
      <c r="A7750" s="39"/>
      <c r="E7750" s="40" t="s">
        <v>11404</v>
      </c>
      <c r="F7750" s="40" t="s">
        <v>11404</v>
      </c>
      <c r="G7750" s="40" t="s">
        <v>11404</v>
      </c>
      <c r="H7750" s="40" t="s">
        <v>11404</v>
      </c>
    </row>
    <row r="7751">
      <c r="A7751" s="39"/>
      <c r="E7751" s="40" t="s">
        <v>11404</v>
      </c>
      <c r="F7751" s="40" t="s">
        <v>11404</v>
      </c>
      <c r="G7751" s="40" t="s">
        <v>11404</v>
      </c>
      <c r="H7751" s="40" t="s">
        <v>11404</v>
      </c>
    </row>
    <row r="7752">
      <c r="A7752" s="39"/>
      <c r="E7752" s="40" t="s">
        <v>11404</v>
      </c>
      <c r="F7752" s="40" t="s">
        <v>11404</v>
      </c>
      <c r="G7752" s="40" t="s">
        <v>11404</v>
      </c>
      <c r="H7752" s="40" t="s">
        <v>11404</v>
      </c>
    </row>
    <row r="7753">
      <c r="A7753" s="39"/>
      <c r="E7753" s="40" t="s">
        <v>11404</v>
      </c>
      <c r="F7753" s="40" t="s">
        <v>11404</v>
      </c>
      <c r="G7753" s="40" t="s">
        <v>11404</v>
      </c>
      <c r="H7753" s="40" t="s">
        <v>11404</v>
      </c>
    </row>
    <row r="7754">
      <c r="A7754" s="39"/>
      <c r="E7754" s="40" t="s">
        <v>11404</v>
      </c>
      <c r="F7754" s="40" t="s">
        <v>11404</v>
      </c>
      <c r="G7754" s="40" t="s">
        <v>11404</v>
      </c>
      <c r="H7754" s="40" t="s">
        <v>11404</v>
      </c>
    </row>
    <row r="7755">
      <c r="A7755" s="39"/>
      <c r="E7755" s="40" t="s">
        <v>11404</v>
      </c>
      <c r="F7755" s="40" t="s">
        <v>11404</v>
      </c>
      <c r="G7755" s="40" t="s">
        <v>11404</v>
      </c>
      <c r="H7755" s="40" t="s">
        <v>11404</v>
      </c>
    </row>
    <row r="7756">
      <c r="A7756" s="39"/>
      <c r="E7756" s="40" t="s">
        <v>11404</v>
      </c>
      <c r="F7756" s="40" t="s">
        <v>11404</v>
      </c>
      <c r="G7756" s="40" t="s">
        <v>11404</v>
      </c>
      <c r="H7756" s="40" t="s">
        <v>11404</v>
      </c>
    </row>
    <row r="7757">
      <c r="A7757" s="39"/>
      <c r="E7757" s="40" t="s">
        <v>11404</v>
      </c>
      <c r="F7757" s="40" t="s">
        <v>11404</v>
      </c>
      <c r="G7757" s="40" t="s">
        <v>11404</v>
      </c>
      <c r="H7757" s="40" t="s">
        <v>11404</v>
      </c>
    </row>
    <row r="7758">
      <c r="A7758" s="39"/>
      <c r="E7758" s="40" t="s">
        <v>11404</v>
      </c>
      <c r="F7758" s="40" t="s">
        <v>11404</v>
      </c>
      <c r="G7758" s="40" t="s">
        <v>11404</v>
      </c>
      <c r="H7758" s="40" t="s">
        <v>11404</v>
      </c>
    </row>
    <row r="7759">
      <c r="A7759" s="39"/>
      <c r="E7759" s="40" t="s">
        <v>11404</v>
      </c>
      <c r="F7759" s="40" t="s">
        <v>11404</v>
      </c>
      <c r="G7759" s="40" t="s">
        <v>11404</v>
      </c>
      <c r="H7759" s="40" t="s">
        <v>11404</v>
      </c>
    </row>
    <row r="7760">
      <c r="A7760" s="39"/>
      <c r="E7760" s="40" t="s">
        <v>11404</v>
      </c>
      <c r="F7760" s="40" t="s">
        <v>11404</v>
      </c>
      <c r="G7760" s="40" t="s">
        <v>11404</v>
      </c>
      <c r="H7760" s="40" t="s">
        <v>11404</v>
      </c>
    </row>
    <row r="7761">
      <c r="A7761" s="39"/>
      <c r="E7761" s="40" t="s">
        <v>11404</v>
      </c>
      <c r="F7761" s="40" t="s">
        <v>11404</v>
      </c>
      <c r="G7761" s="40" t="s">
        <v>11404</v>
      </c>
      <c r="H7761" s="40" t="s">
        <v>11404</v>
      </c>
    </row>
    <row r="7762">
      <c r="A7762" s="39"/>
      <c r="E7762" s="40" t="s">
        <v>11404</v>
      </c>
      <c r="F7762" s="40" t="s">
        <v>11404</v>
      </c>
      <c r="G7762" s="40" t="s">
        <v>11404</v>
      </c>
      <c r="H7762" s="40" t="s">
        <v>11404</v>
      </c>
    </row>
    <row r="7763">
      <c r="A7763" s="39"/>
      <c r="E7763" s="40" t="s">
        <v>11404</v>
      </c>
      <c r="F7763" s="40" t="s">
        <v>11404</v>
      </c>
      <c r="G7763" s="40" t="s">
        <v>11404</v>
      </c>
      <c r="H7763" s="40" t="s">
        <v>11404</v>
      </c>
    </row>
    <row r="7764">
      <c r="A7764" s="39"/>
      <c r="E7764" s="40" t="s">
        <v>11404</v>
      </c>
      <c r="F7764" s="40" t="s">
        <v>11404</v>
      </c>
      <c r="G7764" s="40" t="s">
        <v>11404</v>
      </c>
      <c r="H7764" s="40" t="s">
        <v>11404</v>
      </c>
    </row>
    <row r="7765">
      <c r="A7765" s="39"/>
      <c r="E7765" s="40" t="s">
        <v>11404</v>
      </c>
      <c r="F7765" s="40" t="s">
        <v>11404</v>
      </c>
      <c r="G7765" s="40" t="s">
        <v>11404</v>
      </c>
      <c r="H7765" s="40" t="s">
        <v>11404</v>
      </c>
    </row>
    <row r="7766">
      <c r="A7766" s="39"/>
      <c r="E7766" s="40" t="s">
        <v>11404</v>
      </c>
      <c r="F7766" s="40" t="s">
        <v>11404</v>
      </c>
      <c r="G7766" s="40" t="s">
        <v>11404</v>
      </c>
      <c r="H7766" s="40" t="s">
        <v>11404</v>
      </c>
    </row>
    <row r="7767">
      <c r="A7767" s="39"/>
      <c r="E7767" s="40" t="s">
        <v>11404</v>
      </c>
      <c r="F7767" s="40" t="s">
        <v>11404</v>
      </c>
      <c r="G7767" s="40" t="s">
        <v>11404</v>
      </c>
      <c r="H7767" s="40" t="s">
        <v>11404</v>
      </c>
    </row>
    <row r="7768">
      <c r="A7768" s="39"/>
      <c r="E7768" s="40" t="s">
        <v>11404</v>
      </c>
      <c r="F7768" s="40" t="s">
        <v>11404</v>
      </c>
      <c r="G7768" s="40" t="s">
        <v>11404</v>
      </c>
      <c r="H7768" s="40" t="s">
        <v>11404</v>
      </c>
    </row>
    <row r="7769">
      <c r="A7769" s="39"/>
      <c r="E7769" s="40" t="s">
        <v>11404</v>
      </c>
      <c r="F7769" s="40" t="s">
        <v>11404</v>
      </c>
      <c r="G7769" s="40" t="s">
        <v>11404</v>
      </c>
      <c r="H7769" s="40" t="s">
        <v>11404</v>
      </c>
    </row>
    <row r="7770">
      <c r="A7770" s="39"/>
      <c r="E7770" s="40" t="s">
        <v>11404</v>
      </c>
      <c r="F7770" s="40" t="s">
        <v>11404</v>
      </c>
      <c r="G7770" s="40" t="s">
        <v>11404</v>
      </c>
      <c r="H7770" s="40" t="s">
        <v>11404</v>
      </c>
    </row>
    <row r="7771">
      <c r="A7771" s="39"/>
      <c r="E7771" s="40" t="s">
        <v>11404</v>
      </c>
      <c r="F7771" s="40" t="s">
        <v>11404</v>
      </c>
      <c r="G7771" s="40" t="s">
        <v>11404</v>
      </c>
      <c r="H7771" s="40" t="s">
        <v>11404</v>
      </c>
    </row>
    <row r="7772">
      <c r="A7772" s="39"/>
      <c r="E7772" s="40" t="s">
        <v>11404</v>
      </c>
      <c r="F7772" s="40" t="s">
        <v>11404</v>
      </c>
      <c r="G7772" s="40" t="s">
        <v>11404</v>
      </c>
      <c r="H7772" s="40" t="s">
        <v>11404</v>
      </c>
    </row>
    <row r="7773">
      <c r="A7773" s="39"/>
      <c r="E7773" s="40" t="s">
        <v>11404</v>
      </c>
      <c r="F7773" s="40" t="s">
        <v>11404</v>
      </c>
      <c r="G7773" s="40" t="s">
        <v>11404</v>
      </c>
      <c r="H7773" s="40" t="s">
        <v>11404</v>
      </c>
    </row>
    <row r="7774">
      <c r="A7774" s="39"/>
      <c r="E7774" s="40" t="s">
        <v>11404</v>
      </c>
      <c r="F7774" s="40" t="s">
        <v>11404</v>
      </c>
      <c r="G7774" s="40" t="s">
        <v>11404</v>
      </c>
      <c r="H7774" s="40" t="s">
        <v>11404</v>
      </c>
    </row>
    <row r="7775">
      <c r="A7775" s="39"/>
      <c r="E7775" s="40" t="s">
        <v>11404</v>
      </c>
      <c r="F7775" s="40" t="s">
        <v>11404</v>
      </c>
      <c r="G7775" s="40" t="s">
        <v>11404</v>
      </c>
      <c r="H7775" s="40" t="s">
        <v>11404</v>
      </c>
    </row>
    <row r="7776">
      <c r="A7776" s="39"/>
      <c r="E7776" s="40" t="s">
        <v>11404</v>
      </c>
      <c r="F7776" s="40" t="s">
        <v>11404</v>
      </c>
      <c r="G7776" s="40" t="s">
        <v>11404</v>
      </c>
      <c r="H7776" s="40" t="s">
        <v>11404</v>
      </c>
    </row>
    <row r="7777">
      <c r="A7777" s="39"/>
      <c r="E7777" s="40" t="s">
        <v>11404</v>
      </c>
      <c r="F7777" s="40" t="s">
        <v>11404</v>
      </c>
      <c r="G7777" s="40" t="s">
        <v>11404</v>
      </c>
      <c r="H7777" s="40" t="s">
        <v>11404</v>
      </c>
    </row>
    <row r="7778">
      <c r="A7778" s="39"/>
      <c r="E7778" s="40" t="s">
        <v>11404</v>
      </c>
      <c r="F7778" s="40" t="s">
        <v>11404</v>
      </c>
      <c r="G7778" s="40" t="s">
        <v>11404</v>
      </c>
      <c r="H7778" s="40" t="s">
        <v>11404</v>
      </c>
    </row>
    <row r="7779">
      <c r="A7779" s="39"/>
      <c r="E7779" s="40" t="s">
        <v>11404</v>
      </c>
      <c r="F7779" s="40" t="s">
        <v>11404</v>
      </c>
      <c r="G7779" s="40" t="s">
        <v>11404</v>
      </c>
      <c r="H7779" s="40" t="s">
        <v>11404</v>
      </c>
    </row>
    <row r="7780">
      <c r="A7780" s="39"/>
      <c r="E7780" s="40" t="s">
        <v>11404</v>
      </c>
      <c r="F7780" s="40" t="s">
        <v>11404</v>
      </c>
      <c r="G7780" s="40" t="s">
        <v>11404</v>
      </c>
      <c r="H7780" s="40" t="s">
        <v>11404</v>
      </c>
    </row>
    <row r="7781">
      <c r="A7781" s="39"/>
      <c r="E7781" s="40" t="s">
        <v>11404</v>
      </c>
      <c r="F7781" s="40" t="s">
        <v>11404</v>
      </c>
      <c r="G7781" s="40" t="s">
        <v>11404</v>
      </c>
      <c r="H7781" s="40" t="s">
        <v>11404</v>
      </c>
    </row>
    <row r="7782">
      <c r="A7782" s="39"/>
      <c r="E7782" s="40" t="s">
        <v>11404</v>
      </c>
      <c r="F7782" s="40" t="s">
        <v>11404</v>
      </c>
      <c r="G7782" s="40" t="s">
        <v>11404</v>
      </c>
      <c r="H7782" s="40" t="s">
        <v>11404</v>
      </c>
    </row>
    <row r="7783">
      <c r="A7783" s="39"/>
      <c r="E7783" s="40" t="s">
        <v>11404</v>
      </c>
      <c r="F7783" s="40" t="s">
        <v>11404</v>
      </c>
      <c r="G7783" s="40" t="s">
        <v>11404</v>
      </c>
      <c r="H7783" s="40" t="s">
        <v>11404</v>
      </c>
    </row>
    <row r="7784">
      <c r="A7784" s="39"/>
      <c r="E7784" s="40" t="s">
        <v>11404</v>
      </c>
      <c r="F7784" s="40" t="s">
        <v>11404</v>
      </c>
      <c r="G7784" s="40" t="s">
        <v>11404</v>
      </c>
      <c r="H7784" s="40" t="s">
        <v>11404</v>
      </c>
    </row>
    <row r="7785">
      <c r="A7785" s="39"/>
      <c r="E7785" s="40" t="s">
        <v>11404</v>
      </c>
      <c r="F7785" s="40" t="s">
        <v>11404</v>
      </c>
      <c r="G7785" s="40" t="s">
        <v>11404</v>
      </c>
      <c r="H7785" s="40" t="s">
        <v>11404</v>
      </c>
    </row>
    <row r="7786">
      <c r="A7786" s="39"/>
      <c r="E7786" s="40" t="s">
        <v>11404</v>
      </c>
      <c r="F7786" s="40" t="s">
        <v>11404</v>
      </c>
      <c r="G7786" s="40" t="s">
        <v>11404</v>
      </c>
      <c r="H7786" s="40" t="s">
        <v>11404</v>
      </c>
    </row>
    <row r="7787">
      <c r="A7787" s="39"/>
      <c r="E7787" s="40" t="s">
        <v>11404</v>
      </c>
      <c r="F7787" s="40" t="s">
        <v>11404</v>
      </c>
      <c r="G7787" s="40" t="s">
        <v>11404</v>
      </c>
      <c r="H7787" s="40" t="s">
        <v>11404</v>
      </c>
    </row>
    <row r="7788">
      <c r="A7788" s="39"/>
      <c r="E7788" s="40" t="s">
        <v>11404</v>
      </c>
      <c r="F7788" s="40" t="s">
        <v>11404</v>
      </c>
      <c r="G7788" s="40" t="s">
        <v>11404</v>
      </c>
      <c r="H7788" s="40" t="s">
        <v>11404</v>
      </c>
    </row>
    <row r="7789">
      <c r="A7789" s="39"/>
      <c r="E7789" s="40" t="s">
        <v>11404</v>
      </c>
      <c r="F7789" s="40" t="s">
        <v>11404</v>
      </c>
      <c r="G7789" s="40" t="s">
        <v>11404</v>
      </c>
      <c r="H7789" s="40" t="s">
        <v>11404</v>
      </c>
    </row>
    <row r="7790">
      <c r="A7790" s="39"/>
      <c r="E7790" s="40" t="s">
        <v>11404</v>
      </c>
      <c r="F7790" s="40" t="s">
        <v>11404</v>
      </c>
      <c r="G7790" s="40" t="s">
        <v>11404</v>
      </c>
      <c r="H7790" s="40" t="s">
        <v>11404</v>
      </c>
    </row>
    <row r="7791">
      <c r="A7791" s="39"/>
      <c r="E7791" s="40" t="s">
        <v>11404</v>
      </c>
      <c r="F7791" s="40" t="s">
        <v>11404</v>
      </c>
      <c r="G7791" s="40" t="s">
        <v>11404</v>
      </c>
      <c r="H7791" s="40" t="s">
        <v>11404</v>
      </c>
    </row>
    <row r="7792">
      <c r="A7792" s="39"/>
      <c r="E7792" s="40" t="s">
        <v>11404</v>
      </c>
      <c r="F7792" s="40" t="s">
        <v>11404</v>
      </c>
      <c r="G7792" s="40" t="s">
        <v>11404</v>
      </c>
      <c r="H7792" s="40" t="s">
        <v>11404</v>
      </c>
    </row>
    <row r="7793">
      <c r="A7793" s="39"/>
      <c r="E7793" s="40" t="s">
        <v>11404</v>
      </c>
      <c r="F7793" s="40" t="s">
        <v>11404</v>
      </c>
      <c r="G7793" s="40" t="s">
        <v>11404</v>
      </c>
      <c r="H7793" s="40" t="s">
        <v>11404</v>
      </c>
    </row>
    <row r="7794">
      <c r="A7794" s="39"/>
      <c r="E7794" s="40" t="s">
        <v>11404</v>
      </c>
      <c r="F7794" s="40" t="s">
        <v>11404</v>
      </c>
      <c r="G7794" s="40" t="s">
        <v>11404</v>
      </c>
      <c r="H7794" s="40" t="s">
        <v>11404</v>
      </c>
    </row>
    <row r="7795">
      <c r="A7795" s="39"/>
      <c r="E7795" s="40" t="s">
        <v>11404</v>
      </c>
      <c r="F7795" s="40" t="s">
        <v>11404</v>
      </c>
      <c r="G7795" s="40" t="s">
        <v>11404</v>
      </c>
      <c r="H7795" s="40" t="s">
        <v>11404</v>
      </c>
    </row>
    <row r="7796">
      <c r="A7796" s="39"/>
      <c r="E7796" s="40" t="s">
        <v>11404</v>
      </c>
      <c r="F7796" s="40" t="s">
        <v>11404</v>
      </c>
      <c r="G7796" s="40" t="s">
        <v>11404</v>
      </c>
      <c r="H7796" s="40" t="s">
        <v>11404</v>
      </c>
    </row>
    <row r="7797">
      <c r="A7797" s="39"/>
      <c r="E7797" s="40" t="s">
        <v>11404</v>
      </c>
      <c r="F7797" s="40" t="s">
        <v>11404</v>
      </c>
      <c r="G7797" s="40" t="s">
        <v>11404</v>
      </c>
      <c r="H7797" s="40" t="s">
        <v>11404</v>
      </c>
    </row>
    <row r="7798">
      <c r="A7798" s="39"/>
      <c r="E7798" s="40" t="s">
        <v>11404</v>
      </c>
      <c r="F7798" s="40" t="s">
        <v>11404</v>
      </c>
      <c r="G7798" s="40" t="s">
        <v>11404</v>
      </c>
      <c r="H7798" s="40" t="s">
        <v>11404</v>
      </c>
    </row>
    <row r="7799">
      <c r="A7799" s="39"/>
      <c r="E7799" s="40" t="s">
        <v>11404</v>
      </c>
      <c r="F7799" s="40" t="s">
        <v>11404</v>
      </c>
      <c r="G7799" s="40" t="s">
        <v>11404</v>
      </c>
      <c r="H7799" s="40" t="s">
        <v>11404</v>
      </c>
    </row>
    <row r="7800">
      <c r="A7800" s="39"/>
      <c r="E7800" s="40" t="s">
        <v>11404</v>
      </c>
      <c r="F7800" s="40" t="s">
        <v>11404</v>
      </c>
      <c r="G7800" s="40" t="s">
        <v>11404</v>
      </c>
      <c r="H7800" s="40" t="s">
        <v>11404</v>
      </c>
    </row>
    <row r="7801">
      <c r="A7801" s="39"/>
      <c r="E7801" s="40" t="s">
        <v>11404</v>
      </c>
      <c r="F7801" s="40" t="s">
        <v>11404</v>
      </c>
      <c r="G7801" s="40" t="s">
        <v>11404</v>
      </c>
      <c r="H7801" s="40" t="s">
        <v>11404</v>
      </c>
    </row>
    <row r="7802">
      <c r="A7802" s="39"/>
      <c r="E7802" s="40" t="s">
        <v>11404</v>
      </c>
      <c r="F7802" s="40" t="s">
        <v>11404</v>
      </c>
      <c r="G7802" s="40" t="s">
        <v>11404</v>
      </c>
      <c r="H7802" s="40" t="s">
        <v>11404</v>
      </c>
    </row>
    <row r="7803">
      <c r="A7803" s="39"/>
      <c r="E7803" s="40" t="s">
        <v>11404</v>
      </c>
      <c r="F7803" s="40" t="s">
        <v>11404</v>
      </c>
      <c r="G7803" s="40" t="s">
        <v>11404</v>
      </c>
      <c r="H7803" s="40" t="s">
        <v>11404</v>
      </c>
    </row>
    <row r="7804">
      <c r="A7804" s="39"/>
      <c r="E7804" s="40" t="s">
        <v>11404</v>
      </c>
      <c r="F7804" s="40" t="s">
        <v>11404</v>
      </c>
      <c r="G7804" s="40" t="s">
        <v>11404</v>
      </c>
      <c r="H7804" s="40" t="s">
        <v>11404</v>
      </c>
    </row>
    <row r="7805">
      <c r="A7805" s="39"/>
      <c r="E7805" s="40" t="s">
        <v>11404</v>
      </c>
      <c r="F7805" s="40" t="s">
        <v>11404</v>
      </c>
      <c r="G7805" s="40" t="s">
        <v>11404</v>
      </c>
      <c r="H7805" s="40" t="s">
        <v>11404</v>
      </c>
    </row>
    <row r="7806">
      <c r="A7806" s="39"/>
      <c r="E7806" s="40" t="s">
        <v>11404</v>
      </c>
      <c r="F7806" s="40" t="s">
        <v>11404</v>
      </c>
      <c r="G7806" s="40" t="s">
        <v>11404</v>
      </c>
      <c r="H7806" s="40" t="s">
        <v>11404</v>
      </c>
    </row>
    <row r="7807">
      <c r="A7807" s="39"/>
      <c r="E7807" s="40" t="s">
        <v>11404</v>
      </c>
      <c r="F7807" s="40" t="s">
        <v>11404</v>
      </c>
      <c r="G7807" s="40" t="s">
        <v>11404</v>
      </c>
      <c r="H7807" s="40" t="s">
        <v>11404</v>
      </c>
    </row>
    <row r="7808">
      <c r="A7808" s="39"/>
      <c r="E7808" s="40" t="s">
        <v>11404</v>
      </c>
      <c r="F7808" s="40" t="s">
        <v>11404</v>
      </c>
      <c r="G7808" s="40" t="s">
        <v>11404</v>
      </c>
      <c r="H7808" s="40" t="s">
        <v>11404</v>
      </c>
    </row>
    <row r="7809">
      <c r="A7809" s="39"/>
      <c r="E7809" s="40" t="s">
        <v>11404</v>
      </c>
      <c r="F7809" s="40" t="s">
        <v>11404</v>
      </c>
      <c r="G7809" s="40" t="s">
        <v>11404</v>
      </c>
      <c r="H7809" s="40" t="s">
        <v>11404</v>
      </c>
    </row>
    <row r="7810">
      <c r="A7810" s="39"/>
      <c r="E7810" s="40" t="s">
        <v>11404</v>
      </c>
      <c r="F7810" s="40" t="s">
        <v>11404</v>
      </c>
      <c r="G7810" s="40" t="s">
        <v>11404</v>
      </c>
      <c r="H7810" s="40" t="s">
        <v>11404</v>
      </c>
    </row>
    <row r="7811">
      <c r="A7811" s="39"/>
      <c r="E7811" s="40" t="s">
        <v>11404</v>
      </c>
      <c r="F7811" s="40" t="s">
        <v>11404</v>
      </c>
      <c r="G7811" s="40" t="s">
        <v>11404</v>
      </c>
      <c r="H7811" s="40" t="s">
        <v>11404</v>
      </c>
    </row>
    <row r="7812">
      <c r="A7812" s="39"/>
      <c r="E7812" s="40" t="s">
        <v>11404</v>
      </c>
      <c r="F7812" s="40" t="s">
        <v>11404</v>
      </c>
      <c r="G7812" s="40" t="s">
        <v>11404</v>
      </c>
      <c r="H7812" s="40" t="s">
        <v>11404</v>
      </c>
    </row>
    <row r="7813">
      <c r="A7813" s="39"/>
      <c r="E7813" s="40" t="s">
        <v>11404</v>
      </c>
      <c r="F7813" s="40" t="s">
        <v>11404</v>
      </c>
      <c r="G7813" s="40" t="s">
        <v>11404</v>
      </c>
      <c r="H7813" s="40" t="s">
        <v>11404</v>
      </c>
    </row>
    <row r="7814">
      <c r="A7814" s="39"/>
      <c r="E7814" s="40" t="s">
        <v>11404</v>
      </c>
      <c r="F7814" s="40" t="s">
        <v>11404</v>
      </c>
      <c r="G7814" s="40" t="s">
        <v>11404</v>
      </c>
      <c r="H7814" s="40" t="s">
        <v>11404</v>
      </c>
    </row>
    <row r="7815">
      <c r="A7815" s="39"/>
      <c r="E7815" s="40" t="s">
        <v>11404</v>
      </c>
      <c r="F7815" s="40" t="s">
        <v>11404</v>
      </c>
      <c r="G7815" s="40" t="s">
        <v>11404</v>
      </c>
      <c r="H7815" s="40" t="s">
        <v>11404</v>
      </c>
    </row>
    <row r="7816">
      <c r="A7816" s="39"/>
      <c r="E7816" s="40" t="s">
        <v>11404</v>
      </c>
      <c r="F7816" s="40" t="s">
        <v>11404</v>
      </c>
      <c r="G7816" s="40" t="s">
        <v>11404</v>
      </c>
      <c r="H7816" s="40" t="s">
        <v>11404</v>
      </c>
    </row>
    <row r="7817">
      <c r="A7817" s="39"/>
      <c r="E7817" s="40" t="s">
        <v>11404</v>
      </c>
      <c r="F7817" s="40" t="s">
        <v>11404</v>
      </c>
      <c r="G7817" s="40" t="s">
        <v>11404</v>
      </c>
      <c r="H7817" s="40" t="s">
        <v>11404</v>
      </c>
    </row>
    <row r="7818">
      <c r="A7818" s="39"/>
      <c r="E7818" s="40" t="s">
        <v>11404</v>
      </c>
      <c r="F7818" s="40" t="s">
        <v>11404</v>
      </c>
      <c r="G7818" s="40" t="s">
        <v>11404</v>
      </c>
      <c r="H7818" s="40" t="s">
        <v>11404</v>
      </c>
    </row>
    <row r="7819">
      <c r="A7819" s="39"/>
      <c r="E7819" s="40" t="s">
        <v>11404</v>
      </c>
      <c r="F7819" s="40" t="s">
        <v>11404</v>
      </c>
      <c r="G7819" s="40" t="s">
        <v>11404</v>
      </c>
      <c r="H7819" s="40" t="s">
        <v>11404</v>
      </c>
    </row>
    <row r="7820">
      <c r="A7820" s="39"/>
      <c r="E7820" s="40" t="s">
        <v>11404</v>
      </c>
      <c r="F7820" s="40" t="s">
        <v>11404</v>
      </c>
      <c r="G7820" s="40" t="s">
        <v>11404</v>
      </c>
      <c r="H7820" s="40" t="s">
        <v>11404</v>
      </c>
    </row>
    <row r="7821">
      <c r="A7821" s="39"/>
      <c r="E7821" s="40" t="s">
        <v>11404</v>
      </c>
      <c r="F7821" s="40" t="s">
        <v>11404</v>
      </c>
      <c r="G7821" s="40" t="s">
        <v>11404</v>
      </c>
      <c r="H7821" s="40" t="s">
        <v>11404</v>
      </c>
    </row>
    <row r="7822">
      <c r="A7822" s="39"/>
      <c r="E7822" s="40" t="s">
        <v>11404</v>
      </c>
      <c r="F7822" s="40" t="s">
        <v>11404</v>
      </c>
      <c r="G7822" s="40" t="s">
        <v>11404</v>
      </c>
      <c r="H7822" s="40" t="s">
        <v>11404</v>
      </c>
    </row>
    <row r="7823">
      <c r="A7823" s="39"/>
      <c r="E7823" s="40" t="s">
        <v>11404</v>
      </c>
      <c r="F7823" s="40" t="s">
        <v>11404</v>
      </c>
      <c r="G7823" s="40" t="s">
        <v>11404</v>
      </c>
      <c r="H7823" s="40" t="s">
        <v>11404</v>
      </c>
    </row>
    <row r="7824">
      <c r="A7824" s="39"/>
      <c r="E7824" s="40" t="s">
        <v>11404</v>
      </c>
      <c r="F7824" s="40" t="s">
        <v>11404</v>
      </c>
      <c r="G7824" s="40" t="s">
        <v>11404</v>
      </c>
      <c r="H7824" s="40" t="s">
        <v>11404</v>
      </c>
    </row>
    <row r="7825">
      <c r="A7825" s="39"/>
      <c r="E7825" s="40" t="s">
        <v>11404</v>
      </c>
      <c r="F7825" s="40" t="s">
        <v>11404</v>
      </c>
      <c r="G7825" s="40" t="s">
        <v>11404</v>
      </c>
      <c r="H7825" s="40" t="s">
        <v>11404</v>
      </c>
    </row>
    <row r="7826">
      <c r="A7826" s="39"/>
      <c r="E7826" s="40" t="s">
        <v>11404</v>
      </c>
      <c r="F7826" s="40" t="s">
        <v>11404</v>
      </c>
      <c r="G7826" s="40" t="s">
        <v>11404</v>
      </c>
      <c r="H7826" s="40" t="s">
        <v>11404</v>
      </c>
    </row>
    <row r="7827">
      <c r="A7827" s="39"/>
      <c r="E7827" s="40" t="s">
        <v>11404</v>
      </c>
      <c r="F7827" s="40" t="s">
        <v>11404</v>
      </c>
      <c r="G7827" s="40" t="s">
        <v>11404</v>
      </c>
      <c r="H7827" s="40" t="s">
        <v>11404</v>
      </c>
    </row>
    <row r="7828">
      <c r="A7828" s="39"/>
      <c r="E7828" s="40" t="s">
        <v>11404</v>
      </c>
      <c r="F7828" s="40" t="s">
        <v>11404</v>
      </c>
      <c r="G7828" s="40" t="s">
        <v>11404</v>
      </c>
      <c r="H7828" s="40" t="s">
        <v>11404</v>
      </c>
    </row>
    <row r="7829">
      <c r="A7829" s="39"/>
      <c r="E7829" s="40" t="s">
        <v>11404</v>
      </c>
      <c r="F7829" s="40" t="s">
        <v>11404</v>
      </c>
      <c r="G7829" s="40" t="s">
        <v>11404</v>
      </c>
      <c r="H7829" s="40" t="s">
        <v>11404</v>
      </c>
    </row>
    <row r="7830">
      <c r="A7830" s="39"/>
      <c r="E7830" s="40" t="s">
        <v>11404</v>
      </c>
      <c r="F7830" s="40" t="s">
        <v>11404</v>
      </c>
      <c r="G7830" s="40" t="s">
        <v>11404</v>
      </c>
      <c r="H7830" s="40" t="s">
        <v>11404</v>
      </c>
    </row>
    <row r="7831">
      <c r="A7831" s="39"/>
      <c r="E7831" s="40" t="s">
        <v>11404</v>
      </c>
      <c r="F7831" s="40" t="s">
        <v>11404</v>
      </c>
      <c r="G7831" s="40" t="s">
        <v>11404</v>
      </c>
      <c r="H7831" s="40" t="s">
        <v>11404</v>
      </c>
    </row>
    <row r="7832">
      <c r="A7832" s="39"/>
      <c r="E7832" s="40" t="s">
        <v>11404</v>
      </c>
      <c r="F7832" s="40" t="s">
        <v>11404</v>
      </c>
      <c r="G7832" s="40" t="s">
        <v>11404</v>
      </c>
      <c r="H7832" s="40" t="s">
        <v>11404</v>
      </c>
    </row>
    <row r="7833">
      <c r="A7833" s="39"/>
      <c r="E7833" s="40" t="s">
        <v>11404</v>
      </c>
      <c r="F7833" s="40" t="s">
        <v>11404</v>
      </c>
      <c r="G7833" s="40" t="s">
        <v>11404</v>
      </c>
      <c r="H7833" s="40" t="s">
        <v>11404</v>
      </c>
    </row>
    <row r="7834">
      <c r="A7834" s="39"/>
      <c r="E7834" s="40" t="s">
        <v>11404</v>
      </c>
      <c r="F7834" s="40" t="s">
        <v>11404</v>
      </c>
      <c r="G7834" s="40" t="s">
        <v>11404</v>
      </c>
      <c r="H7834" s="40" t="s">
        <v>11404</v>
      </c>
    </row>
    <row r="7835">
      <c r="A7835" s="39"/>
      <c r="E7835" s="40" t="s">
        <v>11404</v>
      </c>
      <c r="F7835" s="40" t="s">
        <v>11404</v>
      </c>
      <c r="G7835" s="40" t="s">
        <v>11404</v>
      </c>
      <c r="H7835" s="40" t="s">
        <v>11404</v>
      </c>
    </row>
    <row r="7836">
      <c r="A7836" s="39"/>
      <c r="E7836" s="40" t="s">
        <v>11404</v>
      </c>
      <c r="F7836" s="40" t="s">
        <v>11404</v>
      </c>
      <c r="G7836" s="40" t="s">
        <v>11404</v>
      </c>
      <c r="H7836" s="40" t="s">
        <v>11404</v>
      </c>
    </row>
    <row r="7837">
      <c r="A7837" s="39"/>
      <c r="E7837" s="40" t="s">
        <v>11404</v>
      </c>
      <c r="F7837" s="40" t="s">
        <v>11404</v>
      </c>
      <c r="G7837" s="40" t="s">
        <v>11404</v>
      </c>
      <c r="H7837" s="40" t="s">
        <v>11404</v>
      </c>
    </row>
    <row r="7838">
      <c r="A7838" s="39"/>
      <c r="E7838" s="40" t="s">
        <v>11404</v>
      </c>
      <c r="F7838" s="40" t="s">
        <v>11404</v>
      </c>
      <c r="G7838" s="40" t="s">
        <v>11404</v>
      </c>
      <c r="H7838" s="40" t="s">
        <v>11404</v>
      </c>
    </row>
    <row r="7839">
      <c r="A7839" s="39"/>
      <c r="E7839" s="40" t="s">
        <v>11404</v>
      </c>
      <c r="F7839" s="40" t="s">
        <v>11404</v>
      </c>
      <c r="G7839" s="40" t="s">
        <v>11404</v>
      </c>
      <c r="H7839" s="40" t="s">
        <v>11404</v>
      </c>
    </row>
    <row r="7840">
      <c r="A7840" s="39"/>
      <c r="E7840" s="40" t="s">
        <v>11404</v>
      </c>
      <c r="F7840" s="40" t="s">
        <v>11404</v>
      </c>
      <c r="G7840" s="40" t="s">
        <v>11404</v>
      </c>
      <c r="H7840" s="40" t="s">
        <v>11404</v>
      </c>
    </row>
    <row r="7841">
      <c r="A7841" s="39"/>
      <c r="E7841" s="40" t="s">
        <v>11404</v>
      </c>
      <c r="F7841" s="40" t="s">
        <v>11404</v>
      </c>
      <c r="G7841" s="40" t="s">
        <v>11404</v>
      </c>
      <c r="H7841" s="40" t="s">
        <v>11404</v>
      </c>
    </row>
    <row r="7842">
      <c r="A7842" s="39"/>
      <c r="E7842" s="40" t="s">
        <v>11404</v>
      </c>
      <c r="F7842" s="40" t="s">
        <v>11404</v>
      </c>
      <c r="G7842" s="40" t="s">
        <v>11404</v>
      </c>
      <c r="H7842" s="40" t="s">
        <v>11404</v>
      </c>
    </row>
    <row r="7843">
      <c r="A7843" s="39"/>
      <c r="E7843" s="40" t="s">
        <v>11404</v>
      </c>
      <c r="F7843" s="40" t="s">
        <v>11404</v>
      </c>
      <c r="G7843" s="40" t="s">
        <v>11404</v>
      </c>
      <c r="H7843" s="40" t="s">
        <v>11404</v>
      </c>
    </row>
    <row r="7844">
      <c r="A7844" s="39"/>
      <c r="E7844" s="40" t="s">
        <v>11404</v>
      </c>
      <c r="F7844" s="40" t="s">
        <v>11404</v>
      </c>
      <c r="G7844" s="40" t="s">
        <v>11404</v>
      </c>
      <c r="H7844" s="40" t="s">
        <v>11404</v>
      </c>
    </row>
    <row r="7845">
      <c r="A7845" s="39"/>
      <c r="E7845" s="40" t="s">
        <v>11404</v>
      </c>
      <c r="F7845" s="40" t="s">
        <v>11404</v>
      </c>
      <c r="G7845" s="40" t="s">
        <v>11404</v>
      </c>
      <c r="H7845" s="40" t="s">
        <v>11404</v>
      </c>
    </row>
    <row r="7846">
      <c r="A7846" s="39"/>
      <c r="E7846" s="40" t="s">
        <v>11404</v>
      </c>
      <c r="F7846" s="40" t="s">
        <v>11404</v>
      </c>
      <c r="G7846" s="40" t="s">
        <v>11404</v>
      </c>
      <c r="H7846" s="40" t="s">
        <v>11404</v>
      </c>
    </row>
    <row r="7847">
      <c r="A7847" s="39"/>
      <c r="E7847" s="40" t="s">
        <v>11404</v>
      </c>
      <c r="F7847" s="40" t="s">
        <v>11404</v>
      </c>
      <c r="G7847" s="40" t="s">
        <v>11404</v>
      </c>
      <c r="H7847" s="40" t="s">
        <v>11404</v>
      </c>
    </row>
    <row r="7848">
      <c r="A7848" s="39"/>
      <c r="E7848" s="40" t="s">
        <v>11404</v>
      </c>
      <c r="F7848" s="40" t="s">
        <v>11404</v>
      </c>
      <c r="G7848" s="40" t="s">
        <v>11404</v>
      </c>
      <c r="H7848" s="40" t="s">
        <v>11404</v>
      </c>
    </row>
    <row r="7849">
      <c r="A7849" s="39"/>
      <c r="E7849" s="40" t="s">
        <v>11404</v>
      </c>
      <c r="F7849" s="40" t="s">
        <v>11404</v>
      </c>
      <c r="G7849" s="40" t="s">
        <v>11404</v>
      </c>
      <c r="H7849" s="40" t="s">
        <v>11404</v>
      </c>
    </row>
    <row r="7850">
      <c r="A7850" s="39"/>
      <c r="E7850" s="40" t="s">
        <v>11404</v>
      </c>
      <c r="F7850" s="40" t="s">
        <v>11404</v>
      </c>
      <c r="G7850" s="40" t="s">
        <v>11404</v>
      </c>
      <c r="H7850" s="40" t="s">
        <v>11404</v>
      </c>
    </row>
    <row r="7851">
      <c r="A7851" s="39"/>
      <c r="E7851" s="40" t="s">
        <v>11404</v>
      </c>
      <c r="F7851" s="40" t="s">
        <v>11404</v>
      </c>
      <c r="G7851" s="40" t="s">
        <v>11404</v>
      </c>
      <c r="H7851" s="40" t="s">
        <v>11404</v>
      </c>
    </row>
    <row r="7852">
      <c r="A7852" s="39"/>
      <c r="E7852" s="40" t="s">
        <v>11404</v>
      </c>
      <c r="F7852" s="40" t="s">
        <v>11404</v>
      </c>
      <c r="G7852" s="40" t="s">
        <v>11404</v>
      </c>
      <c r="H7852" s="40" t="s">
        <v>11404</v>
      </c>
    </row>
    <row r="7853">
      <c r="A7853" s="39"/>
      <c r="E7853" s="40" t="s">
        <v>11404</v>
      </c>
      <c r="F7853" s="40" t="s">
        <v>11404</v>
      </c>
      <c r="G7853" s="40" t="s">
        <v>11404</v>
      </c>
      <c r="H7853" s="40" t="s">
        <v>11404</v>
      </c>
    </row>
    <row r="7854">
      <c r="A7854" s="39"/>
      <c r="E7854" s="40" t="s">
        <v>11404</v>
      </c>
      <c r="F7854" s="40" t="s">
        <v>11404</v>
      </c>
      <c r="G7854" s="40" t="s">
        <v>11404</v>
      </c>
      <c r="H7854" s="40" t="s">
        <v>11404</v>
      </c>
    </row>
    <row r="7855">
      <c r="A7855" s="39"/>
      <c r="E7855" s="40" t="s">
        <v>11404</v>
      </c>
      <c r="F7855" s="40" t="s">
        <v>11404</v>
      </c>
      <c r="G7855" s="40" t="s">
        <v>11404</v>
      </c>
      <c r="H7855" s="40" t="s">
        <v>11404</v>
      </c>
    </row>
    <row r="7856">
      <c r="A7856" s="39"/>
      <c r="E7856" s="40" t="s">
        <v>11404</v>
      </c>
      <c r="F7856" s="40" t="s">
        <v>11404</v>
      </c>
      <c r="G7856" s="40" t="s">
        <v>11404</v>
      </c>
      <c r="H7856" s="40" t="s">
        <v>11404</v>
      </c>
    </row>
    <row r="7857">
      <c r="A7857" s="39"/>
      <c r="E7857" s="40" t="s">
        <v>11404</v>
      </c>
      <c r="F7857" s="40" t="s">
        <v>11404</v>
      </c>
      <c r="G7857" s="40" t="s">
        <v>11404</v>
      </c>
      <c r="H7857" s="40" t="s">
        <v>11404</v>
      </c>
    </row>
    <row r="7858">
      <c r="A7858" s="39"/>
      <c r="E7858" s="40" t="s">
        <v>11404</v>
      </c>
      <c r="F7858" s="40" t="s">
        <v>11404</v>
      </c>
      <c r="G7858" s="40" t="s">
        <v>11404</v>
      </c>
      <c r="H7858" s="40" t="s">
        <v>11404</v>
      </c>
    </row>
    <row r="7859">
      <c r="A7859" s="39"/>
      <c r="E7859" s="40" t="s">
        <v>11404</v>
      </c>
      <c r="F7859" s="40" t="s">
        <v>11404</v>
      </c>
      <c r="G7859" s="40" t="s">
        <v>11404</v>
      </c>
      <c r="H7859" s="40" t="s">
        <v>11404</v>
      </c>
    </row>
    <row r="7860">
      <c r="A7860" s="39"/>
      <c r="E7860" s="40" t="s">
        <v>11404</v>
      </c>
      <c r="F7860" s="40" t="s">
        <v>11404</v>
      </c>
      <c r="G7860" s="40" t="s">
        <v>11404</v>
      </c>
      <c r="H7860" s="40" t="s">
        <v>11404</v>
      </c>
    </row>
    <row r="7861">
      <c r="A7861" s="39"/>
      <c r="E7861" s="40" t="s">
        <v>11404</v>
      </c>
      <c r="F7861" s="40" t="s">
        <v>11404</v>
      </c>
      <c r="G7861" s="40" t="s">
        <v>11404</v>
      </c>
      <c r="H7861" s="40" t="s">
        <v>11404</v>
      </c>
    </row>
    <row r="7862">
      <c r="A7862" s="39"/>
      <c r="E7862" s="40" t="s">
        <v>11404</v>
      </c>
      <c r="F7862" s="40" t="s">
        <v>11404</v>
      </c>
      <c r="G7862" s="40" t="s">
        <v>11404</v>
      </c>
      <c r="H7862" s="40" t="s">
        <v>11404</v>
      </c>
    </row>
    <row r="7863">
      <c r="A7863" s="39"/>
      <c r="E7863" s="40" t="s">
        <v>11404</v>
      </c>
      <c r="F7863" s="40" t="s">
        <v>11404</v>
      </c>
      <c r="G7863" s="40" t="s">
        <v>11404</v>
      </c>
      <c r="H7863" s="40" t="s">
        <v>11404</v>
      </c>
    </row>
    <row r="7864">
      <c r="A7864" s="39"/>
      <c r="E7864" s="40" t="s">
        <v>11404</v>
      </c>
      <c r="F7864" s="40" t="s">
        <v>11404</v>
      </c>
      <c r="G7864" s="40" t="s">
        <v>11404</v>
      </c>
      <c r="H7864" s="40" t="s">
        <v>11404</v>
      </c>
    </row>
    <row r="7865">
      <c r="A7865" s="39"/>
      <c r="E7865" s="40" t="s">
        <v>11404</v>
      </c>
      <c r="F7865" s="40" t="s">
        <v>11404</v>
      </c>
      <c r="G7865" s="40" t="s">
        <v>11404</v>
      </c>
      <c r="H7865" s="40" t="s">
        <v>11404</v>
      </c>
    </row>
    <row r="7866">
      <c r="A7866" s="39"/>
      <c r="E7866" s="40" t="s">
        <v>11404</v>
      </c>
      <c r="F7866" s="40" t="s">
        <v>11404</v>
      </c>
      <c r="G7866" s="40" t="s">
        <v>11404</v>
      </c>
      <c r="H7866" s="40" t="s">
        <v>11404</v>
      </c>
    </row>
    <row r="7867">
      <c r="A7867" s="39"/>
      <c r="E7867" s="40" t="s">
        <v>11404</v>
      </c>
      <c r="F7867" s="40" t="s">
        <v>11404</v>
      </c>
      <c r="G7867" s="40" t="s">
        <v>11404</v>
      </c>
      <c r="H7867" s="40" t="s">
        <v>11404</v>
      </c>
    </row>
    <row r="7868">
      <c r="A7868" s="39"/>
      <c r="E7868" s="40" t="s">
        <v>11404</v>
      </c>
      <c r="F7868" s="40" t="s">
        <v>11404</v>
      </c>
      <c r="G7868" s="40" t="s">
        <v>11404</v>
      </c>
      <c r="H7868" s="40" t="s">
        <v>11404</v>
      </c>
    </row>
    <row r="7869">
      <c r="A7869" s="39"/>
      <c r="E7869" s="40" t="s">
        <v>11404</v>
      </c>
      <c r="F7869" s="40" t="s">
        <v>11404</v>
      </c>
      <c r="G7869" s="40" t="s">
        <v>11404</v>
      </c>
      <c r="H7869" s="40" t="s">
        <v>11404</v>
      </c>
    </row>
    <row r="7870">
      <c r="A7870" s="39"/>
      <c r="E7870" s="40" t="s">
        <v>11404</v>
      </c>
      <c r="F7870" s="40" t="s">
        <v>11404</v>
      </c>
      <c r="G7870" s="40" t="s">
        <v>11404</v>
      </c>
      <c r="H7870" s="40" t="s">
        <v>11404</v>
      </c>
    </row>
    <row r="7871">
      <c r="A7871" s="39"/>
      <c r="E7871" s="40" t="s">
        <v>11404</v>
      </c>
      <c r="F7871" s="40" t="s">
        <v>11404</v>
      </c>
      <c r="G7871" s="40" t="s">
        <v>11404</v>
      </c>
      <c r="H7871" s="40" t="s">
        <v>11404</v>
      </c>
    </row>
    <row r="7872">
      <c r="A7872" s="39"/>
      <c r="E7872" s="40" t="s">
        <v>11404</v>
      </c>
      <c r="F7872" s="40" t="s">
        <v>11404</v>
      </c>
      <c r="G7872" s="40" t="s">
        <v>11404</v>
      </c>
      <c r="H7872" s="40" t="s">
        <v>11404</v>
      </c>
    </row>
    <row r="7873">
      <c r="A7873" s="39"/>
      <c r="E7873" s="40" t="s">
        <v>11404</v>
      </c>
      <c r="F7873" s="40" t="s">
        <v>11404</v>
      </c>
      <c r="G7873" s="40" t="s">
        <v>11404</v>
      </c>
      <c r="H7873" s="40" t="s">
        <v>11404</v>
      </c>
    </row>
    <row r="7874">
      <c r="A7874" s="39"/>
      <c r="E7874" s="40" t="s">
        <v>11404</v>
      </c>
      <c r="F7874" s="40" t="s">
        <v>11404</v>
      </c>
      <c r="G7874" s="40" t="s">
        <v>11404</v>
      </c>
      <c r="H7874" s="40" t="s">
        <v>11404</v>
      </c>
    </row>
    <row r="7875">
      <c r="A7875" s="39"/>
      <c r="E7875" s="40" t="s">
        <v>11404</v>
      </c>
      <c r="F7875" s="40" t="s">
        <v>11404</v>
      </c>
      <c r="G7875" s="40" t="s">
        <v>11404</v>
      </c>
      <c r="H7875" s="40" t="s">
        <v>11404</v>
      </c>
    </row>
    <row r="7876">
      <c r="A7876" s="39"/>
      <c r="E7876" s="40" t="s">
        <v>11404</v>
      </c>
      <c r="F7876" s="40" t="s">
        <v>11404</v>
      </c>
      <c r="G7876" s="40" t="s">
        <v>11404</v>
      </c>
      <c r="H7876" s="40" t="s">
        <v>11404</v>
      </c>
    </row>
    <row r="7877">
      <c r="A7877" s="39"/>
      <c r="E7877" s="40" t="s">
        <v>11404</v>
      </c>
      <c r="F7877" s="40" t="s">
        <v>11404</v>
      </c>
      <c r="G7877" s="40" t="s">
        <v>11404</v>
      </c>
      <c r="H7877" s="40" t="s">
        <v>11404</v>
      </c>
    </row>
    <row r="7878">
      <c r="A7878" s="39"/>
      <c r="E7878" s="40" t="s">
        <v>11404</v>
      </c>
      <c r="F7878" s="40" t="s">
        <v>11404</v>
      </c>
      <c r="G7878" s="40" t="s">
        <v>11404</v>
      </c>
      <c r="H7878" s="40" t="s">
        <v>11404</v>
      </c>
    </row>
    <row r="7879">
      <c r="A7879" s="39"/>
      <c r="E7879" s="40" t="s">
        <v>11404</v>
      </c>
      <c r="F7879" s="40" t="s">
        <v>11404</v>
      </c>
      <c r="G7879" s="40" t="s">
        <v>11404</v>
      </c>
      <c r="H7879" s="40" t="s">
        <v>11404</v>
      </c>
    </row>
    <row r="7880">
      <c r="A7880" s="39"/>
      <c r="E7880" s="40" t="s">
        <v>11404</v>
      </c>
      <c r="F7880" s="40" t="s">
        <v>11404</v>
      </c>
      <c r="G7880" s="40" t="s">
        <v>11404</v>
      </c>
      <c r="H7880" s="40" t="s">
        <v>11404</v>
      </c>
    </row>
    <row r="7881">
      <c r="A7881" s="39"/>
      <c r="E7881" s="40" t="s">
        <v>11404</v>
      </c>
      <c r="F7881" s="40" t="s">
        <v>11404</v>
      </c>
      <c r="G7881" s="40" t="s">
        <v>11404</v>
      </c>
      <c r="H7881" s="40" t="s">
        <v>11404</v>
      </c>
    </row>
    <row r="7882">
      <c r="A7882" s="39"/>
      <c r="E7882" s="40" t="s">
        <v>11404</v>
      </c>
      <c r="F7882" s="40" t="s">
        <v>11404</v>
      </c>
      <c r="G7882" s="40" t="s">
        <v>11404</v>
      </c>
      <c r="H7882" s="40" t="s">
        <v>11404</v>
      </c>
    </row>
    <row r="7883">
      <c r="A7883" s="39"/>
      <c r="E7883" s="40" t="s">
        <v>11404</v>
      </c>
      <c r="F7883" s="40" t="s">
        <v>11404</v>
      </c>
      <c r="G7883" s="40" t="s">
        <v>11404</v>
      </c>
      <c r="H7883" s="40" t="s">
        <v>11404</v>
      </c>
    </row>
    <row r="7884">
      <c r="A7884" s="39"/>
      <c r="E7884" s="40" t="s">
        <v>11404</v>
      </c>
      <c r="F7884" s="40" t="s">
        <v>11404</v>
      </c>
      <c r="G7884" s="40" t="s">
        <v>11404</v>
      </c>
      <c r="H7884" s="40" t="s">
        <v>11404</v>
      </c>
    </row>
    <row r="7885">
      <c r="A7885" s="39"/>
      <c r="E7885" s="40" t="s">
        <v>11404</v>
      </c>
      <c r="F7885" s="40" t="s">
        <v>11404</v>
      </c>
      <c r="G7885" s="40" t="s">
        <v>11404</v>
      </c>
      <c r="H7885" s="40" t="s">
        <v>11404</v>
      </c>
    </row>
    <row r="7886">
      <c r="A7886" s="39"/>
      <c r="E7886" s="40" t="s">
        <v>11404</v>
      </c>
      <c r="F7886" s="40" t="s">
        <v>11404</v>
      </c>
      <c r="G7886" s="40" t="s">
        <v>11404</v>
      </c>
      <c r="H7886" s="40" t="s">
        <v>11404</v>
      </c>
    </row>
    <row r="7887">
      <c r="A7887" s="39"/>
      <c r="E7887" s="40" t="s">
        <v>11404</v>
      </c>
      <c r="F7887" s="40" t="s">
        <v>11404</v>
      </c>
      <c r="G7887" s="40" t="s">
        <v>11404</v>
      </c>
      <c r="H7887" s="40" t="s">
        <v>11404</v>
      </c>
    </row>
    <row r="7888">
      <c r="A7888" s="39"/>
      <c r="E7888" s="40" t="s">
        <v>11404</v>
      </c>
      <c r="F7888" s="40" t="s">
        <v>11404</v>
      </c>
      <c r="G7888" s="40" t="s">
        <v>11404</v>
      </c>
      <c r="H7888" s="40" t="s">
        <v>11404</v>
      </c>
    </row>
    <row r="7889">
      <c r="A7889" s="39"/>
      <c r="E7889" s="40" t="s">
        <v>11404</v>
      </c>
      <c r="F7889" s="40" t="s">
        <v>11404</v>
      </c>
      <c r="G7889" s="40" t="s">
        <v>11404</v>
      </c>
      <c r="H7889" s="40" t="s">
        <v>11404</v>
      </c>
    </row>
    <row r="7890">
      <c r="A7890" s="39"/>
      <c r="E7890" s="40" t="s">
        <v>11404</v>
      </c>
      <c r="F7890" s="40" t="s">
        <v>11404</v>
      </c>
      <c r="G7890" s="40" t="s">
        <v>11404</v>
      </c>
      <c r="H7890" s="40" t="s">
        <v>11404</v>
      </c>
    </row>
    <row r="7891">
      <c r="A7891" s="39"/>
      <c r="E7891" s="40" t="s">
        <v>11404</v>
      </c>
      <c r="F7891" s="40" t="s">
        <v>11404</v>
      </c>
      <c r="G7891" s="40" t="s">
        <v>11404</v>
      </c>
      <c r="H7891" s="40" t="s">
        <v>11404</v>
      </c>
    </row>
    <row r="7892">
      <c r="A7892" s="39"/>
      <c r="E7892" s="40" t="s">
        <v>11404</v>
      </c>
      <c r="F7892" s="40" t="s">
        <v>11404</v>
      </c>
      <c r="G7892" s="40" t="s">
        <v>11404</v>
      </c>
      <c r="H7892" s="40" t="s">
        <v>11404</v>
      </c>
    </row>
    <row r="7893">
      <c r="A7893" s="39"/>
      <c r="E7893" s="40" t="s">
        <v>11404</v>
      </c>
      <c r="F7893" s="40" t="s">
        <v>11404</v>
      </c>
      <c r="G7893" s="40" t="s">
        <v>11404</v>
      </c>
      <c r="H7893" s="40" t="s">
        <v>11404</v>
      </c>
    </row>
    <row r="7894">
      <c r="A7894" s="39"/>
      <c r="E7894" s="40" t="s">
        <v>11404</v>
      </c>
      <c r="F7894" s="40" t="s">
        <v>11404</v>
      </c>
      <c r="G7894" s="40" t="s">
        <v>11404</v>
      </c>
      <c r="H7894" s="40" t="s">
        <v>11404</v>
      </c>
    </row>
    <row r="7895">
      <c r="A7895" s="39"/>
      <c r="E7895" s="40" t="s">
        <v>11404</v>
      </c>
      <c r="F7895" s="40" t="s">
        <v>11404</v>
      </c>
      <c r="G7895" s="40" t="s">
        <v>11404</v>
      </c>
      <c r="H7895" s="40" t="s">
        <v>11404</v>
      </c>
    </row>
    <row r="7896">
      <c r="A7896" s="39"/>
      <c r="E7896" s="40" t="s">
        <v>11404</v>
      </c>
      <c r="F7896" s="40" t="s">
        <v>11404</v>
      </c>
      <c r="G7896" s="40" t="s">
        <v>11404</v>
      </c>
      <c r="H7896" s="40" t="s">
        <v>11404</v>
      </c>
    </row>
    <row r="7897">
      <c r="A7897" s="39"/>
      <c r="E7897" s="40" t="s">
        <v>11404</v>
      </c>
      <c r="F7897" s="40" t="s">
        <v>11404</v>
      </c>
      <c r="G7897" s="40" t="s">
        <v>11404</v>
      </c>
      <c r="H7897" s="40" t="s">
        <v>11404</v>
      </c>
    </row>
    <row r="7898">
      <c r="A7898" s="39"/>
      <c r="E7898" s="40" t="s">
        <v>11404</v>
      </c>
      <c r="F7898" s="40" t="s">
        <v>11404</v>
      </c>
      <c r="G7898" s="40" t="s">
        <v>11404</v>
      </c>
      <c r="H7898" s="40" t="s">
        <v>11404</v>
      </c>
    </row>
    <row r="7899">
      <c r="A7899" s="39"/>
      <c r="E7899" s="40" t="s">
        <v>11404</v>
      </c>
      <c r="F7899" s="40" t="s">
        <v>11404</v>
      </c>
      <c r="G7899" s="40" t="s">
        <v>11404</v>
      </c>
      <c r="H7899" s="40" t="s">
        <v>11404</v>
      </c>
    </row>
    <row r="7900">
      <c r="A7900" s="39"/>
      <c r="E7900" s="40" t="s">
        <v>11404</v>
      </c>
      <c r="F7900" s="40" t="s">
        <v>11404</v>
      </c>
      <c r="G7900" s="40" t="s">
        <v>11404</v>
      </c>
      <c r="H7900" s="40" t="s">
        <v>11404</v>
      </c>
    </row>
    <row r="7901">
      <c r="A7901" s="39"/>
      <c r="E7901" s="40" t="s">
        <v>11404</v>
      </c>
      <c r="F7901" s="40" t="s">
        <v>11404</v>
      </c>
      <c r="G7901" s="40" t="s">
        <v>11404</v>
      </c>
      <c r="H7901" s="40" t="s">
        <v>11404</v>
      </c>
    </row>
    <row r="7902">
      <c r="A7902" s="39"/>
      <c r="E7902" s="40" t="s">
        <v>11404</v>
      </c>
      <c r="F7902" s="40" t="s">
        <v>11404</v>
      </c>
      <c r="G7902" s="40" t="s">
        <v>11404</v>
      </c>
      <c r="H7902" s="40" t="s">
        <v>11404</v>
      </c>
    </row>
    <row r="7903">
      <c r="A7903" s="39"/>
      <c r="E7903" s="40" t="s">
        <v>11404</v>
      </c>
      <c r="F7903" s="40" t="s">
        <v>11404</v>
      </c>
      <c r="G7903" s="40" t="s">
        <v>11404</v>
      </c>
      <c r="H7903" s="40" t="s">
        <v>11404</v>
      </c>
    </row>
    <row r="7904">
      <c r="A7904" s="39"/>
      <c r="E7904" s="40" t="s">
        <v>11404</v>
      </c>
      <c r="F7904" s="40" t="s">
        <v>11404</v>
      </c>
      <c r="G7904" s="40" t="s">
        <v>11404</v>
      </c>
      <c r="H7904" s="40" t="s">
        <v>11404</v>
      </c>
    </row>
    <row r="7905">
      <c r="A7905" s="39"/>
      <c r="E7905" s="40" t="s">
        <v>11404</v>
      </c>
      <c r="F7905" s="40" t="s">
        <v>11404</v>
      </c>
      <c r="G7905" s="40" t="s">
        <v>11404</v>
      </c>
      <c r="H7905" s="40" t="s">
        <v>11404</v>
      </c>
    </row>
    <row r="7906">
      <c r="A7906" s="39"/>
      <c r="E7906" s="40" t="s">
        <v>11404</v>
      </c>
      <c r="F7906" s="40" t="s">
        <v>11404</v>
      </c>
      <c r="G7906" s="40" t="s">
        <v>11404</v>
      </c>
      <c r="H7906" s="40" t="s">
        <v>11404</v>
      </c>
    </row>
    <row r="7907">
      <c r="A7907" s="39"/>
      <c r="E7907" s="40" t="s">
        <v>11404</v>
      </c>
      <c r="F7907" s="40" t="s">
        <v>11404</v>
      </c>
      <c r="G7907" s="40" t="s">
        <v>11404</v>
      </c>
      <c r="H7907" s="40" t="s">
        <v>11404</v>
      </c>
    </row>
    <row r="7908">
      <c r="A7908" s="39"/>
      <c r="E7908" s="40" t="s">
        <v>11404</v>
      </c>
      <c r="F7908" s="40" t="s">
        <v>11404</v>
      </c>
      <c r="G7908" s="40" t="s">
        <v>11404</v>
      </c>
      <c r="H7908" s="40" t="s">
        <v>11404</v>
      </c>
    </row>
    <row r="7909">
      <c r="A7909" s="39"/>
      <c r="E7909" s="40" t="s">
        <v>11404</v>
      </c>
      <c r="F7909" s="40" t="s">
        <v>11404</v>
      </c>
      <c r="G7909" s="40" t="s">
        <v>11404</v>
      </c>
      <c r="H7909" s="40" t="s">
        <v>11404</v>
      </c>
    </row>
    <row r="7910">
      <c r="A7910" s="39"/>
      <c r="E7910" s="40" t="s">
        <v>11404</v>
      </c>
      <c r="F7910" s="40" t="s">
        <v>11404</v>
      </c>
      <c r="G7910" s="40" t="s">
        <v>11404</v>
      </c>
      <c r="H7910" s="40" t="s">
        <v>11404</v>
      </c>
    </row>
    <row r="7911">
      <c r="A7911" s="39"/>
      <c r="E7911" s="40" t="s">
        <v>11404</v>
      </c>
      <c r="F7911" s="40" t="s">
        <v>11404</v>
      </c>
      <c r="G7911" s="40" t="s">
        <v>11404</v>
      </c>
      <c r="H7911" s="40" t="s">
        <v>11404</v>
      </c>
    </row>
    <row r="7912">
      <c r="A7912" s="39"/>
      <c r="E7912" s="40" t="s">
        <v>11404</v>
      </c>
      <c r="F7912" s="40" t="s">
        <v>11404</v>
      </c>
      <c r="G7912" s="40" t="s">
        <v>11404</v>
      </c>
      <c r="H7912" s="40" t="s">
        <v>11404</v>
      </c>
    </row>
    <row r="7913">
      <c r="A7913" s="39"/>
      <c r="E7913" s="40" t="s">
        <v>11404</v>
      </c>
      <c r="F7913" s="40" t="s">
        <v>11404</v>
      </c>
      <c r="G7913" s="40" t="s">
        <v>11404</v>
      </c>
      <c r="H7913" s="40" t="s">
        <v>11404</v>
      </c>
    </row>
    <row r="7914">
      <c r="A7914" s="39"/>
      <c r="E7914" s="40" t="s">
        <v>11404</v>
      </c>
      <c r="F7914" s="40" t="s">
        <v>11404</v>
      </c>
      <c r="G7914" s="40" t="s">
        <v>11404</v>
      </c>
      <c r="H7914" s="40" t="s">
        <v>11404</v>
      </c>
    </row>
    <row r="7915">
      <c r="A7915" s="39"/>
      <c r="E7915" s="40" t="s">
        <v>11404</v>
      </c>
      <c r="F7915" s="40" t="s">
        <v>11404</v>
      </c>
      <c r="G7915" s="40" t="s">
        <v>11404</v>
      </c>
      <c r="H7915" s="40" t="s">
        <v>11404</v>
      </c>
    </row>
    <row r="7916">
      <c r="A7916" s="39"/>
      <c r="E7916" s="40" t="s">
        <v>11404</v>
      </c>
      <c r="F7916" s="40" t="s">
        <v>11404</v>
      </c>
      <c r="G7916" s="40" t="s">
        <v>11404</v>
      </c>
      <c r="H7916" s="40" t="s">
        <v>11404</v>
      </c>
    </row>
    <row r="7917">
      <c r="A7917" s="39"/>
      <c r="E7917" s="40" t="s">
        <v>11404</v>
      </c>
      <c r="F7917" s="40" t="s">
        <v>11404</v>
      </c>
      <c r="G7917" s="40" t="s">
        <v>11404</v>
      </c>
      <c r="H7917" s="40" t="s">
        <v>11404</v>
      </c>
    </row>
    <row r="7918">
      <c r="A7918" s="39"/>
      <c r="E7918" s="40" t="s">
        <v>11404</v>
      </c>
      <c r="F7918" s="40" t="s">
        <v>11404</v>
      </c>
      <c r="G7918" s="40" t="s">
        <v>11404</v>
      </c>
      <c r="H7918" s="40" t="s">
        <v>11404</v>
      </c>
    </row>
    <row r="7919">
      <c r="A7919" s="39"/>
      <c r="E7919" s="40" t="s">
        <v>11404</v>
      </c>
      <c r="F7919" s="40" t="s">
        <v>11404</v>
      </c>
      <c r="G7919" s="40" t="s">
        <v>11404</v>
      </c>
      <c r="H7919" s="40" t="s">
        <v>11404</v>
      </c>
    </row>
    <row r="7920">
      <c r="A7920" s="39"/>
      <c r="E7920" s="40" t="s">
        <v>11404</v>
      </c>
      <c r="F7920" s="40" t="s">
        <v>11404</v>
      </c>
      <c r="G7920" s="40" t="s">
        <v>11404</v>
      </c>
      <c r="H7920" s="40" t="s">
        <v>11404</v>
      </c>
    </row>
    <row r="7921">
      <c r="A7921" s="39"/>
      <c r="E7921" s="40" t="s">
        <v>11404</v>
      </c>
      <c r="F7921" s="40" t="s">
        <v>11404</v>
      </c>
      <c r="G7921" s="40" t="s">
        <v>11404</v>
      </c>
      <c r="H7921" s="40" t="s">
        <v>11404</v>
      </c>
    </row>
    <row r="7922">
      <c r="A7922" s="39"/>
      <c r="E7922" s="40" t="s">
        <v>11404</v>
      </c>
      <c r="F7922" s="40" t="s">
        <v>11404</v>
      </c>
      <c r="G7922" s="40" t="s">
        <v>11404</v>
      </c>
      <c r="H7922" s="40" t="s">
        <v>11404</v>
      </c>
    </row>
    <row r="7923">
      <c r="A7923" s="39"/>
      <c r="E7923" s="40" t="s">
        <v>11404</v>
      </c>
      <c r="F7923" s="40" t="s">
        <v>11404</v>
      </c>
      <c r="G7923" s="40" t="s">
        <v>11404</v>
      </c>
      <c r="H7923" s="40" t="s">
        <v>11404</v>
      </c>
    </row>
    <row r="7924">
      <c r="A7924" s="39"/>
      <c r="E7924" s="40" t="s">
        <v>11404</v>
      </c>
      <c r="F7924" s="40" t="s">
        <v>11404</v>
      </c>
      <c r="G7924" s="40" t="s">
        <v>11404</v>
      </c>
      <c r="H7924" s="40" t="s">
        <v>11404</v>
      </c>
    </row>
    <row r="7925">
      <c r="A7925" s="39"/>
      <c r="E7925" s="40" t="s">
        <v>11404</v>
      </c>
      <c r="F7925" s="40" t="s">
        <v>11404</v>
      </c>
      <c r="G7925" s="40" t="s">
        <v>11404</v>
      </c>
      <c r="H7925" s="40" t="s">
        <v>11404</v>
      </c>
    </row>
    <row r="7926">
      <c r="A7926" s="39"/>
      <c r="E7926" s="40" t="s">
        <v>11404</v>
      </c>
      <c r="F7926" s="40" t="s">
        <v>11404</v>
      </c>
      <c r="G7926" s="40" t="s">
        <v>11404</v>
      </c>
      <c r="H7926" s="40" t="s">
        <v>11404</v>
      </c>
    </row>
    <row r="7927">
      <c r="A7927" s="39"/>
      <c r="E7927" s="40" t="s">
        <v>11404</v>
      </c>
      <c r="F7927" s="40" t="s">
        <v>11404</v>
      </c>
      <c r="G7927" s="40" t="s">
        <v>11404</v>
      </c>
      <c r="H7927" s="40" t="s">
        <v>11404</v>
      </c>
    </row>
    <row r="7928">
      <c r="A7928" s="39"/>
      <c r="E7928" s="40" t="s">
        <v>11404</v>
      </c>
      <c r="F7928" s="40" t="s">
        <v>11404</v>
      </c>
      <c r="G7928" s="40" t="s">
        <v>11404</v>
      </c>
      <c r="H7928" s="40" t="s">
        <v>11404</v>
      </c>
    </row>
    <row r="7929">
      <c r="A7929" s="39"/>
      <c r="E7929" s="40" t="s">
        <v>11404</v>
      </c>
      <c r="F7929" s="40" t="s">
        <v>11404</v>
      </c>
      <c r="G7929" s="40" t="s">
        <v>11404</v>
      </c>
      <c r="H7929" s="40" t="s">
        <v>11404</v>
      </c>
    </row>
    <row r="7930">
      <c r="A7930" s="39"/>
      <c r="E7930" s="40" t="s">
        <v>11404</v>
      </c>
      <c r="F7930" s="40" t="s">
        <v>11404</v>
      </c>
      <c r="G7930" s="40" t="s">
        <v>11404</v>
      </c>
      <c r="H7930" s="40" t="s">
        <v>11404</v>
      </c>
    </row>
    <row r="7931">
      <c r="A7931" s="39"/>
      <c r="E7931" s="40" t="s">
        <v>11404</v>
      </c>
      <c r="F7931" s="40" t="s">
        <v>11404</v>
      </c>
      <c r="G7931" s="40" t="s">
        <v>11404</v>
      </c>
      <c r="H7931" s="40" t="s">
        <v>11404</v>
      </c>
    </row>
    <row r="7932">
      <c r="A7932" s="39"/>
      <c r="E7932" s="40" t="s">
        <v>11404</v>
      </c>
      <c r="F7932" s="40" t="s">
        <v>11404</v>
      </c>
      <c r="G7932" s="40" t="s">
        <v>11404</v>
      </c>
      <c r="H7932" s="40" t="s">
        <v>11404</v>
      </c>
    </row>
    <row r="7933">
      <c r="A7933" s="39"/>
      <c r="E7933" s="40" t="s">
        <v>11404</v>
      </c>
      <c r="F7933" s="40" t="s">
        <v>11404</v>
      </c>
      <c r="G7933" s="40" t="s">
        <v>11404</v>
      </c>
      <c r="H7933" s="40" t="s">
        <v>11404</v>
      </c>
    </row>
    <row r="7934">
      <c r="A7934" s="39"/>
      <c r="E7934" s="40" t="s">
        <v>11404</v>
      </c>
      <c r="F7934" s="40" t="s">
        <v>11404</v>
      </c>
      <c r="G7934" s="40" t="s">
        <v>11404</v>
      </c>
      <c r="H7934" s="40" t="s">
        <v>11404</v>
      </c>
    </row>
    <row r="7935">
      <c r="A7935" s="39"/>
      <c r="E7935" s="40" t="s">
        <v>11404</v>
      </c>
      <c r="F7935" s="40" t="s">
        <v>11404</v>
      </c>
      <c r="G7935" s="40" t="s">
        <v>11404</v>
      </c>
      <c r="H7935" s="40" t="s">
        <v>11404</v>
      </c>
    </row>
    <row r="7936">
      <c r="A7936" s="39"/>
      <c r="E7936" s="40" t="s">
        <v>11404</v>
      </c>
      <c r="F7936" s="40" t="s">
        <v>11404</v>
      </c>
      <c r="G7936" s="40" t="s">
        <v>11404</v>
      </c>
      <c r="H7936" s="40" t="s">
        <v>11404</v>
      </c>
    </row>
    <row r="7937">
      <c r="A7937" s="39"/>
      <c r="E7937" s="40" t="s">
        <v>11404</v>
      </c>
      <c r="F7937" s="40" t="s">
        <v>11404</v>
      </c>
      <c r="G7937" s="40" t="s">
        <v>11404</v>
      </c>
      <c r="H7937" s="40" t="s">
        <v>11404</v>
      </c>
    </row>
    <row r="7938">
      <c r="A7938" s="39"/>
      <c r="E7938" s="40" t="s">
        <v>11404</v>
      </c>
      <c r="F7938" s="40" t="s">
        <v>11404</v>
      </c>
      <c r="G7938" s="40" t="s">
        <v>11404</v>
      </c>
      <c r="H7938" s="40" t="s">
        <v>11404</v>
      </c>
    </row>
    <row r="7939">
      <c r="A7939" s="39"/>
      <c r="E7939" s="40" t="s">
        <v>11404</v>
      </c>
      <c r="F7939" s="40" t="s">
        <v>11404</v>
      </c>
      <c r="G7939" s="40" t="s">
        <v>11404</v>
      </c>
      <c r="H7939" s="40" t="s">
        <v>11404</v>
      </c>
    </row>
    <row r="7940">
      <c r="A7940" s="39"/>
      <c r="E7940" s="40" t="s">
        <v>11404</v>
      </c>
      <c r="F7940" s="40" t="s">
        <v>11404</v>
      </c>
      <c r="G7940" s="40" t="s">
        <v>11404</v>
      </c>
      <c r="H7940" s="40" t="s">
        <v>11404</v>
      </c>
    </row>
    <row r="7941">
      <c r="A7941" s="39"/>
      <c r="E7941" s="40" t="s">
        <v>11404</v>
      </c>
      <c r="F7941" s="40" t="s">
        <v>11404</v>
      </c>
      <c r="G7941" s="40" t="s">
        <v>11404</v>
      </c>
      <c r="H7941" s="40" t="s">
        <v>11404</v>
      </c>
    </row>
    <row r="7942">
      <c r="A7942" s="39"/>
      <c r="E7942" s="40" t="s">
        <v>11404</v>
      </c>
      <c r="F7942" s="40" t="s">
        <v>11404</v>
      </c>
      <c r="G7942" s="40" t="s">
        <v>11404</v>
      </c>
      <c r="H7942" s="40" t="s">
        <v>11404</v>
      </c>
    </row>
    <row r="7943">
      <c r="A7943" s="39"/>
      <c r="E7943" s="40" t="s">
        <v>11404</v>
      </c>
      <c r="F7943" s="40" t="s">
        <v>11404</v>
      </c>
      <c r="G7943" s="40" t="s">
        <v>11404</v>
      </c>
      <c r="H7943" s="40" t="s">
        <v>11404</v>
      </c>
    </row>
    <row r="7944">
      <c r="A7944" s="39"/>
      <c r="E7944" s="40" t="s">
        <v>11404</v>
      </c>
      <c r="F7944" s="40" t="s">
        <v>11404</v>
      </c>
      <c r="G7944" s="40" t="s">
        <v>11404</v>
      </c>
      <c r="H7944" s="40" t="s">
        <v>11404</v>
      </c>
    </row>
    <row r="7945">
      <c r="A7945" s="39"/>
      <c r="E7945" s="40" t="s">
        <v>11404</v>
      </c>
      <c r="F7945" s="40" t="s">
        <v>11404</v>
      </c>
      <c r="G7945" s="40" t="s">
        <v>11404</v>
      </c>
      <c r="H7945" s="40" t="s">
        <v>11404</v>
      </c>
    </row>
    <row r="7946">
      <c r="A7946" s="39"/>
      <c r="E7946" s="40" t="s">
        <v>11404</v>
      </c>
      <c r="F7946" s="40" t="s">
        <v>11404</v>
      </c>
      <c r="G7946" s="40" t="s">
        <v>11404</v>
      </c>
      <c r="H7946" s="40" t="s">
        <v>11404</v>
      </c>
    </row>
    <row r="7947">
      <c r="A7947" s="39"/>
      <c r="E7947" s="40" t="s">
        <v>11404</v>
      </c>
      <c r="F7947" s="40" t="s">
        <v>11404</v>
      </c>
      <c r="G7947" s="40" t="s">
        <v>11404</v>
      </c>
      <c r="H7947" s="40" t="s">
        <v>11404</v>
      </c>
    </row>
    <row r="7948">
      <c r="A7948" s="39"/>
      <c r="E7948" s="40" t="s">
        <v>11404</v>
      </c>
      <c r="F7948" s="40" t="s">
        <v>11404</v>
      </c>
      <c r="G7948" s="40" t="s">
        <v>11404</v>
      </c>
      <c r="H7948" s="40" t="s">
        <v>11404</v>
      </c>
    </row>
    <row r="7949">
      <c r="A7949" s="39"/>
      <c r="E7949" s="40" t="s">
        <v>11404</v>
      </c>
      <c r="F7949" s="40" t="s">
        <v>11404</v>
      </c>
      <c r="G7949" s="40" t="s">
        <v>11404</v>
      </c>
      <c r="H7949" s="40" t="s">
        <v>11404</v>
      </c>
    </row>
    <row r="7950">
      <c r="A7950" s="39"/>
      <c r="E7950" s="40" t="s">
        <v>11404</v>
      </c>
      <c r="F7950" s="40" t="s">
        <v>11404</v>
      </c>
      <c r="G7950" s="40" t="s">
        <v>11404</v>
      </c>
      <c r="H7950" s="40" t="s">
        <v>11404</v>
      </c>
    </row>
    <row r="7951">
      <c r="A7951" s="39"/>
      <c r="E7951" s="40" t="s">
        <v>11404</v>
      </c>
      <c r="F7951" s="40" t="s">
        <v>11404</v>
      </c>
      <c r="G7951" s="40" t="s">
        <v>11404</v>
      </c>
      <c r="H7951" s="40" t="s">
        <v>11404</v>
      </c>
    </row>
    <row r="7952">
      <c r="A7952" s="39"/>
      <c r="E7952" s="40" t="s">
        <v>11404</v>
      </c>
      <c r="F7952" s="40" t="s">
        <v>11404</v>
      </c>
      <c r="G7952" s="40" t="s">
        <v>11404</v>
      </c>
      <c r="H7952" s="40" t="s">
        <v>11404</v>
      </c>
    </row>
    <row r="7953">
      <c r="A7953" s="39"/>
      <c r="E7953" s="40" t="s">
        <v>11404</v>
      </c>
      <c r="F7953" s="40" t="s">
        <v>11404</v>
      </c>
      <c r="G7953" s="40" t="s">
        <v>11404</v>
      </c>
      <c r="H7953" s="40" t="s">
        <v>11404</v>
      </c>
    </row>
    <row r="7954">
      <c r="A7954" s="39"/>
      <c r="E7954" s="40" t="s">
        <v>11404</v>
      </c>
      <c r="F7954" s="40" t="s">
        <v>11404</v>
      </c>
      <c r="G7954" s="40" t="s">
        <v>11404</v>
      </c>
      <c r="H7954" s="40" t="s">
        <v>11404</v>
      </c>
    </row>
    <row r="7955">
      <c r="A7955" s="39"/>
      <c r="E7955" s="40" t="s">
        <v>11404</v>
      </c>
      <c r="F7955" s="40" t="s">
        <v>11404</v>
      </c>
      <c r="G7955" s="40" t="s">
        <v>11404</v>
      </c>
      <c r="H7955" s="40" t="s">
        <v>11404</v>
      </c>
    </row>
    <row r="7956">
      <c r="A7956" s="39"/>
      <c r="E7956" s="40" t="s">
        <v>11404</v>
      </c>
      <c r="F7956" s="40" t="s">
        <v>11404</v>
      </c>
      <c r="G7956" s="40" t="s">
        <v>11404</v>
      </c>
      <c r="H7956" s="40" t="s">
        <v>11404</v>
      </c>
    </row>
    <row r="7957">
      <c r="A7957" s="39"/>
      <c r="E7957" s="40" t="s">
        <v>11404</v>
      </c>
      <c r="F7957" s="40" t="s">
        <v>11404</v>
      </c>
      <c r="G7957" s="40" t="s">
        <v>11404</v>
      </c>
      <c r="H7957" s="40" t="s">
        <v>11404</v>
      </c>
    </row>
    <row r="7958">
      <c r="A7958" s="39"/>
      <c r="E7958" s="40" t="s">
        <v>11404</v>
      </c>
      <c r="F7958" s="40" t="s">
        <v>11404</v>
      </c>
      <c r="G7958" s="40" t="s">
        <v>11404</v>
      </c>
      <c r="H7958" s="40" t="s">
        <v>11404</v>
      </c>
    </row>
    <row r="7959">
      <c r="A7959" s="39"/>
      <c r="E7959" s="40" t="s">
        <v>11404</v>
      </c>
      <c r="F7959" s="40" t="s">
        <v>11404</v>
      </c>
      <c r="G7959" s="40" t="s">
        <v>11404</v>
      </c>
      <c r="H7959" s="40" t="s">
        <v>11404</v>
      </c>
    </row>
    <row r="7960">
      <c r="A7960" s="39"/>
      <c r="E7960" s="40" t="s">
        <v>11404</v>
      </c>
      <c r="F7960" s="40" t="s">
        <v>11404</v>
      </c>
      <c r="G7960" s="40" t="s">
        <v>11404</v>
      </c>
      <c r="H7960" s="40" t="s">
        <v>11404</v>
      </c>
    </row>
    <row r="7961">
      <c r="A7961" s="39"/>
      <c r="E7961" s="40" t="s">
        <v>11404</v>
      </c>
      <c r="F7961" s="40" t="s">
        <v>11404</v>
      </c>
      <c r="G7961" s="40" t="s">
        <v>11404</v>
      </c>
      <c r="H7961" s="40" t="s">
        <v>11404</v>
      </c>
    </row>
    <row r="7962">
      <c r="A7962" s="39"/>
      <c r="E7962" s="40" t="s">
        <v>11404</v>
      </c>
      <c r="F7962" s="40" t="s">
        <v>11404</v>
      </c>
      <c r="G7962" s="40" t="s">
        <v>11404</v>
      </c>
      <c r="H7962" s="40" t="s">
        <v>11404</v>
      </c>
    </row>
    <row r="7963">
      <c r="A7963" s="39"/>
      <c r="E7963" s="40" t="s">
        <v>11404</v>
      </c>
      <c r="F7963" s="40" t="s">
        <v>11404</v>
      </c>
      <c r="G7963" s="40" t="s">
        <v>11404</v>
      </c>
      <c r="H7963" s="40" t="s">
        <v>11404</v>
      </c>
    </row>
    <row r="7964">
      <c r="A7964" s="39"/>
      <c r="E7964" s="40" t="s">
        <v>11404</v>
      </c>
      <c r="F7964" s="40" t="s">
        <v>11404</v>
      </c>
      <c r="G7964" s="40" t="s">
        <v>11404</v>
      </c>
      <c r="H7964" s="40" t="s">
        <v>11404</v>
      </c>
    </row>
    <row r="7965">
      <c r="A7965" s="39"/>
      <c r="E7965" s="40" t="s">
        <v>11404</v>
      </c>
      <c r="F7965" s="40" t="s">
        <v>11404</v>
      </c>
      <c r="G7965" s="40" t="s">
        <v>11404</v>
      </c>
      <c r="H7965" s="40" t="s">
        <v>11404</v>
      </c>
    </row>
    <row r="7966">
      <c r="A7966" s="39"/>
      <c r="E7966" s="40" t="s">
        <v>11404</v>
      </c>
      <c r="F7966" s="40" t="s">
        <v>11404</v>
      </c>
      <c r="G7966" s="40" t="s">
        <v>11404</v>
      </c>
      <c r="H7966" s="40" t="s">
        <v>11404</v>
      </c>
    </row>
    <row r="7967">
      <c r="A7967" s="39"/>
      <c r="E7967" s="40" t="s">
        <v>11404</v>
      </c>
      <c r="F7967" s="40" t="s">
        <v>11404</v>
      </c>
      <c r="G7967" s="40" t="s">
        <v>11404</v>
      </c>
      <c r="H7967" s="40" t="s">
        <v>11404</v>
      </c>
    </row>
    <row r="7968">
      <c r="A7968" s="39"/>
      <c r="E7968" s="40" t="s">
        <v>11404</v>
      </c>
      <c r="F7968" s="40" t="s">
        <v>11404</v>
      </c>
      <c r="G7968" s="40" t="s">
        <v>11404</v>
      </c>
      <c r="H7968" s="40" t="s">
        <v>11404</v>
      </c>
    </row>
    <row r="7969">
      <c r="A7969" s="39"/>
      <c r="E7969" s="40" t="s">
        <v>11404</v>
      </c>
      <c r="F7969" s="40" t="s">
        <v>11404</v>
      </c>
      <c r="G7969" s="40" t="s">
        <v>11404</v>
      </c>
      <c r="H7969" s="40" t="s">
        <v>11404</v>
      </c>
    </row>
    <row r="7970">
      <c r="A7970" s="39"/>
      <c r="E7970" s="40" t="s">
        <v>11404</v>
      </c>
      <c r="F7970" s="40" t="s">
        <v>11404</v>
      </c>
      <c r="G7970" s="40" t="s">
        <v>11404</v>
      </c>
      <c r="H7970" s="40" t="s">
        <v>11404</v>
      </c>
    </row>
    <row r="7971">
      <c r="A7971" s="39"/>
      <c r="E7971" s="40" t="s">
        <v>11404</v>
      </c>
      <c r="F7971" s="40" t="s">
        <v>11404</v>
      </c>
      <c r="G7971" s="40" t="s">
        <v>11404</v>
      </c>
      <c r="H7971" s="40" t="s">
        <v>11404</v>
      </c>
    </row>
    <row r="7972">
      <c r="A7972" s="39"/>
      <c r="E7972" s="40" t="s">
        <v>11404</v>
      </c>
      <c r="F7972" s="40" t="s">
        <v>11404</v>
      </c>
      <c r="G7972" s="40" t="s">
        <v>11404</v>
      </c>
      <c r="H7972" s="40" t="s">
        <v>11404</v>
      </c>
    </row>
    <row r="7973">
      <c r="A7973" s="39"/>
      <c r="E7973" s="40" t="s">
        <v>11404</v>
      </c>
      <c r="F7973" s="40" t="s">
        <v>11404</v>
      </c>
      <c r="G7973" s="40" t="s">
        <v>11404</v>
      </c>
      <c r="H7973" s="40" t="s">
        <v>11404</v>
      </c>
    </row>
    <row r="7974">
      <c r="A7974" s="39"/>
      <c r="E7974" s="40" t="s">
        <v>11404</v>
      </c>
      <c r="F7974" s="40" t="s">
        <v>11404</v>
      </c>
      <c r="G7974" s="40" t="s">
        <v>11404</v>
      </c>
      <c r="H7974" s="40" t="s">
        <v>11404</v>
      </c>
    </row>
    <row r="7975">
      <c r="A7975" s="39"/>
      <c r="E7975" s="40" t="s">
        <v>11404</v>
      </c>
      <c r="F7975" s="40" t="s">
        <v>11404</v>
      </c>
      <c r="G7975" s="40" t="s">
        <v>11404</v>
      </c>
      <c r="H7975" s="40" t="s">
        <v>11404</v>
      </c>
    </row>
    <row r="7976">
      <c r="A7976" s="39"/>
      <c r="E7976" s="40" t="s">
        <v>11404</v>
      </c>
      <c r="F7976" s="40" t="s">
        <v>11404</v>
      </c>
      <c r="G7976" s="40" t="s">
        <v>11404</v>
      </c>
      <c r="H7976" s="40" t="s">
        <v>11404</v>
      </c>
    </row>
    <row r="7977">
      <c r="A7977" s="39"/>
      <c r="E7977" s="40" t="s">
        <v>11404</v>
      </c>
      <c r="F7977" s="40" t="s">
        <v>11404</v>
      </c>
      <c r="G7977" s="40" t="s">
        <v>11404</v>
      </c>
      <c r="H7977" s="40" t="s">
        <v>11404</v>
      </c>
    </row>
    <row r="7978">
      <c r="A7978" s="39"/>
      <c r="E7978" s="40" t="s">
        <v>11404</v>
      </c>
      <c r="F7978" s="40" t="s">
        <v>11404</v>
      </c>
      <c r="G7978" s="40" t="s">
        <v>11404</v>
      </c>
      <c r="H7978" s="40" t="s">
        <v>11404</v>
      </c>
    </row>
    <row r="7979">
      <c r="A7979" s="39"/>
      <c r="E7979" s="40" t="s">
        <v>11404</v>
      </c>
      <c r="F7979" s="40" t="s">
        <v>11404</v>
      </c>
      <c r="G7979" s="40" t="s">
        <v>11404</v>
      </c>
      <c r="H7979" s="40" t="s">
        <v>11404</v>
      </c>
    </row>
    <row r="7980">
      <c r="A7980" s="39"/>
      <c r="E7980" s="40" t="s">
        <v>11404</v>
      </c>
      <c r="F7980" s="40" t="s">
        <v>11404</v>
      </c>
      <c r="G7980" s="40" t="s">
        <v>11404</v>
      </c>
      <c r="H7980" s="40" t="s">
        <v>11404</v>
      </c>
    </row>
    <row r="7981">
      <c r="A7981" s="39"/>
      <c r="E7981" s="40" t="s">
        <v>11404</v>
      </c>
      <c r="F7981" s="40" t="s">
        <v>11404</v>
      </c>
      <c r="G7981" s="40" t="s">
        <v>11404</v>
      </c>
      <c r="H7981" s="40" t="s">
        <v>11404</v>
      </c>
    </row>
    <row r="7982">
      <c r="A7982" s="39"/>
      <c r="E7982" s="40" t="s">
        <v>11404</v>
      </c>
      <c r="F7982" s="40" t="s">
        <v>11404</v>
      </c>
      <c r="G7982" s="40" t="s">
        <v>11404</v>
      </c>
      <c r="H7982" s="40" t="s">
        <v>11404</v>
      </c>
    </row>
    <row r="7983">
      <c r="A7983" s="39"/>
      <c r="E7983" s="40" t="s">
        <v>11404</v>
      </c>
      <c r="F7983" s="40" t="s">
        <v>11404</v>
      </c>
      <c r="G7983" s="40" t="s">
        <v>11404</v>
      </c>
      <c r="H7983" s="40" t="s">
        <v>11404</v>
      </c>
    </row>
    <row r="7984">
      <c r="A7984" s="39"/>
      <c r="E7984" s="40" t="s">
        <v>11404</v>
      </c>
      <c r="F7984" s="40" t="s">
        <v>11404</v>
      </c>
      <c r="G7984" s="40" t="s">
        <v>11404</v>
      </c>
      <c r="H7984" s="40" t="s">
        <v>11404</v>
      </c>
    </row>
    <row r="7985">
      <c r="A7985" s="39"/>
      <c r="E7985" s="40" t="s">
        <v>11404</v>
      </c>
      <c r="F7985" s="40" t="s">
        <v>11404</v>
      </c>
      <c r="G7985" s="40" t="s">
        <v>11404</v>
      </c>
      <c r="H7985" s="40" t="s">
        <v>11404</v>
      </c>
    </row>
    <row r="7986">
      <c r="A7986" s="39"/>
      <c r="E7986" s="40" t="s">
        <v>11404</v>
      </c>
      <c r="F7986" s="40" t="s">
        <v>11404</v>
      </c>
      <c r="G7986" s="40" t="s">
        <v>11404</v>
      </c>
      <c r="H7986" s="40" t="s">
        <v>11404</v>
      </c>
    </row>
    <row r="7987">
      <c r="A7987" s="39"/>
      <c r="E7987" s="40" t="s">
        <v>11404</v>
      </c>
      <c r="F7987" s="40" t="s">
        <v>11404</v>
      </c>
      <c r="G7987" s="40" t="s">
        <v>11404</v>
      </c>
      <c r="H7987" s="40" t="s">
        <v>11404</v>
      </c>
    </row>
    <row r="7988">
      <c r="A7988" s="39"/>
      <c r="E7988" s="40" t="s">
        <v>11404</v>
      </c>
      <c r="F7988" s="40" t="s">
        <v>11404</v>
      </c>
      <c r="G7988" s="40" t="s">
        <v>11404</v>
      </c>
      <c r="H7988" s="40" t="s">
        <v>11404</v>
      </c>
    </row>
    <row r="7989">
      <c r="A7989" s="39"/>
      <c r="E7989" s="40" t="s">
        <v>11404</v>
      </c>
      <c r="F7989" s="40" t="s">
        <v>11404</v>
      </c>
      <c r="G7989" s="40" t="s">
        <v>11404</v>
      </c>
      <c r="H7989" s="40" t="s">
        <v>11404</v>
      </c>
    </row>
    <row r="7990">
      <c r="A7990" s="39"/>
      <c r="E7990" s="40" t="s">
        <v>11404</v>
      </c>
      <c r="F7990" s="40" t="s">
        <v>11404</v>
      </c>
      <c r="G7990" s="40" t="s">
        <v>11404</v>
      </c>
      <c r="H7990" s="40" t="s">
        <v>11404</v>
      </c>
    </row>
    <row r="7991">
      <c r="A7991" s="39"/>
      <c r="E7991" s="40" t="s">
        <v>11404</v>
      </c>
      <c r="F7991" s="40" t="s">
        <v>11404</v>
      </c>
      <c r="G7991" s="40" t="s">
        <v>11404</v>
      </c>
      <c r="H7991" s="40" t="s">
        <v>11404</v>
      </c>
    </row>
    <row r="7992">
      <c r="A7992" s="39"/>
      <c r="E7992" s="40" t="s">
        <v>11404</v>
      </c>
      <c r="F7992" s="40" t="s">
        <v>11404</v>
      </c>
      <c r="G7992" s="40" t="s">
        <v>11404</v>
      </c>
      <c r="H7992" s="40" t="s">
        <v>11404</v>
      </c>
    </row>
    <row r="7993">
      <c r="A7993" s="39"/>
      <c r="E7993" s="40" t="s">
        <v>11404</v>
      </c>
      <c r="F7993" s="40" t="s">
        <v>11404</v>
      </c>
      <c r="G7993" s="40" t="s">
        <v>11404</v>
      </c>
      <c r="H7993" s="40" t="s">
        <v>11404</v>
      </c>
    </row>
    <row r="7994">
      <c r="A7994" s="39"/>
      <c r="E7994" s="40" t="s">
        <v>11404</v>
      </c>
      <c r="F7994" s="40" t="s">
        <v>11404</v>
      </c>
      <c r="G7994" s="40" t="s">
        <v>11404</v>
      </c>
      <c r="H7994" s="40" t="s">
        <v>11404</v>
      </c>
    </row>
    <row r="7995">
      <c r="A7995" s="39"/>
      <c r="E7995" s="40" t="s">
        <v>11404</v>
      </c>
      <c r="F7995" s="40" t="s">
        <v>11404</v>
      </c>
      <c r="G7995" s="40" t="s">
        <v>11404</v>
      </c>
      <c r="H7995" s="40" t="s">
        <v>11404</v>
      </c>
    </row>
    <row r="7996">
      <c r="A7996" s="39"/>
      <c r="E7996" s="40" t="s">
        <v>11404</v>
      </c>
      <c r="F7996" s="40" t="s">
        <v>11404</v>
      </c>
      <c r="G7996" s="40" t="s">
        <v>11404</v>
      </c>
      <c r="H7996" s="40" t="s">
        <v>11404</v>
      </c>
    </row>
    <row r="7997">
      <c r="A7997" s="39"/>
      <c r="E7997" s="40" t="s">
        <v>11404</v>
      </c>
      <c r="F7997" s="40" t="s">
        <v>11404</v>
      </c>
      <c r="G7997" s="40" t="s">
        <v>11404</v>
      </c>
      <c r="H7997" s="40" t="s">
        <v>11404</v>
      </c>
    </row>
    <row r="7998">
      <c r="A7998" s="39"/>
      <c r="E7998" s="40" t="s">
        <v>11404</v>
      </c>
      <c r="F7998" s="40" t="s">
        <v>11404</v>
      </c>
      <c r="G7998" s="40" t="s">
        <v>11404</v>
      </c>
      <c r="H7998" s="40" t="s">
        <v>11404</v>
      </c>
    </row>
    <row r="7999">
      <c r="A7999" s="39"/>
      <c r="E7999" s="40" t="s">
        <v>11404</v>
      </c>
      <c r="F7999" s="40" t="s">
        <v>11404</v>
      </c>
      <c r="G7999" s="40" t="s">
        <v>11404</v>
      </c>
      <c r="H7999" s="40" t="s">
        <v>11404</v>
      </c>
    </row>
    <row r="8000">
      <c r="A8000" s="39"/>
      <c r="E8000" s="40" t="s">
        <v>11404</v>
      </c>
      <c r="F8000" s="40" t="s">
        <v>11404</v>
      </c>
      <c r="G8000" s="40" t="s">
        <v>11404</v>
      </c>
      <c r="H8000" s="40" t="s">
        <v>11404</v>
      </c>
    </row>
    <row r="8001">
      <c r="A8001" s="39"/>
      <c r="E8001" s="40" t="s">
        <v>11404</v>
      </c>
      <c r="F8001" s="40" t="s">
        <v>11404</v>
      </c>
      <c r="G8001" s="40" t="s">
        <v>11404</v>
      </c>
      <c r="H8001" s="40" t="s">
        <v>11404</v>
      </c>
    </row>
    <row r="8002">
      <c r="A8002" s="39"/>
      <c r="E8002" s="40" t="s">
        <v>11404</v>
      </c>
      <c r="F8002" s="40" t="s">
        <v>11404</v>
      </c>
      <c r="G8002" s="40" t="s">
        <v>11404</v>
      </c>
      <c r="H8002" s="40" t="s">
        <v>11404</v>
      </c>
    </row>
    <row r="8003">
      <c r="A8003" s="39"/>
      <c r="E8003" s="40" t="s">
        <v>11404</v>
      </c>
      <c r="F8003" s="40" t="s">
        <v>11404</v>
      </c>
      <c r="G8003" s="40" t="s">
        <v>11404</v>
      </c>
      <c r="H8003" s="40" t="s">
        <v>11404</v>
      </c>
    </row>
    <row r="8004">
      <c r="A8004" s="39"/>
      <c r="E8004" s="40" t="s">
        <v>11404</v>
      </c>
      <c r="F8004" s="40" t="s">
        <v>11404</v>
      </c>
      <c r="G8004" s="40" t="s">
        <v>11404</v>
      </c>
      <c r="H8004" s="40" t="s">
        <v>11404</v>
      </c>
    </row>
    <row r="8005">
      <c r="A8005" s="39"/>
      <c r="E8005" s="40" t="s">
        <v>11404</v>
      </c>
      <c r="F8005" s="40" t="s">
        <v>11404</v>
      </c>
      <c r="G8005" s="40" t="s">
        <v>11404</v>
      </c>
      <c r="H8005" s="40" t="s">
        <v>11404</v>
      </c>
    </row>
    <row r="8006">
      <c r="A8006" s="39"/>
      <c r="E8006" s="40" t="s">
        <v>11404</v>
      </c>
      <c r="F8006" s="40" t="s">
        <v>11404</v>
      </c>
      <c r="G8006" s="40" t="s">
        <v>11404</v>
      </c>
      <c r="H8006" s="40" t="s">
        <v>11404</v>
      </c>
    </row>
    <row r="8007">
      <c r="A8007" s="39"/>
      <c r="E8007" s="40" t="s">
        <v>11404</v>
      </c>
      <c r="F8007" s="40" t="s">
        <v>11404</v>
      </c>
      <c r="G8007" s="40" t="s">
        <v>11404</v>
      </c>
      <c r="H8007" s="40" t="s">
        <v>11404</v>
      </c>
    </row>
    <row r="8008">
      <c r="A8008" s="39"/>
      <c r="E8008" s="40" t="s">
        <v>11404</v>
      </c>
      <c r="F8008" s="40" t="s">
        <v>11404</v>
      </c>
      <c r="G8008" s="40" t="s">
        <v>11404</v>
      </c>
      <c r="H8008" s="40" t="s">
        <v>11404</v>
      </c>
    </row>
    <row r="8009">
      <c r="A8009" s="39"/>
      <c r="E8009" s="40" t="s">
        <v>11404</v>
      </c>
      <c r="F8009" s="40" t="s">
        <v>11404</v>
      </c>
      <c r="G8009" s="40" t="s">
        <v>11404</v>
      </c>
      <c r="H8009" s="40" t="s">
        <v>11404</v>
      </c>
    </row>
    <row r="8010">
      <c r="A8010" s="39"/>
      <c r="E8010" s="40" t="s">
        <v>11404</v>
      </c>
      <c r="F8010" s="40" t="s">
        <v>11404</v>
      </c>
      <c r="G8010" s="40" t="s">
        <v>11404</v>
      </c>
      <c r="H8010" s="40" t="s">
        <v>11404</v>
      </c>
    </row>
    <row r="8011">
      <c r="A8011" s="39"/>
      <c r="E8011" s="40" t="s">
        <v>11404</v>
      </c>
      <c r="F8011" s="40" t="s">
        <v>11404</v>
      </c>
      <c r="G8011" s="40" t="s">
        <v>11404</v>
      </c>
      <c r="H8011" s="40" t="s">
        <v>11404</v>
      </c>
    </row>
    <row r="8012">
      <c r="A8012" s="39"/>
      <c r="E8012" s="40" t="s">
        <v>11404</v>
      </c>
      <c r="F8012" s="40" t="s">
        <v>11404</v>
      </c>
      <c r="G8012" s="40" t="s">
        <v>11404</v>
      </c>
      <c r="H8012" s="40" t="s">
        <v>11404</v>
      </c>
    </row>
    <row r="8013">
      <c r="A8013" s="39"/>
      <c r="E8013" s="40" t="s">
        <v>11404</v>
      </c>
      <c r="F8013" s="40" t="s">
        <v>11404</v>
      </c>
      <c r="G8013" s="40" t="s">
        <v>11404</v>
      </c>
      <c r="H8013" s="40" t="s">
        <v>11404</v>
      </c>
    </row>
    <row r="8014">
      <c r="A8014" s="39"/>
      <c r="E8014" s="40" t="s">
        <v>11404</v>
      </c>
      <c r="F8014" s="40" t="s">
        <v>11404</v>
      </c>
      <c r="G8014" s="40" t="s">
        <v>11404</v>
      </c>
      <c r="H8014" s="40" t="s">
        <v>11404</v>
      </c>
    </row>
    <row r="8015">
      <c r="A8015" s="39"/>
      <c r="E8015" s="40" t="s">
        <v>11404</v>
      </c>
      <c r="F8015" s="40" t="s">
        <v>11404</v>
      </c>
      <c r="G8015" s="40" t="s">
        <v>11404</v>
      </c>
      <c r="H8015" s="40" t="s">
        <v>11404</v>
      </c>
    </row>
    <row r="8016">
      <c r="A8016" s="39"/>
      <c r="E8016" s="40" t="s">
        <v>11404</v>
      </c>
      <c r="F8016" s="40" t="s">
        <v>11404</v>
      </c>
      <c r="G8016" s="40" t="s">
        <v>11404</v>
      </c>
      <c r="H8016" s="40" t="s">
        <v>11404</v>
      </c>
    </row>
    <row r="8017">
      <c r="A8017" s="39"/>
      <c r="E8017" s="40" t="s">
        <v>11404</v>
      </c>
      <c r="F8017" s="40" t="s">
        <v>11404</v>
      </c>
      <c r="G8017" s="40" t="s">
        <v>11404</v>
      </c>
      <c r="H8017" s="40" t="s">
        <v>11404</v>
      </c>
    </row>
    <row r="8018">
      <c r="A8018" s="39"/>
      <c r="E8018" s="40" t="s">
        <v>11404</v>
      </c>
      <c r="F8018" s="40" t="s">
        <v>11404</v>
      </c>
      <c r="G8018" s="40" t="s">
        <v>11404</v>
      </c>
      <c r="H8018" s="40" t="s">
        <v>11404</v>
      </c>
    </row>
    <row r="8019">
      <c r="A8019" s="39"/>
      <c r="E8019" s="40" t="s">
        <v>11404</v>
      </c>
      <c r="F8019" s="40" t="s">
        <v>11404</v>
      </c>
      <c r="G8019" s="40" t="s">
        <v>11404</v>
      </c>
      <c r="H8019" s="40" t="s">
        <v>11404</v>
      </c>
    </row>
    <row r="8020">
      <c r="A8020" s="39"/>
      <c r="E8020" s="40" t="s">
        <v>11404</v>
      </c>
      <c r="F8020" s="40" t="s">
        <v>11404</v>
      </c>
      <c r="G8020" s="40" t="s">
        <v>11404</v>
      </c>
      <c r="H8020" s="40" t="s">
        <v>11404</v>
      </c>
    </row>
    <row r="8021">
      <c r="A8021" s="39"/>
      <c r="E8021" s="40" t="s">
        <v>11404</v>
      </c>
      <c r="F8021" s="40" t="s">
        <v>11404</v>
      </c>
      <c r="G8021" s="40" t="s">
        <v>11404</v>
      </c>
      <c r="H8021" s="40" t="s">
        <v>11404</v>
      </c>
    </row>
    <row r="8022">
      <c r="A8022" s="39"/>
      <c r="E8022" s="40" t="s">
        <v>11404</v>
      </c>
      <c r="F8022" s="40" t="s">
        <v>11404</v>
      </c>
      <c r="G8022" s="40" t="s">
        <v>11404</v>
      </c>
      <c r="H8022" s="40" t="s">
        <v>11404</v>
      </c>
    </row>
    <row r="8023">
      <c r="A8023" s="39"/>
      <c r="E8023" s="40" t="s">
        <v>11404</v>
      </c>
      <c r="F8023" s="40" t="s">
        <v>11404</v>
      </c>
      <c r="G8023" s="40" t="s">
        <v>11404</v>
      </c>
      <c r="H8023" s="40" t="s">
        <v>11404</v>
      </c>
    </row>
    <row r="8024">
      <c r="A8024" s="39"/>
      <c r="E8024" s="40" t="s">
        <v>11404</v>
      </c>
      <c r="F8024" s="40" t="s">
        <v>11404</v>
      </c>
      <c r="G8024" s="40" t="s">
        <v>11404</v>
      </c>
      <c r="H8024" s="40" t="s">
        <v>11404</v>
      </c>
    </row>
    <row r="8025">
      <c r="A8025" s="39"/>
      <c r="E8025" s="40" t="s">
        <v>11404</v>
      </c>
      <c r="F8025" s="40" t="s">
        <v>11404</v>
      </c>
      <c r="G8025" s="40" t="s">
        <v>11404</v>
      </c>
      <c r="H8025" s="40" t="s">
        <v>11404</v>
      </c>
    </row>
    <row r="8026">
      <c r="A8026" s="39"/>
      <c r="E8026" s="40" t="s">
        <v>11404</v>
      </c>
      <c r="F8026" s="40" t="s">
        <v>11404</v>
      </c>
      <c r="G8026" s="40" t="s">
        <v>11404</v>
      </c>
      <c r="H8026" s="40" t="s">
        <v>11404</v>
      </c>
    </row>
    <row r="8027">
      <c r="A8027" s="39"/>
      <c r="E8027" s="40" t="s">
        <v>11404</v>
      </c>
      <c r="F8027" s="40" t="s">
        <v>11404</v>
      </c>
      <c r="G8027" s="40" t="s">
        <v>11404</v>
      </c>
      <c r="H8027" s="40" t="s">
        <v>11404</v>
      </c>
    </row>
    <row r="8028">
      <c r="A8028" s="39"/>
      <c r="E8028" s="40" t="s">
        <v>11404</v>
      </c>
      <c r="F8028" s="40" t="s">
        <v>11404</v>
      </c>
      <c r="G8028" s="40" t="s">
        <v>11404</v>
      </c>
      <c r="H8028" s="40" t="s">
        <v>11404</v>
      </c>
    </row>
    <row r="8029">
      <c r="A8029" s="39"/>
      <c r="E8029" s="40" t="s">
        <v>11404</v>
      </c>
      <c r="F8029" s="40" t="s">
        <v>11404</v>
      </c>
      <c r="G8029" s="40" t="s">
        <v>11404</v>
      </c>
      <c r="H8029" s="40" t="s">
        <v>11404</v>
      </c>
    </row>
    <row r="8030">
      <c r="A8030" s="39"/>
      <c r="E8030" s="40" t="s">
        <v>11404</v>
      </c>
      <c r="F8030" s="40" t="s">
        <v>11404</v>
      </c>
      <c r="G8030" s="40" t="s">
        <v>11404</v>
      </c>
      <c r="H8030" s="40" t="s">
        <v>11404</v>
      </c>
    </row>
    <row r="8031">
      <c r="A8031" s="39"/>
      <c r="E8031" s="40" t="s">
        <v>11404</v>
      </c>
      <c r="F8031" s="40" t="s">
        <v>11404</v>
      </c>
      <c r="G8031" s="40" t="s">
        <v>11404</v>
      </c>
      <c r="H8031" s="40" t="s">
        <v>11404</v>
      </c>
    </row>
    <row r="8032">
      <c r="A8032" s="39"/>
      <c r="E8032" s="40" t="s">
        <v>11404</v>
      </c>
      <c r="F8032" s="40" t="s">
        <v>11404</v>
      </c>
      <c r="G8032" s="40" t="s">
        <v>11404</v>
      </c>
      <c r="H8032" s="40" t="s">
        <v>11404</v>
      </c>
    </row>
    <row r="8033">
      <c r="A8033" s="39"/>
      <c r="E8033" s="40" t="s">
        <v>11404</v>
      </c>
      <c r="F8033" s="40" t="s">
        <v>11404</v>
      </c>
      <c r="G8033" s="40" t="s">
        <v>11404</v>
      </c>
      <c r="H8033" s="40" t="s">
        <v>11404</v>
      </c>
    </row>
    <row r="8034">
      <c r="A8034" s="39"/>
      <c r="E8034" s="40" t="s">
        <v>11404</v>
      </c>
      <c r="F8034" s="40" t="s">
        <v>11404</v>
      </c>
      <c r="G8034" s="40" t="s">
        <v>11404</v>
      </c>
      <c r="H8034" s="40" t="s">
        <v>11404</v>
      </c>
    </row>
    <row r="8035">
      <c r="A8035" s="39"/>
      <c r="E8035" s="40" t="s">
        <v>11404</v>
      </c>
      <c r="F8035" s="40" t="s">
        <v>11404</v>
      </c>
      <c r="G8035" s="40" t="s">
        <v>11404</v>
      </c>
      <c r="H8035" s="40" t="s">
        <v>11404</v>
      </c>
    </row>
    <row r="8036">
      <c r="A8036" s="39"/>
      <c r="E8036" s="40" t="s">
        <v>11404</v>
      </c>
      <c r="F8036" s="40" t="s">
        <v>11404</v>
      </c>
      <c r="G8036" s="40" t="s">
        <v>11404</v>
      </c>
      <c r="H8036" s="40" t="s">
        <v>11404</v>
      </c>
    </row>
    <row r="8037">
      <c r="A8037" s="39"/>
      <c r="E8037" s="40" t="s">
        <v>11404</v>
      </c>
      <c r="F8037" s="40" t="s">
        <v>11404</v>
      </c>
      <c r="G8037" s="40" t="s">
        <v>11404</v>
      </c>
      <c r="H8037" s="40" t="s">
        <v>11404</v>
      </c>
    </row>
    <row r="8038">
      <c r="A8038" s="39"/>
      <c r="E8038" s="40" t="s">
        <v>11404</v>
      </c>
      <c r="F8038" s="40" t="s">
        <v>11404</v>
      </c>
      <c r="G8038" s="40" t="s">
        <v>11404</v>
      </c>
      <c r="H8038" s="40" t="s">
        <v>11404</v>
      </c>
    </row>
    <row r="8039">
      <c r="A8039" s="39"/>
      <c r="E8039" s="40" t="s">
        <v>11404</v>
      </c>
      <c r="F8039" s="40" t="s">
        <v>11404</v>
      </c>
      <c r="G8039" s="40" t="s">
        <v>11404</v>
      </c>
      <c r="H8039" s="40" t="s">
        <v>11404</v>
      </c>
    </row>
    <row r="8040">
      <c r="A8040" s="39"/>
      <c r="E8040" s="40" t="s">
        <v>11404</v>
      </c>
      <c r="F8040" s="40" t="s">
        <v>11404</v>
      </c>
      <c r="G8040" s="40" t="s">
        <v>11404</v>
      </c>
      <c r="H8040" s="40" t="s">
        <v>11404</v>
      </c>
    </row>
    <row r="8041">
      <c r="A8041" s="39"/>
      <c r="E8041" s="40" t="s">
        <v>11404</v>
      </c>
      <c r="F8041" s="40" t="s">
        <v>11404</v>
      </c>
      <c r="G8041" s="40" t="s">
        <v>11404</v>
      </c>
      <c r="H8041" s="40" t="s">
        <v>11404</v>
      </c>
    </row>
    <row r="8042">
      <c r="A8042" s="39"/>
      <c r="E8042" s="40" t="s">
        <v>11404</v>
      </c>
      <c r="F8042" s="40" t="s">
        <v>11404</v>
      </c>
      <c r="G8042" s="40" t="s">
        <v>11404</v>
      </c>
      <c r="H8042" s="40" t="s">
        <v>11404</v>
      </c>
    </row>
    <row r="8043">
      <c r="A8043" s="39"/>
      <c r="E8043" s="40" t="s">
        <v>11404</v>
      </c>
      <c r="F8043" s="40" t="s">
        <v>11404</v>
      </c>
      <c r="G8043" s="40" t="s">
        <v>11404</v>
      </c>
      <c r="H8043" s="40" t="s">
        <v>11404</v>
      </c>
    </row>
    <row r="8044">
      <c r="A8044" s="39"/>
      <c r="E8044" s="40" t="s">
        <v>11404</v>
      </c>
      <c r="F8044" s="40" t="s">
        <v>11404</v>
      </c>
      <c r="G8044" s="40" t="s">
        <v>11404</v>
      </c>
      <c r="H8044" s="40" t="s">
        <v>11404</v>
      </c>
    </row>
    <row r="8045">
      <c r="A8045" s="39"/>
      <c r="E8045" s="40" t="s">
        <v>11404</v>
      </c>
      <c r="F8045" s="40" t="s">
        <v>11404</v>
      </c>
      <c r="G8045" s="40" t="s">
        <v>11404</v>
      </c>
      <c r="H8045" s="40" t="s">
        <v>11404</v>
      </c>
    </row>
    <row r="8046">
      <c r="A8046" s="39"/>
      <c r="E8046" s="40" t="s">
        <v>11404</v>
      </c>
      <c r="F8046" s="40" t="s">
        <v>11404</v>
      </c>
      <c r="G8046" s="40" t="s">
        <v>11404</v>
      </c>
      <c r="H8046" s="40" t="s">
        <v>11404</v>
      </c>
    </row>
    <row r="8047">
      <c r="A8047" s="39"/>
      <c r="E8047" s="40" t="s">
        <v>11404</v>
      </c>
      <c r="F8047" s="40" t="s">
        <v>11404</v>
      </c>
      <c r="G8047" s="40" t="s">
        <v>11404</v>
      </c>
      <c r="H8047" s="40" t="s">
        <v>11404</v>
      </c>
    </row>
    <row r="8048">
      <c r="A8048" s="39"/>
      <c r="E8048" s="40" t="s">
        <v>11404</v>
      </c>
      <c r="F8048" s="40" t="s">
        <v>11404</v>
      </c>
      <c r="G8048" s="40" t="s">
        <v>11404</v>
      </c>
      <c r="H8048" s="40" t="s">
        <v>11404</v>
      </c>
    </row>
    <row r="8049">
      <c r="A8049" s="39"/>
      <c r="E8049" s="40" t="s">
        <v>11404</v>
      </c>
      <c r="F8049" s="40" t="s">
        <v>11404</v>
      </c>
      <c r="G8049" s="40" t="s">
        <v>11404</v>
      </c>
      <c r="H8049" s="40" t="s">
        <v>11404</v>
      </c>
    </row>
    <row r="8050">
      <c r="A8050" s="39"/>
      <c r="E8050" s="40" t="s">
        <v>11404</v>
      </c>
      <c r="F8050" s="40" t="s">
        <v>11404</v>
      </c>
      <c r="G8050" s="40" t="s">
        <v>11404</v>
      </c>
      <c r="H8050" s="40" t="s">
        <v>11404</v>
      </c>
    </row>
    <row r="8051">
      <c r="A8051" s="39"/>
      <c r="E8051" s="40" t="s">
        <v>11404</v>
      </c>
      <c r="F8051" s="40" t="s">
        <v>11404</v>
      </c>
      <c r="G8051" s="40" t="s">
        <v>11404</v>
      </c>
      <c r="H8051" s="40" t="s">
        <v>11404</v>
      </c>
    </row>
    <row r="8052">
      <c r="A8052" s="39"/>
      <c r="E8052" s="40" t="s">
        <v>11404</v>
      </c>
      <c r="F8052" s="40" t="s">
        <v>11404</v>
      </c>
      <c r="G8052" s="40" t="s">
        <v>11404</v>
      </c>
      <c r="H8052" s="40" t="s">
        <v>11404</v>
      </c>
    </row>
    <row r="8053">
      <c r="A8053" s="39"/>
      <c r="E8053" s="40" t="s">
        <v>11404</v>
      </c>
      <c r="F8053" s="40" t="s">
        <v>11404</v>
      </c>
      <c r="G8053" s="40" t="s">
        <v>11404</v>
      </c>
      <c r="H8053" s="40" t="s">
        <v>11404</v>
      </c>
    </row>
    <row r="8054">
      <c r="A8054" s="39"/>
      <c r="E8054" s="40" t="s">
        <v>11404</v>
      </c>
      <c r="F8054" s="40" t="s">
        <v>11404</v>
      </c>
      <c r="G8054" s="40" t="s">
        <v>11404</v>
      </c>
      <c r="H8054" s="40" t="s">
        <v>11404</v>
      </c>
    </row>
    <row r="8055">
      <c r="A8055" s="39"/>
      <c r="E8055" s="40" t="s">
        <v>11404</v>
      </c>
      <c r="F8055" s="40" t="s">
        <v>11404</v>
      </c>
      <c r="G8055" s="40" t="s">
        <v>11404</v>
      </c>
      <c r="H8055" s="40" t="s">
        <v>11404</v>
      </c>
    </row>
    <row r="8056">
      <c r="A8056" s="39"/>
      <c r="E8056" s="40" t="s">
        <v>11404</v>
      </c>
      <c r="F8056" s="40" t="s">
        <v>11404</v>
      </c>
      <c r="G8056" s="40" t="s">
        <v>11404</v>
      </c>
      <c r="H8056" s="40" t="s">
        <v>11404</v>
      </c>
    </row>
    <row r="8057">
      <c r="A8057" s="39"/>
      <c r="E8057" s="40" t="s">
        <v>11404</v>
      </c>
      <c r="F8057" s="40" t="s">
        <v>11404</v>
      </c>
      <c r="G8057" s="40" t="s">
        <v>11404</v>
      </c>
      <c r="H8057" s="40" t="s">
        <v>11404</v>
      </c>
    </row>
    <row r="8058">
      <c r="A8058" s="39"/>
      <c r="E8058" s="40" t="s">
        <v>11404</v>
      </c>
      <c r="F8058" s="40" t="s">
        <v>11404</v>
      </c>
      <c r="G8058" s="40" t="s">
        <v>11404</v>
      </c>
      <c r="H8058" s="40" t="s">
        <v>11404</v>
      </c>
    </row>
    <row r="8059">
      <c r="A8059" s="39"/>
      <c r="E8059" s="40" t="s">
        <v>11404</v>
      </c>
      <c r="F8059" s="40" t="s">
        <v>11404</v>
      </c>
      <c r="G8059" s="40" t="s">
        <v>11404</v>
      </c>
      <c r="H8059" s="40" t="s">
        <v>11404</v>
      </c>
    </row>
    <row r="8060">
      <c r="A8060" s="39"/>
      <c r="E8060" s="40" t="s">
        <v>11404</v>
      </c>
      <c r="F8060" s="40" t="s">
        <v>11404</v>
      </c>
      <c r="G8060" s="40" t="s">
        <v>11404</v>
      </c>
      <c r="H8060" s="40" t="s">
        <v>11404</v>
      </c>
    </row>
    <row r="8061">
      <c r="A8061" s="39"/>
      <c r="E8061" s="40" t="s">
        <v>11404</v>
      </c>
      <c r="F8061" s="40" t="s">
        <v>11404</v>
      </c>
      <c r="G8061" s="40" t="s">
        <v>11404</v>
      </c>
      <c r="H8061" s="40" t="s">
        <v>11404</v>
      </c>
    </row>
    <row r="8062">
      <c r="A8062" s="39"/>
      <c r="E8062" s="40" t="s">
        <v>11404</v>
      </c>
      <c r="F8062" s="40" t="s">
        <v>11404</v>
      </c>
      <c r="G8062" s="40" t="s">
        <v>11404</v>
      </c>
      <c r="H8062" s="40" t="s">
        <v>11404</v>
      </c>
    </row>
    <row r="8063">
      <c r="A8063" s="39"/>
      <c r="E8063" s="40" t="s">
        <v>11404</v>
      </c>
      <c r="F8063" s="40" t="s">
        <v>11404</v>
      </c>
      <c r="G8063" s="40" t="s">
        <v>11404</v>
      </c>
      <c r="H8063" s="40" t="s">
        <v>11404</v>
      </c>
    </row>
    <row r="8064">
      <c r="A8064" s="39"/>
      <c r="E8064" s="40" t="s">
        <v>11404</v>
      </c>
      <c r="F8064" s="40" t="s">
        <v>11404</v>
      </c>
      <c r="G8064" s="40" t="s">
        <v>11404</v>
      </c>
      <c r="H8064" s="40" t="s">
        <v>11404</v>
      </c>
    </row>
    <row r="8065">
      <c r="A8065" s="39"/>
      <c r="E8065" s="40" t="s">
        <v>11404</v>
      </c>
      <c r="F8065" s="40" t="s">
        <v>11404</v>
      </c>
      <c r="G8065" s="40" t="s">
        <v>11404</v>
      </c>
      <c r="H8065" s="40" t="s">
        <v>11404</v>
      </c>
    </row>
    <row r="8066">
      <c r="A8066" s="39"/>
      <c r="E8066" s="40" t="s">
        <v>11404</v>
      </c>
      <c r="F8066" s="40" t="s">
        <v>11404</v>
      </c>
      <c r="G8066" s="40" t="s">
        <v>11404</v>
      </c>
      <c r="H8066" s="40" t="s">
        <v>11404</v>
      </c>
    </row>
    <row r="8067">
      <c r="A8067" s="39"/>
      <c r="E8067" s="40" t="s">
        <v>11404</v>
      </c>
      <c r="F8067" s="40" t="s">
        <v>11404</v>
      </c>
      <c r="G8067" s="40" t="s">
        <v>11404</v>
      </c>
      <c r="H8067" s="40" t="s">
        <v>11404</v>
      </c>
    </row>
    <row r="8068">
      <c r="A8068" s="39"/>
      <c r="E8068" s="40" t="s">
        <v>11404</v>
      </c>
      <c r="F8068" s="40" t="s">
        <v>11404</v>
      </c>
      <c r="G8068" s="40" t="s">
        <v>11404</v>
      </c>
      <c r="H8068" s="40" t="s">
        <v>11404</v>
      </c>
    </row>
    <row r="8069">
      <c r="A8069" s="39"/>
      <c r="E8069" s="40" t="s">
        <v>11404</v>
      </c>
      <c r="F8069" s="40" t="s">
        <v>11404</v>
      </c>
      <c r="G8069" s="40" t="s">
        <v>11404</v>
      </c>
      <c r="H8069" s="40" t="s">
        <v>11404</v>
      </c>
    </row>
    <row r="8070">
      <c r="A8070" s="39"/>
      <c r="E8070" s="40" t="s">
        <v>11404</v>
      </c>
      <c r="F8070" s="40" t="s">
        <v>11404</v>
      </c>
      <c r="G8070" s="40" t="s">
        <v>11404</v>
      </c>
      <c r="H8070" s="40" t="s">
        <v>11404</v>
      </c>
    </row>
    <row r="8071">
      <c r="A8071" s="39"/>
      <c r="E8071" s="40" t="s">
        <v>11404</v>
      </c>
      <c r="F8071" s="40" t="s">
        <v>11404</v>
      </c>
      <c r="G8071" s="40" t="s">
        <v>11404</v>
      </c>
      <c r="H8071" s="40" t="s">
        <v>11404</v>
      </c>
    </row>
    <row r="8072">
      <c r="A8072" s="39"/>
      <c r="E8072" s="40" t="s">
        <v>11404</v>
      </c>
      <c r="F8072" s="40" t="s">
        <v>11404</v>
      </c>
      <c r="G8072" s="40" t="s">
        <v>11404</v>
      </c>
      <c r="H8072" s="40" t="s">
        <v>11404</v>
      </c>
    </row>
    <row r="8073">
      <c r="A8073" s="39"/>
      <c r="E8073" s="40" t="s">
        <v>11404</v>
      </c>
      <c r="F8073" s="40" t="s">
        <v>11404</v>
      </c>
      <c r="G8073" s="40" t="s">
        <v>11404</v>
      </c>
      <c r="H8073" s="40" t="s">
        <v>11404</v>
      </c>
    </row>
    <row r="8074">
      <c r="A8074" s="39"/>
      <c r="E8074" s="40" t="s">
        <v>11404</v>
      </c>
      <c r="F8074" s="40" t="s">
        <v>11404</v>
      </c>
      <c r="G8074" s="40" t="s">
        <v>11404</v>
      </c>
      <c r="H8074" s="40" t="s">
        <v>11404</v>
      </c>
    </row>
    <row r="8075">
      <c r="A8075" s="39"/>
      <c r="E8075" s="40" t="s">
        <v>11404</v>
      </c>
      <c r="F8075" s="40" t="s">
        <v>11404</v>
      </c>
      <c r="G8075" s="40" t="s">
        <v>11404</v>
      </c>
      <c r="H8075" s="40" t="s">
        <v>11404</v>
      </c>
    </row>
    <row r="8076">
      <c r="A8076" s="39"/>
      <c r="E8076" s="40" t="s">
        <v>11404</v>
      </c>
      <c r="F8076" s="40" t="s">
        <v>11404</v>
      </c>
      <c r="G8076" s="40" t="s">
        <v>11404</v>
      </c>
      <c r="H8076" s="40" t="s">
        <v>11404</v>
      </c>
    </row>
    <row r="8077">
      <c r="A8077" s="39"/>
      <c r="E8077" s="40" t="s">
        <v>11404</v>
      </c>
      <c r="F8077" s="40" t="s">
        <v>11404</v>
      </c>
      <c r="G8077" s="40" t="s">
        <v>11404</v>
      </c>
      <c r="H8077" s="40" t="s">
        <v>11404</v>
      </c>
    </row>
    <row r="8078">
      <c r="A8078" s="39"/>
      <c r="E8078" s="40" t="s">
        <v>11404</v>
      </c>
      <c r="F8078" s="40" t="s">
        <v>11404</v>
      </c>
      <c r="G8078" s="40" t="s">
        <v>11404</v>
      </c>
      <c r="H8078" s="40" t="s">
        <v>11404</v>
      </c>
    </row>
    <row r="8079">
      <c r="A8079" s="39"/>
      <c r="E8079" s="40" t="s">
        <v>11404</v>
      </c>
      <c r="F8079" s="40" t="s">
        <v>11404</v>
      </c>
      <c r="G8079" s="40" t="s">
        <v>11404</v>
      </c>
      <c r="H8079" s="40" t="s">
        <v>11404</v>
      </c>
    </row>
    <row r="8080">
      <c r="A8080" s="39"/>
      <c r="E8080" s="40" t="s">
        <v>11404</v>
      </c>
      <c r="F8080" s="40" t="s">
        <v>11404</v>
      </c>
      <c r="G8080" s="40" t="s">
        <v>11404</v>
      </c>
      <c r="H8080" s="40" t="s">
        <v>11404</v>
      </c>
    </row>
    <row r="8081">
      <c r="A8081" s="39"/>
      <c r="E8081" s="40" t="s">
        <v>11404</v>
      </c>
      <c r="F8081" s="40" t="s">
        <v>11404</v>
      </c>
      <c r="G8081" s="40" t="s">
        <v>11404</v>
      </c>
      <c r="H8081" s="40" t="s">
        <v>11404</v>
      </c>
    </row>
    <row r="8082">
      <c r="A8082" s="39"/>
      <c r="E8082" s="40" t="s">
        <v>11404</v>
      </c>
      <c r="F8082" s="40" t="s">
        <v>11404</v>
      </c>
      <c r="G8082" s="40" t="s">
        <v>11404</v>
      </c>
      <c r="H8082" s="40" t="s">
        <v>11404</v>
      </c>
    </row>
    <row r="8083">
      <c r="A8083" s="39"/>
      <c r="E8083" s="40" t="s">
        <v>11404</v>
      </c>
      <c r="F8083" s="40" t="s">
        <v>11404</v>
      </c>
      <c r="G8083" s="40" t="s">
        <v>11404</v>
      </c>
      <c r="H8083" s="40" t="s">
        <v>11404</v>
      </c>
    </row>
    <row r="8084">
      <c r="A8084" s="39"/>
      <c r="E8084" s="40" t="s">
        <v>11404</v>
      </c>
      <c r="F8084" s="40" t="s">
        <v>11404</v>
      </c>
      <c r="G8084" s="40" t="s">
        <v>11404</v>
      </c>
      <c r="H8084" s="40" t="s">
        <v>11404</v>
      </c>
    </row>
    <row r="8085">
      <c r="A8085" s="39"/>
      <c r="E8085" s="40" t="s">
        <v>11404</v>
      </c>
      <c r="F8085" s="40" t="s">
        <v>11404</v>
      </c>
      <c r="G8085" s="40" t="s">
        <v>11404</v>
      </c>
      <c r="H8085" s="40" t="s">
        <v>11404</v>
      </c>
    </row>
    <row r="8086">
      <c r="A8086" s="39"/>
      <c r="E8086" s="40" t="s">
        <v>11404</v>
      </c>
      <c r="F8086" s="40" t="s">
        <v>11404</v>
      </c>
      <c r="G8086" s="40" t="s">
        <v>11404</v>
      </c>
      <c r="H8086" s="40" t="s">
        <v>11404</v>
      </c>
    </row>
    <row r="8087">
      <c r="A8087" s="39"/>
      <c r="E8087" s="40" t="s">
        <v>11404</v>
      </c>
      <c r="F8087" s="40" t="s">
        <v>11404</v>
      </c>
      <c r="G8087" s="40" t="s">
        <v>11404</v>
      </c>
      <c r="H8087" s="40" t="s">
        <v>11404</v>
      </c>
    </row>
    <row r="8088">
      <c r="A8088" s="39"/>
      <c r="E8088" s="40" t="s">
        <v>11404</v>
      </c>
      <c r="F8088" s="40" t="s">
        <v>11404</v>
      </c>
      <c r="G8088" s="40" t="s">
        <v>11404</v>
      </c>
      <c r="H8088" s="40" t="s">
        <v>11404</v>
      </c>
    </row>
    <row r="8089">
      <c r="A8089" s="39"/>
      <c r="E8089" s="40" t="s">
        <v>11404</v>
      </c>
      <c r="F8089" s="40" t="s">
        <v>11404</v>
      </c>
      <c r="G8089" s="40" t="s">
        <v>11404</v>
      </c>
      <c r="H8089" s="40" t="s">
        <v>11404</v>
      </c>
    </row>
    <row r="8090">
      <c r="A8090" s="39"/>
      <c r="E8090" s="40" t="s">
        <v>11404</v>
      </c>
      <c r="F8090" s="40" t="s">
        <v>11404</v>
      </c>
      <c r="G8090" s="40" t="s">
        <v>11404</v>
      </c>
      <c r="H8090" s="40" t="s">
        <v>11404</v>
      </c>
    </row>
    <row r="8091">
      <c r="A8091" s="39"/>
      <c r="E8091" s="40" t="s">
        <v>11404</v>
      </c>
      <c r="F8091" s="40" t="s">
        <v>11404</v>
      </c>
      <c r="G8091" s="40" t="s">
        <v>11404</v>
      </c>
      <c r="H8091" s="40" t="s">
        <v>11404</v>
      </c>
    </row>
    <row r="8092">
      <c r="A8092" s="39"/>
      <c r="E8092" s="40" t="s">
        <v>11404</v>
      </c>
      <c r="F8092" s="40" t="s">
        <v>11404</v>
      </c>
      <c r="G8092" s="40" t="s">
        <v>11404</v>
      </c>
      <c r="H8092" s="40" t="s">
        <v>11404</v>
      </c>
    </row>
    <row r="8093">
      <c r="A8093" s="39"/>
      <c r="E8093" s="40" t="s">
        <v>11404</v>
      </c>
      <c r="F8093" s="40" t="s">
        <v>11404</v>
      </c>
      <c r="G8093" s="40" t="s">
        <v>11404</v>
      </c>
      <c r="H8093" s="40" t="s">
        <v>11404</v>
      </c>
    </row>
    <row r="8094">
      <c r="A8094" s="39"/>
      <c r="E8094" s="40" t="s">
        <v>11404</v>
      </c>
      <c r="F8094" s="40" t="s">
        <v>11404</v>
      </c>
      <c r="G8094" s="40" t="s">
        <v>11404</v>
      </c>
      <c r="H8094" s="40" t="s">
        <v>11404</v>
      </c>
    </row>
    <row r="8095">
      <c r="A8095" s="39"/>
      <c r="E8095" s="40" t="s">
        <v>11404</v>
      </c>
      <c r="F8095" s="40" t="s">
        <v>11404</v>
      </c>
      <c r="G8095" s="40" t="s">
        <v>11404</v>
      </c>
      <c r="H8095" s="40" t="s">
        <v>11404</v>
      </c>
    </row>
    <row r="8096">
      <c r="A8096" s="39"/>
      <c r="E8096" s="40" t="s">
        <v>11404</v>
      </c>
      <c r="F8096" s="40" t="s">
        <v>11404</v>
      </c>
      <c r="G8096" s="40" t="s">
        <v>11404</v>
      </c>
      <c r="H8096" s="40" t="s">
        <v>11404</v>
      </c>
    </row>
    <row r="8097">
      <c r="A8097" s="39"/>
      <c r="E8097" s="40" t="s">
        <v>11404</v>
      </c>
      <c r="F8097" s="40" t="s">
        <v>11404</v>
      </c>
      <c r="G8097" s="40" t="s">
        <v>11404</v>
      </c>
      <c r="H8097" s="40" t="s">
        <v>11404</v>
      </c>
    </row>
    <row r="8098">
      <c r="A8098" s="39"/>
      <c r="E8098" s="40" t="s">
        <v>11404</v>
      </c>
      <c r="F8098" s="40" t="s">
        <v>11404</v>
      </c>
      <c r="G8098" s="40" t="s">
        <v>11404</v>
      </c>
      <c r="H8098" s="40" t="s">
        <v>11404</v>
      </c>
    </row>
    <row r="8099">
      <c r="A8099" s="39"/>
      <c r="E8099" s="40" t="s">
        <v>11404</v>
      </c>
      <c r="F8099" s="40" t="s">
        <v>11404</v>
      </c>
      <c r="G8099" s="40" t="s">
        <v>11404</v>
      </c>
      <c r="H8099" s="40" t="s">
        <v>11404</v>
      </c>
    </row>
    <row r="8100">
      <c r="A8100" s="39"/>
      <c r="E8100" s="40" t="s">
        <v>11404</v>
      </c>
      <c r="F8100" s="40" t="s">
        <v>11404</v>
      </c>
      <c r="G8100" s="40" t="s">
        <v>11404</v>
      </c>
      <c r="H8100" s="40" t="s">
        <v>11404</v>
      </c>
    </row>
    <row r="8101">
      <c r="A8101" s="39"/>
      <c r="E8101" s="40" t="s">
        <v>11404</v>
      </c>
      <c r="F8101" s="40" t="s">
        <v>11404</v>
      </c>
      <c r="G8101" s="40" t="s">
        <v>11404</v>
      </c>
      <c r="H8101" s="40" t="s">
        <v>11404</v>
      </c>
    </row>
    <row r="8102">
      <c r="A8102" s="39"/>
      <c r="E8102" s="40" t="s">
        <v>11404</v>
      </c>
      <c r="F8102" s="40" t="s">
        <v>11404</v>
      </c>
      <c r="G8102" s="40" t="s">
        <v>11404</v>
      </c>
      <c r="H8102" s="40" t="s">
        <v>11404</v>
      </c>
    </row>
    <row r="8103">
      <c r="A8103" s="39"/>
      <c r="E8103" s="40" t="s">
        <v>11404</v>
      </c>
      <c r="F8103" s="40" t="s">
        <v>11404</v>
      </c>
      <c r="G8103" s="40" t="s">
        <v>11404</v>
      </c>
      <c r="H8103" s="40" t="s">
        <v>11404</v>
      </c>
    </row>
    <row r="8104">
      <c r="A8104" s="39"/>
      <c r="E8104" s="40" t="s">
        <v>11404</v>
      </c>
      <c r="F8104" s="40" t="s">
        <v>11404</v>
      </c>
      <c r="G8104" s="40" t="s">
        <v>11404</v>
      </c>
      <c r="H8104" s="40" t="s">
        <v>11404</v>
      </c>
    </row>
    <row r="8105">
      <c r="A8105" s="39"/>
      <c r="E8105" s="40" t="s">
        <v>11404</v>
      </c>
      <c r="F8105" s="40" t="s">
        <v>11404</v>
      </c>
      <c r="G8105" s="40" t="s">
        <v>11404</v>
      </c>
      <c r="H8105" s="40" t="s">
        <v>11404</v>
      </c>
    </row>
    <row r="8106">
      <c r="A8106" s="39"/>
      <c r="E8106" s="40" t="s">
        <v>11404</v>
      </c>
      <c r="F8106" s="40" t="s">
        <v>11404</v>
      </c>
      <c r="G8106" s="40" t="s">
        <v>11404</v>
      </c>
      <c r="H8106" s="40" t="s">
        <v>11404</v>
      </c>
    </row>
    <row r="8107">
      <c r="A8107" s="39"/>
      <c r="E8107" s="40" t="s">
        <v>11404</v>
      </c>
      <c r="F8107" s="40" t="s">
        <v>11404</v>
      </c>
      <c r="G8107" s="40" t="s">
        <v>11404</v>
      </c>
      <c r="H8107" s="40" t="s">
        <v>11404</v>
      </c>
    </row>
    <row r="8108">
      <c r="A8108" s="39"/>
      <c r="E8108" s="40" t="s">
        <v>11404</v>
      </c>
      <c r="F8108" s="40" t="s">
        <v>11404</v>
      </c>
      <c r="G8108" s="40" t="s">
        <v>11404</v>
      </c>
      <c r="H8108" s="40" t="s">
        <v>11404</v>
      </c>
    </row>
    <row r="8109">
      <c r="A8109" s="39"/>
      <c r="E8109" s="40" t="s">
        <v>11404</v>
      </c>
      <c r="F8109" s="40" t="s">
        <v>11404</v>
      </c>
      <c r="G8109" s="40" t="s">
        <v>11404</v>
      </c>
      <c r="H8109" s="40" t="s">
        <v>11404</v>
      </c>
    </row>
    <row r="8110">
      <c r="A8110" s="39"/>
      <c r="E8110" s="40" t="s">
        <v>11404</v>
      </c>
      <c r="F8110" s="40" t="s">
        <v>11404</v>
      </c>
      <c r="G8110" s="40" t="s">
        <v>11404</v>
      </c>
      <c r="H8110" s="40" t="s">
        <v>11404</v>
      </c>
    </row>
    <row r="8111">
      <c r="A8111" s="39"/>
      <c r="E8111" s="40" t="s">
        <v>11404</v>
      </c>
      <c r="F8111" s="40" t="s">
        <v>11404</v>
      </c>
      <c r="G8111" s="40" t="s">
        <v>11404</v>
      </c>
      <c r="H8111" s="40" t="s">
        <v>11404</v>
      </c>
    </row>
    <row r="8112">
      <c r="A8112" s="39"/>
      <c r="E8112" s="40" t="s">
        <v>11404</v>
      </c>
      <c r="F8112" s="40" t="s">
        <v>11404</v>
      </c>
      <c r="G8112" s="40" t="s">
        <v>11404</v>
      </c>
      <c r="H8112" s="40" t="s">
        <v>11404</v>
      </c>
    </row>
    <row r="8113">
      <c r="A8113" s="39"/>
      <c r="E8113" s="40" t="s">
        <v>11404</v>
      </c>
      <c r="F8113" s="40" t="s">
        <v>11404</v>
      </c>
      <c r="G8113" s="40" t="s">
        <v>11404</v>
      </c>
      <c r="H8113" s="40" t="s">
        <v>11404</v>
      </c>
    </row>
    <row r="8114">
      <c r="A8114" s="39"/>
      <c r="E8114" s="40" t="s">
        <v>11404</v>
      </c>
      <c r="F8114" s="40" t="s">
        <v>11404</v>
      </c>
      <c r="G8114" s="40" t="s">
        <v>11404</v>
      </c>
      <c r="H8114" s="40" t="s">
        <v>11404</v>
      </c>
    </row>
    <row r="8115">
      <c r="A8115" s="39"/>
      <c r="E8115" s="40" t="s">
        <v>11404</v>
      </c>
      <c r="F8115" s="40" t="s">
        <v>11404</v>
      </c>
      <c r="G8115" s="40" t="s">
        <v>11404</v>
      </c>
      <c r="H8115" s="40" t="s">
        <v>11404</v>
      </c>
    </row>
    <row r="8116">
      <c r="A8116" s="39"/>
      <c r="E8116" s="40" t="s">
        <v>11404</v>
      </c>
      <c r="F8116" s="40" t="s">
        <v>11404</v>
      </c>
      <c r="G8116" s="40" t="s">
        <v>11404</v>
      </c>
      <c r="H8116" s="40" t="s">
        <v>11404</v>
      </c>
    </row>
    <row r="8117">
      <c r="A8117" s="39"/>
      <c r="E8117" s="40" t="s">
        <v>11404</v>
      </c>
      <c r="F8117" s="40" t="s">
        <v>11404</v>
      </c>
      <c r="G8117" s="40" t="s">
        <v>11404</v>
      </c>
      <c r="H8117" s="40" t="s">
        <v>11404</v>
      </c>
    </row>
    <row r="8118">
      <c r="A8118" s="39"/>
      <c r="E8118" s="40" t="s">
        <v>11404</v>
      </c>
      <c r="F8118" s="40" t="s">
        <v>11404</v>
      </c>
      <c r="G8118" s="40" t="s">
        <v>11404</v>
      </c>
      <c r="H8118" s="40" t="s">
        <v>11404</v>
      </c>
    </row>
    <row r="8119">
      <c r="A8119" s="39"/>
      <c r="E8119" s="40" t="s">
        <v>11404</v>
      </c>
      <c r="F8119" s="40" t="s">
        <v>11404</v>
      </c>
      <c r="G8119" s="40" t="s">
        <v>11404</v>
      </c>
      <c r="H8119" s="40" t="s">
        <v>11404</v>
      </c>
    </row>
    <row r="8120">
      <c r="A8120" s="39"/>
      <c r="E8120" s="40" t="s">
        <v>11404</v>
      </c>
      <c r="F8120" s="40" t="s">
        <v>11404</v>
      </c>
      <c r="G8120" s="40" t="s">
        <v>11404</v>
      </c>
      <c r="H8120" s="40" t="s">
        <v>11404</v>
      </c>
    </row>
    <row r="8121">
      <c r="A8121" s="39"/>
      <c r="E8121" s="40" t="s">
        <v>11404</v>
      </c>
      <c r="F8121" s="40" t="s">
        <v>11404</v>
      </c>
      <c r="G8121" s="40" t="s">
        <v>11404</v>
      </c>
      <c r="H8121" s="40" t="s">
        <v>11404</v>
      </c>
    </row>
    <row r="8122">
      <c r="A8122" s="39"/>
      <c r="E8122" s="40" t="s">
        <v>11404</v>
      </c>
      <c r="F8122" s="40" t="s">
        <v>11404</v>
      </c>
      <c r="G8122" s="40" t="s">
        <v>11404</v>
      </c>
      <c r="H8122" s="40" t="s">
        <v>11404</v>
      </c>
    </row>
    <row r="8123">
      <c r="A8123" s="39"/>
      <c r="E8123" s="40" t="s">
        <v>11404</v>
      </c>
      <c r="F8123" s="40" t="s">
        <v>11404</v>
      </c>
      <c r="G8123" s="40" t="s">
        <v>11404</v>
      </c>
      <c r="H8123" s="40" t="s">
        <v>11404</v>
      </c>
    </row>
    <row r="8124">
      <c r="A8124" s="39"/>
      <c r="E8124" s="40" t="s">
        <v>11404</v>
      </c>
      <c r="F8124" s="40" t="s">
        <v>11404</v>
      </c>
      <c r="G8124" s="40" t="s">
        <v>11404</v>
      </c>
      <c r="H8124" s="40" t="s">
        <v>11404</v>
      </c>
    </row>
    <row r="8125">
      <c r="A8125" s="39"/>
      <c r="E8125" s="40" t="s">
        <v>11404</v>
      </c>
      <c r="F8125" s="40" t="s">
        <v>11404</v>
      </c>
      <c r="G8125" s="40" t="s">
        <v>11404</v>
      </c>
      <c r="H8125" s="40" t="s">
        <v>11404</v>
      </c>
    </row>
    <row r="8126">
      <c r="A8126" s="39"/>
      <c r="E8126" s="40" t="s">
        <v>11404</v>
      </c>
      <c r="F8126" s="40" t="s">
        <v>11404</v>
      </c>
      <c r="G8126" s="40" t="s">
        <v>11404</v>
      </c>
      <c r="H8126" s="40" t="s">
        <v>11404</v>
      </c>
    </row>
    <row r="8127">
      <c r="A8127" s="39"/>
      <c r="E8127" s="40" t="s">
        <v>11404</v>
      </c>
      <c r="F8127" s="40" t="s">
        <v>11404</v>
      </c>
      <c r="G8127" s="40" t="s">
        <v>11404</v>
      </c>
      <c r="H8127" s="40" t="s">
        <v>11404</v>
      </c>
    </row>
    <row r="8128">
      <c r="A8128" s="39"/>
      <c r="E8128" s="40" t="s">
        <v>11404</v>
      </c>
      <c r="F8128" s="40" t="s">
        <v>11404</v>
      </c>
      <c r="G8128" s="40" t="s">
        <v>11404</v>
      </c>
      <c r="H8128" s="40" t="s">
        <v>11404</v>
      </c>
    </row>
    <row r="8129">
      <c r="A8129" s="39"/>
      <c r="E8129" s="40" t="s">
        <v>11404</v>
      </c>
      <c r="F8129" s="40" t="s">
        <v>11404</v>
      </c>
      <c r="G8129" s="40" t="s">
        <v>11404</v>
      </c>
      <c r="H8129" s="40" t="s">
        <v>11404</v>
      </c>
    </row>
    <row r="8130">
      <c r="A8130" s="39"/>
      <c r="E8130" s="40" t="s">
        <v>11404</v>
      </c>
      <c r="F8130" s="40" t="s">
        <v>11404</v>
      </c>
      <c r="G8130" s="40" t="s">
        <v>11404</v>
      </c>
      <c r="H8130" s="40" t="s">
        <v>11404</v>
      </c>
    </row>
    <row r="8131">
      <c r="A8131" s="39"/>
      <c r="E8131" s="40" t="s">
        <v>11404</v>
      </c>
      <c r="F8131" s="40" t="s">
        <v>11404</v>
      </c>
      <c r="G8131" s="40" t="s">
        <v>11404</v>
      </c>
      <c r="H8131" s="40" t="s">
        <v>11404</v>
      </c>
    </row>
    <row r="8132">
      <c r="A8132" s="39"/>
      <c r="E8132" s="40" t="s">
        <v>11404</v>
      </c>
      <c r="F8132" s="40" t="s">
        <v>11404</v>
      </c>
      <c r="G8132" s="40" t="s">
        <v>11404</v>
      </c>
      <c r="H8132" s="40" t="s">
        <v>11404</v>
      </c>
    </row>
    <row r="8133">
      <c r="A8133" s="39"/>
      <c r="E8133" s="40" t="s">
        <v>11404</v>
      </c>
      <c r="F8133" s="40" t="s">
        <v>11404</v>
      </c>
      <c r="G8133" s="40" t="s">
        <v>11404</v>
      </c>
      <c r="H8133" s="40" t="s">
        <v>11404</v>
      </c>
    </row>
    <row r="8134">
      <c r="A8134" s="39"/>
      <c r="E8134" s="40" t="s">
        <v>11404</v>
      </c>
      <c r="F8134" s="40" t="s">
        <v>11404</v>
      </c>
      <c r="G8134" s="40" t="s">
        <v>11404</v>
      </c>
      <c r="H8134" s="40" t="s">
        <v>11404</v>
      </c>
    </row>
    <row r="8135">
      <c r="A8135" s="39"/>
      <c r="E8135" s="40" t="s">
        <v>11404</v>
      </c>
      <c r="F8135" s="40" t="s">
        <v>11404</v>
      </c>
      <c r="G8135" s="40" t="s">
        <v>11404</v>
      </c>
      <c r="H8135" s="40" t="s">
        <v>11404</v>
      </c>
    </row>
    <row r="8136">
      <c r="A8136" s="39"/>
      <c r="E8136" s="40" t="s">
        <v>11404</v>
      </c>
      <c r="F8136" s="40" t="s">
        <v>11404</v>
      </c>
      <c r="G8136" s="40" t="s">
        <v>11404</v>
      </c>
      <c r="H8136" s="40" t="s">
        <v>11404</v>
      </c>
    </row>
    <row r="8137">
      <c r="A8137" s="39"/>
      <c r="E8137" s="40" t="s">
        <v>11404</v>
      </c>
      <c r="F8137" s="40" t="s">
        <v>11404</v>
      </c>
      <c r="G8137" s="40" t="s">
        <v>11404</v>
      </c>
      <c r="H8137" s="40" t="s">
        <v>11404</v>
      </c>
    </row>
    <row r="8138">
      <c r="A8138" s="39"/>
      <c r="E8138" s="40" t="s">
        <v>11404</v>
      </c>
      <c r="F8138" s="40" t="s">
        <v>11404</v>
      </c>
      <c r="G8138" s="40" t="s">
        <v>11404</v>
      </c>
      <c r="H8138" s="40" t="s">
        <v>11404</v>
      </c>
    </row>
    <row r="8139">
      <c r="A8139" s="39"/>
      <c r="E8139" s="40" t="s">
        <v>11404</v>
      </c>
      <c r="F8139" s="40" t="s">
        <v>11404</v>
      </c>
      <c r="G8139" s="40" t="s">
        <v>11404</v>
      </c>
      <c r="H8139" s="40" t="s">
        <v>11404</v>
      </c>
    </row>
    <row r="8140">
      <c r="A8140" s="39"/>
      <c r="E8140" s="40" t="s">
        <v>11404</v>
      </c>
      <c r="F8140" s="40" t="s">
        <v>11404</v>
      </c>
      <c r="G8140" s="40" t="s">
        <v>11404</v>
      </c>
      <c r="H8140" s="40" t="s">
        <v>11404</v>
      </c>
    </row>
    <row r="8141">
      <c r="A8141" s="39"/>
      <c r="E8141" s="40" t="s">
        <v>11404</v>
      </c>
      <c r="F8141" s="40" t="s">
        <v>11404</v>
      </c>
      <c r="G8141" s="40" t="s">
        <v>11404</v>
      </c>
      <c r="H8141" s="40" t="s">
        <v>11404</v>
      </c>
    </row>
    <row r="8142">
      <c r="A8142" s="39"/>
      <c r="E8142" s="40" t="s">
        <v>11404</v>
      </c>
      <c r="F8142" s="40" t="s">
        <v>11404</v>
      </c>
      <c r="G8142" s="40" t="s">
        <v>11404</v>
      </c>
      <c r="H8142" s="40" t="s">
        <v>11404</v>
      </c>
    </row>
    <row r="8143">
      <c r="A8143" s="39"/>
      <c r="E8143" s="40" t="s">
        <v>11404</v>
      </c>
      <c r="F8143" s="40" t="s">
        <v>11404</v>
      </c>
      <c r="G8143" s="40" t="s">
        <v>11404</v>
      </c>
      <c r="H8143" s="40" t="s">
        <v>11404</v>
      </c>
    </row>
    <row r="8144">
      <c r="A8144" s="39"/>
      <c r="E8144" s="40" t="s">
        <v>11404</v>
      </c>
      <c r="F8144" s="40" t="s">
        <v>11404</v>
      </c>
      <c r="G8144" s="40" t="s">
        <v>11404</v>
      </c>
      <c r="H8144" s="40" t="s">
        <v>11404</v>
      </c>
    </row>
    <row r="8145">
      <c r="A8145" s="39"/>
      <c r="E8145" s="40" t="s">
        <v>11404</v>
      </c>
      <c r="F8145" s="40" t="s">
        <v>11404</v>
      </c>
      <c r="G8145" s="40" t="s">
        <v>11404</v>
      </c>
      <c r="H8145" s="40" t="s">
        <v>11404</v>
      </c>
    </row>
    <row r="8146">
      <c r="A8146" s="39"/>
      <c r="E8146" s="40" t="s">
        <v>11404</v>
      </c>
      <c r="F8146" s="40" t="s">
        <v>11404</v>
      </c>
      <c r="G8146" s="40" t="s">
        <v>11404</v>
      </c>
      <c r="H8146" s="40" t="s">
        <v>11404</v>
      </c>
    </row>
    <row r="8147">
      <c r="A8147" s="39"/>
      <c r="E8147" s="40" t="s">
        <v>11404</v>
      </c>
      <c r="F8147" s="40" t="s">
        <v>11404</v>
      </c>
      <c r="G8147" s="40" t="s">
        <v>11404</v>
      </c>
      <c r="H8147" s="40" t="s">
        <v>11404</v>
      </c>
    </row>
    <row r="8148">
      <c r="A8148" s="39"/>
      <c r="E8148" s="40" t="s">
        <v>11404</v>
      </c>
      <c r="F8148" s="40" t="s">
        <v>11404</v>
      </c>
      <c r="G8148" s="40" t="s">
        <v>11404</v>
      </c>
      <c r="H8148" s="40" t="s">
        <v>11404</v>
      </c>
    </row>
    <row r="8149">
      <c r="A8149" s="39"/>
      <c r="E8149" s="40" t="s">
        <v>11404</v>
      </c>
      <c r="F8149" s="40" t="s">
        <v>11404</v>
      </c>
      <c r="G8149" s="40" t="s">
        <v>11404</v>
      </c>
      <c r="H8149" s="40" t="s">
        <v>11404</v>
      </c>
    </row>
    <row r="8150">
      <c r="A8150" s="39"/>
      <c r="E8150" s="40" t="s">
        <v>11404</v>
      </c>
      <c r="F8150" s="40" t="s">
        <v>11404</v>
      </c>
      <c r="G8150" s="40" t="s">
        <v>11404</v>
      </c>
      <c r="H8150" s="40" t="s">
        <v>11404</v>
      </c>
    </row>
    <row r="8151">
      <c r="A8151" s="39"/>
      <c r="E8151" s="40" t="s">
        <v>11404</v>
      </c>
      <c r="F8151" s="40" t="s">
        <v>11404</v>
      </c>
      <c r="G8151" s="40" t="s">
        <v>11404</v>
      </c>
      <c r="H8151" s="40" t="s">
        <v>11404</v>
      </c>
    </row>
    <row r="8152">
      <c r="A8152" s="39"/>
      <c r="E8152" s="40" t="s">
        <v>11404</v>
      </c>
      <c r="F8152" s="40" t="s">
        <v>11404</v>
      </c>
      <c r="G8152" s="40" t="s">
        <v>11404</v>
      </c>
      <c r="H8152" s="40" t="s">
        <v>11404</v>
      </c>
    </row>
    <row r="8153">
      <c r="A8153" s="39"/>
      <c r="E8153" s="40" t="s">
        <v>11404</v>
      </c>
      <c r="F8153" s="40" t="s">
        <v>11404</v>
      </c>
      <c r="G8153" s="40" t="s">
        <v>11404</v>
      </c>
      <c r="H8153" s="40" t="s">
        <v>11404</v>
      </c>
    </row>
    <row r="8154">
      <c r="A8154" s="39"/>
      <c r="E8154" s="40" t="s">
        <v>11404</v>
      </c>
      <c r="F8154" s="40" t="s">
        <v>11404</v>
      </c>
      <c r="G8154" s="40" t="s">
        <v>11404</v>
      </c>
      <c r="H8154" s="40" t="s">
        <v>11404</v>
      </c>
    </row>
    <row r="8155">
      <c r="A8155" s="39"/>
      <c r="E8155" s="40" t="s">
        <v>11404</v>
      </c>
      <c r="F8155" s="40" t="s">
        <v>11404</v>
      </c>
      <c r="G8155" s="40" t="s">
        <v>11404</v>
      </c>
      <c r="H8155" s="40" t="s">
        <v>11404</v>
      </c>
    </row>
    <row r="8156">
      <c r="A8156" s="39"/>
      <c r="E8156" s="40" t="s">
        <v>11404</v>
      </c>
      <c r="F8156" s="40" t="s">
        <v>11404</v>
      </c>
      <c r="G8156" s="40" t="s">
        <v>11404</v>
      </c>
      <c r="H8156" s="40" t="s">
        <v>11404</v>
      </c>
    </row>
    <row r="8157">
      <c r="A8157" s="39"/>
      <c r="E8157" s="40" t="s">
        <v>11404</v>
      </c>
      <c r="F8157" s="40" t="s">
        <v>11404</v>
      </c>
      <c r="G8157" s="40" t="s">
        <v>11404</v>
      </c>
      <c r="H8157" s="40" t="s">
        <v>11404</v>
      </c>
    </row>
    <row r="8158">
      <c r="A8158" s="39"/>
      <c r="E8158" s="40" t="s">
        <v>11404</v>
      </c>
      <c r="F8158" s="40" t="s">
        <v>11404</v>
      </c>
      <c r="G8158" s="40" t="s">
        <v>11404</v>
      </c>
      <c r="H8158" s="40" t="s">
        <v>11404</v>
      </c>
    </row>
    <row r="8159">
      <c r="A8159" s="39"/>
      <c r="E8159" s="40" t="s">
        <v>11404</v>
      </c>
      <c r="F8159" s="40" t="s">
        <v>11404</v>
      </c>
      <c r="G8159" s="40" t="s">
        <v>11404</v>
      </c>
      <c r="H8159" s="40" t="s">
        <v>11404</v>
      </c>
    </row>
    <row r="8160">
      <c r="A8160" s="39"/>
      <c r="E8160" s="40" t="s">
        <v>11404</v>
      </c>
      <c r="F8160" s="40" t="s">
        <v>11404</v>
      </c>
      <c r="G8160" s="40" t="s">
        <v>11404</v>
      </c>
      <c r="H8160" s="40" t="s">
        <v>11404</v>
      </c>
    </row>
    <row r="8161">
      <c r="A8161" s="39"/>
      <c r="E8161" s="40" t="s">
        <v>11404</v>
      </c>
      <c r="F8161" s="40" t="s">
        <v>11404</v>
      </c>
      <c r="G8161" s="40" t="s">
        <v>11404</v>
      </c>
      <c r="H8161" s="40" t="s">
        <v>11404</v>
      </c>
    </row>
    <row r="8162">
      <c r="A8162" s="39"/>
      <c r="E8162" s="40" t="s">
        <v>11404</v>
      </c>
      <c r="F8162" s="40" t="s">
        <v>11404</v>
      </c>
      <c r="G8162" s="40" t="s">
        <v>11404</v>
      </c>
      <c r="H8162" s="40" t="s">
        <v>11404</v>
      </c>
    </row>
    <row r="8163">
      <c r="A8163" s="39"/>
      <c r="E8163" s="40" t="s">
        <v>11404</v>
      </c>
      <c r="F8163" s="40" t="s">
        <v>11404</v>
      </c>
      <c r="G8163" s="40" t="s">
        <v>11404</v>
      </c>
      <c r="H8163" s="40" t="s">
        <v>11404</v>
      </c>
    </row>
    <row r="8164">
      <c r="A8164" s="39"/>
      <c r="E8164" s="40" t="s">
        <v>11404</v>
      </c>
      <c r="F8164" s="40" t="s">
        <v>11404</v>
      </c>
      <c r="G8164" s="40" t="s">
        <v>11404</v>
      </c>
      <c r="H8164" s="40" t="s">
        <v>11404</v>
      </c>
    </row>
    <row r="8165">
      <c r="A8165" s="39"/>
      <c r="E8165" s="40" t="s">
        <v>11404</v>
      </c>
      <c r="F8165" s="40" t="s">
        <v>11404</v>
      </c>
      <c r="G8165" s="40" t="s">
        <v>11404</v>
      </c>
      <c r="H8165" s="40" t="s">
        <v>11404</v>
      </c>
    </row>
    <row r="8166">
      <c r="A8166" s="39"/>
      <c r="E8166" s="40" t="s">
        <v>11404</v>
      </c>
      <c r="F8166" s="40" t="s">
        <v>11404</v>
      </c>
      <c r="G8166" s="40" t="s">
        <v>11404</v>
      </c>
      <c r="H8166" s="40" t="s">
        <v>11404</v>
      </c>
    </row>
    <row r="8167">
      <c r="A8167" s="39"/>
      <c r="E8167" s="40" t="s">
        <v>11404</v>
      </c>
      <c r="F8167" s="40" t="s">
        <v>11404</v>
      </c>
      <c r="G8167" s="40" t="s">
        <v>11404</v>
      </c>
      <c r="H8167" s="40" t="s">
        <v>11404</v>
      </c>
    </row>
    <row r="8168">
      <c r="A8168" s="39"/>
      <c r="E8168" s="40" t="s">
        <v>11404</v>
      </c>
      <c r="F8168" s="40" t="s">
        <v>11404</v>
      </c>
      <c r="G8168" s="40" t="s">
        <v>11404</v>
      </c>
      <c r="H8168" s="40" t="s">
        <v>11404</v>
      </c>
    </row>
    <row r="8169">
      <c r="A8169" s="39"/>
      <c r="E8169" s="40" t="s">
        <v>11404</v>
      </c>
      <c r="F8169" s="40" t="s">
        <v>11404</v>
      </c>
      <c r="G8169" s="40" t="s">
        <v>11404</v>
      </c>
      <c r="H8169" s="40" t="s">
        <v>11404</v>
      </c>
    </row>
    <row r="8170">
      <c r="A8170" s="39"/>
      <c r="E8170" s="40" t="s">
        <v>11404</v>
      </c>
      <c r="F8170" s="40" t="s">
        <v>11404</v>
      </c>
      <c r="G8170" s="40" t="s">
        <v>11404</v>
      </c>
      <c r="H8170" s="40" t="s">
        <v>11404</v>
      </c>
    </row>
    <row r="8171">
      <c r="A8171" s="39"/>
      <c r="E8171" s="40" t="s">
        <v>11404</v>
      </c>
      <c r="F8171" s="40" t="s">
        <v>11404</v>
      </c>
      <c r="G8171" s="40" t="s">
        <v>11404</v>
      </c>
      <c r="H8171" s="40" t="s">
        <v>11404</v>
      </c>
    </row>
    <row r="8172">
      <c r="A8172" s="39"/>
      <c r="E8172" s="40" t="s">
        <v>11404</v>
      </c>
      <c r="F8172" s="40" t="s">
        <v>11404</v>
      </c>
      <c r="G8172" s="40" t="s">
        <v>11404</v>
      </c>
      <c r="H8172" s="40" t="s">
        <v>11404</v>
      </c>
    </row>
    <row r="8173">
      <c r="A8173" s="39"/>
      <c r="E8173" s="40" t="s">
        <v>11404</v>
      </c>
      <c r="F8173" s="40" t="s">
        <v>11404</v>
      </c>
      <c r="G8173" s="40" t="s">
        <v>11404</v>
      </c>
      <c r="H8173" s="40" t="s">
        <v>11404</v>
      </c>
    </row>
    <row r="8174">
      <c r="A8174" s="39"/>
      <c r="E8174" s="40" t="s">
        <v>11404</v>
      </c>
      <c r="F8174" s="40" t="s">
        <v>11404</v>
      </c>
      <c r="G8174" s="40" t="s">
        <v>11404</v>
      </c>
      <c r="H8174" s="40" t="s">
        <v>11404</v>
      </c>
    </row>
    <row r="8175">
      <c r="A8175" s="39"/>
      <c r="E8175" s="40" t="s">
        <v>11404</v>
      </c>
      <c r="F8175" s="40" t="s">
        <v>11404</v>
      </c>
      <c r="G8175" s="40" t="s">
        <v>11404</v>
      </c>
      <c r="H8175" s="40" t="s">
        <v>11404</v>
      </c>
    </row>
    <row r="8176">
      <c r="A8176" s="39"/>
      <c r="E8176" s="40" t="s">
        <v>11404</v>
      </c>
      <c r="F8176" s="40" t="s">
        <v>11404</v>
      </c>
      <c r="G8176" s="40" t="s">
        <v>11404</v>
      </c>
      <c r="H8176" s="40" t="s">
        <v>11404</v>
      </c>
    </row>
    <row r="8177">
      <c r="A8177" s="39"/>
      <c r="E8177" s="40" t="s">
        <v>11404</v>
      </c>
      <c r="F8177" s="40" t="s">
        <v>11404</v>
      </c>
      <c r="G8177" s="40" t="s">
        <v>11404</v>
      </c>
      <c r="H8177" s="40" t="s">
        <v>11404</v>
      </c>
    </row>
    <row r="8178">
      <c r="A8178" s="39"/>
      <c r="E8178" s="40" t="s">
        <v>11404</v>
      </c>
      <c r="F8178" s="40" t="s">
        <v>11404</v>
      </c>
      <c r="G8178" s="40" t="s">
        <v>11404</v>
      </c>
      <c r="H8178" s="40" t="s">
        <v>11404</v>
      </c>
    </row>
    <row r="8179">
      <c r="A8179" s="39"/>
      <c r="E8179" s="40" t="s">
        <v>11404</v>
      </c>
      <c r="F8179" s="40" t="s">
        <v>11404</v>
      </c>
      <c r="G8179" s="40" t="s">
        <v>11404</v>
      </c>
      <c r="H8179" s="40" t="s">
        <v>11404</v>
      </c>
    </row>
    <row r="8180">
      <c r="A8180" s="39"/>
      <c r="E8180" s="40" t="s">
        <v>11404</v>
      </c>
      <c r="F8180" s="40" t="s">
        <v>11404</v>
      </c>
      <c r="G8180" s="40" t="s">
        <v>11404</v>
      </c>
      <c r="H8180" s="40" t="s">
        <v>11404</v>
      </c>
    </row>
    <row r="8181">
      <c r="A8181" s="39"/>
      <c r="E8181" s="40" t="s">
        <v>11404</v>
      </c>
      <c r="F8181" s="40" t="s">
        <v>11404</v>
      </c>
      <c r="G8181" s="40" t="s">
        <v>11404</v>
      </c>
      <c r="H8181" s="40" t="s">
        <v>11404</v>
      </c>
    </row>
    <row r="8182">
      <c r="A8182" s="39"/>
      <c r="E8182" s="40" t="s">
        <v>11404</v>
      </c>
      <c r="F8182" s="40" t="s">
        <v>11404</v>
      </c>
      <c r="G8182" s="40" t="s">
        <v>11404</v>
      </c>
      <c r="H8182" s="40" t="s">
        <v>11404</v>
      </c>
    </row>
    <row r="8183">
      <c r="A8183" s="39"/>
      <c r="E8183" s="40" t="s">
        <v>11404</v>
      </c>
      <c r="F8183" s="40" t="s">
        <v>11404</v>
      </c>
      <c r="G8183" s="40" t="s">
        <v>11404</v>
      </c>
      <c r="H8183" s="40" t="s">
        <v>11404</v>
      </c>
    </row>
    <row r="8184">
      <c r="A8184" s="39"/>
      <c r="E8184" s="40" t="s">
        <v>11404</v>
      </c>
      <c r="F8184" s="40" t="s">
        <v>11404</v>
      </c>
      <c r="G8184" s="40" t="s">
        <v>11404</v>
      </c>
      <c r="H8184" s="40" t="s">
        <v>11404</v>
      </c>
    </row>
    <row r="8185">
      <c r="A8185" s="39"/>
      <c r="E8185" s="40" t="s">
        <v>11404</v>
      </c>
      <c r="F8185" s="40" t="s">
        <v>11404</v>
      </c>
      <c r="G8185" s="40" t="s">
        <v>11404</v>
      </c>
      <c r="H8185" s="40" t="s">
        <v>11404</v>
      </c>
    </row>
    <row r="8186">
      <c r="A8186" s="39"/>
      <c r="E8186" s="40" t="s">
        <v>11404</v>
      </c>
      <c r="F8186" s="40" t="s">
        <v>11404</v>
      </c>
      <c r="G8186" s="40" t="s">
        <v>11404</v>
      </c>
      <c r="H8186" s="40" t="s">
        <v>11404</v>
      </c>
    </row>
    <row r="8187">
      <c r="A8187" s="39"/>
      <c r="E8187" s="40" t="s">
        <v>11404</v>
      </c>
      <c r="F8187" s="40" t="s">
        <v>11404</v>
      </c>
      <c r="G8187" s="40" t="s">
        <v>11404</v>
      </c>
      <c r="H8187" s="40" t="s">
        <v>11404</v>
      </c>
    </row>
    <row r="8188">
      <c r="A8188" s="39"/>
      <c r="E8188" s="40" t="s">
        <v>11404</v>
      </c>
      <c r="F8188" s="40" t="s">
        <v>11404</v>
      </c>
      <c r="G8188" s="40" t="s">
        <v>11404</v>
      </c>
      <c r="H8188" s="40" t="s">
        <v>11404</v>
      </c>
    </row>
    <row r="8189">
      <c r="A8189" s="39"/>
      <c r="E8189" s="40" t="s">
        <v>11404</v>
      </c>
      <c r="F8189" s="40" t="s">
        <v>11404</v>
      </c>
      <c r="G8189" s="40" t="s">
        <v>11404</v>
      </c>
      <c r="H8189" s="40" t="s">
        <v>11404</v>
      </c>
    </row>
    <row r="8190">
      <c r="A8190" s="39"/>
      <c r="E8190" s="40" t="s">
        <v>11404</v>
      </c>
      <c r="F8190" s="40" t="s">
        <v>11404</v>
      </c>
      <c r="G8190" s="40" t="s">
        <v>11404</v>
      </c>
      <c r="H8190" s="40" t="s">
        <v>11404</v>
      </c>
    </row>
    <row r="8191">
      <c r="A8191" s="39"/>
      <c r="E8191" s="40" t="s">
        <v>11404</v>
      </c>
      <c r="F8191" s="40" t="s">
        <v>11404</v>
      </c>
      <c r="G8191" s="40" t="s">
        <v>11404</v>
      </c>
      <c r="H8191" s="40" t="s">
        <v>11404</v>
      </c>
    </row>
    <row r="8192">
      <c r="A8192" s="39"/>
      <c r="E8192" s="40" t="s">
        <v>11404</v>
      </c>
      <c r="F8192" s="40" t="s">
        <v>11404</v>
      </c>
      <c r="G8192" s="40" t="s">
        <v>11404</v>
      </c>
      <c r="H8192" s="40" t="s">
        <v>11404</v>
      </c>
    </row>
    <row r="8193">
      <c r="A8193" s="39"/>
      <c r="E8193" s="40" t="s">
        <v>11404</v>
      </c>
      <c r="F8193" s="40" t="s">
        <v>11404</v>
      </c>
      <c r="G8193" s="40" t="s">
        <v>11404</v>
      </c>
      <c r="H8193" s="40" t="s">
        <v>11404</v>
      </c>
    </row>
    <row r="8194">
      <c r="A8194" s="39"/>
      <c r="E8194" s="40" t="s">
        <v>11404</v>
      </c>
      <c r="F8194" s="40" t="s">
        <v>11404</v>
      </c>
      <c r="G8194" s="40" t="s">
        <v>11404</v>
      </c>
      <c r="H8194" s="40" t="s">
        <v>11404</v>
      </c>
    </row>
    <row r="8195">
      <c r="A8195" s="39"/>
      <c r="E8195" s="40" t="s">
        <v>11404</v>
      </c>
      <c r="F8195" s="40" t="s">
        <v>11404</v>
      </c>
      <c r="G8195" s="40" t="s">
        <v>11404</v>
      </c>
      <c r="H8195" s="40" t="s">
        <v>11404</v>
      </c>
    </row>
    <row r="8196">
      <c r="A8196" s="39"/>
      <c r="E8196" s="40" t="s">
        <v>11404</v>
      </c>
      <c r="F8196" s="40" t="s">
        <v>11404</v>
      </c>
      <c r="G8196" s="40" t="s">
        <v>11404</v>
      </c>
      <c r="H8196" s="40" t="s">
        <v>11404</v>
      </c>
    </row>
    <row r="8197">
      <c r="A8197" s="39"/>
      <c r="E8197" s="40" t="s">
        <v>11404</v>
      </c>
      <c r="F8197" s="40" t="s">
        <v>11404</v>
      </c>
      <c r="G8197" s="40" t="s">
        <v>11404</v>
      </c>
      <c r="H8197" s="40" t="s">
        <v>11404</v>
      </c>
    </row>
    <row r="8198">
      <c r="A8198" s="39"/>
      <c r="E8198" s="40" t="s">
        <v>11404</v>
      </c>
      <c r="F8198" s="40" t="s">
        <v>11404</v>
      </c>
      <c r="G8198" s="40" t="s">
        <v>11404</v>
      </c>
      <c r="H8198" s="40" t="s">
        <v>11404</v>
      </c>
    </row>
    <row r="8199">
      <c r="A8199" s="39"/>
      <c r="E8199" s="40" t="s">
        <v>11404</v>
      </c>
      <c r="F8199" s="40" t="s">
        <v>11404</v>
      </c>
      <c r="G8199" s="40" t="s">
        <v>11404</v>
      </c>
      <c r="H8199" s="40" t="s">
        <v>11404</v>
      </c>
    </row>
    <row r="8200">
      <c r="A8200" s="39"/>
      <c r="E8200" s="40" t="s">
        <v>11404</v>
      </c>
      <c r="F8200" s="40" t="s">
        <v>11404</v>
      </c>
      <c r="G8200" s="40" t="s">
        <v>11404</v>
      </c>
      <c r="H8200" s="40" t="s">
        <v>11404</v>
      </c>
    </row>
    <row r="8201">
      <c r="A8201" s="39"/>
      <c r="E8201" s="40" t="s">
        <v>11404</v>
      </c>
      <c r="F8201" s="40" t="s">
        <v>11404</v>
      </c>
      <c r="G8201" s="40" t="s">
        <v>11404</v>
      </c>
      <c r="H8201" s="40" t="s">
        <v>11404</v>
      </c>
    </row>
    <row r="8202">
      <c r="A8202" s="39"/>
      <c r="E8202" s="40" t="s">
        <v>11404</v>
      </c>
      <c r="F8202" s="40" t="s">
        <v>11404</v>
      </c>
      <c r="G8202" s="40" t="s">
        <v>11404</v>
      </c>
      <c r="H8202" s="40" t="s">
        <v>11404</v>
      </c>
    </row>
    <row r="8203">
      <c r="A8203" s="39"/>
      <c r="E8203" s="40" t="s">
        <v>11404</v>
      </c>
      <c r="F8203" s="40" t="s">
        <v>11404</v>
      </c>
      <c r="G8203" s="40" t="s">
        <v>11404</v>
      </c>
      <c r="H8203" s="40" t="s">
        <v>11404</v>
      </c>
    </row>
    <row r="8204">
      <c r="A8204" s="39"/>
      <c r="E8204" s="40" t="s">
        <v>11404</v>
      </c>
      <c r="F8204" s="40" t="s">
        <v>11404</v>
      </c>
      <c r="G8204" s="40" t="s">
        <v>11404</v>
      </c>
      <c r="H8204" s="40" t="s">
        <v>11404</v>
      </c>
    </row>
    <row r="8205">
      <c r="A8205" s="39"/>
      <c r="E8205" s="40" t="s">
        <v>11404</v>
      </c>
      <c r="F8205" s="40" t="s">
        <v>11404</v>
      </c>
      <c r="G8205" s="40" t="s">
        <v>11404</v>
      </c>
      <c r="H8205" s="40" t="s">
        <v>11404</v>
      </c>
    </row>
    <row r="8206">
      <c r="A8206" s="39"/>
      <c r="E8206" s="40" t="s">
        <v>11404</v>
      </c>
      <c r="F8206" s="40" t="s">
        <v>11404</v>
      </c>
      <c r="G8206" s="40" t="s">
        <v>11404</v>
      </c>
      <c r="H8206" s="40" t="s">
        <v>11404</v>
      </c>
    </row>
    <row r="8207">
      <c r="A8207" s="39"/>
      <c r="E8207" s="40" t="s">
        <v>11404</v>
      </c>
      <c r="F8207" s="40" t="s">
        <v>11404</v>
      </c>
      <c r="G8207" s="40" t="s">
        <v>11404</v>
      </c>
      <c r="H8207" s="40" t="s">
        <v>11404</v>
      </c>
    </row>
    <row r="8208">
      <c r="A8208" s="39"/>
      <c r="E8208" s="40" t="s">
        <v>11404</v>
      </c>
      <c r="F8208" s="40" t="s">
        <v>11404</v>
      </c>
      <c r="G8208" s="40" t="s">
        <v>11404</v>
      </c>
      <c r="H8208" s="40" t="s">
        <v>11404</v>
      </c>
    </row>
    <row r="8209">
      <c r="A8209" s="39"/>
      <c r="E8209" s="40" t="s">
        <v>11404</v>
      </c>
      <c r="F8209" s="40" t="s">
        <v>11404</v>
      </c>
      <c r="G8209" s="40" t="s">
        <v>11404</v>
      </c>
      <c r="H8209" s="40" t="s">
        <v>11404</v>
      </c>
    </row>
    <row r="8210">
      <c r="A8210" s="39"/>
      <c r="E8210" s="40" t="s">
        <v>11404</v>
      </c>
      <c r="F8210" s="40" t="s">
        <v>11404</v>
      </c>
      <c r="G8210" s="40" t="s">
        <v>11404</v>
      </c>
      <c r="H8210" s="40" t="s">
        <v>11404</v>
      </c>
    </row>
    <row r="8211">
      <c r="A8211" s="39"/>
      <c r="E8211" s="40" t="s">
        <v>11404</v>
      </c>
      <c r="F8211" s="40" t="s">
        <v>11404</v>
      </c>
      <c r="G8211" s="40" t="s">
        <v>11404</v>
      </c>
      <c r="H8211" s="40" t="s">
        <v>11404</v>
      </c>
    </row>
    <row r="8212">
      <c r="A8212" s="39"/>
      <c r="E8212" s="40" t="s">
        <v>11404</v>
      </c>
      <c r="F8212" s="40" t="s">
        <v>11404</v>
      </c>
      <c r="G8212" s="40" t="s">
        <v>11404</v>
      </c>
      <c r="H8212" s="40" t="s">
        <v>11404</v>
      </c>
    </row>
    <row r="8213">
      <c r="A8213" s="39"/>
      <c r="E8213" s="40" t="s">
        <v>11404</v>
      </c>
      <c r="F8213" s="40" t="s">
        <v>11404</v>
      </c>
      <c r="G8213" s="40" t="s">
        <v>11404</v>
      </c>
      <c r="H8213" s="40" t="s">
        <v>11404</v>
      </c>
    </row>
    <row r="8214">
      <c r="A8214" s="39"/>
      <c r="E8214" s="40" t="s">
        <v>11404</v>
      </c>
      <c r="F8214" s="40" t="s">
        <v>11404</v>
      </c>
      <c r="G8214" s="40" t="s">
        <v>11404</v>
      </c>
      <c r="H8214" s="40" t="s">
        <v>11404</v>
      </c>
    </row>
    <row r="8215">
      <c r="A8215" s="39"/>
      <c r="E8215" s="40" t="s">
        <v>11404</v>
      </c>
      <c r="F8215" s="40" t="s">
        <v>11404</v>
      </c>
      <c r="G8215" s="40" t="s">
        <v>11404</v>
      </c>
      <c r="H8215" s="40" t="s">
        <v>11404</v>
      </c>
    </row>
    <row r="8216">
      <c r="A8216" s="39"/>
      <c r="E8216" s="40" t="s">
        <v>11404</v>
      </c>
      <c r="F8216" s="40" t="s">
        <v>11404</v>
      </c>
      <c r="G8216" s="40" t="s">
        <v>11404</v>
      </c>
      <c r="H8216" s="40" t="s">
        <v>11404</v>
      </c>
    </row>
    <row r="8217">
      <c r="A8217" s="39"/>
      <c r="E8217" s="40" t="s">
        <v>11404</v>
      </c>
      <c r="F8217" s="40" t="s">
        <v>11404</v>
      </c>
      <c r="G8217" s="40" t="s">
        <v>11404</v>
      </c>
      <c r="H8217" s="40" t="s">
        <v>11404</v>
      </c>
    </row>
    <row r="8218">
      <c r="A8218" s="39"/>
      <c r="E8218" s="40" t="s">
        <v>11404</v>
      </c>
      <c r="F8218" s="40" t="s">
        <v>11404</v>
      </c>
      <c r="G8218" s="40" t="s">
        <v>11404</v>
      </c>
      <c r="H8218" s="40" t="s">
        <v>11404</v>
      </c>
    </row>
    <row r="8219">
      <c r="A8219" s="39"/>
      <c r="E8219" s="40" t="s">
        <v>11404</v>
      </c>
      <c r="F8219" s="40" t="s">
        <v>11404</v>
      </c>
      <c r="G8219" s="40" t="s">
        <v>11404</v>
      </c>
      <c r="H8219" s="40" t="s">
        <v>11404</v>
      </c>
    </row>
    <row r="8220">
      <c r="A8220" s="39"/>
      <c r="E8220" s="40" t="s">
        <v>11404</v>
      </c>
      <c r="F8220" s="40" t="s">
        <v>11404</v>
      </c>
      <c r="G8220" s="40" t="s">
        <v>11404</v>
      </c>
      <c r="H8220" s="40" t="s">
        <v>11404</v>
      </c>
    </row>
    <row r="8221">
      <c r="A8221" s="39"/>
      <c r="E8221" s="40" t="s">
        <v>11404</v>
      </c>
      <c r="F8221" s="40" t="s">
        <v>11404</v>
      </c>
      <c r="G8221" s="40" t="s">
        <v>11404</v>
      </c>
      <c r="H8221" s="40" t="s">
        <v>11404</v>
      </c>
    </row>
    <row r="8222">
      <c r="A8222" s="39"/>
      <c r="E8222" s="40" t="s">
        <v>11404</v>
      </c>
      <c r="F8222" s="40" t="s">
        <v>11404</v>
      </c>
      <c r="G8222" s="40" t="s">
        <v>11404</v>
      </c>
      <c r="H8222" s="40" t="s">
        <v>11404</v>
      </c>
    </row>
    <row r="8223">
      <c r="A8223" s="39"/>
      <c r="E8223" s="40" t="s">
        <v>11404</v>
      </c>
      <c r="F8223" s="40" t="s">
        <v>11404</v>
      </c>
      <c r="G8223" s="40" t="s">
        <v>11404</v>
      </c>
      <c r="H8223" s="40" t="s">
        <v>11404</v>
      </c>
    </row>
    <row r="8224">
      <c r="A8224" s="39"/>
      <c r="E8224" s="40" t="s">
        <v>11404</v>
      </c>
      <c r="F8224" s="40" t="s">
        <v>11404</v>
      </c>
      <c r="G8224" s="40" t="s">
        <v>11404</v>
      </c>
      <c r="H8224" s="40" t="s">
        <v>11404</v>
      </c>
    </row>
    <row r="8225">
      <c r="A8225" s="39"/>
      <c r="E8225" s="40" t="s">
        <v>11404</v>
      </c>
      <c r="F8225" s="40" t="s">
        <v>11404</v>
      </c>
      <c r="G8225" s="40" t="s">
        <v>11404</v>
      </c>
      <c r="H8225" s="40" t="s">
        <v>11404</v>
      </c>
    </row>
    <row r="8226">
      <c r="A8226" s="39"/>
      <c r="E8226" s="40" t="s">
        <v>11404</v>
      </c>
      <c r="F8226" s="40" t="s">
        <v>11404</v>
      </c>
      <c r="G8226" s="40" t="s">
        <v>11404</v>
      </c>
      <c r="H8226" s="40" t="s">
        <v>11404</v>
      </c>
    </row>
    <row r="8227">
      <c r="A8227" s="39"/>
      <c r="E8227" s="40" t="s">
        <v>11404</v>
      </c>
      <c r="F8227" s="40" t="s">
        <v>11404</v>
      </c>
      <c r="G8227" s="40" t="s">
        <v>11404</v>
      </c>
      <c r="H8227" s="40" t="s">
        <v>11404</v>
      </c>
    </row>
    <row r="8228">
      <c r="A8228" s="39"/>
      <c r="E8228" s="40" t="s">
        <v>11404</v>
      </c>
      <c r="F8228" s="40" t="s">
        <v>11404</v>
      </c>
      <c r="G8228" s="40" t="s">
        <v>11404</v>
      </c>
      <c r="H8228" s="40" t="s">
        <v>11404</v>
      </c>
    </row>
    <row r="8229">
      <c r="A8229" s="39"/>
      <c r="E8229" s="40" t="s">
        <v>11404</v>
      </c>
      <c r="F8229" s="40" t="s">
        <v>11404</v>
      </c>
      <c r="G8229" s="40" t="s">
        <v>11404</v>
      </c>
      <c r="H8229" s="40" t="s">
        <v>11404</v>
      </c>
    </row>
    <row r="8230">
      <c r="A8230" s="39"/>
      <c r="E8230" s="40" t="s">
        <v>11404</v>
      </c>
      <c r="F8230" s="40" t="s">
        <v>11404</v>
      </c>
      <c r="G8230" s="40" t="s">
        <v>11404</v>
      </c>
      <c r="H8230" s="40" t="s">
        <v>11404</v>
      </c>
    </row>
    <row r="8231">
      <c r="A8231" s="39"/>
      <c r="E8231" s="40" t="s">
        <v>11404</v>
      </c>
      <c r="F8231" s="40" t="s">
        <v>11404</v>
      </c>
      <c r="G8231" s="40" t="s">
        <v>11404</v>
      </c>
      <c r="H8231" s="40" t="s">
        <v>11404</v>
      </c>
    </row>
    <row r="8232">
      <c r="A8232" s="39"/>
      <c r="E8232" s="40" t="s">
        <v>11404</v>
      </c>
      <c r="F8232" s="40" t="s">
        <v>11404</v>
      </c>
      <c r="G8232" s="40" t="s">
        <v>11404</v>
      </c>
      <c r="H8232" s="40" t="s">
        <v>11404</v>
      </c>
    </row>
    <row r="8233">
      <c r="A8233" s="39"/>
      <c r="E8233" s="40" t="s">
        <v>11404</v>
      </c>
      <c r="F8233" s="40" t="s">
        <v>11404</v>
      </c>
      <c r="G8233" s="40" t="s">
        <v>11404</v>
      </c>
      <c r="H8233" s="40" t="s">
        <v>11404</v>
      </c>
    </row>
    <row r="8234">
      <c r="A8234" s="39"/>
      <c r="E8234" s="40" t="s">
        <v>11404</v>
      </c>
      <c r="F8234" s="40" t="s">
        <v>11404</v>
      </c>
      <c r="G8234" s="40" t="s">
        <v>11404</v>
      </c>
      <c r="H8234" s="40" t="s">
        <v>11404</v>
      </c>
    </row>
    <row r="8235">
      <c r="A8235" s="39"/>
      <c r="E8235" s="40" t="s">
        <v>11404</v>
      </c>
      <c r="F8235" s="40" t="s">
        <v>11404</v>
      </c>
      <c r="G8235" s="40" t="s">
        <v>11404</v>
      </c>
      <c r="H8235" s="40" t="s">
        <v>11404</v>
      </c>
    </row>
    <row r="8236">
      <c r="A8236" s="39"/>
      <c r="E8236" s="40" t="s">
        <v>11404</v>
      </c>
      <c r="F8236" s="40" t="s">
        <v>11404</v>
      </c>
      <c r="G8236" s="40" t="s">
        <v>11404</v>
      </c>
      <c r="H8236" s="40" t="s">
        <v>11404</v>
      </c>
    </row>
    <row r="8237">
      <c r="A8237" s="39"/>
      <c r="E8237" s="40" t="s">
        <v>11404</v>
      </c>
      <c r="F8237" s="40" t="s">
        <v>11404</v>
      </c>
      <c r="G8237" s="40" t="s">
        <v>11404</v>
      </c>
      <c r="H8237" s="40" t="s">
        <v>11404</v>
      </c>
    </row>
    <row r="8238">
      <c r="A8238" s="39"/>
      <c r="E8238" s="40" t="s">
        <v>11404</v>
      </c>
      <c r="F8238" s="40" t="s">
        <v>11404</v>
      </c>
      <c r="G8238" s="40" t="s">
        <v>11404</v>
      </c>
      <c r="H8238" s="40" t="s">
        <v>11404</v>
      </c>
    </row>
    <row r="8239">
      <c r="A8239" s="39"/>
      <c r="E8239" s="40" t="s">
        <v>11404</v>
      </c>
      <c r="F8239" s="40" t="s">
        <v>11404</v>
      </c>
      <c r="G8239" s="40" t="s">
        <v>11404</v>
      </c>
      <c r="H8239" s="40" t="s">
        <v>11404</v>
      </c>
    </row>
    <row r="8240">
      <c r="A8240" s="39"/>
      <c r="E8240" s="40" t="s">
        <v>11404</v>
      </c>
      <c r="F8240" s="40" t="s">
        <v>11404</v>
      </c>
      <c r="G8240" s="40" t="s">
        <v>11404</v>
      </c>
      <c r="H8240" s="40" t="s">
        <v>11404</v>
      </c>
    </row>
    <row r="8241">
      <c r="A8241" s="39"/>
      <c r="E8241" s="40" t="s">
        <v>11404</v>
      </c>
      <c r="F8241" s="40" t="s">
        <v>11404</v>
      </c>
      <c r="G8241" s="40" t="s">
        <v>11404</v>
      </c>
      <c r="H8241" s="40" t="s">
        <v>11404</v>
      </c>
    </row>
    <row r="8242">
      <c r="A8242" s="39"/>
      <c r="E8242" s="40" t="s">
        <v>11404</v>
      </c>
      <c r="F8242" s="40" t="s">
        <v>11404</v>
      </c>
      <c r="G8242" s="40" t="s">
        <v>11404</v>
      </c>
      <c r="H8242" s="40" t="s">
        <v>11404</v>
      </c>
    </row>
    <row r="8243">
      <c r="A8243" s="39"/>
      <c r="E8243" s="40" t="s">
        <v>11404</v>
      </c>
      <c r="F8243" s="40" t="s">
        <v>11404</v>
      </c>
      <c r="G8243" s="40" t="s">
        <v>11404</v>
      </c>
      <c r="H8243" s="40" t="s">
        <v>11404</v>
      </c>
    </row>
    <row r="8244">
      <c r="A8244" s="39"/>
      <c r="E8244" s="40" t="s">
        <v>11404</v>
      </c>
      <c r="F8244" s="40" t="s">
        <v>11404</v>
      </c>
      <c r="G8244" s="40" t="s">
        <v>11404</v>
      </c>
      <c r="H8244" s="40" t="s">
        <v>11404</v>
      </c>
    </row>
    <row r="8245">
      <c r="A8245" s="39"/>
      <c r="E8245" s="40" t="s">
        <v>11404</v>
      </c>
      <c r="F8245" s="40" t="s">
        <v>11404</v>
      </c>
      <c r="G8245" s="40" t="s">
        <v>11404</v>
      </c>
      <c r="H8245" s="40" t="s">
        <v>11404</v>
      </c>
    </row>
    <row r="8246">
      <c r="A8246" s="39"/>
      <c r="E8246" s="40" t="s">
        <v>11404</v>
      </c>
      <c r="F8246" s="40" t="s">
        <v>11404</v>
      </c>
      <c r="G8246" s="40" t="s">
        <v>11404</v>
      </c>
      <c r="H8246" s="40" t="s">
        <v>11404</v>
      </c>
    </row>
    <row r="8247">
      <c r="A8247" s="39"/>
      <c r="E8247" s="40" t="s">
        <v>11404</v>
      </c>
      <c r="F8247" s="40" t="s">
        <v>11404</v>
      </c>
      <c r="G8247" s="40" t="s">
        <v>11404</v>
      </c>
      <c r="H8247" s="40" t="s">
        <v>11404</v>
      </c>
    </row>
    <row r="8248">
      <c r="A8248" s="39"/>
      <c r="E8248" s="40" t="s">
        <v>11404</v>
      </c>
      <c r="F8248" s="40" t="s">
        <v>11404</v>
      </c>
      <c r="G8248" s="40" t="s">
        <v>11404</v>
      </c>
      <c r="H8248" s="40" t="s">
        <v>11404</v>
      </c>
    </row>
    <row r="8249">
      <c r="A8249" s="39"/>
      <c r="E8249" s="40" t="s">
        <v>11404</v>
      </c>
      <c r="F8249" s="40" t="s">
        <v>11404</v>
      </c>
      <c r="G8249" s="40" t="s">
        <v>11404</v>
      </c>
      <c r="H8249" s="40" t="s">
        <v>11404</v>
      </c>
    </row>
    <row r="8250">
      <c r="A8250" s="39"/>
      <c r="E8250" s="40" t="s">
        <v>11404</v>
      </c>
      <c r="F8250" s="40" t="s">
        <v>11404</v>
      </c>
      <c r="G8250" s="40" t="s">
        <v>11404</v>
      </c>
      <c r="H8250" s="40" t="s">
        <v>11404</v>
      </c>
    </row>
    <row r="8251">
      <c r="A8251" s="39"/>
      <c r="E8251" s="40" t="s">
        <v>11404</v>
      </c>
      <c r="F8251" s="40" t="s">
        <v>11404</v>
      </c>
      <c r="G8251" s="40" t="s">
        <v>11404</v>
      </c>
      <c r="H8251" s="40" t="s">
        <v>11404</v>
      </c>
    </row>
    <row r="8252">
      <c r="A8252" s="39"/>
      <c r="E8252" s="40" t="s">
        <v>11404</v>
      </c>
      <c r="F8252" s="40" t="s">
        <v>11404</v>
      </c>
      <c r="G8252" s="40" t="s">
        <v>11404</v>
      </c>
      <c r="H8252" s="40" t="s">
        <v>11404</v>
      </c>
    </row>
    <row r="8253">
      <c r="A8253" s="39"/>
      <c r="E8253" s="40" t="s">
        <v>11404</v>
      </c>
      <c r="F8253" s="40" t="s">
        <v>11404</v>
      </c>
      <c r="G8253" s="40" t="s">
        <v>11404</v>
      </c>
      <c r="H8253" s="40" t="s">
        <v>11404</v>
      </c>
    </row>
    <row r="8254">
      <c r="A8254" s="39"/>
      <c r="E8254" s="40" t="s">
        <v>11404</v>
      </c>
      <c r="F8254" s="40" t="s">
        <v>11404</v>
      </c>
      <c r="G8254" s="40" t="s">
        <v>11404</v>
      </c>
      <c r="H8254" s="40" t="s">
        <v>11404</v>
      </c>
    </row>
    <row r="8255">
      <c r="A8255" s="39"/>
      <c r="E8255" s="40" t="s">
        <v>11404</v>
      </c>
      <c r="F8255" s="40" t="s">
        <v>11404</v>
      </c>
      <c r="G8255" s="40" t="s">
        <v>11404</v>
      </c>
      <c r="H8255" s="40" t="s">
        <v>11404</v>
      </c>
    </row>
    <row r="8256">
      <c r="A8256" s="39"/>
      <c r="E8256" s="40" t="s">
        <v>11404</v>
      </c>
      <c r="F8256" s="40" t="s">
        <v>11404</v>
      </c>
      <c r="G8256" s="40" t="s">
        <v>11404</v>
      </c>
      <c r="H8256" s="40" t="s">
        <v>11404</v>
      </c>
    </row>
    <row r="8257">
      <c r="A8257" s="39"/>
      <c r="E8257" s="40" t="s">
        <v>11404</v>
      </c>
      <c r="F8257" s="40" t="s">
        <v>11404</v>
      </c>
      <c r="G8257" s="40" t="s">
        <v>11404</v>
      </c>
      <c r="H8257" s="40" t="s">
        <v>11404</v>
      </c>
    </row>
    <row r="8258">
      <c r="A8258" s="39"/>
      <c r="E8258" s="40" t="s">
        <v>11404</v>
      </c>
      <c r="F8258" s="40" t="s">
        <v>11404</v>
      </c>
      <c r="G8258" s="40" t="s">
        <v>11404</v>
      </c>
      <c r="H8258" s="40" t="s">
        <v>11404</v>
      </c>
    </row>
    <row r="8259">
      <c r="A8259" s="39"/>
      <c r="E8259" s="40" t="s">
        <v>11404</v>
      </c>
      <c r="F8259" s="40" t="s">
        <v>11404</v>
      </c>
      <c r="G8259" s="40" t="s">
        <v>11404</v>
      </c>
      <c r="H8259" s="40" t="s">
        <v>11404</v>
      </c>
    </row>
    <row r="8260">
      <c r="A8260" s="39"/>
      <c r="E8260" s="40" t="s">
        <v>11404</v>
      </c>
      <c r="F8260" s="40" t="s">
        <v>11404</v>
      </c>
      <c r="G8260" s="40" t="s">
        <v>11404</v>
      </c>
      <c r="H8260" s="40" t="s">
        <v>11404</v>
      </c>
    </row>
    <row r="8261">
      <c r="A8261" s="39"/>
      <c r="E8261" s="40" t="s">
        <v>11404</v>
      </c>
      <c r="F8261" s="40" t="s">
        <v>11404</v>
      </c>
      <c r="G8261" s="40" t="s">
        <v>11404</v>
      </c>
      <c r="H8261" s="40" t="s">
        <v>11404</v>
      </c>
    </row>
    <row r="8262">
      <c r="A8262" s="39"/>
      <c r="E8262" s="40" t="s">
        <v>11404</v>
      </c>
      <c r="F8262" s="40" t="s">
        <v>11404</v>
      </c>
      <c r="G8262" s="40" t="s">
        <v>11404</v>
      </c>
      <c r="H8262" s="40" t="s">
        <v>11404</v>
      </c>
    </row>
    <row r="8263">
      <c r="A8263" s="39"/>
      <c r="E8263" s="40" t="s">
        <v>11404</v>
      </c>
      <c r="F8263" s="40" t="s">
        <v>11404</v>
      </c>
      <c r="G8263" s="40" t="s">
        <v>11404</v>
      </c>
      <c r="H8263" s="40" t="s">
        <v>11404</v>
      </c>
    </row>
    <row r="8264">
      <c r="A8264" s="39"/>
      <c r="E8264" s="40" t="s">
        <v>11404</v>
      </c>
      <c r="F8264" s="40" t="s">
        <v>11404</v>
      </c>
      <c r="G8264" s="40" t="s">
        <v>11404</v>
      </c>
      <c r="H8264" s="40" t="s">
        <v>11404</v>
      </c>
    </row>
    <row r="8265">
      <c r="A8265" s="39"/>
      <c r="E8265" s="40" t="s">
        <v>11404</v>
      </c>
      <c r="F8265" s="40" t="s">
        <v>11404</v>
      </c>
      <c r="G8265" s="40" t="s">
        <v>11404</v>
      </c>
      <c r="H8265" s="40" t="s">
        <v>11404</v>
      </c>
    </row>
    <row r="8266">
      <c r="A8266" s="39"/>
      <c r="E8266" s="40" t="s">
        <v>11404</v>
      </c>
      <c r="F8266" s="40" t="s">
        <v>11404</v>
      </c>
      <c r="G8266" s="40" t="s">
        <v>11404</v>
      </c>
      <c r="H8266" s="40" t="s">
        <v>11404</v>
      </c>
    </row>
    <row r="8267">
      <c r="A8267" s="39"/>
      <c r="E8267" s="40" t="s">
        <v>11404</v>
      </c>
      <c r="F8267" s="40" t="s">
        <v>11404</v>
      </c>
      <c r="G8267" s="40" t="s">
        <v>11404</v>
      </c>
      <c r="H8267" s="40" t="s">
        <v>11404</v>
      </c>
    </row>
    <row r="8268">
      <c r="A8268" s="39"/>
      <c r="E8268" s="40" t="s">
        <v>11404</v>
      </c>
      <c r="F8268" s="40" t="s">
        <v>11404</v>
      </c>
      <c r="G8268" s="40" t="s">
        <v>11404</v>
      </c>
      <c r="H8268" s="40" t="s">
        <v>11404</v>
      </c>
    </row>
    <row r="8269">
      <c r="A8269" s="39"/>
      <c r="E8269" s="40" t="s">
        <v>11404</v>
      </c>
      <c r="F8269" s="40" t="s">
        <v>11404</v>
      </c>
      <c r="G8269" s="40" t="s">
        <v>11404</v>
      </c>
      <c r="H8269" s="40" t="s">
        <v>11404</v>
      </c>
    </row>
    <row r="8270">
      <c r="A8270" s="39"/>
      <c r="E8270" s="40" t="s">
        <v>11404</v>
      </c>
      <c r="F8270" s="40" t="s">
        <v>11404</v>
      </c>
      <c r="G8270" s="40" t="s">
        <v>11404</v>
      </c>
      <c r="H8270" s="40" t="s">
        <v>11404</v>
      </c>
    </row>
    <row r="8271">
      <c r="A8271" s="39"/>
      <c r="E8271" s="40" t="s">
        <v>11404</v>
      </c>
      <c r="F8271" s="40" t="s">
        <v>11404</v>
      </c>
      <c r="G8271" s="40" t="s">
        <v>11404</v>
      </c>
      <c r="H8271" s="40" t="s">
        <v>11404</v>
      </c>
    </row>
    <row r="8272">
      <c r="A8272" s="39"/>
      <c r="E8272" s="40" t="s">
        <v>11404</v>
      </c>
      <c r="F8272" s="40" t="s">
        <v>11404</v>
      </c>
      <c r="G8272" s="40" t="s">
        <v>11404</v>
      </c>
      <c r="H8272" s="40" t="s">
        <v>11404</v>
      </c>
    </row>
    <row r="8273">
      <c r="A8273" s="39"/>
      <c r="E8273" s="40" t="s">
        <v>11404</v>
      </c>
      <c r="F8273" s="40" t="s">
        <v>11404</v>
      </c>
      <c r="G8273" s="40" t="s">
        <v>11404</v>
      </c>
      <c r="H8273" s="40" t="s">
        <v>11404</v>
      </c>
    </row>
    <row r="8274">
      <c r="A8274" s="39"/>
      <c r="E8274" s="40" t="s">
        <v>11404</v>
      </c>
      <c r="F8274" s="40" t="s">
        <v>11404</v>
      </c>
      <c r="G8274" s="40" t="s">
        <v>11404</v>
      </c>
      <c r="H8274" s="40" t="s">
        <v>11404</v>
      </c>
    </row>
    <row r="8275">
      <c r="A8275" s="39"/>
      <c r="E8275" s="40" t="s">
        <v>11404</v>
      </c>
      <c r="F8275" s="40" t="s">
        <v>11404</v>
      </c>
      <c r="G8275" s="40" t="s">
        <v>11404</v>
      </c>
      <c r="H8275" s="40" t="s">
        <v>11404</v>
      </c>
    </row>
    <row r="8276">
      <c r="A8276" s="39"/>
      <c r="E8276" s="40" t="s">
        <v>11404</v>
      </c>
      <c r="F8276" s="40" t="s">
        <v>11404</v>
      </c>
      <c r="G8276" s="40" t="s">
        <v>11404</v>
      </c>
      <c r="H8276" s="40" t="s">
        <v>11404</v>
      </c>
    </row>
    <row r="8277">
      <c r="A8277" s="39"/>
      <c r="E8277" s="40" t="s">
        <v>11404</v>
      </c>
      <c r="F8277" s="40" t="s">
        <v>11404</v>
      </c>
      <c r="G8277" s="40" t="s">
        <v>11404</v>
      </c>
      <c r="H8277" s="40" t="s">
        <v>11404</v>
      </c>
    </row>
    <row r="8278">
      <c r="A8278" s="39"/>
      <c r="E8278" s="40" t="s">
        <v>11404</v>
      </c>
      <c r="F8278" s="40" t="s">
        <v>11404</v>
      </c>
      <c r="G8278" s="40" t="s">
        <v>11404</v>
      </c>
      <c r="H8278" s="40" t="s">
        <v>11404</v>
      </c>
    </row>
    <row r="8279">
      <c r="A8279" s="39"/>
      <c r="E8279" s="40" t="s">
        <v>11404</v>
      </c>
      <c r="F8279" s="40" t="s">
        <v>11404</v>
      </c>
      <c r="G8279" s="40" t="s">
        <v>11404</v>
      </c>
      <c r="H8279" s="40" t="s">
        <v>11404</v>
      </c>
    </row>
    <row r="8280">
      <c r="A8280" s="39"/>
      <c r="E8280" s="40" t="s">
        <v>11404</v>
      </c>
      <c r="F8280" s="40" t="s">
        <v>11404</v>
      </c>
      <c r="G8280" s="40" t="s">
        <v>11404</v>
      </c>
      <c r="H8280" s="40" t="s">
        <v>11404</v>
      </c>
    </row>
    <row r="8281">
      <c r="A8281" s="39"/>
      <c r="E8281" s="40" t="s">
        <v>11404</v>
      </c>
      <c r="F8281" s="40" t="s">
        <v>11404</v>
      </c>
      <c r="G8281" s="40" t="s">
        <v>11404</v>
      </c>
      <c r="H8281" s="40" t="s">
        <v>11404</v>
      </c>
    </row>
    <row r="8282">
      <c r="A8282" s="39"/>
      <c r="E8282" s="40" t="s">
        <v>11404</v>
      </c>
      <c r="F8282" s="40" t="s">
        <v>11404</v>
      </c>
      <c r="G8282" s="40" t="s">
        <v>11404</v>
      </c>
      <c r="H8282" s="40" t="s">
        <v>11404</v>
      </c>
    </row>
    <row r="8283">
      <c r="A8283" s="39"/>
      <c r="E8283" s="40" t="s">
        <v>11404</v>
      </c>
      <c r="F8283" s="40" t="s">
        <v>11404</v>
      </c>
      <c r="G8283" s="40" t="s">
        <v>11404</v>
      </c>
      <c r="H8283" s="40" t="s">
        <v>11404</v>
      </c>
    </row>
    <row r="8284">
      <c r="A8284" s="39"/>
      <c r="E8284" s="40" t="s">
        <v>11404</v>
      </c>
      <c r="F8284" s="40" t="s">
        <v>11404</v>
      </c>
      <c r="G8284" s="40" t="s">
        <v>11404</v>
      </c>
      <c r="H8284" s="40" t="s">
        <v>11404</v>
      </c>
    </row>
    <row r="8285">
      <c r="A8285" s="39"/>
      <c r="E8285" s="40" t="s">
        <v>11404</v>
      </c>
      <c r="F8285" s="40" t="s">
        <v>11404</v>
      </c>
      <c r="G8285" s="40" t="s">
        <v>11404</v>
      </c>
      <c r="H8285" s="40" t="s">
        <v>11404</v>
      </c>
    </row>
    <row r="8286">
      <c r="A8286" s="39"/>
      <c r="E8286" s="40" t="s">
        <v>11404</v>
      </c>
      <c r="F8286" s="40" t="s">
        <v>11404</v>
      </c>
      <c r="G8286" s="40" t="s">
        <v>11404</v>
      </c>
      <c r="H8286" s="40" t="s">
        <v>11404</v>
      </c>
    </row>
    <row r="8287">
      <c r="A8287" s="39"/>
      <c r="E8287" s="40" t="s">
        <v>11404</v>
      </c>
      <c r="F8287" s="40" t="s">
        <v>11404</v>
      </c>
      <c r="G8287" s="40" t="s">
        <v>11404</v>
      </c>
      <c r="H8287" s="40" t="s">
        <v>11404</v>
      </c>
    </row>
    <row r="8288">
      <c r="A8288" s="39"/>
      <c r="E8288" s="40" t="s">
        <v>11404</v>
      </c>
      <c r="F8288" s="40" t="s">
        <v>11404</v>
      </c>
      <c r="G8288" s="40" t="s">
        <v>11404</v>
      </c>
      <c r="H8288" s="40" t="s">
        <v>11404</v>
      </c>
    </row>
    <row r="8289">
      <c r="A8289" s="39"/>
      <c r="E8289" s="40" t="s">
        <v>11404</v>
      </c>
      <c r="F8289" s="40" t="s">
        <v>11404</v>
      </c>
      <c r="G8289" s="40" t="s">
        <v>11404</v>
      </c>
      <c r="H8289" s="40" t="s">
        <v>11404</v>
      </c>
    </row>
    <row r="8290">
      <c r="A8290" s="39"/>
      <c r="E8290" s="40" t="s">
        <v>11404</v>
      </c>
      <c r="F8290" s="40" t="s">
        <v>11404</v>
      </c>
      <c r="G8290" s="40" t="s">
        <v>11404</v>
      </c>
      <c r="H8290" s="40" t="s">
        <v>11404</v>
      </c>
    </row>
    <row r="8291">
      <c r="A8291" s="39"/>
      <c r="E8291" s="40" t="s">
        <v>11404</v>
      </c>
      <c r="F8291" s="40" t="s">
        <v>11404</v>
      </c>
      <c r="G8291" s="40" t="s">
        <v>11404</v>
      </c>
      <c r="H8291" s="40" t="s">
        <v>11404</v>
      </c>
    </row>
    <row r="8292">
      <c r="A8292" s="39"/>
      <c r="E8292" s="40" t="s">
        <v>11404</v>
      </c>
      <c r="F8292" s="40" t="s">
        <v>11404</v>
      </c>
      <c r="G8292" s="40" t="s">
        <v>11404</v>
      </c>
      <c r="H8292" s="40" t="s">
        <v>11404</v>
      </c>
    </row>
    <row r="8293">
      <c r="A8293" s="39"/>
      <c r="E8293" s="40" t="s">
        <v>11404</v>
      </c>
      <c r="F8293" s="40" t="s">
        <v>11404</v>
      </c>
      <c r="G8293" s="40" t="s">
        <v>11404</v>
      </c>
      <c r="H8293" s="40" t="s">
        <v>11404</v>
      </c>
    </row>
    <row r="8294">
      <c r="A8294" s="39"/>
      <c r="E8294" s="40" t="s">
        <v>11404</v>
      </c>
      <c r="F8294" s="40" t="s">
        <v>11404</v>
      </c>
      <c r="G8294" s="40" t="s">
        <v>11404</v>
      </c>
      <c r="H8294" s="40" t="s">
        <v>11404</v>
      </c>
    </row>
    <row r="8295">
      <c r="A8295" s="39"/>
      <c r="E8295" s="40" t="s">
        <v>11404</v>
      </c>
      <c r="F8295" s="40" t="s">
        <v>11404</v>
      </c>
      <c r="G8295" s="40" t="s">
        <v>11404</v>
      </c>
      <c r="H8295" s="40" t="s">
        <v>11404</v>
      </c>
    </row>
    <row r="8296">
      <c r="A8296" s="39"/>
      <c r="E8296" s="40" t="s">
        <v>11404</v>
      </c>
      <c r="F8296" s="40" t="s">
        <v>11404</v>
      </c>
      <c r="G8296" s="40" t="s">
        <v>11404</v>
      </c>
      <c r="H8296" s="40" t="s">
        <v>11404</v>
      </c>
    </row>
    <row r="8297">
      <c r="A8297" s="39"/>
      <c r="E8297" s="40" t="s">
        <v>11404</v>
      </c>
      <c r="F8297" s="40" t="s">
        <v>11404</v>
      </c>
      <c r="G8297" s="40" t="s">
        <v>11404</v>
      </c>
      <c r="H8297" s="40" t="s">
        <v>11404</v>
      </c>
    </row>
    <row r="8298">
      <c r="A8298" s="39"/>
      <c r="E8298" s="40" t="s">
        <v>11404</v>
      </c>
      <c r="F8298" s="40" t="s">
        <v>11404</v>
      </c>
      <c r="G8298" s="40" t="s">
        <v>11404</v>
      </c>
      <c r="H8298" s="40" t="s">
        <v>11404</v>
      </c>
    </row>
    <row r="8299">
      <c r="A8299" s="39"/>
      <c r="E8299" s="40" t="s">
        <v>11404</v>
      </c>
      <c r="F8299" s="40" t="s">
        <v>11404</v>
      </c>
      <c r="G8299" s="40" t="s">
        <v>11404</v>
      </c>
      <c r="H8299" s="40" t="s">
        <v>11404</v>
      </c>
    </row>
    <row r="8300">
      <c r="A8300" s="39"/>
      <c r="E8300" s="40" t="s">
        <v>11404</v>
      </c>
      <c r="F8300" s="40" t="s">
        <v>11404</v>
      </c>
      <c r="G8300" s="40" t="s">
        <v>11404</v>
      </c>
      <c r="H8300" s="40" t="s">
        <v>11404</v>
      </c>
    </row>
    <row r="8301">
      <c r="A8301" s="39"/>
      <c r="E8301" s="40" t="s">
        <v>11404</v>
      </c>
      <c r="F8301" s="40" t="s">
        <v>11404</v>
      </c>
      <c r="G8301" s="40" t="s">
        <v>11404</v>
      </c>
      <c r="H8301" s="40" t="s">
        <v>11404</v>
      </c>
    </row>
    <row r="8302">
      <c r="A8302" s="39"/>
      <c r="E8302" s="40" t="s">
        <v>11404</v>
      </c>
      <c r="F8302" s="40" t="s">
        <v>11404</v>
      </c>
      <c r="G8302" s="40" t="s">
        <v>11404</v>
      </c>
      <c r="H8302" s="40" t="s">
        <v>11404</v>
      </c>
    </row>
    <row r="8303">
      <c r="A8303" s="39"/>
      <c r="E8303" s="40" t="s">
        <v>11404</v>
      </c>
      <c r="F8303" s="40" t="s">
        <v>11404</v>
      </c>
      <c r="G8303" s="40" t="s">
        <v>11404</v>
      </c>
      <c r="H8303" s="40" t="s">
        <v>11404</v>
      </c>
    </row>
    <row r="8304">
      <c r="A8304" s="39"/>
      <c r="E8304" s="40" t="s">
        <v>11404</v>
      </c>
      <c r="F8304" s="40" t="s">
        <v>11404</v>
      </c>
      <c r="G8304" s="40" t="s">
        <v>11404</v>
      </c>
      <c r="H8304" s="40" t="s">
        <v>11404</v>
      </c>
    </row>
    <row r="8305">
      <c r="A8305" s="39"/>
      <c r="E8305" s="40" t="s">
        <v>11404</v>
      </c>
      <c r="F8305" s="40" t="s">
        <v>11404</v>
      </c>
      <c r="G8305" s="40" t="s">
        <v>11404</v>
      </c>
      <c r="H8305" s="40" t="s">
        <v>11404</v>
      </c>
    </row>
    <row r="8306">
      <c r="A8306" s="39"/>
      <c r="E8306" s="40" t="s">
        <v>11404</v>
      </c>
      <c r="F8306" s="40" t="s">
        <v>11404</v>
      </c>
      <c r="G8306" s="40" t="s">
        <v>11404</v>
      </c>
      <c r="H8306" s="40" t="s">
        <v>11404</v>
      </c>
    </row>
    <row r="8307">
      <c r="A8307" s="39"/>
      <c r="E8307" s="40" t="s">
        <v>11404</v>
      </c>
      <c r="F8307" s="40" t="s">
        <v>11404</v>
      </c>
      <c r="G8307" s="40" t="s">
        <v>11404</v>
      </c>
      <c r="H8307" s="40" t="s">
        <v>11404</v>
      </c>
    </row>
    <row r="8308">
      <c r="A8308" s="39"/>
      <c r="E8308" s="40" t="s">
        <v>11404</v>
      </c>
      <c r="F8308" s="40" t="s">
        <v>11404</v>
      </c>
      <c r="G8308" s="40" t="s">
        <v>11404</v>
      </c>
      <c r="H8308" s="40" t="s">
        <v>11404</v>
      </c>
    </row>
    <row r="8309">
      <c r="A8309" s="39"/>
      <c r="E8309" s="40" t="s">
        <v>11404</v>
      </c>
      <c r="F8309" s="40" t="s">
        <v>11404</v>
      </c>
      <c r="G8309" s="40" t="s">
        <v>11404</v>
      </c>
      <c r="H8309" s="40" t="s">
        <v>11404</v>
      </c>
    </row>
    <row r="8310">
      <c r="A8310" s="39"/>
      <c r="E8310" s="40" t="s">
        <v>11404</v>
      </c>
      <c r="F8310" s="40" t="s">
        <v>11404</v>
      </c>
      <c r="G8310" s="40" t="s">
        <v>11404</v>
      </c>
      <c r="H8310" s="40" t="s">
        <v>11404</v>
      </c>
    </row>
    <row r="8311">
      <c r="A8311" s="39"/>
      <c r="E8311" s="40" t="s">
        <v>11404</v>
      </c>
      <c r="F8311" s="40" t="s">
        <v>11404</v>
      </c>
      <c r="G8311" s="40" t="s">
        <v>11404</v>
      </c>
      <c r="H8311" s="40" t="s">
        <v>11404</v>
      </c>
    </row>
    <row r="8312">
      <c r="A8312" s="39"/>
      <c r="E8312" s="40" t="s">
        <v>11404</v>
      </c>
      <c r="F8312" s="40" t="s">
        <v>11404</v>
      </c>
      <c r="G8312" s="40" t="s">
        <v>11404</v>
      </c>
      <c r="H8312" s="40" t="s">
        <v>11404</v>
      </c>
    </row>
    <row r="8313">
      <c r="A8313" s="39"/>
      <c r="E8313" s="40" t="s">
        <v>11404</v>
      </c>
      <c r="F8313" s="40" t="s">
        <v>11404</v>
      </c>
      <c r="G8313" s="40" t="s">
        <v>11404</v>
      </c>
      <c r="H8313" s="40" t="s">
        <v>11404</v>
      </c>
    </row>
    <row r="8314">
      <c r="A8314" s="39"/>
      <c r="E8314" s="40" t="s">
        <v>11404</v>
      </c>
      <c r="F8314" s="40" t="s">
        <v>11404</v>
      </c>
      <c r="G8314" s="40" t="s">
        <v>11404</v>
      </c>
      <c r="H8314" s="40" t="s">
        <v>11404</v>
      </c>
    </row>
    <row r="8315">
      <c r="A8315" s="39"/>
      <c r="E8315" s="40" t="s">
        <v>11404</v>
      </c>
      <c r="F8315" s="40" t="s">
        <v>11404</v>
      </c>
      <c r="G8315" s="40" t="s">
        <v>11404</v>
      </c>
      <c r="H8315" s="40" t="s">
        <v>11404</v>
      </c>
    </row>
    <row r="8316">
      <c r="A8316" s="39"/>
      <c r="E8316" s="40" t="s">
        <v>11404</v>
      </c>
      <c r="F8316" s="40" t="s">
        <v>11404</v>
      </c>
      <c r="G8316" s="40" t="s">
        <v>11404</v>
      </c>
      <c r="H8316" s="40" t="s">
        <v>11404</v>
      </c>
    </row>
    <row r="8317">
      <c r="A8317" s="39"/>
      <c r="E8317" s="40" t="s">
        <v>11404</v>
      </c>
      <c r="F8317" s="40" t="s">
        <v>11404</v>
      </c>
      <c r="G8317" s="40" t="s">
        <v>11404</v>
      </c>
      <c r="H8317" s="40" t="s">
        <v>11404</v>
      </c>
    </row>
    <row r="8318">
      <c r="A8318" s="39"/>
      <c r="E8318" s="40" t="s">
        <v>11404</v>
      </c>
      <c r="F8318" s="40" t="s">
        <v>11404</v>
      </c>
      <c r="G8318" s="40" t="s">
        <v>11404</v>
      </c>
      <c r="H8318" s="40" t="s">
        <v>11404</v>
      </c>
    </row>
    <row r="8319">
      <c r="A8319" s="39"/>
      <c r="E8319" s="40" t="s">
        <v>11404</v>
      </c>
      <c r="F8319" s="40" t="s">
        <v>11404</v>
      </c>
      <c r="G8319" s="40" t="s">
        <v>11404</v>
      </c>
      <c r="H8319" s="40" t="s">
        <v>11404</v>
      </c>
    </row>
    <row r="8320">
      <c r="A8320" s="39"/>
      <c r="E8320" s="40" t="s">
        <v>11404</v>
      </c>
      <c r="F8320" s="40" t="s">
        <v>11404</v>
      </c>
      <c r="G8320" s="40" t="s">
        <v>11404</v>
      </c>
      <c r="H8320" s="40" t="s">
        <v>11404</v>
      </c>
    </row>
    <row r="8321">
      <c r="A8321" s="39"/>
      <c r="E8321" s="40" t="s">
        <v>11404</v>
      </c>
      <c r="F8321" s="40" t="s">
        <v>11404</v>
      </c>
      <c r="G8321" s="40" t="s">
        <v>11404</v>
      </c>
      <c r="H8321" s="40" t="s">
        <v>11404</v>
      </c>
    </row>
    <row r="8322">
      <c r="A8322" s="39"/>
      <c r="E8322" s="40" t="s">
        <v>11404</v>
      </c>
      <c r="F8322" s="40" t="s">
        <v>11404</v>
      </c>
      <c r="G8322" s="40" t="s">
        <v>11404</v>
      </c>
      <c r="H8322" s="40" t="s">
        <v>11404</v>
      </c>
    </row>
    <row r="8323">
      <c r="A8323" s="39"/>
      <c r="E8323" s="40" t="s">
        <v>11404</v>
      </c>
      <c r="F8323" s="40" t="s">
        <v>11404</v>
      </c>
      <c r="G8323" s="40" t="s">
        <v>11404</v>
      </c>
      <c r="H8323" s="40" t="s">
        <v>11404</v>
      </c>
    </row>
    <row r="8324">
      <c r="A8324" s="39"/>
      <c r="E8324" s="40" t="s">
        <v>11404</v>
      </c>
      <c r="F8324" s="40" t="s">
        <v>11404</v>
      </c>
      <c r="G8324" s="40" t="s">
        <v>11404</v>
      </c>
      <c r="H8324" s="40" t="s">
        <v>11404</v>
      </c>
    </row>
    <row r="8325">
      <c r="A8325" s="39"/>
      <c r="E8325" s="40" t="s">
        <v>11404</v>
      </c>
      <c r="F8325" s="40" t="s">
        <v>11404</v>
      </c>
      <c r="G8325" s="40" t="s">
        <v>11404</v>
      </c>
      <c r="H8325" s="40" t="s">
        <v>11404</v>
      </c>
    </row>
    <row r="8326">
      <c r="A8326" s="39"/>
      <c r="E8326" s="40" t="s">
        <v>11404</v>
      </c>
      <c r="F8326" s="40" t="s">
        <v>11404</v>
      </c>
      <c r="G8326" s="40" t="s">
        <v>11404</v>
      </c>
      <c r="H8326" s="40" t="s">
        <v>11404</v>
      </c>
    </row>
    <row r="8327">
      <c r="A8327" s="39"/>
      <c r="E8327" s="40" t="s">
        <v>11404</v>
      </c>
      <c r="F8327" s="40" t="s">
        <v>11404</v>
      </c>
      <c r="G8327" s="40" t="s">
        <v>11404</v>
      </c>
      <c r="H8327" s="40" t="s">
        <v>11404</v>
      </c>
    </row>
    <row r="8328">
      <c r="A8328" s="39"/>
      <c r="E8328" s="40" t="s">
        <v>11404</v>
      </c>
      <c r="F8328" s="40" t="s">
        <v>11404</v>
      </c>
      <c r="G8328" s="40" t="s">
        <v>11404</v>
      </c>
      <c r="H8328" s="40" t="s">
        <v>11404</v>
      </c>
    </row>
    <row r="8329">
      <c r="A8329" s="39"/>
      <c r="E8329" s="40" t="s">
        <v>11404</v>
      </c>
      <c r="F8329" s="40" t="s">
        <v>11404</v>
      </c>
      <c r="G8329" s="40" t="s">
        <v>11404</v>
      </c>
      <c r="H8329" s="40" t="s">
        <v>11404</v>
      </c>
    </row>
    <row r="8330">
      <c r="A8330" s="39"/>
      <c r="E8330" s="40" t="s">
        <v>11404</v>
      </c>
      <c r="F8330" s="40" t="s">
        <v>11404</v>
      </c>
      <c r="G8330" s="40" t="s">
        <v>11404</v>
      </c>
      <c r="H8330" s="40" t="s">
        <v>11404</v>
      </c>
    </row>
    <row r="8331">
      <c r="A8331" s="39"/>
      <c r="E8331" s="40" t="s">
        <v>11404</v>
      </c>
      <c r="F8331" s="40" t="s">
        <v>11404</v>
      </c>
      <c r="G8331" s="40" t="s">
        <v>11404</v>
      </c>
      <c r="H8331" s="40" t="s">
        <v>11404</v>
      </c>
    </row>
    <row r="8332">
      <c r="A8332" s="39"/>
      <c r="E8332" s="40" t="s">
        <v>11404</v>
      </c>
      <c r="F8332" s="40" t="s">
        <v>11404</v>
      </c>
      <c r="G8332" s="40" t="s">
        <v>11404</v>
      </c>
      <c r="H8332" s="40" t="s">
        <v>11404</v>
      </c>
    </row>
    <row r="8333">
      <c r="A8333" s="39"/>
      <c r="E8333" s="40" t="s">
        <v>11404</v>
      </c>
      <c r="F8333" s="40" t="s">
        <v>11404</v>
      </c>
      <c r="G8333" s="40" t="s">
        <v>11404</v>
      </c>
      <c r="H8333" s="40" t="s">
        <v>11404</v>
      </c>
    </row>
    <row r="8334">
      <c r="A8334" s="39"/>
      <c r="E8334" s="40" t="s">
        <v>11404</v>
      </c>
      <c r="F8334" s="40" t="s">
        <v>11404</v>
      </c>
      <c r="G8334" s="40" t="s">
        <v>11404</v>
      </c>
      <c r="H8334" s="40" t="s">
        <v>11404</v>
      </c>
    </row>
    <row r="8335">
      <c r="A8335" s="39"/>
      <c r="E8335" s="40" t="s">
        <v>11404</v>
      </c>
      <c r="F8335" s="40" t="s">
        <v>11404</v>
      </c>
      <c r="G8335" s="40" t="s">
        <v>11404</v>
      </c>
      <c r="H8335" s="40" t="s">
        <v>11404</v>
      </c>
    </row>
    <row r="8336">
      <c r="A8336" s="39"/>
      <c r="E8336" s="40" t="s">
        <v>11404</v>
      </c>
      <c r="F8336" s="40" t="s">
        <v>11404</v>
      </c>
      <c r="G8336" s="40" t="s">
        <v>11404</v>
      </c>
      <c r="H8336" s="40" t="s">
        <v>11404</v>
      </c>
    </row>
    <row r="8337">
      <c r="A8337" s="39"/>
      <c r="E8337" s="40" t="s">
        <v>11404</v>
      </c>
      <c r="F8337" s="40" t="s">
        <v>11404</v>
      </c>
      <c r="G8337" s="40" t="s">
        <v>11404</v>
      </c>
      <c r="H8337" s="40" t="s">
        <v>11404</v>
      </c>
    </row>
    <row r="8338">
      <c r="A8338" s="39"/>
      <c r="E8338" s="40" t="s">
        <v>11404</v>
      </c>
      <c r="F8338" s="40" t="s">
        <v>11404</v>
      </c>
      <c r="G8338" s="40" t="s">
        <v>11404</v>
      </c>
      <c r="H8338" s="40" t="s">
        <v>11404</v>
      </c>
    </row>
    <row r="8339">
      <c r="A8339" s="39"/>
      <c r="E8339" s="40" t="s">
        <v>11404</v>
      </c>
      <c r="F8339" s="40" t="s">
        <v>11404</v>
      </c>
      <c r="G8339" s="40" t="s">
        <v>11404</v>
      </c>
      <c r="H8339" s="40" t="s">
        <v>11404</v>
      </c>
    </row>
    <row r="8340">
      <c r="A8340" s="39"/>
      <c r="E8340" s="40" t="s">
        <v>11404</v>
      </c>
      <c r="F8340" s="40" t="s">
        <v>11404</v>
      </c>
      <c r="G8340" s="40" t="s">
        <v>11404</v>
      </c>
      <c r="H8340" s="40" t="s">
        <v>11404</v>
      </c>
    </row>
    <row r="8341">
      <c r="A8341" s="39"/>
      <c r="E8341" s="40" t="s">
        <v>11404</v>
      </c>
      <c r="F8341" s="40" t="s">
        <v>11404</v>
      </c>
      <c r="G8341" s="40" t="s">
        <v>11404</v>
      </c>
      <c r="H8341" s="40" t="s">
        <v>11404</v>
      </c>
    </row>
    <row r="8342">
      <c r="A8342" s="39"/>
      <c r="E8342" s="40" t="s">
        <v>11404</v>
      </c>
      <c r="F8342" s="40" t="s">
        <v>11404</v>
      </c>
      <c r="G8342" s="40" t="s">
        <v>11404</v>
      </c>
      <c r="H8342" s="40" t="s">
        <v>11404</v>
      </c>
    </row>
    <row r="8343">
      <c r="A8343" s="39"/>
      <c r="E8343" s="40" t="s">
        <v>11404</v>
      </c>
      <c r="F8343" s="40" t="s">
        <v>11404</v>
      </c>
      <c r="G8343" s="40" t="s">
        <v>11404</v>
      </c>
      <c r="H8343" s="40" t="s">
        <v>11404</v>
      </c>
    </row>
    <row r="8344">
      <c r="A8344" s="39"/>
      <c r="E8344" s="40" t="s">
        <v>11404</v>
      </c>
      <c r="F8344" s="40" t="s">
        <v>11404</v>
      </c>
      <c r="G8344" s="40" t="s">
        <v>11404</v>
      </c>
      <c r="H8344" s="40" t="s">
        <v>11404</v>
      </c>
    </row>
    <row r="8345">
      <c r="A8345" s="39"/>
      <c r="E8345" s="40" t="s">
        <v>11404</v>
      </c>
      <c r="F8345" s="40" t="s">
        <v>11404</v>
      </c>
      <c r="G8345" s="40" t="s">
        <v>11404</v>
      </c>
      <c r="H8345" s="40" t="s">
        <v>11404</v>
      </c>
    </row>
    <row r="8346">
      <c r="A8346" s="39"/>
      <c r="E8346" s="40" t="s">
        <v>11404</v>
      </c>
      <c r="F8346" s="40" t="s">
        <v>11404</v>
      </c>
      <c r="G8346" s="40" t="s">
        <v>11404</v>
      </c>
      <c r="H8346" s="40" t="s">
        <v>11404</v>
      </c>
    </row>
    <row r="8347">
      <c r="A8347" s="39"/>
      <c r="E8347" s="40" t="s">
        <v>11404</v>
      </c>
      <c r="F8347" s="40" t="s">
        <v>11404</v>
      </c>
      <c r="G8347" s="40" t="s">
        <v>11404</v>
      </c>
      <c r="H8347" s="40" t="s">
        <v>11404</v>
      </c>
    </row>
    <row r="8348">
      <c r="A8348" s="39"/>
      <c r="E8348" s="40" t="s">
        <v>11404</v>
      </c>
      <c r="F8348" s="40" t="s">
        <v>11404</v>
      </c>
      <c r="G8348" s="40" t="s">
        <v>11404</v>
      </c>
      <c r="H8348" s="40" t="s">
        <v>11404</v>
      </c>
    </row>
    <row r="8349">
      <c r="A8349" s="39"/>
      <c r="E8349" s="40" t="s">
        <v>11404</v>
      </c>
      <c r="F8349" s="40" t="s">
        <v>11404</v>
      </c>
      <c r="G8349" s="40" t="s">
        <v>11404</v>
      </c>
      <c r="H8349" s="40" t="s">
        <v>11404</v>
      </c>
    </row>
    <row r="8350">
      <c r="A8350" s="39"/>
      <c r="E8350" s="40" t="s">
        <v>11404</v>
      </c>
      <c r="F8350" s="40" t="s">
        <v>11404</v>
      </c>
      <c r="G8350" s="40" t="s">
        <v>11404</v>
      </c>
      <c r="H8350" s="40" t="s">
        <v>11404</v>
      </c>
    </row>
    <row r="8351">
      <c r="A8351" s="39"/>
      <c r="E8351" s="40" t="s">
        <v>11404</v>
      </c>
      <c r="F8351" s="40" t="s">
        <v>11404</v>
      </c>
      <c r="G8351" s="40" t="s">
        <v>11404</v>
      </c>
      <c r="H8351" s="40" t="s">
        <v>11404</v>
      </c>
    </row>
    <row r="8352">
      <c r="A8352" s="39"/>
      <c r="E8352" s="40" t="s">
        <v>11404</v>
      </c>
      <c r="F8352" s="40" t="s">
        <v>11404</v>
      </c>
      <c r="G8352" s="40" t="s">
        <v>11404</v>
      </c>
      <c r="H8352" s="40" t="s">
        <v>11404</v>
      </c>
    </row>
    <row r="8353">
      <c r="A8353" s="39"/>
      <c r="E8353" s="40" t="s">
        <v>11404</v>
      </c>
      <c r="F8353" s="40" t="s">
        <v>11404</v>
      </c>
      <c r="G8353" s="40" t="s">
        <v>11404</v>
      </c>
      <c r="H8353" s="40" t="s">
        <v>11404</v>
      </c>
    </row>
    <row r="8354">
      <c r="A8354" s="39"/>
      <c r="E8354" s="40" t="s">
        <v>11404</v>
      </c>
      <c r="F8354" s="40" t="s">
        <v>11404</v>
      </c>
      <c r="G8354" s="40" t="s">
        <v>11404</v>
      </c>
      <c r="H8354" s="40" t="s">
        <v>11404</v>
      </c>
    </row>
    <row r="8355">
      <c r="A8355" s="39"/>
      <c r="E8355" s="40" t="s">
        <v>11404</v>
      </c>
      <c r="F8355" s="40" t="s">
        <v>11404</v>
      </c>
      <c r="G8355" s="40" t="s">
        <v>11404</v>
      </c>
      <c r="H8355" s="40" t="s">
        <v>11404</v>
      </c>
    </row>
    <row r="8356">
      <c r="A8356" s="39"/>
      <c r="E8356" s="40" t="s">
        <v>11404</v>
      </c>
      <c r="F8356" s="40" t="s">
        <v>11404</v>
      </c>
      <c r="G8356" s="40" t="s">
        <v>11404</v>
      </c>
      <c r="H8356" s="40" t="s">
        <v>11404</v>
      </c>
    </row>
    <row r="8357">
      <c r="A8357" s="39"/>
      <c r="E8357" s="40" t="s">
        <v>11404</v>
      </c>
      <c r="F8357" s="40" t="s">
        <v>11404</v>
      </c>
      <c r="G8357" s="40" t="s">
        <v>11404</v>
      </c>
      <c r="H8357" s="40" t="s">
        <v>11404</v>
      </c>
    </row>
    <row r="8358">
      <c r="A8358" s="39"/>
      <c r="E8358" s="40" t="s">
        <v>11404</v>
      </c>
      <c r="F8358" s="40" t="s">
        <v>11404</v>
      </c>
      <c r="G8358" s="40" t="s">
        <v>11404</v>
      </c>
      <c r="H8358" s="40" t="s">
        <v>11404</v>
      </c>
    </row>
    <row r="8359">
      <c r="A8359" s="39"/>
      <c r="E8359" s="40" t="s">
        <v>11404</v>
      </c>
      <c r="F8359" s="40" t="s">
        <v>11404</v>
      </c>
      <c r="G8359" s="40" t="s">
        <v>11404</v>
      </c>
      <c r="H8359" s="40" t="s">
        <v>11404</v>
      </c>
    </row>
    <row r="8360">
      <c r="A8360" s="39"/>
      <c r="E8360" s="40" t="s">
        <v>11404</v>
      </c>
      <c r="F8360" s="40" t="s">
        <v>11404</v>
      </c>
      <c r="G8360" s="40" t="s">
        <v>11404</v>
      </c>
      <c r="H8360" s="40" t="s">
        <v>11404</v>
      </c>
    </row>
    <row r="8361">
      <c r="A8361" s="39"/>
      <c r="E8361" s="40" t="s">
        <v>11404</v>
      </c>
      <c r="F8361" s="40" t="s">
        <v>11404</v>
      </c>
      <c r="G8361" s="40" t="s">
        <v>11404</v>
      </c>
      <c r="H8361" s="40" t="s">
        <v>11404</v>
      </c>
    </row>
    <row r="8362">
      <c r="A8362" s="39"/>
      <c r="E8362" s="40" t="s">
        <v>11404</v>
      </c>
      <c r="F8362" s="40" t="s">
        <v>11404</v>
      </c>
      <c r="G8362" s="40" t="s">
        <v>11404</v>
      </c>
      <c r="H8362" s="40" t="s">
        <v>11404</v>
      </c>
    </row>
    <row r="8363">
      <c r="A8363" s="39"/>
      <c r="E8363" s="40" t="s">
        <v>11404</v>
      </c>
      <c r="F8363" s="40" t="s">
        <v>11404</v>
      </c>
      <c r="G8363" s="40" t="s">
        <v>11404</v>
      </c>
      <c r="H8363" s="40" t="s">
        <v>11404</v>
      </c>
    </row>
    <row r="8364">
      <c r="A8364" s="39"/>
      <c r="E8364" s="40" t="s">
        <v>11404</v>
      </c>
      <c r="F8364" s="40" t="s">
        <v>11404</v>
      </c>
      <c r="G8364" s="40" t="s">
        <v>11404</v>
      </c>
      <c r="H8364" s="40" t="s">
        <v>11404</v>
      </c>
    </row>
    <row r="8365">
      <c r="A8365" s="39"/>
      <c r="E8365" s="40" t="s">
        <v>11404</v>
      </c>
      <c r="F8365" s="40" t="s">
        <v>11404</v>
      </c>
      <c r="G8365" s="40" t="s">
        <v>11404</v>
      </c>
      <c r="H8365" s="40" t="s">
        <v>11404</v>
      </c>
    </row>
    <row r="8366">
      <c r="A8366" s="39"/>
      <c r="E8366" s="40" t="s">
        <v>11404</v>
      </c>
      <c r="F8366" s="40" t="s">
        <v>11404</v>
      </c>
      <c r="G8366" s="40" t="s">
        <v>11404</v>
      </c>
      <c r="H8366" s="40" t="s">
        <v>11404</v>
      </c>
    </row>
    <row r="8367">
      <c r="A8367" s="39"/>
      <c r="E8367" s="40" t="s">
        <v>11404</v>
      </c>
      <c r="F8367" s="40" t="s">
        <v>11404</v>
      </c>
      <c r="G8367" s="40" t="s">
        <v>11404</v>
      </c>
      <c r="H8367" s="40" t="s">
        <v>11404</v>
      </c>
    </row>
    <row r="8368">
      <c r="A8368" s="39"/>
      <c r="E8368" s="40" t="s">
        <v>11404</v>
      </c>
      <c r="F8368" s="40" t="s">
        <v>11404</v>
      </c>
      <c r="G8368" s="40" t="s">
        <v>11404</v>
      </c>
      <c r="H8368" s="40" t="s">
        <v>11404</v>
      </c>
    </row>
    <row r="8369">
      <c r="A8369" s="39"/>
      <c r="E8369" s="40" t="s">
        <v>11404</v>
      </c>
      <c r="F8369" s="40" t="s">
        <v>11404</v>
      </c>
      <c r="G8369" s="40" t="s">
        <v>11404</v>
      </c>
      <c r="H8369" s="40" t="s">
        <v>11404</v>
      </c>
    </row>
    <row r="8370">
      <c r="A8370" s="39"/>
      <c r="E8370" s="40" t="s">
        <v>11404</v>
      </c>
      <c r="F8370" s="40" t="s">
        <v>11404</v>
      </c>
      <c r="G8370" s="40" t="s">
        <v>11404</v>
      </c>
      <c r="H8370" s="40" t="s">
        <v>11404</v>
      </c>
    </row>
    <row r="8371">
      <c r="A8371" s="39"/>
      <c r="E8371" s="40" t="s">
        <v>11404</v>
      </c>
      <c r="F8371" s="40" t="s">
        <v>11404</v>
      </c>
      <c r="G8371" s="40" t="s">
        <v>11404</v>
      </c>
      <c r="H8371" s="40" t="s">
        <v>11404</v>
      </c>
    </row>
    <row r="8372">
      <c r="A8372" s="39"/>
      <c r="E8372" s="40" t="s">
        <v>11404</v>
      </c>
      <c r="F8372" s="40" t="s">
        <v>11404</v>
      </c>
      <c r="G8372" s="40" t="s">
        <v>11404</v>
      </c>
      <c r="H8372" s="40" t="s">
        <v>11404</v>
      </c>
    </row>
    <row r="8373">
      <c r="A8373" s="39"/>
      <c r="E8373" s="40" t="s">
        <v>11404</v>
      </c>
      <c r="F8373" s="40" t="s">
        <v>11404</v>
      </c>
      <c r="G8373" s="40" t="s">
        <v>11404</v>
      </c>
      <c r="H8373" s="40" t="s">
        <v>11404</v>
      </c>
    </row>
    <row r="8374">
      <c r="A8374" s="39"/>
      <c r="E8374" s="40" t="s">
        <v>11404</v>
      </c>
      <c r="F8374" s="40" t="s">
        <v>11404</v>
      </c>
      <c r="G8374" s="40" t="s">
        <v>11404</v>
      </c>
      <c r="H8374" s="40" t="s">
        <v>11404</v>
      </c>
    </row>
    <row r="8375">
      <c r="A8375" s="39"/>
      <c r="E8375" s="40" t="s">
        <v>11404</v>
      </c>
      <c r="F8375" s="40" t="s">
        <v>11404</v>
      </c>
      <c r="G8375" s="40" t="s">
        <v>11404</v>
      </c>
      <c r="H8375" s="40" t="s">
        <v>11404</v>
      </c>
    </row>
    <row r="8376">
      <c r="A8376" s="39"/>
      <c r="E8376" s="40" t="s">
        <v>11404</v>
      </c>
      <c r="F8376" s="40" t="s">
        <v>11404</v>
      </c>
      <c r="G8376" s="40" t="s">
        <v>11404</v>
      </c>
      <c r="H8376" s="40" t="s">
        <v>11404</v>
      </c>
    </row>
    <row r="8377">
      <c r="A8377" s="39"/>
      <c r="E8377" s="40" t="s">
        <v>11404</v>
      </c>
      <c r="F8377" s="40" t="s">
        <v>11404</v>
      </c>
      <c r="G8377" s="40" t="s">
        <v>11404</v>
      </c>
      <c r="H8377" s="40" t="s">
        <v>11404</v>
      </c>
    </row>
    <row r="8378">
      <c r="A8378" s="39"/>
      <c r="E8378" s="40" t="s">
        <v>11404</v>
      </c>
      <c r="F8378" s="40" t="s">
        <v>11404</v>
      </c>
      <c r="G8378" s="40" t="s">
        <v>11404</v>
      </c>
      <c r="H8378" s="40" t="s">
        <v>11404</v>
      </c>
    </row>
    <row r="8379">
      <c r="A8379" s="39"/>
      <c r="E8379" s="40" t="s">
        <v>11404</v>
      </c>
      <c r="F8379" s="40" t="s">
        <v>11404</v>
      </c>
      <c r="G8379" s="40" t="s">
        <v>11404</v>
      </c>
      <c r="H8379" s="40" t="s">
        <v>11404</v>
      </c>
    </row>
    <row r="8380">
      <c r="A8380" s="39"/>
      <c r="E8380" s="40" t="s">
        <v>11404</v>
      </c>
      <c r="F8380" s="40" t="s">
        <v>11404</v>
      </c>
      <c r="G8380" s="40" t="s">
        <v>11404</v>
      </c>
      <c r="H8380" s="40" t="s">
        <v>11404</v>
      </c>
    </row>
    <row r="8381">
      <c r="A8381" s="39"/>
      <c r="E8381" s="40" t="s">
        <v>11404</v>
      </c>
      <c r="F8381" s="40" t="s">
        <v>11404</v>
      </c>
      <c r="G8381" s="40" t="s">
        <v>11404</v>
      </c>
      <c r="H8381" s="40" t="s">
        <v>11404</v>
      </c>
    </row>
    <row r="8382">
      <c r="A8382" s="39"/>
      <c r="E8382" s="40" t="s">
        <v>11404</v>
      </c>
      <c r="F8382" s="40" t="s">
        <v>11404</v>
      </c>
      <c r="G8382" s="40" t="s">
        <v>11404</v>
      </c>
      <c r="H8382" s="40" t="s">
        <v>11404</v>
      </c>
    </row>
    <row r="8383">
      <c r="A8383" s="39"/>
      <c r="E8383" s="40" t="s">
        <v>11404</v>
      </c>
      <c r="F8383" s="40" t="s">
        <v>11404</v>
      </c>
      <c r="G8383" s="40" t="s">
        <v>11404</v>
      </c>
      <c r="H8383" s="40" t="s">
        <v>11404</v>
      </c>
    </row>
    <row r="8384">
      <c r="A8384" s="39"/>
      <c r="E8384" s="40" t="s">
        <v>11404</v>
      </c>
      <c r="F8384" s="40" t="s">
        <v>11404</v>
      </c>
      <c r="G8384" s="40" t="s">
        <v>11404</v>
      </c>
      <c r="H8384" s="40" t="s">
        <v>11404</v>
      </c>
    </row>
    <row r="8385">
      <c r="A8385" s="39"/>
      <c r="E8385" s="40" t="s">
        <v>11404</v>
      </c>
      <c r="F8385" s="40" t="s">
        <v>11404</v>
      </c>
      <c r="G8385" s="40" t="s">
        <v>11404</v>
      </c>
      <c r="H8385" s="40" t="s">
        <v>11404</v>
      </c>
    </row>
    <row r="8386">
      <c r="A8386" s="39"/>
      <c r="E8386" s="40" t="s">
        <v>11404</v>
      </c>
      <c r="F8386" s="40" t="s">
        <v>11404</v>
      </c>
      <c r="G8386" s="40" t="s">
        <v>11404</v>
      </c>
      <c r="H8386" s="40" t="s">
        <v>11404</v>
      </c>
    </row>
    <row r="8387">
      <c r="A8387" s="39"/>
      <c r="E8387" s="40" t="s">
        <v>11404</v>
      </c>
      <c r="F8387" s="40" t="s">
        <v>11404</v>
      </c>
      <c r="G8387" s="40" t="s">
        <v>11404</v>
      </c>
      <c r="H8387" s="40" t="s">
        <v>11404</v>
      </c>
    </row>
    <row r="8388">
      <c r="A8388" s="39"/>
      <c r="E8388" s="40" t="s">
        <v>11404</v>
      </c>
      <c r="F8388" s="40" t="s">
        <v>11404</v>
      </c>
      <c r="G8388" s="40" t="s">
        <v>11404</v>
      </c>
      <c r="H8388" s="40" t="s">
        <v>11404</v>
      </c>
    </row>
    <row r="8389">
      <c r="A8389" s="39"/>
      <c r="E8389" s="40" t="s">
        <v>11404</v>
      </c>
      <c r="F8389" s="40" t="s">
        <v>11404</v>
      </c>
      <c r="G8389" s="40" t="s">
        <v>11404</v>
      </c>
      <c r="H8389" s="40" t="s">
        <v>11404</v>
      </c>
    </row>
    <row r="8390">
      <c r="A8390" s="39"/>
      <c r="E8390" s="40" t="s">
        <v>11404</v>
      </c>
      <c r="F8390" s="40" t="s">
        <v>11404</v>
      </c>
      <c r="G8390" s="40" t="s">
        <v>11404</v>
      </c>
      <c r="H8390" s="40" t="s">
        <v>11404</v>
      </c>
    </row>
    <row r="8391">
      <c r="A8391" s="39"/>
      <c r="E8391" s="40" t="s">
        <v>11404</v>
      </c>
      <c r="F8391" s="40" t="s">
        <v>11404</v>
      </c>
      <c r="G8391" s="40" t="s">
        <v>11404</v>
      </c>
      <c r="H8391" s="40" t="s">
        <v>11404</v>
      </c>
    </row>
    <row r="8392">
      <c r="A8392" s="39"/>
      <c r="E8392" s="40" t="s">
        <v>11404</v>
      </c>
      <c r="F8392" s="40" t="s">
        <v>11404</v>
      </c>
      <c r="G8392" s="40" t="s">
        <v>11404</v>
      </c>
      <c r="H8392" s="40" t="s">
        <v>11404</v>
      </c>
    </row>
    <row r="8393">
      <c r="A8393" s="39"/>
      <c r="E8393" s="40" t="s">
        <v>11404</v>
      </c>
      <c r="F8393" s="40" t="s">
        <v>11404</v>
      </c>
      <c r="G8393" s="40" t="s">
        <v>11404</v>
      </c>
      <c r="H8393" s="40" t="s">
        <v>11404</v>
      </c>
    </row>
    <row r="8394">
      <c r="A8394" s="39"/>
      <c r="E8394" s="40" t="s">
        <v>11404</v>
      </c>
      <c r="F8394" s="40" t="s">
        <v>11404</v>
      </c>
      <c r="G8394" s="40" t="s">
        <v>11404</v>
      </c>
      <c r="H8394" s="40" t="s">
        <v>11404</v>
      </c>
    </row>
    <row r="8395">
      <c r="A8395" s="39"/>
      <c r="E8395" s="40" t="s">
        <v>11404</v>
      </c>
      <c r="F8395" s="40" t="s">
        <v>11404</v>
      </c>
      <c r="G8395" s="40" t="s">
        <v>11404</v>
      </c>
      <c r="H8395" s="40" t="s">
        <v>11404</v>
      </c>
    </row>
    <row r="8396">
      <c r="A8396" s="39"/>
      <c r="E8396" s="40" t="s">
        <v>11404</v>
      </c>
      <c r="F8396" s="40" t="s">
        <v>11404</v>
      </c>
      <c r="G8396" s="40" t="s">
        <v>11404</v>
      </c>
      <c r="H8396" s="40" t="s">
        <v>11404</v>
      </c>
    </row>
    <row r="8397">
      <c r="A8397" s="39"/>
      <c r="E8397" s="40" t="s">
        <v>11404</v>
      </c>
      <c r="F8397" s="40" t="s">
        <v>11404</v>
      </c>
      <c r="G8397" s="40" t="s">
        <v>11404</v>
      </c>
      <c r="H8397" s="40" t="s">
        <v>11404</v>
      </c>
    </row>
    <row r="8398">
      <c r="A8398" s="39"/>
      <c r="E8398" s="40" t="s">
        <v>11404</v>
      </c>
      <c r="F8398" s="40" t="s">
        <v>11404</v>
      </c>
      <c r="G8398" s="40" t="s">
        <v>11404</v>
      </c>
      <c r="H8398" s="40" t="s">
        <v>11404</v>
      </c>
    </row>
    <row r="8399">
      <c r="A8399" s="39"/>
      <c r="E8399" s="40" t="s">
        <v>11404</v>
      </c>
      <c r="F8399" s="40" t="s">
        <v>11404</v>
      </c>
      <c r="G8399" s="40" t="s">
        <v>11404</v>
      </c>
      <c r="H8399" s="40" t="s">
        <v>11404</v>
      </c>
    </row>
    <row r="8400">
      <c r="A8400" s="39"/>
      <c r="E8400" s="40" t="s">
        <v>11404</v>
      </c>
      <c r="F8400" s="40" t="s">
        <v>11404</v>
      </c>
      <c r="G8400" s="40" t="s">
        <v>11404</v>
      </c>
      <c r="H8400" s="40" t="s">
        <v>11404</v>
      </c>
    </row>
    <row r="8401">
      <c r="A8401" s="39"/>
      <c r="E8401" s="40" t="s">
        <v>11404</v>
      </c>
      <c r="F8401" s="40" t="s">
        <v>11404</v>
      </c>
      <c r="G8401" s="40" t="s">
        <v>11404</v>
      </c>
      <c r="H8401" s="40" t="s">
        <v>11404</v>
      </c>
    </row>
    <row r="8402">
      <c r="A8402" s="39"/>
      <c r="E8402" s="40" t="s">
        <v>11404</v>
      </c>
      <c r="F8402" s="40" t="s">
        <v>11404</v>
      </c>
      <c r="G8402" s="40" t="s">
        <v>11404</v>
      </c>
      <c r="H8402" s="40" t="s">
        <v>11404</v>
      </c>
    </row>
    <row r="8403">
      <c r="A8403" s="39"/>
      <c r="E8403" s="40" t="s">
        <v>11404</v>
      </c>
      <c r="F8403" s="40" t="s">
        <v>11404</v>
      </c>
      <c r="G8403" s="40" t="s">
        <v>11404</v>
      </c>
      <c r="H8403" s="40" t="s">
        <v>11404</v>
      </c>
    </row>
    <row r="8404">
      <c r="A8404" s="39"/>
      <c r="E8404" s="40" t="s">
        <v>11404</v>
      </c>
      <c r="F8404" s="40" t="s">
        <v>11404</v>
      </c>
      <c r="G8404" s="40" t="s">
        <v>11404</v>
      </c>
      <c r="H8404" s="40" t="s">
        <v>11404</v>
      </c>
    </row>
    <row r="8405">
      <c r="A8405" s="39"/>
      <c r="E8405" s="40" t="s">
        <v>11404</v>
      </c>
      <c r="F8405" s="40" t="s">
        <v>11404</v>
      </c>
      <c r="G8405" s="40" t="s">
        <v>11404</v>
      </c>
      <c r="H8405" s="40" t="s">
        <v>11404</v>
      </c>
    </row>
    <row r="8406">
      <c r="A8406" s="39"/>
      <c r="E8406" s="40" t="s">
        <v>11404</v>
      </c>
      <c r="F8406" s="40" t="s">
        <v>11404</v>
      </c>
      <c r="G8406" s="40" t="s">
        <v>11404</v>
      </c>
      <c r="H8406" s="40" t="s">
        <v>11404</v>
      </c>
    </row>
    <row r="8407">
      <c r="A8407" s="39"/>
      <c r="E8407" s="40" t="s">
        <v>11404</v>
      </c>
      <c r="F8407" s="40" t="s">
        <v>11404</v>
      </c>
      <c r="G8407" s="40" t="s">
        <v>11404</v>
      </c>
      <c r="H8407" s="40" t="s">
        <v>11404</v>
      </c>
    </row>
    <row r="8408">
      <c r="A8408" s="39"/>
      <c r="E8408" s="40" t="s">
        <v>11404</v>
      </c>
      <c r="F8408" s="40" t="s">
        <v>11404</v>
      </c>
      <c r="G8408" s="40" t="s">
        <v>11404</v>
      </c>
      <c r="H8408" s="40" t="s">
        <v>11404</v>
      </c>
    </row>
    <row r="8409">
      <c r="A8409" s="39"/>
      <c r="E8409" s="40" t="s">
        <v>11404</v>
      </c>
      <c r="F8409" s="40" t="s">
        <v>11404</v>
      </c>
      <c r="G8409" s="40" t="s">
        <v>11404</v>
      </c>
      <c r="H8409" s="40" t="s">
        <v>11404</v>
      </c>
    </row>
    <row r="8410">
      <c r="A8410" s="39"/>
      <c r="E8410" s="40" t="s">
        <v>11404</v>
      </c>
      <c r="F8410" s="40" t="s">
        <v>11404</v>
      </c>
      <c r="G8410" s="40" t="s">
        <v>11404</v>
      </c>
      <c r="H8410" s="40" t="s">
        <v>11404</v>
      </c>
    </row>
    <row r="8411">
      <c r="A8411" s="39"/>
      <c r="E8411" s="40" t="s">
        <v>11404</v>
      </c>
      <c r="F8411" s="40" t="s">
        <v>11404</v>
      </c>
      <c r="G8411" s="40" t="s">
        <v>11404</v>
      </c>
      <c r="H8411" s="40" t="s">
        <v>11404</v>
      </c>
    </row>
    <row r="8412">
      <c r="A8412" s="39"/>
      <c r="E8412" s="40" t="s">
        <v>11404</v>
      </c>
      <c r="F8412" s="40" t="s">
        <v>11404</v>
      </c>
      <c r="G8412" s="40" t="s">
        <v>11404</v>
      </c>
      <c r="H8412" s="40" t="s">
        <v>11404</v>
      </c>
    </row>
    <row r="8413">
      <c r="A8413" s="39"/>
      <c r="E8413" s="40" t="s">
        <v>11404</v>
      </c>
      <c r="F8413" s="40" t="s">
        <v>11404</v>
      </c>
      <c r="G8413" s="40" t="s">
        <v>11404</v>
      </c>
      <c r="H8413" s="40" t="s">
        <v>11404</v>
      </c>
    </row>
    <row r="8414">
      <c r="A8414" s="39"/>
      <c r="E8414" s="40" t="s">
        <v>11404</v>
      </c>
      <c r="F8414" s="40" t="s">
        <v>11404</v>
      </c>
      <c r="G8414" s="40" t="s">
        <v>11404</v>
      </c>
      <c r="H8414" s="40" t="s">
        <v>11404</v>
      </c>
    </row>
    <row r="8415">
      <c r="A8415" s="39"/>
      <c r="E8415" s="40" t="s">
        <v>11404</v>
      </c>
      <c r="F8415" s="40" t="s">
        <v>11404</v>
      </c>
      <c r="G8415" s="40" t="s">
        <v>11404</v>
      </c>
      <c r="H8415" s="40" t="s">
        <v>11404</v>
      </c>
    </row>
    <row r="8416">
      <c r="A8416" s="39"/>
      <c r="E8416" s="40" t="s">
        <v>11404</v>
      </c>
      <c r="F8416" s="40" t="s">
        <v>11404</v>
      </c>
      <c r="G8416" s="40" t="s">
        <v>11404</v>
      </c>
      <c r="H8416" s="40" t="s">
        <v>11404</v>
      </c>
    </row>
    <row r="8417">
      <c r="A8417" s="39"/>
      <c r="E8417" s="40" t="s">
        <v>11404</v>
      </c>
      <c r="F8417" s="40" t="s">
        <v>11404</v>
      </c>
      <c r="G8417" s="40" t="s">
        <v>11404</v>
      </c>
      <c r="H8417" s="40" t="s">
        <v>11404</v>
      </c>
    </row>
    <row r="8418">
      <c r="A8418" s="39"/>
      <c r="E8418" s="40" t="s">
        <v>11404</v>
      </c>
      <c r="F8418" s="40" t="s">
        <v>11404</v>
      </c>
      <c r="G8418" s="40" t="s">
        <v>11404</v>
      </c>
      <c r="H8418" s="40" t="s">
        <v>11404</v>
      </c>
    </row>
    <row r="8419">
      <c r="A8419" s="39"/>
      <c r="E8419" s="40" t="s">
        <v>11404</v>
      </c>
      <c r="F8419" s="40" t="s">
        <v>11404</v>
      </c>
      <c r="G8419" s="40" t="s">
        <v>11404</v>
      </c>
      <c r="H8419" s="40" t="s">
        <v>11404</v>
      </c>
    </row>
    <row r="8420">
      <c r="A8420" s="39"/>
      <c r="E8420" s="40" t="s">
        <v>11404</v>
      </c>
      <c r="F8420" s="40" t="s">
        <v>11404</v>
      </c>
      <c r="G8420" s="40" t="s">
        <v>11404</v>
      </c>
      <c r="H8420" s="40" t="s">
        <v>11404</v>
      </c>
    </row>
    <row r="8421">
      <c r="A8421" s="39"/>
      <c r="E8421" s="40" t="s">
        <v>11404</v>
      </c>
      <c r="F8421" s="40" t="s">
        <v>11404</v>
      </c>
      <c r="G8421" s="40" t="s">
        <v>11404</v>
      </c>
      <c r="H8421" s="40" t="s">
        <v>11404</v>
      </c>
    </row>
    <row r="8422">
      <c r="A8422" s="39"/>
      <c r="E8422" s="40" t="s">
        <v>11404</v>
      </c>
      <c r="F8422" s="40" t="s">
        <v>11404</v>
      </c>
      <c r="G8422" s="40" t="s">
        <v>11404</v>
      </c>
      <c r="H8422" s="40" t="s">
        <v>11404</v>
      </c>
    </row>
    <row r="8423">
      <c r="A8423" s="39"/>
      <c r="E8423" s="40" t="s">
        <v>11404</v>
      </c>
      <c r="F8423" s="40" t="s">
        <v>11404</v>
      </c>
      <c r="G8423" s="40" t="s">
        <v>11404</v>
      </c>
      <c r="H8423" s="40" t="s">
        <v>11404</v>
      </c>
    </row>
    <row r="8424">
      <c r="A8424" s="39"/>
      <c r="E8424" s="40" t="s">
        <v>11404</v>
      </c>
      <c r="F8424" s="40" t="s">
        <v>11404</v>
      </c>
      <c r="G8424" s="40" t="s">
        <v>11404</v>
      </c>
      <c r="H8424" s="40" t="s">
        <v>11404</v>
      </c>
    </row>
    <row r="8425">
      <c r="A8425" s="39"/>
      <c r="E8425" s="40" t="s">
        <v>11404</v>
      </c>
      <c r="F8425" s="40" t="s">
        <v>11404</v>
      </c>
      <c r="G8425" s="40" t="s">
        <v>11404</v>
      </c>
      <c r="H8425" s="40" t="s">
        <v>11404</v>
      </c>
    </row>
    <row r="8426">
      <c r="A8426" s="39"/>
      <c r="E8426" s="40" t="s">
        <v>11404</v>
      </c>
      <c r="F8426" s="40" t="s">
        <v>11404</v>
      </c>
      <c r="G8426" s="40" t="s">
        <v>11404</v>
      </c>
      <c r="H8426" s="40" t="s">
        <v>11404</v>
      </c>
    </row>
    <row r="8427">
      <c r="A8427" s="39"/>
      <c r="E8427" s="40" t="s">
        <v>11404</v>
      </c>
      <c r="F8427" s="40" t="s">
        <v>11404</v>
      </c>
      <c r="G8427" s="40" t="s">
        <v>11404</v>
      </c>
      <c r="H8427" s="40" t="s">
        <v>11404</v>
      </c>
    </row>
    <row r="8428">
      <c r="A8428" s="39"/>
      <c r="E8428" s="40" t="s">
        <v>11404</v>
      </c>
      <c r="F8428" s="40" t="s">
        <v>11404</v>
      </c>
      <c r="G8428" s="40" t="s">
        <v>11404</v>
      </c>
      <c r="H8428" s="40" t="s">
        <v>11404</v>
      </c>
    </row>
    <row r="8429">
      <c r="A8429" s="39"/>
      <c r="E8429" s="40" t="s">
        <v>11404</v>
      </c>
      <c r="F8429" s="40" t="s">
        <v>11404</v>
      </c>
      <c r="G8429" s="40" t="s">
        <v>11404</v>
      </c>
      <c r="H8429" s="40" t="s">
        <v>11404</v>
      </c>
    </row>
    <row r="8430">
      <c r="A8430" s="39"/>
      <c r="E8430" s="40" t="s">
        <v>11404</v>
      </c>
      <c r="F8430" s="40" t="s">
        <v>11404</v>
      </c>
      <c r="G8430" s="40" t="s">
        <v>11404</v>
      </c>
      <c r="H8430" s="40" t="s">
        <v>11404</v>
      </c>
    </row>
    <row r="8431">
      <c r="A8431" s="39"/>
      <c r="E8431" s="40" t="s">
        <v>11404</v>
      </c>
      <c r="F8431" s="40" t="s">
        <v>11404</v>
      </c>
      <c r="G8431" s="40" t="s">
        <v>11404</v>
      </c>
      <c r="H8431" s="40" t="s">
        <v>11404</v>
      </c>
    </row>
    <row r="8432">
      <c r="A8432" s="39"/>
      <c r="E8432" s="40" t="s">
        <v>11404</v>
      </c>
      <c r="F8432" s="40" t="s">
        <v>11404</v>
      </c>
      <c r="G8432" s="40" t="s">
        <v>11404</v>
      </c>
      <c r="H8432" s="40" t="s">
        <v>11404</v>
      </c>
    </row>
    <row r="8433">
      <c r="A8433" s="39"/>
      <c r="E8433" s="40" t="s">
        <v>11404</v>
      </c>
      <c r="F8433" s="40" t="s">
        <v>11404</v>
      </c>
      <c r="G8433" s="40" t="s">
        <v>11404</v>
      </c>
      <c r="H8433" s="40" t="s">
        <v>11404</v>
      </c>
    </row>
    <row r="8434">
      <c r="A8434" s="39"/>
      <c r="E8434" s="40" t="s">
        <v>11404</v>
      </c>
      <c r="F8434" s="40" t="s">
        <v>11404</v>
      </c>
      <c r="G8434" s="40" t="s">
        <v>11404</v>
      </c>
      <c r="H8434" s="40" t="s">
        <v>11404</v>
      </c>
    </row>
    <row r="8435">
      <c r="A8435" s="39"/>
      <c r="E8435" s="40" t="s">
        <v>11404</v>
      </c>
      <c r="F8435" s="40" t="s">
        <v>11404</v>
      </c>
      <c r="G8435" s="40" t="s">
        <v>11404</v>
      </c>
      <c r="H8435" s="40" t="s">
        <v>11404</v>
      </c>
    </row>
    <row r="8436">
      <c r="A8436" s="39"/>
      <c r="E8436" s="40" t="s">
        <v>11404</v>
      </c>
      <c r="F8436" s="40" t="s">
        <v>11404</v>
      </c>
      <c r="G8436" s="40" t="s">
        <v>11404</v>
      </c>
      <c r="H8436" s="40" t="s">
        <v>11404</v>
      </c>
    </row>
    <row r="8437">
      <c r="A8437" s="39"/>
      <c r="E8437" s="40" t="s">
        <v>11404</v>
      </c>
      <c r="F8437" s="40" t="s">
        <v>11404</v>
      </c>
      <c r="G8437" s="40" t="s">
        <v>11404</v>
      </c>
      <c r="H8437" s="40" t="s">
        <v>11404</v>
      </c>
    </row>
    <row r="8438">
      <c r="A8438" s="39"/>
      <c r="E8438" s="40" t="s">
        <v>11404</v>
      </c>
      <c r="F8438" s="40" t="s">
        <v>11404</v>
      </c>
      <c r="G8438" s="40" t="s">
        <v>11404</v>
      </c>
      <c r="H8438" s="40" t="s">
        <v>11404</v>
      </c>
    </row>
    <row r="8439">
      <c r="A8439" s="39"/>
      <c r="E8439" s="40" t="s">
        <v>11404</v>
      </c>
      <c r="F8439" s="40" t="s">
        <v>11404</v>
      </c>
      <c r="G8439" s="40" t="s">
        <v>11404</v>
      </c>
      <c r="H8439" s="40" t="s">
        <v>11404</v>
      </c>
    </row>
    <row r="8440">
      <c r="A8440" s="39"/>
      <c r="E8440" s="40" t="s">
        <v>11404</v>
      </c>
      <c r="F8440" s="40" t="s">
        <v>11404</v>
      </c>
      <c r="G8440" s="40" t="s">
        <v>11404</v>
      </c>
      <c r="H8440" s="40" t="s">
        <v>11404</v>
      </c>
    </row>
    <row r="8441">
      <c r="A8441" s="39"/>
      <c r="E8441" s="40" t="s">
        <v>11404</v>
      </c>
      <c r="F8441" s="40" t="s">
        <v>11404</v>
      </c>
      <c r="G8441" s="40" t="s">
        <v>11404</v>
      </c>
      <c r="H8441" s="40" t="s">
        <v>11404</v>
      </c>
    </row>
    <row r="8442">
      <c r="A8442" s="39"/>
      <c r="E8442" s="40" t="s">
        <v>11404</v>
      </c>
      <c r="F8442" s="40" t="s">
        <v>11404</v>
      </c>
      <c r="G8442" s="40" t="s">
        <v>11404</v>
      </c>
      <c r="H8442" s="40" t="s">
        <v>11404</v>
      </c>
    </row>
    <row r="8443">
      <c r="A8443" s="39"/>
      <c r="E8443" s="40" t="s">
        <v>11404</v>
      </c>
      <c r="F8443" s="40" t="s">
        <v>11404</v>
      </c>
      <c r="G8443" s="40" t="s">
        <v>11404</v>
      </c>
      <c r="H8443" s="40" t="s">
        <v>11404</v>
      </c>
    </row>
    <row r="8444">
      <c r="A8444" s="39"/>
      <c r="E8444" s="40" t="s">
        <v>11404</v>
      </c>
      <c r="F8444" s="40" t="s">
        <v>11404</v>
      </c>
      <c r="G8444" s="40" t="s">
        <v>11404</v>
      </c>
      <c r="H8444" s="40" t="s">
        <v>11404</v>
      </c>
    </row>
    <row r="8445">
      <c r="A8445" s="39"/>
      <c r="E8445" s="40" t="s">
        <v>11404</v>
      </c>
      <c r="F8445" s="40" t="s">
        <v>11404</v>
      </c>
      <c r="G8445" s="40" t="s">
        <v>11404</v>
      </c>
      <c r="H8445" s="40" t="s">
        <v>11404</v>
      </c>
    </row>
    <row r="8446">
      <c r="A8446" s="39"/>
      <c r="E8446" s="40" t="s">
        <v>11404</v>
      </c>
      <c r="F8446" s="40" t="s">
        <v>11404</v>
      </c>
      <c r="G8446" s="40" t="s">
        <v>11404</v>
      </c>
      <c r="H8446" s="40" t="s">
        <v>11404</v>
      </c>
    </row>
    <row r="8447">
      <c r="A8447" s="39"/>
      <c r="E8447" s="40" t="s">
        <v>11404</v>
      </c>
      <c r="F8447" s="40" t="s">
        <v>11404</v>
      </c>
      <c r="G8447" s="40" t="s">
        <v>11404</v>
      </c>
      <c r="H8447" s="40" t="s">
        <v>11404</v>
      </c>
    </row>
    <row r="8448">
      <c r="A8448" s="39"/>
      <c r="E8448" s="40" t="s">
        <v>11404</v>
      </c>
      <c r="F8448" s="40" t="s">
        <v>11404</v>
      </c>
      <c r="G8448" s="40" t="s">
        <v>11404</v>
      </c>
      <c r="H8448" s="40" t="s">
        <v>11404</v>
      </c>
    </row>
    <row r="8449">
      <c r="A8449" s="39"/>
      <c r="E8449" s="40" t="s">
        <v>11404</v>
      </c>
      <c r="F8449" s="40" t="s">
        <v>11404</v>
      </c>
      <c r="G8449" s="40" t="s">
        <v>11404</v>
      </c>
      <c r="H8449" s="40" t="s">
        <v>11404</v>
      </c>
    </row>
    <row r="8450">
      <c r="A8450" s="39"/>
      <c r="E8450" s="40" t="s">
        <v>11404</v>
      </c>
      <c r="F8450" s="40" t="s">
        <v>11404</v>
      </c>
      <c r="G8450" s="40" t="s">
        <v>11404</v>
      </c>
      <c r="H8450" s="40" t="s">
        <v>11404</v>
      </c>
    </row>
    <row r="8451">
      <c r="A8451" s="39"/>
      <c r="E8451" s="40" t="s">
        <v>11404</v>
      </c>
      <c r="F8451" s="40" t="s">
        <v>11404</v>
      </c>
      <c r="G8451" s="40" t="s">
        <v>11404</v>
      </c>
      <c r="H8451" s="40" t="s">
        <v>11404</v>
      </c>
    </row>
    <row r="8452">
      <c r="A8452" s="39"/>
      <c r="E8452" s="40" t="s">
        <v>11404</v>
      </c>
      <c r="F8452" s="40" t="s">
        <v>11404</v>
      </c>
      <c r="G8452" s="40" t="s">
        <v>11404</v>
      </c>
      <c r="H8452" s="40" t="s">
        <v>11404</v>
      </c>
    </row>
    <row r="8453">
      <c r="A8453" s="39"/>
      <c r="E8453" s="40" t="s">
        <v>11404</v>
      </c>
      <c r="F8453" s="40" t="s">
        <v>11404</v>
      </c>
      <c r="G8453" s="40" t="s">
        <v>11404</v>
      </c>
      <c r="H8453" s="40" t="s">
        <v>11404</v>
      </c>
    </row>
    <row r="8454">
      <c r="A8454" s="39"/>
      <c r="E8454" s="40" t="s">
        <v>11404</v>
      </c>
      <c r="F8454" s="40" t="s">
        <v>11404</v>
      </c>
      <c r="G8454" s="40" t="s">
        <v>11404</v>
      </c>
      <c r="H8454" s="40" t="s">
        <v>11404</v>
      </c>
    </row>
    <row r="8455">
      <c r="A8455" s="39"/>
      <c r="E8455" s="40" t="s">
        <v>11404</v>
      </c>
      <c r="F8455" s="40" t="s">
        <v>11404</v>
      </c>
      <c r="G8455" s="40" t="s">
        <v>11404</v>
      </c>
      <c r="H8455" s="40" t="s">
        <v>11404</v>
      </c>
    </row>
    <row r="8456">
      <c r="A8456" s="39"/>
      <c r="E8456" s="40" t="s">
        <v>11404</v>
      </c>
      <c r="F8456" s="40" t="s">
        <v>11404</v>
      </c>
      <c r="G8456" s="40" t="s">
        <v>11404</v>
      </c>
      <c r="H8456" s="40" t="s">
        <v>11404</v>
      </c>
    </row>
    <row r="8457">
      <c r="A8457" s="39"/>
      <c r="E8457" s="40" t="s">
        <v>11404</v>
      </c>
      <c r="F8457" s="40" t="s">
        <v>11404</v>
      </c>
      <c r="G8457" s="40" t="s">
        <v>11404</v>
      </c>
      <c r="H8457" s="40" t="s">
        <v>11404</v>
      </c>
    </row>
    <row r="8458">
      <c r="A8458" s="39"/>
      <c r="E8458" s="40" t="s">
        <v>11404</v>
      </c>
      <c r="F8458" s="40" t="s">
        <v>11404</v>
      </c>
      <c r="G8458" s="40" t="s">
        <v>11404</v>
      </c>
      <c r="H8458" s="40" t="s">
        <v>11404</v>
      </c>
    </row>
    <row r="8459">
      <c r="A8459" s="39"/>
      <c r="E8459" s="40" t="s">
        <v>11404</v>
      </c>
      <c r="F8459" s="40" t="s">
        <v>11404</v>
      </c>
      <c r="G8459" s="40" t="s">
        <v>11404</v>
      </c>
      <c r="H8459" s="40" t="s">
        <v>11404</v>
      </c>
    </row>
    <row r="8460">
      <c r="A8460" s="39"/>
      <c r="E8460" s="40" t="s">
        <v>11404</v>
      </c>
      <c r="F8460" s="40" t="s">
        <v>11404</v>
      </c>
      <c r="G8460" s="40" t="s">
        <v>11404</v>
      </c>
      <c r="H8460" s="40" t="s">
        <v>11404</v>
      </c>
    </row>
    <row r="8461">
      <c r="A8461" s="39"/>
      <c r="E8461" s="40" t="s">
        <v>11404</v>
      </c>
      <c r="F8461" s="40" t="s">
        <v>11404</v>
      </c>
      <c r="G8461" s="40" t="s">
        <v>11404</v>
      </c>
      <c r="H8461" s="40" t="s">
        <v>11404</v>
      </c>
    </row>
    <row r="8462">
      <c r="A8462" s="39"/>
      <c r="E8462" s="40" t="s">
        <v>11404</v>
      </c>
      <c r="F8462" s="40" t="s">
        <v>11404</v>
      </c>
      <c r="G8462" s="40" t="s">
        <v>11404</v>
      </c>
      <c r="H8462" s="40" t="s">
        <v>11404</v>
      </c>
    </row>
    <row r="8463">
      <c r="A8463" s="39"/>
      <c r="E8463" s="40" t="s">
        <v>11404</v>
      </c>
      <c r="F8463" s="40" t="s">
        <v>11404</v>
      </c>
      <c r="G8463" s="40" t="s">
        <v>11404</v>
      </c>
      <c r="H8463" s="40" t="s">
        <v>11404</v>
      </c>
    </row>
    <row r="8464">
      <c r="A8464" s="39"/>
      <c r="E8464" s="40" t="s">
        <v>11404</v>
      </c>
      <c r="F8464" s="40" t="s">
        <v>11404</v>
      </c>
      <c r="G8464" s="40" t="s">
        <v>11404</v>
      </c>
      <c r="H8464" s="40" t="s">
        <v>11404</v>
      </c>
    </row>
    <row r="8465">
      <c r="A8465" s="39"/>
      <c r="E8465" s="40" t="s">
        <v>11404</v>
      </c>
      <c r="F8465" s="40" t="s">
        <v>11404</v>
      </c>
      <c r="G8465" s="40" t="s">
        <v>11404</v>
      </c>
      <c r="H8465" s="40" t="s">
        <v>11404</v>
      </c>
    </row>
    <row r="8466">
      <c r="A8466" s="39"/>
      <c r="E8466" s="40" t="s">
        <v>11404</v>
      </c>
      <c r="F8466" s="40" t="s">
        <v>11404</v>
      </c>
      <c r="G8466" s="40" t="s">
        <v>11404</v>
      </c>
      <c r="H8466" s="40" t="s">
        <v>11404</v>
      </c>
    </row>
    <row r="8467">
      <c r="A8467" s="39"/>
      <c r="E8467" s="40" t="s">
        <v>11404</v>
      </c>
      <c r="F8467" s="40" t="s">
        <v>11404</v>
      </c>
      <c r="G8467" s="40" t="s">
        <v>11404</v>
      </c>
      <c r="H8467" s="40" t="s">
        <v>11404</v>
      </c>
    </row>
    <row r="8468">
      <c r="A8468" s="39"/>
      <c r="E8468" s="40" t="s">
        <v>11404</v>
      </c>
      <c r="F8468" s="40" t="s">
        <v>11404</v>
      </c>
      <c r="G8468" s="40" t="s">
        <v>11404</v>
      </c>
      <c r="H8468" s="40" t="s">
        <v>11404</v>
      </c>
    </row>
    <row r="8469">
      <c r="A8469" s="39"/>
      <c r="E8469" s="40" t="s">
        <v>11404</v>
      </c>
      <c r="F8469" s="40" t="s">
        <v>11404</v>
      </c>
      <c r="G8469" s="40" t="s">
        <v>11404</v>
      </c>
      <c r="H8469" s="40" t="s">
        <v>11404</v>
      </c>
    </row>
    <row r="8470">
      <c r="A8470" s="39"/>
      <c r="E8470" s="40" t="s">
        <v>11404</v>
      </c>
      <c r="F8470" s="40" t="s">
        <v>11404</v>
      </c>
      <c r="G8470" s="40" t="s">
        <v>11404</v>
      </c>
      <c r="H8470" s="40" t="s">
        <v>11404</v>
      </c>
    </row>
    <row r="8471">
      <c r="A8471" s="39"/>
      <c r="E8471" s="40" t="s">
        <v>11404</v>
      </c>
      <c r="F8471" s="40" t="s">
        <v>11404</v>
      </c>
      <c r="G8471" s="40" t="s">
        <v>11404</v>
      </c>
      <c r="H8471" s="40" t="s">
        <v>11404</v>
      </c>
    </row>
    <row r="8472">
      <c r="A8472" s="39"/>
      <c r="E8472" s="40" t="s">
        <v>11404</v>
      </c>
      <c r="F8472" s="40" t="s">
        <v>11404</v>
      </c>
      <c r="G8472" s="40" t="s">
        <v>11404</v>
      </c>
      <c r="H8472" s="40" t="s">
        <v>11404</v>
      </c>
    </row>
    <row r="8473">
      <c r="A8473" s="39"/>
      <c r="E8473" s="40" t="s">
        <v>11404</v>
      </c>
      <c r="F8473" s="40" t="s">
        <v>11404</v>
      </c>
      <c r="G8473" s="40" t="s">
        <v>11404</v>
      </c>
      <c r="H8473" s="40" t="s">
        <v>11404</v>
      </c>
    </row>
    <row r="8474">
      <c r="A8474" s="39"/>
      <c r="E8474" s="40" t="s">
        <v>11404</v>
      </c>
      <c r="F8474" s="40" t="s">
        <v>11404</v>
      </c>
      <c r="G8474" s="40" t="s">
        <v>11404</v>
      </c>
      <c r="H8474" s="40" t="s">
        <v>11404</v>
      </c>
    </row>
    <row r="8475">
      <c r="A8475" s="39"/>
      <c r="E8475" s="40" t="s">
        <v>11404</v>
      </c>
      <c r="F8475" s="40" t="s">
        <v>11404</v>
      </c>
      <c r="G8475" s="40" t="s">
        <v>11404</v>
      </c>
      <c r="H8475" s="40" t="s">
        <v>11404</v>
      </c>
    </row>
    <row r="8476">
      <c r="A8476" s="39"/>
      <c r="E8476" s="40" t="s">
        <v>11404</v>
      </c>
      <c r="F8476" s="40" t="s">
        <v>11404</v>
      </c>
      <c r="G8476" s="40" t="s">
        <v>11404</v>
      </c>
      <c r="H8476" s="40" t="s">
        <v>11404</v>
      </c>
    </row>
    <row r="8477">
      <c r="A8477" s="39"/>
      <c r="E8477" s="40" t="s">
        <v>11404</v>
      </c>
      <c r="F8477" s="40" t="s">
        <v>11404</v>
      </c>
      <c r="G8477" s="40" t="s">
        <v>11404</v>
      </c>
      <c r="H8477" s="40" t="s">
        <v>11404</v>
      </c>
    </row>
    <row r="8478">
      <c r="A8478" s="39"/>
      <c r="E8478" s="40" t="s">
        <v>11404</v>
      </c>
      <c r="F8478" s="40" t="s">
        <v>11404</v>
      </c>
      <c r="G8478" s="40" t="s">
        <v>11404</v>
      </c>
      <c r="H8478" s="40" t="s">
        <v>11404</v>
      </c>
    </row>
    <row r="8479">
      <c r="A8479" s="39"/>
      <c r="E8479" s="40" t="s">
        <v>11404</v>
      </c>
      <c r="F8479" s="40" t="s">
        <v>11404</v>
      </c>
      <c r="G8479" s="40" t="s">
        <v>11404</v>
      </c>
      <c r="H8479" s="40" t="s">
        <v>11404</v>
      </c>
    </row>
    <row r="8480">
      <c r="A8480" s="39"/>
      <c r="E8480" s="40" t="s">
        <v>11404</v>
      </c>
      <c r="F8480" s="40" t="s">
        <v>11404</v>
      </c>
      <c r="G8480" s="40" t="s">
        <v>11404</v>
      </c>
      <c r="H8480" s="40" t="s">
        <v>11404</v>
      </c>
    </row>
    <row r="8481">
      <c r="A8481" s="39"/>
      <c r="E8481" s="40" t="s">
        <v>11404</v>
      </c>
      <c r="F8481" s="40" t="s">
        <v>11404</v>
      </c>
      <c r="G8481" s="40" t="s">
        <v>11404</v>
      </c>
      <c r="H8481" s="40" t="s">
        <v>11404</v>
      </c>
    </row>
    <row r="8482">
      <c r="A8482" s="39"/>
      <c r="E8482" s="40" t="s">
        <v>11404</v>
      </c>
      <c r="F8482" s="40" t="s">
        <v>11404</v>
      </c>
      <c r="G8482" s="40" t="s">
        <v>11404</v>
      </c>
      <c r="H8482" s="40" t="s">
        <v>11404</v>
      </c>
    </row>
    <row r="8483">
      <c r="A8483" s="39"/>
      <c r="E8483" s="40" t="s">
        <v>11404</v>
      </c>
      <c r="F8483" s="40" t="s">
        <v>11404</v>
      </c>
      <c r="G8483" s="40" t="s">
        <v>11404</v>
      </c>
      <c r="H8483" s="40" t="s">
        <v>11404</v>
      </c>
    </row>
    <row r="8484">
      <c r="A8484" s="39"/>
      <c r="E8484" s="40" t="s">
        <v>11404</v>
      </c>
      <c r="F8484" s="40" t="s">
        <v>11404</v>
      </c>
      <c r="G8484" s="40" t="s">
        <v>11404</v>
      </c>
      <c r="H8484" s="40" t="s">
        <v>11404</v>
      </c>
    </row>
    <row r="8485">
      <c r="A8485" s="39"/>
      <c r="E8485" s="40" t="s">
        <v>11404</v>
      </c>
      <c r="F8485" s="40" t="s">
        <v>11404</v>
      </c>
      <c r="G8485" s="40" t="s">
        <v>11404</v>
      </c>
      <c r="H8485" s="40" t="s">
        <v>11404</v>
      </c>
    </row>
    <row r="8486">
      <c r="A8486" s="39"/>
      <c r="E8486" s="40" t="s">
        <v>11404</v>
      </c>
      <c r="F8486" s="40" t="s">
        <v>11404</v>
      </c>
      <c r="G8486" s="40" t="s">
        <v>11404</v>
      </c>
      <c r="H8486" s="40" t="s">
        <v>11404</v>
      </c>
    </row>
    <row r="8487">
      <c r="A8487" s="39"/>
      <c r="E8487" s="40" t="s">
        <v>11404</v>
      </c>
      <c r="F8487" s="40" t="s">
        <v>11404</v>
      </c>
      <c r="G8487" s="40" t="s">
        <v>11404</v>
      </c>
      <c r="H8487" s="40" t="s">
        <v>11404</v>
      </c>
    </row>
    <row r="8488">
      <c r="A8488" s="39"/>
      <c r="E8488" s="40" t="s">
        <v>11404</v>
      </c>
      <c r="F8488" s="40" t="s">
        <v>11404</v>
      </c>
      <c r="G8488" s="40" t="s">
        <v>11404</v>
      </c>
      <c r="H8488" s="40" t="s">
        <v>11404</v>
      </c>
    </row>
    <row r="8489">
      <c r="A8489" s="39"/>
      <c r="E8489" s="40" t="s">
        <v>11404</v>
      </c>
      <c r="F8489" s="40" t="s">
        <v>11404</v>
      </c>
      <c r="G8489" s="40" t="s">
        <v>11404</v>
      </c>
      <c r="H8489" s="40" t="s">
        <v>11404</v>
      </c>
    </row>
    <row r="8490">
      <c r="A8490" s="39"/>
      <c r="E8490" s="40" t="s">
        <v>11404</v>
      </c>
      <c r="F8490" s="40" t="s">
        <v>11404</v>
      </c>
      <c r="G8490" s="40" t="s">
        <v>11404</v>
      </c>
      <c r="H8490" s="40" t="s">
        <v>11404</v>
      </c>
    </row>
    <row r="8491">
      <c r="A8491" s="39"/>
      <c r="E8491" s="40" t="s">
        <v>11404</v>
      </c>
      <c r="F8491" s="40" t="s">
        <v>11404</v>
      </c>
      <c r="G8491" s="40" t="s">
        <v>11404</v>
      </c>
      <c r="H8491" s="40" t="s">
        <v>11404</v>
      </c>
    </row>
    <row r="8492">
      <c r="A8492" s="39"/>
      <c r="E8492" s="40" t="s">
        <v>11404</v>
      </c>
      <c r="F8492" s="40" t="s">
        <v>11404</v>
      </c>
      <c r="G8492" s="40" t="s">
        <v>11404</v>
      </c>
      <c r="H8492" s="40" t="s">
        <v>11404</v>
      </c>
    </row>
    <row r="8493">
      <c r="A8493" s="39"/>
      <c r="E8493" s="40" t="s">
        <v>11404</v>
      </c>
      <c r="F8493" s="40" t="s">
        <v>11404</v>
      </c>
      <c r="G8493" s="40" t="s">
        <v>11404</v>
      </c>
      <c r="H8493" s="40" t="s">
        <v>11404</v>
      </c>
    </row>
    <row r="8494">
      <c r="A8494" s="39"/>
      <c r="E8494" s="40" t="s">
        <v>11404</v>
      </c>
      <c r="F8494" s="40" t="s">
        <v>11404</v>
      </c>
      <c r="G8494" s="40" t="s">
        <v>11404</v>
      </c>
      <c r="H8494" s="40" t="s">
        <v>11404</v>
      </c>
    </row>
    <row r="8495">
      <c r="A8495" s="39"/>
      <c r="E8495" s="40" t="s">
        <v>11404</v>
      </c>
      <c r="F8495" s="40" t="s">
        <v>11404</v>
      </c>
      <c r="G8495" s="40" t="s">
        <v>11404</v>
      </c>
      <c r="H8495" s="40" t="s">
        <v>11404</v>
      </c>
    </row>
    <row r="8496">
      <c r="A8496" s="39"/>
      <c r="E8496" s="40" t="s">
        <v>11404</v>
      </c>
      <c r="F8496" s="40" t="s">
        <v>11404</v>
      </c>
      <c r="G8496" s="40" t="s">
        <v>11404</v>
      </c>
      <c r="H8496" s="40" t="s">
        <v>11404</v>
      </c>
    </row>
    <row r="8497">
      <c r="A8497" s="39"/>
      <c r="E8497" s="40" t="s">
        <v>11404</v>
      </c>
      <c r="F8497" s="40" t="s">
        <v>11404</v>
      </c>
      <c r="G8497" s="40" t="s">
        <v>11404</v>
      </c>
      <c r="H8497" s="40" t="s">
        <v>11404</v>
      </c>
    </row>
    <row r="8498">
      <c r="A8498" s="39"/>
      <c r="E8498" s="40" t="s">
        <v>11404</v>
      </c>
      <c r="F8498" s="40" t="s">
        <v>11404</v>
      </c>
      <c r="G8498" s="40" t="s">
        <v>11404</v>
      </c>
      <c r="H8498" s="40" t="s">
        <v>11404</v>
      </c>
    </row>
    <row r="8499">
      <c r="A8499" s="39"/>
      <c r="E8499" s="40" t="s">
        <v>11404</v>
      </c>
      <c r="F8499" s="40" t="s">
        <v>11404</v>
      </c>
      <c r="G8499" s="40" t="s">
        <v>11404</v>
      </c>
      <c r="H8499" s="40" t="s">
        <v>11404</v>
      </c>
    </row>
    <row r="8500">
      <c r="A8500" s="39"/>
      <c r="E8500" s="40" t="s">
        <v>11404</v>
      </c>
      <c r="F8500" s="40" t="s">
        <v>11404</v>
      </c>
      <c r="G8500" s="40" t="s">
        <v>11404</v>
      </c>
      <c r="H8500" s="40" t="s">
        <v>11404</v>
      </c>
    </row>
    <row r="8501">
      <c r="A8501" s="39"/>
      <c r="E8501" s="40" t="s">
        <v>11404</v>
      </c>
      <c r="F8501" s="40" t="s">
        <v>11404</v>
      </c>
      <c r="G8501" s="40" t="s">
        <v>11404</v>
      </c>
      <c r="H8501" s="40" t="s">
        <v>11404</v>
      </c>
    </row>
    <row r="8502">
      <c r="A8502" s="39"/>
      <c r="E8502" s="40" t="s">
        <v>11404</v>
      </c>
      <c r="F8502" s="40" t="s">
        <v>11404</v>
      </c>
      <c r="G8502" s="40" t="s">
        <v>11404</v>
      </c>
      <c r="H8502" s="40" t="s">
        <v>11404</v>
      </c>
    </row>
    <row r="8503">
      <c r="A8503" s="39"/>
      <c r="E8503" s="40" t="s">
        <v>11404</v>
      </c>
      <c r="F8503" s="40" t="s">
        <v>11404</v>
      </c>
      <c r="G8503" s="40" t="s">
        <v>11404</v>
      </c>
      <c r="H8503" s="40" t="s">
        <v>11404</v>
      </c>
    </row>
    <row r="8504">
      <c r="A8504" s="39"/>
      <c r="E8504" s="40" t="s">
        <v>11404</v>
      </c>
      <c r="F8504" s="40" t="s">
        <v>11404</v>
      </c>
      <c r="G8504" s="40" t="s">
        <v>11404</v>
      </c>
      <c r="H8504" s="40" t="s">
        <v>11404</v>
      </c>
    </row>
    <row r="8505">
      <c r="A8505" s="39"/>
      <c r="E8505" s="40" t="s">
        <v>11404</v>
      </c>
      <c r="F8505" s="40" t="s">
        <v>11404</v>
      </c>
      <c r="G8505" s="40" t="s">
        <v>11404</v>
      </c>
      <c r="H8505" s="40" t="s">
        <v>11404</v>
      </c>
    </row>
    <row r="8506">
      <c r="A8506" s="39"/>
      <c r="E8506" s="40" t="s">
        <v>11404</v>
      </c>
      <c r="F8506" s="40" t="s">
        <v>11404</v>
      </c>
      <c r="G8506" s="40" t="s">
        <v>11404</v>
      </c>
      <c r="H8506" s="40" t="s">
        <v>11404</v>
      </c>
    </row>
    <row r="8507">
      <c r="A8507" s="39"/>
      <c r="E8507" s="40" t="s">
        <v>11404</v>
      </c>
      <c r="F8507" s="40" t="s">
        <v>11404</v>
      </c>
      <c r="G8507" s="40" t="s">
        <v>11404</v>
      </c>
      <c r="H8507" s="40" t="s">
        <v>11404</v>
      </c>
    </row>
    <row r="8508">
      <c r="A8508" s="39"/>
      <c r="E8508" s="40" t="s">
        <v>11404</v>
      </c>
      <c r="F8508" s="40" t="s">
        <v>11404</v>
      </c>
      <c r="G8508" s="40" t="s">
        <v>11404</v>
      </c>
      <c r="H8508" s="40" t="s">
        <v>11404</v>
      </c>
    </row>
    <row r="8509">
      <c r="A8509" s="39"/>
      <c r="E8509" s="40" t="s">
        <v>11404</v>
      </c>
      <c r="F8509" s="40" t="s">
        <v>11404</v>
      </c>
      <c r="G8509" s="40" t="s">
        <v>11404</v>
      </c>
      <c r="H8509" s="40" t="s">
        <v>11404</v>
      </c>
    </row>
    <row r="8510">
      <c r="A8510" s="39"/>
      <c r="E8510" s="40" t="s">
        <v>11404</v>
      </c>
      <c r="F8510" s="40" t="s">
        <v>11404</v>
      </c>
      <c r="G8510" s="40" t="s">
        <v>11404</v>
      </c>
      <c r="H8510" s="40" t="s">
        <v>11404</v>
      </c>
    </row>
    <row r="8511">
      <c r="A8511" s="39"/>
      <c r="E8511" s="40" t="s">
        <v>11404</v>
      </c>
      <c r="F8511" s="40" t="s">
        <v>11404</v>
      </c>
      <c r="G8511" s="40" t="s">
        <v>11404</v>
      </c>
      <c r="H8511" s="40" t="s">
        <v>11404</v>
      </c>
    </row>
    <row r="8512">
      <c r="A8512" s="39"/>
      <c r="E8512" s="40" t="s">
        <v>11404</v>
      </c>
      <c r="F8512" s="40" t="s">
        <v>11404</v>
      </c>
      <c r="G8512" s="40" t="s">
        <v>11404</v>
      </c>
      <c r="H8512" s="40" t="s">
        <v>11404</v>
      </c>
    </row>
    <row r="8513">
      <c r="A8513" s="39"/>
      <c r="E8513" s="40" t="s">
        <v>11404</v>
      </c>
      <c r="F8513" s="40" t="s">
        <v>11404</v>
      </c>
      <c r="G8513" s="40" t="s">
        <v>11404</v>
      </c>
      <c r="H8513" s="40" t="s">
        <v>11404</v>
      </c>
    </row>
    <row r="8514">
      <c r="A8514" s="39"/>
      <c r="E8514" s="40" t="s">
        <v>11404</v>
      </c>
      <c r="F8514" s="40" t="s">
        <v>11404</v>
      </c>
      <c r="G8514" s="40" t="s">
        <v>11404</v>
      </c>
      <c r="H8514" s="40" t="s">
        <v>11404</v>
      </c>
    </row>
    <row r="8515">
      <c r="A8515" s="39"/>
      <c r="E8515" s="40" t="s">
        <v>11404</v>
      </c>
      <c r="F8515" s="40" t="s">
        <v>11404</v>
      </c>
      <c r="G8515" s="40" t="s">
        <v>11404</v>
      </c>
      <c r="H8515" s="40" t="s">
        <v>11404</v>
      </c>
    </row>
    <row r="8516">
      <c r="A8516" s="39"/>
      <c r="E8516" s="40" t="s">
        <v>11404</v>
      </c>
      <c r="F8516" s="40" t="s">
        <v>11404</v>
      </c>
      <c r="G8516" s="40" t="s">
        <v>11404</v>
      </c>
      <c r="H8516" s="40" t="s">
        <v>11404</v>
      </c>
    </row>
    <row r="8517">
      <c r="A8517" s="39"/>
      <c r="E8517" s="40" t="s">
        <v>11404</v>
      </c>
      <c r="F8517" s="40" t="s">
        <v>11404</v>
      </c>
      <c r="G8517" s="40" t="s">
        <v>11404</v>
      </c>
      <c r="H8517" s="40" t="s">
        <v>11404</v>
      </c>
    </row>
    <row r="8518">
      <c r="A8518" s="39"/>
      <c r="E8518" s="40" t="s">
        <v>11404</v>
      </c>
      <c r="F8518" s="40" t="s">
        <v>11404</v>
      </c>
      <c r="G8518" s="40" t="s">
        <v>11404</v>
      </c>
      <c r="H8518" s="40" t="s">
        <v>11404</v>
      </c>
    </row>
    <row r="8519">
      <c r="A8519" s="39"/>
      <c r="E8519" s="40" t="s">
        <v>11404</v>
      </c>
      <c r="F8519" s="40" t="s">
        <v>11404</v>
      </c>
      <c r="G8519" s="40" t="s">
        <v>11404</v>
      </c>
      <c r="H8519" s="40" t="s">
        <v>11404</v>
      </c>
    </row>
    <row r="8520">
      <c r="A8520" s="39"/>
      <c r="E8520" s="40" t="s">
        <v>11404</v>
      </c>
      <c r="F8520" s="40" t="s">
        <v>11404</v>
      </c>
      <c r="G8520" s="40" t="s">
        <v>11404</v>
      </c>
      <c r="H8520" s="40" t="s">
        <v>11404</v>
      </c>
    </row>
    <row r="8521">
      <c r="A8521" s="39"/>
      <c r="E8521" s="40" t="s">
        <v>11404</v>
      </c>
      <c r="F8521" s="40" t="s">
        <v>11404</v>
      </c>
      <c r="G8521" s="40" t="s">
        <v>11404</v>
      </c>
      <c r="H8521" s="40" t="s">
        <v>11404</v>
      </c>
    </row>
    <row r="8522">
      <c r="A8522" s="39"/>
      <c r="E8522" s="40" t="s">
        <v>11404</v>
      </c>
      <c r="F8522" s="40" t="s">
        <v>11404</v>
      </c>
      <c r="G8522" s="40" t="s">
        <v>11404</v>
      </c>
      <c r="H8522" s="40" t="s">
        <v>11404</v>
      </c>
    </row>
    <row r="8523">
      <c r="A8523" s="39"/>
      <c r="E8523" s="40" t="s">
        <v>11404</v>
      </c>
      <c r="F8523" s="40" t="s">
        <v>11404</v>
      </c>
      <c r="G8523" s="40" t="s">
        <v>11404</v>
      </c>
      <c r="H8523" s="40" t="s">
        <v>11404</v>
      </c>
    </row>
    <row r="8524">
      <c r="A8524" s="39"/>
      <c r="E8524" s="40" t="s">
        <v>11404</v>
      </c>
      <c r="F8524" s="40" t="s">
        <v>11404</v>
      </c>
      <c r="G8524" s="40" t="s">
        <v>11404</v>
      </c>
      <c r="H8524" s="40" t="s">
        <v>11404</v>
      </c>
    </row>
    <row r="8525">
      <c r="A8525" s="39"/>
      <c r="E8525" s="40" t="s">
        <v>11404</v>
      </c>
      <c r="F8525" s="40" t="s">
        <v>11404</v>
      </c>
      <c r="G8525" s="40" t="s">
        <v>11404</v>
      </c>
      <c r="H8525" s="40" t="s">
        <v>11404</v>
      </c>
    </row>
    <row r="8526">
      <c r="A8526" s="39"/>
      <c r="E8526" s="40" t="s">
        <v>11404</v>
      </c>
      <c r="F8526" s="40" t="s">
        <v>11404</v>
      </c>
      <c r="G8526" s="40" t="s">
        <v>11404</v>
      </c>
      <c r="H8526" s="40" t="s">
        <v>11404</v>
      </c>
    </row>
    <row r="8527">
      <c r="A8527" s="39"/>
      <c r="E8527" s="40" t="s">
        <v>11404</v>
      </c>
      <c r="F8527" s="40" t="s">
        <v>11404</v>
      </c>
      <c r="G8527" s="40" t="s">
        <v>11404</v>
      </c>
      <c r="H8527" s="40" t="s">
        <v>11404</v>
      </c>
    </row>
    <row r="8528">
      <c r="A8528" s="39"/>
      <c r="E8528" s="40" t="s">
        <v>11404</v>
      </c>
      <c r="F8528" s="40" t="s">
        <v>11404</v>
      </c>
      <c r="G8528" s="40" t="s">
        <v>11404</v>
      </c>
      <c r="H8528" s="40" t="s">
        <v>11404</v>
      </c>
    </row>
    <row r="8529">
      <c r="A8529" s="39"/>
      <c r="E8529" s="40" t="s">
        <v>11404</v>
      </c>
      <c r="F8529" s="40" t="s">
        <v>11404</v>
      </c>
      <c r="G8529" s="40" t="s">
        <v>11404</v>
      </c>
      <c r="H8529" s="40" t="s">
        <v>11404</v>
      </c>
    </row>
    <row r="8530">
      <c r="A8530" s="39"/>
      <c r="E8530" s="40" t="s">
        <v>11404</v>
      </c>
      <c r="F8530" s="40" t="s">
        <v>11404</v>
      </c>
      <c r="G8530" s="40" t="s">
        <v>11404</v>
      </c>
      <c r="H8530" s="40" t="s">
        <v>11404</v>
      </c>
    </row>
    <row r="8531">
      <c r="A8531" s="39"/>
      <c r="E8531" s="40" t="s">
        <v>11404</v>
      </c>
      <c r="F8531" s="40" t="s">
        <v>11404</v>
      </c>
      <c r="G8531" s="40" t="s">
        <v>11404</v>
      </c>
      <c r="H8531" s="40" t="s">
        <v>11404</v>
      </c>
    </row>
    <row r="8532">
      <c r="A8532" s="39"/>
      <c r="E8532" s="40" t="s">
        <v>11404</v>
      </c>
      <c r="F8532" s="40" t="s">
        <v>11404</v>
      </c>
      <c r="G8532" s="40" t="s">
        <v>11404</v>
      </c>
      <c r="H8532" s="40" t="s">
        <v>11404</v>
      </c>
    </row>
    <row r="8533">
      <c r="A8533" s="39"/>
      <c r="E8533" s="40" t="s">
        <v>11404</v>
      </c>
      <c r="F8533" s="40" t="s">
        <v>11404</v>
      </c>
      <c r="G8533" s="40" t="s">
        <v>11404</v>
      </c>
      <c r="H8533" s="40" t="s">
        <v>11404</v>
      </c>
    </row>
    <row r="8534">
      <c r="A8534" s="39"/>
      <c r="E8534" s="40" t="s">
        <v>11404</v>
      </c>
      <c r="F8534" s="40" t="s">
        <v>11404</v>
      </c>
      <c r="G8534" s="40" t="s">
        <v>11404</v>
      </c>
      <c r="H8534" s="40" t="s">
        <v>11404</v>
      </c>
    </row>
    <row r="8535">
      <c r="A8535" s="39"/>
      <c r="E8535" s="40" t="s">
        <v>11404</v>
      </c>
      <c r="F8535" s="40" t="s">
        <v>11404</v>
      </c>
      <c r="G8535" s="40" t="s">
        <v>11404</v>
      </c>
      <c r="H8535" s="40" t="s">
        <v>11404</v>
      </c>
    </row>
    <row r="8536">
      <c r="A8536" s="39"/>
      <c r="E8536" s="40" t="s">
        <v>11404</v>
      </c>
      <c r="F8536" s="40" t="s">
        <v>11404</v>
      </c>
      <c r="G8536" s="40" t="s">
        <v>11404</v>
      </c>
      <c r="H8536" s="40" t="s">
        <v>11404</v>
      </c>
    </row>
    <row r="8537">
      <c r="A8537" s="39"/>
      <c r="E8537" s="40" t="s">
        <v>11404</v>
      </c>
      <c r="F8537" s="40" t="s">
        <v>11404</v>
      </c>
      <c r="G8537" s="40" t="s">
        <v>11404</v>
      </c>
      <c r="H8537" s="40" t="s">
        <v>11404</v>
      </c>
    </row>
    <row r="8538">
      <c r="A8538" s="39"/>
      <c r="E8538" s="40" t="s">
        <v>11404</v>
      </c>
      <c r="F8538" s="40" t="s">
        <v>11404</v>
      </c>
      <c r="G8538" s="40" t="s">
        <v>11404</v>
      </c>
      <c r="H8538" s="40" t="s">
        <v>11404</v>
      </c>
    </row>
    <row r="8539">
      <c r="A8539" s="39"/>
      <c r="E8539" s="40" t="s">
        <v>11404</v>
      </c>
      <c r="F8539" s="40" t="s">
        <v>11404</v>
      </c>
      <c r="G8539" s="40" t="s">
        <v>11404</v>
      </c>
      <c r="H8539" s="40" t="s">
        <v>11404</v>
      </c>
    </row>
    <row r="8540">
      <c r="A8540" s="39"/>
      <c r="E8540" s="40" t="s">
        <v>11404</v>
      </c>
      <c r="F8540" s="40" t="s">
        <v>11404</v>
      </c>
      <c r="G8540" s="40" t="s">
        <v>11404</v>
      </c>
      <c r="H8540" s="40" t="s">
        <v>11404</v>
      </c>
    </row>
    <row r="8541">
      <c r="A8541" s="39"/>
      <c r="E8541" s="40" t="s">
        <v>11404</v>
      </c>
      <c r="F8541" s="40" t="s">
        <v>11404</v>
      </c>
      <c r="G8541" s="40" t="s">
        <v>11404</v>
      </c>
      <c r="H8541" s="40" t="s">
        <v>11404</v>
      </c>
    </row>
    <row r="8542">
      <c r="A8542" s="39"/>
      <c r="E8542" s="40" t="s">
        <v>11404</v>
      </c>
      <c r="F8542" s="40" t="s">
        <v>11404</v>
      </c>
      <c r="G8542" s="40" t="s">
        <v>11404</v>
      </c>
      <c r="H8542" s="40" t="s">
        <v>11404</v>
      </c>
    </row>
    <row r="8543">
      <c r="A8543" s="39"/>
      <c r="E8543" s="40" t="s">
        <v>11404</v>
      </c>
      <c r="F8543" s="40" t="s">
        <v>11404</v>
      </c>
      <c r="G8543" s="40" t="s">
        <v>11404</v>
      </c>
      <c r="H8543" s="40" t="s">
        <v>11404</v>
      </c>
    </row>
    <row r="8544">
      <c r="A8544" s="39"/>
      <c r="E8544" s="40" t="s">
        <v>11404</v>
      </c>
      <c r="F8544" s="40" t="s">
        <v>11404</v>
      </c>
      <c r="G8544" s="40" t="s">
        <v>11404</v>
      </c>
      <c r="H8544" s="40" t="s">
        <v>11404</v>
      </c>
    </row>
    <row r="8545">
      <c r="A8545" s="39"/>
      <c r="E8545" s="40" t="s">
        <v>11404</v>
      </c>
      <c r="F8545" s="40" t="s">
        <v>11404</v>
      </c>
      <c r="G8545" s="40" t="s">
        <v>11404</v>
      </c>
      <c r="H8545" s="40" t="s">
        <v>11404</v>
      </c>
    </row>
    <row r="8546">
      <c r="A8546" s="39"/>
      <c r="E8546" s="40" t="s">
        <v>11404</v>
      </c>
      <c r="F8546" s="40" t="s">
        <v>11404</v>
      </c>
      <c r="G8546" s="40" t="s">
        <v>11404</v>
      </c>
      <c r="H8546" s="40" t="s">
        <v>11404</v>
      </c>
    </row>
    <row r="8547">
      <c r="A8547" s="39"/>
      <c r="E8547" s="40" t="s">
        <v>11404</v>
      </c>
      <c r="F8547" s="40" t="s">
        <v>11404</v>
      </c>
      <c r="G8547" s="40" t="s">
        <v>11404</v>
      </c>
      <c r="H8547" s="40" t="s">
        <v>11404</v>
      </c>
    </row>
    <row r="8548">
      <c r="A8548" s="39"/>
      <c r="E8548" s="40" t="s">
        <v>11404</v>
      </c>
      <c r="F8548" s="40" t="s">
        <v>11404</v>
      </c>
      <c r="G8548" s="40" t="s">
        <v>11404</v>
      </c>
      <c r="H8548" s="40" t="s">
        <v>11404</v>
      </c>
    </row>
    <row r="8549">
      <c r="A8549" s="39"/>
      <c r="E8549" s="40" t="s">
        <v>11404</v>
      </c>
      <c r="F8549" s="40" t="s">
        <v>11404</v>
      </c>
      <c r="G8549" s="40" t="s">
        <v>11404</v>
      </c>
      <c r="H8549" s="40" t="s">
        <v>11404</v>
      </c>
    </row>
    <row r="8550">
      <c r="A8550" s="39"/>
      <c r="E8550" s="40" t="s">
        <v>11404</v>
      </c>
      <c r="F8550" s="40" t="s">
        <v>11404</v>
      </c>
      <c r="G8550" s="40" t="s">
        <v>11404</v>
      </c>
      <c r="H8550" s="40" t="s">
        <v>11404</v>
      </c>
    </row>
    <row r="8551">
      <c r="A8551" s="39"/>
      <c r="E8551" s="40" t="s">
        <v>11404</v>
      </c>
      <c r="F8551" s="40" t="s">
        <v>11404</v>
      </c>
      <c r="G8551" s="40" t="s">
        <v>11404</v>
      </c>
      <c r="H8551" s="40" t="s">
        <v>11404</v>
      </c>
    </row>
    <row r="8552">
      <c r="A8552" s="39"/>
      <c r="E8552" s="40" t="s">
        <v>11404</v>
      </c>
      <c r="F8552" s="40" t="s">
        <v>11404</v>
      </c>
      <c r="G8552" s="40" t="s">
        <v>11404</v>
      </c>
      <c r="H8552" s="40" t="s">
        <v>11404</v>
      </c>
    </row>
    <row r="8553">
      <c r="A8553" s="39"/>
      <c r="E8553" s="40" t="s">
        <v>11404</v>
      </c>
      <c r="F8553" s="40" t="s">
        <v>11404</v>
      </c>
      <c r="G8553" s="40" t="s">
        <v>11404</v>
      </c>
      <c r="H8553" s="40" t="s">
        <v>11404</v>
      </c>
    </row>
    <row r="8554">
      <c r="A8554" s="39"/>
      <c r="E8554" s="40" t="s">
        <v>11404</v>
      </c>
      <c r="F8554" s="40" t="s">
        <v>11404</v>
      </c>
      <c r="G8554" s="40" t="s">
        <v>11404</v>
      </c>
      <c r="H8554" s="40" t="s">
        <v>11404</v>
      </c>
    </row>
    <row r="8555">
      <c r="A8555" s="39"/>
      <c r="E8555" s="40" t="s">
        <v>11404</v>
      </c>
      <c r="F8555" s="40" t="s">
        <v>11404</v>
      </c>
      <c r="G8555" s="40" t="s">
        <v>11404</v>
      </c>
      <c r="H8555" s="40" t="s">
        <v>11404</v>
      </c>
    </row>
    <row r="8556">
      <c r="A8556" s="39"/>
      <c r="E8556" s="40" t="s">
        <v>11404</v>
      </c>
      <c r="F8556" s="40" t="s">
        <v>11404</v>
      </c>
      <c r="G8556" s="40" t="s">
        <v>11404</v>
      </c>
      <c r="H8556" s="40" t="s">
        <v>11404</v>
      </c>
    </row>
    <row r="8557">
      <c r="A8557" s="39"/>
      <c r="E8557" s="40" t="s">
        <v>11404</v>
      </c>
      <c r="F8557" s="40" t="s">
        <v>11404</v>
      </c>
      <c r="G8557" s="40" t="s">
        <v>11404</v>
      </c>
      <c r="H8557" s="40" t="s">
        <v>11404</v>
      </c>
    </row>
    <row r="8558">
      <c r="A8558" s="39"/>
      <c r="E8558" s="40" t="s">
        <v>11404</v>
      </c>
      <c r="F8558" s="40" t="s">
        <v>11404</v>
      </c>
      <c r="G8558" s="40" t="s">
        <v>11404</v>
      </c>
      <c r="H8558" s="40" t="s">
        <v>11404</v>
      </c>
    </row>
    <row r="8559">
      <c r="A8559" s="39"/>
      <c r="E8559" s="40" t="s">
        <v>11404</v>
      </c>
      <c r="F8559" s="40" t="s">
        <v>11404</v>
      </c>
      <c r="G8559" s="40" t="s">
        <v>11404</v>
      </c>
      <c r="H8559" s="40" t="s">
        <v>11404</v>
      </c>
    </row>
    <row r="8560">
      <c r="A8560" s="39"/>
      <c r="E8560" s="40" t="s">
        <v>11404</v>
      </c>
      <c r="F8560" s="40" t="s">
        <v>11404</v>
      </c>
      <c r="G8560" s="40" t="s">
        <v>11404</v>
      </c>
      <c r="H8560" s="40" t="s">
        <v>11404</v>
      </c>
    </row>
    <row r="8561">
      <c r="A8561" s="39"/>
      <c r="E8561" s="40" t="s">
        <v>11404</v>
      </c>
      <c r="F8561" s="40" t="s">
        <v>11404</v>
      </c>
      <c r="G8561" s="40" t="s">
        <v>11404</v>
      </c>
      <c r="H8561" s="40" t="s">
        <v>11404</v>
      </c>
    </row>
    <row r="8562">
      <c r="A8562" s="39"/>
      <c r="E8562" s="40" t="s">
        <v>11404</v>
      </c>
      <c r="F8562" s="40" t="s">
        <v>11404</v>
      </c>
      <c r="G8562" s="40" t="s">
        <v>11404</v>
      </c>
      <c r="H8562" s="40" t="s">
        <v>11404</v>
      </c>
    </row>
    <row r="8563">
      <c r="A8563" s="39"/>
      <c r="E8563" s="40" t="s">
        <v>11404</v>
      </c>
      <c r="F8563" s="40" t="s">
        <v>11404</v>
      </c>
      <c r="G8563" s="40" t="s">
        <v>11404</v>
      </c>
      <c r="H8563" s="40" t="s">
        <v>11404</v>
      </c>
    </row>
    <row r="8564">
      <c r="A8564" s="39"/>
      <c r="E8564" s="40" t="s">
        <v>11404</v>
      </c>
      <c r="F8564" s="40" t="s">
        <v>11404</v>
      </c>
      <c r="G8564" s="40" t="s">
        <v>11404</v>
      </c>
      <c r="H8564" s="40" t="s">
        <v>11404</v>
      </c>
    </row>
    <row r="8565">
      <c r="A8565" s="39"/>
      <c r="E8565" s="40" t="s">
        <v>11404</v>
      </c>
      <c r="F8565" s="40" t="s">
        <v>11404</v>
      </c>
      <c r="G8565" s="40" t="s">
        <v>11404</v>
      </c>
      <c r="H8565" s="40" t="s">
        <v>11404</v>
      </c>
    </row>
    <row r="8566">
      <c r="A8566" s="39"/>
      <c r="E8566" s="40" t="s">
        <v>11404</v>
      </c>
      <c r="F8566" s="40" t="s">
        <v>11404</v>
      </c>
      <c r="G8566" s="40" t="s">
        <v>11404</v>
      </c>
      <c r="H8566" s="40" t="s">
        <v>11404</v>
      </c>
    </row>
    <row r="8567">
      <c r="A8567" s="39"/>
      <c r="E8567" s="40" t="s">
        <v>11404</v>
      </c>
      <c r="F8567" s="40" t="s">
        <v>11404</v>
      </c>
      <c r="G8567" s="40" t="s">
        <v>11404</v>
      </c>
      <c r="H8567" s="40" t="s">
        <v>11404</v>
      </c>
    </row>
    <row r="8568">
      <c r="A8568" s="39"/>
      <c r="E8568" s="40" t="s">
        <v>11404</v>
      </c>
      <c r="F8568" s="40" t="s">
        <v>11404</v>
      </c>
      <c r="G8568" s="40" t="s">
        <v>11404</v>
      </c>
      <c r="H8568" s="40" t="s">
        <v>11404</v>
      </c>
    </row>
    <row r="8569">
      <c r="A8569" s="39"/>
      <c r="E8569" s="40" t="s">
        <v>11404</v>
      </c>
      <c r="F8569" s="40" t="s">
        <v>11404</v>
      </c>
      <c r="G8569" s="40" t="s">
        <v>11404</v>
      </c>
      <c r="H8569" s="40" t="s">
        <v>11404</v>
      </c>
    </row>
    <row r="8570">
      <c r="A8570" s="39"/>
      <c r="E8570" s="40" t="s">
        <v>11404</v>
      </c>
      <c r="F8570" s="40" t="s">
        <v>11404</v>
      </c>
      <c r="G8570" s="40" t="s">
        <v>11404</v>
      </c>
      <c r="H8570" s="40" t="s">
        <v>11404</v>
      </c>
    </row>
    <row r="8571">
      <c r="A8571" s="39"/>
      <c r="E8571" s="40" t="s">
        <v>11404</v>
      </c>
      <c r="F8571" s="40" t="s">
        <v>11404</v>
      </c>
      <c r="G8571" s="40" t="s">
        <v>11404</v>
      </c>
      <c r="H8571" s="40" t="s">
        <v>11404</v>
      </c>
    </row>
    <row r="8572">
      <c r="A8572" s="39"/>
      <c r="E8572" s="40" t="s">
        <v>11404</v>
      </c>
      <c r="F8572" s="40" t="s">
        <v>11404</v>
      </c>
      <c r="G8572" s="40" t="s">
        <v>11404</v>
      </c>
      <c r="H8572" s="40" t="s">
        <v>11404</v>
      </c>
    </row>
    <row r="8573">
      <c r="A8573" s="39"/>
      <c r="E8573" s="40" t="s">
        <v>11404</v>
      </c>
      <c r="F8573" s="40" t="s">
        <v>11404</v>
      </c>
      <c r="G8573" s="40" t="s">
        <v>11404</v>
      </c>
      <c r="H8573" s="40" t="s">
        <v>11404</v>
      </c>
    </row>
    <row r="8574">
      <c r="A8574" s="39"/>
      <c r="E8574" s="40" t="s">
        <v>11404</v>
      </c>
      <c r="F8574" s="40" t="s">
        <v>11404</v>
      </c>
      <c r="G8574" s="40" t="s">
        <v>11404</v>
      </c>
      <c r="H8574" s="40" t="s">
        <v>11404</v>
      </c>
    </row>
    <row r="8575">
      <c r="A8575" s="39"/>
      <c r="E8575" s="40" t="s">
        <v>11404</v>
      </c>
      <c r="F8575" s="40" t="s">
        <v>11404</v>
      </c>
      <c r="G8575" s="40" t="s">
        <v>11404</v>
      </c>
      <c r="H8575" s="40" t="s">
        <v>11404</v>
      </c>
    </row>
    <row r="8576">
      <c r="A8576" s="39"/>
      <c r="E8576" s="40" t="s">
        <v>11404</v>
      </c>
      <c r="F8576" s="40" t="s">
        <v>11404</v>
      </c>
      <c r="G8576" s="40" t="s">
        <v>11404</v>
      </c>
      <c r="H8576" s="40" t="s">
        <v>11404</v>
      </c>
    </row>
    <row r="8577">
      <c r="A8577" s="39"/>
      <c r="E8577" s="40" t="s">
        <v>11404</v>
      </c>
      <c r="F8577" s="40" t="s">
        <v>11404</v>
      </c>
      <c r="G8577" s="40" t="s">
        <v>11404</v>
      </c>
      <c r="H8577" s="40" t="s">
        <v>11404</v>
      </c>
    </row>
    <row r="8578">
      <c r="A8578" s="39"/>
      <c r="E8578" s="40" t="s">
        <v>11404</v>
      </c>
      <c r="F8578" s="40" t="s">
        <v>11404</v>
      </c>
      <c r="G8578" s="40" t="s">
        <v>11404</v>
      </c>
      <c r="H8578" s="40" t="s">
        <v>11404</v>
      </c>
    </row>
    <row r="8579">
      <c r="A8579" s="39"/>
      <c r="E8579" s="40" t="s">
        <v>11404</v>
      </c>
      <c r="F8579" s="40" t="s">
        <v>11404</v>
      </c>
      <c r="G8579" s="40" t="s">
        <v>11404</v>
      </c>
      <c r="H8579" s="40" t="s">
        <v>11404</v>
      </c>
    </row>
    <row r="8580">
      <c r="A8580" s="39"/>
      <c r="E8580" s="40" t="s">
        <v>11404</v>
      </c>
      <c r="F8580" s="40" t="s">
        <v>11404</v>
      </c>
      <c r="G8580" s="40" t="s">
        <v>11404</v>
      </c>
      <c r="H8580" s="40" t="s">
        <v>11404</v>
      </c>
    </row>
    <row r="8581">
      <c r="A8581" s="39"/>
      <c r="E8581" s="40" t="s">
        <v>11404</v>
      </c>
      <c r="F8581" s="40" t="s">
        <v>11404</v>
      </c>
      <c r="G8581" s="40" t="s">
        <v>11404</v>
      </c>
      <c r="H8581" s="40" t="s">
        <v>11404</v>
      </c>
    </row>
    <row r="8582">
      <c r="A8582" s="39"/>
      <c r="E8582" s="40" t="s">
        <v>11404</v>
      </c>
      <c r="F8582" s="40" t="s">
        <v>11404</v>
      </c>
      <c r="G8582" s="40" t="s">
        <v>11404</v>
      </c>
      <c r="H8582" s="40" t="s">
        <v>11404</v>
      </c>
    </row>
    <row r="8583">
      <c r="A8583" s="39"/>
      <c r="E8583" s="40" t="s">
        <v>11404</v>
      </c>
      <c r="F8583" s="40" t="s">
        <v>11404</v>
      </c>
      <c r="G8583" s="40" t="s">
        <v>11404</v>
      </c>
      <c r="H8583" s="40" t="s">
        <v>11404</v>
      </c>
    </row>
    <row r="8584">
      <c r="A8584" s="39"/>
      <c r="E8584" s="40" t="s">
        <v>11404</v>
      </c>
      <c r="F8584" s="40" t="s">
        <v>11404</v>
      </c>
      <c r="G8584" s="40" t="s">
        <v>11404</v>
      </c>
      <c r="H8584" s="40" t="s">
        <v>11404</v>
      </c>
    </row>
    <row r="8585">
      <c r="A8585" s="39"/>
      <c r="E8585" s="40" t="s">
        <v>11404</v>
      </c>
      <c r="F8585" s="40" t="s">
        <v>11404</v>
      </c>
      <c r="G8585" s="40" t="s">
        <v>11404</v>
      </c>
      <c r="H8585" s="40" t="s">
        <v>11404</v>
      </c>
    </row>
    <row r="8586">
      <c r="A8586" s="39"/>
      <c r="E8586" s="40" t="s">
        <v>11404</v>
      </c>
      <c r="F8586" s="40" t="s">
        <v>11404</v>
      </c>
      <c r="G8586" s="40" t="s">
        <v>11404</v>
      </c>
      <c r="H8586" s="40" t="s">
        <v>11404</v>
      </c>
    </row>
    <row r="8587">
      <c r="A8587" s="39"/>
      <c r="E8587" s="40" t="s">
        <v>11404</v>
      </c>
      <c r="F8587" s="40" t="s">
        <v>11404</v>
      </c>
      <c r="G8587" s="40" t="s">
        <v>11404</v>
      </c>
      <c r="H8587" s="40" t="s">
        <v>11404</v>
      </c>
    </row>
    <row r="8588">
      <c r="A8588" s="39"/>
      <c r="E8588" s="40" t="s">
        <v>11404</v>
      </c>
      <c r="F8588" s="40" t="s">
        <v>11404</v>
      </c>
      <c r="G8588" s="40" t="s">
        <v>11404</v>
      </c>
      <c r="H8588" s="40" t="s">
        <v>11404</v>
      </c>
    </row>
    <row r="8589">
      <c r="A8589" s="39"/>
      <c r="E8589" s="40" t="s">
        <v>11404</v>
      </c>
      <c r="F8589" s="40" t="s">
        <v>11404</v>
      </c>
      <c r="G8589" s="40" t="s">
        <v>11404</v>
      </c>
      <c r="H8589" s="40" t="s">
        <v>11404</v>
      </c>
    </row>
    <row r="8590">
      <c r="A8590" s="39"/>
      <c r="E8590" s="40" t="s">
        <v>11404</v>
      </c>
      <c r="F8590" s="40" t="s">
        <v>11404</v>
      </c>
      <c r="G8590" s="40" t="s">
        <v>11404</v>
      </c>
      <c r="H8590" s="40" t="s">
        <v>11404</v>
      </c>
    </row>
    <row r="8591">
      <c r="A8591" s="39"/>
      <c r="E8591" s="40" t="s">
        <v>11404</v>
      </c>
      <c r="F8591" s="40" t="s">
        <v>11404</v>
      </c>
      <c r="G8591" s="40" t="s">
        <v>11404</v>
      </c>
      <c r="H8591" s="40" t="s">
        <v>11404</v>
      </c>
    </row>
    <row r="8592">
      <c r="A8592" s="39"/>
      <c r="E8592" s="40" t="s">
        <v>11404</v>
      </c>
      <c r="F8592" s="40" t="s">
        <v>11404</v>
      </c>
      <c r="G8592" s="40" t="s">
        <v>11404</v>
      </c>
      <c r="H8592" s="40" t="s">
        <v>11404</v>
      </c>
    </row>
    <row r="8593">
      <c r="A8593" s="39"/>
      <c r="E8593" s="40" t="s">
        <v>11404</v>
      </c>
      <c r="F8593" s="40" t="s">
        <v>11404</v>
      </c>
      <c r="G8593" s="40" t="s">
        <v>11404</v>
      </c>
      <c r="H8593" s="40" t="s">
        <v>11404</v>
      </c>
    </row>
    <row r="8594">
      <c r="A8594" s="39"/>
      <c r="E8594" s="40" t="s">
        <v>11404</v>
      </c>
      <c r="F8594" s="40" t="s">
        <v>11404</v>
      </c>
      <c r="G8594" s="40" t="s">
        <v>11404</v>
      </c>
      <c r="H8594" s="40" t="s">
        <v>11404</v>
      </c>
    </row>
    <row r="8595">
      <c r="A8595" s="39"/>
      <c r="E8595" s="40" t="s">
        <v>11404</v>
      </c>
      <c r="F8595" s="40" t="s">
        <v>11404</v>
      </c>
      <c r="G8595" s="40" t="s">
        <v>11404</v>
      </c>
      <c r="H8595" s="40" t="s">
        <v>11404</v>
      </c>
    </row>
    <row r="8596">
      <c r="A8596" s="39"/>
      <c r="E8596" s="40" t="s">
        <v>11404</v>
      </c>
      <c r="F8596" s="40" t="s">
        <v>11404</v>
      </c>
      <c r="G8596" s="40" t="s">
        <v>11404</v>
      </c>
      <c r="H8596" s="40" t="s">
        <v>11404</v>
      </c>
    </row>
    <row r="8597">
      <c r="A8597" s="39"/>
      <c r="E8597" s="40" t="s">
        <v>11404</v>
      </c>
      <c r="F8597" s="40" t="s">
        <v>11404</v>
      </c>
      <c r="G8597" s="40" t="s">
        <v>11404</v>
      </c>
      <c r="H8597" s="40" t="s">
        <v>11404</v>
      </c>
    </row>
    <row r="8598">
      <c r="A8598" s="39"/>
      <c r="E8598" s="40" t="s">
        <v>11404</v>
      </c>
      <c r="F8598" s="40" t="s">
        <v>11404</v>
      </c>
      <c r="G8598" s="40" t="s">
        <v>11404</v>
      </c>
      <c r="H8598" s="40" t="s">
        <v>11404</v>
      </c>
    </row>
    <row r="8599">
      <c r="A8599" s="39"/>
      <c r="E8599" s="40" t="s">
        <v>11404</v>
      </c>
      <c r="F8599" s="40" t="s">
        <v>11404</v>
      </c>
      <c r="G8599" s="40" t="s">
        <v>11404</v>
      </c>
      <c r="H8599" s="40" t="s">
        <v>11404</v>
      </c>
    </row>
    <row r="8600">
      <c r="A8600" s="39"/>
      <c r="E8600" s="40" t="s">
        <v>11404</v>
      </c>
      <c r="F8600" s="40" t="s">
        <v>11404</v>
      </c>
      <c r="G8600" s="40" t="s">
        <v>11404</v>
      </c>
      <c r="H8600" s="40" t="s">
        <v>11404</v>
      </c>
    </row>
    <row r="8601">
      <c r="A8601" s="39"/>
      <c r="E8601" s="40" t="s">
        <v>11404</v>
      </c>
      <c r="F8601" s="40" t="s">
        <v>11404</v>
      </c>
      <c r="G8601" s="40" t="s">
        <v>11404</v>
      </c>
      <c r="H8601" s="40" t="s">
        <v>11404</v>
      </c>
    </row>
    <row r="8602">
      <c r="A8602" s="39"/>
      <c r="E8602" s="40" t="s">
        <v>11404</v>
      </c>
      <c r="F8602" s="40" t="s">
        <v>11404</v>
      </c>
      <c r="G8602" s="40" t="s">
        <v>11404</v>
      </c>
      <c r="H8602" s="40" t="s">
        <v>11404</v>
      </c>
    </row>
    <row r="8603">
      <c r="A8603" s="39"/>
      <c r="E8603" s="40" t="s">
        <v>11404</v>
      </c>
      <c r="F8603" s="40" t="s">
        <v>11404</v>
      </c>
      <c r="G8603" s="40" t="s">
        <v>11404</v>
      </c>
      <c r="H8603" s="40" t="s">
        <v>11404</v>
      </c>
    </row>
    <row r="8604">
      <c r="A8604" s="39"/>
      <c r="E8604" s="40" t="s">
        <v>11404</v>
      </c>
      <c r="F8604" s="40" t="s">
        <v>11404</v>
      </c>
      <c r="G8604" s="40" t="s">
        <v>11404</v>
      </c>
      <c r="H8604" s="40" t="s">
        <v>11404</v>
      </c>
    </row>
    <row r="8605">
      <c r="A8605" s="39"/>
      <c r="E8605" s="40" t="s">
        <v>11404</v>
      </c>
      <c r="F8605" s="40" t="s">
        <v>11404</v>
      </c>
      <c r="G8605" s="40" t="s">
        <v>11404</v>
      </c>
      <c r="H8605" s="40" t="s">
        <v>11404</v>
      </c>
    </row>
    <row r="8606">
      <c r="A8606" s="39"/>
      <c r="E8606" s="40" t="s">
        <v>11404</v>
      </c>
      <c r="F8606" s="40" t="s">
        <v>11404</v>
      </c>
      <c r="G8606" s="40" t="s">
        <v>11404</v>
      </c>
      <c r="H8606" s="40" t="s">
        <v>11404</v>
      </c>
    </row>
    <row r="8607">
      <c r="A8607" s="39"/>
      <c r="E8607" s="40" t="s">
        <v>11404</v>
      </c>
      <c r="F8607" s="40" t="s">
        <v>11404</v>
      </c>
      <c r="G8607" s="40" t="s">
        <v>11404</v>
      </c>
      <c r="H8607" s="40" t="s">
        <v>11404</v>
      </c>
    </row>
    <row r="8608">
      <c r="A8608" s="39"/>
      <c r="E8608" s="40" t="s">
        <v>11404</v>
      </c>
      <c r="F8608" s="40" t="s">
        <v>11404</v>
      </c>
      <c r="G8608" s="40" t="s">
        <v>11404</v>
      </c>
      <c r="H8608" s="40" t="s">
        <v>11404</v>
      </c>
    </row>
    <row r="8609">
      <c r="A8609" s="39"/>
      <c r="E8609" s="40" t="s">
        <v>11404</v>
      </c>
      <c r="F8609" s="40" t="s">
        <v>11404</v>
      </c>
      <c r="G8609" s="40" t="s">
        <v>11404</v>
      </c>
      <c r="H8609" s="40" t="s">
        <v>11404</v>
      </c>
    </row>
    <row r="8610">
      <c r="A8610" s="39"/>
      <c r="E8610" s="40" t="s">
        <v>11404</v>
      </c>
      <c r="F8610" s="40" t="s">
        <v>11404</v>
      </c>
      <c r="G8610" s="40" t="s">
        <v>11404</v>
      </c>
      <c r="H8610" s="40" t="s">
        <v>11404</v>
      </c>
    </row>
    <row r="8611">
      <c r="A8611" s="39"/>
      <c r="E8611" s="40" t="s">
        <v>11404</v>
      </c>
      <c r="F8611" s="40" t="s">
        <v>11404</v>
      </c>
      <c r="G8611" s="40" t="s">
        <v>11404</v>
      </c>
      <c r="H8611" s="40" t="s">
        <v>11404</v>
      </c>
    </row>
    <row r="8612">
      <c r="A8612" s="39"/>
      <c r="E8612" s="40" t="s">
        <v>11404</v>
      </c>
      <c r="F8612" s="40" t="s">
        <v>11404</v>
      </c>
      <c r="G8612" s="40" t="s">
        <v>11404</v>
      </c>
      <c r="H8612" s="40" t="s">
        <v>11404</v>
      </c>
    </row>
    <row r="8613">
      <c r="A8613" s="39"/>
      <c r="E8613" s="40" t="s">
        <v>11404</v>
      </c>
      <c r="F8613" s="40" t="s">
        <v>11404</v>
      </c>
      <c r="G8613" s="40" t="s">
        <v>11404</v>
      </c>
      <c r="H8613" s="40" t="s">
        <v>11404</v>
      </c>
    </row>
    <row r="8614">
      <c r="A8614" s="39"/>
      <c r="E8614" s="40" t="s">
        <v>11404</v>
      </c>
      <c r="F8614" s="40" t="s">
        <v>11404</v>
      </c>
      <c r="G8614" s="40" t="s">
        <v>11404</v>
      </c>
      <c r="H8614" s="40" t="s">
        <v>11404</v>
      </c>
    </row>
    <row r="8615">
      <c r="A8615" s="39"/>
      <c r="E8615" s="40" t="s">
        <v>11404</v>
      </c>
      <c r="F8615" s="40" t="s">
        <v>11404</v>
      </c>
      <c r="G8615" s="40" t="s">
        <v>11404</v>
      </c>
      <c r="H8615" s="40" t="s">
        <v>11404</v>
      </c>
    </row>
    <row r="8616">
      <c r="A8616" s="39"/>
      <c r="E8616" s="40" t="s">
        <v>11404</v>
      </c>
      <c r="F8616" s="40" t="s">
        <v>11404</v>
      </c>
      <c r="G8616" s="40" t="s">
        <v>11404</v>
      </c>
      <c r="H8616" s="40" t="s">
        <v>11404</v>
      </c>
    </row>
    <row r="8617">
      <c r="A8617" s="39"/>
      <c r="E8617" s="40" t="s">
        <v>11404</v>
      </c>
      <c r="F8617" s="40" t="s">
        <v>11404</v>
      </c>
      <c r="G8617" s="40" t="s">
        <v>11404</v>
      </c>
      <c r="H8617" s="40" t="s">
        <v>11404</v>
      </c>
    </row>
    <row r="8618">
      <c r="A8618" s="39"/>
      <c r="E8618" s="40" t="s">
        <v>11404</v>
      </c>
      <c r="F8618" s="40" t="s">
        <v>11404</v>
      </c>
      <c r="G8618" s="40" t="s">
        <v>11404</v>
      </c>
      <c r="H8618" s="40" t="s">
        <v>11404</v>
      </c>
    </row>
    <row r="8619">
      <c r="A8619" s="39"/>
      <c r="E8619" s="40" t="s">
        <v>11404</v>
      </c>
      <c r="F8619" s="40" t="s">
        <v>11404</v>
      </c>
      <c r="G8619" s="40" t="s">
        <v>11404</v>
      </c>
      <c r="H8619" s="40" t="s">
        <v>11404</v>
      </c>
    </row>
    <row r="8620">
      <c r="A8620" s="39"/>
      <c r="E8620" s="40" t="s">
        <v>11404</v>
      </c>
      <c r="F8620" s="40" t="s">
        <v>11404</v>
      </c>
      <c r="G8620" s="40" t="s">
        <v>11404</v>
      </c>
      <c r="H8620" s="40" t="s">
        <v>11404</v>
      </c>
    </row>
    <row r="8621">
      <c r="A8621" s="39"/>
      <c r="E8621" s="40" t="s">
        <v>11404</v>
      </c>
      <c r="F8621" s="40" t="s">
        <v>11404</v>
      </c>
      <c r="G8621" s="40" t="s">
        <v>11404</v>
      </c>
      <c r="H8621" s="40" t="s">
        <v>11404</v>
      </c>
    </row>
    <row r="8622">
      <c r="A8622" s="39"/>
      <c r="E8622" s="40" t="s">
        <v>11404</v>
      </c>
      <c r="F8622" s="40" t="s">
        <v>11404</v>
      </c>
      <c r="G8622" s="40" t="s">
        <v>11404</v>
      </c>
      <c r="H8622" s="40" t="s">
        <v>11404</v>
      </c>
    </row>
    <row r="8623">
      <c r="A8623" s="39"/>
      <c r="E8623" s="40" t="s">
        <v>11404</v>
      </c>
      <c r="F8623" s="40" t="s">
        <v>11404</v>
      </c>
      <c r="G8623" s="40" t="s">
        <v>11404</v>
      </c>
      <c r="H8623" s="40" t="s">
        <v>11404</v>
      </c>
    </row>
    <row r="8624">
      <c r="A8624" s="39"/>
      <c r="E8624" s="40" t="s">
        <v>11404</v>
      </c>
      <c r="F8624" s="40" t="s">
        <v>11404</v>
      </c>
      <c r="G8624" s="40" t="s">
        <v>11404</v>
      </c>
      <c r="H8624" s="40" t="s">
        <v>11404</v>
      </c>
    </row>
    <row r="8625">
      <c r="A8625" s="39"/>
      <c r="E8625" s="40" t="s">
        <v>11404</v>
      </c>
      <c r="F8625" s="40" t="s">
        <v>11404</v>
      </c>
      <c r="G8625" s="40" t="s">
        <v>11404</v>
      </c>
      <c r="H8625" s="40" t="s">
        <v>11404</v>
      </c>
    </row>
    <row r="8626">
      <c r="A8626" s="39"/>
      <c r="E8626" s="40" t="s">
        <v>11404</v>
      </c>
      <c r="F8626" s="40" t="s">
        <v>11404</v>
      </c>
      <c r="G8626" s="40" t="s">
        <v>11404</v>
      </c>
      <c r="H8626" s="40" t="s">
        <v>11404</v>
      </c>
    </row>
    <row r="8627">
      <c r="A8627" s="39"/>
      <c r="E8627" s="40" t="s">
        <v>11404</v>
      </c>
      <c r="F8627" s="40" t="s">
        <v>11404</v>
      </c>
      <c r="G8627" s="40" t="s">
        <v>11404</v>
      </c>
      <c r="H8627" s="40" t="s">
        <v>11404</v>
      </c>
    </row>
    <row r="8628">
      <c r="A8628" s="39"/>
      <c r="E8628" s="40" t="s">
        <v>11404</v>
      </c>
      <c r="F8628" s="40" t="s">
        <v>11404</v>
      </c>
      <c r="G8628" s="40" t="s">
        <v>11404</v>
      </c>
      <c r="H8628" s="40" t="s">
        <v>11404</v>
      </c>
    </row>
    <row r="8629">
      <c r="A8629" s="39"/>
      <c r="E8629" s="40" t="s">
        <v>11404</v>
      </c>
      <c r="F8629" s="40" t="s">
        <v>11404</v>
      </c>
      <c r="G8629" s="40" t="s">
        <v>11404</v>
      </c>
      <c r="H8629" s="40" t="s">
        <v>11404</v>
      </c>
    </row>
    <row r="8630">
      <c r="A8630" s="39"/>
      <c r="E8630" s="40" t="s">
        <v>11404</v>
      </c>
      <c r="F8630" s="40" t="s">
        <v>11404</v>
      </c>
      <c r="G8630" s="40" t="s">
        <v>11404</v>
      </c>
      <c r="H8630" s="40" t="s">
        <v>11404</v>
      </c>
    </row>
    <row r="8631">
      <c r="A8631" s="39"/>
      <c r="E8631" s="40" t="s">
        <v>11404</v>
      </c>
      <c r="F8631" s="40" t="s">
        <v>11404</v>
      </c>
      <c r="G8631" s="40" t="s">
        <v>11404</v>
      </c>
      <c r="H8631" s="40" t="s">
        <v>11404</v>
      </c>
    </row>
    <row r="8632">
      <c r="A8632" s="39"/>
      <c r="E8632" s="40" t="s">
        <v>11404</v>
      </c>
      <c r="F8632" s="40" t="s">
        <v>11404</v>
      </c>
      <c r="G8632" s="40" t="s">
        <v>11404</v>
      </c>
      <c r="H8632" s="40" t="s">
        <v>11404</v>
      </c>
    </row>
    <row r="8633">
      <c r="A8633" s="39"/>
      <c r="E8633" s="40" t="s">
        <v>11404</v>
      </c>
      <c r="F8633" s="40" t="s">
        <v>11404</v>
      </c>
      <c r="G8633" s="40" t="s">
        <v>11404</v>
      </c>
      <c r="H8633" s="40" t="s">
        <v>11404</v>
      </c>
    </row>
    <row r="8634">
      <c r="A8634" s="39"/>
      <c r="E8634" s="40" t="s">
        <v>11404</v>
      </c>
      <c r="F8634" s="40" t="s">
        <v>11404</v>
      </c>
      <c r="G8634" s="40" t="s">
        <v>11404</v>
      </c>
      <c r="H8634" s="40" t="s">
        <v>11404</v>
      </c>
    </row>
    <row r="8635">
      <c r="A8635" s="39"/>
      <c r="E8635" s="40" t="s">
        <v>11404</v>
      </c>
      <c r="F8635" s="40" t="s">
        <v>11404</v>
      </c>
      <c r="G8635" s="40" t="s">
        <v>11404</v>
      </c>
      <c r="H8635" s="40" t="s">
        <v>11404</v>
      </c>
    </row>
    <row r="8636">
      <c r="A8636" s="39"/>
      <c r="E8636" s="40" t="s">
        <v>11404</v>
      </c>
      <c r="F8636" s="40" t="s">
        <v>11404</v>
      </c>
      <c r="G8636" s="40" t="s">
        <v>11404</v>
      </c>
      <c r="H8636" s="40" t="s">
        <v>11404</v>
      </c>
    </row>
    <row r="8637">
      <c r="A8637" s="39"/>
      <c r="E8637" s="40" t="s">
        <v>11404</v>
      </c>
      <c r="F8637" s="40" t="s">
        <v>11404</v>
      </c>
      <c r="G8637" s="40" t="s">
        <v>11404</v>
      </c>
      <c r="H8637" s="40" t="s">
        <v>11404</v>
      </c>
    </row>
    <row r="8638">
      <c r="A8638" s="39"/>
      <c r="E8638" s="40" t="s">
        <v>11404</v>
      </c>
      <c r="F8638" s="40" t="s">
        <v>11404</v>
      </c>
      <c r="G8638" s="40" t="s">
        <v>11404</v>
      </c>
      <c r="H8638" s="40" t="s">
        <v>11404</v>
      </c>
    </row>
    <row r="8639">
      <c r="A8639" s="39"/>
      <c r="E8639" s="40" t="s">
        <v>11404</v>
      </c>
      <c r="F8639" s="40" t="s">
        <v>11404</v>
      </c>
      <c r="G8639" s="40" t="s">
        <v>11404</v>
      </c>
      <c r="H8639" s="40" t="s">
        <v>11404</v>
      </c>
    </row>
    <row r="8640">
      <c r="A8640" s="39"/>
      <c r="E8640" s="40" t="s">
        <v>11404</v>
      </c>
      <c r="F8640" s="40" t="s">
        <v>11404</v>
      </c>
      <c r="G8640" s="40" t="s">
        <v>11404</v>
      </c>
      <c r="H8640" s="40" t="s">
        <v>11404</v>
      </c>
    </row>
    <row r="8641">
      <c r="A8641" s="39"/>
      <c r="E8641" s="40" t="s">
        <v>11404</v>
      </c>
      <c r="F8641" s="40" t="s">
        <v>11404</v>
      </c>
      <c r="G8641" s="40" t="s">
        <v>11404</v>
      </c>
      <c r="H8641" s="40" t="s">
        <v>11404</v>
      </c>
    </row>
    <row r="8642">
      <c r="A8642" s="39"/>
      <c r="E8642" s="40" t="s">
        <v>11404</v>
      </c>
      <c r="F8642" s="40" t="s">
        <v>11404</v>
      </c>
      <c r="G8642" s="40" t="s">
        <v>11404</v>
      </c>
      <c r="H8642" s="40" t="s">
        <v>11404</v>
      </c>
    </row>
    <row r="8643">
      <c r="A8643" s="39"/>
      <c r="E8643" s="40" t="s">
        <v>11404</v>
      </c>
      <c r="F8643" s="40" t="s">
        <v>11404</v>
      </c>
      <c r="G8643" s="40" t="s">
        <v>11404</v>
      </c>
      <c r="H8643" s="40" t="s">
        <v>11404</v>
      </c>
    </row>
    <row r="8644">
      <c r="A8644" s="39"/>
      <c r="E8644" s="40" t="s">
        <v>11404</v>
      </c>
      <c r="F8644" s="40" t="s">
        <v>11404</v>
      </c>
      <c r="G8644" s="40" t="s">
        <v>11404</v>
      </c>
      <c r="H8644" s="40" t="s">
        <v>11404</v>
      </c>
    </row>
    <row r="8645">
      <c r="A8645" s="39"/>
      <c r="E8645" s="40" t="s">
        <v>11404</v>
      </c>
      <c r="F8645" s="40" t="s">
        <v>11404</v>
      </c>
      <c r="G8645" s="40" t="s">
        <v>11404</v>
      </c>
      <c r="H8645" s="40" t="s">
        <v>11404</v>
      </c>
    </row>
    <row r="8646">
      <c r="A8646" s="39"/>
      <c r="E8646" s="40" t="s">
        <v>11404</v>
      </c>
      <c r="F8646" s="40" t="s">
        <v>11404</v>
      </c>
      <c r="G8646" s="40" t="s">
        <v>11404</v>
      </c>
      <c r="H8646" s="40" t="s">
        <v>11404</v>
      </c>
    </row>
    <row r="8647">
      <c r="A8647" s="39"/>
      <c r="E8647" s="40" t="s">
        <v>11404</v>
      </c>
      <c r="F8647" s="40" t="s">
        <v>11404</v>
      </c>
      <c r="G8647" s="40" t="s">
        <v>11404</v>
      </c>
      <c r="H8647" s="40" t="s">
        <v>11404</v>
      </c>
    </row>
    <row r="8648">
      <c r="A8648" s="39"/>
      <c r="E8648" s="40" t="s">
        <v>11404</v>
      </c>
      <c r="F8648" s="40" t="s">
        <v>11404</v>
      </c>
      <c r="G8648" s="40" t="s">
        <v>11404</v>
      </c>
      <c r="H8648" s="40" t="s">
        <v>11404</v>
      </c>
    </row>
    <row r="8649">
      <c r="A8649" s="39"/>
      <c r="E8649" s="40" t="s">
        <v>11404</v>
      </c>
      <c r="F8649" s="40" t="s">
        <v>11404</v>
      </c>
      <c r="G8649" s="40" t="s">
        <v>11404</v>
      </c>
      <c r="H8649" s="40" t="s">
        <v>11404</v>
      </c>
    </row>
    <row r="8650">
      <c r="A8650" s="39"/>
      <c r="E8650" s="40" t="s">
        <v>11404</v>
      </c>
      <c r="F8650" s="40" t="s">
        <v>11404</v>
      </c>
      <c r="G8650" s="40" t="s">
        <v>11404</v>
      </c>
      <c r="H8650" s="40" t="s">
        <v>11404</v>
      </c>
    </row>
    <row r="8651">
      <c r="A8651" s="39"/>
      <c r="E8651" s="40" t="s">
        <v>11404</v>
      </c>
      <c r="F8651" s="40" t="s">
        <v>11404</v>
      </c>
      <c r="G8651" s="40" t="s">
        <v>11404</v>
      </c>
      <c r="H8651" s="40" t="s">
        <v>11404</v>
      </c>
    </row>
    <row r="8652">
      <c r="A8652" s="39"/>
      <c r="E8652" s="40" t="s">
        <v>11404</v>
      </c>
      <c r="F8652" s="40" t="s">
        <v>11404</v>
      </c>
      <c r="G8652" s="40" t="s">
        <v>11404</v>
      </c>
      <c r="H8652" s="40" t="s">
        <v>11404</v>
      </c>
    </row>
    <row r="8653">
      <c r="A8653" s="39"/>
      <c r="E8653" s="40" t="s">
        <v>11404</v>
      </c>
      <c r="F8653" s="40" t="s">
        <v>11404</v>
      </c>
      <c r="G8653" s="40" t="s">
        <v>11404</v>
      </c>
      <c r="H8653" s="40" t="s">
        <v>11404</v>
      </c>
    </row>
    <row r="8654">
      <c r="A8654" s="39"/>
      <c r="E8654" s="40" t="s">
        <v>11404</v>
      </c>
      <c r="F8654" s="40" t="s">
        <v>11404</v>
      </c>
      <c r="G8654" s="40" t="s">
        <v>11404</v>
      </c>
      <c r="H8654" s="40" t="s">
        <v>11404</v>
      </c>
    </row>
    <row r="8655">
      <c r="A8655" s="39"/>
      <c r="E8655" s="40" t="s">
        <v>11404</v>
      </c>
      <c r="F8655" s="40" t="s">
        <v>11404</v>
      </c>
      <c r="G8655" s="40" t="s">
        <v>11404</v>
      </c>
      <c r="H8655" s="40" t="s">
        <v>11404</v>
      </c>
    </row>
    <row r="8656">
      <c r="A8656" s="39"/>
      <c r="E8656" s="40" t="s">
        <v>11404</v>
      </c>
      <c r="F8656" s="40" t="s">
        <v>11404</v>
      </c>
      <c r="G8656" s="40" t="s">
        <v>11404</v>
      </c>
      <c r="H8656" s="40" t="s">
        <v>11404</v>
      </c>
    </row>
    <row r="8657">
      <c r="A8657" s="39"/>
      <c r="E8657" s="40" t="s">
        <v>11404</v>
      </c>
      <c r="F8657" s="40" t="s">
        <v>11404</v>
      </c>
      <c r="G8657" s="40" t="s">
        <v>11404</v>
      </c>
      <c r="H8657" s="40" t="s">
        <v>11404</v>
      </c>
    </row>
    <row r="8658">
      <c r="A8658" s="39"/>
      <c r="E8658" s="40" t="s">
        <v>11404</v>
      </c>
      <c r="F8658" s="40" t="s">
        <v>11404</v>
      </c>
      <c r="G8658" s="40" t="s">
        <v>11404</v>
      </c>
      <c r="H8658" s="40" t="s">
        <v>11404</v>
      </c>
    </row>
    <row r="8659">
      <c r="A8659" s="39"/>
      <c r="E8659" s="40" t="s">
        <v>11404</v>
      </c>
      <c r="F8659" s="40" t="s">
        <v>11404</v>
      </c>
      <c r="G8659" s="40" t="s">
        <v>11404</v>
      </c>
      <c r="H8659" s="40" t="s">
        <v>11404</v>
      </c>
    </row>
    <row r="8660">
      <c r="A8660" s="39"/>
      <c r="E8660" s="40" t="s">
        <v>11404</v>
      </c>
      <c r="F8660" s="40" t="s">
        <v>11404</v>
      </c>
      <c r="G8660" s="40" t="s">
        <v>11404</v>
      </c>
      <c r="H8660" s="40" t="s">
        <v>11404</v>
      </c>
    </row>
    <row r="8661">
      <c r="A8661" s="39"/>
      <c r="E8661" s="40" t="s">
        <v>11404</v>
      </c>
      <c r="F8661" s="40" t="s">
        <v>11404</v>
      </c>
      <c r="G8661" s="40" t="s">
        <v>11404</v>
      </c>
      <c r="H8661" s="40" t="s">
        <v>11404</v>
      </c>
    </row>
    <row r="8662">
      <c r="A8662" s="39"/>
      <c r="E8662" s="40" t="s">
        <v>11404</v>
      </c>
      <c r="F8662" s="40" t="s">
        <v>11404</v>
      </c>
      <c r="G8662" s="40" t="s">
        <v>11404</v>
      </c>
      <c r="H8662" s="40" t="s">
        <v>11404</v>
      </c>
    </row>
    <row r="8663">
      <c r="A8663" s="39"/>
      <c r="E8663" s="40" t="s">
        <v>11404</v>
      </c>
      <c r="F8663" s="40" t="s">
        <v>11404</v>
      </c>
      <c r="G8663" s="40" t="s">
        <v>11404</v>
      </c>
      <c r="H8663" s="40" t="s">
        <v>11404</v>
      </c>
    </row>
    <row r="8664">
      <c r="A8664" s="39"/>
      <c r="E8664" s="40" t="s">
        <v>11404</v>
      </c>
      <c r="F8664" s="40" t="s">
        <v>11404</v>
      </c>
      <c r="G8664" s="40" t="s">
        <v>11404</v>
      </c>
      <c r="H8664" s="40" t="s">
        <v>11404</v>
      </c>
    </row>
    <row r="8665">
      <c r="A8665" s="39"/>
      <c r="E8665" s="40" t="s">
        <v>11404</v>
      </c>
      <c r="F8665" s="40" t="s">
        <v>11404</v>
      </c>
      <c r="G8665" s="40" t="s">
        <v>11404</v>
      </c>
      <c r="H8665" s="40" t="s">
        <v>11404</v>
      </c>
    </row>
    <row r="8666">
      <c r="A8666" s="39"/>
      <c r="E8666" s="40" t="s">
        <v>11404</v>
      </c>
      <c r="F8666" s="40" t="s">
        <v>11404</v>
      </c>
      <c r="G8666" s="40" t="s">
        <v>11404</v>
      </c>
      <c r="H8666" s="40" t="s">
        <v>11404</v>
      </c>
    </row>
    <row r="8667">
      <c r="A8667" s="39"/>
      <c r="E8667" s="40" t="s">
        <v>11404</v>
      </c>
      <c r="F8667" s="40" t="s">
        <v>11404</v>
      </c>
      <c r="G8667" s="40" t="s">
        <v>11404</v>
      </c>
      <c r="H8667" s="40" t="s">
        <v>11404</v>
      </c>
    </row>
    <row r="8668">
      <c r="A8668" s="39"/>
      <c r="E8668" s="40" t="s">
        <v>11404</v>
      </c>
      <c r="F8668" s="40" t="s">
        <v>11404</v>
      </c>
      <c r="G8668" s="40" t="s">
        <v>11404</v>
      </c>
      <c r="H8668" s="40" t="s">
        <v>11404</v>
      </c>
    </row>
    <row r="8669">
      <c r="A8669" s="39"/>
      <c r="E8669" s="40" t="s">
        <v>11404</v>
      </c>
      <c r="F8669" s="40" t="s">
        <v>11404</v>
      </c>
      <c r="G8669" s="40" t="s">
        <v>11404</v>
      </c>
      <c r="H8669" s="40" t="s">
        <v>11404</v>
      </c>
    </row>
    <row r="8670">
      <c r="A8670" s="39"/>
      <c r="E8670" s="40" t="s">
        <v>11404</v>
      </c>
      <c r="F8670" s="40" t="s">
        <v>11404</v>
      </c>
      <c r="G8670" s="40" t="s">
        <v>11404</v>
      </c>
      <c r="H8670" s="40" t="s">
        <v>11404</v>
      </c>
    </row>
    <row r="8671">
      <c r="A8671" s="39"/>
      <c r="E8671" s="40" t="s">
        <v>11404</v>
      </c>
      <c r="F8671" s="40" t="s">
        <v>11404</v>
      </c>
      <c r="G8671" s="40" t="s">
        <v>11404</v>
      </c>
      <c r="H8671" s="40" t="s">
        <v>11404</v>
      </c>
    </row>
    <row r="8672">
      <c r="A8672" s="39"/>
      <c r="E8672" s="40" t="s">
        <v>11404</v>
      </c>
      <c r="F8672" s="40" t="s">
        <v>11404</v>
      </c>
      <c r="G8672" s="40" t="s">
        <v>11404</v>
      </c>
      <c r="H8672" s="40" t="s">
        <v>11404</v>
      </c>
    </row>
    <row r="8673">
      <c r="A8673" s="39"/>
      <c r="E8673" s="40" t="s">
        <v>11404</v>
      </c>
      <c r="F8673" s="40" t="s">
        <v>11404</v>
      </c>
      <c r="G8673" s="40" t="s">
        <v>11404</v>
      </c>
      <c r="H8673" s="40" t="s">
        <v>11404</v>
      </c>
    </row>
    <row r="8674">
      <c r="A8674" s="39"/>
      <c r="E8674" s="40" t="s">
        <v>11404</v>
      </c>
      <c r="F8674" s="40" t="s">
        <v>11404</v>
      </c>
      <c r="G8674" s="40" t="s">
        <v>11404</v>
      </c>
      <c r="H8674" s="40" t="s">
        <v>11404</v>
      </c>
    </row>
    <row r="8675">
      <c r="A8675" s="39"/>
      <c r="E8675" s="40" t="s">
        <v>11404</v>
      </c>
      <c r="F8675" s="40" t="s">
        <v>11404</v>
      </c>
      <c r="G8675" s="40" t="s">
        <v>11404</v>
      </c>
      <c r="H8675" s="40" t="s">
        <v>11404</v>
      </c>
    </row>
    <row r="8676">
      <c r="A8676" s="39"/>
      <c r="E8676" s="40" t="s">
        <v>11404</v>
      </c>
      <c r="F8676" s="40" t="s">
        <v>11404</v>
      </c>
      <c r="G8676" s="40" t="s">
        <v>11404</v>
      </c>
      <c r="H8676" s="40" t="s">
        <v>11404</v>
      </c>
    </row>
    <row r="8677">
      <c r="A8677" s="39"/>
      <c r="E8677" s="40" t="s">
        <v>11404</v>
      </c>
      <c r="F8677" s="40" t="s">
        <v>11404</v>
      </c>
      <c r="G8677" s="40" t="s">
        <v>11404</v>
      </c>
      <c r="H8677" s="40" t="s">
        <v>11404</v>
      </c>
    </row>
    <row r="8678">
      <c r="A8678" s="39"/>
      <c r="E8678" s="40" t="s">
        <v>11404</v>
      </c>
      <c r="F8678" s="40" t="s">
        <v>11404</v>
      </c>
      <c r="G8678" s="40" t="s">
        <v>11404</v>
      </c>
      <c r="H8678" s="40" t="s">
        <v>11404</v>
      </c>
    </row>
    <row r="8679">
      <c r="A8679" s="39"/>
      <c r="E8679" s="40" t="s">
        <v>11404</v>
      </c>
      <c r="F8679" s="40" t="s">
        <v>11404</v>
      </c>
      <c r="G8679" s="40" t="s">
        <v>11404</v>
      </c>
      <c r="H8679" s="40" t="s">
        <v>11404</v>
      </c>
    </row>
    <row r="8680">
      <c r="A8680" s="39"/>
      <c r="E8680" s="40" t="s">
        <v>11404</v>
      </c>
      <c r="F8680" s="40" t="s">
        <v>11404</v>
      </c>
      <c r="G8680" s="40" t="s">
        <v>11404</v>
      </c>
      <c r="H8680" s="40" t="s">
        <v>11404</v>
      </c>
    </row>
    <row r="8681">
      <c r="A8681" s="39"/>
      <c r="E8681" s="40" t="s">
        <v>11404</v>
      </c>
      <c r="F8681" s="40" t="s">
        <v>11404</v>
      </c>
      <c r="G8681" s="40" t="s">
        <v>11404</v>
      </c>
      <c r="H8681" s="40" t="s">
        <v>11404</v>
      </c>
    </row>
    <row r="8682">
      <c r="A8682" s="39"/>
      <c r="E8682" s="40" t="s">
        <v>11404</v>
      </c>
      <c r="F8682" s="40" t="s">
        <v>11404</v>
      </c>
      <c r="G8682" s="40" t="s">
        <v>11404</v>
      </c>
      <c r="H8682" s="40" t="s">
        <v>11404</v>
      </c>
    </row>
    <row r="8683">
      <c r="A8683" s="39"/>
      <c r="E8683" s="40" t="s">
        <v>11404</v>
      </c>
      <c r="F8683" s="40" t="s">
        <v>11404</v>
      </c>
      <c r="G8683" s="40" t="s">
        <v>11404</v>
      </c>
      <c r="H8683" s="40" t="s">
        <v>11404</v>
      </c>
    </row>
    <row r="8684">
      <c r="A8684" s="39"/>
      <c r="E8684" s="40" t="s">
        <v>11404</v>
      </c>
      <c r="F8684" s="40" t="s">
        <v>11404</v>
      </c>
      <c r="G8684" s="40" t="s">
        <v>11404</v>
      </c>
      <c r="H8684" s="40" t="s">
        <v>11404</v>
      </c>
    </row>
    <row r="8685">
      <c r="A8685" s="39"/>
      <c r="E8685" s="40" t="s">
        <v>11404</v>
      </c>
      <c r="F8685" s="40" t="s">
        <v>11404</v>
      </c>
      <c r="G8685" s="40" t="s">
        <v>11404</v>
      </c>
      <c r="H8685" s="40" t="s">
        <v>11404</v>
      </c>
    </row>
    <row r="8686">
      <c r="A8686" s="39"/>
      <c r="E8686" s="40" t="s">
        <v>11404</v>
      </c>
      <c r="F8686" s="40" t="s">
        <v>11404</v>
      </c>
      <c r="G8686" s="40" t="s">
        <v>11404</v>
      </c>
      <c r="H8686" s="40" t="s">
        <v>11404</v>
      </c>
    </row>
    <row r="8687">
      <c r="A8687" s="39"/>
      <c r="E8687" s="40" t="s">
        <v>11404</v>
      </c>
      <c r="F8687" s="40" t="s">
        <v>11404</v>
      </c>
      <c r="G8687" s="40" t="s">
        <v>11404</v>
      </c>
      <c r="H8687" s="40" t="s">
        <v>11404</v>
      </c>
    </row>
    <row r="8688">
      <c r="A8688" s="39"/>
      <c r="E8688" s="40" t="s">
        <v>11404</v>
      </c>
      <c r="F8688" s="40" t="s">
        <v>11404</v>
      </c>
      <c r="G8688" s="40" t="s">
        <v>11404</v>
      </c>
      <c r="H8688" s="40" t="s">
        <v>11404</v>
      </c>
    </row>
    <row r="8689">
      <c r="A8689" s="39"/>
      <c r="E8689" s="40" t="s">
        <v>11404</v>
      </c>
      <c r="F8689" s="40" t="s">
        <v>11404</v>
      </c>
      <c r="G8689" s="40" t="s">
        <v>11404</v>
      </c>
      <c r="H8689" s="40" t="s">
        <v>11404</v>
      </c>
    </row>
    <row r="8690">
      <c r="A8690" s="39"/>
      <c r="E8690" s="40" t="s">
        <v>11404</v>
      </c>
      <c r="F8690" s="40" t="s">
        <v>11404</v>
      </c>
      <c r="G8690" s="40" t="s">
        <v>11404</v>
      </c>
      <c r="H8690" s="40" t="s">
        <v>11404</v>
      </c>
    </row>
    <row r="8691">
      <c r="A8691" s="39"/>
      <c r="E8691" s="40" t="s">
        <v>11404</v>
      </c>
      <c r="F8691" s="40" t="s">
        <v>11404</v>
      </c>
      <c r="G8691" s="40" t="s">
        <v>11404</v>
      </c>
      <c r="H8691" s="40" t="s">
        <v>11404</v>
      </c>
    </row>
    <row r="8692">
      <c r="A8692" s="39"/>
      <c r="E8692" s="40" t="s">
        <v>11404</v>
      </c>
      <c r="F8692" s="40" t="s">
        <v>11404</v>
      </c>
      <c r="G8692" s="40" t="s">
        <v>11404</v>
      </c>
      <c r="H8692" s="40" t="s">
        <v>11404</v>
      </c>
    </row>
    <row r="8693">
      <c r="A8693" s="39"/>
      <c r="E8693" s="40" t="s">
        <v>11404</v>
      </c>
      <c r="F8693" s="40" t="s">
        <v>11404</v>
      </c>
      <c r="G8693" s="40" t="s">
        <v>11404</v>
      </c>
      <c r="H8693" s="40" t="s">
        <v>11404</v>
      </c>
    </row>
    <row r="8694">
      <c r="A8694" s="39"/>
      <c r="E8694" s="40" t="s">
        <v>11404</v>
      </c>
      <c r="F8694" s="40" t="s">
        <v>11404</v>
      </c>
      <c r="G8694" s="40" t="s">
        <v>11404</v>
      </c>
      <c r="H8694" s="40" t="s">
        <v>11404</v>
      </c>
    </row>
    <row r="8695">
      <c r="A8695" s="39"/>
      <c r="E8695" s="40" t="s">
        <v>11404</v>
      </c>
      <c r="F8695" s="40" t="s">
        <v>11404</v>
      </c>
      <c r="G8695" s="40" t="s">
        <v>11404</v>
      </c>
      <c r="H8695" s="40" t="s">
        <v>11404</v>
      </c>
    </row>
    <row r="8696">
      <c r="A8696" s="39"/>
      <c r="E8696" s="40" t="s">
        <v>11404</v>
      </c>
      <c r="F8696" s="40" t="s">
        <v>11404</v>
      </c>
      <c r="G8696" s="40" t="s">
        <v>11404</v>
      </c>
      <c r="H8696" s="40" t="s">
        <v>11404</v>
      </c>
    </row>
    <row r="8697">
      <c r="A8697" s="39"/>
      <c r="E8697" s="40" t="s">
        <v>11404</v>
      </c>
      <c r="F8697" s="40" t="s">
        <v>11404</v>
      </c>
      <c r="G8697" s="40" t="s">
        <v>11404</v>
      </c>
      <c r="H8697" s="40" t="s">
        <v>11404</v>
      </c>
    </row>
    <row r="8698">
      <c r="A8698" s="39"/>
      <c r="E8698" s="40" t="s">
        <v>11404</v>
      </c>
      <c r="F8698" s="40" t="s">
        <v>11404</v>
      </c>
      <c r="G8698" s="40" t="s">
        <v>11404</v>
      </c>
      <c r="H8698" s="40" t="s">
        <v>11404</v>
      </c>
    </row>
    <row r="8699">
      <c r="A8699" s="39"/>
      <c r="E8699" s="40" t="s">
        <v>11404</v>
      </c>
      <c r="F8699" s="40" t="s">
        <v>11404</v>
      </c>
      <c r="G8699" s="40" t="s">
        <v>11404</v>
      </c>
      <c r="H8699" s="40" t="s">
        <v>11404</v>
      </c>
    </row>
    <row r="8700">
      <c r="A8700" s="39"/>
      <c r="E8700" s="40" t="s">
        <v>11404</v>
      </c>
      <c r="F8700" s="40" t="s">
        <v>11404</v>
      </c>
      <c r="G8700" s="40" t="s">
        <v>11404</v>
      </c>
      <c r="H8700" s="40" t="s">
        <v>11404</v>
      </c>
    </row>
    <row r="8701">
      <c r="A8701" s="39"/>
      <c r="E8701" s="40" t="s">
        <v>11404</v>
      </c>
      <c r="F8701" s="40" t="s">
        <v>11404</v>
      </c>
      <c r="G8701" s="40" t="s">
        <v>11404</v>
      </c>
      <c r="H8701" s="40" t="s">
        <v>11404</v>
      </c>
    </row>
    <row r="8702">
      <c r="A8702" s="39"/>
      <c r="E8702" s="40" t="s">
        <v>11404</v>
      </c>
      <c r="F8702" s="40" t="s">
        <v>11404</v>
      </c>
      <c r="G8702" s="40" t="s">
        <v>11404</v>
      </c>
      <c r="H8702" s="40" t="s">
        <v>11404</v>
      </c>
    </row>
    <row r="8703">
      <c r="A8703" s="39"/>
      <c r="E8703" s="40" t="s">
        <v>11404</v>
      </c>
      <c r="F8703" s="40" t="s">
        <v>11404</v>
      </c>
      <c r="G8703" s="40" t="s">
        <v>11404</v>
      </c>
      <c r="H8703" s="40" t="s">
        <v>11404</v>
      </c>
    </row>
    <row r="8704">
      <c r="A8704" s="39"/>
      <c r="E8704" s="40" t="s">
        <v>11404</v>
      </c>
      <c r="F8704" s="40" t="s">
        <v>11404</v>
      </c>
      <c r="G8704" s="40" t="s">
        <v>11404</v>
      </c>
      <c r="H8704" s="40" t="s">
        <v>11404</v>
      </c>
    </row>
    <row r="8705">
      <c r="A8705" s="39"/>
      <c r="E8705" s="40" t="s">
        <v>11404</v>
      </c>
      <c r="F8705" s="40" t="s">
        <v>11404</v>
      </c>
      <c r="G8705" s="40" t="s">
        <v>11404</v>
      </c>
      <c r="H8705" s="40" t="s">
        <v>11404</v>
      </c>
    </row>
    <row r="8706">
      <c r="A8706" s="39"/>
      <c r="E8706" s="40" t="s">
        <v>11404</v>
      </c>
      <c r="F8706" s="40" t="s">
        <v>11404</v>
      </c>
      <c r="G8706" s="40" t="s">
        <v>11404</v>
      </c>
      <c r="H8706" s="40" t="s">
        <v>11404</v>
      </c>
    </row>
    <row r="8707">
      <c r="A8707" s="39"/>
      <c r="E8707" s="40" t="s">
        <v>11404</v>
      </c>
      <c r="F8707" s="40" t="s">
        <v>11404</v>
      </c>
      <c r="G8707" s="40" t="s">
        <v>11404</v>
      </c>
      <c r="H8707" s="40" t="s">
        <v>11404</v>
      </c>
    </row>
    <row r="8708">
      <c r="A8708" s="39"/>
      <c r="E8708" s="40" t="s">
        <v>11404</v>
      </c>
      <c r="F8708" s="40" t="s">
        <v>11404</v>
      </c>
      <c r="G8708" s="40" t="s">
        <v>11404</v>
      </c>
      <c r="H8708" s="40" t="s">
        <v>11404</v>
      </c>
    </row>
    <row r="8709">
      <c r="A8709" s="39"/>
      <c r="E8709" s="40" t="s">
        <v>11404</v>
      </c>
      <c r="F8709" s="40" t="s">
        <v>11404</v>
      </c>
      <c r="G8709" s="40" t="s">
        <v>11404</v>
      </c>
      <c r="H8709" s="40" t="s">
        <v>11404</v>
      </c>
    </row>
    <row r="8710">
      <c r="A8710" s="39"/>
      <c r="E8710" s="40" t="s">
        <v>11404</v>
      </c>
      <c r="F8710" s="40" t="s">
        <v>11404</v>
      </c>
      <c r="G8710" s="40" t="s">
        <v>11404</v>
      </c>
      <c r="H8710" s="40" t="s">
        <v>11404</v>
      </c>
    </row>
    <row r="8711">
      <c r="A8711" s="39"/>
      <c r="E8711" s="40" t="s">
        <v>11404</v>
      </c>
      <c r="F8711" s="40" t="s">
        <v>11404</v>
      </c>
      <c r="G8711" s="40" t="s">
        <v>11404</v>
      </c>
      <c r="H8711" s="40" t="s">
        <v>11404</v>
      </c>
    </row>
    <row r="8712">
      <c r="A8712" s="39"/>
      <c r="E8712" s="40" t="s">
        <v>11404</v>
      </c>
      <c r="F8712" s="40" t="s">
        <v>11404</v>
      </c>
      <c r="G8712" s="40" t="s">
        <v>11404</v>
      </c>
      <c r="H8712" s="40" t="s">
        <v>11404</v>
      </c>
    </row>
    <row r="8713">
      <c r="A8713" s="39"/>
      <c r="E8713" s="40" t="s">
        <v>11404</v>
      </c>
      <c r="F8713" s="40" t="s">
        <v>11404</v>
      </c>
      <c r="G8713" s="40" t="s">
        <v>11404</v>
      </c>
      <c r="H8713" s="40" t="s">
        <v>11404</v>
      </c>
    </row>
    <row r="8714">
      <c r="A8714" s="39"/>
      <c r="E8714" s="40" t="s">
        <v>11404</v>
      </c>
      <c r="F8714" s="40" t="s">
        <v>11404</v>
      </c>
      <c r="G8714" s="40" t="s">
        <v>11404</v>
      </c>
      <c r="H8714" s="40" t="s">
        <v>11404</v>
      </c>
    </row>
    <row r="8715">
      <c r="A8715" s="39"/>
      <c r="E8715" s="40" t="s">
        <v>11404</v>
      </c>
      <c r="F8715" s="40" t="s">
        <v>11404</v>
      </c>
      <c r="G8715" s="40" t="s">
        <v>11404</v>
      </c>
      <c r="H8715" s="40" t="s">
        <v>11404</v>
      </c>
    </row>
    <row r="8716">
      <c r="A8716" s="39"/>
      <c r="E8716" s="40" t="s">
        <v>11404</v>
      </c>
      <c r="F8716" s="40" t="s">
        <v>11404</v>
      </c>
      <c r="G8716" s="40" t="s">
        <v>11404</v>
      </c>
      <c r="H8716" s="40" t="s">
        <v>11404</v>
      </c>
    </row>
    <row r="8717">
      <c r="A8717" s="39"/>
      <c r="E8717" s="40" t="s">
        <v>11404</v>
      </c>
      <c r="F8717" s="40" t="s">
        <v>11404</v>
      </c>
      <c r="G8717" s="40" t="s">
        <v>11404</v>
      </c>
      <c r="H8717" s="40" t="s">
        <v>11404</v>
      </c>
    </row>
    <row r="8718">
      <c r="A8718" s="39"/>
      <c r="E8718" s="40" t="s">
        <v>11404</v>
      </c>
      <c r="F8718" s="40" t="s">
        <v>11404</v>
      </c>
      <c r="G8718" s="40" t="s">
        <v>11404</v>
      </c>
      <c r="H8718" s="40" t="s">
        <v>11404</v>
      </c>
    </row>
    <row r="8719">
      <c r="A8719" s="39"/>
      <c r="E8719" s="40" t="s">
        <v>11404</v>
      </c>
      <c r="F8719" s="40" t="s">
        <v>11404</v>
      </c>
      <c r="G8719" s="40" t="s">
        <v>11404</v>
      </c>
      <c r="H8719" s="40" t="s">
        <v>11404</v>
      </c>
    </row>
    <row r="8720">
      <c r="A8720" s="39"/>
      <c r="E8720" s="40" t="s">
        <v>11404</v>
      </c>
      <c r="F8720" s="40" t="s">
        <v>11404</v>
      </c>
      <c r="G8720" s="40" t="s">
        <v>11404</v>
      </c>
      <c r="H8720" s="40" t="s">
        <v>11404</v>
      </c>
    </row>
    <row r="8721">
      <c r="A8721" s="39"/>
      <c r="E8721" s="40" t="s">
        <v>11404</v>
      </c>
      <c r="F8721" s="40" t="s">
        <v>11404</v>
      </c>
      <c r="G8721" s="40" t="s">
        <v>11404</v>
      </c>
      <c r="H8721" s="40" t="s">
        <v>11404</v>
      </c>
    </row>
    <row r="8722">
      <c r="A8722" s="39"/>
      <c r="E8722" s="40" t="s">
        <v>11404</v>
      </c>
      <c r="F8722" s="40" t="s">
        <v>11404</v>
      </c>
      <c r="G8722" s="40" t="s">
        <v>11404</v>
      </c>
      <c r="H8722" s="40" t="s">
        <v>11404</v>
      </c>
    </row>
    <row r="8723">
      <c r="A8723" s="39"/>
      <c r="E8723" s="40" t="s">
        <v>11404</v>
      </c>
      <c r="F8723" s="40" t="s">
        <v>11404</v>
      </c>
      <c r="G8723" s="40" t="s">
        <v>11404</v>
      </c>
      <c r="H8723" s="40" t="s">
        <v>11404</v>
      </c>
    </row>
    <row r="8724">
      <c r="A8724" s="39"/>
      <c r="E8724" s="40" t="s">
        <v>11404</v>
      </c>
      <c r="F8724" s="40" t="s">
        <v>11404</v>
      </c>
      <c r="G8724" s="40" t="s">
        <v>11404</v>
      </c>
      <c r="H8724" s="40" t="s">
        <v>11404</v>
      </c>
    </row>
    <row r="8725">
      <c r="A8725" s="39"/>
      <c r="E8725" s="40" t="s">
        <v>11404</v>
      </c>
      <c r="F8725" s="40" t="s">
        <v>11404</v>
      </c>
      <c r="G8725" s="40" t="s">
        <v>11404</v>
      </c>
      <c r="H8725" s="40" t="s">
        <v>11404</v>
      </c>
    </row>
    <row r="8726">
      <c r="A8726" s="39"/>
      <c r="E8726" s="40" t="s">
        <v>11404</v>
      </c>
      <c r="F8726" s="40" t="s">
        <v>11404</v>
      </c>
      <c r="G8726" s="40" t="s">
        <v>11404</v>
      </c>
      <c r="H8726" s="40" t="s">
        <v>11404</v>
      </c>
    </row>
    <row r="8727">
      <c r="A8727" s="39"/>
      <c r="E8727" s="40" t="s">
        <v>11404</v>
      </c>
      <c r="F8727" s="40" t="s">
        <v>11404</v>
      </c>
      <c r="G8727" s="40" t="s">
        <v>11404</v>
      </c>
      <c r="H8727" s="40" t="s">
        <v>11404</v>
      </c>
    </row>
    <row r="8728">
      <c r="A8728" s="39"/>
      <c r="E8728" s="40" t="s">
        <v>11404</v>
      </c>
      <c r="F8728" s="40" t="s">
        <v>11404</v>
      </c>
      <c r="G8728" s="40" t="s">
        <v>11404</v>
      </c>
      <c r="H8728" s="40" t="s">
        <v>11404</v>
      </c>
    </row>
    <row r="8729">
      <c r="A8729" s="39"/>
      <c r="E8729" s="40" t="s">
        <v>11404</v>
      </c>
      <c r="F8729" s="40" t="s">
        <v>11404</v>
      </c>
      <c r="G8729" s="40" t="s">
        <v>11404</v>
      </c>
      <c r="H8729" s="40" t="s">
        <v>11404</v>
      </c>
    </row>
    <row r="8730">
      <c r="A8730" s="39"/>
      <c r="E8730" s="40" t="s">
        <v>11404</v>
      </c>
      <c r="F8730" s="40" t="s">
        <v>11404</v>
      </c>
      <c r="G8730" s="40" t="s">
        <v>11404</v>
      </c>
      <c r="H8730" s="40" t="s">
        <v>11404</v>
      </c>
    </row>
    <row r="8731">
      <c r="A8731" s="39"/>
      <c r="E8731" s="40" t="s">
        <v>11404</v>
      </c>
      <c r="F8731" s="40" t="s">
        <v>11404</v>
      </c>
      <c r="G8731" s="40" t="s">
        <v>11404</v>
      </c>
      <c r="H8731" s="40" t="s">
        <v>11404</v>
      </c>
    </row>
    <row r="8732">
      <c r="A8732" s="39"/>
      <c r="E8732" s="40" t="s">
        <v>11404</v>
      </c>
      <c r="F8732" s="40" t="s">
        <v>11404</v>
      </c>
      <c r="G8732" s="40" t="s">
        <v>11404</v>
      </c>
      <c r="H8732" s="40" t="s">
        <v>11404</v>
      </c>
    </row>
    <row r="8733">
      <c r="A8733" s="39"/>
      <c r="E8733" s="40" t="s">
        <v>11404</v>
      </c>
      <c r="F8733" s="40" t="s">
        <v>11404</v>
      </c>
      <c r="G8733" s="40" t="s">
        <v>11404</v>
      </c>
      <c r="H8733" s="40" t="s">
        <v>11404</v>
      </c>
    </row>
    <row r="8734">
      <c r="A8734" s="39"/>
      <c r="E8734" s="40" t="s">
        <v>11404</v>
      </c>
      <c r="F8734" s="40" t="s">
        <v>11404</v>
      </c>
      <c r="G8734" s="40" t="s">
        <v>11404</v>
      </c>
      <c r="H8734" s="40" t="s">
        <v>11404</v>
      </c>
    </row>
    <row r="8735">
      <c r="A8735" s="39"/>
      <c r="E8735" s="40" t="s">
        <v>11404</v>
      </c>
      <c r="F8735" s="40" t="s">
        <v>11404</v>
      </c>
      <c r="G8735" s="40" t="s">
        <v>11404</v>
      </c>
      <c r="H8735" s="40" t="s">
        <v>11404</v>
      </c>
    </row>
    <row r="8736">
      <c r="A8736" s="39"/>
      <c r="E8736" s="40" t="s">
        <v>11404</v>
      </c>
      <c r="F8736" s="40" t="s">
        <v>11404</v>
      </c>
      <c r="G8736" s="40" t="s">
        <v>11404</v>
      </c>
      <c r="H8736" s="40" t="s">
        <v>11404</v>
      </c>
    </row>
    <row r="8737">
      <c r="A8737" s="39"/>
      <c r="E8737" s="40" t="s">
        <v>11404</v>
      </c>
      <c r="F8737" s="40" t="s">
        <v>11404</v>
      </c>
      <c r="G8737" s="40" t="s">
        <v>11404</v>
      </c>
      <c r="H8737" s="40" t="s">
        <v>11404</v>
      </c>
    </row>
    <row r="8738">
      <c r="A8738" s="39"/>
      <c r="E8738" s="40" t="s">
        <v>11404</v>
      </c>
      <c r="F8738" s="40" t="s">
        <v>11404</v>
      </c>
      <c r="G8738" s="40" t="s">
        <v>11404</v>
      </c>
      <c r="H8738" s="40" t="s">
        <v>11404</v>
      </c>
    </row>
    <row r="8739">
      <c r="A8739" s="39"/>
      <c r="E8739" s="40" t="s">
        <v>11404</v>
      </c>
      <c r="F8739" s="40" t="s">
        <v>11404</v>
      </c>
      <c r="G8739" s="40" t="s">
        <v>11404</v>
      </c>
      <c r="H8739" s="40" t="s">
        <v>11404</v>
      </c>
    </row>
    <row r="8740">
      <c r="A8740" s="39"/>
      <c r="E8740" s="40" t="s">
        <v>11404</v>
      </c>
      <c r="F8740" s="40" t="s">
        <v>11404</v>
      </c>
      <c r="G8740" s="40" t="s">
        <v>11404</v>
      </c>
      <c r="H8740" s="40" t="s">
        <v>11404</v>
      </c>
    </row>
    <row r="8741">
      <c r="A8741" s="39"/>
      <c r="E8741" s="40" t="s">
        <v>11404</v>
      </c>
      <c r="F8741" s="40" t="s">
        <v>11404</v>
      </c>
      <c r="G8741" s="40" t="s">
        <v>11404</v>
      </c>
      <c r="H8741" s="40" t="s">
        <v>11404</v>
      </c>
    </row>
    <row r="8742">
      <c r="A8742" s="39"/>
      <c r="E8742" s="40" t="s">
        <v>11404</v>
      </c>
      <c r="F8742" s="40" t="s">
        <v>11404</v>
      </c>
      <c r="G8742" s="40" t="s">
        <v>11404</v>
      </c>
      <c r="H8742" s="40" t="s">
        <v>11404</v>
      </c>
    </row>
    <row r="8743">
      <c r="A8743" s="39"/>
      <c r="E8743" s="40" t="s">
        <v>11404</v>
      </c>
      <c r="F8743" s="40" t="s">
        <v>11404</v>
      </c>
      <c r="G8743" s="40" t="s">
        <v>11404</v>
      </c>
      <c r="H8743" s="40" t="s">
        <v>11404</v>
      </c>
    </row>
    <row r="8744">
      <c r="A8744" s="39"/>
      <c r="E8744" s="40" t="s">
        <v>11404</v>
      </c>
      <c r="F8744" s="40" t="s">
        <v>11404</v>
      </c>
      <c r="G8744" s="40" t="s">
        <v>11404</v>
      </c>
      <c r="H8744" s="40" t="s">
        <v>11404</v>
      </c>
    </row>
    <row r="8745">
      <c r="A8745" s="39"/>
      <c r="E8745" s="40" t="s">
        <v>11404</v>
      </c>
      <c r="F8745" s="40" t="s">
        <v>11404</v>
      </c>
      <c r="G8745" s="40" t="s">
        <v>11404</v>
      </c>
      <c r="H8745" s="40" t="s">
        <v>11404</v>
      </c>
    </row>
    <row r="8746">
      <c r="A8746" s="39"/>
      <c r="E8746" s="40" t="s">
        <v>11404</v>
      </c>
      <c r="F8746" s="40" t="s">
        <v>11404</v>
      </c>
      <c r="G8746" s="40" t="s">
        <v>11404</v>
      </c>
      <c r="H8746" s="40" t="s">
        <v>11404</v>
      </c>
    </row>
    <row r="8747">
      <c r="A8747" s="39"/>
      <c r="E8747" s="40" t="s">
        <v>11404</v>
      </c>
      <c r="F8747" s="40" t="s">
        <v>11404</v>
      </c>
      <c r="G8747" s="40" t="s">
        <v>11404</v>
      </c>
      <c r="H8747" s="40" t="s">
        <v>11404</v>
      </c>
    </row>
    <row r="8748">
      <c r="A8748" s="39"/>
      <c r="E8748" s="40" t="s">
        <v>11404</v>
      </c>
      <c r="F8748" s="40" t="s">
        <v>11404</v>
      </c>
      <c r="G8748" s="40" t="s">
        <v>11404</v>
      </c>
      <c r="H8748" s="40" t="s">
        <v>11404</v>
      </c>
    </row>
    <row r="8749">
      <c r="A8749" s="39"/>
      <c r="E8749" s="40" t="s">
        <v>11404</v>
      </c>
      <c r="F8749" s="40" t="s">
        <v>11404</v>
      </c>
      <c r="G8749" s="40" t="s">
        <v>11404</v>
      </c>
      <c r="H8749" s="40" t="s">
        <v>11404</v>
      </c>
    </row>
    <row r="8750">
      <c r="A8750" s="39"/>
      <c r="E8750" s="40" t="s">
        <v>11404</v>
      </c>
      <c r="F8750" s="40" t="s">
        <v>11404</v>
      </c>
      <c r="G8750" s="40" t="s">
        <v>11404</v>
      </c>
      <c r="H8750" s="40" t="s">
        <v>11404</v>
      </c>
    </row>
    <row r="8751">
      <c r="A8751" s="39"/>
      <c r="E8751" s="40" t="s">
        <v>11404</v>
      </c>
      <c r="F8751" s="40" t="s">
        <v>11404</v>
      </c>
      <c r="G8751" s="40" t="s">
        <v>11404</v>
      </c>
      <c r="H8751" s="40" t="s">
        <v>11404</v>
      </c>
    </row>
    <row r="8752">
      <c r="A8752" s="39"/>
      <c r="E8752" s="40" t="s">
        <v>11404</v>
      </c>
      <c r="F8752" s="40" t="s">
        <v>11404</v>
      </c>
      <c r="G8752" s="40" t="s">
        <v>11404</v>
      </c>
      <c r="H8752" s="40" t="s">
        <v>11404</v>
      </c>
    </row>
    <row r="8753">
      <c r="A8753" s="39"/>
      <c r="E8753" s="40" t="s">
        <v>11404</v>
      </c>
      <c r="F8753" s="40" t="s">
        <v>11404</v>
      </c>
      <c r="G8753" s="40" t="s">
        <v>11404</v>
      </c>
      <c r="H8753" s="40" t="s">
        <v>11404</v>
      </c>
    </row>
    <row r="8754">
      <c r="A8754" s="39"/>
      <c r="E8754" s="40" t="s">
        <v>11404</v>
      </c>
      <c r="F8754" s="40" t="s">
        <v>11404</v>
      </c>
      <c r="G8754" s="40" t="s">
        <v>11404</v>
      </c>
      <c r="H8754" s="40" t="s">
        <v>11404</v>
      </c>
    </row>
    <row r="8755">
      <c r="A8755" s="39"/>
      <c r="E8755" s="40" t="s">
        <v>11404</v>
      </c>
      <c r="F8755" s="40" t="s">
        <v>11404</v>
      </c>
      <c r="G8755" s="40" t="s">
        <v>11404</v>
      </c>
      <c r="H8755" s="40" t="s">
        <v>11404</v>
      </c>
    </row>
    <row r="8756">
      <c r="A8756" s="39"/>
      <c r="E8756" s="40" t="s">
        <v>11404</v>
      </c>
      <c r="F8756" s="40" t="s">
        <v>11404</v>
      </c>
      <c r="G8756" s="40" t="s">
        <v>11404</v>
      </c>
      <c r="H8756" s="40" t="s">
        <v>11404</v>
      </c>
    </row>
    <row r="8757">
      <c r="A8757" s="39"/>
      <c r="E8757" s="40" t="s">
        <v>11404</v>
      </c>
      <c r="F8757" s="40" t="s">
        <v>11404</v>
      </c>
      <c r="G8757" s="40" t="s">
        <v>11404</v>
      </c>
      <c r="H8757" s="40" t="s">
        <v>11404</v>
      </c>
    </row>
    <row r="8758">
      <c r="A8758" s="39"/>
      <c r="E8758" s="40" t="s">
        <v>11404</v>
      </c>
      <c r="F8758" s="40" t="s">
        <v>11404</v>
      </c>
      <c r="G8758" s="40" t="s">
        <v>11404</v>
      </c>
      <c r="H8758" s="40" t="s">
        <v>11404</v>
      </c>
    </row>
    <row r="8759">
      <c r="A8759" s="39"/>
      <c r="E8759" s="40" t="s">
        <v>11404</v>
      </c>
      <c r="F8759" s="40" t="s">
        <v>11404</v>
      </c>
      <c r="G8759" s="40" t="s">
        <v>11404</v>
      </c>
      <c r="H8759" s="40" t="s">
        <v>11404</v>
      </c>
    </row>
    <row r="8760">
      <c r="A8760" s="39"/>
      <c r="E8760" s="40" t="s">
        <v>11404</v>
      </c>
      <c r="F8760" s="40" t="s">
        <v>11404</v>
      </c>
      <c r="G8760" s="40" t="s">
        <v>11404</v>
      </c>
      <c r="H8760" s="40" t="s">
        <v>11404</v>
      </c>
    </row>
    <row r="8761">
      <c r="A8761" s="39"/>
      <c r="E8761" s="40" t="s">
        <v>11404</v>
      </c>
      <c r="F8761" s="40" t="s">
        <v>11404</v>
      </c>
      <c r="G8761" s="40" t="s">
        <v>11404</v>
      </c>
      <c r="H8761" s="40" t="s">
        <v>11404</v>
      </c>
    </row>
    <row r="8762">
      <c r="A8762" s="39"/>
      <c r="E8762" s="40" t="s">
        <v>11404</v>
      </c>
      <c r="F8762" s="40" t="s">
        <v>11404</v>
      </c>
      <c r="G8762" s="40" t="s">
        <v>11404</v>
      </c>
      <c r="H8762" s="40" t="s">
        <v>11404</v>
      </c>
    </row>
    <row r="8763">
      <c r="A8763" s="39"/>
      <c r="E8763" s="40" t="s">
        <v>11404</v>
      </c>
      <c r="F8763" s="40" t="s">
        <v>11404</v>
      </c>
      <c r="G8763" s="40" t="s">
        <v>11404</v>
      </c>
      <c r="H8763" s="40" t="s">
        <v>11404</v>
      </c>
    </row>
    <row r="8764">
      <c r="A8764" s="39"/>
      <c r="E8764" s="40" t="s">
        <v>11404</v>
      </c>
      <c r="F8764" s="40" t="s">
        <v>11404</v>
      </c>
      <c r="G8764" s="40" t="s">
        <v>11404</v>
      </c>
      <c r="H8764" s="40" t="s">
        <v>11404</v>
      </c>
    </row>
    <row r="8765">
      <c r="A8765" s="39"/>
      <c r="E8765" s="40" t="s">
        <v>11404</v>
      </c>
      <c r="F8765" s="40" t="s">
        <v>11404</v>
      </c>
      <c r="G8765" s="40" t="s">
        <v>11404</v>
      </c>
      <c r="H8765" s="40" t="s">
        <v>11404</v>
      </c>
    </row>
    <row r="8766">
      <c r="A8766" s="39"/>
      <c r="E8766" s="40" t="s">
        <v>11404</v>
      </c>
      <c r="F8766" s="40" t="s">
        <v>11404</v>
      </c>
      <c r="G8766" s="40" t="s">
        <v>11404</v>
      </c>
      <c r="H8766" s="40" t="s">
        <v>11404</v>
      </c>
    </row>
    <row r="8767">
      <c r="A8767" s="39"/>
      <c r="E8767" s="40" t="s">
        <v>11404</v>
      </c>
      <c r="F8767" s="40" t="s">
        <v>11404</v>
      </c>
      <c r="G8767" s="40" t="s">
        <v>11404</v>
      </c>
      <c r="H8767" s="40" t="s">
        <v>11404</v>
      </c>
    </row>
    <row r="8768">
      <c r="A8768" s="39"/>
      <c r="E8768" s="40" t="s">
        <v>11404</v>
      </c>
      <c r="F8768" s="40" t="s">
        <v>11404</v>
      </c>
      <c r="G8768" s="40" t="s">
        <v>11404</v>
      </c>
      <c r="H8768" s="40" t="s">
        <v>11404</v>
      </c>
    </row>
    <row r="8769">
      <c r="A8769" s="39"/>
      <c r="E8769" s="40" t="s">
        <v>11404</v>
      </c>
      <c r="F8769" s="40" t="s">
        <v>11404</v>
      </c>
      <c r="G8769" s="40" t="s">
        <v>11404</v>
      </c>
      <c r="H8769" s="40" t="s">
        <v>11404</v>
      </c>
    </row>
    <row r="8770">
      <c r="A8770" s="39"/>
      <c r="E8770" s="40" t="s">
        <v>11404</v>
      </c>
      <c r="F8770" s="40" t="s">
        <v>11404</v>
      </c>
      <c r="G8770" s="40" t="s">
        <v>11404</v>
      </c>
      <c r="H8770" s="40" t="s">
        <v>11404</v>
      </c>
    </row>
    <row r="8771">
      <c r="A8771" s="39"/>
      <c r="E8771" s="40" t="s">
        <v>11404</v>
      </c>
      <c r="F8771" s="40" t="s">
        <v>11404</v>
      </c>
      <c r="G8771" s="40" t="s">
        <v>11404</v>
      </c>
      <c r="H8771" s="40" t="s">
        <v>11404</v>
      </c>
    </row>
    <row r="8772">
      <c r="A8772" s="39"/>
      <c r="E8772" s="40" t="s">
        <v>11404</v>
      </c>
      <c r="F8772" s="40" t="s">
        <v>11404</v>
      </c>
      <c r="G8772" s="40" t="s">
        <v>11404</v>
      </c>
      <c r="H8772" s="40" t="s">
        <v>11404</v>
      </c>
    </row>
    <row r="8773">
      <c r="A8773" s="39"/>
      <c r="E8773" s="40" t="s">
        <v>11404</v>
      </c>
      <c r="F8773" s="40" t="s">
        <v>11404</v>
      </c>
      <c r="G8773" s="40" t="s">
        <v>11404</v>
      </c>
      <c r="H8773" s="40" t="s">
        <v>11404</v>
      </c>
    </row>
    <row r="8774">
      <c r="A8774" s="39"/>
      <c r="E8774" s="40" t="s">
        <v>11404</v>
      </c>
      <c r="F8774" s="40" t="s">
        <v>11404</v>
      </c>
      <c r="G8774" s="40" t="s">
        <v>11404</v>
      </c>
      <c r="H8774" s="40" t="s">
        <v>11404</v>
      </c>
    </row>
    <row r="8775">
      <c r="A8775" s="39"/>
      <c r="E8775" s="40" t="s">
        <v>11404</v>
      </c>
      <c r="F8775" s="40" t="s">
        <v>11404</v>
      </c>
      <c r="G8775" s="40" t="s">
        <v>11404</v>
      </c>
      <c r="H8775" s="40" t="s">
        <v>11404</v>
      </c>
    </row>
    <row r="8776">
      <c r="A8776" s="39"/>
      <c r="E8776" s="40" t="s">
        <v>11404</v>
      </c>
      <c r="F8776" s="40" t="s">
        <v>11404</v>
      </c>
      <c r="G8776" s="40" t="s">
        <v>11404</v>
      </c>
      <c r="H8776" s="40" t="s">
        <v>11404</v>
      </c>
    </row>
    <row r="8777">
      <c r="A8777" s="39"/>
      <c r="E8777" s="40" t="s">
        <v>11404</v>
      </c>
      <c r="F8777" s="40" t="s">
        <v>11404</v>
      </c>
      <c r="G8777" s="40" t="s">
        <v>11404</v>
      </c>
      <c r="H8777" s="40" t="s">
        <v>11404</v>
      </c>
    </row>
    <row r="8778">
      <c r="A8778" s="39"/>
      <c r="E8778" s="40" t="s">
        <v>11404</v>
      </c>
      <c r="F8778" s="40" t="s">
        <v>11404</v>
      </c>
      <c r="G8778" s="40" t="s">
        <v>11404</v>
      </c>
      <c r="H8778" s="40" t="s">
        <v>11404</v>
      </c>
    </row>
    <row r="8779">
      <c r="A8779" s="39"/>
      <c r="E8779" s="40" t="s">
        <v>11404</v>
      </c>
      <c r="F8779" s="40" t="s">
        <v>11404</v>
      </c>
      <c r="G8779" s="40" t="s">
        <v>11404</v>
      </c>
      <c r="H8779" s="40" t="s">
        <v>11404</v>
      </c>
    </row>
    <row r="8780">
      <c r="A8780" s="39"/>
      <c r="E8780" s="40" t="s">
        <v>11404</v>
      </c>
      <c r="F8780" s="40" t="s">
        <v>11404</v>
      </c>
      <c r="G8780" s="40" t="s">
        <v>11404</v>
      </c>
      <c r="H8780" s="40" t="s">
        <v>11404</v>
      </c>
    </row>
    <row r="8781">
      <c r="A8781" s="39"/>
      <c r="E8781" s="40" t="s">
        <v>11404</v>
      </c>
      <c r="F8781" s="40" t="s">
        <v>11404</v>
      </c>
      <c r="G8781" s="40" t="s">
        <v>11404</v>
      </c>
      <c r="H8781" s="40" t="s">
        <v>11404</v>
      </c>
    </row>
    <row r="8782">
      <c r="A8782" s="39"/>
      <c r="E8782" s="40" t="s">
        <v>11404</v>
      </c>
      <c r="F8782" s="40" t="s">
        <v>11404</v>
      </c>
      <c r="G8782" s="40" t="s">
        <v>11404</v>
      </c>
      <c r="H8782" s="40" t="s">
        <v>11404</v>
      </c>
    </row>
    <row r="8783">
      <c r="A8783" s="39"/>
      <c r="E8783" s="40" t="s">
        <v>11404</v>
      </c>
      <c r="F8783" s="40" t="s">
        <v>11404</v>
      </c>
      <c r="G8783" s="40" t="s">
        <v>11404</v>
      </c>
      <c r="H8783" s="40" t="s">
        <v>11404</v>
      </c>
    </row>
    <row r="8784">
      <c r="A8784" s="39"/>
      <c r="E8784" s="40" t="s">
        <v>11404</v>
      </c>
      <c r="F8784" s="40" t="s">
        <v>11404</v>
      </c>
      <c r="G8784" s="40" t="s">
        <v>11404</v>
      </c>
      <c r="H8784" s="40" t="s">
        <v>11404</v>
      </c>
    </row>
    <row r="8785">
      <c r="A8785" s="39"/>
      <c r="E8785" s="40" t="s">
        <v>11404</v>
      </c>
      <c r="F8785" s="40" t="s">
        <v>11404</v>
      </c>
      <c r="G8785" s="40" t="s">
        <v>11404</v>
      </c>
      <c r="H8785" s="40" t="s">
        <v>11404</v>
      </c>
    </row>
    <row r="8786">
      <c r="A8786" s="39"/>
      <c r="E8786" s="40" t="s">
        <v>11404</v>
      </c>
      <c r="F8786" s="40" t="s">
        <v>11404</v>
      </c>
      <c r="G8786" s="40" t="s">
        <v>11404</v>
      </c>
      <c r="H8786" s="40" t="s">
        <v>11404</v>
      </c>
    </row>
    <row r="8787">
      <c r="A8787" s="39"/>
      <c r="E8787" s="40" t="s">
        <v>11404</v>
      </c>
      <c r="F8787" s="40" t="s">
        <v>11404</v>
      </c>
      <c r="G8787" s="40" t="s">
        <v>11404</v>
      </c>
      <c r="H8787" s="40" t="s">
        <v>11404</v>
      </c>
    </row>
    <row r="8788">
      <c r="A8788" s="39"/>
      <c r="E8788" s="40" t="s">
        <v>11404</v>
      </c>
      <c r="F8788" s="40" t="s">
        <v>11404</v>
      </c>
      <c r="G8788" s="40" t="s">
        <v>11404</v>
      </c>
      <c r="H8788" s="40" t="s">
        <v>11404</v>
      </c>
    </row>
    <row r="8789">
      <c r="A8789" s="39"/>
      <c r="E8789" s="40" t="s">
        <v>11404</v>
      </c>
      <c r="F8789" s="40" t="s">
        <v>11404</v>
      </c>
      <c r="G8789" s="40" t="s">
        <v>11404</v>
      </c>
      <c r="H8789" s="40" t="s">
        <v>11404</v>
      </c>
    </row>
    <row r="8790">
      <c r="A8790" s="39"/>
      <c r="E8790" s="40" t="s">
        <v>11404</v>
      </c>
      <c r="F8790" s="40" t="s">
        <v>11404</v>
      </c>
      <c r="G8790" s="40" t="s">
        <v>11404</v>
      </c>
      <c r="H8790" s="40" t="s">
        <v>11404</v>
      </c>
    </row>
    <row r="8791">
      <c r="A8791" s="39"/>
      <c r="E8791" s="40" t="s">
        <v>11404</v>
      </c>
      <c r="F8791" s="40" t="s">
        <v>11404</v>
      </c>
      <c r="G8791" s="40" t="s">
        <v>11404</v>
      </c>
      <c r="H8791" s="40" t="s">
        <v>11404</v>
      </c>
    </row>
    <row r="8792">
      <c r="A8792" s="39"/>
      <c r="E8792" s="40" t="s">
        <v>11404</v>
      </c>
      <c r="F8792" s="40" t="s">
        <v>11404</v>
      </c>
      <c r="G8792" s="40" t="s">
        <v>11404</v>
      </c>
      <c r="H8792" s="40" t="s">
        <v>11404</v>
      </c>
    </row>
    <row r="8793">
      <c r="A8793" s="39"/>
      <c r="E8793" s="40" t="s">
        <v>11404</v>
      </c>
      <c r="F8793" s="40" t="s">
        <v>11404</v>
      </c>
      <c r="G8793" s="40" t="s">
        <v>11404</v>
      </c>
      <c r="H8793" s="40" t="s">
        <v>11404</v>
      </c>
    </row>
    <row r="8794">
      <c r="A8794" s="39"/>
      <c r="E8794" s="40" t="s">
        <v>11404</v>
      </c>
      <c r="F8794" s="40" t="s">
        <v>11404</v>
      </c>
      <c r="G8794" s="40" t="s">
        <v>11404</v>
      </c>
      <c r="H8794" s="40" t="s">
        <v>11404</v>
      </c>
    </row>
    <row r="8795">
      <c r="A8795" s="39"/>
      <c r="E8795" s="40" t="s">
        <v>11404</v>
      </c>
      <c r="F8795" s="40" t="s">
        <v>11404</v>
      </c>
      <c r="G8795" s="40" t="s">
        <v>11404</v>
      </c>
      <c r="H8795" s="40" t="s">
        <v>11404</v>
      </c>
    </row>
    <row r="8796">
      <c r="A8796" s="39"/>
      <c r="E8796" s="40" t="s">
        <v>11404</v>
      </c>
      <c r="F8796" s="40" t="s">
        <v>11404</v>
      </c>
      <c r="G8796" s="40" t="s">
        <v>11404</v>
      </c>
      <c r="H8796" s="40" t="s">
        <v>11404</v>
      </c>
    </row>
    <row r="8797">
      <c r="A8797" s="39"/>
      <c r="E8797" s="40" t="s">
        <v>11404</v>
      </c>
      <c r="F8797" s="40" t="s">
        <v>11404</v>
      </c>
      <c r="G8797" s="40" t="s">
        <v>11404</v>
      </c>
      <c r="H8797" s="40" t="s">
        <v>11404</v>
      </c>
    </row>
    <row r="8798">
      <c r="A8798" s="39"/>
      <c r="E8798" s="40" t="s">
        <v>11404</v>
      </c>
      <c r="F8798" s="40" t="s">
        <v>11404</v>
      </c>
      <c r="G8798" s="40" t="s">
        <v>11404</v>
      </c>
      <c r="H8798" s="40" t="s">
        <v>11404</v>
      </c>
    </row>
    <row r="8799">
      <c r="A8799" s="39"/>
      <c r="E8799" s="40" t="s">
        <v>11404</v>
      </c>
      <c r="F8799" s="40" t="s">
        <v>11404</v>
      </c>
      <c r="G8799" s="40" t="s">
        <v>11404</v>
      </c>
      <c r="H8799" s="40" t="s">
        <v>11404</v>
      </c>
    </row>
    <row r="8800">
      <c r="A8800" s="39"/>
      <c r="E8800" s="40" t="s">
        <v>11404</v>
      </c>
      <c r="F8800" s="40" t="s">
        <v>11404</v>
      </c>
      <c r="G8800" s="40" t="s">
        <v>11404</v>
      </c>
      <c r="H8800" s="40" t="s">
        <v>11404</v>
      </c>
    </row>
    <row r="8801">
      <c r="A8801" s="39"/>
      <c r="E8801" s="40" t="s">
        <v>11404</v>
      </c>
      <c r="F8801" s="40" t="s">
        <v>11404</v>
      </c>
      <c r="G8801" s="40" t="s">
        <v>11404</v>
      </c>
      <c r="H8801" s="40" t="s">
        <v>11404</v>
      </c>
    </row>
    <row r="8802">
      <c r="A8802" s="39"/>
      <c r="E8802" s="40" t="s">
        <v>11404</v>
      </c>
      <c r="F8802" s="40" t="s">
        <v>11404</v>
      </c>
      <c r="G8802" s="40" t="s">
        <v>11404</v>
      </c>
      <c r="H8802" s="40" t="s">
        <v>11404</v>
      </c>
    </row>
    <row r="8803">
      <c r="A8803" s="39"/>
      <c r="E8803" s="40" t="s">
        <v>11404</v>
      </c>
      <c r="F8803" s="40" t="s">
        <v>11404</v>
      </c>
      <c r="G8803" s="40" t="s">
        <v>11404</v>
      </c>
      <c r="H8803" s="40" t="s">
        <v>11404</v>
      </c>
    </row>
    <row r="8804">
      <c r="A8804" s="39"/>
      <c r="E8804" s="40" t="s">
        <v>11404</v>
      </c>
      <c r="F8804" s="40" t="s">
        <v>11404</v>
      </c>
      <c r="G8804" s="40" t="s">
        <v>11404</v>
      </c>
      <c r="H8804" s="40" t="s">
        <v>11404</v>
      </c>
    </row>
    <row r="8805">
      <c r="A8805" s="39"/>
      <c r="E8805" s="40" t="s">
        <v>11404</v>
      </c>
      <c r="F8805" s="40" t="s">
        <v>11404</v>
      </c>
      <c r="G8805" s="40" t="s">
        <v>11404</v>
      </c>
      <c r="H8805" s="40" t="s">
        <v>11404</v>
      </c>
    </row>
    <row r="8806">
      <c r="A8806" s="39"/>
      <c r="E8806" s="40" t="s">
        <v>11404</v>
      </c>
      <c r="F8806" s="40" t="s">
        <v>11404</v>
      </c>
      <c r="G8806" s="40" t="s">
        <v>11404</v>
      </c>
      <c r="H8806" s="40" t="s">
        <v>11404</v>
      </c>
    </row>
    <row r="8807">
      <c r="A8807" s="39"/>
      <c r="E8807" s="40" t="s">
        <v>11404</v>
      </c>
      <c r="F8807" s="40" t="s">
        <v>11404</v>
      </c>
      <c r="G8807" s="40" t="s">
        <v>11404</v>
      </c>
      <c r="H8807" s="40" t="s">
        <v>11404</v>
      </c>
    </row>
    <row r="8808">
      <c r="A8808" s="39"/>
      <c r="E8808" s="40" t="s">
        <v>11404</v>
      </c>
      <c r="F8808" s="40" t="s">
        <v>11404</v>
      </c>
      <c r="G8808" s="40" t="s">
        <v>11404</v>
      </c>
      <c r="H8808" s="40" t="s">
        <v>11404</v>
      </c>
    </row>
    <row r="8809">
      <c r="A8809" s="39"/>
      <c r="E8809" s="40" t="s">
        <v>11404</v>
      </c>
      <c r="F8809" s="40" t="s">
        <v>11404</v>
      </c>
      <c r="G8809" s="40" t="s">
        <v>11404</v>
      </c>
      <c r="H8809" s="40" t="s">
        <v>11404</v>
      </c>
    </row>
    <row r="8810">
      <c r="A8810" s="39"/>
      <c r="E8810" s="40" t="s">
        <v>11404</v>
      </c>
      <c r="F8810" s="40" t="s">
        <v>11404</v>
      </c>
      <c r="G8810" s="40" t="s">
        <v>11404</v>
      </c>
      <c r="H8810" s="40" t="s">
        <v>11404</v>
      </c>
    </row>
    <row r="8811">
      <c r="A8811" s="39"/>
      <c r="E8811" s="40" t="s">
        <v>11404</v>
      </c>
      <c r="F8811" s="40" t="s">
        <v>11404</v>
      </c>
      <c r="G8811" s="40" t="s">
        <v>11404</v>
      </c>
      <c r="H8811" s="40" t="s">
        <v>11404</v>
      </c>
    </row>
    <row r="8812">
      <c r="A8812" s="39"/>
      <c r="E8812" s="40" t="s">
        <v>11404</v>
      </c>
      <c r="F8812" s="40" t="s">
        <v>11404</v>
      </c>
      <c r="G8812" s="40" t="s">
        <v>11404</v>
      </c>
      <c r="H8812" s="40" t="s">
        <v>11404</v>
      </c>
    </row>
    <row r="8813">
      <c r="A8813" s="39"/>
      <c r="E8813" s="40" t="s">
        <v>11404</v>
      </c>
      <c r="F8813" s="40" t="s">
        <v>11404</v>
      </c>
      <c r="G8813" s="40" t="s">
        <v>11404</v>
      </c>
      <c r="H8813" s="40" t="s">
        <v>11404</v>
      </c>
    </row>
    <row r="8814">
      <c r="A8814" s="39"/>
      <c r="E8814" s="40" t="s">
        <v>11404</v>
      </c>
      <c r="F8814" s="40" t="s">
        <v>11404</v>
      </c>
      <c r="G8814" s="40" t="s">
        <v>11404</v>
      </c>
      <c r="H8814" s="40" t="s">
        <v>11404</v>
      </c>
    </row>
    <row r="8815">
      <c r="A8815" s="39"/>
      <c r="E8815" s="40" t="s">
        <v>11404</v>
      </c>
      <c r="F8815" s="40" t="s">
        <v>11404</v>
      </c>
      <c r="G8815" s="40" t="s">
        <v>11404</v>
      </c>
      <c r="H8815" s="40" t="s">
        <v>11404</v>
      </c>
    </row>
    <row r="8816">
      <c r="A8816" s="39"/>
      <c r="E8816" s="40" t="s">
        <v>11404</v>
      </c>
      <c r="F8816" s="40" t="s">
        <v>11404</v>
      </c>
      <c r="G8816" s="40" t="s">
        <v>11404</v>
      </c>
      <c r="H8816" s="40" t="s">
        <v>11404</v>
      </c>
    </row>
    <row r="8817">
      <c r="A8817" s="39"/>
      <c r="E8817" s="40" t="s">
        <v>11404</v>
      </c>
      <c r="F8817" s="40" t="s">
        <v>11404</v>
      </c>
      <c r="G8817" s="40" t="s">
        <v>11404</v>
      </c>
      <c r="H8817" s="40" t="s">
        <v>11404</v>
      </c>
    </row>
    <row r="8818">
      <c r="A8818" s="39"/>
      <c r="E8818" s="40" t="s">
        <v>11404</v>
      </c>
      <c r="F8818" s="40" t="s">
        <v>11404</v>
      </c>
      <c r="G8818" s="40" t="s">
        <v>11404</v>
      </c>
      <c r="H8818" s="40" t="s">
        <v>11404</v>
      </c>
    </row>
    <row r="8819">
      <c r="A8819" s="39"/>
      <c r="E8819" s="40" t="s">
        <v>11404</v>
      </c>
      <c r="F8819" s="40" t="s">
        <v>11404</v>
      </c>
      <c r="G8819" s="40" t="s">
        <v>11404</v>
      </c>
      <c r="H8819" s="40" t="s">
        <v>11404</v>
      </c>
    </row>
    <row r="8820">
      <c r="A8820" s="39"/>
      <c r="E8820" s="40" t="s">
        <v>11404</v>
      </c>
      <c r="F8820" s="40" t="s">
        <v>11404</v>
      </c>
      <c r="G8820" s="40" t="s">
        <v>11404</v>
      </c>
      <c r="H8820" s="40" t="s">
        <v>11404</v>
      </c>
    </row>
    <row r="8821">
      <c r="A8821" s="39"/>
      <c r="E8821" s="40" t="s">
        <v>11404</v>
      </c>
      <c r="F8821" s="40" t="s">
        <v>11404</v>
      </c>
      <c r="G8821" s="40" t="s">
        <v>11404</v>
      </c>
      <c r="H8821" s="40" t="s">
        <v>11404</v>
      </c>
    </row>
    <row r="8822">
      <c r="A8822" s="39"/>
      <c r="E8822" s="40" t="s">
        <v>11404</v>
      </c>
      <c r="F8822" s="40" t="s">
        <v>11404</v>
      </c>
      <c r="G8822" s="40" t="s">
        <v>11404</v>
      </c>
      <c r="H8822" s="40" t="s">
        <v>11404</v>
      </c>
    </row>
    <row r="8823">
      <c r="A8823" s="39"/>
      <c r="E8823" s="40" t="s">
        <v>11404</v>
      </c>
      <c r="F8823" s="40" t="s">
        <v>11404</v>
      </c>
      <c r="G8823" s="40" t="s">
        <v>11404</v>
      </c>
      <c r="H8823" s="40" t="s">
        <v>11404</v>
      </c>
    </row>
    <row r="8824">
      <c r="A8824" s="39"/>
      <c r="E8824" s="40" t="s">
        <v>11404</v>
      </c>
      <c r="F8824" s="40" t="s">
        <v>11404</v>
      </c>
      <c r="G8824" s="40" t="s">
        <v>11404</v>
      </c>
      <c r="H8824" s="40" t="s">
        <v>11404</v>
      </c>
    </row>
    <row r="8825">
      <c r="A8825" s="39"/>
      <c r="E8825" s="40" t="s">
        <v>11404</v>
      </c>
      <c r="F8825" s="40" t="s">
        <v>11404</v>
      </c>
      <c r="G8825" s="40" t="s">
        <v>11404</v>
      </c>
      <c r="H8825" s="40" t="s">
        <v>11404</v>
      </c>
    </row>
    <row r="8826">
      <c r="A8826" s="39"/>
      <c r="E8826" s="40" t="s">
        <v>11404</v>
      </c>
      <c r="F8826" s="40" t="s">
        <v>11404</v>
      </c>
      <c r="G8826" s="40" t="s">
        <v>11404</v>
      </c>
      <c r="H8826" s="40" t="s">
        <v>11404</v>
      </c>
    </row>
    <row r="8827">
      <c r="A8827" s="39"/>
      <c r="E8827" s="40" t="s">
        <v>11404</v>
      </c>
      <c r="F8827" s="40" t="s">
        <v>11404</v>
      </c>
      <c r="G8827" s="40" t="s">
        <v>11404</v>
      </c>
      <c r="H8827" s="40" t="s">
        <v>11404</v>
      </c>
    </row>
    <row r="8828">
      <c r="A8828" s="39"/>
      <c r="E8828" s="40" t="s">
        <v>11404</v>
      </c>
      <c r="F8828" s="40" t="s">
        <v>11404</v>
      </c>
      <c r="G8828" s="40" t="s">
        <v>11404</v>
      </c>
      <c r="H8828" s="40" t="s">
        <v>11404</v>
      </c>
    </row>
    <row r="8829">
      <c r="A8829" s="39"/>
      <c r="E8829" s="40" t="s">
        <v>11404</v>
      </c>
      <c r="F8829" s="40" t="s">
        <v>11404</v>
      </c>
      <c r="G8829" s="40" t="s">
        <v>11404</v>
      </c>
      <c r="H8829" s="40" t="s">
        <v>11404</v>
      </c>
    </row>
    <row r="8830">
      <c r="A8830" s="39"/>
      <c r="E8830" s="40" t="s">
        <v>11404</v>
      </c>
      <c r="F8830" s="40" t="s">
        <v>11404</v>
      </c>
      <c r="G8830" s="40" t="s">
        <v>11404</v>
      </c>
      <c r="H8830" s="40" t="s">
        <v>11404</v>
      </c>
    </row>
    <row r="8831">
      <c r="A8831" s="39"/>
      <c r="E8831" s="40" t="s">
        <v>11404</v>
      </c>
      <c r="F8831" s="40" t="s">
        <v>11404</v>
      </c>
      <c r="G8831" s="40" t="s">
        <v>11404</v>
      </c>
      <c r="H8831" s="40" t="s">
        <v>11404</v>
      </c>
    </row>
    <row r="8832">
      <c r="A8832" s="39"/>
      <c r="E8832" s="40" t="s">
        <v>11404</v>
      </c>
      <c r="F8832" s="40" t="s">
        <v>11404</v>
      </c>
      <c r="G8832" s="40" t="s">
        <v>11404</v>
      </c>
      <c r="H8832" s="40" t="s">
        <v>11404</v>
      </c>
    </row>
    <row r="8833">
      <c r="A8833" s="39"/>
      <c r="E8833" s="40" t="s">
        <v>11404</v>
      </c>
      <c r="F8833" s="40" t="s">
        <v>11404</v>
      </c>
      <c r="G8833" s="40" t="s">
        <v>11404</v>
      </c>
      <c r="H8833" s="40" t="s">
        <v>11404</v>
      </c>
    </row>
    <row r="8834">
      <c r="A8834" s="39"/>
      <c r="E8834" s="40" t="s">
        <v>11404</v>
      </c>
      <c r="F8834" s="40" t="s">
        <v>11404</v>
      </c>
      <c r="G8834" s="40" t="s">
        <v>11404</v>
      </c>
      <c r="H8834" s="40" t="s">
        <v>11404</v>
      </c>
    </row>
    <row r="8835">
      <c r="A8835" s="39"/>
      <c r="E8835" s="40" t="s">
        <v>11404</v>
      </c>
      <c r="F8835" s="40" t="s">
        <v>11404</v>
      </c>
      <c r="G8835" s="40" t="s">
        <v>11404</v>
      </c>
      <c r="H8835" s="40" t="s">
        <v>11404</v>
      </c>
    </row>
    <row r="8836">
      <c r="A8836" s="39"/>
      <c r="E8836" s="40" t="s">
        <v>11404</v>
      </c>
      <c r="F8836" s="40" t="s">
        <v>11404</v>
      </c>
      <c r="G8836" s="40" t="s">
        <v>11404</v>
      </c>
      <c r="H8836" s="40" t="s">
        <v>11404</v>
      </c>
    </row>
    <row r="8837">
      <c r="A8837" s="39"/>
      <c r="E8837" s="40" t="s">
        <v>11404</v>
      </c>
      <c r="F8837" s="40" t="s">
        <v>11404</v>
      </c>
      <c r="G8837" s="40" t="s">
        <v>11404</v>
      </c>
      <c r="H8837" s="40" t="s">
        <v>11404</v>
      </c>
    </row>
    <row r="8838">
      <c r="A8838" s="39"/>
      <c r="E8838" s="40" t="s">
        <v>11404</v>
      </c>
      <c r="F8838" s="40" t="s">
        <v>11404</v>
      </c>
      <c r="G8838" s="40" t="s">
        <v>11404</v>
      </c>
      <c r="H8838" s="40" t="s">
        <v>11404</v>
      </c>
    </row>
    <row r="8839">
      <c r="A8839" s="39"/>
      <c r="E8839" s="40" t="s">
        <v>11404</v>
      </c>
      <c r="F8839" s="40" t="s">
        <v>11404</v>
      </c>
      <c r="G8839" s="40" t="s">
        <v>11404</v>
      </c>
      <c r="H8839" s="40" t="s">
        <v>11404</v>
      </c>
    </row>
    <row r="8840">
      <c r="A8840" s="39"/>
      <c r="E8840" s="40" t="s">
        <v>11404</v>
      </c>
      <c r="F8840" s="40" t="s">
        <v>11404</v>
      </c>
      <c r="G8840" s="40" t="s">
        <v>11404</v>
      </c>
      <c r="H8840" s="40" t="s">
        <v>11404</v>
      </c>
    </row>
    <row r="8841">
      <c r="A8841" s="39"/>
      <c r="E8841" s="40" t="s">
        <v>11404</v>
      </c>
      <c r="F8841" s="40" t="s">
        <v>11404</v>
      </c>
      <c r="G8841" s="40" t="s">
        <v>11404</v>
      </c>
      <c r="H8841" s="40" t="s">
        <v>11404</v>
      </c>
    </row>
    <row r="8842">
      <c r="A8842" s="39"/>
      <c r="E8842" s="40" t="s">
        <v>11404</v>
      </c>
      <c r="F8842" s="40" t="s">
        <v>11404</v>
      </c>
      <c r="G8842" s="40" t="s">
        <v>11404</v>
      </c>
      <c r="H8842" s="40" t="s">
        <v>11404</v>
      </c>
    </row>
    <row r="8843">
      <c r="A8843" s="39"/>
      <c r="E8843" s="40" t="s">
        <v>11404</v>
      </c>
      <c r="F8843" s="40" t="s">
        <v>11404</v>
      </c>
      <c r="G8843" s="40" t="s">
        <v>11404</v>
      </c>
      <c r="H8843" s="40" t="s">
        <v>11404</v>
      </c>
    </row>
    <row r="8844">
      <c r="A8844" s="39"/>
      <c r="E8844" s="40" t="s">
        <v>11404</v>
      </c>
      <c r="F8844" s="40" t="s">
        <v>11404</v>
      </c>
      <c r="G8844" s="40" t="s">
        <v>11404</v>
      </c>
      <c r="H8844" s="40" t="s">
        <v>11404</v>
      </c>
    </row>
    <row r="8845">
      <c r="A8845" s="39"/>
      <c r="E8845" s="40" t="s">
        <v>11404</v>
      </c>
      <c r="F8845" s="40" t="s">
        <v>11404</v>
      </c>
      <c r="G8845" s="40" t="s">
        <v>11404</v>
      </c>
      <c r="H8845" s="40" t="s">
        <v>11404</v>
      </c>
    </row>
    <row r="8846">
      <c r="A8846" s="39"/>
      <c r="E8846" s="40" t="s">
        <v>11404</v>
      </c>
      <c r="F8846" s="40" t="s">
        <v>11404</v>
      </c>
      <c r="G8846" s="40" t="s">
        <v>11404</v>
      </c>
      <c r="H8846" s="40" t="s">
        <v>11404</v>
      </c>
    </row>
    <row r="8847">
      <c r="A8847" s="39"/>
      <c r="E8847" s="40" t="s">
        <v>11404</v>
      </c>
      <c r="F8847" s="40" t="s">
        <v>11404</v>
      </c>
      <c r="G8847" s="40" t="s">
        <v>11404</v>
      </c>
      <c r="H8847" s="40" t="s">
        <v>11404</v>
      </c>
    </row>
    <row r="8848">
      <c r="A8848" s="39"/>
      <c r="E8848" s="40" t="s">
        <v>11404</v>
      </c>
      <c r="F8848" s="40" t="s">
        <v>11404</v>
      </c>
      <c r="G8848" s="40" t="s">
        <v>11404</v>
      </c>
      <c r="H8848" s="40" t="s">
        <v>11404</v>
      </c>
    </row>
    <row r="8849">
      <c r="A8849" s="39"/>
      <c r="E8849" s="40" t="s">
        <v>11404</v>
      </c>
      <c r="F8849" s="40" t="s">
        <v>11404</v>
      </c>
      <c r="G8849" s="40" t="s">
        <v>11404</v>
      </c>
      <c r="H8849" s="40" t="s">
        <v>11404</v>
      </c>
    </row>
    <row r="8850">
      <c r="A8850" s="39"/>
      <c r="E8850" s="40" t="s">
        <v>11404</v>
      </c>
      <c r="F8850" s="40" t="s">
        <v>11404</v>
      </c>
      <c r="G8850" s="40" t="s">
        <v>11404</v>
      </c>
      <c r="H8850" s="40" t="s">
        <v>11404</v>
      </c>
    </row>
    <row r="8851">
      <c r="A8851" s="39"/>
      <c r="E8851" s="40" t="s">
        <v>11404</v>
      </c>
      <c r="F8851" s="40" t="s">
        <v>11404</v>
      </c>
      <c r="G8851" s="40" t="s">
        <v>11404</v>
      </c>
      <c r="H8851" s="40" t="s">
        <v>11404</v>
      </c>
    </row>
    <row r="8852">
      <c r="A8852" s="39"/>
      <c r="E8852" s="40" t="s">
        <v>11404</v>
      </c>
      <c r="F8852" s="40" t="s">
        <v>11404</v>
      </c>
      <c r="G8852" s="40" t="s">
        <v>11404</v>
      </c>
      <c r="H8852" s="40" t="s">
        <v>11404</v>
      </c>
    </row>
    <row r="8853">
      <c r="A8853" s="39"/>
      <c r="E8853" s="40" t="s">
        <v>11404</v>
      </c>
      <c r="F8853" s="40" t="s">
        <v>11404</v>
      </c>
      <c r="G8853" s="40" t="s">
        <v>11404</v>
      </c>
      <c r="H8853" s="40" t="s">
        <v>11404</v>
      </c>
    </row>
    <row r="8854">
      <c r="A8854" s="39"/>
      <c r="E8854" s="40" t="s">
        <v>11404</v>
      </c>
      <c r="F8854" s="40" t="s">
        <v>11404</v>
      </c>
      <c r="G8854" s="40" t="s">
        <v>11404</v>
      </c>
      <c r="H8854" s="40" t="s">
        <v>11404</v>
      </c>
    </row>
    <row r="8855">
      <c r="A8855" s="39"/>
      <c r="E8855" s="40" t="s">
        <v>11404</v>
      </c>
      <c r="F8855" s="40" t="s">
        <v>11404</v>
      </c>
      <c r="G8855" s="40" t="s">
        <v>11404</v>
      </c>
      <c r="H8855" s="40" t="s">
        <v>11404</v>
      </c>
    </row>
    <row r="8856">
      <c r="A8856" s="39"/>
      <c r="E8856" s="40" t="s">
        <v>11404</v>
      </c>
      <c r="F8856" s="40" t="s">
        <v>11404</v>
      </c>
      <c r="G8856" s="40" t="s">
        <v>11404</v>
      </c>
      <c r="H8856" s="40" t="s">
        <v>11404</v>
      </c>
    </row>
    <row r="8857">
      <c r="A8857" s="39"/>
      <c r="E8857" s="40" t="s">
        <v>11404</v>
      </c>
      <c r="F8857" s="40" t="s">
        <v>11404</v>
      </c>
      <c r="G8857" s="40" t="s">
        <v>11404</v>
      </c>
      <c r="H8857" s="40" t="s">
        <v>11404</v>
      </c>
    </row>
    <row r="8858">
      <c r="A8858" s="39"/>
      <c r="E8858" s="40" t="s">
        <v>11404</v>
      </c>
      <c r="F8858" s="40" t="s">
        <v>11404</v>
      </c>
      <c r="G8858" s="40" t="s">
        <v>11404</v>
      </c>
      <c r="H8858" s="40" t="s">
        <v>11404</v>
      </c>
    </row>
    <row r="8859">
      <c r="A8859" s="39"/>
      <c r="E8859" s="40" t="s">
        <v>11404</v>
      </c>
      <c r="F8859" s="40" t="s">
        <v>11404</v>
      </c>
      <c r="G8859" s="40" t="s">
        <v>11404</v>
      </c>
      <c r="H8859" s="40" t="s">
        <v>11404</v>
      </c>
    </row>
    <row r="8860">
      <c r="A8860" s="39"/>
      <c r="E8860" s="40" t="s">
        <v>11404</v>
      </c>
      <c r="F8860" s="40" t="s">
        <v>11404</v>
      </c>
      <c r="G8860" s="40" t="s">
        <v>11404</v>
      </c>
      <c r="H8860" s="40" t="s">
        <v>11404</v>
      </c>
    </row>
    <row r="8861">
      <c r="A8861" s="39"/>
      <c r="E8861" s="40" t="s">
        <v>11404</v>
      </c>
      <c r="F8861" s="40" t="s">
        <v>11404</v>
      </c>
      <c r="G8861" s="40" t="s">
        <v>11404</v>
      </c>
      <c r="H8861" s="40" t="s">
        <v>11404</v>
      </c>
    </row>
    <row r="8862">
      <c r="A8862" s="39"/>
      <c r="E8862" s="40" t="s">
        <v>11404</v>
      </c>
      <c r="F8862" s="40" t="s">
        <v>11404</v>
      </c>
      <c r="G8862" s="40" t="s">
        <v>11404</v>
      </c>
      <c r="H8862" s="40" t="s">
        <v>11404</v>
      </c>
    </row>
    <row r="8863">
      <c r="A8863" s="39"/>
      <c r="E8863" s="40" t="s">
        <v>11404</v>
      </c>
      <c r="F8863" s="40" t="s">
        <v>11404</v>
      </c>
      <c r="G8863" s="40" t="s">
        <v>11404</v>
      </c>
      <c r="H8863" s="40" t="s">
        <v>11404</v>
      </c>
    </row>
    <row r="8864">
      <c r="A8864" s="39"/>
      <c r="E8864" s="40" t="s">
        <v>11404</v>
      </c>
      <c r="F8864" s="40" t="s">
        <v>11404</v>
      </c>
      <c r="G8864" s="40" t="s">
        <v>11404</v>
      </c>
      <c r="H8864" s="40" t="s">
        <v>11404</v>
      </c>
    </row>
    <row r="8865">
      <c r="A8865" s="39"/>
      <c r="E8865" s="40" t="s">
        <v>11404</v>
      </c>
      <c r="F8865" s="40" t="s">
        <v>11404</v>
      </c>
      <c r="G8865" s="40" t="s">
        <v>11404</v>
      </c>
      <c r="H8865" s="40" t="s">
        <v>11404</v>
      </c>
    </row>
    <row r="8866">
      <c r="A8866" s="39"/>
      <c r="E8866" s="40" t="s">
        <v>11404</v>
      </c>
      <c r="F8866" s="40" t="s">
        <v>11404</v>
      </c>
      <c r="G8866" s="40" t="s">
        <v>11404</v>
      </c>
      <c r="H8866" s="40" t="s">
        <v>11404</v>
      </c>
    </row>
    <row r="8867">
      <c r="A8867" s="39"/>
      <c r="E8867" s="40" t="s">
        <v>11404</v>
      </c>
      <c r="F8867" s="40" t="s">
        <v>11404</v>
      </c>
      <c r="G8867" s="40" t="s">
        <v>11404</v>
      </c>
      <c r="H8867" s="40" t="s">
        <v>11404</v>
      </c>
    </row>
    <row r="8868">
      <c r="A8868" s="39"/>
      <c r="E8868" s="40" t="s">
        <v>11404</v>
      </c>
      <c r="F8868" s="40" t="s">
        <v>11404</v>
      </c>
      <c r="G8868" s="40" t="s">
        <v>11404</v>
      </c>
      <c r="H8868" s="40" t="s">
        <v>11404</v>
      </c>
    </row>
    <row r="8869">
      <c r="A8869" s="39"/>
      <c r="E8869" s="40" t="s">
        <v>11404</v>
      </c>
      <c r="F8869" s="40" t="s">
        <v>11404</v>
      </c>
      <c r="G8869" s="40" t="s">
        <v>11404</v>
      </c>
      <c r="H8869" s="40" t="s">
        <v>11404</v>
      </c>
    </row>
    <row r="8870">
      <c r="A8870" s="39"/>
      <c r="E8870" s="40" t="s">
        <v>11404</v>
      </c>
      <c r="F8870" s="40" t="s">
        <v>11404</v>
      </c>
      <c r="G8870" s="40" t="s">
        <v>11404</v>
      </c>
      <c r="H8870" s="40" t="s">
        <v>11404</v>
      </c>
    </row>
    <row r="8871">
      <c r="A8871" s="39"/>
      <c r="E8871" s="40" t="s">
        <v>11404</v>
      </c>
      <c r="F8871" s="40" t="s">
        <v>11404</v>
      </c>
      <c r="G8871" s="40" t="s">
        <v>11404</v>
      </c>
      <c r="H8871" s="40" t="s">
        <v>11404</v>
      </c>
    </row>
    <row r="8872">
      <c r="A8872" s="39"/>
      <c r="E8872" s="40" t="s">
        <v>11404</v>
      </c>
      <c r="F8872" s="40" t="s">
        <v>11404</v>
      </c>
      <c r="G8872" s="40" t="s">
        <v>11404</v>
      </c>
      <c r="H8872" s="40" t="s">
        <v>11404</v>
      </c>
    </row>
    <row r="8873">
      <c r="A8873" s="39"/>
      <c r="E8873" s="40" t="s">
        <v>11404</v>
      </c>
      <c r="F8873" s="40" t="s">
        <v>11404</v>
      </c>
      <c r="G8873" s="40" t="s">
        <v>11404</v>
      </c>
      <c r="H8873" s="40" t="s">
        <v>11404</v>
      </c>
    </row>
    <row r="8874">
      <c r="A8874" s="39"/>
      <c r="E8874" s="40" t="s">
        <v>11404</v>
      </c>
      <c r="F8874" s="40" t="s">
        <v>11404</v>
      </c>
      <c r="G8874" s="40" t="s">
        <v>11404</v>
      </c>
      <c r="H8874" s="40" t="s">
        <v>11404</v>
      </c>
    </row>
    <row r="8875">
      <c r="A8875" s="39"/>
      <c r="E8875" s="40" t="s">
        <v>11404</v>
      </c>
      <c r="F8875" s="40" t="s">
        <v>11404</v>
      </c>
      <c r="G8875" s="40" t="s">
        <v>11404</v>
      </c>
      <c r="H8875" s="40" t="s">
        <v>11404</v>
      </c>
    </row>
    <row r="8876">
      <c r="A8876" s="39"/>
      <c r="E8876" s="40" t="s">
        <v>11404</v>
      </c>
      <c r="F8876" s="40" t="s">
        <v>11404</v>
      </c>
      <c r="G8876" s="40" t="s">
        <v>11404</v>
      </c>
      <c r="H8876" s="40" t="s">
        <v>11404</v>
      </c>
    </row>
    <row r="8877">
      <c r="A8877" s="39"/>
      <c r="E8877" s="40" t="s">
        <v>11404</v>
      </c>
      <c r="F8877" s="40" t="s">
        <v>11404</v>
      </c>
      <c r="G8877" s="40" t="s">
        <v>11404</v>
      </c>
      <c r="H8877" s="40" t="s">
        <v>11404</v>
      </c>
    </row>
    <row r="8878">
      <c r="A8878" s="39"/>
      <c r="E8878" s="40" t="s">
        <v>11404</v>
      </c>
      <c r="F8878" s="40" t="s">
        <v>11404</v>
      </c>
      <c r="G8878" s="40" t="s">
        <v>11404</v>
      </c>
      <c r="H8878" s="40" t="s">
        <v>11404</v>
      </c>
    </row>
    <row r="8879">
      <c r="A8879" s="39"/>
      <c r="E8879" s="40" t="s">
        <v>11404</v>
      </c>
      <c r="F8879" s="40" t="s">
        <v>11404</v>
      </c>
      <c r="G8879" s="40" t="s">
        <v>11404</v>
      </c>
      <c r="H8879" s="40" t="s">
        <v>11404</v>
      </c>
    </row>
    <row r="8880">
      <c r="A8880" s="39"/>
      <c r="E8880" s="40" t="s">
        <v>11404</v>
      </c>
      <c r="F8880" s="40" t="s">
        <v>11404</v>
      </c>
      <c r="G8880" s="40" t="s">
        <v>11404</v>
      </c>
      <c r="H8880" s="40" t="s">
        <v>11404</v>
      </c>
    </row>
    <row r="8881">
      <c r="A8881" s="39"/>
      <c r="E8881" s="40" t="s">
        <v>11404</v>
      </c>
      <c r="F8881" s="40" t="s">
        <v>11404</v>
      </c>
      <c r="G8881" s="40" t="s">
        <v>11404</v>
      </c>
      <c r="H8881" s="40" t="s">
        <v>11404</v>
      </c>
    </row>
    <row r="8882">
      <c r="A8882" s="39"/>
      <c r="E8882" s="40" t="s">
        <v>11404</v>
      </c>
      <c r="F8882" s="40" t="s">
        <v>11404</v>
      </c>
      <c r="G8882" s="40" t="s">
        <v>11404</v>
      </c>
      <c r="H8882" s="40" t="s">
        <v>11404</v>
      </c>
    </row>
    <row r="8883">
      <c r="A8883" s="39"/>
      <c r="E8883" s="40" t="s">
        <v>11404</v>
      </c>
      <c r="F8883" s="40" t="s">
        <v>11404</v>
      </c>
      <c r="G8883" s="40" t="s">
        <v>11404</v>
      </c>
      <c r="H8883" s="40" t="s">
        <v>11404</v>
      </c>
    </row>
    <row r="8884">
      <c r="A8884" s="39"/>
      <c r="E8884" s="40" t="s">
        <v>11404</v>
      </c>
      <c r="F8884" s="40" t="s">
        <v>11404</v>
      </c>
      <c r="G8884" s="40" t="s">
        <v>11404</v>
      </c>
      <c r="H8884" s="40" t="s">
        <v>11404</v>
      </c>
    </row>
    <row r="8885">
      <c r="A8885" s="39"/>
      <c r="E8885" s="40" t="s">
        <v>11404</v>
      </c>
      <c r="F8885" s="40" t="s">
        <v>11404</v>
      </c>
      <c r="G8885" s="40" t="s">
        <v>11404</v>
      </c>
      <c r="H8885" s="40" t="s">
        <v>11404</v>
      </c>
    </row>
    <row r="8886">
      <c r="A8886" s="39"/>
      <c r="E8886" s="40" t="s">
        <v>11404</v>
      </c>
      <c r="F8886" s="40" t="s">
        <v>11404</v>
      </c>
      <c r="G8886" s="40" t="s">
        <v>11404</v>
      </c>
      <c r="H8886" s="40" t="s">
        <v>11404</v>
      </c>
    </row>
    <row r="8887">
      <c r="A8887" s="39"/>
      <c r="E8887" s="40" t="s">
        <v>11404</v>
      </c>
      <c r="F8887" s="40" t="s">
        <v>11404</v>
      </c>
      <c r="G8887" s="40" t="s">
        <v>11404</v>
      </c>
      <c r="H8887" s="40" t="s">
        <v>11404</v>
      </c>
    </row>
    <row r="8888">
      <c r="A8888" s="39"/>
      <c r="E8888" s="40" t="s">
        <v>11404</v>
      </c>
      <c r="F8888" s="40" t="s">
        <v>11404</v>
      </c>
      <c r="G8888" s="40" t="s">
        <v>11404</v>
      </c>
      <c r="H8888" s="40" t="s">
        <v>11404</v>
      </c>
    </row>
    <row r="8889">
      <c r="A8889" s="39"/>
      <c r="E8889" s="40" t="s">
        <v>11404</v>
      </c>
      <c r="F8889" s="40" t="s">
        <v>11404</v>
      </c>
      <c r="G8889" s="40" t="s">
        <v>11404</v>
      </c>
      <c r="H8889" s="40" t="s">
        <v>11404</v>
      </c>
    </row>
    <row r="8890">
      <c r="A8890" s="39"/>
      <c r="E8890" s="40" t="s">
        <v>11404</v>
      </c>
      <c r="F8890" s="40" t="s">
        <v>11404</v>
      </c>
      <c r="G8890" s="40" t="s">
        <v>11404</v>
      </c>
      <c r="H8890" s="40" t="s">
        <v>11404</v>
      </c>
    </row>
    <row r="8891">
      <c r="A8891" s="39"/>
      <c r="E8891" s="40" t="s">
        <v>11404</v>
      </c>
      <c r="F8891" s="40" t="s">
        <v>11404</v>
      </c>
      <c r="G8891" s="40" t="s">
        <v>11404</v>
      </c>
      <c r="H8891" s="40" t="s">
        <v>11404</v>
      </c>
    </row>
    <row r="8892">
      <c r="A8892" s="39"/>
      <c r="E8892" s="40" t="s">
        <v>11404</v>
      </c>
      <c r="F8892" s="40" t="s">
        <v>11404</v>
      </c>
      <c r="G8892" s="40" t="s">
        <v>11404</v>
      </c>
      <c r="H8892" s="40" t="s">
        <v>11404</v>
      </c>
    </row>
    <row r="8893">
      <c r="A8893" s="39"/>
      <c r="E8893" s="40" t="s">
        <v>11404</v>
      </c>
      <c r="F8893" s="40" t="s">
        <v>11404</v>
      </c>
      <c r="G8893" s="40" t="s">
        <v>11404</v>
      </c>
      <c r="H8893" s="40" t="s">
        <v>11404</v>
      </c>
    </row>
    <row r="8894">
      <c r="A8894" s="39"/>
      <c r="E8894" s="40" t="s">
        <v>11404</v>
      </c>
      <c r="F8894" s="40" t="s">
        <v>11404</v>
      </c>
      <c r="G8894" s="40" t="s">
        <v>11404</v>
      </c>
      <c r="H8894" s="40" t="s">
        <v>11404</v>
      </c>
    </row>
    <row r="8895">
      <c r="A8895" s="39"/>
      <c r="E8895" s="40" t="s">
        <v>11404</v>
      </c>
      <c r="F8895" s="40" t="s">
        <v>11404</v>
      </c>
      <c r="G8895" s="40" t="s">
        <v>11404</v>
      </c>
      <c r="H8895" s="40" t="s">
        <v>11404</v>
      </c>
    </row>
    <row r="8896">
      <c r="A8896" s="39"/>
      <c r="E8896" s="40" t="s">
        <v>11404</v>
      </c>
      <c r="F8896" s="40" t="s">
        <v>11404</v>
      </c>
      <c r="G8896" s="40" t="s">
        <v>11404</v>
      </c>
      <c r="H8896" s="40" t="s">
        <v>11404</v>
      </c>
    </row>
    <row r="8897">
      <c r="A8897" s="39"/>
      <c r="E8897" s="40" t="s">
        <v>11404</v>
      </c>
      <c r="F8897" s="40" t="s">
        <v>11404</v>
      </c>
      <c r="G8897" s="40" t="s">
        <v>11404</v>
      </c>
      <c r="H8897" s="40" t="s">
        <v>11404</v>
      </c>
    </row>
    <row r="8898">
      <c r="A8898" s="39"/>
      <c r="E8898" s="40" t="s">
        <v>11404</v>
      </c>
      <c r="F8898" s="40" t="s">
        <v>11404</v>
      </c>
      <c r="G8898" s="40" t="s">
        <v>11404</v>
      </c>
      <c r="H8898" s="40" t="s">
        <v>11404</v>
      </c>
    </row>
    <row r="8899">
      <c r="A8899" s="39"/>
      <c r="E8899" s="40" t="s">
        <v>11404</v>
      </c>
      <c r="F8899" s="40" t="s">
        <v>11404</v>
      </c>
      <c r="G8899" s="40" t="s">
        <v>11404</v>
      </c>
      <c r="H8899" s="40" t="s">
        <v>11404</v>
      </c>
    </row>
    <row r="8900">
      <c r="A8900" s="39"/>
      <c r="E8900" s="40" t="s">
        <v>11404</v>
      </c>
      <c r="F8900" s="40" t="s">
        <v>11404</v>
      </c>
      <c r="G8900" s="40" t="s">
        <v>11404</v>
      </c>
      <c r="H8900" s="40" t="s">
        <v>11404</v>
      </c>
    </row>
    <row r="8901">
      <c r="A8901" s="39"/>
      <c r="E8901" s="40" t="s">
        <v>11404</v>
      </c>
      <c r="F8901" s="40" t="s">
        <v>11404</v>
      </c>
      <c r="G8901" s="40" t="s">
        <v>11404</v>
      </c>
      <c r="H8901" s="40" t="s">
        <v>11404</v>
      </c>
    </row>
    <row r="8902">
      <c r="A8902" s="39"/>
      <c r="E8902" s="40" t="s">
        <v>11404</v>
      </c>
      <c r="F8902" s="40" t="s">
        <v>11404</v>
      </c>
      <c r="G8902" s="40" t="s">
        <v>11404</v>
      </c>
      <c r="H8902" s="40" t="s">
        <v>11404</v>
      </c>
    </row>
    <row r="8903">
      <c r="A8903" s="39"/>
      <c r="E8903" s="40" t="s">
        <v>11404</v>
      </c>
      <c r="F8903" s="40" t="s">
        <v>11404</v>
      </c>
      <c r="G8903" s="40" t="s">
        <v>11404</v>
      </c>
      <c r="H8903" s="40" t="s">
        <v>11404</v>
      </c>
    </row>
    <row r="8904">
      <c r="A8904" s="39"/>
      <c r="E8904" s="40" t="s">
        <v>11404</v>
      </c>
      <c r="F8904" s="40" t="s">
        <v>11404</v>
      </c>
      <c r="G8904" s="40" t="s">
        <v>11404</v>
      </c>
      <c r="H8904" s="40" t="s">
        <v>11404</v>
      </c>
    </row>
    <row r="8905">
      <c r="A8905" s="39"/>
      <c r="E8905" s="40" t="s">
        <v>11404</v>
      </c>
      <c r="F8905" s="40" t="s">
        <v>11404</v>
      </c>
      <c r="G8905" s="40" t="s">
        <v>11404</v>
      </c>
      <c r="H8905" s="40" t="s">
        <v>11404</v>
      </c>
    </row>
    <row r="8906">
      <c r="A8906" s="39"/>
      <c r="E8906" s="40" t="s">
        <v>11404</v>
      </c>
      <c r="F8906" s="40" t="s">
        <v>11404</v>
      </c>
      <c r="G8906" s="40" t="s">
        <v>11404</v>
      </c>
      <c r="H8906" s="40" t="s">
        <v>11404</v>
      </c>
    </row>
    <row r="8907">
      <c r="A8907" s="39"/>
      <c r="E8907" s="40" t="s">
        <v>11404</v>
      </c>
      <c r="F8907" s="40" t="s">
        <v>11404</v>
      </c>
      <c r="G8907" s="40" t="s">
        <v>11404</v>
      </c>
      <c r="H8907" s="40" t="s">
        <v>11404</v>
      </c>
    </row>
    <row r="8908">
      <c r="A8908" s="39"/>
      <c r="E8908" s="40" t="s">
        <v>11404</v>
      </c>
      <c r="F8908" s="40" t="s">
        <v>11404</v>
      </c>
      <c r="G8908" s="40" t="s">
        <v>11404</v>
      </c>
      <c r="H8908" s="40" t="s">
        <v>11404</v>
      </c>
    </row>
    <row r="8909">
      <c r="A8909" s="39"/>
      <c r="E8909" s="40" t="s">
        <v>11404</v>
      </c>
      <c r="F8909" s="40" t="s">
        <v>11404</v>
      </c>
      <c r="G8909" s="40" t="s">
        <v>11404</v>
      </c>
      <c r="H8909" s="40" t="s">
        <v>11404</v>
      </c>
    </row>
    <row r="8910">
      <c r="A8910" s="39"/>
      <c r="E8910" s="40" t="s">
        <v>11404</v>
      </c>
      <c r="F8910" s="40" t="s">
        <v>11404</v>
      </c>
      <c r="G8910" s="40" t="s">
        <v>11404</v>
      </c>
      <c r="H8910" s="40" t="s">
        <v>11404</v>
      </c>
    </row>
    <row r="8911">
      <c r="A8911" s="39"/>
      <c r="E8911" s="40" t="s">
        <v>11404</v>
      </c>
      <c r="F8911" s="40" t="s">
        <v>11404</v>
      </c>
      <c r="G8911" s="40" t="s">
        <v>11404</v>
      </c>
      <c r="H8911" s="40" t="s">
        <v>11404</v>
      </c>
    </row>
    <row r="8912">
      <c r="A8912" s="39"/>
      <c r="E8912" s="40" t="s">
        <v>11404</v>
      </c>
      <c r="F8912" s="40" t="s">
        <v>11404</v>
      </c>
      <c r="G8912" s="40" t="s">
        <v>11404</v>
      </c>
      <c r="H8912" s="40" t="s">
        <v>11404</v>
      </c>
    </row>
    <row r="8913">
      <c r="A8913" s="39"/>
      <c r="E8913" s="40" t="s">
        <v>11404</v>
      </c>
      <c r="F8913" s="40" t="s">
        <v>11404</v>
      </c>
      <c r="G8913" s="40" t="s">
        <v>11404</v>
      </c>
      <c r="H8913" s="40" t="s">
        <v>11404</v>
      </c>
    </row>
    <row r="8914">
      <c r="A8914" s="39"/>
      <c r="E8914" s="40" t="s">
        <v>11404</v>
      </c>
      <c r="F8914" s="40" t="s">
        <v>11404</v>
      </c>
      <c r="G8914" s="40" t="s">
        <v>11404</v>
      </c>
      <c r="H8914" s="40" t="s">
        <v>11404</v>
      </c>
    </row>
    <row r="8915">
      <c r="A8915" s="39"/>
      <c r="E8915" s="40" t="s">
        <v>11404</v>
      </c>
      <c r="F8915" s="40" t="s">
        <v>11404</v>
      </c>
      <c r="G8915" s="40" t="s">
        <v>11404</v>
      </c>
      <c r="H8915" s="40" t="s">
        <v>11404</v>
      </c>
    </row>
    <row r="8916">
      <c r="A8916" s="39"/>
      <c r="E8916" s="40" t="s">
        <v>11404</v>
      </c>
      <c r="F8916" s="40" t="s">
        <v>11404</v>
      </c>
      <c r="G8916" s="40" t="s">
        <v>11404</v>
      </c>
      <c r="H8916" s="40" t="s">
        <v>11404</v>
      </c>
    </row>
    <row r="8917">
      <c r="A8917" s="39"/>
      <c r="E8917" s="40" t="s">
        <v>11404</v>
      </c>
      <c r="F8917" s="40" t="s">
        <v>11404</v>
      </c>
      <c r="G8917" s="40" t="s">
        <v>11404</v>
      </c>
      <c r="H8917" s="40" t="s">
        <v>11404</v>
      </c>
    </row>
    <row r="8918">
      <c r="A8918" s="39"/>
      <c r="E8918" s="40" t="s">
        <v>11404</v>
      </c>
      <c r="F8918" s="40" t="s">
        <v>11404</v>
      </c>
      <c r="G8918" s="40" t="s">
        <v>11404</v>
      </c>
      <c r="H8918" s="40" t="s">
        <v>11404</v>
      </c>
    </row>
    <row r="8919">
      <c r="A8919" s="39"/>
      <c r="E8919" s="40" t="s">
        <v>11404</v>
      </c>
      <c r="F8919" s="40" t="s">
        <v>11404</v>
      </c>
      <c r="G8919" s="40" t="s">
        <v>11404</v>
      </c>
      <c r="H8919" s="40" t="s">
        <v>11404</v>
      </c>
    </row>
    <row r="8920">
      <c r="A8920" s="39"/>
      <c r="E8920" s="40" t="s">
        <v>11404</v>
      </c>
      <c r="F8920" s="40" t="s">
        <v>11404</v>
      </c>
      <c r="G8920" s="40" t="s">
        <v>11404</v>
      </c>
      <c r="H8920" s="40" t="s">
        <v>11404</v>
      </c>
    </row>
    <row r="8921">
      <c r="A8921" s="39"/>
      <c r="E8921" s="40" t="s">
        <v>11404</v>
      </c>
      <c r="F8921" s="40" t="s">
        <v>11404</v>
      </c>
      <c r="G8921" s="40" t="s">
        <v>11404</v>
      </c>
      <c r="H8921" s="40" t="s">
        <v>11404</v>
      </c>
    </row>
    <row r="8922">
      <c r="A8922" s="39"/>
      <c r="E8922" s="40" t="s">
        <v>11404</v>
      </c>
      <c r="F8922" s="40" t="s">
        <v>11404</v>
      </c>
      <c r="G8922" s="40" t="s">
        <v>11404</v>
      </c>
      <c r="H8922" s="40" t="s">
        <v>11404</v>
      </c>
    </row>
    <row r="8923">
      <c r="A8923" s="39"/>
      <c r="E8923" s="40" t="s">
        <v>11404</v>
      </c>
      <c r="F8923" s="40" t="s">
        <v>11404</v>
      </c>
      <c r="G8923" s="40" t="s">
        <v>11404</v>
      </c>
      <c r="H8923" s="40" t="s">
        <v>11404</v>
      </c>
    </row>
    <row r="8924">
      <c r="A8924" s="39"/>
      <c r="E8924" s="40" t="s">
        <v>11404</v>
      </c>
      <c r="F8924" s="40" t="s">
        <v>11404</v>
      </c>
      <c r="G8924" s="40" t="s">
        <v>11404</v>
      </c>
      <c r="H8924" s="40" t="s">
        <v>11404</v>
      </c>
    </row>
    <row r="8925">
      <c r="A8925" s="39"/>
      <c r="E8925" s="40" t="s">
        <v>11404</v>
      </c>
      <c r="F8925" s="40" t="s">
        <v>11404</v>
      </c>
      <c r="G8925" s="40" t="s">
        <v>11404</v>
      </c>
      <c r="H8925" s="40" t="s">
        <v>11404</v>
      </c>
    </row>
    <row r="8926">
      <c r="A8926" s="39"/>
      <c r="E8926" s="40" t="s">
        <v>11404</v>
      </c>
      <c r="F8926" s="40" t="s">
        <v>11404</v>
      </c>
      <c r="G8926" s="40" t="s">
        <v>11404</v>
      </c>
      <c r="H8926" s="40" t="s">
        <v>11404</v>
      </c>
    </row>
    <row r="8927">
      <c r="A8927" s="39"/>
      <c r="E8927" s="40" t="s">
        <v>11404</v>
      </c>
      <c r="F8927" s="40" t="s">
        <v>11404</v>
      </c>
      <c r="G8927" s="40" t="s">
        <v>11404</v>
      </c>
      <c r="H8927" s="40" t="s">
        <v>11404</v>
      </c>
    </row>
    <row r="8928">
      <c r="A8928" s="39"/>
      <c r="E8928" s="40" t="s">
        <v>11404</v>
      </c>
      <c r="F8928" s="40" t="s">
        <v>11404</v>
      </c>
      <c r="G8928" s="40" t="s">
        <v>11404</v>
      </c>
      <c r="H8928" s="40" t="s">
        <v>11404</v>
      </c>
    </row>
    <row r="8929">
      <c r="A8929" s="39"/>
      <c r="E8929" s="40" t="s">
        <v>11404</v>
      </c>
      <c r="F8929" s="40" t="s">
        <v>11404</v>
      </c>
      <c r="G8929" s="40" t="s">
        <v>11404</v>
      </c>
      <c r="H8929" s="40" t="s">
        <v>11404</v>
      </c>
    </row>
    <row r="8930">
      <c r="A8930" s="39"/>
      <c r="E8930" s="40" t="s">
        <v>11404</v>
      </c>
      <c r="F8930" s="40" t="s">
        <v>11404</v>
      </c>
      <c r="G8930" s="40" t="s">
        <v>11404</v>
      </c>
      <c r="H8930" s="40" t="s">
        <v>11404</v>
      </c>
    </row>
    <row r="8931">
      <c r="A8931" s="39"/>
      <c r="E8931" s="40" t="s">
        <v>11404</v>
      </c>
      <c r="F8931" s="40" t="s">
        <v>11404</v>
      </c>
      <c r="G8931" s="40" t="s">
        <v>11404</v>
      </c>
      <c r="H8931" s="40" t="s">
        <v>11404</v>
      </c>
    </row>
    <row r="8932">
      <c r="A8932" s="39"/>
      <c r="E8932" s="40" t="s">
        <v>11404</v>
      </c>
      <c r="F8932" s="40" t="s">
        <v>11404</v>
      </c>
      <c r="G8932" s="40" t="s">
        <v>11404</v>
      </c>
      <c r="H8932" s="40" t="s">
        <v>11404</v>
      </c>
    </row>
    <row r="8933">
      <c r="A8933" s="39"/>
      <c r="E8933" s="40" t="s">
        <v>11404</v>
      </c>
      <c r="F8933" s="40" t="s">
        <v>11404</v>
      </c>
      <c r="G8933" s="40" t="s">
        <v>11404</v>
      </c>
      <c r="H8933" s="40" t="s">
        <v>11404</v>
      </c>
    </row>
    <row r="8934">
      <c r="A8934" s="39"/>
      <c r="E8934" s="40" t="s">
        <v>11404</v>
      </c>
      <c r="F8934" s="40" t="s">
        <v>11404</v>
      </c>
      <c r="G8934" s="40" t="s">
        <v>11404</v>
      </c>
      <c r="H8934" s="40" t="s">
        <v>11404</v>
      </c>
    </row>
    <row r="8935">
      <c r="A8935" s="39"/>
      <c r="E8935" s="40" t="s">
        <v>11404</v>
      </c>
      <c r="F8935" s="40" t="s">
        <v>11404</v>
      </c>
      <c r="G8935" s="40" t="s">
        <v>11404</v>
      </c>
      <c r="H8935" s="40" t="s">
        <v>11404</v>
      </c>
    </row>
    <row r="8936">
      <c r="A8936" s="39"/>
      <c r="E8936" s="40" t="s">
        <v>11404</v>
      </c>
      <c r="F8936" s="40" t="s">
        <v>11404</v>
      </c>
      <c r="G8936" s="40" t="s">
        <v>11404</v>
      </c>
      <c r="H8936" s="40" t="s">
        <v>11404</v>
      </c>
    </row>
    <row r="8937">
      <c r="A8937" s="39"/>
      <c r="E8937" s="40" t="s">
        <v>11404</v>
      </c>
      <c r="F8937" s="40" t="s">
        <v>11404</v>
      </c>
      <c r="G8937" s="40" t="s">
        <v>11404</v>
      </c>
      <c r="H8937" s="40" t="s">
        <v>11404</v>
      </c>
    </row>
    <row r="8938">
      <c r="A8938" s="39"/>
      <c r="E8938" s="40" t="s">
        <v>11404</v>
      </c>
      <c r="F8938" s="40" t="s">
        <v>11404</v>
      </c>
      <c r="G8938" s="40" t="s">
        <v>11404</v>
      </c>
      <c r="H8938" s="40" t="s">
        <v>11404</v>
      </c>
    </row>
    <row r="8939">
      <c r="A8939" s="39"/>
      <c r="E8939" s="40" t="s">
        <v>11404</v>
      </c>
      <c r="F8939" s="40" t="s">
        <v>11404</v>
      </c>
      <c r="G8939" s="40" t="s">
        <v>11404</v>
      </c>
      <c r="H8939" s="40" t="s">
        <v>11404</v>
      </c>
    </row>
    <row r="8940">
      <c r="A8940" s="39"/>
      <c r="E8940" s="40" t="s">
        <v>11404</v>
      </c>
      <c r="F8940" s="40" t="s">
        <v>11404</v>
      </c>
      <c r="G8940" s="40" t="s">
        <v>11404</v>
      </c>
      <c r="H8940" s="40" t="s">
        <v>11404</v>
      </c>
    </row>
    <row r="8941">
      <c r="A8941" s="39"/>
      <c r="E8941" s="40" t="s">
        <v>11404</v>
      </c>
      <c r="F8941" s="40" t="s">
        <v>11404</v>
      </c>
      <c r="G8941" s="40" t="s">
        <v>11404</v>
      </c>
      <c r="H8941" s="40" t="s">
        <v>11404</v>
      </c>
    </row>
    <row r="8942">
      <c r="A8942" s="39"/>
      <c r="E8942" s="40" t="s">
        <v>11404</v>
      </c>
      <c r="F8942" s="40" t="s">
        <v>11404</v>
      </c>
      <c r="G8942" s="40" t="s">
        <v>11404</v>
      </c>
      <c r="H8942" s="40" t="s">
        <v>11404</v>
      </c>
    </row>
    <row r="8943">
      <c r="A8943" s="39"/>
      <c r="E8943" s="40" t="s">
        <v>11404</v>
      </c>
      <c r="F8943" s="40" t="s">
        <v>11404</v>
      </c>
      <c r="G8943" s="40" t="s">
        <v>11404</v>
      </c>
      <c r="H8943" s="40" t="s">
        <v>11404</v>
      </c>
    </row>
    <row r="8944">
      <c r="A8944" s="39"/>
      <c r="E8944" s="40" t="s">
        <v>11404</v>
      </c>
      <c r="F8944" s="40" t="s">
        <v>11404</v>
      </c>
      <c r="G8944" s="40" t="s">
        <v>11404</v>
      </c>
      <c r="H8944" s="40" t="s">
        <v>11404</v>
      </c>
    </row>
    <row r="8945">
      <c r="A8945" s="39"/>
      <c r="E8945" s="40" t="s">
        <v>11404</v>
      </c>
      <c r="F8945" s="40" t="s">
        <v>11404</v>
      </c>
      <c r="G8945" s="40" t="s">
        <v>11404</v>
      </c>
      <c r="H8945" s="40" t="s">
        <v>11404</v>
      </c>
    </row>
    <row r="8946">
      <c r="A8946" s="39"/>
      <c r="E8946" s="40" t="s">
        <v>11404</v>
      </c>
      <c r="F8946" s="40" t="s">
        <v>11404</v>
      </c>
      <c r="G8946" s="40" t="s">
        <v>11404</v>
      </c>
      <c r="H8946" s="40" t="s">
        <v>11404</v>
      </c>
    </row>
    <row r="8947">
      <c r="A8947" s="39"/>
      <c r="E8947" s="40" t="s">
        <v>11404</v>
      </c>
      <c r="F8947" s="40" t="s">
        <v>11404</v>
      </c>
      <c r="G8947" s="40" t="s">
        <v>11404</v>
      </c>
      <c r="H8947" s="40" t="s">
        <v>11404</v>
      </c>
    </row>
    <row r="8948">
      <c r="A8948" s="39"/>
      <c r="E8948" s="40" t="s">
        <v>11404</v>
      </c>
      <c r="F8948" s="40" t="s">
        <v>11404</v>
      </c>
      <c r="G8948" s="40" t="s">
        <v>11404</v>
      </c>
      <c r="H8948" s="40" t="s">
        <v>11404</v>
      </c>
    </row>
    <row r="8949">
      <c r="A8949" s="39"/>
      <c r="E8949" s="40" t="s">
        <v>11404</v>
      </c>
      <c r="F8949" s="40" t="s">
        <v>11404</v>
      </c>
      <c r="G8949" s="40" t="s">
        <v>11404</v>
      </c>
      <c r="H8949" s="40" t="s">
        <v>11404</v>
      </c>
    </row>
    <row r="8950">
      <c r="A8950" s="39"/>
      <c r="E8950" s="40" t="s">
        <v>11404</v>
      </c>
      <c r="F8950" s="40" t="s">
        <v>11404</v>
      </c>
      <c r="G8950" s="40" t="s">
        <v>11404</v>
      </c>
      <c r="H8950" s="40" t="s">
        <v>11404</v>
      </c>
    </row>
    <row r="8951">
      <c r="A8951" s="39"/>
      <c r="E8951" s="40" t="s">
        <v>11404</v>
      </c>
      <c r="F8951" s="40" t="s">
        <v>11404</v>
      </c>
      <c r="G8951" s="40" t="s">
        <v>11404</v>
      </c>
      <c r="H8951" s="40" t="s">
        <v>11404</v>
      </c>
    </row>
    <row r="8952">
      <c r="A8952" s="39"/>
      <c r="E8952" s="40" t="s">
        <v>11404</v>
      </c>
      <c r="F8952" s="40" t="s">
        <v>11404</v>
      </c>
      <c r="G8952" s="40" t="s">
        <v>11404</v>
      </c>
      <c r="H8952" s="40" t="s">
        <v>11404</v>
      </c>
    </row>
    <row r="8953">
      <c r="A8953" s="39"/>
      <c r="E8953" s="40" t="s">
        <v>11404</v>
      </c>
      <c r="F8953" s="40" t="s">
        <v>11404</v>
      </c>
      <c r="G8953" s="40" t="s">
        <v>11404</v>
      </c>
      <c r="H8953" s="40" t="s">
        <v>11404</v>
      </c>
    </row>
    <row r="8954">
      <c r="A8954" s="39"/>
      <c r="E8954" s="40" t="s">
        <v>11404</v>
      </c>
      <c r="F8954" s="40" t="s">
        <v>11404</v>
      </c>
      <c r="G8954" s="40" t="s">
        <v>11404</v>
      </c>
      <c r="H8954" s="40" t="s">
        <v>11404</v>
      </c>
    </row>
    <row r="8955">
      <c r="A8955" s="39"/>
      <c r="E8955" s="40" t="s">
        <v>11404</v>
      </c>
      <c r="F8955" s="40" t="s">
        <v>11404</v>
      </c>
      <c r="G8955" s="40" t="s">
        <v>11404</v>
      </c>
      <c r="H8955" s="40" t="s">
        <v>11404</v>
      </c>
    </row>
    <row r="8956">
      <c r="A8956" s="39"/>
      <c r="E8956" s="40" t="s">
        <v>11404</v>
      </c>
      <c r="F8956" s="40" t="s">
        <v>11404</v>
      </c>
      <c r="G8956" s="40" t="s">
        <v>11404</v>
      </c>
      <c r="H8956" s="40" t="s">
        <v>11404</v>
      </c>
    </row>
    <row r="8957">
      <c r="A8957" s="39"/>
      <c r="E8957" s="40" t="s">
        <v>11404</v>
      </c>
      <c r="F8957" s="40" t="s">
        <v>11404</v>
      </c>
      <c r="G8957" s="40" t="s">
        <v>11404</v>
      </c>
      <c r="H8957" s="40" t="s">
        <v>11404</v>
      </c>
    </row>
    <row r="8958">
      <c r="A8958" s="39"/>
      <c r="E8958" s="40" t="s">
        <v>11404</v>
      </c>
      <c r="F8958" s="40" t="s">
        <v>11404</v>
      </c>
      <c r="G8958" s="40" t="s">
        <v>11404</v>
      </c>
      <c r="H8958" s="40" t="s">
        <v>11404</v>
      </c>
    </row>
    <row r="8959">
      <c r="A8959" s="39"/>
      <c r="E8959" s="40" t="s">
        <v>11404</v>
      </c>
      <c r="F8959" s="40" t="s">
        <v>11404</v>
      </c>
      <c r="G8959" s="40" t="s">
        <v>11404</v>
      </c>
      <c r="H8959" s="40" t="s">
        <v>11404</v>
      </c>
    </row>
    <row r="8960">
      <c r="A8960" s="39"/>
      <c r="E8960" s="40" t="s">
        <v>11404</v>
      </c>
      <c r="F8960" s="40" t="s">
        <v>11404</v>
      </c>
      <c r="G8960" s="40" t="s">
        <v>11404</v>
      </c>
      <c r="H8960" s="40" t="s">
        <v>11404</v>
      </c>
    </row>
    <row r="8961">
      <c r="A8961" s="39"/>
      <c r="E8961" s="40" t="s">
        <v>11404</v>
      </c>
      <c r="F8961" s="40" t="s">
        <v>11404</v>
      </c>
      <c r="G8961" s="40" t="s">
        <v>11404</v>
      </c>
      <c r="H8961" s="40" t="s">
        <v>11404</v>
      </c>
    </row>
    <row r="8962">
      <c r="A8962" s="39"/>
      <c r="E8962" s="40" t="s">
        <v>11404</v>
      </c>
      <c r="F8962" s="40" t="s">
        <v>11404</v>
      </c>
      <c r="G8962" s="40" t="s">
        <v>11404</v>
      </c>
      <c r="H8962" s="40" t="s">
        <v>11404</v>
      </c>
    </row>
    <row r="8963">
      <c r="A8963" s="39"/>
      <c r="E8963" s="40" t="s">
        <v>11404</v>
      </c>
      <c r="F8963" s="40" t="s">
        <v>11404</v>
      </c>
      <c r="G8963" s="40" t="s">
        <v>11404</v>
      </c>
      <c r="H8963" s="40" t="s">
        <v>11404</v>
      </c>
    </row>
    <row r="8964">
      <c r="A8964" s="39"/>
      <c r="E8964" s="40" t="s">
        <v>11404</v>
      </c>
      <c r="F8964" s="40" t="s">
        <v>11404</v>
      </c>
      <c r="G8964" s="40" t="s">
        <v>11404</v>
      </c>
      <c r="H8964" s="40" t="s">
        <v>11404</v>
      </c>
    </row>
    <row r="8965">
      <c r="A8965" s="39"/>
      <c r="E8965" s="40" t="s">
        <v>11404</v>
      </c>
      <c r="F8965" s="40" t="s">
        <v>11404</v>
      </c>
      <c r="G8965" s="40" t="s">
        <v>11404</v>
      </c>
      <c r="H8965" s="40" t="s">
        <v>11404</v>
      </c>
    </row>
    <row r="8966">
      <c r="A8966" s="39"/>
      <c r="E8966" s="40" t="s">
        <v>11404</v>
      </c>
      <c r="F8966" s="40" t="s">
        <v>11404</v>
      </c>
      <c r="G8966" s="40" t="s">
        <v>11404</v>
      </c>
      <c r="H8966" s="40" t="s">
        <v>11404</v>
      </c>
    </row>
    <row r="8967">
      <c r="A8967" s="39"/>
      <c r="E8967" s="40" t="s">
        <v>11404</v>
      </c>
      <c r="F8967" s="40" t="s">
        <v>11404</v>
      </c>
      <c r="G8967" s="40" t="s">
        <v>11404</v>
      </c>
      <c r="H8967" s="40" t="s">
        <v>11404</v>
      </c>
    </row>
    <row r="8968">
      <c r="A8968" s="39"/>
      <c r="E8968" s="40" t="s">
        <v>11404</v>
      </c>
      <c r="F8968" s="40" t="s">
        <v>11404</v>
      </c>
      <c r="G8968" s="40" t="s">
        <v>11404</v>
      </c>
      <c r="H8968" s="40" t="s">
        <v>11404</v>
      </c>
    </row>
    <row r="8969">
      <c r="A8969" s="39"/>
      <c r="E8969" s="40" t="s">
        <v>11404</v>
      </c>
      <c r="F8969" s="40" t="s">
        <v>11404</v>
      </c>
      <c r="G8969" s="40" t="s">
        <v>11404</v>
      </c>
      <c r="H8969" s="40" t="s">
        <v>11404</v>
      </c>
    </row>
    <row r="8970">
      <c r="A8970" s="39"/>
      <c r="E8970" s="40" t="s">
        <v>11404</v>
      </c>
      <c r="F8970" s="40" t="s">
        <v>11404</v>
      </c>
      <c r="G8970" s="40" t="s">
        <v>11404</v>
      </c>
      <c r="H8970" s="40" t="s">
        <v>11404</v>
      </c>
    </row>
    <row r="8971">
      <c r="A8971" s="39"/>
      <c r="E8971" s="40" t="s">
        <v>11404</v>
      </c>
      <c r="F8971" s="40" t="s">
        <v>11404</v>
      </c>
      <c r="G8971" s="40" t="s">
        <v>11404</v>
      </c>
      <c r="H8971" s="40" t="s">
        <v>11404</v>
      </c>
    </row>
    <row r="8972">
      <c r="A8972" s="39"/>
      <c r="E8972" s="40" t="s">
        <v>11404</v>
      </c>
      <c r="F8972" s="40" t="s">
        <v>11404</v>
      </c>
      <c r="G8972" s="40" t="s">
        <v>11404</v>
      </c>
      <c r="H8972" s="40" t="s">
        <v>11404</v>
      </c>
    </row>
    <row r="8973">
      <c r="A8973" s="39"/>
      <c r="E8973" s="40" t="s">
        <v>11404</v>
      </c>
      <c r="F8973" s="40" t="s">
        <v>11404</v>
      </c>
      <c r="G8973" s="40" t="s">
        <v>11404</v>
      </c>
      <c r="H8973" s="40" t="s">
        <v>11404</v>
      </c>
    </row>
    <row r="8974">
      <c r="A8974" s="39"/>
      <c r="E8974" s="40" t="s">
        <v>11404</v>
      </c>
      <c r="F8974" s="40" t="s">
        <v>11404</v>
      </c>
      <c r="G8974" s="40" t="s">
        <v>11404</v>
      </c>
      <c r="H8974" s="40" t="s">
        <v>11404</v>
      </c>
    </row>
    <row r="8975">
      <c r="A8975" s="39"/>
      <c r="E8975" s="40" t="s">
        <v>11404</v>
      </c>
      <c r="F8975" s="40" t="s">
        <v>11404</v>
      </c>
      <c r="G8975" s="40" t="s">
        <v>11404</v>
      </c>
      <c r="H8975" s="40" t="s">
        <v>11404</v>
      </c>
    </row>
    <row r="8976">
      <c r="A8976" s="39"/>
      <c r="E8976" s="40" t="s">
        <v>11404</v>
      </c>
      <c r="F8976" s="40" t="s">
        <v>11404</v>
      </c>
      <c r="G8976" s="40" t="s">
        <v>11404</v>
      </c>
      <c r="H8976" s="40" t="s">
        <v>11404</v>
      </c>
    </row>
    <row r="8977">
      <c r="A8977" s="39"/>
      <c r="E8977" s="40" t="s">
        <v>11404</v>
      </c>
      <c r="F8977" s="40" t="s">
        <v>11404</v>
      </c>
      <c r="G8977" s="40" t="s">
        <v>11404</v>
      </c>
      <c r="H8977" s="40" t="s">
        <v>11404</v>
      </c>
    </row>
    <row r="8978">
      <c r="A8978" s="39"/>
      <c r="E8978" s="40" t="s">
        <v>11404</v>
      </c>
      <c r="F8978" s="40" t="s">
        <v>11404</v>
      </c>
      <c r="G8978" s="40" t="s">
        <v>11404</v>
      </c>
      <c r="H8978" s="40" t="s">
        <v>11404</v>
      </c>
    </row>
    <row r="8979">
      <c r="A8979" s="39"/>
      <c r="E8979" s="40" t="s">
        <v>11404</v>
      </c>
      <c r="F8979" s="40" t="s">
        <v>11404</v>
      </c>
      <c r="G8979" s="40" t="s">
        <v>11404</v>
      </c>
      <c r="H8979" s="40" t="s">
        <v>11404</v>
      </c>
    </row>
    <row r="8980">
      <c r="A8980" s="39"/>
      <c r="E8980" s="40" t="s">
        <v>11404</v>
      </c>
      <c r="F8980" s="40" t="s">
        <v>11404</v>
      </c>
      <c r="G8980" s="40" t="s">
        <v>11404</v>
      </c>
      <c r="H8980" s="40" t="s">
        <v>11404</v>
      </c>
    </row>
    <row r="8981">
      <c r="A8981" s="39"/>
      <c r="E8981" s="40" t="s">
        <v>11404</v>
      </c>
      <c r="F8981" s="40" t="s">
        <v>11404</v>
      </c>
      <c r="G8981" s="40" t="s">
        <v>11404</v>
      </c>
      <c r="H8981" s="40" t="s">
        <v>11404</v>
      </c>
    </row>
    <row r="8982">
      <c r="A8982" s="39"/>
      <c r="E8982" s="40" t="s">
        <v>11404</v>
      </c>
      <c r="F8982" s="40" t="s">
        <v>11404</v>
      </c>
      <c r="G8982" s="40" t="s">
        <v>11404</v>
      </c>
      <c r="H8982" s="40" t="s">
        <v>11404</v>
      </c>
    </row>
    <row r="8983">
      <c r="A8983" s="39"/>
      <c r="E8983" s="40" t="s">
        <v>11404</v>
      </c>
      <c r="F8983" s="40" t="s">
        <v>11404</v>
      </c>
      <c r="G8983" s="40" t="s">
        <v>11404</v>
      </c>
      <c r="H8983" s="40" t="s">
        <v>11404</v>
      </c>
    </row>
    <row r="8984">
      <c r="A8984" s="39"/>
      <c r="E8984" s="40" t="s">
        <v>11404</v>
      </c>
      <c r="F8984" s="40" t="s">
        <v>11404</v>
      </c>
      <c r="G8984" s="40" t="s">
        <v>11404</v>
      </c>
      <c r="H8984" s="40" t="s">
        <v>11404</v>
      </c>
    </row>
    <row r="8985">
      <c r="A8985" s="39"/>
      <c r="E8985" s="40" t="s">
        <v>11404</v>
      </c>
      <c r="F8985" s="40" t="s">
        <v>11404</v>
      </c>
      <c r="G8985" s="40" t="s">
        <v>11404</v>
      </c>
      <c r="H8985" s="40" t="s">
        <v>11404</v>
      </c>
    </row>
    <row r="8986">
      <c r="A8986" s="39"/>
      <c r="E8986" s="40" t="s">
        <v>11404</v>
      </c>
      <c r="F8986" s="40" t="s">
        <v>11404</v>
      </c>
      <c r="G8986" s="40" t="s">
        <v>11404</v>
      </c>
      <c r="H8986" s="40" t="s">
        <v>11404</v>
      </c>
    </row>
    <row r="8987">
      <c r="A8987" s="39"/>
      <c r="E8987" s="40" t="s">
        <v>11404</v>
      </c>
      <c r="F8987" s="40" t="s">
        <v>11404</v>
      </c>
      <c r="G8987" s="40" t="s">
        <v>11404</v>
      </c>
      <c r="H8987" s="40" t="s">
        <v>11404</v>
      </c>
    </row>
    <row r="8988">
      <c r="A8988" s="39"/>
      <c r="E8988" s="40" t="s">
        <v>11404</v>
      </c>
      <c r="F8988" s="40" t="s">
        <v>11404</v>
      </c>
      <c r="G8988" s="40" t="s">
        <v>11404</v>
      </c>
      <c r="H8988" s="40" t="s">
        <v>11404</v>
      </c>
    </row>
    <row r="8989">
      <c r="A8989" s="39"/>
      <c r="E8989" s="40" t="s">
        <v>11404</v>
      </c>
      <c r="F8989" s="40" t="s">
        <v>11404</v>
      </c>
      <c r="G8989" s="40" t="s">
        <v>11404</v>
      </c>
      <c r="H8989" s="40" t="s">
        <v>11404</v>
      </c>
    </row>
    <row r="8990">
      <c r="A8990" s="39"/>
      <c r="E8990" s="40" t="s">
        <v>11404</v>
      </c>
      <c r="F8990" s="40" t="s">
        <v>11404</v>
      </c>
      <c r="G8990" s="40" t="s">
        <v>11404</v>
      </c>
      <c r="H8990" s="40" t="s">
        <v>11404</v>
      </c>
    </row>
    <row r="8991">
      <c r="A8991" s="39"/>
      <c r="E8991" s="40" t="s">
        <v>11404</v>
      </c>
      <c r="F8991" s="40" t="s">
        <v>11404</v>
      </c>
      <c r="G8991" s="40" t="s">
        <v>11404</v>
      </c>
      <c r="H8991" s="40" t="s">
        <v>11404</v>
      </c>
    </row>
    <row r="8992">
      <c r="A8992" s="39"/>
      <c r="E8992" s="40" t="s">
        <v>11404</v>
      </c>
      <c r="F8992" s="40" t="s">
        <v>11404</v>
      </c>
      <c r="G8992" s="40" t="s">
        <v>11404</v>
      </c>
      <c r="H8992" s="40" t="s">
        <v>11404</v>
      </c>
    </row>
    <row r="8993">
      <c r="A8993" s="39"/>
      <c r="E8993" s="40" t="s">
        <v>11404</v>
      </c>
      <c r="F8993" s="40" t="s">
        <v>11404</v>
      </c>
      <c r="G8993" s="40" t="s">
        <v>11404</v>
      </c>
      <c r="H8993" s="40" t="s">
        <v>11404</v>
      </c>
    </row>
    <row r="8994">
      <c r="A8994" s="39"/>
      <c r="E8994" s="40" t="s">
        <v>11404</v>
      </c>
      <c r="F8994" s="40" t="s">
        <v>11404</v>
      </c>
      <c r="G8994" s="40" t="s">
        <v>11404</v>
      </c>
      <c r="H8994" s="40" t="s">
        <v>11404</v>
      </c>
    </row>
    <row r="8995">
      <c r="A8995" s="39"/>
      <c r="E8995" s="40" t="s">
        <v>11404</v>
      </c>
      <c r="F8995" s="40" t="s">
        <v>11404</v>
      </c>
      <c r="G8995" s="40" t="s">
        <v>11404</v>
      </c>
      <c r="H8995" s="40" t="s">
        <v>11404</v>
      </c>
    </row>
    <row r="8996">
      <c r="A8996" s="39"/>
      <c r="E8996" s="40" t="s">
        <v>11404</v>
      </c>
      <c r="F8996" s="40" t="s">
        <v>11404</v>
      </c>
      <c r="G8996" s="40" t="s">
        <v>11404</v>
      </c>
      <c r="H8996" s="40" t="s">
        <v>11404</v>
      </c>
    </row>
    <row r="8997">
      <c r="A8997" s="39"/>
      <c r="E8997" s="40" t="s">
        <v>11404</v>
      </c>
      <c r="F8997" s="40" t="s">
        <v>11404</v>
      </c>
      <c r="G8997" s="40" t="s">
        <v>11404</v>
      </c>
      <c r="H8997" s="40" t="s">
        <v>11404</v>
      </c>
    </row>
    <row r="8998">
      <c r="A8998" s="39"/>
      <c r="E8998" s="40" t="s">
        <v>11404</v>
      </c>
      <c r="F8998" s="40" t="s">
        <v>11404</v>
      </c>
      <c r="G8998" s="40" t="s">
        <v>11404</v>
      </c>
      <c r="H8998" s="40" t="s">
        <v>11404</v>
      </c>
    </row>
    <row r="8999">
      <c r="A8999" s="39"/>
      <c r="E8999" s="40" t="s">
        <v>11404</v>
      </c>
      <c r="F8999" s="40" t="s">
        <v>11404</v>
      </c>
      <c r="G8999" s="40" t="s">
        <v>11404</v>
      </c>
      <c r="H8999" s="40" t="s">
        <v>11404</v>
      </c>
    </row>
    <row r="9000">
      <c r="A9000" s="39"/>
      <c r="E9000" s="40" t="s">
        <v>11404</v>
      </c>
      <c r="F9000" s="40" t="s">
        <v>11404</v>
      </c>
      <c r="G9000" s="40" t="s">
        <v>11404</v>
      </c>
      <c r="H9000" s="40" t="s">
        <v>11404</v>
      </c>
    </row>
    <row r="9001">
      <c r="A9001" s="39"/>
      <c r="E9001" s="40" t="s">
        <v>11404</v>
      </c>
      <c r="F9001" s="40" t="s">
        <v>11404</v>
      </c>
      <c r="G9001" s="40" t="s">
        <v>11404</v>
      </c>
      <c r="H9001" s="40" t="s">
        <v>11404</v>
      </c>
    </row>
    <row r="9002">
      <c r="A9002" s="39"/>
      <c r="E9002" s="40" t="s">
        <v>11404</v>
      </c>
      <c r="F9002" s="40" t="s">
        <v>11404</v>
      </c>
      <c r="G9002" s="40" t="s">
        <v>11404</v>
      </c>
      <c r="H9002" s="40" t="s">
        <v>11404</v>
      </c>
    </row>
    <row r="9003">
      <c r="A9003" s="39"/>
      <c r="E9003" s="40" t="s">
        <v>11404</v>
      </c>
      <c r="F9003" s="40" t="s">
        <v>11404</v>
      </c>
      <c r="G9003" s="40" t="s">
        <v>11404</v>
      </c>
      <c r="H9003" s="40" t="s">
        <v>11404</v>
      </c>
    </row>
    <row r="9004">
      <c r="A9004" s="39"/>
      <c r="E9004" s="40" t="s">
        <v>11404</v>
      </c>
      <c r="F9004" s="40" t="s">
        <v>11404</v>
      </c>
      <c r="G9004" s="40" t="s">
        <v>11404</v>
      </c>
      <c r="H9004" s="40" t="s">
        <v>11404</v>
      </c>
    </row>
    <row r="9005">
      <c r="A9005" s="39"/>
      <c r="E9005" s="40" t="s">
        <v>11404</v>
      </c>
      <c r="F9005" s="40" t="s">
        <v>11404</v>
      </c>
      <c r="G9005" s="40" t="s">
        <v>11404</v>
      </c>
      <c r="H9005" s="40" t="s">
        <v>11404</v>
      </c>
    </row>
    <row r="9006">
      <c r="A9006" s="39"/>
      <c r="E9006" s="40" t="s">
        <v>11404</v>
      </c>
      <c r="F9006" s="40" t="s">
        <v>11404</v>
      </c>
      <c r="G9006" s="40" t="s">
        <v>11404</v>
      </c>
      <c r="H9006" s="40" t="s">
        <v>11404</v>
      </c>
    </row>
    <row r="9007">
      <c r="A9007" s="39"/>
      <c r="E9007" s="40" t="s">
        <v>11404</v>
      </c>
      <c r="F9007" s="40" t="s">
        <v>11404</v>
      </c>
      <c r="G9007" s="40" t="s">
        <v>11404</v>
      </c>
      <c r="H9007" s="40" t="s">
        <v>11404</v>
      </c>
    </row>
    <row r="9008">
      <c r="A9008" s="39"/>
      <c r="E9008" s="40" t="s">
        <v>11404</v>
      </c>
      <c r="F9008" s="40" t="s">
        <v>11404</v>
      </c>
      <c r="G9008" s="40" t="s">
        <v>11404</v>
      </c>
      <c r="H9008" s="40" t="s">
        <v>11404</v>
      </c>
    </row>
    <row r="9009">
      <c r="A9009" s="39"/>
      <c r="E9009" s="40" t="s">
        <v>11404</v>
      </c>
      <c r="F9009" s="40" t="s">
        <v>11404</v>
      </c>
      <c r="G9009" s="40" t="s">
        <v>11404</v>
      </c>
      <c r="H9009" s="40" t="s">
        <v>11404</v>
      </c>
    </row>
    <row r="9010">
      <c r="A9010" s="39"/>
      <c r="E9010" s="40" t="s">
        <v>11404</v>
      </c>
      <c r="F9010" s="40" t="s">
        <v>11404</v>
      </c>
      <c r="G9010" s="40" t="s">
        <v>11404</v>
      </c>
      <c r="H9010" s="40" t="s">
        <v>11404</v>
      </c>
    </row>
    <row r="9011">
      <c r="A9011" s="39"/>
      <c r="E9011" s="40" t="s">
        <v>11404</v>
      </c>
      <c r="F9011" s="40" t="s">
        <v>11404</v>
      </c>
      <c r="G9011" s="40" t="s">
        <v>11404</v>
      </c>
      <c r="H9011" s="40" t="s">
        <v>11404</v>
      </c>
    </row>
    <row r="9012">
      <c r="A9012" s="39"/>
      <c r="E9012" s="40" t="s">
        <v>11404</v>
      </c>
      <c r="F9012" s="40" t="s">
        <v>11404</v>
      </c>
      <c r="G9012" s="40" t="s">
        <v>11404</v>
      </c>
      <c r="H9012" s="40" t="s">
        <v>11404</v>
      </c>
    </row>
    <row r="9013">
      <c r="A9013" s="39"/>
      <c r="E9013" s="40" t="s">
        <v>11404</v>
      </c>
      <c r="F9013" s="40" t="s">
        <v>11404</v>
      </c>
      <c r="G9013" s="40" t="s">
        <v>11404</v>
      </c>
      <c r="H9013" s="40" t="s">
        <v>11404</v>
      </c>
    </row>
    <row r="9014">
      <c r="A9014" s="39"/>
      <c r="E9014" s="40" t="s">
        <v>11404</v>
      </c>
      <c r="F9014" s="40" t="s">
        <v>11404</v>
      </c>
      <c r="G9014" s="40" t="s">
        <v>11404</v>
      </c>
      <c r="H9014" s="40" t="s">
        <v>11404</v>
      </c>
    </row>
    <row r="9015">
      <c r="A9015" s="39"/>
      <c r="E9015" s="40" t="s">
        <v>11404</v>
      </c>
      <c r="F9015" s="40" t="s">
        <v>11404</v>
      </c>
      <c r="G9015" s="40" t="s">
        <v>11404</v>
      </c>
      <c r="H9015" s="40" t="s">
        <v>11404</v>
      </c>
    </row>
    <row r="9016">
      <c r="A9016" s="39"/>
      <c r="E9016" s="40" t="s">
        <v>11404</v>
      </c>
      <c r="F9016" s="40" t="s">
        <v>11404</v>
      </c>
      <c r="G9016" s="40" t="s">
        <v>11404</v>
      </c>
      <c r="H9016" s="40" t="s">
        <v>11404</v>
      </c>
    </row>
    <row r="9017">
      <c r="A9017" s="39"/>
      <c r="E9017" s="40" t="s">
        <v>11404</v>
      </c>
      <c r="F9017" s="40" t="s">
        <v>11404</v>
      </c>
      <c r="G9017" s="40" t="s">
        <v>11404</v>
      </c>
      <c r="H9017" s="40" t="s">
        <v>11404</v>
      </c>
    </row>
    <row r="9018">
      <c r="A9018" s="39"/>
      <c r="E9018" s="40" t="s">
        <v>11404</v>
      </c>
      <c r="F9018" s="40" t="s">
        <v>11404</v>
      </c>
      <c r="G9018" s="40" t="s">
        <v>11404</v>
      </c>
      <c r="H9018" s="40" t="s">
        <v>11404</v>
      </c>
    </row>
    <row r="9019">
      <c r="A9019" s="39"/>
      <c r="E9019" s="40" t="s">
        <v>11404</v>
      </c>
      <c r="F9019" s="40" t="s">
        <v>11404</v>
      </c>
      <c r="G9019" s="40" t="s">
        <v>11404</v>
      </c>
      <c r="H9019" s="40" t="s">
        <v>11404</v>
      </c>
    </row>
    <row r="9020">
      <c r="A9020" s="39"/>
      <c r="E9020" s="40" t="s">
        <v>11404</v>
      </c>
      <c r="F9020" s="40" t="s">
        <v>11404</v>
      </c>
      <c r="G9020" s="40" t="s">
        <v>11404</v>
      </c>
      <c r="H9020" s="40" t="s">
        <v>11404</v>
      </c>
    </row>
    <row r="9021">
      <c r="A9021" s="39"/>
      <c r="E9021" s="40" t="s">
        <v>11404</v>
      </c>
      <c r="F9021" s="40" t="s">
        <v>11404</v>
      </c>
      <c r="G9021" s="40" t="s">
        <v>11404</v>
      </c>
      <c r="H9021" s="40" t="s">
        <v>11404</v>
      </c>
    </row>
    <row r="9022">
      <c r="A9022" s="39"/>
      <c r="E9022" s="40" t="s">
        <v>11404</v>
      </c>
      <c r="F9022" s="40" t="s">
        <v>11404</v>
      </c>
      <c r="G9022" s="40" t="s">
        <v>11404</v>
      </c>
      <c r="H9022" s="40" t="s">
        <v>11404</v>
      </c>
    </row>
    <row r="9023">
      <c r="A9023" s="39"/>
      <c r="E9023" s="40" t="s">
        <v>11404</v>
      </c>
      <c r="F9023" s="40" t="s">
        <v>11404</v>
      </c>
      <c r="G9023" s="40" t="s">
        <v>11404</v>
      </c>
      <c r="H9023" s="40" t="s">
        <v>11404</v>
      </c>
    </row>
    <row r="9024">
      <c r="A9024" s="39"/>
      <c r="E9024" s="40" t="s">
        <v>11404</v>
      </c>
      <c r="F9024" s="40" t="s">
        <v>11404</v>
      </c>
      <c r="G9024" s="40" t="s">
        <v>11404</v>
      </c>
      <c r="H9024" s="40" t="s">
        <v>11404</v>
      </c>
    </row>
    <row r="9025">
      <c r="A9025" s="39"/>
      <c r="E9025" s="40" t="s">
        <v>11404</v>
      </c>
      <c r="F9025" s="40" t="s">
        <v>11404</v>
      </c>
      <c r="G9025" s="40" t="s">
        <v>11404</v>
      </c>
      <c r="H9025" s="40" t="s">
        <v>11404</v>
      </c>
    </row>
    <row r="9026">
      <c r="A9026" s="39"/>
      <c r="E9026" s="40" t="s">
        <v>11404</v>
      </c>
      <c r="F9026" s="40" t="s">
        <v>11404</v>
      </c>
      <c r="G9026" s="40" t="s">
        <v>11404</v>
      </c>
      <c r="H9026" s="40" t="s">
        <v>11404</v>
      </c>
    </row>
    <row r="9027">
      <c r="A9027" s="39"/>
      <c r="E9027" s="40" t="s">
        <v>11404</v>
      </c>
      <c r="F9027" s="40" t="s">
        <v>11404</v>
      </c>
      <c r="G9027" s="40" t="s">
        <v>11404</v>
      </c>
      <c r="H9027" s="40" t="s">
        <v>11404</v>
      </c>
    </row>
    <row r="9028">
      <c r="A9028" s="39"/>
      <c r="E9028" s="40" t="s">
        <v>11404</v>
      </c>
      <c r="F9028" s="40" t="s">
        <v>11404</v>
      </c>
      <c r="G9028" s="40" t="s">
        <v>11404</v>
      </c>
      <c r="H9028" s="40" t="s">
        <v>11404</v>
      </c>
    </row>
    <row r="9029">
      <c r="A9029" s="39"/>
      <c r="E9029" s="40" t="s">
        <v>11404</v>
      </c>
      <c r="F9029" s="40" t="s">
        <v>11404</v>
      </c>
      <c r="G9029" s="40" t="s">
        <v>11404</v>
      </c>
      <c r="H9029" s="40" t="s">
        <v>11404</v>
      </c>
    </row>
    <row r="9030">
      <c r="A9030" s="39"/>
      <c r="E9030" s="40" t="s">
        <v>11404</v>
      </c>
      <c r="F9030" s="40" t="s">
        <v>11404</v>
      </c>
      <c r="G9030" s="40" t="s">
        <v>11404</v>
      </c>
      <c r="H9030" s="40" t="s">
        <v>11404</v>
      </c>
    </row>
    <row r="9031">
      <c r="A9031" s="39"/>
      <c r="E9031" s="40" t="s">
        <v>11404</v>
      </c>
      <c r="F9031" s="40" t="s">
        <v>11404</v>
      </c>
      <c r="G9031" s="40" t="s">
        <v>11404</v>
      </c>
      <c r="H9031" s="40" t="s">
        <v>11404</v>
      </c>
    </row>
    <row r="9032">
      <c r="A9032" s="39"/>
      <c r="E9032" s="40" t="s">
        <v>11404</v>
      </c>
      <c r="F9032" s="40" t="s">
        <v>11404</v>
      </c>
      <c r="G9032" s="40" t="s">
        <v>11404</v>
      </c>
      <c r="H9032" s="40" t="s">
        <v>11404</v>
      </c>
    </row>
    <row r="9033">
      <c r="A9033" s="39"/>
      <c r="E9033" s="40" t="s">
        <v>11404</v>
      </c>
      <c r="F9033" s="40" t="s">
        <v>11404</v>
      </c>
      <c r="G9033" s="40" t="s">
        <v>11404</v>
      </c>
      <c r="H9033" s="40" t="s">
        <v>11404</v>
      </c>
    </row>
    <row r="9034">
      <c r="A9034" s="39"/>
      <c r="E9034" s="40" t="s">
        <v>11404</v>
      </c>
      <c r="F9034" s="40" t="s">
        <v>11404</v>
      </c>
      <c r="G9034" s="40" t="s">
        <v>11404</v>
      </c>
      <c r="H9034" s="40" t="s">
        <v>11404</v>
      </c>
    </row>
    <row r="9035">
      <c r="A9035" s="39"/>
      <c r="E9035" s="40" t="s">
        <v>11404</v>
      </c>
      <c r="F9035" s="40" t="s">
        <v>11404</v>
      </c>
      <c r="G9035" s="40" t="s">
        <v>11404</v>
      </c>
      <c r="H9035" s="40" t="s">
        <v>11404</v>
      </c>
    </row>
    <row r="9036">
      <c r="A9036" s="39"/>
      <c r="E9036" s="40" t="s">
        <v>11404</v>
      </c>
      <c r="F9036" s="40" t="s">
        <v>11404</v>
      </c>
      <c r="G9036" s="40" t="s">
        <v>11404</v>
      </c>
      <c r="H9036" s="40" t="s">
        <v>11404</v>
      </c>
    </row>
    <row r="9037">
      <c r="A9037" s="39"/>
      <c r="E9037" s="40" t="s">
        <v>11404</v>
      </c>
      <c r="F9037" s="40" t="s">
        <v>11404</v>
      </c>
      <c r="G9037" s="40" t="s">
        <v>11404</v>
      </c>
      <c r="H9037" s="40" t="s">
        <v>11404</v>
      </c>
    </row>
    <row r="9038">
      <c r="A9038" s="39"/>
      <c r="E9038" s="40" t="s">
        <v>11404</v>
      </c>
      <c r="F9038" s="40" t="s">
        <v>11404</v>
      </c>
      <c r="G9038" s="40" t="s">
        <v>11404</v>
      </c>
      <c r="H9038" s="40" t="s">
        <v>11404</v>
      </c>
    </row>
    <row r="9039">
      <c r="A9039" s="39"/>
      <c r="E9039" s="40" t="s">
        <v>11404</v>
      </c>
      <c r="F9039" s="40" t="s">
        <v>11404</v>
      </c>
      <c r="G9039" s="40" t="s">
        <v>11404</v>
      </c>
      <c r="H9039" s="40" t="s">
        <v>11404</v>
      </c>
    </row>
    <row r="9040">
      <c r="A9040" s="39"/>
      <c r="E9040" s="40" t="s">
        <v>11404</v>
      </c>
      <c r="F9040" s="40" t="s">
        <v>11404</v>
      </c>
      <c r="G9040" s="40" t="s">
        <v>11404</v>
      </c>
      <c r="H9040" s="40" t="s">
        <v>11404</v>
      </c>
    </row>
    <row r="9041">
      <c r="A9041" s="39"/>
      <c r="E9041" s="40" t="s">
        <v>11404</v>
      </c>
      <c r="F9041" s="40" t="s">
        <v>11404</v>
      </c>
      <c r="G9041" s="40" t="s">
        <v>11404</v>
      </c>
      <c r="H9041" s="40" t="s">
        <v>11404</v>
      </c>
    </row>
    <row r="9042">
      <c r="A9042" s="39"/>
      <c r="E9042" s="40" t="s">
        <v>11404</v>
      </c>
      <c r="F9042" s="40" t="s">
        <v>11404</v>
      </c>
      <c r="G9042" s="40" t="s">
        <v>11404</v>
      </c>
      <c r="H9042" s="40" t="s">
        <v>11404</v>
      </c>
    </row>
    <row r="9043">
      <c r="A9043" s="39"/>
      <c r="E9043" s="40" t="s">
        <v>11404</v>
      </c>
      <c r="F9043" s="40" t="s">
        <v>11404</v>
      </c>
      <c r="G9043" s="40" t="s">
        <v>11404</v>
      </c>
      <c r="H9043" s="40" t="s">
        <v>11404</v>
      </c>
    </row>
    <row r="9044">
      <c r="A9044" s="39"/>
      <c r="E9044" s="40" t="s">
        <v>11404</v>
      </c>
      <c r="F9044" s="40" t="s">
        <v>11404</v>
      </c>
      <c r="G9044" s="40" t="s">
        <v>11404</v>
      </c>
      <c r="H9044" s="40" t="s">
        <v>11404</v>
      </c>
    </row>
    <row r="9045">
      <c r="A9045" s="39"/>
      <c r="E9045" s="40" t="s">
        <v>11404</v>
      </c>
      <c r="F9045" s="40" t="s">
        <v>11404</v>
      </c>
      <c r="G9045" s="40" t="s">
        <v>11404</v>
      </c>
      <c r="H9045" s="40" t="s">
        <v>11404</v>
      </c>
    </row>
    <row r="9046">
      <c r="A9046" s="39"/>
      <c r="E9046" s="40" t="s">
        <v>11404</v>
      </c>
      <c r="F9046" s="40" t="s">
        <v>11404</v>
      </c>
      <c r="G9046" s="40" t="s">
        <v>11404</v>
      </c>
      <c r="H9046" s="40" t="s">
        <v>11404</v>
      </c>
    </row>
    <row r="9047">
      <c r="A9047" s="39"/>
      <c r="E9047" s="40" t="s">
        <v>11404</v>
      </c>
      <c r="F9047" s="40" t="s">
        <v>11404</v>
      </c>
      <c r="G9047" s="40" t="s">
        <v>11404</v>
      </c>
      <c r="H9047" s="40" t="s">
        <v>11404</v>
      </c>
    </row>
    <row r="9048">
      <c r="A9048" s="39"/>
      <c r="E9048" s="40" t="s">
        <v>11404</v>
      </c>
      <c r="F9048" s="40" t="s">
        <v>11404</v>
      </c>
      <c r="G9048" s="40" t="s">
        <v>11404</v>
      </c>
      <c r="H9048" s="40" t="s">
        <v>11404</v>
      </c>
    </row>
    <row r="9049">
      <c r="A9049" s="39"/>
      <c r="E9049" s="40" t="s">
        <v>11404</v>
      </c>
      <c r="F9049" s="40" t="s">
        <v>11404</v>
      </c>
      <c r="G9049" s="40" t="s">
        <v>11404</v>
      </c>
      <c r="H9049" s="40" t="s">
        <v>11404</v>
      </c>
    </row>
    <row r="9050">
      <c r="A9050" s="39"/>
      <c r="E9050" s="40" t="s">
        <v>11404</v>
      </c>
      <c r="F9050" s="40" t="s">
        <v>11404</v>
      </c>
      <c r="G9050" s="40" t="s">
        <v>11404</v>
      </c>
      <c r="H9050" s="40" t="s">
        <v>11404</v>
      </c>
    </row>
    <row r="9051">
      <c r="A9051" s="39"/>
      <c r="E9051" s="40" t="s">
        <v>11404</v>
      </c>
      <c r="F9051" s="40" t="s">
        <v>11404</v>
      </c>
      <c r="G9051" s="40" t="s">
        <v>11404</v>
      </c>
      <c r="H9051" s="40" t="s">
        <v>11404</v>
      </c>
    </row>
    <row r="9052">
      <c r="A9052" s="39"/>
      <c r="E9052" s="40" t="s">
        <v>11404</v>
      </c>
      <c r="F9052" s="40" t="s">
        <v>11404</v>
      </c>
      <c r="G9052" s="40" t="s">
        <v>11404</v>
      </c>
      <c r="H9052" s="40" t="s">
        <v>11404</v>
      </c>
    </row>
    <row r="9053">
      <c r="A9053" s="39"/>
      <c r="E9053" s="40" t="s">
        <v>11404</v>
      </c>
      <c r="F9053" s="40" t="s">
        <v>11404</v>
      </c>
      <c r="G9053" s="40" t="s">
        <v>11404</v>
      </c>
      <c r="H9053" s="40" t="s">
        <v>11404</v>
      </c>
    </row>
    <row r="9054">
      <c r="A9054" s="39"/>
      <c r="E9054" s="40" t="s">
        <v>11404</v>
      </c>
      <c r="F9054" s="40" t="s">
        <v>11404</v>
      </c>
      <c r="G9054" s="40" t="s">
        <v>11404</v>
      </c>
      <c r="H9054" s="40" t="s">
        <v>11404</v>
      </c>
    </row>
    <row r="9055">
      <c r="A9055" s="39"/>
      <c r="E9055" s="40" t="s">
        <v>11404</v>
      </c>
      <c r="F9055" s="40" t="s">
        <v>11404</v>
      </c>
      <c r="G9055" s="40" t="s">
        <v>11404</v>
      </c>
      <c r="H9055" s="40" t="s">
        <v>11404</v>
      </c>
    </row>
    <row r="9056">
      <c r="A9056" s="39"/>
      <c r="E9056" s="40" t="s">
        <v>11404</v>
      </c>
      <c r="F9056" s="40" t="s">
        <v>11404</v>
      </c>
      <c r="G9056" s="40" t="s">
        <v>11404</v>
      </c>
      <c r="H9056" s="40" t="s">
        <v>11404</v>
      </c>
    </row>
    <row r="9057">
      <c r="A9057" s="39"/>
      <c r="E9057" s="40" t="s">
        <v>11404</v>
      </c>
      <c r="F9057" s="40" t="s">
        <v>11404</v>
      </c>
      <c r="G9057" s="40" t="s">
        <v>11404</v>
      </c>
      <c r="H9057" s="40" t="s">
        <v>11404</v>
      </c>
    </row>
    <row r="9058">
      <c r="A9058" s="39"/>
      <c r="E9058" s="40" t="s">
        <v>11404</v>
      </c>
      <c r="F9058" s="40" t="s">
        <v>11404</v>
      </c>
      <c r="G9058" s="40" t="s">
        <v>11404</v>
      </c>
      <c r="H9058" s="40" t="s">
        <v>11404</v>
      </c>
    </row>
    <row r="9059">
      <c r="A9059" s="39"/>
      <c r="E9059" s="40" t="s">
        <v>11404</v>
      </c>
      <c r="F9059" s="40" t="s">
        <v>11404</v>
      </c>
      <c r="G9059" s="40" t="s">
        <v>11404</v>
      </c>
      <c r="H9059" s="40" t="s">
        <v>11404</v>
      </c>
    </row>
    <row r="9060">
      <c r="A9060" s="39"/>
      <c r="E9060" s="40" t="s">
        <v>11404</v>
      </c>
      <c r="F9060" s="40" t="s">
        <v>11404</v>
      </c>
      <c r="G9060" s="40" t="s">
        <v>11404</v>
      </c>
      <c r="H9060" s="40" t="s">
        <v>11404</v>
      </c>
    </row>
    <row r="9061">
      <c r="A9061" s="39"/>
      <c r="E9061" s="40" t="s">
        <v>11404</v>
      </c>
      <c r="F9061" s="40" t="s">
        <v>11404</v>
      </c>
      <c r="G9061" s="40" t="s">
        <v>11404</v>
      </c>
      <c r="H9061" s="40" t="s">
        <v>11404</v>
      </c>
    </row>
    <row r="9062">
      <c r="A9062" s="39"/>
      <c r="E9062" s="40" t="s">
        <v>11404</v>
      </c>
      <c r="F9062" s="40" t="s">
        <v>11404</v>
      </c>
      <c r="G9062" s="40" t="s">
        <v>11404</v>
      </c>
      <c r="H9062" s="40" t="s">
        <v>11404</v>
      </c>
    </row>
    <row r="9063">
      <c r="A9063" s="39"/>
      <c r="E9063" s="40" t="s">
        <v>11404</v>
      </c>
      <c r="F9063" s="40" t="s">
        <v>11404</v>
      </c>
      <c r="G9063" s="40" t="s">
        <v>11404</v>
      </c>
      <c r="H9063" s="40" t="s">
        <v>11404</v>
      </c>
    </row>
    <row r="9064">
      <c r="A9064" s="39"/>
      <c r="E9064" s="40" t="s">
        <v>11404</v>
      </c>
      <c r="F9064" s="40" t="s">
        <v>11404</v>
      </c>
      <c r="G9064" s="40" t="s">
        <v>11404</v>
      </c>
      <c r="H9064" s="40" t="s">
        <v>11404</v>
      </c>
    </row>
    <row r="9065">
      <c r="A9065" s="39"/>
      <c r="E9065" s="40" t="s">
        <v>11404</v>
      </c>
      <c r="F9065" s="40" t="s">
        <v>11404</v>
      </c>
      <c r="G9065" s="40" t="s">
        <v>11404</v>
      </c>
      <c r="H9065" s="40" t="s">
        <v>11404</v>
      </c>
    </row>
    <row r="9066">
      <c r="A9066" s="39"/>
      <c r="E9066" s="40" t="s">
        <v>11404</v>
      </c>
      <c r="F9066" s="40" t="s">
        <v>11404</v>
      </c>
      <c r="G9066" s="40" t="s">
        <v>11404</v>
      </c>
      <c r="H9066" s="40" t="s">
        <v>11404</v>
      </c>
    </row>
    <row r="9067">
      <c r="A9067" s="39"/>
      <c r="E9067" s="40" t="s">
        <v>11404</v>
      </c>
      <c r="F9067" s="40" t="s">
        <v>11404</v>
      </c>
      <c r="G9067" s="40" t="s">
        <v>11404</v>
      </c>
      <c r="H9067" s="40" t="s">
        <v>11404</v>
      </c>
    </row>
    <row r="9068">
      <c r="A9068" s="39"/>
      <c r="E9068" s="40" t="s">
        <v>11404</v>
      </c>
      <c r="F9068" s="40" t="s">
        <v>11404</v>
      </c>
      <c r="G9068" s="40" t="s">
        <v>11404</v>
      </c>
      <c r="H9068" s="40" t="s">
        <v>11404</v>
      </c>
    </row>
    <row r="9069">
      <c r="A9069" s="39"/>
      <c r="E9069" s="40" t="s">
        <v>11404</v>
      </c>
      <c r="F9069" s="40" t="s">
        <v>11404</v>
      </c>
      <c r="G9069" s="40" t="s">
        <v>11404</v>
      </c>
      <c r="H9069" s="40" t="s">
        <v>11404</v>
      </c>
    </row>
    <row r="9070">
      <c r="A9070" s="39"/>
      <c r="E9070" s="40" t="s">
        <v>11404</v>
      </c>
      <c r="F9070" s="40" t="s">
        <v>11404</v>
      </c>
      <c r="G9070" s="40" t="s">
        <v>11404</v>
      </c>
      <c r="H9070" s="40" t="s">
        <v>11404</v>
      </c>
    </row>
    <row r="9071">
      <c r="A9071" s="39"/>
      <c r="E9071" s="40" t="s">
        <v>11404</v>
      </c>
      <c r="F9071" s="40" t="s">
        <v>11404</v>
      </c>
      <c r="G9071" s="40" t="s">
        <v>11404</v>
      </c>
      <c r="H9071" s="40" t="s">
        <v>11404</v>
      </c>
    </row>
    <row r="9072">
      <c r="A9072" s="39"/>
      <c r="E9072" s="40" t="s">
        <v>11404</v>
      </c>
      <c r="F9072" s="40" t="s">
        <v>11404</v>
      </c>
      <c r="G9072" s="40" t="s">
        <v>11404</v>
      </c>
      <c r="H9072" s="40" t="s">
        <v>11404</v>
      </c>
    </row>
    <row r="9073">
      <c r="A9073" s="39"/>
      <c r="E9073" s="40" t="s">
        <v>11404</v>
      </c>
      <c r="F9073" s="40" t="s">
        <v>11404</v>
      </c>
      <c r="G9073" s="40" t="s">
        <v>11404</v>
      </c>
      <c r="H9073" s="40" t="s">
        <v>11404</v>
      </c>
    </row>
    <row r="9074">
      <c r="A9074" s="39"/>
      <c r="E9074" s="40" t="s">
        <v>11404</v>
      </c>
      <c r="F9074" s="40" t="s">
        <v>11404</v>
      </c>
      <c r="G9074" s="40" t="s">
        <v>11404</v>
      </c>
      <c r="H9074" s="40" t="s">
        <v>11404</v>
      </c>
    </row>
    <row r="9075">
      <c r="A9075" s="39"/>
      <c r="E9075" s="40" t="s">
        <v>11404</v>
      </c>
      <c r="F9075" s="40" t="s">
        <v>11404</v>
      </c>
      <c r="G9075" s="40" t="s">
        <v>11404</v>
      </c>
      <c r="H9075" s="40" t="s">
        <v>11404</v>
      </c>
    </row>
    <row r="9076">
      <c r="A9076" s="39"/>
      <c r="E9076" s="40" t="s">
        <v>11404</v>
      </c>
      <c r="F9076" s="40" t="s">
        <v>11404</v>
      </c>
      <c r="G9076" s="40" t="s">
        <v>11404</v>
      </c>
      <c r="H9076" s="40" t="s">
        <v>11404</v>
      </c>
    </row>
    <row r="9077">
      <c r="A9077" s="39"/>
      <c r="E9077" s="40" t="s">
        <v>11404</v>
      </c>
      <c r="F9077" s="40" t="s">
        <v>11404</v>
      </c>
      <c r="G9077" s="40" t="s">
        <v>11404</v>
      </c>
      <c r="H9077" s="40" t="s">
        <v>11404</v>
      </c>
    </row>
    <row r="9078">
      <c r="A9078" s="39"/>
      <c r="E9078" s="40" t="s">
        <v>11404</v>
      </c>
      <c r="F9078" s="40" t="s">
        <v>11404</v>
      </c>
      <c r="G9078" s="40" t="s">
        <v>11404</v>
      </c>
      <c r="H9078" s="40" t="s">
        <v>11404</v>
      </c>
    </row>
    <row r="9079">
      <c r="A9079" s="39"/>
      <c r="E9079" s="40" t="s">
        <v>11404</v>
      </c>
      <c r="F9079" s="40" t="s">
        <v>11404</v>
      </c>
      <c r="G9079" s="40" t="s">
        <v>11404</v>
      </c>
      <c r="H9079" s="40" t="s">
        <v>11404</v>
      </c>
    </row>
    <row r="9080">
      <c r="A9080" s="39"/>
      <c r="E9080" s="40" t="s">
        <v>11404</v>
      </c>
      <c r="F9080" s="40" t="s">
        <v>11404</v>
      </c>
      <c r="G9080" s="40" t="s">
        <v>11404</v>
      </c>
      <c r="H9080" s="40" t="s">
        <v>11404</v>
      </c>
    </row>
    <row r="9081">
      <c r="A9081" s="39"/>
      <c r="E9081" s="40" t="s">
        <v>11404</v>
      </c>
      <c r="F9081" s="40" t="s">
        <v>11404</v>
      </c>
      <c r="G9081" s="40" t="s">
        <v>11404</v>
      </c>
      <c r="H9081" s="40" t="s">
        <v>11404</v>
      </c>
    </row>
    <row r="9082">
      <c r="A9082" s="39"/>
      <c r="E9082" s="40" t="s">
        <v>11404</v>
      </c>
      <c r="F9082" s="40" t="s">
        <v>11404</v>
      </c>
      <c r="G9082" s="40" t="s">
        <v>11404</v>
      </c>
      <c r="H9082" s="40" t="s">
        <v>11404</v>
      </c>
    </row>
    <row r="9083">
      <c r="A9083" s="39"/>
      <c r="E9083" s="40" t="s">
        <v>11404</v>
      </c>
      <c r="F9083" s="40" t="s">
        <v>11404</v>
      </c>
      <c r="G9083" s="40" t="s">
        <v>11404</v>
      </c>
      <c r="H9083" s="40" t="s">
        <v>11404</v>
      </c>
    </row>
    <row r="9084">
      <c r="A9084" s="39"/>
      <c r="E9084" s="40" t="s">
        <v>11404</v>
      </c>
      <c r="F9084" s="40" t="s">
        <v>11404</v>
      </c>
      <c r="G9084" s="40" t="s">
        <v>11404</v>
      </c>
      <c r="H9084" s="40" t="s">
        <v>11404</v>
      </c>
    </row>
    <row r="9085">
      <c r="A9085" s="39"/>
      <c r="E9085" s="40" t="s">
        <v>11404</v>
      </c>
      <c r="F9085" s="40" t="s">
        <v>11404</v>
      </c>
      <c r="G9085" s="40" t="s">
        <v>11404</v>
      </c>
      <c r="H9085" s="40" t="s">
        <v>11404</v>
      </c>
    </row>
    <row r="9086">
      <c r="A9086" s="39"/>
      <c r="E9086" s="40" t="s">
        <v>11404</v>
      </c>
      <c r="F9086" s="40" t="s">
        <v>11404</v>
      </c>
      <c r="G9086" s="40" t="s">
        <v>11404</v>
      </c>
      <c r="H9086" s="40" t="s">
        <v>11404</v>
      </c>
    </row>
    <row r="9087">
      <c r="A9087" s="39"/>
      <c r="E9087" s="40" t="s">
        <v>11404</v>
      </c>
      <c r="F9087" s="40" t="s">
        <v>11404</v>
      </c>
      <c r="G9087" s="40" t="s">
        <v>11404</v>
      </c>
      <c r="H9087" s="40" t="s">
        <v>11404</v>
      </c>
    </row>
    <row r="9088">
      <c r="A9088" s="39"/>
      <c r="E9088" s="40" t="s">
        <v>11404</v>
      </c>
      <c r="F9088" s="40" t="s">
        <v>11404</v>
      </c>
      <c r="G9088" s="40" t="s">
        <v>11404</v>
      </c>
      <c r="H9088" s="40" t="s">
        <v>11404</v>
      </c>
    </row>
    <row r="9089">
      <c r="A9089" s="39"/>
      <c r="E9089" s="40" t="s">
        <v>11404</v>
      </c>
      <c r="F9089" s="40" t="s">
        <v>11404</v>
      </c>
      <c r="G9089" s="40" t="s">
        <v>11404</v>
      </c>
      <c r="H9089" s="40" t="s">
        <v>11404</v>
      </c>
    </row>
    <row r="9090">
      <c r="A9090" s="39"/>
      <c r="E9090" s="40" t="s">
        <v>11404</v>
      </c>
      <c r="F9090" s="40" t="s">
        <v>11404</v>
      </c>
      <c r="G9090" s="40" t="s">
        <v>11404</v>
      </c>
      <c r="H9090" s="40" t="s">
        <v>11404</v>
      </c>
    </row>
    <row r="9091">
      <c r="A9091" s="39"/>
      <c r="E9091" s="40" t="s">
        <v>11404</v>
      </c>
      <c r="F9091" s="40" t="s">
        <v>11404</v>
      </c>
      <c r="G9091" s="40" t="s">
        <v>11404</v>
      </c>
      <c r="H9091" s="40" t="s">
        <v>11404</v>
      </c>
    </row>
    <row r="9092">
      <c r="A9092" s="39"/>
      <c r="E9092" s="40" t="s">
        <v>11404</v>
      </c>
      <c r="F9092" s="40" t="s">
        <v>11404</v>
      </c>
      <c r="G9092" s="40" t="s">
        <v>11404</v>
      </c>
      <c r="H9092" s="40" t="s">
        <v>11404</v>
      </c>
    </row>
    <row r="9093">
      <c r="A9093" s="39"/>
      <c r="E9093" s="40" t="s">
        <v>11404</v>
      </c>
      <c r="F9093" s="40" t="s">
        <v>11404</v>
      </c>
      <c r="G9093" s="40" t="s">
        <v>11404</v>
      </c>
      <c r="H9093" s="40" t="s">
        <v>11404</v>
      </c>
    </row>
    <row r="9094">
      <c r="A9094" s="39"/>
      <c r="E9094" s="40" t="s">
        <v>11404</v>
      </c>
      <c r="F9094" s="40" t="s">
        <v>11404</v>
      </c>
      <c r="G9094" s="40" t="s">
        <v>11404</v>
      </c>
      <c r="H9094" s="40" t="s">
        <v>11404</v>
      </c>
    </row>
    <row r="9095">
      <c r="A9095" s="39"/>
      <c r="E9095" s="40" t="s">
        <v>11404</v>
      </c>
      <c r="F9095" s="40" t="s">
        <v>11404</v>
      </c>
      <c r="G9095" s="40" t="s">
        <v>11404</v>
      </c>
      <c r="H9095" s="40" t="s">
        <v>11404</v>
      </c>
    </row>
    <row r="9096">
      <c r="A9096" s="39"/>
      <c r="E9096" s="40" t="s">
        <v>11404</v>
      </c>
      <c r="F9096" s="40" t="s">
        <v>11404</v>
      </c>
      <c r="G9096" s="40" t="s">
        <v>11404</v>
      </c>
      <c r="H9096" s="40" t="s">
        <v>11404</v>
      </c>
    </row>
    <row r="9097">
      <c r="A9097" s="39"/>
      <c r="E9097" s="40" t="s">
        <v>11404</v>
      </c>
      <c r="F9097" s="40" t="s">
        <v>11404</v>
      </c>
      <c r="G9097" s="40" t="s">
        <v>11404</v>
      </c>
      <c r="H9097" s="40" t="s">
        <v>11404</v>
      </c>
    </row>
    <row r="9098">
      <c r="A9098" s="39"/>
      <c r="E9098" s="40" t="s">
        <v>11404</v>
      </c>
      <c r="F9098" s="40" t="s">
        <v>11404</v>
      </c>
      <c r="G9098" s="40" t="s">
        <v>11404</v>
      </c>
      <c r="H9098" s="40" t="s">
        <v>11404</v>
      </c>
    </row>
    <row r="9099">
      <c r="A9099" s="39"/>
      <c r="E9099" s="40" t="s">
        <v>11404</v>
      </c>
      <c r="F9099" s="40" t="s">
        <v>11404</v>
      </c>
      <c r="G9099" s="40" t="s">
        <v>11404</v>
      </c>
      <c r="H9099" s="40" t="s">
        <v>11404</v>
      </c>
    </row>
    <row r="9100">
      <c r="A9100" s="39"/>
      <c r="E9100" s="40" t="s">
        <v>11404</v>
      </c>
      <c r="F9100" s="40" t="s">
        <v>11404</v>
      </c>
      <c r="G9100" s="40" t="s">
        <v>11404</v>
      </c>
      <c r="H9100" s="40" t="s">
        <v>11404</v>
      </c>
    </row>
    <row r="9101">
      <c r="A9101" s="39"/>
      <c r="E9101" s="40" t="s">
        <v>11404</v>
      </c>
      <c r="F9101" s="40" t="s">
        <v>11404</v>
      </c>
      <c r="G9101" s="40" t="s">
        <v>11404</v>
      </c>
      <c r="H9101" s="40" t="s">
        <v>11404</v>
      </c>
    </row>
    <row r="9102">
      <c r="A9102" s="39"/>
      <c r="E9102" s="40" t="s">
        <v>11404</v>
      </c>
      <c r="F9102" s="40" t="s">
        <v>11404</v>
      </c>
      <c r="G9102" s="40" t="s">
        <v>11404</v>
      </c>
      <c r="H9102" s="40" t="s">
        <v>11404</v>
      </c>
    </row>
    <row r="9103">
      <c r="A9103" s="39"/>
      <c r="E9103" s="40" t="s">
        <v>11404</v>
      </c>
      <c r="F9103" s="40" t="s">
        <v>11404</v>
      </c>
      <c r="G9103" s="40" t="s">
        <v>11404</v>
      </c>
      <c r="H9103" s="40" t="s">
        <v>11404</v>
      </c>
    </row>
    <row r="9104">
      <c r="A9104" s="39"/>
      <c r="E9104" s="40" t="s">
        <v>11404</v>
      </c>
      <c r="F9104" s="40" t="s">
        <v>11404</v>
      </c>
      <c r="G9104" s="40" t="s">
        <v>11404</v>
      </c>
      <c r="H9104" s="40" t="s">
        <v>11404</v>
      </c>
    </row>
    <row r="9105">
      <c r="A9105" s="39"/>
      <c r="E9105" s="40" t="s">
        <v>11404</v>
      </c>
      <c r="F9105" s="40" t="s">
        <v>11404</v>
      </c>
      <c r="G9105" s="40" t="s">
        <v>11404</v>
      </c>
      <c r="H9105" s="40" t="s">
        <v>11404</v>
      </c>
    </row>
    <row r="9106">
      <c r="A9106" s="39"/>
      <c r="E9106" s="40" t="s">
        <v>11404</v>
      </c>
      <c r="F9106" s="40" t="s">
        <v>11404</v>
      </c>
      <c r="G9106" s="40" t="s">
        <v>11404</v>
      </c>
      <c r="H9106" s="40" t="s">
        <v>11404</v>
      </c>
    </row>
    <row r="9107">
      <c r="A9107" s="39"/>
      <c r="E9107" s="40" t="s">
        <v>11404</v>
      </c>
      <c r="F9107" s="40" t="s">
        <v>11404</v>
      </c>
      <c r="G9107" s="40" t="s">
        <v>11404</v>
      </c>
      <c r="H9107" s="40" t="s">
        <v>11404</v>
      </c>
    </row>
    <row r="9108">
      <c r="A9108" s="39"/>
      <c r="E9108" s="40" t="s">
        <v>11404</v>
      </c>
      <c r="F9108" s="40" t="s">
        <v>11404</v>
      </c>
      <c r="G9108" s="40" t="s">
        <v>11404</v>
      </c>
      <c r="H9108" s="40" t="s">
        <v>11404</v>
      </c>
    </row>
    <row r="9109">
      <c r="A9109" s="39"/>
      <c r="E9109" s="40" t="s">
        <v>11404</v>
      </c>
      <c r="F9109" s="40" t="s">
        <v>11404</v>
      </c>
      <c r="G9109" s="40" t="s">
        <v>11404</v>
      </c>
      <c r="H9109" s="40" t="s">
        <v>11404</v>
      </c>
    </row>
    <row r="9110">
      <c r="A9110" s="39"/>
      <c r="E9110" s="40" t="s">
        <v>11404</v>
      </c>
      <c r="F9110" s="40" t="s">
        <v>11404</v>
      </c>
      <c r="G9110" s="40" t="s">
        <v>11404</v>
      </c>
      <c r="H9110" s="40" t="s">
        <v>11404</v>
      </c>
    </row>
    <row r="9111">
      <c r="A9111" s="39"/>
      <c r="E9111" s="40" t="s">
        <v>11404</v>
      </c>
      <c r="F9111" s="40" t="s">
        <v>11404</v>
      </c>
      <c r="G9111" s="40" t="s">
        <v>11404</v>
      </c>
      <c r="H9111" s="40" t="s">
        <v>11404</v>
      </c>
    </row>
    <row r="9112">
      <c r="A9112" s="39"/>
      <c r="E9112" s="40" t="s">
        <v>11404</v>
      </c>
      <c r="F9112" s="40" t="s">
        <v>11404</v>
      </c>
      <c r="G9112" s="40" t="s">
        <v>11404</v>
      </c>
      <c r="H9112" s="40" t="s">
        <v>11404</v>
      </c>
    </row>
    <row r="9113">
      <c r="A9113" s="39"/>
      <c r="E9113" s="40" t="s">
        <v>11404</v>
      </c>
      <c r="F9113" s="40" t="s">
        <v>11404</v>
      </c>
      <c r="G9113" s="40" t="s">
        <v>11404</v>
      </c>
      <c r="H9113" s="40" t="s">
        <v>11404</v>
      </c>
    </row>
    <row r="9114">
      <c r="A9114" s="39"/>
      <c r="E9114" s="40" t="s">
        <v>11404</v>
      </c>
      <c r="F9114" s="40" t="s">
        <v>11404</v>
      </c>
      <c r="G9114" s="40" t="s">
        <v>11404</v>
      </c>
      <c r="H9114" s="40" t="s">
        <v>11404</v>
      </c>
    </row>
    <row r="9115">
      <c r="A9115" s="39"/>
      <c r="E9115" s="40" t="s">
        <v>11404</v>
      </c>
      <c r="F9115" s="40" t="s">
        <v>11404</v>
      </c>
      <c r="G9115" s="40" t="s">
        <v>11404</v>
      </c>
      <c r="H9115" s="40" t="s">
        <v>11404</v>
      </c>
    </row>
    <row r="9116">
      <c r="A9116" s="39"/>
      <c r="E9116" s="40" t="s">
        <v>11404</v>
      </c>
      <c r="F9116" s="40" t="s">
        <v>11404</v>
      </c>
      <c r="G9116" s="40" t="s">
        <v>11404</v>
      </c>
      <c r="H9116" s="40" t="s">
        <v>11404</v>
      </c>
    </row>
    <row r="9117">
      <c r="A9117" s="39"/>
      <c r="E9117" s="40" t="s">
        <v>11404</v>
      </c>
      <c r="F9117" s="40" t="s">
        <v>11404</v>
      </c>
      <c r="G9117" s="40" t="s">
        <v>11404</v>
      </c>
      <c r="H9117" s="40" t="s">
        <v>11404</v>
      </c>
    </row>
    <row r="9118">
      <c r="A9118" s="39"/>
      <c r="E9118" s="40" t="s">
        <v>11404</v>
      </c>
      <c r="F9118" s="40" t="s">
        <v>11404</v>
      </c>
      <c r="G9118" s="40" t="s">
        <v>11404</v>
      </c>
      <c r="H9118" s="40" t="s">
        <v>11404</v>
      </c>
    </row>
    <row r="9119">
      <c r="A9119" s="39"/>
      <c r="E9119" s="40" t="s">
        <v>11404</v>
      </c>
      <c r="F9119" s="40" t="s">
        <v>11404</v>
      </c>
      <c r="G9119" s="40" t="s">
        <v>11404</v>
      </c>
      <c r="H9119" s="40" t="s">
        <v>11404</v>
      </c>
    </row>
    <row r="9120">
      <c r="A9120" s="39"/>
      <c r="E9120" s="40" t="s">
        <v>11404</v>
      </c>
      <c r="F9120" s="40" t="s">
        <v>11404</v>
      </c>
      <c r="G9120" s="40" t="s">
        <v>11404</v>
      </c>
      <c r="H9120" s="40" t="s">
        <v>11404</v>
      </c>
    </row>
    <row r="9121">
      <c r="A9121" s="39"/>
      <c r="E9121" s="40" t="s">
        <v>11404</v>
      </c>
      <c r="F9121" s="40" t="s">
        <v>11404</v>
      </c>
      <c r="G9121" s="40" t="s">
        <v>11404</v>
      </c>
      <c r="H9121" s="40" t="s">
        <v>11404</v>
      </c>
    </row>
    <row r="9122">
      <c r="A9122" s="39"/>
      <c r="E9122" s="40" t="s">
        <v>11404</v>
      </c>
      <c r="F9122" s="40" t="s">
        <v>11404</v>
      </c>
      <c r="G9122" s="40" t="s">
        <v>11404</v>
      </c>
      <c r="H9122" s="40" t="s">
        <v>11404</v>
      </c>
    </row>
    <row r="9123">
      <c r="A9123" s="39"/>
      <c r="E9123" s="40" t="s">
        <v>11404</v>
      </c>
      <c r="F9123" s="40" t="s">
        <v>11404</v>
      </c>
      <c r="G9123" s="40" t="s">
        <v>11404</v>
      </c>
      <c r="H9123" s="40" t="s">
        <v>11404</v>
      </c>
    </row>
    <row r="9124">
      <c r="A9124" s="39"/>
      <c r="E9124" s="40" t="s">
        <v>11404</v>
      </c>
      <c r="F9124" s="40" t="s">
        <v>11404</v>
      </c>
      <c r="G9124" s="40" t="s">
        <v>11404</v>
      </c>
      <c r="H9124" s="40" t="s">
        <v>11404</v>
      </c>
    </row>
    <row r="9125">
      <c r="A9125" s="39"/>
      <c r="E9125" s="40" t="s">
        <v>11404</v>
      </c>
      <c r="F9125" s="40" t="s">
        <v>11404</v>
      </c>
      <c r="G9125" s="40" t="s">
        <v>11404</v>
      </c>
      <c r="H9125" s="40" t="s">
        <v>11404</v>
      </c>
    </row>
    <row r="9126">
      <c r="A9126" s="39"/>
      <c r="E9126" s="40" t="s">
        <v>11404</v>
      </c>
      <c r="F9126" s="40" t="s">
        <v>11404</v>
      </c>
      <c r="G9126" s="40" t="s">
        <v>11404</v>
      </c>
      <c r="H9126" s="40" t="s">
        <v>11404</v>
      </c>
    </row>
    <row r="9127">
      <c r="A9127" s="39"/>
      <c r="E9127" s="40" t="s">
        <v>11404</v>
      </c>
      <c r="F9127" s="40" t="s">
        <v>11404</v>
      </c>
      <c r="G9127" s="40" t="s">
        <v>11404</v>
      </c>
      <c r="H9127" s="40" t="s">
        <v>11404</v>
      </c>
    </row>
    <row r="9128">
      <c r="A9128" s="39"/>
      <c r="E9128" s="40" t="s">
        <v>11404</v>
      </c>
      <c r="F9128" s="40" t="s">
        <v>11404</v>
      </c>
      <c r="G9128" s="40" t="s">
        <v>11404</v>
      </c>
      <c r="H9128" s="40" t="s">
        <v>11404</v>
      </c>
    </row>
    <row r="9129">
      <c r="A9129" s="39"/>
      <c r="E9129" s="40" t="s">
        <v>11404</v>
      </c>
      <c r="F9129" s="40" t="s">
        <v>11404</v>
      </c>
      <c r="G9129" s="40" t="s">
        <v>11404</v>
      </c>
      <c r="H9129" s="40" t="s">
        <v>11404</v>
      </c>
    </row>
    <row r="9130">
      <c r="A9130" s="39"/>
      <c r="E9130" s="40" t="s">
        <v>11404</v>
      </c>
      <c r="F9130" s="40" t="s">
        <v>11404</v>
      </c>
      <c r="G9130" s="40" t="s">
        <v>11404</v>
      </c>
      <c r="H9130" s="40" t="s">
        <v>11404</v>
      </c>
    </row>
    <row r="9131">
      <c r="A9131" s="39"/>
      <c r="E9131" s="40" t="s">
        <v>11404</v>
      </c>
      <c r="F9131" s="40" t="s">
        <v>11404</v>
      </c>
      <c r="G9131" s="40" t="s">
        <v>11404</v>
      </c>
      <c r="H9131" s="40" t="s">
        <v>11404</v>
      </c>
    </row>
    <row r="9132">
      <c r="A9132" s="39"/>
      <c r="E9132" s="40" t="s">
        <v>11404</v>
      </c>
      <c r="F9132" s="40" t="s">
        <v>11404</v>
      </c>
      <c r="G9132" s="40" t="s">
        <v>11404</v>
      </c>
      <c r="H9132" s="40" t="s">
        <v>11404</v>
      </c>
    </row>
    <row r="9133">
      <c r="A9133" s="39"/>
      <c r="E9133" s="40" t="s">
        <v>11404</v>
      </c>
      <c r="F9133" s="40" t="s">
        <v>11404</v>
      </c>
      <c r="G9133" s="40" t="s">
        <v>11404</v>
      </c>
      <c r="H9133" s="40" t="s">
        <v>11404</v>
      </c>
    </row>
    <row r="9134">
      <c r="A9134" s="39"/>
      <c r="E9134" s="40" t="s">
        <v>11404</v>
      </c>
      <c r="F9134" s="40" t="s">
        <v>11404</v>
      </c>
      <c r="G9134" s="40" t="s">
        <v>11404</v>
      </c>
      <c r="H9134" s="40" t="s">
        <v>11404</v>
      </c>
    </row>
    <row r="9135">
      <c r="A9135" s="39"/>
      <c r="E9135" s="40" t="s">
        <v>11404</v>
      </c>
      <c r="F9135" s="40" t="s">
        <v>11404</v>
      </c>
      <c r="G9135" s="40" t="s">
        <v>11404</v>
      </c>
      <c r="H9135" s="40" t="s">
        <v>11404</v>
      </c>
    </row>
    <row r="9136">
      <c r="A9136" s="39"/>
      <c r="E9136" s="40" t="s">
        <v>11404</v>
      </c>
      <c r="F9136" s="40" t="s">
        <v>11404</v>
      </c>
      <c r="G9136" s="40" t="s">
        <v>11404</v>
      </c>
      <c r="H9136" s="40" t="s">
        <v>11404</v>
      </c>
    </row>
    <row r="9137">
      <c r="A9137" s="39"/>
      <c r="E9137" s="40" t="s">
        <v>11404</v>
      </c>
      <c r="F9137" s="40" t="s">
        <v>11404</v>
      </c>
      <c r="G9137" s="40" t="s">
        <v>11404</v>
      </c>
      <c r="H9137" s="40" t="s">
        <v>11404</v>
      </c>
    </row>
    <row r="9138">
      <c r="A9138" s="39"/>
      <c r="E9138" s="40" t="s">
        <v>11404</v>
      </c>
      <c r="F9138" s="40" t="s">
        <v>11404</v>
      </c>
      <c r="G9138" s="40" t="s">
        <v>11404</v>
      </c>
      <c r="H9138" s="40" t="s">
        <v>11404</v>
      </c>
    </row>
    <row r="9139">
      <c r="A9139" s="39"/>
      <c r="E9139" s="40" t="s">
        <v>11404</v>
      </c>
      <c r="F9139" s="40" t="s">
        <v>11404</v>
      </c>
      <c r="G9139" s="40" t="s">
        <v>11404</v>
      </c>
      <c r="H9139" s="40" t="s">
        <v>11404</v>
      </c>
    </row>
    <row r="9140">
      <c r="A9140" s="39"/>
      <c r="E9140" s="40" t="s">
        <v>11404</v>
      </c>
      <c r="F9140" s="40" t="s">
        <v>11404</v>
      </c>
      <c r="G9140" s="40" t="s">
        <v>11404</v>
      </c>
      <c r="H9140" s="40" t="s">
        <v>11404</v>
      </c>
    </row>
    <row r="9141">
      <c r="A9141" s="39"/>
      <c r="E9141" s="40" t="s">
        <v>11404</v>
      </c>
      <c r="F9141" s="40" t="s">
        <v>11404</v>
      </c>
      <c r="G9141" s="40" t="s">
        <v>11404</v>
      </c>
      <c r="H9141" s="40" t="s">
        <v>11404</v>
      </c>
    </row>
    <row r="9142">
      <c r="A9142" s="39"/>
      <c r="E9142" s="40" t="s">
        <v>11404</v>
      </c>
      <c r="F9142" s="40" t="s">
        <v>11404</v>
      </c>
      <c r="G9142" s="40" t="s">
        <v>11404</v>
      </c>
      <c r="H9142" s="40" t="s">
        <v>11404</v>
      </c>
    </row>
    <row r="9143">
      <c r="A9143" s="39"/>
      <c r="E9143" s="40" t="s">
        <v>11404</v>
      </c>
      <c r="F9143" s="40" t="s">
        <v>11404</v>
      </c>
      <c r="G9143" s="40" t="s">
        <v>11404</v>
      </c>
      <c r="H9143" s="40" t="s">
        <v>11404</v>
      </c>
    </row>
    <row r="9144">
      <c r="A9144" s="39"/>
      <c r="E9144" s="40" t="s">
        <v>11404</v>
      </c>
      <c r="F9144" s="40" t="s">
        <v>11404</v>
      </c>
      <c r="G9144" s="40" t="s">
        <v>11404</v>
      </c>
      <c r="H9144" s="40" t="s">
        <v>11404</v>
      </c>
    </row>
    <row r="9145">
      <c r="A9145" s="39"/>
      <c r="E9145" s="40" t="s">
        <v>11404</v>
      </c>
      <c r="F9145" s="40" t="s">
        <v>11404</v>
      </c>
      <c r="G9145" s="40" t="s">
        <v>11404</v>
      </c>
      <c r="H9145" s="40" t="s">
        <v>11404</v>
      </c>
    </row>
    <row r="9146">
      <c r="A9146" s="39"/>
      <c r="E9146" s="40" t="s">
        <v>11404</v>
      </c>
      <c r="F9146" s="40" t="s">
        <v>11404</v>
      </c>
      <c r="G9146" s="40" t="s">
        <v>11404</v>
      </c>
      <c r="H9146" s="40" t="s">
        <v>11404</v>
      </c>
    </row>
    <row r="9147">
      <c r="A9147" s="39"/>
      <c r="E9147" s="40" t="s">
        <v>11404</v>
      </c>
      <c r="F9147" s="40" t="s">
        <v>11404</v>
      </c>
      <c r="G9147" s="40" t="s">
        <v>11404</v>
      </c>
      <c r="H9147" s="40" t="s">
        <v>11404</v>
      </c>
    </row>
    <row r="9148">
      <c r="A9148" s="39"/>
      <c r="E9148" s="40" t="s">
        <v>11404</v>
      </c>
      <c r="F9148" s="40" t="s">
        <v>11404</v>
      </c>
      <c r="G9148" s="40" t="s">
        <v>11404</v>
      </c>
      <c r="H9148" s="40" t="s">
        <v>11404</v>
      </c>
    </row>
    <row r="9149">
      <c r="A9149" s="39"/>
      <c r="E9149" s="40" t="s">
        <v>11404</v>
      </c>
      <c r="F9149" s="40" t="s">
        <v>11404</v>
      </c>
      <c r="G9149" s="40" t="s">
        <v>11404</v>
      </c>
      <c r="H9149" s="40" t="s">
        <v>11404</v>
      </c>
    </row>
    <row r="9150">
      <c r="A9150" s="39"/>
      <c r="E9150" s="40" t="s">
        <v>11404</v>
      </c>
      <c r="F9150" s="40" t="s">
        <v>11404</v>
      </c>
      <c r="G9150" s="40" t="s">
        <v>11404</v>
      </c>
      <c r="H9150" s="40" t="s">
        <v>11404</v>
      </c>
    </row>
    <row r="9151">
      <c r="A9151" s="39"/>
      <c r="E9151" s="40" t="s">
        <v>11404</v>
      </c>
      <c r="F9151" s="40" t="s">
        <v>11404</v>
      </c>
      <c r="G9151" s="40" t="s">
        <v>11404</v>
      </c>
      <c r="H9151" s="40" t="s">
        <v>11404</v>
      </c>
    </row>
    <row r="9152">
      <c r="A9152" s="39"/>
      <c r="E9152" s="40" t="s">
        <v>11404</v>
      </c>
      <c r="F9152" s="40" t="s">
        <v>11404</v>
      </c>
      <c r="G9152" s="40" t="s">
        <v>11404</v>
      </c>
      <c r="H9152" s="40" t="s">
        <v>11404</v>
      </c>
    </row>
    <row r="9153">
      <c r="A9153" s="39"/>
      <c r="E9153" s="40" t="s">
        <v>11404</v>
      </c>
      <c r="F9153" s="40" t="s">
        <v>11404</v>
      </c>
      <c r="G9153" s="40" t="s">
        <v>11404</v>
      </c>
      <c r="H9153" s="40" t="s">
        <v>11404</v>
      </c>
    </row>
    <row r="9154">
      <c r="A9154" s="39"/>
      <c r="E9154" s="40" t="s">
        <v>11404</v>
      </c>
      <c r="F9154" s="40" t="s">
        <v>11404</v>
      </c>
      <c r="G9154" s="40" t="s">
        <v>11404</v>
      </c>
      <c r="H9154" s="40" t="s">
        <v>11404</v>
      </c>
    </row>
    <row r="9155">
      <c r="A9155" s="39"/>
      <c r="E9155" s="40" t="s">
        <v>11404</v>
      </c>
      <c r="F9155" s="40" t="s">
        <v>11404</v>
      </c>
      <c r="G9155" s="40" t="s">
        <v>11404</v>
      </c>
      <c r="H9155" s="40" t="s">
        <v>11404</v>
      </c>
    </row>
    <row r="9156">
      <c r="A9156" s="39"/>
      <c r="E9156" s="40" t="s">
        <v>11404</v>
      </c>
      <c r="F9156" s="40" t="s">
        <v>11404</v>
      </c>
      <c r="G9156" s="40" t="s">
        <v>11404</v>
      </c>
      <c r="H9156" s="40" t="s">
        <v>11404</v>
      </c>
    </row>
    <row r="9157">
      <c r="A9157" s="39"/>
      <c r="E9157" s="40" t="s">
        <v>11404</v>
      </c>
      <c r="F9157" s="40" t="s">
        <v>11404</v>
      </c>
      <c r="G9157" s="40" t="s">
        <v>11404</v>
      </c>
      <c r="H9157" s="40" t="s">
        <v>11404</v>
      </c>
    </row>
    <row r="9158">
      <c r="A9158" s="39"/>
      <c r="E9158" s="40" t="s">
        <v>11404</v>
      </c>
      <c r="F9158" s="40" t="s">
        <v>11404</v>
      </c>
      <c r="G9158" s="40" t="s">
        <v>11404</v>
      </c>
      <c r="H9158" s="40" t="s">
        <v>11404</v>
      </c>
    </row>
    <row r="9159">
      <c r="A9159" s="39"/>
      <c r="E9159" s="40" t="s">
        <v>11404</v>
      </c>
      <c r="F9159" s="40" t="s">
        <v>11404</v>
      </c>
      <c r="G9159" s="40" t="s">
        <v>11404</v>
      </c>
      <c r="H9159" s="40" t="s">
        <v>11404</v>
      </c>
    </row>
    <row r="9160">
      <c r="A9160" s="39"/>
      <c r="E9160" s="40" t="s">
        <v>11404</v>
      </c>
      <c r="F9160" s="40" t="s">
        <v>11404</v>
      </c>
      <c r="G9160" s="40" t="s">
        <v>11404</v>
      </c>
      <c r="H9160" s="40" t="s">
        <v>11404</v>
      </c>
    </row>
    <row r="9161">
      <c r="A9161" s="39"/>
      <c r="E9161" s="40" t="s">
        <v>11404</v>
      </c>
      <c r="F9161" s="40" t="s">
        <v>11404</v>
      </c>
      <c r="G9161" s="40" t="s">
        <v>11404</v>
      </c>
      <c r="H9161" s="40" t="s">
        <v>11404</v>
      </c>
    </row>
    <row r="9162">
      <c r="A9162" s="39"/>
      <c r="E9162" s="40" t="s">
        <v>11404</v>
      </c>
      <c r="F9162" s="40" t="s">
        <v>11404</v>
      </c>
      <c r="G9162" s="40" t="s">
        <v>11404</v>
      </c>
      <c r="H9162" s="40" t="s">
        <v>11404</v>
      </c>
    </row>
    <row r="9163">
      <c r="A9163" s="39"/>
      <c r="E9163" s="40" t="s">
        <v>11404</v>
      </c>
      <c r="F9163" s="40" t="s">
        <v>11404</v>
      </c>
      <c r="G9163" s="40" t="s">
        <v>11404</v>
      </c>
      <c r="H9163" s="40" t="s">
        <v>11404</v>
      </c>
    </row>
    <row r="9164">
      <c r="A9164" s="39"/>
      <c r="E9164" s="40" t="s">
        <v>11404</v>
      </c>
      <c r="F9164" s="40" t="s">
        <v>11404</v>
      </c>
      <c r="G9164" s="40" t="s">
        <v>11404</v>
      </c>
      <c r="H9164" s="40" t="s">
        <v>11404</v>
      </c>
    </row>
    <row r="9165">
      <c r="A9165" s="39"/>
      <c r="E9165" s="40" t="s">
        <v>11404</v>
      </c>
      <c r="F9165" s="40" t="s">
        <v>11404</v>
      </c>
      <c r="G9165" s="40" t="s">
        <v>11404</v>
      </c>
      <c r="H9165" s="40" t="s">
        <v>11404</v>
      </c>
    </row>
    <row r="9166">
      <c r="A9166" s="39"/>
      <c r="E9166" s="40" t="s">
        <v>11404</v>
      </c>
      <c r="F9166" s="40" t="s">
        <v>11404</v>
      </c>
      <c r="G9166" s="40" t="s">
        <v>11404</v>
      </c>
      <c r="H9166" s="40" t="s">
        <v>11404</v>
      </c>
    </row>
    <row r="9167">
      <c r="A9167" s="39"/>
      <c r="E9167" s="40" t="s">
        <v>11404</v>
      </c>
      <c r="F9167" s="40" t="s">
        <v>11404</v>
      </c>
      <c r="G9167" s="40" t="s">
        <v>11404</v>
      </c>
      <c r="H9167" s="40" t="s">
        <v>11404</v>
      </c>
    </row>
    <row r="9168">
      <c r="A9168" s="39"/>
      <c r="E9168" s="40" t="s">
        <v>11404</v>
      </c>
      <c r="F9168" s="40" t="s">
        <v>11404</v>
      </c>
      <c r="G9168" s="40" t="s">
        <v>11404</v>
      </c>
      <c r="H9168" s="40" t="s">
        <v>11404</v>
      </c>
    </row>
    <row r="9169">
      <c r="A9169" s="39"/>
      <c r="E9169" s="40" t="s">
        <v>11404</v>
      </c>
      <c r="F9169" s="40" t="s">
        <v>11404</v>
      </c>
      <c r="G9169" s="40" t="s">
        <v>11404</v>
      </c>
      <c r="H9169" s="40" t="s">
        <v>11404</v>
      </c>
    </row>
    <row r="9170">
      <c r="A9170" s="39"/>
      <c r="E9170" s="40" t="s">
        <v>11404</v>
      </c>
      <c r="F9170" s="40" t="s">
        <v>11404</v>
      </c>
      <c r="G9170" s="40" t="s">
        <v>11404</v>
      </c>
      <c r="H9170" s="40" t="s">
        <v>11404</v>
      </c>
    </row>
    <row r="9171">
      <c r="A9171" s="39"/>
      <c r="E9171" s="40" t="s">
        <v>11404</v>
      </c>
      <c r="F9171" s="40" t="s">
        <v>11404</v>
      </c>
      <c r="G9171" s="40" t="s">
        <v>11404</v>
      </c>
      <c r="H9171" s="40" t="s">
        <v>11404</v>
      </c>
    </row>
    <row r="9172">
      <c r="A9172" s="39"/>
      <c r="E9172" s="40" t="s">
        <v>11404</v>
      </c>
      <c r="F9172" s="40" t="s">
        <v>11404</v>
      </c>
      <c r="G9172" s="40" t="s">
        <v>11404</v>
      </c>
      <c r="H9172" s="40" t="s">
        <v>11404</v>
      </c>
    </row>
    <row r="9173">
      <c r="A9173" s="39"/>
      <c r="E9173" s="40" t="s">
        <v>11404</v>
      </c>
      <c r="F9173" s="40" t="s">
        <v>11404</v>
      </c>
      <c r="G9173" s="40" t="s">
        <v>11404</v>
      </c>
      <c r="H9173" s="40" t="s">
        <v>11404</v>
      </c>
    </row>
    <row r="9174">
      <c r="A9174" s="39"/>
      <c r="E9174" s="40" t="s">
        <v>11404</v>
      </c>
      <c r="F9174" s="40" t="s">
        <v>11404</v>
      </c>
      <c r="G9174" s="40" t="s">
        <v>11404</v>
      </c>
      <c r="H9174" s="40" t="s">
        <v>11404</v>
      </c>
    </row>
    <row r="9175">
      <c r="A9175" s="39"/>
      <c r="E9175" s="40" t="s">
        <v>11404</v>
      </c>
      <c r="F9175" s="40" t="s">
        <v>11404</v>
      </c>
      <c r="G9175" s="40" t="s">
        <v>11404</v>
      </c>
      <c r="H9175" s="40" t="s">
        <v>11404</v>
      </c>
    </row>
    <row r="9176">
      <c r="A9176" s="39"/>
      <c r="E9176" s="40" t="s">
        <v>11404</v>
      </c>
      <c r="F9176" s="40" t="s">
        <v>11404</v>
      </c>
      <c r="G9176" s="40" t="s">
        <v>11404</v>
      </c>
      <c r="H9176" s="40" t="s">
        <v>11404</v>
      </c>
    </row>
    <row r="9177">
      <c r="A9177" s="39"/>
      <c r="E9177" s="40" t="s">
        <v>11404</v>
      </c>
      <c r="F9177" s="40" t="s">
        <v>11404</v>
      </c>
      <c r="G9177" s="40" t="s">
        <v>11404</v>
      </c>
      <c r="H9177" s="40" t="s">
        <v>11404</v>
      </c>
    </row>
    <row r="9178">
      <c r="A9178" s="39"/>
      <c r="E9178" s="40" t="s">
        <v>11404</v>
      </c>
      <c r="F9178" s="40" t="s">
        <v>11404</v>
      </c>
      <c r="G9178" s="40" t="s">
        <v>11404</v>
      </c>
      <c r="H9178" s="40" t="s">
        <v>11404</v>
      </c>
    </row>
    <row r="9179">
      <c r="A9179" s="39"/>
      <c r="E9179" s="40" t="s">
        <v>11404</v>
      </c>
      <c r="F9179" s="40" t="s">
        <v>11404</v>
      </c>
      <c r="G9179" s="40" t="s">
        <v>11404</v>
      </c>
      <c r="H9179" s="40" t="s">
        <v>11404</v>
      </c>
    </row>
    <row r="9180">
      <c r="A9180" s="39"/>
      <c r="E9180" s="40" t="s">
        <v>11404</v>
      </c>
      <c r="F9180" s="40" t="s">
        <v>11404</v>
      </c>
      <c r="G9180" s="40" t="s">
        <v>11404</v>
      </c>
      <c r="H9180" s="40" t="s">
        <v>11404</v>
      </c>
    </row>
    <row r="9181">
      <c r="A9181" s="39"/>
      <c r="E9181" s="40" t="s">
        <v>11404</v>
      </c>
      <c r="F9181" s="40" t="s">
        <v>11404</v>
      </c>
      <c r="G9181" s="40" t="s">
        <v>11404</v>
      </c>
      <c r="H9181" s="40" t="s">
        <v>11404</v>
      </c>
    </row>
    <row r="9182">
      <c r="A9182" s="39"/>
      <c r="E9182" s="40" t="s">
        <v>11404</v>
      </c>
      <c r="F9182" s="40" t="s">
        <v>11404</v>
      </c>
      <c r="G9182" s="40" t="s">
        <v>11404</v>
      </c>
      <c r="H9182" s="40" t="s">
        <v>11404</v>
      </c>
    </row>
    <row r="9183">
      <c r="A9183" s="39"/>
      <c r="E9183" s="40" t="s">
        <v>11404</v>
      </c>
      <c r="F9183" s="40" t="s">
        <v>11404</v>
      </c>
      <c r="G9183" s="40" t="s">
        <v>11404</v>
      </c>
      <c r="H9183" s="40" t="s">
        <v>11404</v>
      </c>
    </row>
    <row r="9184">
      <c r="A9184" s="39"/>
      <c r="E9184" s="40" t="s">
        <v>11404</v>
      </c>
      <c r="F9184" s="40" t="s">
        <v>11404</v>
      </c>
      <c r="G9184" s="40" t="s">
        <v>11404</v>
      </c>
      <c r="H9184" s="40" t="s">
        <v>11404</v>
      </c>
    </row>
    <row r="9185">
      <c r="A9185" s="39"/>
      <c r="E9185" s="40" t="s">
        <v>11404</v>
      </c>
      <c r="F9185" s="40" t="s">
        <v>11404</v>
      </c>
      <c r="G9185" s="40" t="s">
        <v>11404</v>
      </c>
      <c r="H9185" s="40" t="s">
        <v>11404</v>
      </c>
    </row>
    <row r="9186">
      <c r="A9186" s="39"/>
      <c r="E9186" s="40" t="s">
        <v>11404</v>
      </c>
      <c r="F9186" s="40" t="s">
        <v>11404</v>
      </c>
      <c r="G9186" s="40" t="s">
        <v>11404</v>
      </c>
      <c r="H9186" s="40" t="s">
        <v>11404</v>
      </c>
    </row>
    <row r="9187">
      <c r="A9187" s="39"/>
      <c r="E9187" s="40" t="s">
        <v>11404</v>
      </c>
      <c r="F9187" s="40" t="s">
        <v>11404</v>
      </c>
      <c r="G9187" s="40" t="s">
        <v>11404</v>
      </c>
      <c r="H9187" s="40" t="s">
        <v>11404</v>
      </c>
    </row>
    <row r="9188">
      <c r="A9188" s="39"/>
      <c r="E9188" s="40" t="s">
        <v>11404</v>
      </c>
      <c r="F9188" s="40" t="s">
        <v>11404</v>
      </c>
      <c r="G9188" s="40" t="s">
        <v>11404</v>
      </c>
      <c r="H9188" s="40" t="s">
        <v>11404</v>
      </c>
    </row>
    <row r="9189">
      <c r="A9189" s="39"/>
      <c r="E9189" s="40" t="s">
        <v>11404</v>
      </c>
      <c r="F9189" s="40" t="s">
        <v>11404</v>
      </c>
      <c r="G9189" s="40" t="s">
        <v>11404</v>
      </c>
      <c r="H9189" s="40" t="s">
        <v>11404</v>
      </c>
    </row>
    <row r="9190">
      <c r="A9190" s="39"/>
      <c r="E9190" s="40" t="s">
        <v>11404</v>
      </c>
      <c r="F9190" s="40" t="s">
        <v>11404</v>
      </c>
      <c r="G9190" s="40" t="s">
        <v>11404</v>
      </c>
      <c r="H9190" s="40" t="s">
        <v>11404</v>
      </c>
    </row>
    <row r="9191">
      <c r="A9191" s="39"/>
      <c r="E9191" s="40" t="s">
        <v>11404</v>
      </c>
      <c r="F9191" s="40" t="s">
        <v>11404</v>
      </c>
      <c r="G9191" s="40" t="s">
        <v>11404</v>
      </c>
      <c r="H9191" s="40" t="s">
        <v>11404</v>
      </c>
    </row>
    <row r="9192">
      <c r="A9192" s="39"/>
      <c r="E9192" s="40" t="s">
        <v>11404</v>
      </c>
      <c r="F9192" s="40" t="s">
        <v>11404</v>
      </c>
      <c r="G9192" s="40" t="s">
        <v>11404</v>
      </c>
      <c r="H9192" s="40" t="s">
        <v>11404</v>
      </c>
    </row>
    <row r="9193">
      <c r="A9193" s="39"/>
      <c r="E9193" s="40" t="s">
        <v>11404</v>
      </c>
      <c r="F9193" s="40" t="s">
        <v>11404</v>
      </c>
      <c r="G9193" s="40" t="s">
        <v>11404</v>
      </c>
      <c r="H9193" s="40" t="s">
        <v>11404</v>
      </c>
    </row>
    <row r="9194">
      <c r="A9194" s="39"/>
      <c r="E9194" s="40" t="s">
        <v>11404</v>
      </c>
      <c r="F9194" s="40" t="s">
        <v>11404</v>
      </c>
      <c r="G9194" s="40" t="s">
        <v>11404</v>
      </c>
      <c r="H9194" s="40" t="s">
        <v>11404</v>
      </c>
    </row>
    <row r="9195">
      <c r="A9195" s="39"/>
      <c r="E9195" s="40" t="s">
        <v>11404</v>
      </c>
      <c r="F9195" s="40" t="s">
        <v>11404</v>
      </c>
      <c r="G9195" s="40" t="s">
        <v>11404</v>
      </c>
      <c r="H9195" s="40" t="s">
        <v>11404</v>
      </c>
    </row>
    <row r="9196">
      <c r="A9196" s="39"/>
      <c r="E9196" s="40" t="s">
        <v>11404</v>
      </c>
      <c r="F9196" s="40" t="s">
        <v>11404</v>
      </c>
      <c r="G9196" s="40" t="s">
        <v>11404</v>
      </c>
      <c r="H9196" s="40" t="s">
        <v>11404</v>
      </c>
    </row>
    <row r="9197">
      <c r="A9197" s="39"/>
      <c r="E9197" s="40" t="s">
        <v>11404</v>
      </c>
      <c r="F9197" s="40" t="s">
        <v>11404</v>
      </c>
      <c r="G9197" s="40" t="s">
        <v>11404</v>
      </c>
      <c r="H9197" s="40" t="s">
        <v>11404</v>
      </c>
    </row>
    <row r="9198">
      <c r="A9198" s="39"/>
      <c r="E9198" s="40" t="s">
        <v>11404</v>
      </c>
      <c r="F9198" s="40" t="s">
        <v>11404</v>
      </c>
      <c r="G9198" s="40" t="s">
        <v>11404</v>
      </c>
      <c r="H9198" s="40" t="s">
        <v>11404</v>
      </c>
    </row>
    <row r="9199">
      <c r="A9199" s="39"/>
      <c r="E9199" s="40" t="s">
        <v>11404</v>
      </c>
      <c r="F9199" s="40" t="s">
        <v>11404</v>
      </c>
      <c r="G9199" s="40" t="s">
        <v>11404</v>
      </c>
      <c r="H9199" s="40" t="s">
        <v>11404</v>
      </c>
    </row>
    <row r="9200">
      <c r="A9200" s="39"/>
      <c r="E9200" s="40" t="s">
        <v>11404</v>
      </c>
      <c r="F9200" s="40" t="s">
        <v>11404</v>
      </c>
      <c r="G9200" s="40" t="s">
        <v>11404</v>
      </c>
      <c r="H9200" s="40" t="s">
        <v>11404</v>
      </c>
    </row>
    <row r="9201">
      <c r="A9201" s="39"/>
      <c r="E9201" s="40" t="s">
        <v>11404</v>
      </c>
      <c r="F9201" s="40" t="s">
        <v>11404</v>
      </c>
      <c r="G9201" s="40" t="s">
        <v>11404</v>
      </c>
      <c r="H9201" s="40" t="s">
        <v>11404</v>
      </c>
    </row>
    <row r="9202">
      <c r="A9202" s="39"/>
      <c r="E9202" s="40" t="s">
        <v>11404</v>
      </c>
      <c r="F9202" s="40" t="s">
        <v>11404</v>
      </c>
      <c r="G9202" s="40" t="s">
        <v>11404</v>
      </c>
      <c r="H9202" s="40" t="s">
        <v>11404</v>
      </c>
    </row>
    <row r="9203">
      <c r="A9203" s="39"/>
      <c r="E9203" s="40" t="s">
        <v>11404</v>
      </c>
      <c r="F9203" s="40" t="s">
        <v>11404</v>
      </c>
      <c r="G9203" s="40" t="s">
        <v>11404</v>
      </c>
      <c r="H9203" s="40" t="s">
        <v>11404</v>
      </c>
    </row>
    <row r="9204">
      <c r="A9204" s="39"/>
      <c r="E9204" s="40" t="s">
        <v>11404</v>
      </c>
      <c r="F9204" s="40" t="s">
        <v>11404</v>
      </c>
      <c r="G9204" s="40" t="s">
        <v>11404</v>
      </c>
      <c r="H9204" s="40" t="s">
        <v>11404</v>
      </c>
    </row>
    <row r="9205">
      <c r="A9205" s="39"/>
      <c r="E9205" s="40" t="s">
        <v>11404</v>
      </c>
      <c r="F9205" s="40" t="s">
        <v>11404</v>
      </c>
      <c r="G9205" s="40" t="s">
        <v>11404</v>
      </c>
      <c r="H9205" s="40" t="s">
        <v>11404</v>
      </c>
    </row>
    <row r="9206">
      <c r="A9206" s="39"/>
      <c r="E9206" s="40" t="s">
        <v>11404</v>
      </c>
      <c r="F9206" s="40" t="s">
        <v>11404</v>
      </c>
      <c r="G9206" s="40" t="s">
        <v>11404</v>
      </c>
      <c r="H9206" s="40" t="s">
        <v>11404</v>
      </c>
    </row>
    <row r="9207">
      <c r="A9207" s="39"/>
      <c r="E9207" s="40" t="s">
        <v>11404</v>
      </c>
      <c r="F9207" s="40" t="s">
        <v>11404</v>
      </c>
      <c r="G9207" s="40" t="s">
        <v>11404</v>
      </c>
      <c r="H9207" s="40" t="s">
        <v>11404</v>
      </c>
    </row>
    <row r="9208">
      <c r="A9208" s="39"/>
      <c r="E9208" s="40" t="s">
        <v>11404</v>
      </c>
      <c r="F9208" s="40" t="s">
        <v>11404</v>
      </c>
      <c r="G9208" s="40" t="s">
        <v>11404</v>
      </c>
      <c r="H9208" s="40" t="s">
        <v>11404</v>
      </c>
    </row>
    <row r="9209">
      <c r="A9209" s="39"/>
      <c r="E9209" s="40" t="s">
        <v>11404</v>
      </c>
      <c r="F9209" s="40" t="s">
        <v>11404</v>
      </c>
      <c r="G9209" s="40" t="s">
        <v>11404</v>
      </c>
      <c r="H9209" s="40" t="s">
        <v>11404</v>
      </c>
    </row>
    <row r="9210">
      <c r="A9210" s="39"/>
      <c r="E9210" s="40" t="s">
        <v>11404</v>
      </c>
      <c r="F9210" s="40" t="s">
        <v>11404</v>
      </c>
      <c r="G9210" s="40" t="s">
        <v>11404</v>
      </c>
      <c r="H9210" s="40" t="s">
        <v>11404</v>
      </c>
    </row>
    <row r="9211">
      <c r="A9211" s="39"/>
      <c r="E9211" s="40" t="s">
        <v>11404</v>
      </c>
      <c r="F9211" s="40" t="s">
        <v>11404</v>
      </c>
      <c r="G9211" s="40" t="s">
        <v>11404</v>
      </c>
      <c r="H9211" s="40" t="s">
        <v>11404</v>
      </c>
    </row>
    <row r="9212">
      <c r="A9212" s="39"/>
      <c r="E9212" s="40" t="s">
        <v>11404</v>
      </c>
      <c r="F9212" s="40" t="s">
        <v>11404</v>
      </c>
      <c r="G9212" s="40" t="s">
        <v>11404</v>
      </c>
      <c r="H9212" s="40" t="s">
        <v>11404</v>
      </c>
    </row>
    <row r="9213">
      <c r="A9213" s="39"/>
      <c r="E9213" s="40" t="s">
        <v>11404</v>
      </c>
      <c r="F9213" s="40" t="s">
        <v>11404</v>
      </c>
      <c r="G9213" s="40" t="s">
        <v>11404</v>
      </c>
      <c r="H9213" s="40" t="s">
        <v>11404</v>
      </c>
    </row>
    <row r="9214">
      <c r="A9214" s="39"/>
      <c r="E9214" s="40" t="s">
        <v>11404</v>
      </c>
      <c r="F9214" s="40" t="s">
        <v>11404</v>
      </c>
      <c r="G9214" s="40" t="s">
        <v>11404</v>
      </c>
      <c r="H9214" s="40" t="s">
        <v>11404</v>
      </c>
    </row>
    <row r="9215">
      <c r="A9215" s="39"/>
      <c r="E9215" s="40" t="s">
        <v>11404</v>
      </c>
      <c r="F9215" s="40" t="s">
        <v>11404</v>
      </c>
      <c r="G9215" s="40" t="s">
        <v>11404</v>
      </c>
      <c r="H9215" s="40" t="s">
        <v>11404</v>
      </c>
    </row>
    <row r="9216">
      <c r="A9216" s="39"/>
      <c r="E9216" s="40" t="s">
        <v>11404</v>
      </c>
      <c r="F9216" s="40" t="s">
        <v>11404</v>
      </c>
      <c r="G9216" s="40" t="s">
        <v>11404</v>
      </c>
      <c r="H9216" s="40" t="s">
        <v>11404</v>
      </c>
    </row>
    <row r="9217">
      <c r="A9217" s="39"/>
      <c r="E9217" s="40" t="s">
        <v>11404</v>
      </c>
      <c r="F9217" s="40" t="s">
        <v>11404</v>
      </c>
      <c r="G9217" s="40" t="s">
        <v>11404</v>
      </c>
      <c r="H9217" s="40" t="s">
        <v>11404</v>
      </c>
    </row>
    <row r="9218">
      <c r="A9218" s="39"/>
      <c r="E9218" s="40" t="s">
        <v>11404</v>
      </c>
      <c r="F9218" s="40" t="s">
        <v>11404</v>
      </c>
      <c r="G9218" s="40" t="s">
        <v>11404</v>
      </c>
      <c r="H9218" s="40" t="s">
        <v>11404</v>
      </c>
    </row>
    <row r="9219">
      <c r="A9219" s="39"/>
      <c r="E9219" s="40" t="s">
        <v>11404</v>
      </c>
      <c r="F9219" s="40" t="s">
        <v>11404</v>
      </c>
      <c r="G9219" s="40" t="s">
        <v>11404</v>
      </c>
      <c r="H9219" s="40" t="s">
        <v>11404</v>
      </c>
    </row>
    <row r="9220">
      <c r="A9220" s="39"/>
      <c r="E9220" s="40" t="s">
        <v>11404</v>
      </c>
      <c r="F9220" s="40" t="s">
        <v>11404</v>
      </c>
      <c r="G9220" s="40" t="s">
        <v>11404</v>
      </c>
      <c r="H9220" s="40" t="s">
        <v>11404</v>
      </c>
    </row>
    <row r="9221">
      <c r="A9221" s="39"/>
      <c r="E9221" s="40" t="s">
        <v>11404</v>
      </c>
      <c r="F9221" s="40" t="s">
        <v>11404</v>
      </c>
      <c r="G9221" s="40" t="s">
        <v>11404</v>
      </c>
      <c r="H9221" s="40" t="s">
        <v>11404</v>
      </c>
    </row>
    <row r="9222">
      <c r="A9222" s="39"/>
      <c r="E9222" s="40" t="s">
        <v>11404</v>
      </c>
      <c r="F9222" s="40" t="s">
        <v>11404</v>
      </c>
      <c r="G9222" s="40" t="s">
        <v>11404</v>
      </c>
      <c r="H9222" s="40" t="s">
        <v>11404</v>
      </c>
    </row>
    <row r="9223">
      <c r="A9223" s="39"/>
      <c r="E9223" s="40" t="s">
        <v>11404</v>
      </c>
      <c r="F9223" s="40" t="s">
        <v>11404</v>
      </c>
      <c r="G9223" s="40" t="s">
        <v>11404</v>
      </c>
      <c r="H9223" s="40" t="s">
        <v>11404</v>
      </c>
    </row>
    <row r="9224">
      <c r="A9224" s="39"/>
      <c r="E9224" s="40" t="s">
        <v>11404</v>
      </c>
      <c r="F9224" s="40" t="s">
        <v>11404</v>
      </c>
      <c r="G9224" s="40" t="s">
        <v>11404</v>
      </c>
      <c r="H9224" s="40" t="s">
        <v>11404</v>
      </c>
    </row>
    <row r="9225">
      <c r="A9225" s="39"/>
      <c r="E9225" s="40" t="s">
        <v>11404</v>
      </c>
      <c r="F9225" s="40" t="s">
        <v>11404</v>
      </c>
      <c r="G9225" s="40" t="s">
        <v>11404</v>
      </c>
      <c r="H9225" s="40" t="s">
        <v>11404</v>
      </c>
    </row>
    <row r="9226">
      <c r="A9226" s="39"/>
      <c r="E9226" s="40" t="s">
        <v>11404</v>
      </c>
      <c r="F9226" s="40" t="s">
        <v>11404</v>
      </c>
      <c r="G9226" s="40" t="s">
        <v>11404</v>
      </c>
      <c r="H9226" s="40" t="s">
        <v>11404</v>
      </c>
    </row>
    <row r="9227">
      <c r="A9227" s="39"/>
      <c r="E9227" s="40" t="s">
        <v>11404</v>
      </c>
      <c r="F9227" s="40" t="s">
        <v>11404</v>
      </c>
      <c r="G9227" s="40" t="s">
        <v>11404</v>
      </c>
      <c r="H9227" s="40" t="s">
        <v>11404</v>
      </c>
    </row>
    <row r="9228">
      <c r="A9228" s="39"/>
      <c r="E9228" s="40" t="s">
        <v>11404</v>
      </c>
      <c r="F9228" s="40" t="s">
        <v>11404</v>
      </c>
      <c r="G9228" s="40" t="s">
        <v>11404</v>
      </c>
      <c r="H9228" s="40" t="s">
        <v>11404</v>
      </c>
    </row>
    <row r="9229">
      <c r="A9229" s="39"/>
      <c r="E9229" s="40" t="s">
        <v>11404</v>
      </c>
      <c r="F9229" s="40" t="s">
        <v>11404</v>
      </c>
      <c r="G9229" s="40" t="s">
        <v>11404</v>
      </c>
      <c r="H9229" s="40" t="s">
        <v>11404</v>
      </c>
    </row>
    <row r="9230">
      <c r="A9230" s="39"/>
      <c r="E9230" s="40" t="s">
        <v>11404</v>
      </c>
      <c r="F9230" s="40" t="s">
        <v>11404</v>
      </c>
      <c r="G9230" s="40" t="s">
        <v>11404</v>
      </c>
      <c r="H9230" s="40" t="s">
        <v>11404</v>
      </c>
    </row>
    <row r="9231">
      <c r="A9231" s="39"/>
      <c r="E9231" s="40" t="s">
        <v>11404</v>
      </c>
      <c r="F9231" s="40" t="s">
        <v>11404</v>
      </c>
      <c r="G9231" s="40" t="s">
        <v>11404</v>
      </c>
      <c r="H9231" s="40" t="s">
        <v>11404</v>
      </c>
    </row>
    <row r="9232">
      <c r="A9232" s="39"/>
      <c r="E9232" s="40" t="s">
        <v>11404</v>
      </c>
      <c r="F9232" s="40" t="s">
        <v>11404</v>
      </c>
      <c r="G9232" s="40" t="s">
        <v>11404</v>
      </c>
      <c r="H9232" s="40" t="s">
        <v>11404</v>
      </c>
    </row>
    <row r="9233">
      <c r="A9233" s="39"/>
      <c r="E9233" s="40" t="s">
        <v>11404</v>
      </c>
      <c r="F9233" s="40" t="s">
        <v>11404</v>
      </c>
      <c r="G9233" s="40" t="s">
        <v>11404</v>
      </c>
      <c r="H9233" s="40" t="s">
        <v>11404</v>
      </c>
    </row>
    <row r="9234">
      <c r="A9234" s="39"/>
      <c r="E9234" s="40" t="s">
        <v>11404</v>
      </c>
      <c r="F9234" s="40" t="s">
        <v>11404</v>
      </c>
      <c r="G9234" s="40" t="s">
        <v>11404</v>
      </c>
      <c r="H9234" s="40" t="s">
        <v>11404</v>
      </c>
    </row>
    <row r="9235">
      <c r="A9235" s="39"/>
      <c r="E9235" s="40" t="s">
        <v>11404</v>
      </c>
      <c r="F9235" s="40" t="s">
        <v>11404</v>
      </c>
      <c r="G9235" s="40" t="s">
        <v>11404</v>
      </c>
      <c r="H9235" s="40" t="s">
        <v>11404</v>
      </c>
    </row>
    <row r="9236">
      <c r="A9236" s="39"/>
      <c r="E9236" s="40" t="s">
        <v>11404</v>
      </c>
      <c r="F9236" s="40" t="s">
        <v>11404</v>
      </c>
      <c r="G9236" s="40" t="s">
        <v>11404</v>
      </c>
      <c r="H9236" s="40" t="s">
        <v>11404</v>
      </c>
    </row>
    <row r="9237">
      <c r="A9237" s="39"/>
      <c r="E9237" s="40" t="s">
        <v>11404</v>
      </c>
      <c r="F9237" s="40" t="s">
        <v>11404</v>
      </c>
      <c r="G9237" s="40" t="s">
        <v>11404</v>
      </c>
      <c r="H9237" s="40" t="s">
        <v>11404</v>
      </c>
    </row>
    <row r="9238">
      <c r="A9238" s="39"/>
      <c r="E9238" s="40" t="s">
        <v>11404</v>
      </c>
      <c r="F9238" s="40" t="s">
        <v>11404</v>
      </c>
      <c r="G9238" s="40" t="s">
        <v>11404</v>
      </c>
      <c r="H9238" s="40" t="s">
        <v>11404</v>
      </c>
    </row>
    <row r="9239">
      <c r="A9239" s="39"/>
      <c r="E9239" s="40" t="s">
        <v>11404</v>
      </c>
      <c r="F9239" s="40" t="s">
        <v>11404</v>
      </c>
      <c r="G9239" s="40" t="s">
        <v>11404</v>
      </c>
      <c r="H9239" s="40" t="s">
        <v>11404</v>
      </c>
    </row>
    <row r="9240">
      <c r="A9240" s="39"/>
      <c r="E9240" s="40" t="s">
        <v>11404</v>
      </c>
      <c r="F9240" s="40" t="s">
        <v>11404</v>
      </c>
      <c r="G9240" s="40" t="s">
        <v>11404</v>
      </c>
      <c r="H9240" s="40" t="s">
        <v>11404</v>
      </c>
    </row>
    <row r="9241">
      <c r="A9241" s="39"/>
      <c r="E9241" s="40" t="s">
        <v>11404</v>
      </c>
      <c r="F9241" s="40" t="s">
        <v>11404</v>
      </c>
      <c r="G9241" s="40" t="s">
        <v>11404</v>
      </c>
      <c r="H9241" s="40" t="s">
        <v>11404</v>
      </c>
    </row>
    <row r="9242">
      <c r="A9242" s="39"/>
      <c r="E9242" s="40" t="s">
        <v>11404</v>
      </c>
      <c r="F9242" s="40" t="s">
        <v>11404</v>
      </c>
      <c r="G9242" s="40" t="s">
        <v>11404</v>
      </c>
      <c r="H9242" s="40" t="s">
        <v>11404</v>
      </c>
    </row>
    <row r="9243">
      <c r="A9243" s="39"/>
      <c r="E9243" s="40" t="s">
        <v>11404</v>
      </c>
      <c r="F9243" s="40" t="s">
        <v>11404</v>
      </c>
      <c r="G9243" s="40" t="s">
        <v>11404</v>
      </c>
      <c r="H9243" s="40" t="s">
        <v>11404</v>
      </c>
    </row>
    <row r="9244">
      <c r="A9244" s="39"/>
      <c r="E9244" s="40" t="s">
        <v>11404</v>
      </c>
      <c r="F9244" s="40" t="s">
        <v>11404</v>
      </c>
      <c r="G9244" s="40" t="s">
        <v>11404</v>
      </c>
      <c r="H9244" s="40" t="s">
        <v>11404</v>
      </c>
    </row>
    <row r="9245">
      <c r="A9245" s="39"/>
      <c r="E9245" s="40" t="s">
        <v>11404</v>
      </c>
      <c r="F9245" s="40" t="s">
        <v>11404</v>
      </c>
      <c r="G9245" s="40" t="s">
        <v>11404</v>
      </c>
      <c r="H9245" s="40" t="s">
        <v>11404</v>
      </c>
    </row>
    <row r="9246">
      <c r="A9246" s="39"/>
      <c r="E9246" s="40" t="s">
        <v>11404</v>
      </c>
      <c r="F9246" s="40" t="s">
        <v>11404</v>
      </c>
      <c r="G9246" s="40" t="s">
        <v>11404</v>
      </c>
      <c r="H9246" s="40" t="s">
        <v>11404</v>
      </c>
    </row>
    <row r="9247">
      <c r="A9247" s="39"/>
      <c r="E9247" s="40" t="s">
        <v>11404</v>
      </c>
      <c r="F9247" s="40" t="s">
        <v>11404</v>
      </c>
      <c r="G9247" s="40" t="s">
        <v>11404</v>
      </c>
      <c r="H9247" s="40" t="s">
        <v>11404</v>
      </c>
    </row>
    <row r="9248">
      <c r="A9248" s="39"/>
      <c r="E9248" s="40" t="s">
        <v>11404</v>
      </c>
      <c r="F9248" s="40" t="s">
        <v>11404</v>
      </c>
      <c r="G9248" s="40" t="s">
        <v>11404</v>
      </c>
      <c r="H9248" s="40" t="s">
        <v>11404</v>
      </c>
    </row>
    <row r="9249">
      <c r="A9249" s="39"/>
      <c r="E9249" s="40" t="s">
        <v>11404</v>
      </c>
      <c r="F9249" s="40" t="s">
        <v>11404</v>
      </c>
      <c r="G9249" s="40" t="s">
        <v>11404</v>
      </c>
      <c r="H9249" s="40" t="s">
        <v>11404</v>
      </c>
    </row>
    <row r="9250">
      <c r="A9250" s="39"/>
      <c r="E9250" s="40" t="s">
        <v>11404</v>
      </c>
      <c r="F9250" s="40" t="s">
        <v>11404</v>
      </c>
      <c r="G9250" s="40" t="s">
        <v>11404</v>
      </c>
      <c r="H9250" s="40" t="s">
        <v>11404</v>
      </c>
    </row>
    <row r="9251">
      <c r="A9251" s="39"/>
      <c r="E9251" s="40" t="s">
        <v>11404</v>
      </c>
      <c r="F9251" s="40" t="s">
        <v>11404</v>
      </c>
      <c r="G9251" s="40" t="s">
        <v>11404</v>
      </c>
      <c r="H9251" s="40" t="s">
        <v>11404</v>
      </c>
    </row>
    <row r="9252">
      <c r="A9252" s="39"/>
      <c r="E9252" s="40" t="s">
        <v>11404</v>
      </c>
      <c r="F9252" s="40" t="s">
        <v>11404</v>
      </c>
      <c r="G9252" s="40" t="s">
        <v>11404</v>
      </c>
      <c r="H9252" s="40" t="s">
        <v>11404</v>
      </c>
    </row>
    <row r="9253">
      <c r="A9253" s="39"/>
      <c r="E9253" s="40" t="s">
        <v>11404</v>
      </c>
      <c r="F9253" s="40" t="s">
        <v>11404</v>
      </c>
      <c r="G9253" s="40" t="s">
        <v>11404</v>
      </c>
      <c r="H9253" s="40" t="s">
        <v>11404</v>
      </c>
    </row>
    <row r="9254">
      <c r="A9254" s="39"/>
      <c r="E9254" s="40" t="s">
        <v>11404</v>
      </c>
      <c r="F9254" s="40" t="s">
        <v>11404</v>
      </c>
      <c r="G9254" s="40" t="s">
        <v>11404</v>
      </c>
      <c r="H9254" s="40" t="s">
        <v>11404</v>
      </c>
    </row>
    <row r="9255">
      <c r="A9255" s="39"/>
      <c r="E9255" s="40" t="s">
        <v>11404</v>
      </c>
      <c r="F9255" s="40" t="s">
        <v>11404</v>
      </c>
      <c r="G9255" s="40" t="s">
        <v>11404</v>
      </c>
      <c r="H9255" s="40" t="s">
        <v>11404</v>
      </c>
    </row>
    <row r="9256">
      <c r="A9256" s="39"/>
      <c r="E9256" s="40" t="s">
        <v>11404</v>
      </c>
      <c r="F9256" s="40" t="s">
        <v>11404</v>
      </c>
      <c r="G9256" s="40" t="s">
        <v>11404</v>
      </c>
      <c r="H9256" s="40" t="s">
        <v>11404</v>
      </c>
    </row>
    <row r="9257">
      <c r="A9257" s="39"/>
      <c r="E9257" s="40" t="s">
        <v>11404</v>
      </c>
      <c r="F9257" s="40" t="s">
        <v>11404</v>
      </c>
      <c r="G9257" s="40" t="s">
        <v>11404</v>
      </c>
      <c r="H9257" s="40" t="s">
        <v>11404</v>
      </c>
    </row>
    <row r="9258">
      <c r="A9258" s="39"/>
      <c r="E9258" s="40" t="s">
        <v>11404</v>
      </c>
      <c r="F9258" s="40" t="s">
        <v>11404</v>
      </c>
      <c r="G9258" s="40" t="s">
        <v>11404</v>
      </c>
      <c r="H9258" s="40" t="s">
        <v>11404</v>
      </c>
    </row>
    <row r="9259">
      <c r="A9259" s="39"/>
      <c r="E9259" s="40" t="s">
        <v>11404</v>
      </c>
      <c r="F9259" s="40" t="s">
        <v>11404</v>
      </c>
      <c r="G9259" s="40" t="s">
        <v>11404</v>
      </c>
      <c r="H9259" s="40" t="s">
        <v>11404</v>
      </c>
    </row>
    <row r="9260">
      <c r="A9260" s="39"/>
      <c r="E9260" s="40" t="s">
        <v>11404</v>
      </c>
      <c r="F9260" s="40" t="s">
        <v>11404</v>
      </c>
      <c r="G9260" s="40" t="s">
        <v>11404</v>
      </c>
      <c r="H9260" s="40" t="s">
        <v>11404</v>
      </c>
    </row>
    <row r="9261">
      <c r="A9261" s="39"/>
      <c r="E9261" s="40" t="s">
        <v>11404</v>
      </c>
      <c r="F9261" s="40" t="s">
        <v>11404</v>
      </c>
      <c r="G9261" s="40" t="s">
        <v>11404</v>
      </c>
      <c r="H9261" s="40" t="s">
        <v>11404</v>
      </c>
    </row>
    <row r="9262">
      <c r="A9262" s="39"/>
      <c r="E9262" s="40" t="s">
        <v>11404</v>
      </c>
      <c r="F9262" s="40" t="s">
        <v>11404</v>
      </c>
      <c r="G9262" s="40" t="s">
        <v>11404</v>
      </c>
      <c r="H9262" s="40" t="s">
        <v>11404</v>
      </c>
    </row>
    <row r="9263">
      <c r="A9263" s="39"/>
      <c r="E9263" s="40" t="s">
        <v>11404</v>
      </c>
      <c r="F9263" s="40" t="s">
        <v>11404</v>
      </c>
      <c r="G9263" s="40" t="s">
        <v>11404</v>
      </c>
      <c r="H9263" s="40" t="s">
        <v>11404</v>
      </c>
    </row>
    <row r="9264">
      <c r="A9264" s="39"/>
      <c r="E9264" s="40" t="s">
        <v>11404</v>
      </c>
      <c r="F9264" s="40" t="s">
        <v>11404</v>
      </c>
      <c r="G9264" s="40" t="s">
        <v>11404</v>
      </c>
      <c r="H9264" s="40" t="s">
        <v>11404</v>
      </c>
    </row>
    <row r="9265">
      <c r="A9265" s="39"/>
      <c r="E9265" s="40" t="s">
        <v>11404</v>
      </c>
      <c r="F9265" s="40" t="s">
        <v>11404</v>
      </c>
      <c r="G9265" s="40" t="s">
        <v>11404</v>
      </c>
      <c r="H9265" s="40" t="s">
        <v>11404</v>
      </c>
    </row>
    <row r="9266">
      <c r="A9266" s="39"/>
      <c r="E9266" s="40" t="s">
        <v>11404</v>
      </c>
      <c r="F9266" s="40" t="s">
        <v>11404</v>
      </c>
      <c r="G9266" s="40" t="s">
        <v>11404</v>
      </c>
      <c r="H9266" s="40" t="s">
        <v>11404</v>
      </c>
    </row>
    <row r="9267">
      <c r="A9267" s="39"/>
      <c r="E9267" s="40" t="s">
        <v>11404</v>
      </c>
      <c r="F9267" s="40" t="s">
        <v>11404</v>
      </c>
      <c r="G9267" s="40" t="s">
        <v>11404</v>
      </c>
      <c r="H9267" s="40" t="s">
        <v>11404</v>
      </c>
    </row>
    <row r="9268">
      <c r="A9268" s="39"/>
      <c r="E9268" s="40" t="s">
        <v>11404</v>
      </c>
      <c r="F9268" s="40" t="s">
        <v>11404</v>
      </c>
      <c r="G9268" s="40" t="s">
        <v>11404</v>
      </c>
      <c r="H9268" s="40" t="s">
        <v>11404</v>
      </c>
    </row>
    <row r="9269">
      <c r="A9269" s="39"/>
      <c r="E9269" s="40" t="s">
        <v>11404</v>
      </c>
      <c r="F9269" s="40" t="s">
        <v>11404</v>
      </c>
      <c r="G9269" s="40" t="s">
        <v>11404</v>
      </c>
      <c r="H9269" s="40" t="s">
        <v>11404</v>
      </c>
    </row>
    <row r="9270">
      <c r="A9270" s="39"/>
      <c r="E9270" s="40" t="s">
        <v>11404</v>
      </c>
      <c r="F9270" s="40" t="s">
        <v>11404</v>
      </c>
      <c r="G9270" s="40" t="s">
        <v>11404</v>
      </c>
      <c r="H9270" s="40" t="s">
        <v>11404</v>
      </c>
    </row>
    <row r="9271">
      <c r="A9271" s="39"/>
      <c r="E9271" s="40" t="s">
        <v>11404</v>
      </c>
      <c r="F9271" s="40" t="s">
        <v>11404</v>
      </c>
      <c r="G9271" s="40" t="s">
        <v>11404</v>
      </c>
      <c r="H9271" s="40" t="s">
        <v>11404</v>
      </c>
    </row>
    <row r="9272">
      <c r="A9272" s="39"/>
      <c r="E9272" s="40" t="s">
        <v>11404</v>
      </c>
      <c r="F9272" s="40" t="s">
        <v>11404</v>
      </c>
      <c r="G9272" s="40" t="s">
        <v>11404</v>
      </c>
      <c r="H9272" s="40" t="s">
        <v>11404</v>
      </c>
    </row>
    <row r="9273">
      <c r="A9273" s="39"/>
      <c r="E9273" s="40" t="s">
        <v>11404</v>
      </c>
      <c r="F9273" s="40" t="s">
        <v>11404</v>
      </c>
      <c r="G9273" s="40" t="s">
        <v>11404</v>
      </c>
      <c r="H9273" s="40" t="s">
        <v>11404</v>
      </c>
    </row>
    <row r="9274">
      <c r="A9274" s="39"/>
      <c r="E9274" s="40" t="s">
        <v>11404</v>
      </c>
      <c r="F9274" s="40" t="s">
        <v>11404</v>
      </c>
      <c r="G9274" s="40" t="s">
        <v>11404</v>
      </c>
      <c r="H9274" s="40" t="s">
        <v>11404</v>
      </c>
    </row>
    <row r="9275">
      <c r="A9275" s="39"/>
      <c r="E9275" s="40" t="s">
        <v>11404</v>
      </c>
      <c r="F9275" s="40" t="s">
        <v>11404</v>
      </c>
      <c r="G9275" s="40" t="s">
        <v>11404</v>
      </c>
      <c r="H9275" s="40" t="s">
        <v>11404</v>
      </c>
    </row>
    <row r="9276">
      <c r="A9276" s="39"/>
      <c r="E9276" s="40" t="s">
        <v>11404</v>
      </c>
      <c r="F9276" s="40" t="s">
        <v>11404</v>
      </c>
      <c r="G9276" s="40" t="s">
        <v>11404</v>
      </c>
      <c r="H9276" s="40" t="s">
        <v>11404</v>
      </c>
    </row>
    <row r="9277">
      <c r="A9277" s="39"/>
      <c r="E9277" s="40" t="s">
        <v>11404</v>
      </c>
      <c r="F9277" s="40" t="s">
        <v>11404</v>
      </c>
      <c r="G9277" s="40" t="s">
        <v>11404</v>
      </c>
      <c r="H9277" s="40" t="s">
        <v>11404</v>
      </c>
    </row>
    <row r="9278">
      <c r="A9278" s="39"/>
      <c r="E9278" s="40" t="s">
        <v>11404</v>
      </c>
      <c r="F9278" s="40" t="s">
        <v>11404</v>
      </c>
      <c r="G9278" s="40" t="s">
        <v>11404</v>
      </c>
      <c r="H9278" s="40" t="s">
        <v>11404</v>
      </c>
    </row>
    <row r="9279">
      <c r="A9279" s="39"/>
      <c r="E9279" s="40" t="s">
        <v>11404</v>
      </c>
      <c r="F9279" s="40" t="s">
        <v>11404</v>
      </c>
      <c r="G9279" s="40" t="s">
        <v>11404</v>
      </c>
      <c r="H9279" s="40" t="s">
        <v>11404</v>
      </c>
    </row>
    <row r="9280">
      <c r="A9280" s="39"/>
      <c r="E9280" s="40" t="s">
        <v>11404</v>
      </c>
      <c r="F9280" s="40" t="s">
        <v>11404</v>
      </c>
      <c r="G9280" s="40" t="s">
        <v>11404</v>
      </c>
      <c r="H9280" s="40" t="s">
        <v>11404</v>
      </c>
    </row>
    <row r="9281">
      <c r="A9281" s="39"/>
      <c r="E9281" s="40" t="s">
        <v>11404</v>
      </c>
      <c r="F9281" s="40" t="s">
        <v>11404</v>
      </c>
      <c r="G9281" s="40" t="s">
        <v>11404</v>
      </c>
      <c r="H9281" s="40" t="s">
        <v>11404</v>
      </c>
    </row>
    <row r="9282">
      <c r="A9282" s="39"/>
      <c r="E9282" s="40" t="s">
        <v>11404</v>
      </c>
      <c r="F9282" s="40" t="s">
        <v>11404</v>
      </c>
      <c r="G9282" s="40" t="s">
        <v>11404</v>
      </c>
      <c r="H9282" s="40" t="s">
        <v>11404</v>
      </c>
    </row>
    <row r="9283">
      <c r="A9283" s="39"/>
      <c r="E9283" s="40" t="s">
        <v>11404</v>
      </c>
      <c r="F9283" s="40" t="s">
        <v>11404</v>
      </c>
      <c r="G9283" s="40" t="s">
        <v>11404</v>
      </c>
      <c r="H9283" s="40" t="s">
        <v>11404</v>
      </c>
    </row>
    <row r="9284">
      <c r="A9284" s="39"/>
      <c r="E9284" s="40" t="s">
        <v>11404</v>
      </c>
      <c r="F9284" s="40" t="s">
        <v>11404</v>
      </c>
      <c r="G9284" s="40" t="s">
        <v>11404</v>
      </c>
      <c r="H9284" s="40" t="s">
        <v>11404</v>
      </c>
    </row>
    <row r="9285">
      <c r="A9285" s="39"/>
      <c r="E9285" s="40" t="s">
        <v>11404</v>
      </c>
      <c r="F9285" s="40" t="s">
        <v>11404</v>
      </c>
      <c r="G9285" s="40" t="s">
        <v>11404</v>
      </c>
      <c r="H9285" s="40" t="s">
        <v>11404</v>
      </c>
    </row>
    <row r="9286">
      <c r="A9286" s="39"/>
      <c r="E9286" s="40" t="s">
        <v>11404</v>
      </c>
      <c r="F9286" s="40" t="s">
        <v>11404</v>
      </c>
      <c r="G9286" s="40" t="s">
        <v>11404</v>
      </c>
      <c r="H9286" s="40" t="s">
        <v>11404</v>
      </c>
    </row>
    <row r="9287">
      <c r="A9287" s="39"/>
      <c r="E9287" s="40" t="s">
        <v>11404</v>
      </c>
      <c r="F9287" s="40" t="s">
        <v>11404</v>
      </c>
      <c r="G9287" s="40" t="s">
        <v>11404</v>
      </c>
      <c r="H9287" s="40" t="s">
        <v>11404</v>
      </c>
    </row>
    <row r="9288">
      <c r="A9288" s="39"/>
      <c r="E9288" s="40" t="s">
        <v>11404</v>
      </c>
      <c r="F9288" s="40" t="s">
        <v>11404</v>
      </c>
      <c r="G9288" s="40" t="s">
        <v>11404</v>
      </c>
      <c r="H9288" s="40" t="s">
        <v>11404</v>
      </c>
    </row>
    <row r="9289">
      <c r="A9289" s="39"/>
      <c r="E9289" s="40" t="s">
        <v>11404</v>
      </c>
      <c r="F9289" s="40" t="s">
        <v>11404</v>
      </c>
      <c r="G9289" s="40" t="s">
        <v>11404</v>
      </c>
      <c r="H9289" s="40" t="s">
        <v>11404</v>
      </c>
    </row>
    <row r="9290">
      <c r="A9290" s="39"/>
      <c r="E9290" s="40" t="s">
        <v>11404</v>
      </c>
      <c r="F9290" s="40" t="s">
        <v>11404</v>
      </c>
      <c r="G9290" s="40" t="s">
        <v>11404</v>
      </c>
      <c r="H9290" s="40" t="s">
        <v>11404</v>
      </c>
    </row>
    <row r="9291">
      <c r="A9291" s="39"/>
      <c r="E9291" s="40" t="s">
        <v>11404</v>
      </c>
      <c r="F9291" s="40" t="s">
        <v>11404</v>
      </c>
      <c r="G9291" s="40" t="s">
        <v>11404</v>
      </c>
      <c r="H9291" s="40" t="s">
        <v>11404</v>
      </c>
    </row>
    <row r="9292">
      <c r="A9292" s="39"/>
      <c r="E9292" s="40" t="s">
        <v>11404</v>
      </c>
      <c r="F9292" s="40" t="s">
        <v>11404</v>
      </c>
      <c r="G9292" s="40" t="s">
        <v>11404</v>
      </c>
      <c r="H9292" s="40" t="s">
        <v>11404</v>
      </c>
    </row>
    <row r="9293">
      <c r="A9293" s="39"/>
      <c r="E9293" s="40" t="s">
        <v>11404</v>
      </c>
      <c r="F9293" s="40" t="s">
        <v>11404</v>
      </c>
      <c r="G9293" s="40" t="s">
        <v>11404</v>
      </c>
      <c r="H9293" s="40" t="s">
        <v>11404</v>
      </c>
    </row>
    <row r="9294">
      <c r="A9294" s="39"/>
      <c r="E9294" s="40" t="s">
        <v>11404</v>
      </c>
      <c r="F9294" s="40" t="s">
        <v>11404</v>
      </c>
      <c r="G9294" s="40" t="s">
        <v>11404</v>
      </c>
      <c r="H9294" s="40" t="s">
        <v>11404</v>
      </c>
    </row>
    <row r="9295">
      <c r="A9295" s="39"/>
      <c r="E9295" s="40" t="s">
        <v>11404</v>
      </c>
      <c r="F9295" s="40" t="s">
        <v>11404</v>
      </c>
      <c r="G9295" s="40" t="s">
        <v>11404</v>
      </c>
      <c r="H9295" s="40" t="s">
        <v>11404</v>
      </c>
    </row>
    <row r="9296">
      <c r="A9296" s="39"/>
      <c r="E9296" s="40" t="s">
        <v>11404</v>
      </c>
      <c r="F9296" s="40" t="s">
        <v>11404</v>
      </c>
      <c r="G9296" s="40" t="s">
        <v>11404</v>
      </c>
      <c r="H9296" s="40" t="s">
        <v>11404</v>
      </c>
    </row>
    <row r="9297">
      <c r="A9297" s="39"/>
      <c r="E9297" s="40" t="s">
        <v>11404</v>
      </c>
      <c r="F9297" s="40" t="s">
        <v>11404</v>
      </c>
      <c r="G9297" s="40" t="s">
        <v>11404</v>
      </c>
      <c r="H9297" s="40" t="s">
        <v>11404</v>
      </c>
    </row>
    <row r="9298">
      <c r="A9298" s="39"/>
      <c r="E9298" s="40" t="s">
        <v>11404</v>
      </c>
      <c r="F9298" s="40" t="s">
        <v>11404</v>
      </c>
      <c r="G9298" s="40" t="s">
        <v>11404</v>
      </c>
      <c r="H9298" s="40" t="s">
        <v>11404</v>
      </c>
    </row>
    <row r="9299">
      <c r="A9299" s="39"/>
      <c r="E9299" s="40" t="s">
        <v>11404</v>
      </c>
      <c r="F9299" s="40" t="s">
        <v>11404</v>
      </c>
      <c r="G9299" s="40" t="s">
        <v>11404</v>
      </c>
      <c r="H9299" s="40" t="s">
        <v>11404</v>
      </c>
    </row>
    <row r="9300">
      <c r="A9300" s="39"/>
      <c r="E9300" s="40" t="s">
        <v>11404</v>
      </c>
      <c r="F9300" s="40" t="s">
        <v>11404</v>
      </c>
      <c r="G9300" s="40" t="s">
        <v>11404</v>
      </c>
      <c r="H9300" s="40" t="s">
        <v>11404</v>
      </c>
    </row>
    <row r="9301">
      <c r="A9301" s="39"/>
      <c r="E9301" s="40" t="s">
        <v>11404</v>
      </c>
      <c r="F9301" s="40" t="s">
        <v>11404</v>
      </c>
      <c r="G9301" s="40" t="s">
        <v>11404</v>
      </c>
      <c r="H9301" s="40" t="s">
        <v>11404</v>
      </c>
    </row>
    <row r="9302">
      <c r="A9302" s="39"/>
      <c r="E9302" s="40" t="s">
        <v>11404</v>
      </c>
      <c r="F9302" s="40" t="s">
        <v>11404</v>
      </c>
      <c r="G9302" s="40" t="s">
        <v>11404</v>
      </c>
      <c r="H9302" s="40" t="s">
        <v>11404</v>
      </c>
    </row>
    <row r="9303">
      <c r="A9303" s="39"/>
      <c r="E9303" s="40" t="s">
        <v>11404</v>
      </c>
      <c r="F9303" s="40" t="s">
        <v>11404</v>
      </c>
      <c r="G9303" s="40" t="s">
        <v>11404</v>
      </c>
      <c r="H9303" s="40" t="s">
        <v>11404</v>
      </c>
    </row>
    <row r="9304">
      <c r="A9304" s="39"/>
      <c r="E9304" s="40" t="s">
        <v>11404</v>
      </c>
      <c r="F9304" s="40" t="s">
        <v>11404</v>
      </c>
      <c r="G9304" s="40" t="s">
        <v>11404</v>
      </c>
      <c r="H9304" s="40" t="s">
        <v>11404</v>
      </c>
    </row>
    <row r="9305">
      <c r="A9305" s="39"/>
      <c r="E9305" s="40" t="s">
        <v>11404</v>
      </c>
      <c r="F9305" s="40" t="s">
        <v>11404</v>
      </c>
      <c r="G9305" s="40" t="s">
        <v>11404</v>
      </c>
      <c r="H9305" s="40" t="s">
        <v>11404</v>
      </c>
    </row>
    <row r="9306">
      <c r="A9306" s="39"/>
      <c r="E9306" s="40" t="s">
        <v>11404</v>
      </c>
      <c r="F9306" s="40" t="s">
        <v>11404</v>
      </c>
      <c r="G9306" s="40" t="s">
        <v>11404</v>
      </c>
      <c r="H9306" s="40" t="s">
        <v>11404</v>
      </c>
    </row>
    <row r="9307">
      <c r="A9307" s="39"/>
      <c r="E9307" s="40" t="s">
        <v>11404</v>
      </c>
      <c r="F9307" s="40" t="s">
        <v>11404</v>
      </c>
      <c r="G9307" s="40" t="s">
        <v>11404</v>
      </c>
      <c r="H9307" s="40" t="s">
        <v>11404</v>
      </c>
    </row>
    <row r="9308">
      <c r="A9308" s="39"/>
      <c r="E9308" s="40" t="s">
        <v>11404</v>
      </c>
      <c r="F9308" s="40" t="s">
        <v>11404</v>
      </c>
      <c r="G9308" s="40" t="s">
        <v>11404</v>
      </c>
      <c r="H9308" s="40" t="s">
        <v>11404</v>
      </c>
    </row>
    <row r="9309">
      <c r="A9309" s="39"/>
      <c r="E9309" s="40" t="s">
        <v>11404</v>
      </c>
      <c r="F9309" s="40" t="s">
        <v>11404</v>
      </c>
      <c r="G9309" s="40" t="s">
        <v>11404</v>
      </c>
      <c r="H9309" s="40" t="s">
        <v>11404</v>
      </c>
    </row>
    <row r="9310">
      <c r="A9310" s="39"/>
      <c r="E9310" s="40" t="s">
        <v>11404</v>
      </c>
      <c r="F9310" s="40" t="s">
        <v>11404</v>
      </c>
      <c r="G9310" s="40" t="s">
        <v>11404</v>
      </c>
      <c r="H9310" s="40" t="s">
        <v>11404</v>
      </c>
    </row>
    <row r="9311">
      <c r="A9311" s="39"/>
      <c r="E9311" s="40" t="s">
        <v>11404</v>
      </c>
      <c r="F9311" s="40" t="s">
        <v>11404</v>
      </c>
      <c r="G9311" s="40" t="s">
        <v>11404</v>
      </c>
      <c r="H9311" s="40" t="s">
        <v>11404</v>
      </c>
    </row>
    <row r="9312">
      <c r="A9312" s="39"/>
      <c r="E9312" s="40" t="s">
        <v>11404</v>
      </c>
      <c r="F9312" s="40" t="s">
        <v>11404</v>
      </c>
      <c r="G9312" s="40" t="s">
        <v>11404</v>
      </c>
      <c r="H9312" s="40" t="s">
        <v>11404</v>
      </c>
    </row>
    <row r="9313">
      <c r="A9313" s="39"/>
      <c r="E9313" s="40" t="s">
        <v>11404</v>
      </c>
      <c r="F9313" s="40" t="s">
        <v>11404</v>
      </c>
      <c r="G9313" s="40" t="s">
        <v>11404</v>
      </c>
      <c r="H9313" s="40" t="s">
        <v>11404</v>
      </c>
    </row>
    <row r="9314">
      <c r="A9314" s="39"/>
      <c r="E9314" s="40" t="s">
        <v>11404</v>
      </c>
      <c r="F9314" s="40" t="s">
        <v>11404</v>
      </c>
      <c r="G9314" s="40" t="s">
        <v>11404</v>
      </c>
      <c r="H9314" s="40" t="s">
        <v>11404</v>
      </c>
    </row>
    <row r="9315">
      <c r="A9315" s="39"/>
      <c r="E9315" s="40" t="s">
        <v>11404</v>
      </c>
      <c r="F9315" s="40" t="s">
        <v>11404</v>
      </c>
      <c r="G9315" s="40" t="s">
        <v>11404</v>
      </c>
      <c r="H9315" s="40" t="s">
        <v>11404</v>
      </c>
    </row>
    <row r="9316">
      <c r="A9316" s="39"/>
      <c r="E9316" s="40" t="s">
        <v>11404</v>
      </c>
      <c r="F9316" s="40" t="s">
        <v>11404</v>
      </c>
      <c r="G9316" s="40" t="s">
        <v>11404</v>
      </c>
      <c r="H9316" s="40" t="s">
        <v>11404</v>
      </c>
    </row>
    <row r="9317">
      <c r="A9317" s="39"/>
      <c r="E9317" s="40" t="s">
        <v>11404</v>
      </c>
      <c r="F9317" s="40" t="s">
        <v>11404</v>
      </c>
      <c r="G9317" s="40" t="s">
        <v>11404</v>
      </c>
      <c r="H9317" s="40" t="s">
        <v>11404</v>
      </c>
    </row>
    <row r="9318">
      <c r="A9318" s="39"/>
      <c r="E9318" s="40" t="s">
        <v>11404</v>
      </c>
      <c r="F9318" s="40" t="s">
        <v>11404</v>
      </c>
      <c r="G9318" s="40" t="s">
        <v>11404</v>
      </c>
      <c r="H9318" s="40" t="s">
        <v>11404</v>
      </c>
    </row>
    <row r="9319">
      <c r="A9319" s="39"/>
      <c r="E9319" s="40" t="s">
        <v>11404</v>
      </c>
      <c r="F9319" s="40" t="s">
        <v>11404</v>
      </c>
      <c r="G9319" s="40" t="s">
        <v>11404</v>
      </c>
      <c r="H9319" s="40" t="s">
        <v>11404</v>
      </c>
    </row>
    <row r="9320">
      <c r="A9320" s="39"/>
      <c r="E9320" s="40" t="s">
        <v>11404</v>
      </c>
      <c r="F9320" s="40" t="s">
        <v>11404</v>
      </c>
      <c r="G9320" s="40" t="s">
        <v>11404</v>
      </c>
      <c r="H9320" s="40" t="s">
        <v>11404</v>
      </c>
    </row>
    <row r="9321">
      <c r="A9321" s="39"/>
      <c r="E9321" s="40" t="s">
        <v>11404</v>
      </c>
      <c r="F9321" s="40" t="s">
        <v>11404</v>
      </c>
      <c r="G9321" s="40" t="s">
        <v>11404</v>
      </c>
      <c r="H9321" s="40" t="s">
        <v>11404</v>
      </c>
    </row>
    <row r="9322">
      <c r="A9322" s="39"/>
      <c r="E9322" s="40" t="s">
        <v>11404</v>
      </c>
      <c r="F9322" s="40" t="s">
        <v>11404</v>
      </c>
      <c r="G9322" s="40" t="s">
        <v>11404</v>
      </c>
      <c r="H9322" s="40" t="s">
        <v>11404</v>
      </c>
    </row>
    <row r="9323">
      <c r="A9323" s="39"/>
      <c r="E9323" s="40" t="s">
        <v>11404</v>
      </c>
      <c r="F9323" s="40" t="s">
        <v>11404</v>
      </c>
      <c r="G9323" s="40" t="s">
        <v>11404</v>
      </c>
      <c r="H9323" s="40" t="s">
        <v>11404</v>
      </c>
    </row>
    <row r="9324">
      <c r="A9324" s="39"/>
      <c r="E9324" s="40" t="s">
        <v>11404</v>
      </c>
      <c r="F9324" s="40" t="s">
        <v>11404</v>
      </c>
      <c r="G9324" s="40" t="s">
        <v>11404</v>
      </c>
      <c r="H9324" s="40" t="s">
        <v>11404</v>
      </c>
    </row>
    <row r="9325">
      <c r="A9325" s="39"/>
      <c r="E9325" s="40" t="s">
        <v>11404</v>
      </c>
      <c r="F9325" s="40" t="s">
        <v>11404</v>
      </c>
      <c r="G9325" s="40" t="s">
        <v>11404</v>
      </c>
      <c r="H9325" s="40" t="s">
        <v>11404</v>
      </c>
    </row>
    <row r="9326">
      <c r="A9326" s="39"/>
      <c r="E9326" s="40" t="s">
        <v>11404</v>
      </c>
      <c r="F9326" s="40" t="s">
        <v>11404</v>
      </c>
      <c r="G9326" s="40" t="s">
        <v>11404</v>
      </c>
      <c r="H9326" s="40" t="s">
        <v>11404</v>
      </c>
    </row>
    <row r="9327">
      <c r="A9327" s="39"/>
      <c r="E9327" s="40" t="s">
        <v>11404</v>
      </c>
      <c r="F9327" s="40" t="s">
        <v>11404</v>
      </c>
      <c r="G9327" s="40" t="s">
        <v>11404</v>
      </c>
      <c r="H9327" s="40" t="s">
        <v>11404</v>
      </c>
    </row>
    <row r="9328">
      <c r="A9328" s="39"/>
      <c r="E9328" s="40" t="s">
        <v>11404</v>
      </c>
      <c r="F9328" s="40" t="s">
        <v>11404</v>
      </c>
      <c r="G9328" s="40" t="s">
        <v>11404</v>
      </c>
      <c r="H9328" s="40" t="s">
        <v>11404</v>
      </c>
    </row>
    <row r="9329">
      <c r="A9329" s="39"/>
      <c r="E9329" s="40" t="s">
        <v>11404</v>
      </c>
      <c r="F9329" s="40" t="s">
        <v>11404</v>
      </c>
      <c r="G9329" s="40" t="s">
        <v>11404</v>
      </c>
      <c r="H9329" s="40" t="s">
        <v>11404</v>
      </c>
    </row>
    <row r="9330">
      <c r="A9330" s="39"/>
      <c r="E9330" s="40" t="s">
        <v>11404</v>
      </c>
      <c r="F9330" s="40" t="s">
        <v>11404</v>
      </c>
      <c r="G9330" s="40" t="s">
        <v>11404</v>
      </c>
      <c r="H9330" s="40" t="s">
        <v>11404</v>
      </c>
    </row>
    <row r="9331">
      <c r="A9331" s="39"/>
      <c r="E9331" s="40" t="s">
        <v>11404</v>
      </c>
      <c r="F9331" s="40" t="s">
        <v>11404</v>
      </c>
      <c r="G9331" s="40" t="s">
        <v>11404</v>
      </c>
      <c r="H9331" s="40" t="s">
        <v>11404</v>
      </c>
    </row>
    <row r="9332">
      <c r="A9332" s="39"/>
      <c r="E9332" s="40" t="s">
        <v>11404</v>
      </c>
      <c r="F9332" s="40" t="s">
        <v>11404</v>
      </c>
      <c r="G9332" s="40" t="s">
        <v>11404</v>
      </c>
      <c r="H9332" s="40" t="s">
        <v>11404</v>
      </c>
    </row>
    <row r="9333">
      <c r="A9333" s="39"/>
      <c r="E9333" s="40" t="s">
        <v>11404</v>
      </c>
      <c r="F9333" s="40" t="s">
        <v>11404</v>
      </c>
      <c r="G9333" s="40" t="s">
        <v>11404</v>
      </c>
      <c r="H9333" s="40" t="s">
        <v>11404</v>
      </c>
    </row>
    <row r="9334">
      <c r="A9334" s="39"/>
      <c r="E9334" s="40" t="s">
        <v>11404</v>
      </c>
      <c r="F9334" s="40" t="s">
        <v>11404</v>
      </c>
      <c r="G9334" s="40" t="s">
        <v>11404</v>
      </c>
      <c r="H9334" s="40" t="s">
        <v>11404</v>
      </c>
    </row>
    <row r="9335">
      <c r="A9335" s="39"/>
      <c r="E9335" s="40" t="s">
        <v>11404</v>
      </c>
      <c r="F9335" s="40" t="s">
        <v>11404</v>
      </c>
      <c r="G9335" s="40" t="s">
        <v>11404</v>
      </c>
      <c r="H9335" s="40" t="s">
        <v>11404</v>
      </c>
    </row>
    <row r="9336">
      <c r="A9336" s="39"/>
      <c r="E9336" s="40" t="s">
        <v>11404</v>
      </c>
      <c r="F9336" s="40" t="s">
        <v>11404</v>
      </c>
      <c r="G9336" s="40" t="s">
        <v>11404</v>
      </c>
      <c r="H9336" s="40" t="s">
        <v>11404</v>
      </c>
    </row>
    <row r="9337">
      <c r="A9337" s="39"/>
      <c r="E9337" s="40" t="s">
        <v>11404</v>
      </c>
      <c r="F9337" s="40" t="s">
        <v>11404</v>
      </c>
      <c r="G9337" s="40" t="s">
        <v>11404</v>
      </c>
      <c r="H9337" s="40" t="s">
        <v>11404</v>
      </c>
    </row>
    <row r="9338">
      <c r="A9338" s="39"/>
      <c r="E9338" s="40" t="s">
        <v>11404</v>
      </c>
      <c r="F9338" s="40" t="s">
        <v>11404</v>
      </c>
      <c r="G9338" s="40" t="s">
        <v>11404</v>
      </c>
      <c r="H9338" s="40" t="s">
        <v>11404</v>
      </c>
    </row>
    <row r="9339">
      <c r="A9339" s="39"/>
      <c r="E9339" s="40" t="s">
        <v>11404</v>
      </c>
      <c r="F9339" s="40" t="s">
        <v>11404</v>
      </c>
      <c r="G9339" s="40" t="s">
        <v>11404</v>
      </c>
      <c r="H9339" s="40" t="s">
        <v>11404</v>
      </c>
    </row>
    <row r="9340">
      <c r="A9340" s="39"/>
      <c r="E9340" s="40" t="s">
        <v>11404</v>
      </c>
      <c r="F9340" s="40" t="s">
        <v>11404</v>
      </c>
      <c r="G9340" s="40" t="s">
        <v>11404</v>
      </c>
      <c r="H9340" s="40" t="s">
        <v>11404</v>
      </c>
    </row>
    <row r="9341">
      <c r="A9341" s="39"/>
      <c r="E9341" s="40" t="s">
        <v>11404</v>
      </c>
      <c r="F9341" s="40" t="s">
        <v>11404</v>
      </c>
      <c r="G9341" s="40" t="s">
        <v>11404</v>
      </c>
      <c r="H9341" s="40" t="s">
        <v>11404</v>
      </c>
    </row>
    <row r="9342">
      <c r="A9342" s="39"/>
      <c r="E9342" s="40" t="s">
        <v>11404</v>
      </c>
      <c r="F9342" s="40" t="s">
        <v>11404</v>
      </c>
      <c r="G9342" s="40" t="s">
        <v>11404</v>
      </c>
      <c r="H9342" s="40" t="s">
        <v>11404</v>
      </c>
    </row>
    <row r="9343">
      <c r="A9343" s="39"/>
      <c r="E9343" s="40" t="s">
        <v>11404</v>
      </c>
      <c r="F9343" s="40" t="s">
        <v>11404</v>
      </c>
      <c r="G9343" s="40" t="s">
        <v>11404</v>
      </c>
      <c r="H9343" s="40" t="s">
        <v>11404</v>
      </c>
    </row>
    <row r="9344">
      <c r="A9344" s="39"/>
      <c r="E9344" s="40" t="s">
        <v>11404</v>
      </c>
      <c r="F9344" s="40" t="s">
        <v>11404</v>
      </c>
      <c r="G9344" s="40" t="s">
        <v>11404</v>
      </c>
      <c r="H9344" s="40" t="s">
        <v>11404</v>
      </c>
    </row>
    <row r="9345">
      <c r="A9345" s="39"/>
      <c r="E9345" s="40" t="s">
        <v>11404</v>
      </c>
      <c r="F9345" s="40" t="s">
        <v>11404</v>
      </c>
      <c r="G9345" s="40" t="s">
        <v>11404</v>
      </c>
      <c r="H9345" s="40" t="s">
        <v>11404</v>
      </c>
    </row>
    <row r="9346">
      <c r="A9346" s="39"/>
      <c r="E9346" s="40" t="s">
        <v>11404</v>
      </c>
      <c r="F9346" s="40" t="s">
        <v>11404</v>
      </c>
      <c r="G9346" s="40" t="s">
        <v>11404</v>
      </c>
      <c r="H9346" s="40" t="s">
        <v>11404</v>
      </c>
    </row>
    <row r="9347">
      <c r="A9347" s="39"/>
      <c r="E9347" s="40" t="s">
        <v>11404</v>
      </c>
      <c r="F9347" s="40" t="s">
        <v>11404</v>
      </c>
      <c r="G9347" s="40" t="s">
        <v>11404</v>
      </c>
      <c r="H9347" s="40" t="s">
        <v>11404</v>
      </c>
    </row>
    <row r="9348">
      <c r="A9348" s="39"/>
      <c r="E9348" s="40" t="s">
        <v>11404</v>
      </c>
      <c r="F9348" s="40" t="s">
        <v>11404</v>
      </c>
      <c r="G9348" s="40" t="s">
        <v>11404</v>
      </c>
      <c r="H9348" s="40" t="s">
        <v>11404</v>
      </c>
    </row>
    <row r="9349">
      <c r="A9349" s="39"/>
      <c r="E9349" s="40" t="s">
        <v>11404</v>
      </c>
      <c r="F9349" s="40" t="s">
        <v>11404</v>
      </c>
      <c r="G9349" s="40" t="s">
        <v>11404</v>
      </c>
      <c r="H9349" s="40" t="s">
        <v>11404</v>
      </c>
    </row>
    <row r="9350">
      <c r="A9350" s="39"/>
      <c r="E9350" s="40" t="s">
        <v>11404</v>
      </c>
      <c r="F9350" s="40" t="s">
        <v>11404</v>
      </c>
      <c r="G9350" s="40" t="s">
        <v>11404</v>
      </c>
      <c r="H9350" s="40" t="s">
        <v>11404</v>
      </c>
    </row>
    <row r="9351">
      <c r="A9351" s="39"/>
      <c r="E9351" s="40" t="s">
        <v>11404</v>
      </c>
      <c r="F9351" s="40" t="s">
        <v>11404</v>
      </c>
      <c r="G9351" s="40" t="s">
        <v>11404</v>
      </c>
      <c r="H9351" s="40" t="s">
        <v>11404</v>
      </c>
    </row>
    <row r="9352">
      <c r="A9352" s="39"/>
      <c r="E9352" s="40" t="s">
        <v>11404</v>
      </c>
      <c r="F9352" s="40" t="s">
        <v>11404</v>
      </c>
      <c r="G9352" s="40" t="s">
        <v>11404</v>
      </c>
      <c r="H9352" s="40" t="s">
        <v>11404</v>
      </c>
    </row>
    <row r="9353">
      <c r="A9353" s="39"/>
      <c r="E9353" s="40" t="s">
        <v>11404</v>
      </c>
      <c r="F9353" s="40" t="s">
        <v>11404</v>
      </c>
      <c r="G9353" s="40" t="s">
        <v>11404</v>
      </c>
      <c r="H9353" s="40" t="s">
        <v>11404</v>
      </c>
    </row>
    <row r="9354">
      <c r="A9354" s="39"/>
      <c r="E9354" s="40" t="s">
        <v>11404</v>
      </c>
      <c r="F9354" s="40" t="s">
        <v>11404</v>
      </c>
      <c r="G9354" s="40" t="s">
        <v>11404</v>
      </c>
      <c r="H9354" s="40" t="s">
        <v>11404</v>
      </c>
    </row>
    <row r="9355">
      <c r="A9355" s="39"/>
      <c r="E9355" s="40" t="s">
        <v>11404</v>
      </c>
      <c r="F9355" s="40" t="s">
        <v>11404</v>
      </c>
      <c r="G9355" s="40" t="s">
        <v>11404</v>
      </c>
      <c r="H9355" s="40" t="s">
        <v>11404</v>
      </c>
    </row>
    <row r="9356">
      <c r="A9356" s="39"/>
      <c r="E9356" s="40" t="s">
        <v>11404</v>
      </c>
      <c r="F9356" s="40" t="s">
        <v>11404</v>
      </c>
      <c r="G9356" s="40" t="s">
        <v>11404</v>
      </c>
      <c r="H9356" s="40" t="s">
        <v>11404</v>
      </c>
    </row>
    <row r="9357">
      <c r="A9357" s="39"/>
      <c r="E9357" s="40" t="s">
        <v>11404</v>
      </c>
      <c r="F9357" s="40" t="s">
        <v>11404</v>
      </c>
      <c r="G9357" s="40" t="s">
        <v>11404</v>
      </c>
      <c r="H9357" s="40" t="s">
        <v>11404</v>
      </c>
    </row>
    <row r="9358">
      <c r="A9358" s="39"/>
      <c r="E9358" s="40" t="s">
        <v>11404</v>
      </c>
      <c r="F9358" s="40" t="s">
        <v>11404</v>
      </c>
      <c r="G9358" s="40" t="s">
        <v>11404</v>
      </c>
      <c r="H9358" s="40" t="s">
        <v>11404</v>
      </c>
    </row>
    <row r="9359">
      <c r="A9359" s="39"/>
      <c r="E9359" s="40" t="s">
        <v>11404</v>
      </c>
      <c r="F9359" s="40" t="s">
        <v>11404</v>
      </c>
      <c r="G9359" s="40" t="s">
        <v>11404</v>
      </c>
      <c r="H9359" s="40" t="s">
        <v>11404</v>
      </c>
    </row>
    <row r="9360">
      <c r="A9360" s="39"/>
      <c r="E9360" s="40" t="s">
        <v>11404</v>
      </c>
      <c r="F9360" s="40" t="s">
        <v>11404</v>
      </c>
      <c r="G9360" s="40" t="s">
        <v>11404</v>
      </c>
      <c r="H9360" s="40" t="s">
        <v>11404</v>
      </c>
    </row>
    <row r="9361">
      <c r="A9361" s="39"/>
      <c r="E9361" s="40" t="s">
        <v>11404</v>
      </c>
      <c r="F9361" s="40" t="s">
        <v>11404</v>
      </c>
      <c r="G9361" s="40" t="s">
        <v>11404</v>
      </c>
      <c r="H9361" s="40" t="s">
        <v>11404</v>
      </c>
    </row>
    <row r="9362">
      <c r="A9362" s="39"/>
      <c r="E9362" s="40" t="s">
        <v>11404</v>
      </c>
      <c r="F9362" s="40" t="s">
        <v>11404</v>
      </c>
      <c r="G9362" s="40" t="s">
        <v>11404</v>
      </c>
      <c r="H9362" s="40" t="s">
        <v>11404</v>
      </c>
    </row>
    <row r="9363">
      <c r="A9363" s="39"/>
      <c r="E9363" s="40" t="s">
        <v>11404</v>
      </c>
      <c r="F9363" s="40" t="s">
        <v>11404</v>
      </c>
      <c r="G9363" s="40" t="s">
        <v>11404</v>
      </c>
      <c r="H9363" s="40" t="s">
        <v>11404</v>
      </c>
    </row>
    <row r="9364">
      <c r="A9364" s="39"/>
      <c r="E9364" s="40" t="s">
        <v>11404</v>
      </c>
      <c r="F9364" s="40" t="s">
        <v>11404</v>
      </c>
      <c r="G9364" s="40" t="s">
        <v>11404</v>
      </c>
      <c r="H9364" s="40" t="s">
        <v>11404</v>
      </c>
    </row>
    <row r="9365">
      <c r="A9365" s="39"/>
      <c r="E9365" s="40" t="s">
        <v>11404</v>
      </c>
      <c r="F9365" s="40" t="s">
        <v>11404</v>
      </c>
      <c r="G9365" s="40" t="s">
        <v>11404</v>
      </c>
      <c r="H9365" s="40" t="s">
        <v>11404</v>
      </c>
    </row>
    <row r="9366">
      <c r="A9366" s="39"/>
      <c r="E9366" s="40" t="s">
        <v>11404</v>
      </c>
      <c r="F9366" s="40" t="s">
        <v>11404</v>
      </c>
      <c r="G9366" s="40" t="s">
        <v>11404</v>
      </c>
      <c r="H9366" s="40" t="s">
        <v>11404</v>
      </c>
    </row>
    <row r="9367">
      <c r="A9367" s="39"/>
      <c r="E9367" s="40" t="s">
        <v>11404</v>
      </c>
      <c r="F9367" s="40" t="s">
        <v>11404</v>
      </c>
      <c r="G9367" s="40" t="s">
        <v>11404</v>
      </c>
      <c r="H9367" s="40" t="s">
        <v>11404</v>
      </c>
    </row>
    <row r="9368">
      <c r="A9368" s="39"/>
      <c r="E9368" s="40" t="s">
        <v>11404</v>
      </c>
      <c r="F9368" s="40" t="s">
        <v>11404</v>
      </c>
      <c r="G9368" s="40" t="s">
        <v>11404</v>
      </c>
      <c r="H9368" s="40" t="s">
        <v>11404</v>
      </c>
    </row>
    <row r="9369">
      <c r="A9369" s="39"/>
      <c r="E9369" s="40" t="s">
        <v>11404</v>
      </c>
      <c r="F9369" s="40" t="s">
        <v>11404</v>
      </c>
      <c r="G9369" s="40" t="s">
        <v>11404</v>
      </c>
      <c r="H9369" s="40" t="s">
        <v>11404</v>
      </c>
    </row>
    <row r="9370">
      <c r="A9370" s="39"/>
      <c r="E9370" s="40" t="s">
        <v>11404</v>
      </c>
      <c r="F9370" s="40" t="s">
        <v>11404</v>
      </c>
      <c r="G9370" s="40" t="s">
        <v>11404</v>
      </c>
      <c r="H9370" s="40" t="s">
        <v>11404</v>
      </c>
    </row>
    <row r="9371">
      <c r="A9371" s="39"/>
      <c r="E9371" s="40" t="s">
        <v>11404</v>
      </c>
      <c r="F9371" s="40" t="s">
        <v>11404</v>
      </c>
      <c r="G9371" s="40" t="s">
        <v>11404</v>
      </c>
      <c r="H9371" s="40" t="s">
        <v>11404</v>
      </c>
    </row>
    <row r="9372">
      <c r="A9372" s="39"/>
      <c r="E9372" s="40" t="s">
        <v>11404</v>
      </c>
      <c r="F9372" s="40" t="s">
        <v>11404</v>
      </c>
      <c r="G9372" s="40" t="s">
        <v>11404</v>
      </c>
      <c r="H9372" s="40" t="s">
        <v>11404</v>
      </c>
    </row>
    <row r="9373">
      <c r="A9373" s="39"/>
      <c r="E9373" s="40" t="s">
        <v>11404</v>
      </c>
      <c r="F9373" s="40" t="s">
        <v>11404</v>
      </c>
      <c r="G9373" s="40" t="s">
        <v>11404</v>
      </c>
      <c r="H9373" s="40" t="s">
        <v>11404</v>
      </c>
    </row>
    <row r="9374">
      <c r="A9374" s="39"/>
      <c r="E9374" s="40" t="s">
        <v>11404</v>
      </c>
      <c r="F9374" s="40" t="s">
        <v>11404</v>
      </c>
      <c r="G9374" s="40" t="s">
        <v>11404</v>
      </c>
      <c r="H9374" s="40" t="s">
        <v>11404</v>
      </c>
    </row>
    <row r="9375">
      <c r="A9375" s="39"/>
      <c r="E9375" s="40" t="s">
        <v>11404</v>
      </c>
      <c r="F9375" s="40" t="s">
        <v>11404</v>
      </c>
      <c r="G9375" s="40" t="s">
        <v>11404</v>
      </c>
      <c r="H9375" s="40" t="s">
        <v>11404</v>
      </c>
    </row>
    <row r="9376">
      <c r="A9376" s="39"/>
      <c r="E9376" s="40" t="s">
        <v>11404</v>
      </c>
      <c r="F9376" s="40" t="s">
        <v>11404</v>
      </c>
      <c r="G9376" s="40" t="s">
        <v>11404</v>
      </c>
      <c r="H9376" s="40" t="s">
        <v>11404</v>
      </c>
    </row>
    <row r="9377">
      <c r="A9377" s="39"/>
      <c r="E9377" s="40" t="s">
        <v>11404</v>
      </c>
      <c r="F9377" s="40" t="s">
        <v>11404</v>
      </c>
      <c r="G9377" s="40" t="s">
        <v>11404</v>
      </c>
      <c r="H9377" s="40" t="s">
        <v>11404</v>
      </c>
    </row>
    <row r="9378">
      <c r="A9378" s="39"/>
      <c r="E9378" s="40" t="s">
        <v>11404</v>
      </c>
      <c r="F9378" s="40" t="s">
        <v>11404</v>
      </c>
      <c r="G9378" s="40" t="s">
        <v>11404</v>
      </c>
      <c r="H9378" s="40" t="s">
        <v>11404</v>
      </c>
    </row>
    <row r="9379">
      <c r="A9379" s="39"/>
      <c r="E9379" s="40" t="s">
        <v>11404</v>
      </c>
      <c r="F9379" s="40" t="s">
        <v>11404</v>
      </c>
      <c r="G9379" s="40" t="s">
        <v>11404</v>
      </c>
      <c r="H9379" s="40" t="s">
        <v>11404</v>
      </c>
    </row>
    <row r="9380">
      <c r="A9380" s="39"/>
      <c r="E9380" s="40" t="s">
        <v>11404</v>
      </c>
      <c r="F9380" s="40" t="s">
        <v>11404</v>
      </c>
      <c r="G9380" s="40" t="s">
        <v>11404</v>
      </c>
      <c r="H9380" s="40" t="s">
        <v>11404</v>
      </c>
    </row>
    <row r="9381">
      <c r="A9381" s="39"/>
      <c r="E9381" s="40" t="s">
        <v>11404</v>
      </c>
      <c r="F9381" s="40" t="s">
        <v>11404</v>
      </c>
      <c r="G9381" s="40" t="s">
        <v>11404</v>
      </c>
      <c r="H9381" s="40" t="s">
        <v>11404</v>
      </c>
    </row>
    <row r="9382">
      <c r="A9382" s="39"/>
      <c r="E9382" s="40" t="s">
        <v>11404</v>
      </c>
      <c r="F9382" s="40" t="s">
        <v>11404</v>
      </c>
      <c r="G9382" s="40" t="s">
        <v>11404</v>
      </c>
      <c r="H9382" s="40" t="s">
        <v>11404</v>
      </c>
    </row>
    <row r="9383">
      <c r="A9383" s="39"/>
      <c r="E9383" s="40" t="s">
        <v>11404</v>
      </c>
      <c r="F9383" s="40" t="s">
        <v>11404</v>
      </c>
      <c r="G9383" s="40" t="s">
        <v>11404</v>
      </c>
      <c r="H9383" s="40" t="s">
        <v>11404</v>
      </c>
    </row>
    <row r="9384">
      <c r="A9384" s="39"/>
      <c r="E9384" s="40" t="s">
        <v>11404</v>
      </c>
      <c r="F9384" s="40" t="s">
        <v>11404</v>
      </c>
      <c r="G9384" s="40" t="s">
        <v>11404</v>
      </c>
      <c r="H9384" s="40" t="s">
        <v>11404</v>
      </c>
    </row>
    <row r="9385">
      <c r="A9385" s="39"/>
      <c r="E9385" s="40" t="s">
        <v>11404</v>
      </c>
      <c r="F9385" s="40" t="s">
        <v>11404</v>
      </c>
      <c r="G9385" s="40" t="s">
        <v>11404</v>
      </c>
      <c r="H9385" s="40" t="s">
        <v>11404</v>
      </c>
    </row>
    <row r="9386">
      <c r="A9386" s="39"/>
      <c r="E9386" s="40" t="s">
        <v>11404</v>
      </c>
      <c r="F9386" s="40" t="s">
        <v>11404</v>
      </c>
      <c r="G9386" s="40" t="s">
        <v>11404</v>
      </c>
      <c r="H9386" s="40" t="s">
        <v>11404</v>
      </c>
    </row>
    <row r="9387">
      <c r="A9387" s="39"/>
      <c r="E9387" s="40" t="s">
        <v>11404</v>
      </c>
      <c r="F9387" s="40" t="s">
        <v>11404</v>
      </c>
      <c r="G9387" s="40" t="s">
        <v>11404</v>
      </c>
      <c r="H9387" s="40" t="s">
        <v>11404</v>
      </c>
    </row>
    <row r="9388">
      <c r="A9388" s="39"/>
      <c r="E9388" s="40" t="s">
        <v>11404</v>
      </c>
      <c r="F9388" s="40" t="s">
        <v>11404</v>
      </c>
      <c r="G9388" s="40" t="s">
        <v>11404</v>
      </c>
      <c r="H9388" s="40" t="s">
        <v>11404</v>
      </c>
    </row>
    <row r="9389">
      <c r="A9389" s="39"/>
      <c r="E9389" s="40" t="s">
        <v>11404</v>
      </c>
      <c r="F9389" s="40" t="s">
        <v>11404</v>
      </c>
      <c r="G9389" s="40" t="s">
        <v>11404</v>
      </c>
      <c r="H9389" s="40" t="s">
        <v>11404</v>
      </c>
    </row>
    <row r="9390">
      <c r="A9390" s="39"/>
      <c r="E9390" s="40" t="s">
        <v>11404</v>
      </c>
      <c r="F9390" s="40" t="s">
        <v>11404</v>
      </c>
      <c r="G9390" s="40" t="s">
        <v>11404</v>
      </c>
      <c r="H9390" s="40" t="s">
        <v>11404</v>
      </c>
    </row>
    <row r="9391">
      <c r="A9391" s="39"/>
      <c r="E9391" s="40" t="s">
        <v>11404</v>
      </c>
      <c r="F9391" s="40" t="s">
        <v>11404</v>
      </c>
      <c r="G9391" s="40" t="s">
        <v>11404</v>
      </c>
      <c r="H9391" s="40" t="s">
        <v>11404</v>
      </c>
    </row>
    <row r="9392">
      <c r="A9392" s="39"/>
      <c r="E9392" s="40" t="s">
        <v>11404</v>
      </c>
      <c r="F9392" s="40" t="s">
        <v>11404</v>
      </c>
      <c r="G9392" s="40" t="s">
        <v>11404</v>
      </c>
      <c r="H9392" s="40" t="s">
        <v>11404</v>
      </c>
    </row>
    <row r="9393">
      <c r="A9393" s="39"/>
      <c r="E9393" s="40" t="s">
        <v>11404</v>
      </c>
      <c r="F9393" s="40" t="s">
        <v>11404</v>
      </c>
      <c r="G9393" s="40" t="s">
        <v>11404</v>
      </c>
      <c r="H9393" s="40" t="s">
        <v>11404</v>
      </c>
    </row>
    <row r="9394">
      <c r="A9394" s="39"/>
      <c r="E9394" s="40" t="s">
        <v>11404</v>
      </c>
      <c r="F9394" s="40" t="s">
        <v>11404</v>
      </c>
      <c r="G9394" s="40" t="s">
        <v>11404</v>
      </c>
      <c r="H9394" s="40" t="s">
        <v>11404</v>
      </c>
    </row>
    <row r="9395">
      <c r="A9395" s="39"/>
      <c r="E9395" s="40" t="s">
        <v>11404</v>
      </c>
      <c r="F9395" s="40" t="s">
        <v>11404</v>
      </c>
      <c r="G9395" s="40" t="s">
        <v>11404</v>
      </c>
      <c r="H9395" s="40" t="s">
        <v>11404</v>
      </c>
    </row>
    <row r="9396">
      <c r="A9396" s="39"/>
      <c r="E9396" s="40" t="s">
        <v>11404</v>
      </c>
      <c r="F9396" s="40" t="s">
        <v>11404</v>
      </c>
      <c r="G9396" s="40" t="s">
        <v>11404</v>
      </c>
      <c r="H9396" s="40" t="s">
        <v>11404</v>
      </c>
    </row>
    <row r="9397">
      <c r="A9397" s="39"/>
      <c r="E9397" s="40" t="s">
        <v>11404</v>
      </c>
      <c r="F9397" s="40" t="s">
        <v>11404</v>
      </c>
      <c r="G9397" s="40" t="s">
        <v>11404</v>
      </c>
      <c r="H9397" s="40" t="s">
        <v>11404</v>
      </c>
    </row>
    <row r="9398">
      <c r="A9398" s="39"/>
      <c r="E9398" s="40" t="s">
        <v>11404</v>
      </c>
      <c r="F9398" s="40" t="s">
        <v>11404</v>
      </c>
      <c r="G9398" s="40" t="s">
        <v>11404</v>
      </c>
      <c r="H9398" s="40" t="s">
        <v>11404</v>
      </c>
    </row>
    <row r="9399">
      <c r="A9399" s="39"/>
      <c r="E9399" s="40" t="s">
        <v>11404</v>
      </c>
      <c r="F9399" s="40" t="s">
        <v>11404</v>
      </c>
      <c r="G9399" s="40" t="s">
        <v>11404</v>
      </c>
      <c r="H9399" s="40" t="s">
        <v>11404</v>
      </c>
    </row>
    <row r="9400">
      <c r="A9400" s="39"/>
      <c r="E9400" s="40" t="s">
        <v>11404</v>
      </c>
      <c r="F9400" s="40" t="s">
        <v>11404</v>
      </c>
      <c r="G9400" s="40" t="s">
        <v>11404</v>
      </c>
      <c r="H9400" s="40" t="s">
        <v>11404</v>
      </c>
    </row>
    <row r="9401">
      <c r="A9401" s="39"/>
      <c r="E9401" s="40" t="s">
        <v>11404</v>
      </c>
      <c r="F9401" s="40" t="s">
        <v>11404</v>
      </c>
      <c r="G9401" s="40" t="s">
        <v>11404</v>
      </c>
      <c r="H9401" s="40" t="s">
        <v>11404</v>
      </c>
    </row>
    <row r="9402">
      <c r="A9402" s="39"/>
      <c r="E9402" s="40" t="s">
        <v>11404</v>
      </c>
      <c r="F9402" s="40" t="s">
        <v>11404</v>
      </c>
      <c r="G9402" s="40" t="s">
        <v>11404</v>
      </c>
      <c r="H9402" s="40" t="s">
        <v>11404</v>
      </c>
    </row>
    <row r="9403">
      <c r="A9403" s="39"/>
      <c r="E9403" s="40" t="s">
        <v>11404</v>
      </c>
      <c r="F9403" s="40" t="s">
        <v>11404</v>
      </c>
      <c r="G9403" s="40" t="s">
        <v>11404</v>
      </c>
      <c r="H9403" s="40" t="s">
        <v>11404</v>
      </c>
    </row>
    <row r="9404">
      <c r="A9404" s="39"/>
      <c r="E9404" s="40" t="s">
        <v>11404</v>
      </c>
      <c r="F9404" s="40" t="s">
        <v>11404</v>
      </c>
      <c r="G9404" s="40" t="s">
        <v>11404</v>
      </c>
      <c r="H9404" s="40" t="s">
        <v>11404</v>
      </c>
    </row>
    <row r="9405">
      <c r="A9405" s="39"/>
      <c r="E9405" s="40" t="s">
        <v>11404</v>
      </c>
      <c r="F9405" s="40" t="s">
        <v>11404</v>
      </c>
      <c r="G9405" s="40" t="s">
        <v>11404</v>
      </c>
      <c r="H9405" s="40" t="s">
        <v>11404</v>
      </c>
    </row>
    <row r="9406">
      <c r="A9406" s="39"/>
      <c r="E9406" s="40" t="s">
        <v>11404</v>
      </c>
      <c r="F9406" s="40" t="s">
        <v>11404</v>
      </c>
      <c r="G9406" s="40" t="s">
        <v>11404</v>
      </c>
      <c r="H9406" s="40" t="s">
        <v>11404</v>
      </c>
    </row>
    <row r="9407">
      <c r="A9407" s="39"/>
      <c r="E9407" s="40" t="s">
        <v>11404</v>
      </c>
      <c r="F9407" s="40" t="s">
        <v>11404</v>
      </c>
      <c r="G9407" s="40" t="s">
        <v>11404</v>
      </c>
      <c r="H9407" s="40" t="s">
        <v>11404</v>
      </c>
    </row>
    <row r="9408">
      <c r="A9408" s="39"/>
      <c r="E9408" s="40" t="s">
        <v>11404</v>
      </c>
      <c r="F9408" s="40" t="s">
        <v>11404</v>
      </c>
      <c r="G9408" s="40" t="s">
        <v>11404</v>
      </c>
      <c r="H9408" s="40" t="s">
        <v>11404</v>
      </c>
    </row>
    <row r="9409">
      <c r="A9409" s="39"/>
      <c r="E9409" s="40" t="s">
        <v>11404</v>
      </c>
      <c r="F9409" s="40" t="s">
        <v>11404</v>
      </c>
      <c r="G9409" s="40" t="s">
        <v>11404</v>
      </c>
      <c r="H9409" s="40" t="s">
        <v>11404</v>
      </c>
    </row>
    <row r="9410">
      <c r="A9410" s="39"/>
      <c r="E9410" s="40" t="s">
        <v>11404</v>
      </c>
      <c r="F9410" s="40" t="s">
        <v>11404</v>
      </c>
      <c r="G9410" s="40" t="s">
        <v>11404</v>
      </c>
      <c r="H9410" s="40" t="s">
        <v>11404</v>
      </c>
    </row>
    <row r="9411">
      <c r="A9411" s="39"/>
      <c r="E9411" s="40" t="s">
        <v>11404</v>
      </c>
      <c r="F9411" s="40" t="s">
        <v>11404</v>
      </c>
      <c r="G9411" s="40" t="s">
        <v>11404</v>
      </c>
      <c r="H9411" s="40" t="s">
        <v>11404</v>
      </c>
    </row>
    <row r="9412">
      <c r="A9412" s="39"/>
      <c r="E9412" s="40" t="s">
        <v>11404</v>
      </c>
      <c r="F9412" s="40" t="s">
        <v>11404</v>
      </c>
      <c r="G9412" s="40" t="s">
        <v>11404</v>
      </c>
      <c r="H9412" s="40" t="s">
        <v>11404</v>
      </c>
    </row>
    <row r="9413">
      <c r="A9413" s="39"/>
      <c r="E9413" s="40" t="s">
        <v>11404</v>
      </c>
      <c r="F9413" s="40" t="s">
        <v>11404</v>
      </c>
      <c r="G9413" s="40" t="s">
        <v>11404</v>
      </c>
      <c r="H9413" s="40" t="s">
        <v>11404</v>
      </c>
    </row>
    <row r="9414">
      <c r="A9414" s="39"/>
      <c r="E9414" s="40" t="s">
        <v>11404</v>
      </c>
      <c r="F9414" s="40" t="s">
        <v>11404</v>
      </c>
      <c r="G9414" s="40" t="s">
        <v>11404</v>
      </c>
      <c r="H9414" s="40" t="s">
        <v>11404</v>
      </c>
    </row>
    <row r="9415">
      <c r="A9415" s="39"/>
      <c r="E9415" s="40" t="s">
        <v>11404</v>
      </c>
      <c r="F9415" s="40" t="s">
        <v>11404</v>
      </c>
      <c r="G9415" s="40" t="s">
        <v>11404</v>
      </c>
      <c r="H9415" s="40" t="s">
        <v>11404</v>
      </c>
    </row>
    <row r="9416">
      <c r="A9416" s="39"/>
      <c r="E9416" s="40" t="s">
        <v>11404</v>
      </c>
      <c r="F9416" s="40" t="s">
        <v>11404</v>
      </c>
      <c r="G9416" s="40" t="s">
        <v>11404</v>
      </c>
      <c r="H9416" s="40" t="s">
        <v>11404</v>
      </c>
    </row>
    <row r="9417">
      <c r="A9417" s="39"/>
      <c r="E9417" s="40" t="s">
        <v>11404</v>
      </c>
      <c r="F9417" s="40" t="s">
        <v>11404</v>
      </c>
      <c r="G9417" s="40" t="s">
        <v>11404</v>
      </c>
      <c r="H9417" s="40" t="s">
        <v>11404</v>
      </c>
    </row>
    <row r="9418">
      <c r="A9418" s="39"/>
      <c r="E9418" s="40" t="s">
        <v>11404</v>
      </c>
      <c r="F9418" s="40" t="s">
        <v>11404</v>
      </c>
      <c r="G9418" s="40" t="s">
        <v>11404</v>
      </c>
      <c r="H9418" s="40" t="s">
        <v>11404</v>
      </c>
    </row>
    <row r="9419">
      <c r="A9419" s="39"/>
      <c r="E9419" s="40" t="s">
        <v>11404</v>
      </c>
      <c r="F9419" s="40" t="s">
        <v>11404</v>
      </c>
      <c r="G9419" s="40" t="s">
        <v>11404</v>
      </c>
      <c r="H9419" s="40" t="s">
        <v>11404</v>
      </c>
    </row>
    <row r="9420">
      <c r="A9420" s="39"/>
      <c r="E9420" s="40" t="s">
        <v>11404</v>
      </c>
      <c r="F9420" s="40" t="s">
        <v>11404</v>
      </c>
      <c r="G9420" s="40" t="s">
        <v>11404</v>
      </c>
      <c r="H9420" s="40" t="s">
        <v>11404</v>
      </c>
    </row>
    <row r="9421">
      <c r="A9421" s="39"/>
      <c r="E9421" s="40" t="s">
        <v>11404</v>
      </c>
      <c r="F9421" s="40" t="s">
        <v>11404</v>
      </c>
      <c r="G9421" s="40" t="s">
        <v>11404</v>
      </c>
      <c r="H9421" s="40" t="s">
        <v>11404</v>
      </c>
    </row>
    <row r="9422">
      <c r="A9422" s="39"/>
      <c r="E9422" s="40" t="s">
        <v>11404</v>
      </c>
      <c r="F9422" s="40" t="s">
        <v>11404</v>
      </c>
      <c r="G9422" s="40" t="s">
        <v>11404</v>
      </c>
      <c r="H9422" s="40" t="s">
        <v>11404</v>
      </c>
    </row>
    <row r="9423">
      <c r="A9423" s="39"/>
      <c r="E9423" s="40" t="s">
        <v>11404</v>
      </c>
      <c r="F9423" s="40" t="s">
        <v>11404</v>
      </c>
      <c r="G9423" s="40" t="s">
        <v>11404</v>
      </c>
      <c r="H9423" s="40" t="s">
        <v>11404</v>
      </c>
    </row>
    <row r="9424">
      <c r="A9424" s="39"/>
      <c r="E9424" s="40" t="s">
        <v>11404</v>
      </c>
      <c r="F9424" s="40" t="s">
        <v>11404</v>
      </c>
      <c r="G9424" s="40" t="s">
        <v>11404</v>
      </c>
      <c r="H9424" s="40" t="s">
        <v>11404</v>
      </c>
    </row>
    <row r="9425">
      <c r="A9425" s="39"/>
      <c r="E9425" s="40" t="s">
        <v>11404</v>
      </c>
      <c r="F9425" s="40" t="s">
        <v>11404</v>
      </c>
      <c r="G9425" s="40" t="s">
        <v>11404</v>
      </c>
      <c r="H9425" s="40" t="s">
        <v>11404</v>
      </c>
    </row>
    <row r="9426">
      <c r="A9426" s="39"/>
      <c r="E9426" s="40" t="s">
        <v>11404</v>
      </c>
      <c r="F9426" s="40" t="s">
        <v>11404</v>
      </c>
      <c r="G9426" s="40" t="s">
        <v>11404</v>
      </c>
      <c r="H9426" s="40" t="s">
        <v>11404</v>
      </c>
    </row>
    <row r="9427">
      <c r="A9427" s="39"/>
      <c r="E9427" s="40" t="s">
        <v>11404</v>
      </c>
      <c r="F9427" s="40" t="s">
        <v>11404</v>
      </c>
      <c r="G9427" s="40" t="s">
        <v>11404</v>
      </c>
      <c r="H9427" s="40" t="s">
        <v>11404</v>
      </c>
    </row>
    <row r="9428">
      <c r="A9428" s="39"/>
      <c r="E9428" s="40" t="s">
        <v>11404</v>
      </c>
      <c r="F9428" s="40" t="s">
        <v>11404</v>
      </c>
      <c r="G9428" s="40" t="s">
        <v>11404</v>
      </c>
      <c r="H9428" s="40" t="s">
        <v>11404</v>
      </c>
    </row>
    <row r="9429">
      <c r="A9429" s="39"/>
      <c r="E9429" s="40" t="s">
        <v>11404</v>
      </c>
      <c r="F9429" s="40" t="s">
        <v>11404</v>
      </c>
      <c r="G9429" s="40" t="s">
        <v>11404</v>
      </c>
      <c r="H9429" s="40" t="s">
        <v>11404</v>
      </c>
    </row>
    <row r="9430">
      <c r="A9430" s="39"/>
      <c r="E9430" s="40" t="s">
        <v>11404</v>
      </c>
      <c r="F9430" s="40" t="s">
        <v>11404</v>
      </c>
      <c r="G9430" s="40" t="s">
        <v>11404</v>
      </c>
      <c r="H9430" s="40" t="s">
        <v>11404</v>
      </c>
    </row>
    <row r="9431">
      <c r="A9431" s="39"/>
      <c r="E9431" s="40" t="s">
        <v>11404</v>
      </c>
      <c r="F9431" s="40" t="s">
        <v>11404</v>
      </c>
      <c r="G9431" s="40" t="s">
        <v>11404</v>
      </c>
      <c r="H9431" s="40" t="s">
        <v>11404</v>
      </c>
    </row>
    <row r="9432">
      <c r="A9432" s="39"/>
      <c r="E9432" s="40" t="s">
        <v>11404</v>
      </c>
      <c r="F9432" s="40" t="s">
        <v>11404</v>
      </c>
      <c r="G9432" s="40" t="s">
        <v>11404</v>
      </c>
      <c r="H9432" s="40" t="s">
        <v>11404</v>
      </c>
    </row>
    <row r="9433">
      <c r="A9433" s="39"/>
      <c r="E9433" s="40" t="s">
        <v>11404</v>
      </c>
      <c r="F9433" s="40" t="s">
        <v>11404</v>
      </c>
      <c r="G9433" s="40" t="s">
        <v>11404</v>
      </c>
      <c r="H9433" s="40" t="s">
        <v>11404</v>
      </c>
    </row>
    <row r="9434">
      <c r="A9434" s="39"/>
      <c r="E9434" s="40" t="s">
        <v>11404</v>
      </c>
      <c r="F9434" s="40" t="s">
        <v>11404</v>
      </c>
      <c r="G9434" s="40" t="s">
        <v>11404</v>
      </c>
      <c r="H9434" s="40" t="s">
        <v>11404</v>
      </c>
    </row>
    <row r="9435">
      <c r="A9435" s="39"/>
      <c r="E9435" s="40" t="s">
        <v>11404</v>
      </c>
      <c r="F9435" s="40" t="s">
        <v>11404</v>
      </c>
      <c r="G9435" s="40" t="s">
        <v>11404</v>
      </c>
      <c r="H9435" s="40" t="s">
        <v>11404</v>
      </c>
    </row>
    <row r="9436">
      <c r="A9436" s="39"/>
      <c r="E9436" s="40" t="s">
        <v>11404</v>
      </c>
      <c r="F9436" s="40" t="s">
        <v>11404</v>
      </c>
      <c r="G9436" s="40" t="s">
        <v>11404</v>
      </c>
      <c r="H9436" s="40" t="s">
        <v>11404</v>
      </c>
    </row>
    <row r="9437">
      <c r="A9437" s="39"/>
      <c r="E9437" s="40" t="s">
        <v>11404</v>
      </c>
      <c r="F9437" s="40" t="s">
        <v>11404</v>
      </c>
      <c r="G9437" s="40" t="s">
        <v>11404</v>
      </c>
      <c r="H9437" s="40" t="s">
        <v>11404</v>
      </c>
    </row>
    <row r="9438">
      <c r="A9438" s="39"/>
      <c r="E9438" s="40" t="s">
        <v>11404</v>
      </c>
      <c r="F9438" s="40" t="s">
        <v>11404</v>
      </c>
      <c r="G9438" s="40" t="s">
        <v>11404</v>
      </c>
      <c r="H9438" s="40" t="s">
        <v>11404</v>
      </c>
    </row>
    <row r="9439">
      <c r="A9439" s="39"/>
      <c r="E9439" s="40" t="s">
        <v>11404</v>
      </c>
      <c r="F9439" s="40" t="s">
        <v>11404</v>
      </c>
      <c r="G9439" s="40" t="s">
        <v>11404</v>
      </c>
      <c r="H9439" s="40" t="s">
        <v>11404</v>
      </c>
    </row>
    <row r="9440">
      <c r="A9440" s="39"/>
      <c r="E9440" s="40" t="s">
        <v>11404</v>
      </c>
      <c r="F9440" s="40" t="s">
        <v>11404</v>
      </c>
      <c r="G9440" s="40" t="s">
        <v>11404</v>
      </c>
      <c r="H9440" s="40" t="s">
        <v>11404</v>
      </c>
    </row>
    <row r="9441">
      <c r="A9441" s="39"/>
      <c r="E9441" s="40" t="s">
        <v>11404</v>
      </c>
      <c r="F9441" s="40" t="s">
        <v>11404</v>
      </c>
      <c r="G9441" s="40" t="s">
        <v>11404</v>
      </c>
      <c r="H9441" s="40" t="s">
        <v>11404</v>
      </c>
    </row>
    <row r="9442">
      <c r="A9442" s="39"/>
      <c r="E9442" s="40" t="s">
        <v>11404</v>
      </c>
      <c r="F9442" s="40" t="s">
        <v>11404</v>
      </c>
      <c r="G9442" s="40" t="s">
        <v>11404</v>
      </c>
      <c r="H9442" s="40" t="s">
        <v>11404</v>
      </c>
    </row>
    <row r="9443">
      <c r="A9443" s="39"/>
      <c r="E9443" s="40" t="s">
        <v>11404</v>
      </c>
      <c r="F9443" s="40" t="s">
        <v>11404</v>
      </c>
      <c r="G9443" s="40" t="s">
        <v>11404</v>
      </c>
      <c r="H9443" s="40" t="s">
        <v>11404</v>
      </c>
    </row>
    <row r="9444">
      <c r="A9444" s="39"/>
      <c r="E9444" s="40" t="s">
        <v>11404</v>
      </c>
      <c r="F9444" s="40" t="s">
        <v>11404</v>
      </c>
      <c r="G9444" s="40" t="s">
        <v>11404</v>
      </c>
      <c r="H9444" s="40" t="s">
        <v>11404</v>
      </c>
    </row>
    <row r="9445">
      <c r="A9445" s="39"/>
      <c r="E9445" s="40" t="s">
        <v>11404</v>
      </c>
      <c r="F9445" s="40" t="s">
        <v>11404</v>
      </c>
      <c r="G9445" s="40" t="s">
        <v>11404</v>
      </c>
      <c r="H9445" s="40" t="s">
        <v>11404</v>
      </c>
    </row>
    <row r="9446">
      <c r="A9446" s="39"/>
      <c r="E9446" s="40" t="s">
        <v>11404</v>
      </c>
      <c r="F9446" s="40" t="s">
        <v>11404</v>
      </c>
      <c r="G9446" s="40" t="s">
        <v>11404</v>
      </c>
      <c r="H9446" s="40" t="s">
        <v>11404</v>
      </c>
    </row>
    <row r="9447">
      <c r="A9447" s="39"/>
      <c r="E9447" s="40" t="s">
        <v>11404</v>
      </c>
      <c r="F9447" s="40" t="s">
        <v>11404</v>
      </c>
      <c r="G9447" s="40" t="s">
        <v>11404</v>
      </c>
      <c r="H9447" s="40" t="s">
        <v>11404</v>
      </c>
    </row>
    <row r="9448">
      <c r="A9448" s="39"/>
      <c r="E9448" s="40" t="s">
        <v>11404</v>
      </c>
      <c r="F9448" s="40" t="s">
        <v>11404</v>
      </c>
      <c r="G9448" s="40" t="s">
        <v>11404</v>
      </c>
      <c r="H9448" s="40" t="s">
        <v>11404</v>
      </c>
    </row>
    <row r="9449">
      <c r="A9449" s="39"/>
      <c r="E9449" s="40" t="s">
        <v>11404</v>
      </c>
      <c r="F9449" s="40" t="s">
        <v>11404</v>
      </c>
      <c r="G9449" s="40" t="s">
        <v>11404</v>
      </c>
      <c r="H9449" s="40" t="s">
        <v>11404</v>
      </c>
    </row>
    <row r="9450">
      <c r="A9450" s="39"/>
      <c r="E9450" s="40" t="s">
        <v>11404</v>
      </c>
      <c r="F9450" s="40" t="s">
        <v>11404</v>
      </c>
      <c r="G9450" s="40" t="s">
        <v>11404</v>
      </c>
      <c r="H9450" s="40" t="s">
        <v>11404</v>
      </c>
    </row>
    <row r="9451">
      <c r="A9451" s="39"/>
      <c r="E9451" s="40" t="s">
        <v>11404</v>
      </c>
      <c r="F9451" s="40" t="s">
        <v>11404</v>
      </c>
      <c r="G9451" s="40" t="s">
        <v>11404</v>
      </c>
      <c r="H9451" s="40" t="s">
        <v>11404</v>
      </c>
    </row>
    <row r="9452">
      <c r="A9452" s="39"/>
      <c r="E9452" s="40" t="s">
        <v>11404</v>
      </c>
      <c r="F9452" s="40" t="s">
        <v>11404</v>
      </c>
      <c r="G9452" s="40" t="s">
        <v>11404</v>
      </c>
      <c r="H9452" s="40" t="s">
        <v>11404</v>
      </c>
    </row>
    <row r="9453">
      <c r="A9453" s="39"/>
      <c r="E9453" s="40" t="s">
        <v>11404</v>
      </c>
      <c r="F9453" s="40" t="s">
        <v>11404</v>
      </c>
      <c r="G9453" s="40" t="s">
        <v>11404</v>
      </c>
      <c r="H9453" s="40" t="s">
        <v>11404</v>
      </c>
    </row>
    <row r="9454">
      <c r="A9454" s="39"/>
      <c r="E9454" s="40" t="s">
        <v>11404</v>
      </c>
      <c r="F9454" s="40" t="s">
        <v>11404</v>
      </c>
      <c r="G9454" s="40" t="s">
        <v>11404</v>
      </c>
      <c r="H9454" s="40" t="s">
        <v>11404</v>
      </c>
    </row>
    <row r="9455">
      <c r="A9455" s="39"/>
      <c r="E9455" s="40" t="s">
        <v>11404</v>
      </c>
      <c r="F9455" s="40" t="s">
        <v>11404</v>
      </c>
      <c r="G9455" s="40" t="s">
        <v>11404</v>
      </c>
      <c r="H9455" s="40" t="s">
        <v>11404</v>
      </c>
    </row>
    <row r="9456">
      <c r="A9456" s="39"/>
      <c r="E9456" s="40" t="s">
        <v>11404</v>
      </c>
      <c r="F9456" s="40" t="s">
        <v>11404</v>
      </c>
      <c r="G9456" s="40" t="s">
        <v>11404</v>
      </c>
      <c r="H9456" s="40" t="s">
        <v>11404</v>
      </c>
    </row>
    <row r="9457">
      <c r="A9457" s="39"/>
      <c r="E9457" s="40" t="s">
        <v>11404</v>
      </c>
      <c r="F9457" s="40" t="s">
        <v>11404</v>
      </c>
      <c r="G9457" s="40" t="s">
        <v>11404</v>
      </c>
      <c r="H9457" s="40" t="s">
        <v>11404</v>
      </c>
    </row>
    <row r="9458">
      <c r="A9458" s="39"/>
      <c r="E9458" s="40" t="s">
        <v>11404</v>
      </c>
      <c r="F9458" s="40" t="s">
        <v>11404</v>
      </c>
      <c r="G9458" s="40" t="s">
        <v>11404</v>
      </c>
      <c r="H9458" s="40" t="s">
        <v>11404</v>
      </c>
    </row>
    <row r="9459">
      <c r="A9459" s="39"/>
      <c r="E9459" s="40" t="s">
        <v>11404</v>
      </c>
      <c r="F9459" s="40" t="s">
        <v>11404</v>
      </c>
      <c r="G9459" s="40" t="s">
        <v>11404</v>
      </c>
      <c r="H9459" s="40" t="s">
        <v>11404</v>
      </c>
    </row>
    <row r="9460">
      <c r="A9460" s="39"/>
      <c r="E9460" s="40" t="s">
        <v>11404</v>
      </c>
      <c r="F9460" s="40" t="s">
        <v>11404</v>
      </c>
      <c r="G9460" s="40" t="s">
        <v>11404</v>
      </c>
      <c r="H9460" s="40" t="s">
        <v>11404</v>
      </c>
    </row>
    <row r="9461">
      <c r="A9461" s="39"/>
      <c r="E9461" s="40" t="s">
        <v>11404</v>
      </c>
      <c r="F9461" s="40" t="s">
        <v>11404</v>
      </c>
      <c r="G9461" s="40" t="s">
        <v>11404</v>
      </c>
      <c r="H9461" s="40" t="s">
        <v>11404</v>
      </c>
    </row>
    <row r="9462">
      <c r="A9462" s="39"/>
      <c r="E9462" s="40" t="s">
        <v>11404</v>
      </c>
      <c r="F9462" s="40" t="s">
        <v>11404</v>
      </c>
      <c r="G9462" s="40" t="s">
        <v>11404</v>
      </c>
      <c r="H9462" s="40" t="s">
        <v>11404</v>
      </c>
    </row>
    <row r="9463">
      <c r="A9463" s="39"/>
      <c r="E9463" s="40" t="s">
        <v>11404</v>
      </c>
      <c r="F9463" s="40" t="s">
        <v>11404</v>
      </c>
      <c r="G9463" s="40" t="s">
        <v>11404</v>
      </c>
      <c r="H9463" s="40" t="s">
        <v>11404</v>
      </c>
    </row>
    <row r="9464">
      <c r="A9464" s="39"/>
      <c r="E9464" s="40" t="s">
        <v>11404</v>
      </c>
      <c r="F9464" s="40" t="s">
        <v>11404</v>
      </c>
      <c r="G9464" s="40" t="s">
        <v>11404</v>
      </c>
      <c r="H9464" s="40" t="s">
        <v>11404</v>
      </c>
    </row>
    <row r="9465">
      <c r="A9465" s="39"/>
      <c r="E9465" s="40" t="s">
        <v>11404</v>
      </c>
      <c r="F9465" s="40" t="s">
        <v>11404</v>
      </c>
      <c r="G9465" s="40" t="s">
        <v>11404</v>
      </c>
      <c r="H9465" s="40" t="s">
        <v>11404</v>
      </c>
    </row>
    <row r="9466">
      <c r="A9466" s="39"/>
      <c r="E9466" s="40" t="s">
        <v>11404</v>
      </c>
      <c r="F9466" s="40" t="s">
        <v>11404</v>
      </c>
      <c r="G9466" s="40" t="s">
        <v>11404</v>
      </c>
      <c r="H9466" s="40" t="s">
        <v>11404</v>
      </c>
    </row>
    <row r="9467">
      <c r="A9467" s="39"/>
      <c r="E9467" s="40" t="s">
        <v>11404</v>
      </c>
      <c r="F9467" s="40" t="s">
        <v>11404</v>
      </c>
      <c r="G9467" s="40" t="s">
        <v>11404</v>
      </c>
      <c r="H9467" s="40" t="s">
        <v>11404</v>
      </c>
    </row>
    <row r="9468">
      <c r="A9468" s="39"/>
      <c r="E9468" s="40" t="s">
        <v>11404</v>
      </c>
      <c r="F9468" s="40" t="s">
        <v>11404</v>
      </c>
      <c r="G9468" s="40" t="s">
        <v>11404</v>
      </c>
      <c r="H9468" s="40" t="s">
        <v>11404</v>
      </c>
    </row>
    <row r="9469">
      <c r="A9469" s="39"/>
      <c r="E9469" s="40" t="s">
        <v>11404</v>
      </c>
      <c r="F9469" s="40" t="s">
        <v>11404</v>
      </c>
      <c r="G9469" s="40" t="s">
        <v>11404</v>
      </c>
      <c r="H9469" s="40" t="s">
        <v>11404</v>
      </c>
    </row>
    <row r="9470">
      <c r="A9470" s="39"/>
      <c r="E9470" s="40" t="s">
        <v>11404</v>
      </c>
      <c r="F9470" s="40" t="s">
        <v>11404</v>
      </c>
      <c r="G9470" s="40" t="s">
        <v>11404</v>
      </c>
      <c r="H9470" s="40" t="s">
        <v>11404</v>
      </c>
    </row>
    <row r="9471">
      <c r="A9471" s="39"/>
      <c r="E9471" s="40" t="s">
        <v>11404</v>
      </c>
      <c r="F9471" s="40" t="s">
        <v>11404</v>
      </c>
      <c r="G9471" s="40" t="s">
        <v>11404</v>
      </c>
      <c r="H9471" s="40" t="s">
        <v>11404</v>
      </c>
    </row>
    <row r="9472">
      <c r="A9472" s="39"/>
      <c r="E9472" s="40" t="s">
        <v>11404</v>
      </c>
      <c r="F9472" s="40" t="s">
        <v>11404</v>
      </c>
      <c r="G9472" s="40" t="s">
        <v>11404</v>
      </c>
      <c r="H9472" s="40" t="s">
        <v>11404</v>
      </c>
    </row>
    <row r="9473">
      <c r="A9473" s="39"/>
      <c r="E9473" s="40" t="s">
        <v>11404</v>
      </c>
      <c r="F9473" s="40" t="s">
        <v>11404</v>
      </c>
      <c r="G9473" s="40" t="s">
        <v>11404</v>
      </c>
      <c r="H9473" s="40" t="s">
        <v>11404</v>
      </c>
    </row>
    <row r="9474">
      <c r="A9474" s="39"/>
      <c r="E9474" s="40" t="s">
        <v>11404</v>
      </c>
      <c r="F9474" s="40" t="s">
        <v>11404</v>
      </c>
      <c r="G9474" s="40" t="s">
        <v>11404</v>
      </c>
      <c r="H9474" s="40" t="s">
        <v>11404</v>
      </c>
    </row>
    <row r="9475">
      <c r="A9475" s="39"/>
      <c r="E9475" s="40" t="s">
        <v>11404</v>
      </c>
      <c r="F9475" s="40" t="s">
        <v>11404</v>
      </c>
      <c r="G9475" s="40" t="s">
        <v>11404</v>
      </c>
      <c r="H9475" s="40" t="s">
        <v>11404</v>
      </c>
    </row>
    <row r="9476">
      <c r="A9476" s="39"/>
      <c r="E9476" s="40" t="s">
        <v>11404</v>
      </c>
      <c r="F9476" s="40" t="s">
        <v>11404</v>
      </c>
      <c r="G9476" s="40" t="s">
        <v>11404</v>
      </c>
      <c r="H9476" s="40" t="s">
        <v>11404</v>
      </c>
    </row>
    <row r="9477">
      <c r="A9477" s="39"/>
      <c r="E9477" s="40" t="s">
        <v>11404</v>
      </c>
      <c r="F9477" s="40" t="s">
        <v>11404</v>
      </c>
      <c r="G9477" s="40" t="s">
        <v>11404</v>
      </c>
      <c r="H9477" s="40" t="s">
        <v>11404</v>
      </c>
    </row>
    <row r="9478">
      <c r="A9478" s="39"/>
      <c r="E9478" s="40" t="s">
        <v>11404</v>
      </c>
      <c r="F9478" s="40" t="s">
        <v>11404</v>
      </c>
      <c r="G9478" s="40" t="s">
        <v>11404</v>
      </c>
      <c r="H9478" s="40" t="s">
        <v>11404</v>
      </c>
    </row>
    <row r="9479">
      <c r="A9479" s="39"/>
      <c r="E9479" s="40" t="s">
        <v>11404</v>
      </c>
      <c r="F9479" s="40" t="s">
        <v>11404</v>
      </c>
      <c r="G9479" s="40" t="s">
        <v>11404</v>
      </c>
      <c r="H9479" s="40" t="s">
        <v>11404</v>
      </c>
    </row>
    <row r="9480">
      <c r="A9480" s="39"/>
      <c r="E9480" s="40" t="s">
        <v>11404</v>
      </c>
      <c r="F9480" s="40" t="s">
        <v>11404</v>
      </c>
      <c r="G9480" s="40" t="s">
        <v>11404</v>
      </c>
      <c r="H9480" s="40" t="s">
        <v>11404</v>
      </c>
    </row>
    <row r="9481">
      <c r="A9481" s="39"/>
      <c r="E9481" s="40" t="s">
        <v>11404</v>
      </c>
      <c r="F9481" s="40" t="s">
        <v>11404</v>
      </c>
      <c r="G9481" s="40" t="s">
        <v>11404</v>
      </c>
      <c r="H9481" s="40" t="s">
        <v>11404</v>
      </c>
    </row>
    <row r="9482">
      <c r="A9482" s="39"/>
      <c r="E9482" s="40" t="s">
        <v>11404</v>
      </c>
      <c r="F9482" s="40" t="s">
        <v>11404</v>
      </c>
      <c r="G9482" s="40" t="s">
        <v>11404</v>
      </c>
      <c r="H9482" s="40" t="s">
        <v>11404</v>
      </c>
    </row>
    <row r="9483">
      <c r="A9483" s="39"/>
      <c r="E9483" s="40" t="s">
        <v>11404</v>
      </c>
      <c r="F9483" s="40" t="s">
        <v>11404</v>
      </c>
      <c r="G9483" s="40" t="s">
        <v>11404</v>
      </c>
      <c r="H9483" s="40" t="s">
        <v>11404</v>
      </c>
    </row>
    <row r="9484">
      <c r="A9484" s="39"/>
      <c r="E9484" s="40" t="s">
        <v>11404</v>
      </c>
      <c r="F9484" s="40" t="s">
        <v>11404</v>
      </c>
      <c r="G9484" s="40" t="s">
        <v>11404</v>
      </c>
      <c r="H9484" s="40" t="s">
        <v>11404</v>
      </c>
    </row>
    <row r="9485">
      <c r="A9485" s="39"/>
      <c r="E9485" s="40" t="s">
        <v>11404</v>
      </c>
      <c r="F9485" s="40" t="s">
        <v>11404</v>
      </c>
      <c r="G9485" s="40" t="s">
        <v>11404</v>
      </c>
      <c r="H9485" s="40" t="s">
        <v>11404</v>
      </c>
    </row>
    <row r="9486">
      <c r="A9486" s="39"/>
      <c r="E9486" s="40" t="s">
        <v>11404</v>
      </c>
      <c r="F9486" s="40" t="s">
        <v>11404</v>
      </c>
      <c r="G9486" s="40" t="s">
        <v>11404</v>
      </c>
      <c r="H9486" s="40" t="s">
        <v>11404</v>
      </c>
    </row>
    <row r="9487">
      <c r="A9487" s="39"/>
      <c r="E9487" s="40" t="s">
        <v>11404</v>
      </c>
      <c r="F9487" s="40" t="s">
        <v>11404</v>
      </c>
      <c r="G9487" s="40" t="s">
        <v>11404</v>
      </c>
      <c r="H9487" s="40" t="s">
        <v>11404</v>
      </c>
    </row>
    <row r="9488">
      <c r="A9488" s="39"/>
      <c r="E9488" s="40" t="s">
        <v>11404</v>
      </c>
      <c r="F9488" s="40" t="s">
        <v>11404</v>
      </c>
      <c r="G9488" s="40" t="s">
        <v>11404</v>
      </c>
      <c r="H9488" s="40" t="s">
        <v>11404</v>
      </c>
    </row>
    <row r="9489">
      <c r="A9489" s="39"/>
      <c r="E9489" s="40" t="s">
        <v>11404</v>
      </c>
      <c r="F9489" s="40" t="s">
        <v>11404</v>
      </c>
      <c r="G9489" s="40" t="s">
        <v>11404</v>
      </c>
      <c r="H9489" s="40" t="s">
        <v>11404</v>
      </c>
    </row>
    <row r="9490">
      <c r="A9490" s="39"/>
      <c r="E9490" s="40" t="s">
        <v>11404</v>
      </c>
      <c r="F9490" s="40" t="s">
        <v>11404</v>
      </c>
      <c r="G9490" s="40" t="s">
        <v>11404</v>
      </c>
      <c r="H9490" s="40" t="s">
        <v>11404</v>
      </c>
    </row>
    <row r="9491">
      <c r="A9491" s="39"/>
      <c r="E9491" s="40" t="s">
        <v>11404</v>
      </c>
      <c r="F9491" s="40" t="s">
        <v>11404</v>
      </c>
      <c r="G9491" s="40" t="s">
        <v>11404</v>
      </c>
      <c r="H9491" s="40" t="s">
        <v>11404</v>
      </c>
    </row>
    <row r="9492">
      <c r="A9492" s="39"/>
      <c r="E9492" s="40" t="s">
        <v>11404</v>
      </c>
      <c r="F9492" s="40" t="s">
        <v>11404</v>
      </c>
      <c r="G9492" s="40" t="s">
        <v>11404</v>
      </c>
      <c r="H9492" s="40" t="s">
        <v>11404</v>
      </c>
    </row>
    <row r="9493">
      <c r="A9493" s="39"/>
      <c r="E9493" s="40" t="s">
        <v>11404</v>
      </c>
      <c r="F9493" s="40" t="s">
        <v>11404</v>
      </c>
      <c r="G9493" s="40" t="s">
        <v>11404</v>
      </c>
      <c r="H9493" s="40" t="s">
        <v>11404</v>
      </c>
    </row>
    <row r="9494">
      <c r="A9494" s="39"/>
      <c r="E9494" s="40" t="s">
        <v>11404</v>
      </c>
      <c r="F9494" s="40" t="s">
        <v>11404</v>
      </c>
      <c r="G9494" s="40" t="s">
        <v>11404</v>
      </c>
      <c r="H9494" s="40" t="s">
        <v>11404</v>
      </c>
    </row>
    <row r="9495">
      <c r="A9495" s="39"/>
      <c r="E9495" s="40" t="s">
        <v>11404</v>
      </c>
      <c r="F9495" s="40" t="s">
        <v>11404</v>
      </c>
      <c r="G9495" s="40" t="s">
        <v>11404</v>
      </c>
      <c r="H9495" s="40" t="s">
        <v>11404</v>
      </c>
    </row>
    <row r="9496">
      <c r="A9496" s="39"/>
      <c r="E9496" s="40" t="s">
        <v>11404</v>
      </c>
      <c r="F9496" s="40" t="s">
        <v>11404</v>
      </c>
      <c r="G9496" s="40" t="s">
        <v>11404</v>
      </c>
      <c r="H9496" s="40" t="s">
        <v>11404</v>
      </c>
    </row>
    <row r="9497">
      <c r="A9497" s="39"/>
      <c r="E9497" s="40" t="s">
        <v>11404</v>
      </c>
      <c r="F9497" s="40" t="s">
        <v>11404</v>
      </c>
      <c r="G9497" s="40" t="s">
        <v>11404</v>
      </c>
      <c r="H9497" s="40" t="s">
        <v>11404</v>
      </c>
    </row>
    <row r="9498">
      <c r="A9498" s="39"/>
      <c r="E9498" s="40" t="s">
        <v>11404</v>
      </c>
      <c r="F9498" s="40" t="s">
        <v>11404</v>
      </c>
      <c r="G9498" s="40" t="s">
        <v>11404</v>
      </c>
      <c r="H9498" s="40" t="s">
        <v>11404</v>
      </c>
    </row>
    <row r="9499">
      <c r="A9499" s="39"/>
      <c r="E9499" s="40" t="s">
        <v>11404</v>
      </c>
      <c r="F9499" s="40" t="s">
        <v>11404</v>
      </c>
      <c r="G9499" s="40" t="s">
        <v>11404</v>
      </c>
      <c r="H9499" s="40" t="s">
        <v>11404</v>
      </c>
    </row>
    <row r="9500">
      <c r="A9500" s="39"/>
      <c r="E9500" s="40" t="s">
        <v>11404</v>
      </c>
      <c r="F9500" s="40" t="s">
        <v>11404</v>
      </c>
      <c r="G9500" s="40" t="s">
        <v>11404</v>
      </c>
      <c r="H9500" s="40" t="s">
        <v>11404</v>
      </c>
    </row>
    <row r="9501">
      <c r="A9501" s="39"/>
      <c r="E9501" s="40" t="s">
        <v>11404</v>
      </c>
      <c r="F9501" s="40" t="s">
        <v>11404</v>
      </c>
      <c r="G9501" s="40" t="s">
        <v>11404</v>
      </c>
      <c r="H9501" s="40" t="s">
        <v>11404</v>
      </c>
    </row>
    <row r="9502">
      <c r="A9502" s="39"/>
      <c r="E9502" s="40" t="s">
        <v>11404</v>
      </c>
      <c r="F9502" s="40" t="s">
        <v>11404</v>
      </c>
      <c r="G9502" s="40" t="s">
        <v>11404</v>
      </c>
      <c r="H9502" s="40" t="s">
        <v>11404</v>
      </c>
    </row>
    <row r="9503">
      <c r="A9503" s="39"/>
      <c r="E9503" s="40" t="s">
        <v>11404</v>
      </c>
      <c r="F9503" s="40" t="s">
        <v>11404</v>
      </c>
      <c r="G9503" s="40" t="s">
        <v>11404</v>
      </c>
      <c r="H9503" s="40" t="s">
        <v>11404</v>
      </c>
    </row>
    <row r="9504">
      <c r="A9504" s="39"/>
      <c r="E9504" s="40" t="s">
        <v>11404</v>
      </c>
      <c r="F9504" s="40" t="s">
        <v>11404</v>
      </c>
      <c r="G9504" s="40" t="s">
        <v>11404</v>
      </c>
      <c r="H9504" s="40" t="s">
        <v>11404</v>
      </c>
    </row>
    <row r="9505">
      <c r="A9505" s="39"/>
      <c r="E9505" s="40" t="s">
        <v>11404</v>
      </c>
      <c r="F9505" s="40" t="s">
        <v>11404</v>
      </c>
      <c r="G9505" s="40" t="s">
        <v>11404</v>
      </c>
      <c r="H9505" s="40" t="s">
        <v>11404</v>
      </c>
    </row>
    <row r="9506">
      <c r="A9506" s="39"/>
      <c r="E9506" s="40" t="s">
        <v>11404</v>
      </c>
      <c r="F9506" s="40" t="s">
        <v>11404</v>
      </c>
      <c r="G9506" s="40" t="s">
        <v>11404</v>
      </c>
      <c r="H9506" s="40" t="s">
        <v>11404</v>
      </c>
    </row>
    <row r="9507">
      <c r="A9507" s="39"/>
      <c r="E9507" s="40" t="s">
        <v>11404</v>
      </c>
      <c r="F9507" s="40" t="s">
        <v>11404</v>
      </c>
      <c r="G9507" s="40" t="s">
        <v>11404</v>
      </c>
      <c r="H9507" s="40" t="s">
        <v>11404</v>
      </c>
    </row>
    <row r="9508">
      <c r="A9508" s="39"/>
      <c r="E9508" s="40" t="s">
        <v>11404</v>
      </c>
      <c r="F9508" s="40" t="s">
        <v>11404</v>
      </c>
      <c r="G9508" s="40" t="s">
        <v>11404</v>
      </c>
      <c r="H9508" s="40" t="s">
        <v>11404</v>
      </c>
    </row>
    <row r="9509">
      <c r="A9509" s="39"/>
      <c r="E9509" s="40" t="s">
        <v>11404</v>
      </c>
      <c r="F9509" s="40" t="s">
        <v>11404</v>
      </c>
      <c r="G9509" s="40" t="s">
        <v>11404</v>
      </c>
      <c r="H9509" s="40" t="s">
        <v>11404</v>
      </c>
    </row>
    <row r="9510">
      <c r="A9510" s="39"/>
      <c r="E9510" s="40" t="s">
        <v>11404</v>
      </c>
      <c r="F9510" s="40" t="s">
        <v>11404</v>
      </c>
      <c r="G9510" s="40" t="s">
        <v>11404</v>
      </c>
      <c r="H9510" s="40" t="s">
        <v>11404</v>
      </c>
    </row>
    <row r="9511">
      <c r="A9511" s="39"/>
      <c r="E9511" s="40" t="s">
        <v>11404</v>
      </c>
      <c r="F9511" s="40" t="s">
        <v>11404</v>
      </c>
      <c r="G9511" s="40" t="s">
        <v>11404</v>
      </c>
      <c r="H9511" s="40" t="s">
        <v>11404</v>
      </c>
    </row>
    <row r="9512">
      <c r="A9512" s="39"/>
      <c r="E9512" s="40" t="s">
        <v>11404</v>
      </c>
      <c r="F9512" s="40" t="s">
        <v>11404</v>
      </c>
      <c r="G9512" s="40" t="s">
        <v>11404</v>
      </c>
      <c r="H9512" s="40" t="s">
        <v>11404</v>
      </c>
    </row>
    <row r="9513">
      <c r="A9513" s="39"/>
      <c r="E9513" s="40" t="s">
        <v>11404</v>
      </c>
      <c r="F9513" s="40" t="s">
        <v>11404</v>
      </c>
      <c r="G9513" s="40" t="s">
        <v>11404</v>
      </c>
      <c r="H9513" s="40" t="s">
        <v>11404</v>
      </c>
    </row>
    <row r="9514">
      <c r="A9514" s="39"/>
      <c r="E9514" s="40" t="s">
        <v>11404</v>
      </c>
      <c r="F9514" s="40" t="s">
        <v>11404</v>
      </c>
      <c r="G9514" s="40" t="s">
        <v>11404</v>
      </c>
      <c r="H9514" s="40" t="s">
        <v>11404</v>
      </c>
    </row>
    <row r="9515">
      <c r="A9515" s="39"/>
      <c r="E9515" s="40" t="s">
        <v>11404</v>
      </c>
      <c r="F9515" s="40" t="s">
        <v>11404</v>
      </c>
      <c r="G9515" s="40" t="s">
        <v>11404</v>
      </c>
      <c r="H9515" s="40" t="s">
        <v>11404</v>
      </c>
    </row>
    <row r="9516">
      <c r="A9516" s="39"/>
      <c r="E9516" s="40" t="s">
        <v>11404</v>
      </c>
      <c r="F9516" s="40" t="s">
        <v>11404</v>
      </c>
      <c r="G9516" s="40" t="s">
        <v>11404</v>
      </c>
      <c r="H9516" s="40" t="s">
        <v>11404</v>
      </c>
    </row>
    <row r="9517">
      <c r="A9517" s="39"/>
      <c r="E9517" s="40" t="s">
        <v>11404</v>
      </c>
      <c r="F9517" s="40" t="s">
        <v>11404</v>
      </c>
      <c r="G9517" s="40" t="s">
        <v>11404</v>
      </c>
      <c r="H9517" s="40" t="s">
        <v>11404</v>
      </c>
    </row>
    <row r="9518">
      <c r="A9518" s="39"/>
      <c r="E9518" s="40" t="s">
        <v>11404</v>
      </c>
      <c r="F9518" s="40" t="s">
        <v>11404</v>
      </c>
      <c r="G9518" s="40" t="s">
        <v>11404</v>
      </c>
      <c r="H9518" s="40" t="s">
        <v>11404</v>
      </c>
    </row>
    <row r="9519">
      <c r="A9519" s="39"/>
      <c r="E9519" s="40" t="s">
        <v>11404</v>
      </c>
      <c r="F9519" s="40" t="s">
        <v>11404</v>
      </c>
      <c r="G9519" s="40" t="s">
        <v>11404</v>
      </c>
      <c r="H9519" s="40" t="s">
        <v>11404</v>
      </c>
    </row>
    <row r="9520">
      <c r="A9520" s="39"/>
      <c r="E9520" s="40" t="s">
        <v>11404</v>
      </c>
      <c r="F9520" s="40" t="s">
        <v>11404</v>
      </c>
      <c r="G9520" s="40" t="s">
        <v>11404</v>
      </c>
      <c r="H9520" s="40" t="s">
        <v>11404</v>
      </c>
    </row>
    <row r="9521">
      <c r="A9521" s="39"/>
      <c r="E9521" s="40" t="s">
        <v>11404</v>
      </c>
      <c r="F9521" s="40" t="s">
        <v>11404</v>
      </c>
      <c r="G9521" s="40" t="s">
        <v>11404</v>
      </c>
      <c r="H9521" s="40" t="s">
        <v>11404</v>
      </c>
    </row>
    <row r="9522">
      <c r="A9522" s="39"/>
      <c r="E9522" s="40" t="s">
        <v>11404</v>
      </c>
      <c r="F9522" s="40" t="s">
        <v>11404</v>
      </c>
      <c r="G9522" s="40" t="s">
        <v>11404</v>
      </c>
      <c r="H9522" s="40" t="s">
        <v>11404</v>
      </c>
    </row>
    <row r="9523">
      <c r="A9523" s="39"/>
      <c r="E9523" s="40" t="s">
        <v>11404</v>
      </c>
      <c r="F9523" s="40" t="s">
        <v>11404</v>
      </c>
      <c r="G9523" s="40" t="s">
        <v>11404</v>
      </c>
      <c r="H9523" s="40" t="s">
        <v>11404</v>
      </c>
    </row>
    <row r="9524">
      <c r="A9524" s="39"/>
      <c r="E9524" s="40" t="s">
        <v>11404</v>
      </c>
      <c r="F9524" s="40" t="s">
        <v>11404</v>
      </c>
      <c r="G9524" s="40" t="s">
        <v>11404</v>
      </c>
      <c r="H9524" s="40" t="s">
        <v>11404</v>
      </c>
    </row>
    <row r="9525">
      <c r="A9525" s="39"/>
      <c r="E9525" s="40" t="s">
        <v>11404</v>
      </c>
      <c r="F9525" s="40" t="s">
        <v>11404</v>
      </c>
      <c r="G9525" s="40" t="s">
        <v>11404</v>
      </c>
      <c r="H9525" s="40" t="s">
        <v>11404</v>
      </c>
    </row>
    <row r="9526">
      <c r="A9526" s="39"/>
      <c r="E9526" s="40" t="s">
        <v>11404</v>
      </c>
      <c r="F9526" s="40" t="s">
        <v>11404</v>
      </c>
      <c r="G9526" s="40" t="s">
        <v>11404</v>
      </c>
      <c r="H9526" s="40" t="s">
        <v>11404</v>
      </c>
    </row>
    <row r="9527">
      <c r="A9527" s="39"/>
      <c r="E9527" s="40" t="s">
        <v>11404</v>
      </c>
      <c r="F9527" s="40" t="s">
        <v>11404</v>
      </c>
      <c r="G9527" s="40" t="s">
        <v>11404</v>
      </c>
      <c r="H9527" s="40" t="s">
        <v>11404</v>
      </c>
    </row>
    <row r="9528">
      <c r="A9528" s="39"/>
      <c r="E9528" s="40" t="s">
        <v>11404</v>
      </c>
      <c r="F9528" s="40" t="s">
        <v>11404</v>
      </c>
      <c r="G9528" s="40" t="s">
        <v>11404</v>
      </c>
      <c r="H9528" s="40" t="s">
        <v>11404</v>
      </c>
    </row>
    <row r="9529">
      <c r="A9529" s="39"/>
      <c r="E9529" s="40" t="s">
        <v>11404</v>
      </c>
      <c r="F9529" s="40" t="s">
        <v>11404</v>
      </c>
      <c r="G9529" s="40" t="s">
        <v>11404</v>
      </c>
      <c r="H9529" s="40" t="s">
        <v>11404</v>
      </c>
    </row>
    <row r="9530">
      <c r="A9530" s="39"/>
      <c r="E9530" s="40" t="s">
        <v>11404</v>
      </c>
      <c r="F9530" s="40" t="s">
        <v>11404</v>
      </c>
      <c r="G9530" s="40" t="s">
        <v>11404</v>
      </c>
      <c r="H9530" s="40" t="s">
        <v>11404</v>
      </c>
    </row>
    <row r="9531">
      <c r="A9531" s="39"/>
      <c r="E9531" s="40" t="s">
        <v>11404</v>
      </c>
      <c r="F9531" s="40" t="s">
        <v>11404</v>
      </c>
      <c r="G9531" s="40" t="s">
        <v>11404</v>
      </c>
      <c r="H9531" s="40" t="s">
        <v>11404</v>
      </c>
    </row>
    <row r="9532">
      <c r="A9532" s="39"/>
      <c r="E9532" s="40" t="s">
        <v>11404</v>
      </c>
      <c r="F9532" s="40" t="s">
        <v>11404</v>
      </c>
      <c r="G9532" s="40" t="s">
        <v>11404</v>
      </c>
      <c r="H9532" s="40" t="s">
        <v>11404</v>
      </c>
    </row>
    <row r="9533">
      <c r="A9533" s="39"/>
      <c r="E9533" s="40" t="s">
        <v>11404</v>
      </c>
      <c r="F9533" s="40" t="s">
        <v>11404</v>
      </c>
      <c r="G9533" s="40" t="s">
        <v>11404</v>
      </c>
      <c r="H9533" s="40" t="s">
        <v>11404</v>
      </c>
    </row>
    <row r="9534">
      <c r="A9534" s="39"/>
      <c r="E9534" s="40" t="s">
        <v>11404</v>
      </c>
      <c r="F9534" s="40" t="s">
        <v>11404</v>
      </c>
      <c r="G9534" s="40" t="s">
        <v>11404</v>
      </c>
      <c r="H9534" s="40" t="s">
        <v>11404</v>
      </c>
    </row>
    <row r="9535">
      <c r="A9535" s="39"/>
      <c r="E9535" s="40" t="s">
        <v>11404</v>
      </c>
      <c r="F9535" s="40" t="s">
        <v>11404</v>
      </c>
      <c r="G9535" s="40" t="s">
        <v>11404</v>
      </c>
      <c r="H9535" s="40" t="s">
        <v>11404</v>
      </c>
    </row>
    <row r="9536">
      <c r="A9536" s="39"/>
      <c r="E9536" s="40" t="s">
        <v>11404</v>
      </c>
      <c r="F9536" s="40" t="s">
        <v>11404</v>
      </c>
      <c r="G9536" s="40" t="s">
        <v>11404</v>
      </c>
      <c r="H9536" s="40" t="s">
        <v>11404</v>
      </c>
    </row>
    <row r="9537">
      <c r="A9537" s="39"/>
      <c r="E9537" s="40" t="s">
        <v>11404</v>
      </c>
      <c r="F9537" s="40" t="s">
        <v>11404</v>
      </c>
      <c r="G9537" s="40" t="s">
        <v>11404</v>
      </c>
      <c r="H9537" s="40" t="s">
        <v>11404</v>
      </c>
    </row>
    <row r="9538">
      <c r="A9538" s="39"/>
      <c r="E9538" s="40" t="s">
        <v>11404</v>
      </c>
      <c r="F9538" s="40" t="s">
        <v>11404</v>
      </c>
      <c r="G9538" s="40" t="s">
        <v>11404</v>
      </c>
      <c r="H9538" s="40" t="s">
        <v>11404</v>
      </c>
    </row>
    <row r="9539">
      <c r="A9539" s="39"/>
      <c r="E9539" s="40" t="s">
        <v>11404</v>
      </c>
      <c r="F9539" s="40" t="s">
        <v>11404</v>
      </c>
      <c r="G9539" s="40" t="s">
        <v>11404</v>
      </c>
      <c r="H9539" s="40" t="s">
        <v>11404</v>
      </c>
    </row>
    <row r="9540">
      <c r="A9540" s="39"/>
      <c r="E9540" s="40" t="s">
        <v>11404</v>
      </c>
      <c r="F9540" s="40" t="s">
        <v>11404</v>
      </c>
      <c r="G9540" s="40" t="s">
        <v>11404</v>
      </c>
      <c r="H9540" s="40" t="s">
        <v>11404</v>
      </c>
    </row>
    <row r="9541">
      <c r="A9541" s="39"/>
      <c r="E9541" s="40" t="s">
        <v>11404</v>
      </c>
      <c r="F9541" s="40" t="s">
        <v>11404</v>
      </c>
      <c r="G9541" s="40" t="s">
        <v>11404</v>
      </c>
      <c r="H9541" s="40" t="s">
        <v>11404</v>
      </c>
    </row>
    <row r="9542">
      <c r="A9542" s="39"/>
      <c r="E9542" s="40" t="s">
        <v>11404</v>
      </c>
      <c r="F9542" s="40" t="s">
        <v>11404</v>
      </c>
      <c r="G9542" s="40" t="s">
        <v>11404</v>
      </c>
      <c r="H9542" s="40" t="s">
        <v>11404</v>
      </c>
    </row>
    <row r="9543">
      <c r="A9543" s="39"/>
      <c r="E9543" s="40" t="s">
        <v>11404</v>
      </c>
      <c r="F9543" s="40" t="s">
        <v>11404</v>
      </c>
      <c r="G9543" s="40" t="s">
        <v>11404</v>
      </c>
      <c r="H9543" s="40" t="s">
        <v>11404</v>
      </c>
    </row>
    <row r="9544">
      <c r="A9544" s="39"/>
      <c r="E9544" s="40" t="s">
        <v>11404</v>
      </c>
      <c r="F9544" s="40" t="s">
        <v>11404</v>
      </c>
      <c r="G9544" s="40" t="s">
        <v>11404</v>
      </c>
      <c r="H9544" s="40" t="s">
        <v>11404</v>
      </c>
    </row>
    <row r="9545">
      <c r="A9545" s="39"/>
      <c r="E9545" s="40" t="s">
        <v>11404</v>
      </c>
      <c r="F9545" s="40" t="s">
        <v>11404</v>
      </c>
      <c r="G9545" s="40" t="s">
        <v>11404</v>
      </c>
      <c r="H9545" s="40" t="s">
        <v>11404</v>
      </c>
    </row>
    <row r="9546">
      <c r="A9546" s="39"/>
      <c r="E9546" s="40" t="s">
        <v>11404</v>
      </c>
      <c r="F9546" s="40" t="s">
        <v>11404</v>
      </c>
      <c r="G9546" s="40" t="s">
        <v>11404</v>
      </c>
      <c r="H9546" s="40" t="s">
        <v>11404</v>
      </c>
    </row>
    <row r="9547">
      <c r="A9547" s="39"/>
      <c r="E9547" s="40" t="s">
        <v>11404</v>
      </c>
      <c r="F9547" s="40" t="s">
        <v>11404</v>
      </c>
      <c r="G9547" s="40" t="s">
        <v>11404</v>
      </c>
      <c r="H9547" s="40" t="s">
        <v>11404</v>
      </c>
    </row>
    <row r="9548">
      <c r="A9548" s="39"/>
      <c r="E9548" s="40" t="s">
        <v>11404</v>
      </c>
      <c r="F9548" s="40" t="s">
        <v>11404</v>
      </c>
      <c r="G9548" s="40" t="s">
        <v>11404</v>
      </c>
      <c r="H9548" s="40" t="s">
        <v>11404</v>
      </c>
    </row>
    <row r="9549">
      <c r="A9549" s="39"/>
      <c r="E9549" s="40" t="s">
        <v>11404</v>
      </c>
      <c r="F9549" s="40" t="s">
        <v>11404</v>
      </c>
      <c r="G9549" s="40" t="s">
        <v>11404</v>
      </c>
      <c r="H9549" s="40" t="s">
        <v>11404</v>
      </c>
    </row>
    <row r="9550">
      <c r="A9550" s="39"/>
      <c r="E9550" s="40" t="s">
        <v>11404</v>
      </c>
      <c r="F9550" s="40" t="s">
        <v>11404</v>
      </c>
      <c r="G9550" s="40" t="s">
        <v>11404</v>
      </c>
      <c r="H9550" s="40" t="s">
        <v>11404</v>
      </c>
    </row>
    <row r="9551">
      <c r="A9551" s="39"/>
      <c r="E9551" s="40" t="s">
        <v>11404</v>
      </c>
      <c r="F9551" s="40" t="s">
        <v>11404</v>
      </c>
      <c r="G9551" s="40" t="s">
        <v>11404</v>
      </c>
      <c r="H9551" s="40" t="s">
        <v>11404</v>
      </c>
    </row>
    <row r="9552">
      <c r="A9552" s="39"/>
      <c r="E9552" s="40" t="s">
        <v>11404</v>
      </c>
      <c r="F9552" s="40" t="s">
        <v>11404</v>
      </c>
      <c r="G9552" s="40" t="s">
        <v>11404</v>
      </c>
      <c r="H9552" s="40" t="s">
        <v>11404</v>
      </c>
    </row>
    <row r="9553">
      <c r="A9553" s="39"/>
      <c r="E9553" s="40" t="s">
        <v>11404</v>
      </c>
      <c r="F9553" s="40" t="s">
        <v>11404</v>
      </c>
      <c r="G9553" s="40" t="s">
        <v>11404</v>
      </c>
      <c r="H9553" s="40" t="s">
        <v>11404</v>
      </c>
    </row>
    <row r="9554">
      <c r="A9554" s="39"/>
      <c r="E9554" s="40" t="s">
        <v>11404</v>
      </c>
      <c r="F9554" s="40" t="s">
        <v>11404</v>
      </c>
      <c r="G9554" s="40" t="s">
        <v>11404</v>
      </c>
      <c r="H9554" s="40" t="s">
        <v>11404</v>
      </c>
    </row>
    <row r="9555">
      <c r="A9555" s="39"/>
      <c r="E9555" s="40" t="s">
        <v>11404</v>
      </c>
      <c r="F9555" s="40" t="s">
        <v>11404</v>
      </c>
      <c r="G9555" s="40" t="s">
        <v>11404</v>
      </c>
      <c r="H9555" s="40" t="s">
        <v>11404</v>
      </c>
    </row>
    <row r="9556">
      <c r="A9556" s="39"/>
      <c r="E9556" s="40" t="s">
        <v>11404</v>
      </c>
      <c r="F9556" s="40" t="s">
        <v>11404</v>
      </c>
      <c r="G9556" s="40" t="s">
        <v>11404</v>
      </c>
      <c r="H9556" s="40" t="s">
        <v>11404</v>
      </c>
    </row>
    <row r="9557">
      <c r="A9557" s="39"/>
      <c r="E9557" s="40" t="s">
        <v>11404</v>
      </c>
      <c r="F9557" s="40" t="s">
        <v>11404</v>
      </c>
      <c r="G9557" s="40" t="s">
        <v>11404</v>
      </c>
      <c r="H9557" s="40" t="s">
        <v>11404</v>
      </c>
    </row>
    <row r="9558">
      <c r="A9558" s="39"/>
      <c r="E9558" s="40" t="s">
        <v>11404</v>
      </c>
      <c r="F9558" s="40" t="s">
        <v>11404</v>
      </c>
      <c r="G9558" s="40" t="s">
        <v>11404</v>
      </c>
      <c r="H9558" s="40" t="s">
        <v>11404</v>
      </c>
    </row>
    <row r="9559">
      <c r="A9559" s="39"/>
      <c r="E9559" s="40" t="s">
        <v>11404</v>
      </c>
      <c r="F9559" s="40" t="s">
        <v>11404</v>
      </c>
      <c r="G9559" s="40" t="s">
        <v>11404</v>
      </c>
      <c r="H9559" s="40" t="s">
        <v>11404</v>
      </c>
    </row>
    <row r="9560">
      <c r="A9560" s="39"/>
      <c r="E9560" s="40" t="s">
        <v>11404</v>
      </c>
      <c r="F9560" s="40" t="s">
        <v>11404</v>
      </c>
      <c r="G9560" s="40" t="s">
        <v>11404</v>
      </c>
      <c r="H9560" s="40" t="s">
        <v>11404</v>
      </c>
    </row>
    <row r="9561">
      <c r="A9561" s="39"/>
      <c r="E9561" s="40" t="s">
        <v>11404</v>
      </c>
      <c r="F9561" s="40" t="s">
        <v>11404</v>
      </c>
      <c r="G9561" s="40" t="s">
        <v>11404</v>
      </c>
      <c r="H9561" s="40" t="s">
        <v>11404</v>
      </c>
    </row>
    <row r="9562">
      <c r="A9562" s="39"/>
      <c r="E9562" s="40" t="s">
        <v>11404</v>
      </c>
      <c r="F9562" s="40" t="s">
        <v>11404</v>
      </c>
      <c r="G9562" s="40" t="s">
        <v>11404</v>
      </c>
      <c r="H9562" s="40" t="s">
        <v>11404</v>
      </c>
    </row>
    <row r="9563">
      <c r="A9563" s="39"/>
      <c r="E9563" s="40" t="s">
        <v>11404</v>
      </c>
      <c r="F9563" s="40" t="s">
        <v>11404</v>
      </c>
      <c r="G9563" s="40" t="s">
        <v>11404</v>
      </c>
      <c r="H9563" s="40" t="s">
        <v>11404</v>
      </c>
    </row>
    <row r="9564">
      <c r="A9564" s="39"/>
      <c r="E9564" s="40" t="s">
        <v>11404</v>
      </c>
      <c r="F9564" s="40" t="s">
        <v>11404</v>
      </c>
      <c r="G9564" s="40" t="s">
        <v>11404</v>
      </c>
      <c r="H9564" s="40" t="s">
        <v>11404</v>
      </c>
    </row>
    <row r="9565">
      <c r="A9565" s="39"/>
      <c r="E9565" s="40" t="s">
        <v>11404</v>
      </c>
      <c r="F9565" s="40" t="s">
        <v>11404</v>
      </c>
      <c r="G9565" s="40" t="s">
        <v>11404</v>
      </c>
      <c r="H9565" s="40" t="s">
        <v>11404</v>
      </c>
    </row>
    <row r="9566">
      <c r="A9566" s="39"/>
      <c r="E9566" s="40" t="s">
        <v>11404</v>
      </c>
      <c r="F9566" s="40" t="s">
        <v>11404</v>
      </c>
      <c r="G9566" s="40" t="s">
        <v>11404</v>
      </c>
      <c r="H9566" s="40" t="s">
        <v>11404</v>
      </c>
    </row>
    <row r="9567">
      <c r="A9567" s="39"/>
      <c r="E9567" s="40" t="s">
        <v>11404</v>
      </c>
      <c r="F9567" s="40" t="s">
        <v>11404</v>
      </c>
      <c r="G9567" s="40" t="s">
        <v>11404</v>
      </c>
      <c r="H9567" s="40" t="s">
        <v>11404</v>
      </c>
    </row>
    <row r="9568">
      <c r="A9568" s="39"/>
      <c r="E9568" s="40" t="s">
        <v>11404</v>
      </c>
      <c r="F9568" s="40" t="s">
        <v>11404</v>
      </c>
      <c r="G9568" s="40" t="s">
        <v>11404</v>
      </c>
      <c r="H9568" s="40" t="s">
        <v>11404</v>
      </c>
    </row>
    <row r="9569">
      <c r="A9569" s="39"/>
      <c r="E9569" s="40" t="s">
        <v>11404</v>
      </c>
      <c r="F9569" s="40" t="s">
        <v>11404</v>
      </c>
      <c r="G9569" s="40" t="s">
        <v>11404</v>
      </c>
      <c r="H9569" s="40" t="s">
        <v>11404</v>
      </c>
    </row>
    <row r="9570">
      <c r="A9570" s="39"/>
      <c r="E9570" s="40" t="s">
        <v>11404</v>
      </c>
      <c r="F9570" s="40" t="s">
        <v>11404</v>
      </c>
      <c r="G9570" s="40" t="s">
        <v>11404</v>
      </c>
      <c r="H9570" s="40" t="s">
        <v>11404</v>
      </c>
    </row>
    <row r="9571">
      <c r="A9571" s="39"/>
      <c r="E9571" s="40" t="s">
        <v>11404</v>
      </c>
      <c r="F9571" s="40" t="s">
        <v>11404</v>
      </c>
      <c r="G9571" s="40" t="s">
        <v>11404</v>
      </c>
      <c r="H9571" s="40" t="s">
        <v>11404</v>
      </c>
    </row>
    <row r="9572">
      <c r="A9572" s="39"/>
      <c r="E9572" s="40" t="s">
        <v>11404</v>
      </c>
      <c r="F9572" s="40" t="s">
        <v>11404</v>
      </c>
      <c r="G9572" s="40" t="s">
        <v>11404</v>
      </c>
      <c r="H9572" s="40" t="s">
        <v>11404</v>
      </c>
    </row>
    <row r="9573">
      <c r="A9573" s="39"/>
      <c r="E9573" s="40" t="s">
        <v>11404</v>
      </c>
      <c r="F9573" s="40" t="s">
        <v>11404</v>
      </c>
      <c r="G9573" s="40" t="s">
        <v>11404</v>
      </c>
      <c r="H9573" s="40" t="s">
        <v>11404</v>
      </c>
    </row>
    <row r="9574">
      <c r="A9574" s="39"/>
      <c r="E9574" s="40" t="s">
        <v>11404</v>
      </c>
      <c r="F9574" s="40" t="s">
        <v>11404</v>
      </c>
      <c r="G9574" s="40" t="s">
        <v>11404</v>
      </c>
      <c r="H9574" s="40" t="s">
        <v>11404</v>
      </c>
    </row>
    <row r="9575">
      <c r="A9575" s="39"/>
      <c r="E9575" s="40" t="s">
        <v>11404</v>
      </c>
      <c r="F9575" s="40" t="s">
        <v>11404</v>
      </c>
      <c r="G9575" s="40" t="s">
        <v>11404</v>
      </c>
      <c r="H9575" s="40" t="s">
        <v>11404</v>
      </c>
    </row>
    <row r="9576">
      <c r="A9576" s="39"/>
      <c r="E9576" s="40" t="s">
        <v>11404</v>
      </c>
      <c r="F9576" s="40" t="s">
        <v>11404</v>
      </c>
      <c r="G9576" s="40" t="s">
        <v>11404</v>
      </c>
      <c r="H9576" s="40" t="s">
        <v>11404</v>
      </c>
    </row>
    <row r="9577">
      <c r="A9577" s="39"/>
      <c r="E9577" s="40" t="s">
        <v>11404</v>
      </c>
      <c r="F9577" s="40" t="s">
        <v>11404</v>
      </c>
      <c r="G9577" s="40" t="s">
        <v>11404</v>
      </c>
      <c r="H9577" s="40" t="s">
        <v>11404</v>
      </c>
    </row>
    <row r="9578">
      <c r="A9578" s="39"/>
      <c r="E9578" s="40" t="s">
        <v>11404</v>
      </c>
      <c r="F9578" s="40" t="s">
        <v>11404</v>
      </c>
      <c r="G9578" s="40" t="s">
        <v>11404</v>
      </c>
      <c r="H9578" s="40" t="s">
        <v>11404</v>
      </c>
    </row>
    <row r="9579">
      <c r="A9579" s="39"/>
      <c r="E9579" s="40" t="s">
        <v>11404</v>
      </c>
      <c r="F9579" s="40" t="s">
        <v>11404</v>
      </c>
      <c r="G9579" s="40" t="s">
        <v>11404</v>
      </c>
      <c r="H9579" s="40" t="s">
        <v>11404</v>
      </c>
    </row>
    <row r="9580">
      <c r="A9580" s="39"/>
      <c r="E9580" s="40" t="s">
        <v>11404</v>
      </c>
      <c r="F9580" s="40" t="s">
        <v>11404</v>
      </c>
      <c r="G9580" s="40" t="s">
        <v>11404</v>
      </c>
      <c r="H9580" s="40" t="s">
        <v>11404</v>
      </c>
    </row>
    <row r="9581">
      <c r="A9581" s="39"/>
      <c r="E9581" s="40" t="s">
        <v>11404</v>
      </c>
      <c r="F9581" s="40" t="s">
        <v>11404</v>
      </c>
      <c r="G9581" s="40" t="s">
        <v>11404</v>
      </c>
      <c r="H9581" s="40" t="s">
        <v>11404</v>
      </c>
    </row>
    <row r="9582">
      <c r="A9582" s="39"/>
      <c r="E9582" s="40" t="s">
        <v>11404</v>
      </c>
      <c r="F9582" s="40" t="s">
        <v>11404</v>
      </c>
      <c r="G9582" s="40" t="s">
        <v>11404</v>
      </c>
      <c r="H9582" s="40" t="s">
        <v>11404</v>
      </c>
    </row>
    <row r="9583">
      <c r="A9583" s="39"/>
      <c r="E9583" s="40" t="s">
        <v>11404</v>
      </c>
      <c r="F9583" s="40" t="s">
        <v>11404</v>
      </c>
      <c r="G9583" s="40" t="s">
        <v>11404</v>
      </c>
      <c r="H9583" s="40" t="s">
        <v>11404</v>
      </c>
    </row>
    <row r="9584">
      <c r="A9584" s="39"/>
      <c r="E9584" s="40" t="s">
        <v>11404</v>
      </c>
      <c r="F9584" s="40" t="s">
        <v>11404</v>
      </c>
      <c r="G9584" s="40" t="s">
        <v>11404</v>
      </c>
      <c r="H9584" s="40" t="s">
        <v>11404</v>
      </c>
    </row>
    <row r="9585">
      <c r="A9585" s="39"/>
      <c r="E9585" s="40" t="s">
        <v>11404</v>
      </c>
      <c r="F9585" s="40" t="s">
        <v>11404</v>
      </c>
      <c r="G9585" s="40" t="s">
        <v>11404</v>
      </c>
      <c r="H9585" s="40" t="s">
        <v>11404</v>
      </c>
    </row>
    <row r="9586">
      <c r="A9586" s="39"/>
      <c r="E9586" s="40" t="s">
        <v>11404</v>
      </c>
      <c r="F9586" s="40" t="s">
        <v>11404</v>
      </c>
      <c r="G9586" s="40" t="s">
        <v>11404</v>
      </c>
      <c r="H9586" s="40" t="s">
        <v>11404</v>
      </c>
    </row>
    <row r="9587">
      <c r="A9587" s="39"/>
      <c r="E9587" s="40" t="s">
        <v>11404</v>
      </c>
      <c r="F9587" s="40" t="s">
        <v>11404</v>
      </c>
      <c r="G9587" s="40" t="s">
        <v>11404</v>
      </c>
      <c r="H9587" s="40" t="s">
        <v>11404</v>
      </c>
    </row>
    <row r="9588">
      <c r="A9588" s="39"/>
      <c r="E9588" s="40" t="s">
        <v>11404</v>
      </c>
      <c r="F9588" s="40" t="s">
        <v>11404</v>
      </c>
      <c r="G9588" s="40" t="s">
        <v>11404</v>
      </c>
      <c r="H9588" s="40" t="s">
        <v>11404</v>
      </c>
    </row>
    <row r="9589">
      <c r="A9589" s="39"/>
      <c r="E9589" s="40" t="s">
        <v>11404</v>
      </c>
      <c r="F9589" s="40" t="s">
        <v>11404</v>
      </c>
      <c r="G9589" s="40" t="s">
        <v>11404</v>
      </c>
      <c r="H9589" s="40" t="s">
        <v>11404</v>
      </c>
    </row>
    <row r="9590">
      <c r="A9590" s="39"/>
      <c r="E9590" s="40" t="s">
        <v>11404</v>
      </c>
      <c r="F9590" s="40" t="s">
        <v>11404</v>
      </c>
      <c r="G9590" s="40" t="s">
        <v>11404</v>
      </c>
      <c r="H9590" s="40" t="s">
        <v>11404</v>
      </c>
    </row>
    <row r="9591">
      <c r="A9591" s="39"/>
      <c r="E9591" s="40" t="s">
        <v>11404</v>
      </c>
      <c r="F9591" s="40" t="s">
        <v>11404</v>
      </c>
      <c r="G9591" s="40" t="s">
        <v>11404</v>
      </c>
      <c r="H9591" s="40" t="s">
        <v>11404</v>
      </c>
    </row>
    <row r="9592">
      <c r="A9592" s="39"/>
      <c r="E9592" s="40" t="s">
        <v>11404</v>
      </c>
      <c r="F9592" s="40" t="s">
        <v>11404</v>
      </c>
      <c r="G9592" s="40" t="s">
        <v>11404</v>
      </c>
      <c r="H9592" s="40" t="s">
        <v>11404</v>
      </c>
    </row>
    <row r="9593">
      <c r="A9593" s="39"/>
      <c r="E9593" s="40" t="s">
        <v>11404</v>
      </c>
      <c r="F9593" s="40" t="s">
        <v>11404</v>
      </c>
      <c r="G9593" s="40" t="s">
        <v>11404</v>
      </c>
      <c r="H9593" s="40" t="s">
        <v>11404</v>
      </c>
    </row>
    <row r="9594">
      <c r="A9594" s="39"/>
      <c r="E9594" s="40" t="s">
        <v>11404</v>
      </c>
      <c r="F9594" s="40" t="s">
        <v>11404</v>
      </c>
      <c r="G9594" s="40" t="s">
        <v>11404</v>
      </c>
      <c r="H9594" s="40" t="s">
        <v>11404</v>
      </c>
    </row>
    <row r="9595">
      <c r="A9595" s="39"/>
      <c r="E9595" s="40" t="s">
        <v>11404</v>
      </c>
      <c r="F9595" s="40" t="s">
        <v>11404</v>
      </c>
      <c r="G9595" s="40" t="s">
        <v>11404</v>
      </c>
      <c r="H9595" s="40" t="s">
        <v>11404</v>
      </c>
    </row>
    <row r="9596">
      <c r="A9596" s="39"/>
      <c r="E9596" s="40" t="s">
        <v>11404</v>
      </c>
      <c r="F9596" s="40" t="s">
        <v>11404</v>
      </c>
      <c r="G9596" s="40" t="s">
        <v>11404</v>
      </c>
      <c r="H9596" s="40" t="s">
        <v>11404</v>
      </c>
    </row>
    <row r="9597">
      <c r="A9597" s="39"/>
      <c r="E9597" s="40" t="s">
        <v>11404</v>
      </c>
      <c r="F9597" s="40" t="s">
        <v>11404</v>
      </c>
      <c r="G9597" s="40" t="s">
        <v>11404</v>
      </c>
      <c r="H9597" s="40" t="s">
        <v>11404</v>
      </c>
    </row>
    <row r="9598">
      <c r="A9598" s="39"/>
      <c r="E9598" s="40" t="s">
        <v>11404</v>
      </c>
      <c r="F9598" s="40" t="s">
        <v>11404</v>
      </c>
      <c r="G9598" s="40" t="s">
        <v>11404</v>
      </c>
      <c r="H9598" s="40" t="s">
        <v>11404</v>
      </c>
    </row>
    <row r="9599">
      <c r="A9599" s="39"/>
      <c r="E9599" s="40" t="s">
        <v>11404</v>
      </c>
      <c r="F9599" s="40" t="s">
        <v>11404</v>
      </c>
      <c r="G9599" s="40" t="s">
        <v>11404</v>
      </c>
      <c r="H9599" s="40" t="s">
        <v>11404</v>
      </c>
    </row>
    <row r="9600">
      <c r="A9600" s="39"/>
      <c r="E9600" s="40" t="s">
        <v>11404</v>
      </c>
      <c r="F9600" s="40" t="s">
        <v>11404</v>
      </c>
      <c r="G9600" s="40" t="s">
        <v>11404</v>
      </c>
      <c r="H9600" s="40" t="s">
        <v>11404</v>
      </c>
    </row>
    <row r="9601">
      <c r="A9601" s="39"/>
      <c r="E9601" s="40" t="s">
        <v>11404</v>
      </c>
      <c r="F9601" s="40" t="s">
        <v>11404</v>
      </c>
      <c r="G9601" s="40" t="s">
        <v>11404</v>
      </c>
      <c r="H9601" s="40" t="s">
        <v>11404</v>
      </c>
    </row>
    <row r="9602">
      <c r="A9602" s="39"/>
      <c r="E9602" s="40" t="s">
        <v>11404</v>
      </c>
      <c r="F9602" s="40" t="s">
        <v>11404</v>
      </c>
      <c r="G9602" s="40" t="s">
        <v>11404</v>
      </c>
      <c r="H9602" s="40" t="s">
        <v>11404</v>
      </c>
    </row>
    <row r="9603">
      <c r="A9603" s="39"/>
      <c r="E9603" s="40" t="s">
        <v>11404</v>
      </c>
      <c r="F9603" s="40" t="s">
        <v>11404</v>
      </c>
      <c r="G9603" s="40" t="s">
        <v>11404</v>
      </c>
      <c r="H9603" s="40" t="s">
        <v>11404</v>
      </c>
    </row>
    <row r="9604">
      <c r="A9604" s="39"/>
      <c r="E9604" s="40" t="s">
        <v>11404</v>
      </c>
      <c r="F9604" s="40" t="s">
        <v>11404</v>
      </c>
      <c r="G9604" s="40" t="s">
        <v>11404</v>
      </c>
      <c r="H9604" s="40" t="s">
        <v>11404</v>
      </c>
    </row>
    <row r="9605">
      <c r="A9605" s="39"/>
      <c r="E9605" s="40" t="s">
        <v>11404</v>
      </c>
      <c r="F9605" s="40" t="s">
        <v>11404</v>
      </c>
      <c r="G9605" s="40" t="s">
        <v>11404</v>
      </c>
      <c r="H9605" s="40" t="s">
        <v>11404</v>
      </c>
    </row>
    <row r="9606">
      <c r="A9606" s="39"/>
      <c r="E9606" s="40" t="s">
        <v>11404</v>
      </c>
      <c r="F9606" s="40" t="s">
        <v>11404</v>
      </c>
      <c r="G9606" s="40" t="s">
        <v>11404</v>
      </c>
      <c r="H9606" s="40" t="s">
        <v>11404</v>
      </c>
    </row>
    <row r="9607">
      <c r="A9607" s="39"/>
      <c r="E9607" s="40" t="s">
        <v>11404</v>
      </c>
      <c r="F9607" s="40" t="s">
        <v>11404</v>
      </c>
      <c r="G9607" s="40" t="s">
        <v>11404</v>
      </c>
      <c r="H9607" s="40" t="s">
        <v>11404</v>
      </c>
    </row>
    <row r="9608">
      <c r="A9608" s="39"/>
      <c r="E9608" s="40" t="s">
        <v>11404</v>
      </c>
      <c r="F9608" s="40" t="s">
        <v>11404</v>
      </c>
      <c r="G9608" s="40" t="s">
        <v>11404</v>
      </c>
      <c r="H9608" s="40" t="s">
        <v>11404</v>
      </c>
    </row>
    <row r="9609">
      <c r="A9609" s="39"/>
      <c r="E9609" s="40" t="s">
        <v>11404</v>
      </c>
      <c r="F9609" s="40" t="s">
        <v>11404</v>
      </c>
      <c r="G9609" s="40" t="s">
        <v>11404</v>
      </c>
      <c r="H9609" s="40" t="s">
        <v>11404</v>
      </c>
    </row>
    <row r="9610">
      <c r="A9610" s="39"/>
      <c r="E9610" s="40" t="s">
        <v>11404</v>
      </c>
      <c r="F9610" s="40" t="s">
        <v>11404</v>
      </c>
      <c r="G9610" s="40" t="s">
        <v>11404</v>
      </c>
      <c r="H9610" s="40" t="s">
        <v>11404</v>
      </c>
    </row>
    <row r="9611">
      <c r="A9611" s="39"/>
      <c r="E9611" s="40" t="s">
        <v>11404</v>
      </c>
      <c r="F9611" s="40" t="s">
        <v>11404</v>
      </c>
      <c r="G9611" s="40" t="s">
        <v>11404</v>
      </c>
      <c r="H9611" s="40" t="s">
        <v>11404</v>
      </c>
    </row>
    <row r="9612">
      <c r="A9612" s="39"/>
      <c r="E9612" s="40" t="s">
        <v>11404</v>
      </c>
      <c r="F9612" s="40" t="s">
        <v>11404</v>
      </c>
      <c r="G9612" s="40" t="s">
        <v>11404</v>
      </c>
      <c r="H9612" s="40" t="s">
        <v>11404</v>
      </c>
    </row>
    <row r="9613">
      <c r="A9613" s="39"/>
      <c r="E9613" s="40" t="s">
        <v>11404</v>
      </c>
      <c r="F9613" s="40" t="s">
        <v>11404</v>
      </c>
      <c r="G9613" s="40" t="s">
        <v>11404</v>
      </c>
      <c r="H9613" s="40" t="s">
        <v>11404</v>
      </c>
    </row>
    <row r="9614">
      <c r="A9614" s="39"/>
      <c r="E9614" s="40" t="s">
        <v>11404</v>
      </c>
      <c r="F9614" s="40" t="s">
        <v>11404</v>
      </c>
      <c r="G9614" s="40" t="s">
        <v>11404</v>
      </c>
      <c r="H9614" s="40" t="s">
        <v>11404</v>
      </c>
    </row>
    <row r="9615">
      <c r="A9615" s="39"/>
      <c r="E9615" s="40" t="s">
        <v>11404</v>
      </c>
      <c r="F9615" s="40" t="s">
        <v>11404</v>
      </c>
      <c r="G9615" s="40" t="s">
        <v>11404</v>
      </c>
      <c r="H9615" s="40" t="s">
        <v>11404</v>
      </c>
    </row>
    <row r="9616">
      <c r="A9616" s="39"/>
      <c r="E9616" s="40" t="s">
        <v>11404</v>
      </c>
      <c r="F9616" s="40" t="s">
        <v>11404</v>
      </c>
      <c r="G9616" s="40" t="s">
        <v>11404</v>
      </c>
      <c r="H9616" s="40" t="s">
        <v>11404</v>
      </c>
    </row>
    <row r="9617">
      <c r="A9617" s="39"/>
      <c r="E9617" s="40" t="s">
        <v>11404</v>
      </c>
      <c r="F9617" s="40" t="s">
        <v>11404</v>
      </c>
      <c r="G9617" s="40" t="s">
        <v>11404</v>
      </c>
      <c r="H9617" s="40" t="s">
        <v>11404</v>
      </c>
    </row>
    <row r="9618">
      <c r="A9618" s="39"/>
      <c r="E9618" s="40" t="s">
        <v>11404</v>
      </c>
      <c r="F9618" s="40" t="s">
        <v>11404</v>
      </c>
      <c r="G9618" s="40" t="s">
        <v>11404</v>
      </c>
      <c r="H9618" s="40" t="s">
        <v>11404</v>
      </c>
    </row>
    <row r="9619">
      <c r="A9619" s="39"/>
      <c r="E9619" s="40" t="s">
        <v>11404</v>
      </c>
      <c r="F9619" s="40" t="s">
        <v>11404</v>
      </c>
      <c r="G9619" s="40" t="s">
        <v>11404</v>
      </c>
      <c r="H9619" s="40" t="s">
        <v>11404</v>
      </c>
    </row>
    <row r="9620">
      <c r="A9620" s="39"/>
      <c r="E9620" s="40" t="s">
        <v>11404</v>
      </c>
      <c r="F9620" s="40" t="s">
        <v>11404</v>
      </c>
      <c r="G9620" s="40" t="s">
        <v>11404</v>
      </c>
      <c r="H9620" s="40" t="s">
        <v>11404</v>
      </c>
    </row>
    <row r="9621">
      <c r="A9621" s="39"/>
      <c r="E9621" s="40" t="s">
        <v>11404</v>
      </c>
      <c r="F9621" s="40" t="s">
        <v>11404</v>
      </c>
      <c r="G9621" s="40" t="s">
        <v>11404</v>
      </c>
      <c r="H9621" s="40" t="s">
        <v>11404</v>
      </c>
    </row>
    <row r="9622">
      <c r="A9622" s="39"/>
      <c r="E9622" s="40" t="s">
        <v>11404</v>
      </c>
      <c r="F9622" s="40" t="s">
        <v>11404</v>
      </c>
      <c r="G9622" s="40" t="s">
        <v>11404</v>
      </c>
      <c r="H9622" s="40" t="s">
        <v>11404</v>
      </c>
    </row>
    <row r="9623">
      <c r="A9623" s="39"/>
      <c r="E9623" s="40" t="s">
        <v>11404</v>
      </c>
      <c r="F9623" s="40" t="s">
        <v>11404</v>
      </c>
      <c r="G9623" s="40" t="s">
        <v>11404</v>
      </c>
      <c r="H9623" s="40" t="s">
        <v>11404</v>
      </c>
    </row>
    <row r="9624">
      <c r="A9624" s="39"/>
      <c r="E9624" s="40" t="s">
        <v>11404</v>
      </c>
      <c r="F9624" s="40" t="s">
        <v>11404</v>
      </c>
      <c r="G9624" s="40" t="s">
        <v>11404</v>
      </c>
      <c r="H9624" s="40" t="s">
        <v>11404</v>
      </c>
    </row>
    <row r="9625">
      <c r="A9625" s="39"/>
      <c r="E9625" s="40" t="s">
        <v>11404</v>
      </c>
      <c r="F9625" s="40" t="s">
        <v>11404</v>
      </c>
      <c r="G9625" s="40" t="s">
        <v>11404</v>
      </c>
      <c r="H9625" s="40" t="s">
        <v>11404</v>
      </c>
    </row>
    <row r="9626">
      <c r="A9626" s="39"/>
      <c r="E9626" s="40" t="s">
        <v>11404</v>
      </c>
      <c r="F9626" s="40" t="s">
        <v>11404</v>
      </c>
      <c r="G9626" s="40" t="s">
        <v>11404</v>
      </c>
      <c r="H9626" s="40" t="s">
        <v>11404</v>
      </c>
    </row>
    <row r="9627">
      <c r="A9627" s="39"/>
      <c r="E9627" s="40" t="s">
        <v>11404</v>
      </c>
      <c r="F9627" s="40" t="s">
        <v>11404</v>
      </c>
      <c r="G9627" s="40" t="s">
        <v>11404</v>
      </c>
      <c r="H9627" s="40" t="s">
        <v>11404</v>
      </c>
    </row>
    <row r="9628">
      <c r="A9628" s="39"/>
      <c r="E9628" s="40" t="s">
        <v>11404</v>
      </c>
      <c r="F9628" s="40" t="s">
        <v>11404</v>
      </c>
      <c r="G9628" s="40" t="s">
        <v>11404</v>
      </c>
      <c r="H9628" s="40" t="s">
        <v>11404</v>
      </c>
    </row>
    <row r="9629">
      <c r="A9629" s="39"/>
      <c r="E9629" s="40" t="s">
        <v>11404</v>
      </c>
      <c r="F9629" s="40" t="s">
        <v>11404</v>
      </c>
      <c r="G9629" s="40" t="s">
        <v>11404</v>
      </c>
      <c r="H9629" s="40" t="s">
        <v>11404</v>
      </c>
    </row>
    <row r="9630">
      <c r="A9630" s="39"/>
      <c r="E9630" s="40" t="s">
        <v>11404</v>
      </c>
      <c r="F9630" s="40" t="s">
        <v>11404</v>
      </c>
      <c r="G9630" s="40" t="s">
        <v>11404</v>
      </c>
      <c r="H9630" s="40" t="s">
        <v>11404</v>
      </c>
    </row>
    <row r="9631">
      <c r="A9631" s="39"/>
      <c r="E9631" s="40" t="s">
        <v>11404</v>
      </c>
      <c r="F9631" s="40" t="s">
        <v>11404</v>
      </c>
      <c r="G9631" s="40" t="s">
        <v>11404</v>
      </c>
      <c r="H9631" s="40" t="s">
        <v>11404</v>
      </c>
    </row>
    <row r="9632">
      <c r="A9632" s="39"/>
      <c r="E9632" s="40" t="s">
        <v>11404</v>
      </c>
      <c r="F9632" s="40" t="s">
        <v>11404</v>
      </c>
      <c r="G9632" s="40" t="s">
        <v>11404</v>
      </c>
      <c r="H9632" s="40" t="s">
        <v>11404</v>
      </c>
    </row>
    <row r="9633">
      <c r="A9633" s="39"/>
      <c r="E9633" s="40" t="s">
        <v>11404</v>
      </c>
      <c r="F9633" s="40" t="s">
        <v>11404</v>
      </c>
      <c r="G9633" s="40" t="s">
        <v>11404</v>
      </c>
      <c r="H9633" s="40" t="s">
        <v>11404</v>
      </c>
    </row>
    <row r="9634">
      <c r="A9634" s="39"/>
      <c r="E9634" s="40" t="s">
        <v>11404</v>
      </c>
      <c r="F9634" s="40" t="s">
        <v>11404</v>
      </c>
      <c r="G9634" s="40" t="s">
        <v>11404</v>
      </c>
      <c r="H9634" s="40" t="s">
        <v>11404</v>
      </c>
    </row>
    <row r="9635">
      <c r="A9635" s="39"/>
      <c r="E9635" s="40" t="s">
        <v>11404</v>
      </c>
      <c r="F9635" s="40" t="s">
        <v>11404</v>
      </c>
      <c r="G9635" s="40" t="s">
        <v>11404</v>
      </c>
      <c r="H9635" s="40" t="s">
        <v>11404</v>
      </c>
    </row>
    <row r="9636">
      <c r="A9636" s="39"/>
      <c r="E9636" s="40" t="s">
        <v>11404</v>
      </c>
      <c r="F9636" s="40" t="s">
        <v>11404</v>
      </c>
      <c r="G9636" s="40" t="s">
        <v>11404</v>
      </c>
      <c r="H9636" s="40" t="s">
        <v>11404</v>
      </c>
    </row>
    <row r="9637">
      <c r="A9637" s="39"/>
      <c r="E9637" s="40" t="s">
        <v>11404</v>
      </c>
      <c r="F9637" s="40" t="s">
        <v>11404</v>
      </c>
      <c r="G9637" s="40" t="s">
        <v>11404</v>
      </c>
      <c r="H9637" s="40" t="s">
        <v>11404</v>
      </c>
    </row>
    <row r="9638">
      <c r="A9638" s="39"/>
      <c r="E9638" s="40" t="s">
        <v>11404</v>
      </c>
      <c r="F9638" s="40" t="s">
        <v>11404</v>
      </c>
      <c r="G9638" s="40" t="s">
        <v>11404</v>
      </c>
      <c r="H9638" s="40" t="s">
        <v>11404</v>
      </c>
    </row>
    <row r="9639">
      <c r="A9639" s="39"/>
      <c r="E9639" s="40" t="s">
        <v>11404</v>
      </c>
      <c r="F9639" s="40" t="s">
        <v>11404</v>
      </c>
      <c r="G9639" s="40" t="s">
        <v>11404</v>
      </c>
      <c r="H9639" s="40" t="s">
        <v>11404</v>
      </c>
    </row>
    <row r="9640">
      <c r="A9640" s="39"/>
      <c r="E9640" s="40" t="s">
        <v>11404</v>
      </c>
      <c r="F9640" s="40" t="s">
        <v>11404</v>
      </c>
      <c r="G9640" s="40" t="s">
        <v>11404</v>
      </c>
      <c r="H9640" s="40" t="s">
        <v>11404</v>
      </c>
    </row>
    <row r="9641">
      <c r="A9641" s="39"/>
      <c r="E9641" s="40" t="s">
        <v>11404</v>
      </c>
      <c r="F9641" s="40" t="s">
        <v>11404</v>
      </c>
      <c r="G9641" s="40" t="s">
        <v>11404</v>
      </c>
      <c r="H9641" s="40" t="s">
        <v>11404</v>
      </c>
    </row>
    <row r="9642">
      <c r="A9642" s="39"/>
      <c r="E9642" s="40" t="s">
        <v>11404</v>
      </c>
      <c r="F9642" s="40" t="s">
        <v>11404</v>
      </c>
      <c r="G9642" s="40" t="s">
        <v>11404</v>
      </c>
      <c r="H9642" s="40" t="s">
        <v>11404</v>
      </c>
    </row>
    <row r="9643">
      <c r="A9643" s="39"/>
      <c r="E9643" s="40" t="s">
        <v>11404</v>
      </c>
      <c r="F9643" s="40" t="s">
        <v>11404</v>
      </c>
      <c r="G9643" s="40" t="s">
        <v>11404</v>
      </c>
      <c r="H9643" s="40" t="s">
        <v>11404</v>
      </c>
    </row>
    <row r="9644">
      <c r="A9644" s="39"/>
      <c r="E9644" s="40" t="s">
        <v>11404</v>
      </c>
      <c r="F9644" s="40" t="s">
        <v>11404</v>
      </c>
      <c r="G9644" s="40" t="s">
        <v>11404</v>
      </c>
      <c r="H9644" s="40" t="s">
        <v>11404</v>
      </c>
    </row>
    <row r="9645">
      <c r="A9645" s="39"/>
      <c r="E9645" s="40" t="s">
        <v>11404</v>
      </c>
      <c r="F9645" s="40" t="s">
        <v>11404</v>
      </c>
      <c r="G9645" s="40" t="s">
        <v>11404</v>
      </c>
      <c r="H9645" s="40" t="s">
        <v>11404</v>
      </c>
    </row>
    <row r="9646">
      <c r="A9646" s="39"/>
      <c r="E9646" s="40" t="s">
        <v>11404</v>
      </c>
      <c r="F9646" s="40" t="s">
        <v>11404</v>
      </c>
      <c r="G9646" s="40" t="s">
        <v>11404</v>
      </c>
      <c r="H9646" s="40" t="s">
        <v>11404</v>
      </c>
    </row>
    <row r="9647">
      <c r="A9647" s="39"/>
      <c r="E9647" s="40" t="s">
        <v>11404</v>
      </c>
      <c r="F9647" s="40" t="s">
        <v>11404</v>
      </c>
      <c r="G9647" s="40" t="s">
        <v>11404</v>
      </c>
      <c r="H9647" s="40" t="s">
        <v>11404</v>
      </c>
    </row>
    <row r="9648">
      <c r="A9648" s="39"/>
      <c r="E9648" s="40" t="s">
        <v>11404</v>
      </c>
      <c r="F9648" s="40" t="s">
        <v>11404</v>
      </c>
      <c r="G9648" s="40" t="s">
        <v>11404</v>
      </c>
      <c r="H9648" s="40" t="s">
        <v>11404</v>
      </c>
    </row>
    <row r="9649">
      <c r="A9649" s="39"/>
      <c r="E9649" s="40" t="s">
        <v>11404</v>
      </c>
      <c r="F9649" s="40" t="s">
        <v>11404</v>
      </c>
      <c r="G9649" s="40" t="s">
        <v>11404</v>
      </c>
      <c r="H9649" s="40" t="s">
        <v>11404</v>
      </c>
    </row>
    <row r="9650">
      <c r="A9650" s="39"/>
      <c r="E9650" s="40" t="s">
        <v>11404</v>
      </c>
      <c r="F9650" s="40" t="s">
        <v>11404</v>
      </c>
      <c r="G9650" s="40" t="s">
        <v>11404</v>
      </c>
      <c r="H9650" s="40" t="s">
        <v>11404</v>
      </c>
    </row>
    <row r="9651">
      <c r="A9651" s="39"/>
      <c r="E9651" s="40" t="s">
        <v>11404</v>
      </c>
      <c r="F9651" s="40" t="s">
        <v>11404</v>
      </c>
      <c r="G9651" s="40" t="s">
        <v>11404</v>
      </c>
      <c r="H9651" s="40" t="s">
        <v>11404</v>
      </c>
    </row>
    <row r="9652">
      <c r="A9652" s="39"/>
      <c r="E9652" s="40" t="s">
        <v>11404</v>
      </c>
      <c r="F9652" s="40" t="s">
        <v>11404</v>
      </c>
      <c r="G9652" s="40" t="s">
        <v>11404</v>
      </c>
      <c r="H9652" s="40" t="s">
        <v>11404</v>
      </c>
    </row>
    <row r="9653">
      <c r="A9653" s="39"/>
      <c r="E9653" s="40" t="s">
        <v>11404</v>
      </c>
      <c r="F9653" s="40" t="s">
        <v>11404</v>
      </c>
      <c r="G9653" s="40" t="s">
        <v>11404</v>
      </c>
      <c r="H9653" s="40" t="s">
        <v>11404</v>
      </c>
    </row>
    <row r="9654">
      <c r="A9654" s="39"/>
      <c r="E9654" s="40" t="s">
        <v>11404</v>
      </c>
      <c r="F9654" s="40" t="s">
        <v>11404</v>
      </c>
      <c r="G9654" s="40" t="s">
        <v>11404</v>
      </c>
      <c r="H9654" s="40" t="s">
        <v>11404</v>
      </c>
    </row>
    <row r="9655">
      <c r="A9655" s="39"/>
      <c r="E9655" s="40" t="s">
        <v>11404</v>
      </c>
      <c r="F9655" s="40" t="s">
        <v>11404</v>
      </c>
      <c r="G9655" s="40" t="s">
        <v>11404</v>
      </c>
      <c r="H9655" s="40" t="s">
        <v>11404</v>
      </c>
    </row>
    <row r="9656">
      <c r="A9656" s="39"/>
      <c r="E9656" s="40" t="s">
        <v>11404</v>
      </c>
      <c r="F9656" s="40" t="s">
        <v>11404</v>
      </c>
      <c r="G9656" s="40" t="s">
        <v>11404</v>
      </c>
      <c r="H9656" s="40" t="s">
        <v>11404</v>
      </c>
    </row>
    <row r="9657">
      <c r="A9657" s="39"/>
      <c r="E9657" s="40" t="s">
        <v>11404</v>
      </c>
      <c r="F9657" s="40" t="s">
        <v>11404</v>
      </c>
      <c r="G9657" s="40" t="s">
        <v>11404</v>
      </c>
      <c r="H9657" s="40" t="s">
        <v>11404</v>
      </c>
    </row>
    <row r="9658">
      <c r="A9658" s="39"/>
      <c r="E9658" s="40" t="s">
        <v>11404</v>
      </c>
      <c r="F9658" s="40" t="s">
        <v>11404</v>
      </c>
      <c r="G9658" s="40" t="s">
        <v>11404</v>
      </c>
      <c r="H9658" s="40" t="s">
        <v>11404</v>
      </c>
    </row>
    <row r="9659">
      <c r="A9659" s="39"/>
      <c r="E9659" s="40" t="s">
        <v>11404</v>
      </c>
      <c r="F9659" s="40" t="s">
        <v>11404</v>
      </c>
      <c r="G9659" s="40" t="s">
        <v>11404</v>
      </c>
      <c r="H9659" s="40" t="s">
        <v>11404</v>
      </c>
    </row>
    <row r="9660">
      <c r="A9660" s="39"/>
      <c r="E9660" s="40" t="s">
        <v>11404</v>
      </c>
      <c r="F9660" s="40" t="s">
        <v>11404</v>
      </c>
      <c r="G9660" s="40" t="s">
        <v>11404</v>
      </c>
      <c r="H9660" s="40" t="s">
        <v>11404</v>
      </c>
    </row>
    <row r="9661">
      <c r="A9661" s="39"/>
      <c r="E9661" s="40" t="s">
        <v>11404</v>
      </c>
      <c r="F9661" s="40" t="s">
        <v>11404</v>
      </c>
      <c r="G9661" s="40" t="s">
        <v>11404</v>
      </c>
      <c r="H9661" s="40" t="s">
        <v>11404</v>
      </c>
    </row>
    <row r="9662">
      <c r="A9662" s="39"/>
      <c r="E9662" s="40" t="s">
        <v>11404</v>
      </c>
      <c r="F9662" s="40" t="s">
        <v>11404</v>
      </c>
      <c r="G9662" s="40" t="s">
        <v>11404</v>
      </c>
      <c r="H9662" s="40" t="s">
        <v>11404</v>
      </c>
    </row>
    <row r="9663">
      <c r="A9663" s="39"/>
      <c r="E9663" s="40" t="s">
        <v>11404</v>
      </c>
      <c r="F9663" s="40" t="s">
        <v>11404</v>
      </c>
      <c r="G9663" s="40" t="s">
        <v>11404</v>
      </c>
      <c r="H9663" s="40" t="s">
        <v>11404</v>
      </c>
    </row>
    <row r="9664">
      <c r="A9664" s="39"/>
      <c r="E9664" s="40" t="s">
        <v>11404</v>
      </c>
      <c r="F9664" s="40" t="s">
        <v>11404</v>
      </c>
      <c r="G9664" s="40" t="s">
        <v>11404</v>
      </c>
      <c r="H9664" s="40" t="s">
        <v>11404</v>
      </c>
    </row>
    <row r="9665">
      <c r="A9665" s="39"/>
      <c r="E9665" s="40" t="s">
        <v>11404</v>
      </c>
      <c r="F9665" s="40" t="s">
        <v>11404</v>
      </c>
      <c r="G9665" s="40" t="s">
        <v>11404</v>
      </c>
      <c r="H9665" s="40" t="s">
        <v>11404</v>
      </c>
    </row>
    <row r="9666">
      <c r="A9666" s="39"/>
      <c r="E9666" s="40" t="s">
        <v>11404</v>
      </c>
      <c r="F9666" s="40" t="s">
        <v>11404</v>
      </c>
      <c r="G9666" s="40" t="s">
        <v>11404</v>
      </c>
      <c r="H9666" s="40" t="s">
        <v>11404</v>
      </c>
    </row>
    <row r="9667">
      <c r="A9667" s="39"/>
      <c r="E9667" s="40" t="s">
        <v>11404</v>
      </c>
      <c r="F9667" s="40" t="s">
        <v>11404</v>
      </c>
      <c r="G9667" s="40" t="s">
        <v>11404</v>
      </c>
      <c r="H9667" s="40" t="s">
        <v>11404</v>
      </c>
    </row>
    <row r="9668">
      <c r="A9668" s="39"/>
      <c r="E9668" s="40" t="s">
        <v>11404</v>
      </c>
      <c r="F9668" s="40" t="s">
        <v>11404</v>
      </c>
      <c r="G9668" s="40" t="s">
        <v>11404</v>
      </c>
      <c r="H9668" s="40" t="s">
        <v>11404</v>
      </c>
    </row>
    <row r="9669">
      <c r="A9669" s="39"/>
      <c r="E9669" s="40" t="s">
        <v>11404</v>
      </c>
      <c r="F9669" s="40" t="s">
        <v>11404</v>
      </c>
      <c r="G9669" s="40" t="s">
        <v>11404</v>
      </c>
      <c r="H9669" s="40" t="s">
        <v>11404</v>
      </c>
    </row>
    <row r="9670">
      <c r="A9670" s="39"/>
      <c r="E9670" s="40" t="s">
        <v>11404</v>
      </c>
      <c r="F9670" s="40" t="s">
        <v>11404</v>
      </c>
      <c r="G9670" s="40" t="s">
        <v>11404</v>
      </c>
      <c r="H9670" s="40" t="s">
        <v>11404</v>
      </c>
    </row>
    <row r="9671">
      <c r="A9671" s="39"/>
      <c r="E9671" s="40" t="s">
        <v>11404</v>
      </c>
      <c r="F9671" s="40" t="s">
        <v>11404</v>
      </c>
      <c r="G9671" s="40" t="s">
        <v>11404</v>
      </c>
      <c r="H9671" s="40" t="s">
        <v>11404</v>
      </c>
    </row>
    <row r="9672">
      <c r="A9672" s="39"/>
      <c r="E9672" s="40" t="s">
        <v>11404</v>
      </c>
      <c r="F9672" s="40" t="s">
        <v>11404</v>
      </c>
      <c r="G9672" s="40" t="s">
        <v>11404</v>
      </c>
      <c r="H9672" s="40" t="s">
        <v>11404</v>
      </c>
    </row>
    <row r="9673">
      <c r="A9673" s="39"/>
      <c r="E9673" s="40" t="s">
        <v>11404</v>
      </c>
      <c r="F9673" s="40" t="s">
        <v>11404</v>
      </c>
      <c r="G9673" s="40" t="s">
        <v>11404</v>
      </c>
      <c r="H9673" s="40" t="s">
        <v>11404</v>
      </c>
    </row>
    <row r="9674">
      <c r="A9674" s="39"/>
      <c r="E9674" s="40" t="s">
        <v>11404</v>
      </c>
      <c r="F9674" s="40" t="s">
        <v>11404</v>
      </c>
      <c r="G9674" s="40" t="s">
        <v>11404</v>
      </c>
      <c r="H9674" s="40" t="s">
        <v>11404</v>
      </c>
    </row>
    <row r="9675">
      <c r="A9675" s="39"/>
      <c r="E9675" s="40" t="s">
        <v>11404</v>
      </c>
      <c r="F9675" s="40" t="s">
        <v>11404</v>
      </c>
      <c r="G9675" s="40" t="s">
        <v>11404</v>
      </c>
      <c r="H9675" s="40" t="s">
        <v>11404</v>
      </c>
    </row>
    <row r="9676">
      <c r="A9676" s="39"/>
      <c r="E9676" s="40" t="s">
        <v>11404</v>
      </c>
      <c r="F9676" s="40" t="s">
        <v>11404</v>
      </c>
      <c r="G9676" s="40" t="s">
        <v>11404</v>
      </c>
      <c r="H9676" s="40" t="s">
        <v>11404</v>
      </c>
    </row>
    <row r="9677">
      <c r="A9677" s="39"/>
      <c r="E9677" s="40" t="s">
        <v>11404</v>
      </c>
      <c r="F9677" s="40" t="s">
        <v>11404</v>
      </c>
      <c r="G9677" s="40" t="s">
        <v>11404</v>
      </c>
      <c r="H9677" s="40" t="s">
        <v>11404</v>
      </c>
    </row>
    <row r="9678">
      <c r="A9678" s="39"/>
      <c r="E9678" s="40" t="s">
        <v>11404</v>
      </c>
      <c r="F9678" s="40" t="s">
        <v>11404</v>
      </c>
      <c r="G9678" s="40" t="s">
        <v>11404</v>
      </c>
      <c r="H9678" s="40" t="s">
        <v>11404</v>
      </c>
    </row>
    <row r="9679">
      <c r="A9679" s="39"/>
      <c r="E9679" s="40" t="s">
        <v>11404</v>
      </c>
      <c r="F9679" s="40" t="s">
        <v>11404</v>
      </c>
      <c r="G9679" s="40" t="s">
        <v>11404</v>
      </c>
      <c r="H9679" s="40" t="s">
        <v>11404</v>
      </c>
    </row>
    <row r="9680">
      <c r="A9680" s="39"/>
      <c r="E9680" s="40" t="s">
        <v>11404</v>
      </c>
      <c r="F9680" s="40" t="s">
        <v>11404</v>
      </c>
      <c r="G9680" s="40" t="s">
        <v>11404</v>
      </c>
      <c r="H9680" s="40" t="s">
        <v>11404</v>
      </c>
    </row>
    <row r="9681">
      <c r="A9681" s="39"/>
      <c r="E9681" s="40" t="s">
        <v>11404</v>
      </c>
      <c r="F9681" s="40" t="s">
        <v>11404</v>
      </c>
      <c r="G9681" s="40" t="s">
        <v>11404</v>
      </c>
      <c r="H9681" s="40" t="s">
        <v>11404</v>
      </c>
    </row>
    <row r="9682">
      <c r="A9682" s="39"/>
      <c r="E9682" s="40" t="s">
        <v>11404</v>
      </c>
      <c r="F9682" s="40" t="s">
        <v>11404</v>
      </c>
      <c r="G9682" s="40" t="s">
        <v>11404</v>
      </c>
      <c r="H9682" s="40" t="s">
        <v>11404</v>
      </c>
    </row>
    <row r="9683">
      <c r="A9683" s="39"/>
      <c r="E9683" s="40" t="s">
        <v>11404</v>
      </c>
      <c r="F9683" s="40" t="s">
        <v>11404</v>
      </c>
      <c r="G9683" s="40" t="s">
        <v>11404</v>
      </c>
      <c r="H9683" s="40" t="s">
        <v>11404</v>
      </c>
    </row>
    <row r="9684">
      <c r="A9684" s="39"/>
      <c r="E9684" s="40" t="s">
        <v>11404</v>
      </c>
      <c r="F9684" s="40" t="s">
        <v>11404</v>
      </c>
      <c r="G9684" s="40" t="s">
        <v>11404</v>
      </c>
      <c r="H9684" s="40" t="s">
        <v>11404</v>
      </c>
    </row>
    <row r="9685">
      <c r="A9685" s="39"/>
      <c r="E9685" s="40" t="s">
        <v>11404</v>
      </c>
      <c r="F9685" s="40" t="s">
        <v>11404</v>
      </c>
      <c r="G9685" s="40" t="s">
        <v>11404</v>
      </c>
      <c r="H9685" s="40" t="s">
        <v>11404</v>
      </c>
    </row>
    <row r="9686">
      <c r="A9686" s="39"/>
      <c r="E9686" s="40" t="s">
        <v>11404</v>
      </c>
      <c r="F9686" s="40" t="s">
        <v>11404</v>
      </c>
      <c r="G9686" s="40" t="s">
        <v>11404</v>
      </c>
      <c r="H9686" s="40" t="s">
        <v>11404</v>
      </c>
    </row>
    <row r="9687">
      <c r="A9687" s="39"/>
      <c r="E9687" s="40" t="s">
        <v>11404</v>
      </c>
      <c r="F9687" s="40" t="s">
        <v>11404</v>
      </c>
      <c r="G9687" s="40" t="s">
        <v>11404</v>
      </c>
      <c r="H9687" s="40" t="s">
        <v>11404</v>
      </c>
    </row>
    <row r="9688">
      <c r="A9688" s="39"/>
      <c r="E9688" s="40" t="s">
        <v>11404</v>
      </c>
      <c r="F9688" s="40" t="s">
        <v>11404</v>
      </c>
      <c r="G9688" s="40" t="s">
        <v>11404</v>
      </c>
      <c r="H9688" s="40" t="s">
        <v>11404</v>
      </c>
    </row>
    <row r="9689">
      <c r="A9689" s="39"/>
      <c r="E9689" s="40" t="s">
        <v>11404</v>
      </c>
      <c r="F9689" s="40" t="s">
        <v>11404</v>
      </c>
      <c r="G9689" s="40" t="s">
        <v>11404</v>
      </c>
      <c r="H9689" s="40" t="s">
        <v>11404</v>
      </c>
    </row>
    <row r="9690">
      <c r="A9690" s="39"/>
      <c r="E9690" s="40" t="s">
        <v>11404</v>
      </c>
      <c r="F9690" s="40" t="s">
        <v>11404</v>
      </c>
      <c r="G9690" s="40" t="s">
        <v>11404</v>
      </c>
      <c r="H9690" s="40" t="s">
        <v>11404</v>
      </c>
    </row>
    <row r="9691">
      <c r="A9691" s="39"/>
      <c r="E9691" s="40" t="s">
        <v>11404</v>
      </c>
      <c r="F9691" s="40" t="s">
        <v>11404</v>
      </c>
      <c r="G9691" s="40" t="s">
        <v>11404</v>
      </c>
      <c r="H9691" s="40" t="s">
        <v>11404</v>
      </c>
    </row>
    <row r="9692">
      <c r="A9692" s="39"/>
      <c r="E9692" s="40" t="s">
        <v>11404</v>
      </c>
      <c r="F9692" s="40" t="s">
        <v>11404</v>
      </c>
      <c r="G9692" s="40" t="s">
        <v>11404</v>
      </c>
      <c r="H9692" s="40" t="s">
        <v>11404</v>
      </c>
    </row>
    <row r="9693">
      <c r="A9693" s="39"/>
      <c r="E9693" s="40" t="s">
        <v>11404</v>
      </c>
      <c r="F9693" s="40" t="s">
        <v>11404</v>
      </c>
      <c r="G9693" s="40" t="s">
        <v>11404</v>
      </c>
      <c r="H9693" s="40" t="s">
        <v>11404</v>
      </c>
    </row>
    <row r="9694">
      <c r="A9694" s="39"/>
      <c r="E9694" s="40" t="s">
        <v>11404</v>
      </c>
      <c r="F9694" s="40" t="s">
        <v>11404</v>
      </c>
      <c r="G9694" s="40" t="s">
        <v>11404</v>
      </c>
      <c r="H9694" s="40" t="s">
        <v>11404</v>
      </c>
    </row>
    <row r="9695">
      <c r="A9695" s="39"/>
      <c r="E9695" s="40" t="s">
        <v>11404</v>
      </c>
      <c r="F9695" s="40" t="s">
        <v>11404</v>
      </c>
      <c r="G9695" s="40" t="s">
        <v>11404</v>
      </c>
      <c r="H9695" s="40" t="s">
        <v>11404</v>
      </c>
    </row>
    <row r="9696">
      <c r="A9696" s="39"/>
      <c r="E9696" s="40" t="s">
        <v>11404</v>
      </c>
      <c r="F9696" s="40" t="s">
        <v>11404</v>
      </c>
      <c r="G9696" s="40" t="s">
        <v>11404</v>
      </c>
      <c r="H9696" s="40" t="s">
        <v>11404</v>
      </c>
    </row>
    <row r="9697">
      <c r="A9697" s="39"/>
      <c r="E9697" s="40" t="s">
        <v>11404</v>
      </c>
      <c r="F9697" s="40" t="s">
        <v>11404</v>
      </c>
      <c r="G9697" s="40" t="s">
        <v>11404</v>
      </c>
      <c r="H9697" s="40" t="s">
        <v>11404</v>
      </c>
    </row>
    <row r="9698">
      <c r="A9698" s="39"/>
      <c r="E9698" s="40" t="s">
        <v>11404</v>
      </c>
      <c r="F9698" s="40" t="s">
        <v>11404</v>
      </c>
      <c r="G9698" s="40" t="s">
        <v>11404</v>
      </c>
      <c r="H9698" s="40" t="s">
        <v>11404</v>
      </c>
    </row>
    <row r="9699">
      <c r="A9699" s="39"/>
      <c r="E9699" s="40" t="s">
        <v>11404</v>
      </c>
      <c r="F9699" s="40" t="s">
        <v>11404</v>
      </c>
      <c r="G9699" s="40" t="s">
        <v>11404</v>
      </c>
      <c r="H9699" s="40" t="s">
        <v>11404</v>
      </c>
    </row>
    <row r="9700">
      <c r="A9700" s="39"/>
      <c r="E9700" s="40" t="s">
        <v>11404</v>
      </c>
      <c r="F9700" s="40" t="s">
        <v>11404</v>
      </c>
      <c r="G9700" s="40" t="s">
        <v>11404</v>
      </c>
      <c r="H9700" s="40" t="s">
        <v>11404</v>
      </c>
    </row>
    <row r="9701">
      <c r="A9701" s="39"/>
      <c r="E9701" s="40" t="s">
        <v>11404</v>
      </c>
      <c r="F9701" s="40" t="s">
        <v>11404</v>
      </c>
      <c r="G9701" s="40" t="s">
        <v>11404</v>
      </c>
      <c r="H9701" s="40" t="s">
        <v>11404</v>
      </c>
    </row>
    <row r="9702">
      <c r="A9702" s="39"/>
      <c r="E9702" s="40" t="s">
        <v>11404</v>
      </c>
      <c r="F9702" s="40" t="s">
        <v>11404</v>
      </c>
      <c r="G9702" s="40" t="s">
        <v>11404</v>
      </c>
      <c r="H9702" s="40" t="s">
        <v>11404</v>
      </c>
    </row>
    <row r="9703">
      <c r="A9703" s="39"/>
      <c r="E9703" s="40" t="s">
        <v>11404</v>
      </c>
      <c r="F9703" s="40" t="s">
        <v>11404</v>
      </c>
      <c r="G9703" s="40" t="s">
        <v>11404</v>
      </c>
      <c r="H9703" s="40" t="s">
        <v>11404</v>
      </c>
    </row>
    <row r="9704">
      <c r="A9704" s="39"/>
      <c r="E9704" s="40" t="s">
        <v>11404</v>
      </c>
      <c r="F9704" s="40" t="s">
        <v>11404</v>
      </c>
      <c r="G9704" s="40" t="s">
        <v>11404</v>
      </c>
      <c r="H9704" s="40" t="s">
        <v>11404</v>
      </c>
    </row>
    <row r="9705">
      <c r="A9705" s="39"/>
      <c r="E9705" s="40" t="s">
        <v>11404</v>
      </c>
      <c r="F9705" s="40" t="s">
        <v>11404</v>
      </c>
      <c r="G9705" s="40" t="s">
        <v>11404</v>
      </c>
      <c r="H9705" s="40" t="s">
        <v>11404</v>
      </c>
    </row>
    <row r="9706">
      <c r="A9706" s="39"/>
      <c r="E9706" s="40" t="s">
        <v>11404</v>
      </c>
      <c r="F9706" s="40" t="s">
        <v>11404</v>
      </c>
      <c r="G9706" s="40" t="s">
        <v>11404</v>
      </c>
      <c r="H9706" s="40" t="s">
        <v>11404</v>
      </c>
    </row>
    <row r="9707">
      <c r="A9707" s="39"/>
      <c r="E9707" s="40" t="s">
        <v>11404</v>
      </c>
      <c r="F9707" s="40" t="s">
        <v>11404</v>
      </c>
      <c r="G9707" s="40" t="s">
        <v>11404</v>
      </c>
      <c r="H9707" s="40" t="s">
        <v>11404</v>
      </c>
    </row>
    <row r="9708">
      <c r="A9708" s="39"/>
      <c r="E9708" s="40" t="s">
        <v>11404</v>
      </c>
      <c r="F9708" s="40" t="s">
        <v>11404</v>
      </c>
      <c r="G9708" s="40" t="s">
        <v>11404</v>
      </c>
      <c r="H9708" s="40" t="s">
        <v>11404</v>
      </c>
    </row>
    <row r="9709">
      <c r="A9709" s="39"/>
      <c r="E9709" s="40" t="s">
        <v>11404</v>
      </c>
      <c r="F9709" s="40" t="s">
        <v>11404</v>
      </c>
      <c r="G9709" s="40" t="s">
        <v>11404</v>
      </c>
      <c r="H9709" s="40" t="s">
        <v>11404</v>
      </c>
    </row>
    <row r="9710">
      <c r="A9710" s="39"/>
      <c r="E9710" s="40" t="s">
        <v>11404</v>
      </c>
      <c r="F9710" s="40" t="s">
        <v>11404</v>
      </c>
      <c r="G9710" s="40" t="s">
        <v>11404</v>
      </c>
      <c r="H9710" s="40" t="s">
        <v>11404</v>
      </c>
    </row>
    <row r="9711">
      <c r="A9711" s="39"/>
      <c r="E9711" s="40" t="s">
        <v>11404</v>
      </c>
      <c r="F9711" s="40" t="s">
        <v>11404</v>
      </c>
      <c r="G9711" s="40" t="s">
        <v>11404</v>
      </c>
      <c r="H9711" s="40" t="s">
        <v>11404</v>
      </c>
    </row>
    <row r="9712">
      <c r="A9712" s="39"/>
      <c r="E9712" s="40" t="s">
        <v>11404</v>
      </c>
      <c r="F9712" s="40" t="s">
        <v>11404</v>
      </c>
      <c r="G9712" s="40" t="s">
        <v>11404</v>
      </c>
      <c r="H9712" s="40" t="s">
        <v>11404</v>
      </c>
    </row>
    <row r="9713">
      <c r="A9713" s="39"/>
      <c r="E9713" s="40" t="s">
        <v>11404</v>
      </c>
      <c r="F9713" s="40" t="s">
        <v>11404</v>
      </c>
      <c r="G9713" s="40" t="s">
        <v>11404</v>
      </c>
      <c r="H9713" s="40" t="s">
        <v>11404</v>
      </c>
    </row>
    <row r="9714">
      <c r="A9714" s="39"/>
      <c r="E9714" s="40" t="s">
        <v>11404</v>
      </c>
      <c r="F9714" s="40" t="s">
        <v>11404</v>
      </c>
      <c r="G9714" s="40" t="s">
        <v>11404</v>
      </c>
      <c r="H9714" s="40" t="s">
        <v>11404</v>
      </c>
    </row>
    <row r="9715">
      <c r="A9715" s="39"/>
      <c r="E9715" s="40" t="s">
        <v>11404</v>
      </c>
      <c r="F9715" s="40" t="s">
        <v>11404</v>
      </c>
      <c r="G9715" s="40" t="s">
        <v>11404</v>
      </c>
      <c r="H9715" s="40" t="s">
        <v>11404</v>
      </c>
    </row>
    <row r="9716">
      <c r="A9716" s="39"/>
      <c r="E9716" s="40" t="s">
        <v>11404</v>
      </c>
      <c r="F9716" s="40" t="s">
        <v>11404</v>
      </c>
      <c r="G9716" s="40" t="s">
        <v>11404</v>
      </c>
      <c r="H9716" s="40" t="s">
        <v>11404</v>
      </c>
    </row>
    <row r="9717">
      <c r="A9717" s="39"/>
      <c r="E9717" s="40" t="s">
        <v>11404</v>
      </c>
      <c r="F9717" s="40" t="s">
        <v>11404</v>
      </c>
      <c r="G9717" s="40" t="s">
        <v>11404</v>
      </c>
      <c r="H9717" s="40" t="s">
        <v>11404</v>
      </c>
    </row>
    <row r="9718">
      <c r="A9718" s="39"/>
      <c r="E9718" s="40" t="s">
        <v>11404</v>
      </c>
      <c r="F9718" s="40" t="s">
        <v>11404</v>
      </c>
      <c r="G9718" s="40" t="s">
        <v>11404</v>
      </c>
      <c r="H9718" s="40" t="s">
        <v>11404</v>
      </c>
    </row>
    <row r="9719">
      <c r="A9719" s="39"/>
      <c r="E9719" s="40" t="s">
        <v>11404</v>
      </c>
      <c r="F9719" s="40" t="s">
        <v>11404</v>
      </c>
      <c r="G9719" s="40" t="s">
        <v>11404</v>
      </c>
      <c r="H9719" s="40" t="s">
        <v>11404</v>
      </c>
    </row>
    <row r="9720">
      <c r="A9720" s="39"/>
      <c r="E9720" s="40" t="s">
        <v>11404</v>
      </c>
      <c r="F9720" s="40" t="s">
        <v>11404</v>
      </c>
      <c r="G9720" s="40" t="s">
        <v>11404</v>
      </c>
      <c r="H9720" s="40" t="s">
        <v>11404</v>
      </c>
    </row>
    <row r="9721">
      <c r="A9721" s="39"/>
      <c r="E9721" s="40" t="s">
        <v>11404</v>
      </c>
      <c r="F9721" s="40" t="s">
        <v>11404</v>
      </c>
      <c r="G9721" s="40" t="s">
        <v>11404</v>
      </c>
      <c r="H9721" s="40" t="s">
        <v>11404</v>
      </c>
    </row>
    <row r="9722">
      <c r="A9722" s="39"/>
      <c r="E9722" s="40" t="s">
        <v>11404</v>
      </c>
      <c r="F9722" s="40" t="s">
        <v>11404</v>
      </c>
      <c r="G9722" s="40" t="s">
        <v>11404</v>
      </c>
      <c r="H9722" s="40" t="s">
        <v>11404</v>
      </c>
    </row>
    <row r="9723">
      <c r="A9723" s="39"/>
      <c r="E9723" s="40" t="s">
        <v>11404</v>
      </c>
      <c r="F9723" s="40" t="s">
        <v>11404</v>
      </c>
      <c r="G9723" s="40" t="s">
        <v>11404</v>
      </c>
      <c r="H9723" s="40" t="s">
        <v>11404</v>
      </c>
    </row>
    <row r="9724">
      <c r="A9724" s="39"/>
      <c r="E9724" s="40" t="s">
        <v>11404</v>
      </c>
      <c r="F9724" s="40" t="s">
        <v>11404</v>
      </c>
      <c r="G9724" s="40" t="s">
        <v>11404</v>
      </c>
      <c r="H9724" s="40" t="s">
        <v>11404</v>
      </c>
    </row>
    <row r="9725">
      <c r="A9725" s="39"/>
      <c r="E9725" s="40" t="s">
        <v>11404</v>
      </c>
      <c r="F9725" s="40" t="s">
        <v>11404</v>
      </c>
      <c r="G9725" s="40" t="s">
        <v>11404</v>
      </c>
      <c r="H9725" s="40" t="s">
        <v>11404</v>
      </c>
    </row>
    <row r="9726">
      <c r="A9726" s="39"/>
      <c r="E9726" s="40" t="s">
        <v>11404</v>
      </c>
      <c r="F9726" s="40" t="s">
        <v>11404</v>
      </c>
      <c r="G9726" s="40" t="s">
        <v>11404</v>
      </c>
      <c r="H9726" s="40" t="s">
        <v>11404</v>
      </c>
    </row>
    <row r="9727">
      <c r="A9727" s="39"/>
      <c r="E9727" s="40" t="s">
        <v>11404</v>
      </c>
      <c r="F9727" s="40" t="s">
        <v>11404</v>
      </c>
      <c r="G9727" s="40" t="s">
        <v>11404</v>
      </c>
      <c r="H9727" s="40" t="s">
        <v>11404</v>
      </c>
    </row>
    <row r="9728">
      <c r="A9728" s="39"/>
      <c r="E9728" s="40" t="s">
        <v>11404</v>
      </c>
      <c r="F9728" s="40" t="s">
        <v>11404</v>
      </c>
      <c r="G9728" s="40" t="s">
        <v>11404</v>
      </c>
      <c r="H9728" s="40" t="s">
        <v>11404</v>
      </c>
    </row>
    <row r="9729">
      <c r="A9729" s="39"/>
      <c r="E9729" s="40" t="s">
        <v>11404</v>
      </c>
      <c r="F9729" s="40" t="s">
        <v>11404</v>
      </c>
      <c r="G9729" s="40" t="s">
        <v>11404</v>
      </c>
      <c r="H9729" s="40" t="s">
        <v>11404</v>
      </c>
    </row>
    <row r="9730">
      <c r="A9730" s="39"/>
      <c r="E9730" s="40" t="s">
        <v>11404</v>
      </c>
      <c r="F9730" s="40" t="s">
        <v>11404</v>
      </c>
      <c r="G9730" s="40" t="s">
        <v>11404</v>
      </c>
      <c r="H9730" s="40" t="s">
        <v>11404</v>
      </c>
    </row>
    <row r="9731">
      <c r="A9731" s="39"/>
      <c r="E9731" s="40" t="s">
        <v>11404</v>
      </c>
      <c r="F9731" s="40" t="s">
        <v>11404</v>
      </c>
      <c r="G9731" s="40" t="s">
        <v>11404</v>
      </c>
      <c r="H9731" s="40" t="s">
        <v>11404</v>
      </c>
    </row>
    <row r="9732">
      <c r="A9732" s="39"/>
      <c r="E9732" s="40" t="s">
        <v>11404</v>
      </c>
      <c r="F9732" s="40" t="s">
        <v>11404</v>
      </c>
      <c r="G9732" s="40" t="s">
        <v>11404</v>
      </c>
      <c r="H9732" s="40" t="s">
        <v>11404</v>
      </c>
    </row>
    <row r="9733">
      <c r="A9733" s="39"/>
      <c r="E9733" s="40" t="s">
        <v>11404</v>
      </c>
      <c r="F9733" s="40" t="s">
        <v>11404</v>
      </c>
      <c r="G9733" s="40" t="s">
        <v>11404</v>
      </c>
      <c r="H9733" s="40" t="s">
        <v>11404</v>
      </c>
    </row>
    <row r="9734">
      <c r="A9734" s="39"/>
      <c r="E9734" s="40" t="s">
        <v>11404</v>
      </c>
      <c r="F9734" s="40" t="s">
        <v>11404</v>
      </c>
      <c r="G9734" s="40" t="s">
        <v>11404</v>
      </c>
      <c r="H9734" s="40" t="s">
        <v>11404</v>
      </c>
    </row>
    <row r="9735">
      <c r="A9735" s="39"/>
      <c r="E9735" s="40" t="s">
        <v>11404</v>
      </c>
      <c r="F9735" s="40" t="s">
        <v>11404</v>
      </c>
      <c r="G9735" s="40" t="s">
        <v>11404</v>
      </c>
      <c r="H9735" s="40" t="s">
        <v>11404</v>
      </c>
    </row>
    <row r="9736">
      <c r="A9736" s="39"/>
      <c r="E9736" s="40" t="s">
        <v>11404</v>
      </c>
      <c r="F9736" s="40" t="s">
        <v>11404</v>
      </c>
      <c r="G9736" s="40" t="s">
        <v>11404</v>
      </c>
      <c r="H9736" s="40" t="s">
        <v>11404</v>
      </c>
    </row>
    <row r="9737">
      <c r="A9737" s="39"/>
      <c r="E9737" s="40" t="s">
        <v>11404</v>
      </c>
      <c r="F9737" s="40" t="s">
        <v>11404</v>
      </c>
      <c r="G9737" s="40" t="s">
        <v>11404</v>
      </c>
      <c r="H9737" s="40" t="s">
        <v>11404</v>
      </c>
    </row>
    <row r="9738">
      <c r="A9738" s="39"/>
      <c r="E9738" s="40" t="s">
        <v>11404</v>
      </c>
      <c r="F9738" s="40" t="s">
        <v>11404</v>
      </c>
      <c r="G9738" s="40" t="s">
        <v>11404</v>
      </c>
      <c r="H9738" s="40" t="s">
        <v>11404</v>
      </c>
    </row>
    <row r="9739">
      <c r="A9739" s="39"/>
      <c r="E9739" s="40" t="s">
        <v>11404</v>
      </c>
      <c r="F9739" s="40" t="s">
        <v>11404</v>
      </c>
      <c r="G9739" s="40" t="s">
        <v>11404</v>
      </c>
      <c r="H9739" s="40" t="s">
        <v>11404</v>
      </c>
    </row>
    <row r="9740">
      <c r="A9740" s="39"/>
      <c r="E9740" s="40" t="s">
        <v>11404</v>
      </c>
      <c r="F9740" s="40" t="s">
        <v>11404</v>
      </c>
      <c r="G9740" s="40" t="s">
        <v>11404</v>
      </c>
      <c r="H9740" s="40" t="s">
        <v>11404</v>
      </c>
    </row>
    <row r="9741">
      <c r="A9741" s="39"/>
      <c r="E9741" s="40" t="s">
        <v>11404</v>
      </c>
      <c r="F9741" s="40" t="s">
        <v>11404</v>
      </c>
      <c r="G9741" s="40" t="s">
        <v>11404</v>
      </c>
      <c r="H9741" s="40" t="s">
        <v>11404</v>
      </c>
    </row>
    <row r="9742">
      <c r="A9742" s="39"/>
      <c r="E9742" s="40" t="s">
        <v>11404</v>
      </c>
      <c r="F9742" s="40" t="s">
        <v>11404</v>
      </c>
      <c r="G9742" s="40" t="s">
        <v>11404</v>
      </c>
      <c r="H9742" s="40" t="s">
        <v>11404</v>
      </c>
    </row>
    <row r="9743">
      <c r="A9743" s="39"/>
      <c r="E9743" s="40" t="s">
        <v>11404</v>
      </c>
      <c r="F9743" s="40" t="s">
        <v>11404</v>
      </c>
      <c r="G9743" s="40" t="s">
        <v>11404</v>
      </c>
      <c r="H9743" s="40" t="s">
        <v>11404</v>
      </c>
    </row>
    <row r="9744">
      <c r="A9744" s="39"/>
      <c r="E9744" s="40" t="s">
        <v>11404</v>
      </c>
      <c r="F9744" s="40" t="s">
        <v>11404</v>
      </c>
      <c r="G9744" s="40" t="s">
        <v>11404</v>
      </c>
      <c r="H9744" s="40" t="s">
        <v>11404</v>
      </c>
    </row>
    <row r="9745">
      <c r="A9745" s="39"/>
      <c r="E9745" s="40" t="s">
        <v>11404</v>
      </c>
      <c r="F9745" s="40" t="s">
        <v>11404</v>
      </c>
      <c r="G9745" s="40" t="s">
        <v>11404</v>
      </c>
      <c r="H9745" s="40" t="s">
        <v>11404</v>
      </c>
    </row>
    <row r="9746">
      <c r="A9746" s="39"/>
      <c r="E9746" s="40" t="s">
        <v>11404</v>
      </c>
      <c r="F9746" s="40" t="s">
        <v>11404</v>
      </c>
      <c r="G9746" s="40" t="s">
        <v>11404</v>
      </c>
      <c r="H9746" s="40" t="s">
        <v>11404</v>
      </c>
    </row>
    <row r="9747">
      <c r="A9747" s="39"/>
      <c r="E9747" s="40" t="s">
        <v>11404</v>
      </c>
      <c r="F9747" s="40" t="s">
        <v>11404</v>
      </c>
      <c r="G9747" s="40" t="s">
        <v>11404</v>
      </c>
      <c r="H9747" s="40" t="s">
        <v>11404</v>
      </c>
    </row>
    <row r="9748">
      <c r="A9748" s="39"/>
      <c r="E9748" s="40" t="s">
        <v>11404</v>
      </c>
      <c r="F9748" s="40" t="s">
        <v>11404</v>
      </c>
      <c r="G9748" s="40" t="s">
        <v>11404</v>
      </c>
      <c r="H9748" s="40" t="s">
        <v>11404</v>
      </c>
    </row>
    <row r="9749">
      <c r="A9749" s="39"/>
      <c r="E9749" s="40" t="s">
        <v>11404</v>
      </c>
      <c r="F9749" s="40" t="s">
        <v>11404</v>
      </c>
      <c r="G9749" s="40" t="s">
        <v>11404</v>
      </c>
      <c r="H9749" s="40" t="s">
        <v>11404</v>
      </c>
    </row>
    <row r="9750">
      <c r="A9750" s="39"/>
      <c r="E9750" s="40" t="s">
        <v>11404</v>
      </c>
      <c r="F9750" s="40" t="s">
        <v>11404</v>
      </c>
      <c r="G9750" s="40" t="s">
        <v>11404</v>
      </c>
      <c r="H9750" s="40" t="s">
        <v>11404</v>
      </c>
    </row>
    <row r="9751">
      <c r="A9751" s="39"/>
      <c r="E9751" s="40" t="s">
        <v>11404</v>
      </c>
      <c r="F9751" s="40" t="s">
        <v>11404</v>
      </c>
      <c r="G9751" s="40" t="s">
        <v>11404</v>
      </c>
      <c r="H9751" s="40" t="s">
        <v>11404</v>
      </c>
    </row>
    <row r="9752">
      <c r="A9752" s="39"/>
      <c r="E9752" s="40" t="s">
        <v>11404</v>
      </c>
      <c r="F9752" s="40" t="s">
        <v>11404</v>
      </c>
      <c r="G9752" s="40" t="s">
        <v>11404</v>
      </c>
      <c r="H9752" s="40" t="s">
        <v>11404</v>
      </c>
    </row>
    <row r="9753">
      <c r="A9753" s="39"/>
      <c r="E9753" s="40" t="s">
        <v>11404</v>
      </c>
      <c r="F9753" s="40" t="s">
        <v>11404</v>
      </c>
      <c r="G9753" s="40" t="s">
        <v>11404</v>
      </c>
      <c r="H9753" s="40" t="s">
        <v>11404</v>
      </c>
    </row>
    <row r="9754">
      <c r="A9754" s="39"/>
      <c r="E9754" s="40" t="s">
        <v>11404</v>
      </c>
      <c r="F9754" s="40" t="s">
        <v>11404</v>
      </c>
      <c r="G9754" s="40" t="s">
        <v>11404</v>
      </c>
      <c r="H9754" s="40" t="s">
        <v>11404</v>
      </c>
    </row>
    <row r="9755">
      <c r="A9755" s="39"/>
      <c r="E9755" s="40" t="s">
        <v>11404</v>
      </c>
      <c r="F9755" s="40" t="s">
        <v>11404</v>
      </c>
      <c r="G9755" s="40" t="s">
        <v>11404</v>
      </c>
      <c r="H9755" s="40" t="s">
        <v>11404</v>
      </c>
    </row>
    <row r="9756">
      <c r="A9756" s="39"/>
      <c r="E9756" s="40" t="s">
        <v>11404</v>
      </c>
      <c r="F9756" s="40" t="s">
        <v>11404</v>
      </c>
      <c r="G9756" s="40" t="s">
        <v>11404</v>
      </c>
      <c r="H9756" s="40" t="s">
        <v>11404</v>
      </c>
    </row>
    <row r="9757">
      <c r="A9757" s="39"/>
      <c r="E9757" s="40" t="s">
        <v>11404</v>
      </c>
      <c r="F9757" s="40" t="s">
        <v>11404</v>
      </c>
      <c r="G9757" s="40" t="s">
        <v>11404</v>
      </c>
      <c r="H9757" s="40" t="s">
        <v>11404</v>
      </c>
    </row>
    <row r="9758">
      <c r="A9758" s="39"/>
      <c r="E9758" s="40" t="s">
        <v>11404</v>
      </c>
      <c r="F9758" s="40" t="s">
        <v>11404</v>
      </c>
      <c r="G9758" s="40" t="s">
        <v>11404</v>
      </c>
      <c r="H9758" s="40" t="s">
        <v>11404</v>
      </c>
    </row>
    <row r="9759">
      <c r="A9759" s="39"/>
      <c r="E9759" s="40" t="s">
        <v>11404</v>
      </c>
      <c r="F9759" s="40" t="s">
        <v>11404</v>
      </c>
      <c r="G9759" s="40" t="s">
        <v>11404</v>
      </c>
      <c r="H9759" s="40" t="s">
        <v>11404</v>
      </c>
    </row>
    <row r="9760">
      <c r="A9760" s="39"/>
      <c r="E9760" s="40" t="s">
        <v>11404</v>
      </c>
      <c r="F9760" s="40" t="s">
        <v>11404</v>
      </c>
      <c r="G9760" s="40" t="s">
        <v>11404</v>
      </c>
      <c r="H9760" s="40" t="s">
        <v>11404</v>
      </c>
    </row>
    <row r="9761">
      <c r="A9761" s="39"/>
      <c r="E9761" s="40" t="s">
        <v>11404</v>
      </c>
      <c r="F9761" s="40" t="s">
        <v>11404</v>
      </c>
      <c r="G9761" s="40" t="s">
        <v>11404</v>
      </c>
      <c r="H9761" s="40" t="s">
        <v>11404</v>
      </c>
    </row>
    <row r="9762">
      <c r="A9762" s="39"/>
      <c r="E9762" s="40" t="s">
        <v>11404</v>
      </c>
      <c r="F9762" s="40" t="s">
        <v>11404</v>
      </c>
      <c r="G9762" s="40" t="s">
        <v>11404</v>
      </c>
      <c r="H9762" s="40" t="s">
        <v>11404</v>
      </c>
    </row>
    <row r="9763">
      <c r="A9763" s="39"/>
      <c r="E9763" s="40" t="s">
        <v>11404</v>
      </c>
      <c r="F9763" s="40" t="s">
        <v>11404</v>
      </c>
      <c r="G9763" s="40" t="s">
        <v>11404</v>
      </c>
      <c r="H9763" s="40" t="s">
        <v>11404</v>
      </c>
    </row>
    <row r="9764">
      <c r="A9764" s="39"/>
      <c r="E9764" s="40" t="s">
        <v>11404</v>
      </c>
      <c r="F9764" s="40" t="s">
        <v>11404</v>
      </c>
      <c r="G9764" s="40" t="s">
        <v>11404</v>
      </c>
      <c r="H9764" s="40" t="s">
        <v>11404</v>
      </c>
    </row>
    <row r="9765">
      <c r="A9765" s="39"/>
      <c r="E9765" s="40" t="s">
        <v>11404</v>
      </c>
      <c r="F9765" s="40" t="s">
        <v>11404</v>
      </c>
      <c r="G9765" s="40" t="s">
        <v>11404</v>
      </c>
      <c r="H9765" s="40" t="s">
        <v>11404</v>
      </c>
    </row>
    <row r="9766">
      <c r="A9766" s="39"/>
      <c r="E9766" s="40" t="s">
        <v>11404</v>
      </c>
      <c r="F9766" s="40" t="s">
        <v>11404</v>
      </c>
      <c r="G9766" s="40" t="s">
        <v>11404</v>
      </c>
      <c r="H9766" s="40" t="s">
        <v>11404</v>
      </c>
    </row>
    <row r="9767">
      <c r="A9767" s="39"/>
      <c r="E9767" s="40" t="s">
        <v>11404</v>
      </c>
      <c r="F9767" s="40" t="s">
        <v>11404</v>
      </c>
      <c r="G9767" s="40" t="s">
        <v>11404</v>
      </c>
      <c r="H9767" s="40" t="s">
        <v>11404</v>
      </c>
    </row>
    <row r="9768">
      <c r="A9768" s="39"/>
      <c r="E9768" s="40" t="s">
        <v>11404</v>
      </c>
      <c r="F9768" s="40" t="s">
        <v>11404</v>
      </c>
      <c r="G9768" s="40" t="s">
        <v>11404</v>
      </c>
      <c r="H9768" s="40" t="s">
        <v>11404</v>
      </c>
    </row>
    <row r="9769">
      <c r="A9769" s="39"/>
      <c r="E9769" s="40" t="s">
        <v>11404</v>
      </c>
      <c r="F9769" s="40" t="s">
        <v>11404</v>
      </c>
      <c r="G9769" s="40" t="s">
        <v>11404</v>
      </c>
      <c r="H9769" s="40" t="s">
        <v>11404</v>
      </c>
    </row>
    <row r="9770">
      <c r="A9770" s="39"/>
      <c r="E9770" s="40" t="s">
        <v>11404</v>
      </c>
      <c r="F9770" s="40" t="s">
        <v>11404</v>
      </c>
      <c r="G9770" s="40" t="s">
        <v>11404</v>
      </c>
      <c r="H9770" s="40" t="s">
        <v>11404</v>
      </c>
    </row>
    <row r="9771">
      <c r="A9771" s="39"/>
      <c r="E9771" s="40" t="s">
        <v>11404</v>
      </c>
      <c r="F9771" s="40" t="s">
        <v>11404</v>
      </c>
      <c r="G9771" s="40" t="s">
        <v>11404</v>
      </c>
      <c r="H9771" s="40" t="s">
        <v>11404</v>
      </c>
    </row>
    <row r="9772">
      <c r="A9772" s="39"/>
      <c r="E9772" s="40" t="s">
        <v>11404</v>
      </c>
      <c r="F9772" s="40" t="s">
        <v>11404</v>
      </c>
      <c r="G9772" s="40" t="s">
        <v>11404</v>
      </c>
      <c r="H9772" s="40" t="s">
        <v>11404</v>
      </c>
    </row>
    <row r="9773">
      <c r="A9773" s="39"/>
      <c r="E9773" s="40" t="s">
        <v>11404</v>
      </c>
      <c r="F9773" s="40" t="s">
        <v>11404</v>
      </c>
      <c r="G9773" s="40" t="s">
        <v>11404</v>
      </c>
      <c r="H9773" s="40" t="s">
        <v>11404</v>
      </c>
    </row>
    <row r="9774">
      <c r="A9774" s="39"/>
      <c r="E9774" s="40" t="s">
        <v>11404</v>
      </c>
      <c r="F9774" s="40" t="s">
        <v>11404</v>
      </c>
      <c r="G9774" s="40" t="s">
        <v>11404</v>
      </c>
      <c r="H9774" s="40" t="s">
        <v>11404</v>
      </c>
    </row>
    <row r="9775">
      <c r="A9775" s="39"/>
      <c r="E9775" s="40" t="s">
        <v>11404</v>
      </c>
      <c r="F9775" s="40" t="s">
        <v>11404</v>
      </c>
      <c r="G9775" s="40" t="s">
        <v>11404</v>
      </c>
      <c r="H9775" s="40" t="s">
        <v>11404</v>
      </c>
    </row>
    <row r="9776">
      <c r="A9776" s="39"/>
      <c r="E9776" s="40" t="s">
        <v>11404</v>
      </c>
      <c r="F9776" s="40" t="s">
        <v>11404</v>
      </c>
      <c r="G9776" s="40" t="s">
        <v>11404</v>
      </c>
      <c r="H9776" s="40" t="s">
        <v>11404</v>
      </c>
    </row>
    <row r="9777">
      <c r="A9777" s="39"/>
      <c r="E9777" s="40" t="s">
        <v>11404</v>
      </c>
      <c r="F9777" s="40" t="s">
        <v>11404</v>
      </c>
      <c r="G9777" s="40" t="s">
        <v>11404</v>
      </c>
      <c r="H9777" s="40" t="s">
        <v>11404</v>
      </c>
    </row>
    <row r="9778">
      <c r="A9778" s="39"/>
      <c r="E9778" s="40" t="s">
        <v>11404</v>
      </c>
      <c r="F9778" s="40" t="s">
        <v>11404</v>
      </c>
      <c r="G9778" s="40" t="s">
        <v>11404</v>
      </c>
      <c r="H9778" s="40" t="s">
        <v>11404</v>
      </c>
    </row>
    <row r="9779">
      <c r="A9779" s="39"/>
      <c r="E9779" s="40" t="s">
        <v>11404</v>
      </c>
      <c r="F9779" s="40" t="s">
        <v>11404</v>
      </c>
      <c r="G9779" s="40" t="s">
        <v>11404</v>
      </c>
      <c r="H9779" s="40" t="s">
        <v>11404</v>
      </c>
    </row>
    <row r="9780">
      <c r="A9780" s="39"/>
      <c r="E9780" s="40" t="s">
        <v>11404</v>
      </c>
      <c r="F9780" s="40" t="s">
        <v>11404</v>
      </c>
      <c r="G9780" s="40" t="s">
        <v>11404</v>
      </c>
      <c r="H9780" s="40" t="s">
        <v>11404</v>
      </c>
    </row>
    <row r="9781">
      <c r="A9781" s="39"/>
      <c r="E9781" s="40" t="s">
        <v>11404</v>
      </c>
      <c r="F9781" s="40" t="s">
        <v>11404</v>
      </c>
      <c r="G9781" s="40" t="s">
        <v>11404</v>
      </c>
      <c r="H9781" s="40" t="s">
        <v>11404</v>
      </c>
    </row>
    <row r="9782">
      <c r="A9782" s="39"/>
      <c r="E9782" s="40" t="s">
        <v>11404</v>
      </c>
      <c r="F9782" s="40" t="s">
        <v>11404</v>
      </c>
      <c r="G9782" s="40" t="s">
        <v>11404</v>
      </c>
      <c r="H9782" s="40" t="s">
        <v>11404</v>
      </c>
    </row>
    <row r="9783">
      <c r="A9783" s="39"/>
      <c r="E9783" s="40" t="s">
        <v>11404</v>
      </c>
      <c r="F9783" s="40" t="s">
        <v>11404</v>
      </c>
      <c r="G9783" s="40" t="s">
        <v>11404</v>
      </c>
      <c r="H9783" s="40" t="s">
        <v>11404</v>
      </c>
    </row>
    <row r="9784">
      <c r="A9784" s="39"/>
      <c r="E9784" s="40" t="s">
        <v>11404</v>
      </c>
      <c r="F9784" s="40" t="s">
        <v>11404</v>
      </c>
      <c r="G9784" s="40" t="s">
        <v>11404</v>
      </c>
      <c r="H9784" s="40" t="s">
        <v>11404</v>
      </c>
    </row>
    <row r="9785">
      <c r="A9785" s="39"/>
      <c r="E9785" s="40" t="s">
        <v>11404</v>
      </c>
      <c r="F9785" s="40" t="s">
        <v>11404</v>
      </c>
      <c r="G9785" s="40" t="s">
        <v>11404</v>
      </c>
      <c r="H9785" s="40" t="s">
        <v>11404</v>
      </c>
    </row>
    <row r="9786">
      <c r="A9786" s="39"/>
      <c r="E9786" s="40" t="s">
        <v>11404</v>
      </c>
      <c r="F9786" s="40" t="s">
        <v>11404</v>
      </c>
      <c r="G9786" s="40" t="s">
        <v>11404</v>
      </c>
      <c r="H9786" s="40" t="s">
        <v>11404</v>
      </c>
    </row>
    <row r="9787">
      <c r="A9787" s="39"/>
      <c r="E9787" s="40" t="s">
        <v>11404</v>
      </c>
      <c r="F9787" s="40" t="s">
        <v>11404</v>
      </c>
      <c r="G9787" s="40" t="s">
        <v>11404</v>
      </c>
      <c r="H9787" s="40" t="s">
        <v>11404</v>
      </c>
    </row>
    <row r="9788">
      <c r="A9788" s="39"/>
      <c r="E9788" s="40" t="s">
        <v>11404</v>
      </c>
      <c r="F9788" s="40" t="s">
        <v>11404</v>
      </c>
      <c r="G9788" s="40" t="s">
        <v>11404</v>
      </c>
      <c r="H9788" s="40" t="s">
        <v>11404</v>
      </c>
    </row>
    <row r="9789">
      <c r="A9789" s="39"/>
      <c r="E9789" s="40" t="s">
        <v>11404</v>
      </c>
      <c r="F9789" s="40" t="s">
        <v>11404</v>
      </c>
      <c r="G9789" s="40" t="s">
        <v>11404</v>
      </c>
      <c r="H9789" s="40" t="s">
        <v>11404</v>
      </c>
    </row>
    <row r="9790">
      <c r="A9790" s="39"/>
      <c r="E9790" s="40" t="s">
        <v>11404</v>
      </c>
      <c r="F9790" s="40" t="s">
        <v>11404</v>
      </c>
      <c r="G9790" s="40" t="s">
        <v>11404</v>
      </c>
      <c r="H9790" s="40" t="s">
        <v>11404</v>
      </c>
    </row>
    <row r="9791">
      <c r="A9791" s="39"/>
      <c r="E9791" s="40" t="s">
        <v>11404</v>
      </c>
      <c r="F9791" s="40" t="s">
        <v>11404</v>
      </c>
      <c r="G9791" s="40" t="s">
        <v>11404</v>
      </c>
      <c r="H9791" s="40" t="s">
        <v>11404</v>
      </c>
    </row>
    <row r="9792">
      <c r="A9792" s="39"/>
      <c r="E9792" s="40" t="s">
        <v>11404</v>
      </c>
      <c r="F9792" s="40" t="s">
        <v>11404</v>
      </c>
      <c r="G9792" s="40" t="s">
        <v>11404</v>
      </c>
      <c r="H9792" s="40" t="s">
        <v>11404</v>
      </c>
    </row>
    <row r="9793">
      <c r="A9793" s="39"/>
      <c r="E9793" s="40" t="s">
        <v>11404</v>
      </c>
      <c r="F9793" s="40" t="s">
        <v>11404</v>
      </c>
      <c r="G9793" s="40" t="s">
        <v>11404</v>
      </c>
      <c r="H9793" s="40" t="s">
        <v>11404</v>
      </c>
    </row>
    <row r="9794">
      <c r="A9794" s="39"/>
      <c r="E9794" s="40" t="s">
        <v>11404</v>
      </c>
      <c r="F9794" s="40" t="s">
        <v>11404</v>
      </c>
      <c r="G9794" s="40" t="s">
        <v>11404</v>
      </c>
      <c r="H9794" s="40" t="s">
        <v>11404</v>
      </c>
    </row>
    <row r="9795">
      <c r="A9795" s="39"/>
      <c r="E9795" s="40" t="s">
        <v>11404</v>
      </c>
      <c r="F9795" s="40" t="s">
        <v>11404</v>
      </c>
      <c r="G9795" s="40" t="s">
        <v>11404</v>
      </c>
      <c r="H9795" s="40" t="s">
        <v>11404</v>
      </c>
    </row>
    <row r="9796">
      <c r="A9796" s="39"/>
      <c r="E9796" s="40" t="s">
        <v>11404</v>
      </c>
      <c r="F9796" s="40" t="s">
        <v>11404</v>
      </c>
      <c r="G9796" s="40" t="s">
        <v>11404</v>
      </c>
      <c r="H9796" s="40" t="s">
        <v>11404</v>
      </c>
    </row>
    <row r="9797">
      <c r="A9797" s="39"/>
      <c r="E9797" s="40" t="s">
        <v>11404</v>
      </c>
      <c r="F9797" s="40" t="s">
        <v>11404</v>
      </c>
      <c r="G9797" s="40" t="s">
        <v>11404</v>
      </c>
      <c r="H9797" s="40" t="s">
        <v>11404</v>
      </c>
    </row>
    <row r="9798">
      <c r="A9798" s="39"/>
      <c r="E9798" s="40" t="s">
        <v>11404</v>
      </c>
      <c r="F9798" s="40" t="s">
        <v>11404</v>
      </c>
      <c r="G9798" s="40" t="s">
        <v>11404</v>
      </c>
      <c r="H9798" s="40" t="s">
        <v>11404</v>
      </c>
    </row>
    <row r="9799">
      <c r="A9799" s="39"/>
      <c r="E9799" s="40" t="s">
        <v>11404</v>
      </c>
      <c r="F9799" s="40" t="s">
        <v>11404</v>
      </c>
      <c r="G9799" s="40" t="s">
        <v>11404</v>
      </c>
      <c r="H9799" s="40" t="s">
        <v>11404</v>
      </c>
    </row>
    <row r="9800">
      <c r="A9800" s="39"/>
      <c r="E9800" s="40" t="s">
        <v>11404</v>
      </c>
      <c r="F9800" s="40" t="s">
        <v>11404</v>
      </c>
      <c r="G9800" s="40" t="s">
        <v>11404</v>
      </c>
      <c r="H9800" s="40" t="s">
        <v>11404</v>
      </c>
    </row>
    <row r="9801">
      <c r="A9801" s="39"/>
      <c r="E9801" s="40" t="s">
        <v>11404</v>
      </c>
      <c r="F9801" s="40" t="s">
        <v>11404</v>
      </c>
      <c r="G9801" s="40" t="s">
        <v>11404</v>
      </c>
      <c r="H9801" s="40" t="s">
        <v>11404</v>
      </c>
    </row>
    <row r="9802">
      <c r="A9802" s="39"/>
      <c r="E9802" s="40" t="s">
        <v>11404</v>
      </c>
      <c r="F9802" s="40" t="s">
        <v>11404</v>
      </c>
      <c r="G9802" s="40" t="s">
        <v>11404</v>
      </c>
      <c r="H9802" s="40" t="s">
        <v>11404</v>
      </c>
    </row>
    <row r="9803">
      <c r="A9803" s="39"/>
      <c r="E9803" s="40" t="s">
        <v>11404</v>
      </c>
      <c r="F9803" s="40" t="s">
        <v>11404</v>
      </c>
      <c r="G9803" s="40" t="s">
        <v>11404</v>
      </c>
      <c r="H9803" s="40" t="s">
        <v>11404</v>
      </c>
    </row>
    <row r="9804">
      <c r="A9804" s="39"/>
      <c r="E9804" s="40" t="s">
        <v>11404</v>
      </c>
      <c r="F9804" s="40" t="s">
        <v>11404</v>
      </c>
      <c r="G9804" s="40" t="s">
        <v>11404</v>
      </c>
      <c r="H9804" s="40" t="s">
        <v>11404</v>
      </c>
    </row>
    <row r="9805">
      <c r="A9805" s="39"/>
      <c r="E9805" s="40" t="s">
        <v>11404</v>
      </c>
      <c r="F9805" s="40" t="s">
        <v>11404</v>
      </c>
      <c r="G9805" s="40" t="s">
        <v>11404</v>
      </c>
      <c r="H9805" s="40" t="s">
        <v>11404</v>
      </c>
    </row>
    <row r="9806">
      <c r="A9806" s="39"/>
      <c r="E9806" s="40" t="s">
        <v>11404</v>
      </c>
      <c r="F9806" s="40" t="s">
        <v>11404</v>
      </c>
      <c r="G9806" s="40" t="s">
        <v>11404</v>
      </c>
      <c r="H9806" s="40" t="s">
        <v>11404</v>
      </c>
    </row>
    <row r="9807">
      <c r="A9807" s="39"/>
      <c r="E9807" s="40" t="s">
        <v>11404</v>
      </c>
      <c r="F9807" s="40" t="s">
        <v>11404</v>
      </c>
      <c r="G9807" s="40" t="s">
        <v>11404</v>
      </c>
      <c r="H9807" s="40" t="s">
        <v>11404</v>
      </c>
    </row>
    <row r="9808">
      <c r="A9808" s="39"/>
      <c r="E9808" s="40" t="s">
        <v>11404</v>
      </c>
      <c r="F9808" s="40" t="s">
        <v>11404</v>
      </c>
      <c r="G9808" s="40" t="s">
        <v>11404</v>
      </c>
      <c r="H9808" s="40" t="s">
        <v>11404</v>
      </c>
    </row>
    <row r="9809">
      <c r="A9809" s="39"/>
      <c r="E9809" s="40" t="s">
        <v>11404</v>
      </c>
      <c r="F9809" s="40" t="s">
        <v>11404</v>
      </c>
      <c r="G9809" s="40" t="s">
        <v>11404</v>
      </c>
      <c r="H9809" s="40" t="s">
        <v>11404</v>
      </c>
    </row>
    <row r="9810">
      <c r="A9810" s="39"/>
      <c r="E9810" s="40" t="s">
        <v>11404</v>
      </c>
      <c r="F9810" s="40" t="s">
        <v>11404</v>
      </c>
      <c r="G9810" s="40" t="s">
        <v>11404</v>
      </c>
      <c r="H9810" s="40" t="s">
        <v>11404</v>
      </c>
    </row>
    <row r="9811">
      <c r="A9811" s="39"/>
      <c r="E9811" s="40" t="s">
        <v>11404</v>
      </c>
      <c r="F9811" s="40" t="s">
        <v>11404</v>
      </c>
      <c r="G9811" s="40" t="s">
        <v>11404</v>
      </c>
      <c r="H9811" s="40" t="s">
        <v>11404</v>
      </c>
    </row>
    <row r="9812">
      <c r="A9812" s="39"/>
      <c r="E9812" s="40" t="s">
        <v>11404</v>
      </c>
      <c r="F9812" s="40" t="s">
        <v>11404</v>
      </c>
      <c r="G9812" s="40" t="s">
        <v>11404</v>
      </c>
      <c r="H9812" s="40" t="s">
        <v>11404</v>
      </c>
    </row>
    <row r="9813">
      <c r="A9813" s="39"/>
      <c r="E9813" s="40" t="s">
        <v>11404</v>
      </c>
      <c r="F9813" s="40" t="s">
        <v>11404</v>
      </c>
      <c r="G9813" s="40" t="s">
        <v>11404</v>
      </c>
      <c r="H9813" s="40" t="s">
        <v>11404</v>
      </c>
    </row>
    <row r="9814">
      <c r="A9814" s="39"/>
      <c r="E9814" s="40" t="s">
        <v>11404</v>
      </c>
      <c r="F9814" s="40" t="s">
        <v>11404</v>
      </c>
      <c r="G9814" s="40" t="s">
        <v>11404</v>
      </c>
      <c r="H9814" s="40" t="s">
        <v>11404</v>
      </c>
    </row>
    <row r="9815">
      <c r="A9815" s="39"/>
      <c r="E9815" s="40" t="s">
        <v>11404</v>
      </c>
      <c r="F9815" s="40" t="s">
        <v>11404</v>
      </c>
      <c r="G9815" s="40" t="s">
        <v>11404</v>
      </c>
      <c r="H9815" s="40" t="s">
        <v>11404</v>
      </c>
    </row>
    <row r="9816">
      <c r="A9816" s="39"/>
      <c r="E9816" s="40" t="s">
        <v>11404</v>
      </c>
      <c r="F9816" s="40" t="s">
        <v>11404</v>
      </c>
      <c r="G9816" s="40" t="s">
        <v>11404</v>
      </c>
      <c r="H9816" s="40" t="s">
        <v>11404</v>
      </c>
    </row>
    <row r="9817">
      <c r="A9817" s="39"/>
      <c r="E9817" s="40" t="s">
        <v>11404</v>
      </c>
      <c r="F9817" s="40" t="s">
        <v>11404</v>
      </c>
      <c r="G9817" s="40" t="s">
        <v>11404</v>
      </c>
      <c r="H9817" s="40" t="s">
        <v>11404</v>
      </c>
    </row>
    <row r="9818">
      <c r="A9818" s="39"/>
      <c r="E9818" s="40" t="s">
        <v>11404</v>
      </c>
      <c r="F9818" s="40" t="s">
        <v>11404</v>
      </c>
      <c r="G9818" s="40" t="s">
        <v>11404</v>
      </c>
      <c r="H9818" s="40" t="s">
        <v>11404</v>
      </c>
    </row>
    <row r="9819">
      <c r="A9819" s="39"/>
      <c r="E9819" s="40" t="s">
        <v>11404</v>
      </c>
      <c r="F9819" s="40" t="s">
        <v>11404</v>
      </c>
      <c r="G9819" s="40" t="s">
        <v>11404</v>
      </c>
      <c r="H9819" s="40" t="s">
        <v>11404</v>
      </c>
    </row>
    <row r="9820">
      <c r="A9820" s="39"/>
      <c r="E9820" s="40" t="s">
        <v>11404</v>
      </c>
      <c r="F9820" s="40" t="s">
        <v>11404</v>
      </c>
      <c r="G9820" s="40" t="s">
        <v>11404</v>
      </c>
      <c r="H9820" s="40" t="s">
        <v>11404</v>
      </c>
    </row>
    <row r="9821">
      <c r="A9821" s="39"/>
      <c r="E9821" s="40" t="s">
        <v>11404</v>
      </c>
      <c r="F9821" s="40" t="s">
        <v>11404</v>
      </c>
      <c r="G9821" s="40" t="s">
        <v>11404</v>
      </c>
      <c r="H9821" s="40" t="s">
        <v>11404</v>
      </c>
    </row>
    <row r="9822">
      <c r="A9822" s="39"/>
      <c r="E9822" s="40" t="s">
        <v>11404</v>
      </c>
      <c r="F9822" s="40" t="s">
        <v>11404</v>
      </c>
      <c r="G9822" s="40" t="s">
        <v>11404</v>
      </c>
      <c r="H9822" s="40" t="s">
        <v>11404</v>
      </c>
    </row>
    <row r="9823">
      <c r="A9823" s="39"/>
      <c r="E9823" s="40" t="s">
        <v>11404</v>
      </c>
      <c r="F9823" s="40" t="s">
        <v>11404</v>
      </c>
      <c r="G9823" s="40" t="s">
        <v>11404</v>
      </c>
      <c r="H9823" s="40" t="s">
        <v>11404</v>
      </c>
    </row>
    <row r="9824">
      <c r="A9824" s="39"/>
      <c r="E9824" s="40" t="s">
        <v>11404</v>
      </c>
      <c r="F9824" s="40" t="s">
        <v>11404</v>
      </c>
      <c r="G9824" s="40" t="s">
        <v>11404</v>
      </c>
      <c r="H9824" s="40" t="s">
        <v>11404</v>
      </c>
    </row>
    <row r="9825">
      <c r="A9825" s="39"/>
      <c r="E9825" s="40" t="s">
        <v>11404</v>
      </c>
      <c r="F9825" s="40" t="s">
        <v>11404</v>
      </c>
      <c r="G9825" s="40" t="s">
        <v>11404</v>
      </c>
      <c r="H9825" s="40" t="s">
        <v>11404</v>
      </c>
    </row>
    <row r="9826">
      <c r="A9826" s="39"/>
      <c r="E9826" s="40" t="s">
        <v>11404</v>
      </c>
      <c r="F9826" s="40" t="s">
        <v>11404</v>
      </c>
      <c r="G9826" s="40" t="s">
        <v>11404</v>
      </c>
      <c r="H9826" s="40" t="s">
        <v>11404</v>
      </c>
    </row>
    <row r="9827">
      <c r="A9827" s="39"/>
      <c r="E9827" s="40" t="s">
        <v>11404</v>
      </c>
      <c r="F9827" s="40" t="s">
        <v>11404</v>
      </c>
      <c r="G9827" s="40" t="s">
        <v>11404</v>
      </c>
      <c r="H9827" s="40" t="s">
        <v>11404</v>
      </c>
    </row>
    <row r="9828">
      <c r="A9828" s="39"/>
      <c r="E9828" s="40" t="s">
        <v>11404</v>
      </c>
      <c r="F9828" s="40" t="s">
        <v>11404</v>
      </c>
      <c r="G9828" s="40" t="s">
        <v>11404</v>
      </c>
      <c r="H9828" s="40" t="s">
        <v>11404</v>
      </c>
    </row>
    <row r="9829">
      <c r="A9829" s="39"/>
      <c r="E9829" s="40" t="s">
        <v>11404</v>
      </c>
      <c r="F9829" s="40" t="s">
        <v>11404</v>
      </c>
      <c r="G9829" s="40" t="s">
        <v>11404</v>
      </c>
      <c r="H9829" s="40" t="s">
        <v>11404</v>
      </c>
    </row>
    <row r="9830">
      <c r="A9830" s="39"/>
      <c r="E9830" s="40" t="s">
        <v>11404</v>
      </c>
      <c r="F9830" s="40" t="s">
        <v>11404</v>
      </c>
      <c r="G9830" s="40" t="s">
        <v>11404</v>
      </c>
      <c r="H9830" s="40" t="s">
        <v>11404</v>
      </c>
    </row>
    <row r="9831">
      <c r="A9831" s="39"/>
      <c r="E9831" s="40" t="s">
        <v>11404</v>
      </c>
      <c r="F9831" s="40" t="s">
        <v>11404</v>
      </c>
      <c r="G9831" s="40" t="s">
        <v>11404</v>
      </c>
      <c r="H9831" s="40" t="s">
        <v>11404</v>
      </c>
    </row>
    <row r="9832">
      <c r="A9832" s="39"/>
      <c r="E9832" s="40" t="s">
        <v>11404</v>
      </c>
      <c r="F9832" s="40" t="s">
        <v>11404</v>
      </c>
      <c r="G9832" s="40" t="s">
        <v>11404</v>
      </c>
      <c r="H9832" s="40" t="s">
        <v>11404</v>
      </c>
    </row>
    <row r="9833">
      <c r="A9833" s="39"/>
      <c r="E9833" s="40" t="s">
        <v>11404</v>
      </c>
      <c r="F9833" s="40" t="s">
        <v>11404</v>
      </c>
      <c r="G9833" s="40" t="s">
        <v>11404</v>
      </c>
      <c r="H9833" s="40" t="s">
        <v>11404</v>
      </c>
    </row>
    <row r="9834">
      <c r="A9834" s="39"/>
      <c r="E9834" s="40" t="s">
        <v>11404</v>
      </c>
      <c r="F9834" s="40" t="s">
        <v>11404</v>
      </c>
      <c r="G9834" s="40" t="s">
        <v>11404</v>
      </c>
      <c r="H9834" s="40" t="s">
        <v>11404</v>
      </c>
    </row>
    <row r="9835">
      <c r="A9835" s="39"/>
      <c r="E9835" s="40" t="s">
        <v>11404</v>
      </c>
      <c r="F9835" s="40" t="s">
        <v>11404</v>
      </c>
      <c r="G9835" s="40" t="s">
        <v>11404</v>
      </c>
      <c r="H9835" s="40" t="s">
        <v>11404</v>
      </c>
    </row>
    <row r="9836">
      <c r="A9836" s="39"/>
      <c r="E9836" s="40" t="s">
        <v>11404</v>
      </c>
      <c r="F9836" s="40" t="s">
        <v>11404</v>
      </c>
      <c r="G9836" s="40" t="s">
        <v>11404</v>
      </c>
      <c r="H9836" s="40" t="s">
        <v>11404</v>
      </c>
    </row>
    <row r="9837">
      <c r="A9837" s="39"/>
      <c r="E9837" s="40" t="s">
        <v>11404</v>
      </c>
      <c r="F9837" s="40" t="s">
        <v>11404</v>
      </c>
      <c r="G9837" s="40" t="s">
        <v>11404</v>
      </c>
      <c r="H9837" s="40" t="s">
        <v>11404</v>
      </c>
    </row>
    <row r="9838">
      <c r="A9838" s="39"/>
      <c r="E9838" s="40" t="s">
        <v>11404</v>
      </c>
      <c r="F9838" s="40" t="s">
        <v>11404</v>
      </c>
      <c r="G9838" s="40" t="s">
        <v>11404</v>
      </c>
      <c r="H9838" s="40" t="s">
        <v>11404</v>
      </c>
    </row>
    <row r="9839">
      <c r="A9839" s="39"/>
      <c r="E9839" s="40" t="s">
        <v>11404</v>
      </c>
      <c r="F9839" s="40" t="s">
        <v>11404</v>
      </c>
      <c r="G9839" s="40" t="s">
        <v>11404</v>
      </c>
      <c r="H9839" s="40" t="s">
        <v>11404</v>
      </c>
    </row>
    <row r="9840">
      <c r="A9840" s="39"/>
      <c r="E9840" s="40" t="s">
        <v>11404</v>
      </c>
      <c r="F9840" s="40" t="s">
        <v>11404</v>
      </c>
      <c r="G9840" s="40" t="s">
        <v>11404</v>
      </c>
      <c r="H9840" s="40" t="s">
        <v>11404</v>
      </c>
    </row>
    <row r="9841">
      <c r="A9841" s="39"/>
      <c r="E9841" s="40" t="s">
        <v>11404</v>
      </c>
      <c r="F9841" s="40" t="s">
        <v>11404</v>
      </c>
      <c r="G9841" s="40" t="s">
        <v>11404</v>
      </c>
      <c r="H9841" s="40" t="s">
        <v>11404</v>
      </c>
    </row>
    <row r="9842">
      <c r="A9842" s="39"/>
      <c r="E9842" s="40" t="s">
        <v>11404</v>
      </c>
      <c r="F9842" s="40" t="s">
        <v>11404</v>
      </c>
      <c r="G9842" s="40" t="s">
        <v>11404</v>
      </c>
      <c r="H9842" s="40" t="s">
        <v>11404</v>
      </c>
    </row>
    <row r="9843">
      <c r="A9843" s="39"/>
      <c r="E9843" s="40" t="s">
        <v>11404</v>
      </c>
      <c r="F9843" s="40" t="s">
        <v>11404</v>
      </c>
      <c r="G9843" s="40" t="s">
        <v>11404</v>
      </c>
      <c r="H9843" s="40" t="s">
        <v>11404</v>
      </c>
    </row>
    <row r="9844">
      <c r="A9844" s="39"/>
      <c r="E9844" s="40" t="s">
        <v>11404</v>
      </c>
      <c r="F9844" s="40" t="s">
        <v>11404</v>
      </c>
      <c r="G9844" s="40" t="s">
        <v>11404</v>
      </c>
      <c r="H9844" s="40" t="s">
        <v>11404</v>
      </c>
    </row>
    <row r="9845">
      <c r="A9845" s="39"/>
      <c r="E9845" s="40" t="s">
        <v>11404</v>
      </c>
      <c r="F9845" s="40" t="s">
        <v>11404</v>
      </c>
      <c r="G9845" s="40" t="s">
        <v>11404</v>
      </c>
      <c r="H9845" s="40" t="s">
        <v>11404</v>
      </c>
    </row>
    <row r="9846">
      <c r="A9846" s="39"/>
      <c r="E9846" s="40" t="s">
        <v>11404</v>
      </c>
      <c r="F9846" s="40" t="s">
        <v>11404</v>
      </c>
      <c r="G9846" s="40" t="s">
        <v>11404</v>
      </c>
      <c r="H9846" s="40" t="s">
        <v>11404</v>
      </c>
    </row>
    <row r="9847">
      <c r="A9847" s="39"/>
      <c r="E9847" s="40" t="s">
        <v>11404</v>
      </c>
      <c r="F9847" s="40" t="s">
        <v>11404</v>
      </c>
      <c r="G9847" s="40" t="s">
        <v>11404</v>
      </c>
      <c r="H9847" s="40" t="s">
        <v>11404</v>
      </c>
    </row>
    <row r="9848">
      <c r="A9848" s="39"/>
      <c r="E9848" s="40" t="s">
        <v>11404</v>
      </c>
      <c r="F9848" s="40" t="s">
        <v>11404</v>
      </c>
      <c r="G9848" s="40" t="s">
        <v>11404</v>
      </c>
      <c r="H9848" s="40" t="s">
        <v>11404</v>
      </c>
    </row>
    <row r="9849">
      <c r="A9849" s="39"/>
      <c r="E9849" s="40" t="s">
        <v>11404</v>
      </c>
      <c r="F9849" s="40" t="s">
        <v>11404</v>
      </c>
      <c r="G9849" s="40" t="s">
        <v>11404</v>
      </c>
      <c r="H9849" s="40" t="s">
        <v>11404</v>
      </c>
    </row>
    <row r="9850">
      <c r="A9850" s="39"/>
      <c r="E9850" s="40" t="s">
        <v>11404</v>
      </c>
      <c r="F9850" s="40" t="s">
        <v>11404</v>
      </c>
      <c r="G9850" s="40" t="s">
        <v>11404</v>
      </c>
      <c r="H9850" s="40" t="s">
        <v>11404</v>
      </c>
    </row>
    <row r="9851">
      <c r="A9851" s="39"/>
      <c r="E9851" s="40" t="s">
        <v>11404</v>
      </c>
      <c r="F9851" s="40" t="s">
        <v>11404</v>
      </c>
      <c r="G9851" s="40" t="s">
        <v>11404</v>
      </c>
      <c r="H9851" s="40" t="s">
        <v>11404</v>
      </c>
    </row>
    <row r="9852">
      <c r="A9852" s="39"/>
      <c r="E9852" s="40" t="s">
        <v>11404</v>
      </c>
      <c r="F9852" s="40" t="s">
        <v>11404</v>
      </c>
      <c r="G9852" s="40" t="s">
        <v>11404</v>
      </c>
      <c r="H9852" s="40" t="s">
        <v>11404</v>
      </c>
    </row>
    <row r="9853">
      <c r="A9853" s="39"/>
      <c r="E9853" s="40" t="s">
        <v>11404</v>
      </c>
      <c r="F9853" s="40" t="s">
        <v>11404</v>
      </c>
      <c r="G9853" s="40" t="s">
        <v>11404</v>
      </c>
      <c r="H9853" s="40" t="s">
        <v>11404</v>
      </c>
    </row>
    <row r="9854">
      <c r="A9854" s="39"/>
      <c r="E9854" s="40" t="s">
        <v>11404</v>
      </c>
      <c r="F9854" s="40" t="s">
        <v>11404</v>
      </c>
      <c r="G9854" s="40" t="s">
        <v>11404</v>
      </c>
      <c r="H9854" s="40" t="s">
        <v>11404</v>
      </c>
    </row>
    <row r="9855">
      <c r="A9855" s="39"/>
      <c r="E9855" s="40" t="s">
        <v>11404</v>
      </c>
      <c r="F9855" s="40" t="s">
        <v>11404</v>
      </c>
      <c r="G9855" s="40" t="s">
        <v>11404</v>
      </c>
      <c r="H9855" s="40" t="s">
        <v>11404</v>
      </c>
    </row>
    <row r="9856">
      <c r="A9856" s="39"/>
      <c r="E9856" s="40" t="s">
        <v>11404</v>
      </c>
      <c r="F9856" s="40" t="s">
        <v>11404</v>
      </c>
      <c r="G9856" s="40" t="s">
        <v>11404</v>
      </c>
      <c r="H9856" s="40" t="s">
        <v>11404</v>
      </c>
    </row>
    <row r="9857">
      <c r="A9857" s="39"/>
      <c r="E9857" s="40" t="s">
        <v>11404</v>
      </c>
      <c r="F9857" s="40" t="s">
        <v>11404</v>
      </c>
      <c r="G9857" s="40" t="s">
        <v>11404</v>
      </c>
      <c r="H9857" s="40" t="s">
        <v>11404</v>
      </c>
    </row>
    <row r="9858">
      <c r="A9858" s="39"/>
      <c r="E9858" s="40" t="s">
        <v>11404</v>
      </c>
      <c r="F9858" s="40" t="s">
        <v>11404</v>
      </c>
      <c r="G9858" s="40" t="s">
        <v>11404</v>
      </c>
      <c r="H9858" s="40" t="s">
        <v>11404</v>
      </c>
    </row>
    <row r="9859">
      <c r="A9859" s="39"/>
      <c r="E9859" s="40" t="s">
        <v>11404</v>
      </c>
      <c r="F9859" s="40" t="s">
        <v>11404</v>
      </c>
      <c r="G9859" s="40" t="s">
        <v>11404</v>
      </c>
      <c r="H9859" s="40" t="s">
        <v>11404</v>
      </c>
    </row>
    <row r="9860">
      <c r="A9860" s="39"/>
      <c r="E9860" s="40" t="s">
        <v>11404</v>
      </c>
      <c r="F9860" s="40" t="s">
        <v>11404</v>
      </c>
      <c r="G9860" s="40" t="s">
        <v>11404</v>
      </c>
      <c r="H9860" s="40" t="s">
        <v>11404</v>
      </c>
    </row>
    <row r="9861">
      <c r="A9861" s="39"/>
      <c r="E9861" s="40" t="s">
        <v>11404</v>
      </c>
      <c r="F9861" s="40" t="s">
        <v>11404</v>
      </c>
      <c r="G9861" s="40" t="s">
        <v>11404</v>
      </c>
      <c r="H9861" s="40" t="s">
        <v>11404</v>
      </c>
    </row>
    <row r="9862">
      <c r="A9862" s="39"/>
      <c r="E9862" s="40" t="s">
        <v>11404</v>
      </c>
      <c r="F9862" s="40" t="s">
        <v>11404</v>
      </c>
      <c r="G9862" s="40" t="s">
        <v>11404</v>
      </c>
      <c r="H9862" s="40" t="s">
        <v>11404</v>
      </c>
    </row>
    <row r="9863">
      <c r="A9863" s="39"/>
      <c r="E9863" s="40" t="s">
        <v>11404</v>
      </c>
      <c r="F9863" s="40" t="s">
        <v>11404</v>
      </c>
      <c r="G9863" s="40" t="s">
        <v>11404</v>
      </c>
      <c r="H9863" s="40" t="s">
        <v>11404</v>
      </c>
    </row>
    <row r="9864">
      <c r="A9864" s="39"/>
      <c r="E9864" s="40" t="s">
        <v>11404</v>
      </c>
      <c r="F9864" s="40" t="s">
        <v>11404</v>
      </c>
      <c r="G9864" s="40" t="s">
        <v>11404</v>
      </c>
      <c r="H9864" s="40" t="s">
        <v>11404</v>
      </c>
    </row>
    <row r="9865">
      <c r="A9865" s="39"/>
      <c r="E9865" s="40" t="s">
        <v>11404</v>
      </c>
      <c r="F9865" s="40" t="s">
        <v>11404</v>
      </c>
      <c r="G9865" s="40" t="s">
        <v>11404</v>
      </c>
      <c r="H9865" s="40" t="s">
        <v>11404</v>
      </c>
    </row>
    <row r="9866">
      <c r="A9866" s="39"/>
      <c r="E9866" s="40" t="s">
        <v>11404</v>
      </c>
      <c r="F9866" s="40" t="s">
        <v>11404</v>
      </c>
      <c r="G9866" s="40" t="s">
        <v>11404</v>
      </c>
      <c r="H9866" s="40" t="s">
        <v>11404</v>
      </c>
    </row>
    <row r="9867">
      <c r="A9867" s="39"/>
      <c r="E9867" s="40" t="s">
        <v>11404</v>
      </c>
      <c r="F9867" s="40" t="s">
        <v>11404</v>
      </c>
      <c r="G9867" s="40" t="s">
        <v>11404</v>
      </c>
      <c r="H9867" s="40" t="s">
        <v>11404</v>
      </c>
    </row>
    <row r="9868">
      <c r="A9868" s="39"/>
      <c r="E9868" s="40" t="s">
        <v>11404</v>
      </c>
      <c r="F9868" s="40" t="s">
        <v>11404</v>
      </c>
      <c r="G9868" s="40" t="s">
        <v>11404</v>
      </c>
      <c r="H9868" s="40" t="s">
        <v>11404</v>
      </c>
    </row>
    <row r="9869">
      <c r="A9869" s="39"/>
      <c r="E9869" s="40" t="s">
        <v>11404</v>
      </c>
      <c r="F9869" s="40" t="s">
        <v>11404</v>
      </c>
      <c r="G9869" s="40" t="s">
        <v>11404</v>
      </c>
      <c r="H9869" s="40" t="s">
        <v>11404</v>
      </c>
    </row>
    <row r="9870">
      <c r="A9870" s="39"/>
      <c r="E9870" s="40" t="s">
        <v>11404</v>
      </c>
      <c r="F9870" s="40" t="s">
        <v>11404</v>
      </c>
      <c r="G9870" s="40" t="s">
        <v>11404</v>
      </c>
      <c r="H9870" s="40" t="s">
        <v>11404</v>
      </c>
    </row>
    <row r="9871">
      <c r="A9871" s="39"/>
      <c r="E9871" s="40" t="s">
        <v>11404</v>
      </c>
      <c r="F9871" s="40" t="s">
        <v>11404</v>
      </c>
      <c r="G9871" s="40" t="s">
        <v>11404</v>
      </c>
      <c r="H9871" s="40" t="s">
        <v>11404</v>
      </c>
    </row>
    <row r="9872">
      <c r="A9872" s="39"/>
      <c r="E9872" s="40" t="s">
        <v>11404</v>
      </c>
      <c r="F9872" s="40" t="s">
        <v>11404</v>
      </c>
      <c r="G9872" s="40" t="s">
        <v>11404</v>
      </c>
      <c r="H9872" s="40" t="s">
        <v>11404</v>
      </c>
    </row>
    <row r="9873">
      <c r="A9873" s="39"/>
      <c r="E9873" s="40" t="s">
        <v>11404</v>
      </c>
      <c r="F9873" s="40" t="s">
        <v>11404</v>
      </c>
      <c r="G9873" s="40" t="s">
        <v>11404</v>
      </c>
      <c r="H9873" s="40" t="s">
        <v>11404</v>
      </c>
    </row>
    <row r="9874">
      <c r="A9874" s="39"/>
      <c r="E9874" s="40" t="s">
        <v>11404</v>
      </c>
      <c r="F9874" s="40" t="s">
        <v>11404</v>
      </c>
      <c r="G9874" s="40" t="s">
        <v>11404</v>
      </c>
      <c r="H9874" s="40" t="s">
        <v>11404</v>
      </c>
    </row>
    <row r="9875">
      <c r="A9875" s="39"/>
      <c r="E9875" s="40" t="s">
        <v>11404</v>
      </c>
      <c r="F9875" s="40" t="s">
        <v>11404</v>
      </c>
      <c r="G9875" s="40" t="s">
        <v>11404</v>
      </c>
      <c r="H9875" s="40" t="s">
        <v>11404</v>
      </c>
    </row>
    <row r="9876">
      <c r="A9876" s="39"/>
      <c r="E9876" s="40" t="s">
        <v>11404</v>
      </c>
      <c r="F9876" s="40" t="s">
        <v>11404</v>
      </c>
      <c r="G9876" s="40" t="s">
        <v>11404</v>
      </c>
      <c r="H9876" s="40" t="s">
        <v>11404</v>
      </c>
    </row>
    <row r="9877">
      <c r="A9877" s="39"/>
      <c r="E9877" s="40" t="s">
        <v>11404</v>
      </c>
      <c r="F9877" s="40" t="s">
        <v>11404</v>
      </c>
      <c r="G9877" s="40" t="s">
        <v>11404</v>
      </c>
      <c r="H9877" s="40" t="s">
        <v>11404</v>
      </c>
    </row>
    <row r="9878">
      <c r="A9878" s="39"/>
      <c r="E9878" s="40" t="s">
        <v>11404</v>
      </c>
      <c r="F9878" s="40" t="s">
        <v>11404</v>
      </c>
      <c r="G9878" s="40" t="s">
        <v>11404</v>
      </c>
      <c r="H9878" s="40" t="s">
        <v>11404</v>
      </c>
    </row>
    <row r="9879">
      <c r="A9879" s="39"/>
      <c r="E9879" s="40" t="s">
        <v>11404</v>
      </c>
      <c r="F9879" s="40" t="s">
        <v>11404</v>
      </c>
      <c r="G9879" s="40" t="s">
        <v>11404</v>
      </c>
      <c r="H9879" s="40" t="s">
        <v>11404</v>
      </c>
    </row>
    <row r="9880">
      <c r="A9880" s="39"/>
      <c r="E9880" s="40" t="s">
        <v>11404</v>
      </c>
      <c r="F9880" s="40" t="s">
        <v>11404</v>
      </c>
      <c r="G9880" s="40" t="s">
        <v>11404</v>
      </c>
      <c r="H9880" s="40" t="s">
        <v>11404</v>
      </c>
    </row>
    <row r="9881">
      <c r="A9881" s="39"/>
      <c r="E9881" s="40" t="s">
        <v>11404</v>
      </c>
      <c r="F9881" s="40" t="s">
        <v>11404</v>
      </c>
      <c r="G9881" s="40" t="s">
        <v>11404</v>
      </c>
      <c r="H9881" s="40" t="s">
        <v>11404</v>
      </c>
    </row>
    <row r="9882">
      <c r="A9882" s="39"/>
      <c r="E9882" s="40" t="s">
        <v>11404</v>
      </c>
      <c r="F9882" s="40" t="s">
        <v>11404</v>
      </c>
      <c r="G9882" s="40" t="s">
        <v>11404</v>
      </c>
      <c r="H9882" s="40" t="s">
        <v>11404</v>
      </c>
    </row>
    <row r="9883">
      <c r="A9883" s="39"/>
      <c r="E9883" s="40" t="s">
        <v>11404</v>
      </c>
      <c r="F9883" s="40" t="s">
        <v>11404</v>
      </c>
      <c r="G9883" s="40" t="s">
        <v>11404</v>
      </c>
      <c r="H9883" s="40" t="s">
        <v>11404</v>
      </c>
    </row>
    <row r="9884">
      <c r="A9884" s="39"/>
      <c r="E9884" s="40" t="s">
        <v>11404</v>
      </c>
      <c r="F9884" s="40" t="s">
        <v>11404</v>
      </c>
      <c r="G9884" s="40" t="s">
        <v>11404</v>
      </c>
      <c r="H9884" s="40" t="s">
        <v>11404</v>
      </c>
    </row>
    <row r="9885">
      <c r="A9885" s="39"/>
      <c r="E9885" s="40" t="s">
        <v>11404</v>
      </c>
      <c r="F9885" s="40" t="s">
        <v>11404</v>
      </c>
      <c r="G9885" s="40" t="s">
        <v>11404</v>
      </c>
      <c r="H9885" s="40" t="s">
        <v>11404</v>
      </c>
    </row>
    <row r="9886">
      <c r="A9886" s="39"/>
      <c r="E9886" s="40" t="s">
        <v>11404</v>
      </c>
      <c r="F9886" s="40" t="s">
        <v>11404</v>
      </c>
      <c r="G9886" s="40" t="s">
        <v>11404</v>
      </c>
      <c r="H9886" s="40" t="s">
        <v>11404</v>
      </c>
    </row>
    <row r="9887">
      <c r="A9887" s="39"/>
      <c r="E9887" s="40" t="s">
        <v>11404</v>
      </c>
      <c r="F9887" s="40" t="s">
        <v>11404</v>
      </c>
      <c r="G9887" s="40" t="s">
        <v>11404</v>
      </c>
      <c r="H9887" s="40" t="s">
        <v>11404</v>
      </c>
    </row>
    <row r="9888">
      <c r="A9888" s="39"/>
      <c r="E9888" s="40" t="s">
        <v>11404</v>
      </c>
      <c r="F9888" s="40" t="s">
        <v>11404</v>
      </c>
      <c r="G9888" s="40" t="s">
        <v>11404</v>
      </c>
      <c r="H9888" s="40" t="s">
        <v>11404</v>
      </c>
    </row>
    <row r="9889">
      <c r="A9889" s="39"/>
      <c r="E9889" s="40" t="s">
        <v>11404</v>
      </c>
      <c r="F9889" s="40" t="s">
        <v>11404</v>
      </c>
      <c r="G9889" s="40" t="s">
        <v>11404</v>
      </c>
      <c r="H9889" s="40" t="s">
        <v>11404</v>
      </c>
    </row>
    <row r="9890">
      <c r="A9890" s="39"/>
      <c r="E9890" s="40" t="s">
        <v>11404</v>
      </c>
      <c r="F9890" s="40" t="s">
        <v>11404</v>
      </c>
      <c r="G9890" s="40" t="s">
        <v>11404</v>
      </c>
      <c r="H9890" s="40" t="s">
        <v>11404</v>
      </c>
    </row>
    <row r="9891">
      <c r="A9891" s="39"/>
      <c r="E9891" s="40" t="s">
        <v>11404</v>
      </c>
      <c r="F9891" s="40" t="s">
        <v>11404</v>
      </c>
      <c r="G9891" s="40" t="s">
        <v>11404</v>
      </c>
      <c r="H9891" s="40" t="s">
        <v>11404</v>
      </c>
    </row>
    <row r="9892">
      <c r="A9892" s="39"/>
      <c r="E9892" s="40" t="s">
        <v>11404</v>
      </c>
      <c r="F9892" s="40" t="s">
        <v>11404</v>
      </c>
      <c r="G9892" s="40" t="s">
        <v>11404</v>
      </c>
      <c r="H9892" s="40" t="s">
        <v>11404</v>
      </c>
    </row>
    <row r="9893">
      <c r="A9893" s="39"/>
      <c r="E9893" s="40" t="s">
        <v>11404</v>
      </c>
      <c r="F9893" s="40" t="s">
        <v>11404</v>
      </c>
      <c r="G9893" s="40" t="s">
        <v>11404</v>
      </c>
      <c r="H9893" s="40" t="s">
        <v>11404</v>
      </c>
    </row>
    <row r="9894">
      <c r="A9894" s="39"/>
      <c r="E9894" s="40" t="s">
        <v>11404</v>
      </c>
      <c r="F9894" s="40" t="s">
        <v>11404</v>
      </c>
      <c r="G9894" s="40" t="s">
        <v>11404</v>
      </c>
      <c r="H9894" s="40" t="s">
        <v>11404</v>
      </c>
    </row>
    <row r="9895">
      <c r="A9895" s="39"/>
      <c r="E9895" s="40" t="s">
        <v>11404</v>
      </c>
      <c r="F9895" s="40" t="s">
        <v>11404</v>
      </c>
      <c r="G9895" s="40" t="s">
        <v>11404</v>
      </c>
      <c r="H9895" s="40" t="s">
        <v>11404</v>
      </c>
    </row>
    <row r="9896">
      <c r="A9896" s="39"/>
      <c r="E9896" s="40" t="s">
        <v>11404</v>
      </c>
      <c r="F9896" s="40" t="s">
        <v>11404</v>
      </c>
      <c r="G9896" s="40" t="s">
        <v>11404</v>
      </c>
      <c r="H9896" s="40" t="s">
        <v>11404</v>
      </c>
    </row>
    <row r="9897">
      <c r="A9897" s="39"/>
      <c r="E9897" s="40" t="s">
        <v>11404</v>
      </c>
      <c r="F9897" s="40" t="s">
        <v>11404</v>
      </c>
      <c r="G9897" s="40" t="s">
        <v>11404</v>
      </c>
      <c r="H9897" s="40" t="s">
        <v>11404</v>
      </c>
    </row>
    <row r="9898">
      <c r="A9898" s="39"/>
      <c r="E9898" s="40" t="s">
        <v>11404</v>
      </c>
      <c r="F9898" s="40" t="s">
        <v>11404</v>
      </c>
      <c r="G9898" s="40" t="s">
        <v>11404</v>
      </c>
      <c r="H9898" s="40" t="s">
        <v>11404</v>
      </c>
    </row>
    <row r="9899">
      <c r="A9899" s="39"/>
      <c r="E9899" s="40" t="s">
        <v>11404</v>
      </c>
      <c r="F9899" s="40" t="s">
        <v>11404</v>
      </c>
      <c r="G9899" s="40" t="s">
        <v>11404</v>
      </c>
      <c r="H9899" s="40" t="s">
        <v>11404</v>
      </c>
    </row>
    <row r="9900">
      <c r="A9900" s="39"/>
      <c r="E9900" s="40" t="s">
        <v>11404</v>
      </c>
      <c r="F9900" s="40" t="s">
        <v>11404</v>
      </c>
      <c r="G9900" s="40" t="s">
        <v>11404</v>
      </c>
      <c r="H9900" s="40" t="s">
        <v>11404</v>
      </c>
    </row>
    <row r="9901">
      <c r="A9901" s="39"/>
      <c r="E9901" s="40" t="s">
        <v>11404</v>
      </c>
      <c r="F9901" s="40" t="s">
        <v>11404</v>
      </c>
      <c r="G9901" s="40" t="s">
        <v>11404</v>
      </c>
      <c r="H9901" s="40" t="s">
        <v>11404</v>
      </c>
    </row>
    <row r="9902">
      <c r="A9902" s="39"/>
      <c r="E9902" s="40" t="s">
        <v>11404</v>
      </c>
      <c r="F9902" s="40" t="s">
        <v>11404</v>
      </c>
      <c r="G9902" s="40" t="s">
        <v>11404</v>
      </c>
      <c r="H9902" s="40" t="s">
        <v>11404</v>
      </c>
    </row>
    <row r="9903">
      <c r="A9903" s="39"/>
      <c r="E9903" s="40" t="s">
        <v>11404</v>
      </c>
      <c r="F9903" s="40" t="s">
        <v>11404</v>
      </c>
      <c r="G9903" s="40" t="s">
        <v>11404</v>
      </c>
      <c r="H9903" s="40" t="s">
        <v>11404</v>
      </c>
    </row>
    <row r="9904">
      <c r="A9904" s="39"/>
      <c r="E9904" s="40" t="s">
        <v>11404</v>
      </c>
      <c r="F9904" s="40" t="s">
        <v>11404</v>
      </c>
      <c r="G9904" s="40" t="s">
        <v>11404</v>
      </c>
      <c r="H9904" s="40" t="s">
        <v>11404</v>
      </c>
    </row>
    <row r="9905">
      <c r="A9905" s="39"/>
      <c r="E9905" s="40" t="s">
        <v>11404</v>
      </c>
      <c r="F9905" s="40" t="s">
        <v>11404</v>
      </c>
      <c r="G9905" s="40" t="s">
        <v>11404</v>
      </c>
      <c r="H9905" s="40" t="s">
        <v>11404</v>
      </c>
    </row>
    <row r="9906">
      <c r="A9906" s="39"/>
      <c r="E9906" s="40" t="s">
        <v>11404</v>
      </c>
      <c r="F9906" s="40" t="s">
        <v>11404</v>
      </c>
      <c r="G9906" s="40" t="s">
        <v>11404</v>
      </c>
      <c r="H9906" s="40" t="s">
        <v>11404</v>
      </c>
    </row>
    <row r="9907">
      <c r="A9907" s="39"/>
      <c r="E9907" s="40" t="s">
        <v>11404</v>
      </c>
      <c r="F9907" s="40" t="s">
        <v>11404</v>
      </c>
      <c r="G9907" s="40" t="s">
        <v>11404</v>
      </c>
      <c r="H9907" s="40" t="s">
        <v>11404</v>
      </c>
    </row>
    <row r="9908">
      <c r="A9908" s="39"/>
      <c r="E9908" s="40" t="s">
        <v>11404</v>
      </c>
      <c r="F9908" s="40" t="s">
        <v>11404</v>
      </c>
      <c r="G9908" s="40" t="s">
        <v>11404</v>
      </c>
      <c r="H9908" s="40" t="s">
        <v>11404</v>
      </c>
    </row>
    <row r="9909">
      <c r="A9909" s="39"/>
      <c r="E9909" s="40" t="s">
        <v>11404</v>
      </c>
      <c r="F9909" s="40" t="s">
        <v>11404</v>
      </c>
      <c r="G9909" s="40" t="s">
        <v>11404</v>
      </c>
      <c r="H9909" s="40" t="s">
        <v>11404</v>
      </c>
    </row>
    <row r="9910">
      <c r="A9910" s="39"/>
      <c r="E9910" s="40" t="s">
        <v>11404</v>
      </c>
      <c r="F9910" s="40" t="s">
        <v>11404</v>
      </c>
      <c r="G9910" s="40" t="s">
        <v>11404</v>
      </c>
      <c r="H9910" s="40" t="s">
        <v>11404</v>
      </c>
    </row>
    <row r="9911">
      <c r="A9911" s="39"/>
      <c r="E9911" s="40" t="s">
        <v>11404</v>
      </c>
      <c r="F9911" s="40" t="s">
        <v>11404</v>
      </c>
      <c r="G9911" s="40" t="s">
        <v>11404</v>
      </c>
      <c r="H9911" s="40" t="s">
        <v>11404</v>
      </c>
    </row>
    <row r="9912">
      <c r="A9912" s="39"/>
      <c r="E9912" s="40" t="s">
        <v>11404</v>
      </c>
      <c r="F9912" s="40" t="s">
        <v>11404</v>
      </c>
      <c r="G9912" s="40" t="s">
        <v>11404</v>
      </c>
      <c r="H9912" s="40" t="s">
        <v>11404</v>
      </c>
    </row>
    <row r="9913">
      <c r="A9913" s="39"/>
      <c r="E9913" s="40" t="s">
        <v>11404</v>
      </c>
      <c r="F9913" s="40" t="s">
        <v>11404</v>
      </c>
      <c r="G9913" s="40" t="s">
        <v>11404</v>
      </c>
      <c r="H9913" s="40" t="s">
        <v>11404</v>
      </c>
    </row>
    <row r="9914">
      <c r="A9914" s="39"/>
      <c r="E9914" s="40" t="s">
        <v>11404</v>
      </c>
      <c r="F9914" s="40" t="s">
        <v>11404</v>
      </c>
      <c r="G9914" s="40" t="s">
        <v>11404</v>
      </c>
      <c r="H9914" s="40" t="s">
        <v>11404</v>
      </c>
    </row>
    <row r="9915">
      <c r="A9915" s="39"/>
      <c r="E9915" s="40" t="s">
        <v>11404</v>
      </c>
      <c r="F9915" s="40" t="s">
        <v>11404</v>
      </c>
      <c r="G9915" s="40" t="s">
        <v>11404</v>
      </c>
      <c r="H9915" s="40" t="s">
        <v>11404</v>
      </c>
    </row>
    <row r="9916">
      <c r="A9916" s="39"/>
      <c r="E9916" s="40" t="s">
        <v>11404</v>
      </c>
      <c r="F9916" s="40" t="s">
        <v>11404</v>
      </c>
      <c r="G9916" s="40" t="s">
        <v>11404</v>
      </c>
      <c r="H9916" s="40" t="s">
        <v>11404</v>
      </c>
    </row>
    <row r="9917">
      <c r="A9917" s="39"/>
      <c r="E9917" s="40" t="s">
        <v>11404</v>
      </c>
      <c r="F9917" s="40" t="s">
        <v>11404</v>
      </c>
      <c r="G9917" s="40" t="s">
        <v>11404</v>
      </c>
      <c r="H9917" s="40" t="s">
        <v>11404</v>
      </c>
    </row>
    <row r="9918">
      <c r="A9918" s="39"/>
      <c r="E9918" s="40" t="s">
        <v>11404</v>
      </c>
      <c r="F9918" s="40" t="s">
        <v>11404</v>
      </c>
      <c r="G9918" s="40" t="s">
        <v>11404</v>
      </c>
      <c r="H9918" s="40" t="s">
        <v>11404</v>
      </c>
    </row>
    <row r="9919">
      <c r="A9919" s="39"/>
      <c r="E9919" s="40" t="s">
        <v>11404</v>
      </c>
      <c r="F9919" s="40" t="s">
        <v>11404</v>
      </c>
      <c r="G9919" s="40" t="s">
        <v>11404</v>
      </c>
      <c r="H9919" s="40" t="s">
        <v>11404</v>
      </c>
    </row>
    <row r="9920">
      <c r="A9920" s="39"/>
      <c r="E9920" s="40" t="s">
        <v>11404</v>
      </c>
      <c r="F9920" s="40" t="s">
        <v>11404</v>
      </c>
      <c r="G9920" s="40" t="s">
        <v>11404</v>
      </c>
      <c r="H9920" s="40" t="s">
        <v>11404</v>
      </c>
    </row>
    <row r="9921">
      <c r="A9921" s="39"/>
      <c r="E9921" s="40" t="s">
        <v>11404</v>
      </c>
      <c r="F9921" s="40" t="s">
        <v>11404</v>
      </c>
      <c r="G9921" s="40" t="s">
        <v>11404</v>
      </c>
      <c r="H9921" s="40" t="s">
        <v>11404</v>
      </c>
    </row>
    <row r="9922">
      <c r="A9922" s="39"/>
      <c r="E9922" s="40" t="s">
        <v>11404</v>
      </c>
      <c r="F9922" s="40" t="s">
        <v>11404</v>
      </c>
      <c r="G9922" s="40" t="s">
        <v>11404</v>
      </c>
      <c r="H9922" s="40" t="s">
        <v>11404</v>
      </c>
    </row>
    <row r="9923">
      <c r="A9923" s="39"/>
      <c r="E9923" s="40" t="s">
        <v>11404</v>
      </c>
      <c r="F9923" s="40" t="s">
        <v>11404</v>
      </c>
      <c r="G9923" s="40" t="s">
        <v>11404</v>
      </c>
      <c r="H9923" s="40" t="s">
        <v>11404</v>
      </c>
    </row>
    <row r="9924">
      <c r="A9924" s="39"/>
      <c r="E9924" s="40" t="s">
        <v>11404</v>
      </c>
      <c r="F9924" s="40" t="s">
        <v>11404</v>
      </c>
      <c r="G9924" s="40" t="s">
        <v>11404</v>
      </c>
      <c r="H9924" s="40" t="s">
        <v>11404</v>
      </c>
    </row>
    <row r="9925">
      <c r="A9925" s="39"/>
      <c r="E9925" s="40" t="s">
        <v>11404</v>
      </c>
      <c r="F9925" s="40" t="s">
        <v>11404</v>
      </c>
      <c r="G9925" s="40" t="s">
        <v>11404</v>
      </c>
      <c r="H9925" s="40" t="s">
        <v>11404</v>
      </c>
    </row>
    <row r="9926">
      <c r="A9926" s="39"/>
      <c r="E9926" s="40" t="s">
        <v>11404</v>
      </c>
      <c r="F9926" s="40" t="s">
        <v>11404</v>
      </c>
      <c r="G9926" s="40" t="s">
        <v>11404</v>
      </c>
      <c r="H9926" s="40" t="s">
        <v>11404</v>
      </c>
    </row>
    <row r="9927">
      <c r="A9927" s="39"/>
      <c r="E9927" s="40" t="s">
        <v>11404</v>
      </c>
      <c r="F9927" s="40" t="s">
        <v>11404</v>
      </c>
      <c r="G9927" s="40" t="s">
        <v>11404</v>
      </c>
      <c r="H9927" s="40" t="s">
        <v>11404</v>
      </c>
    </row>
    <row r="9928">
      <c r="A9928" s="39"/>
      <c r="E9928" s="40" t="s">
        <v>11404</v>
      </c>
      <c r="F9928" s="40" t="s">
        <v>11404</v>
      </c>
      <c r="G9928" s="40" t="s">
        <v>11404</v>
      </c>
      <c r="H9928" s="40" t="s">
        <v>11404</v>
      </c>
    </row>
    <row r="9929">
      <c r="A9929" s="39"/>
      <c r="E9929" s="40" t="s">
        <v>11404</v>
      </c>
      <c r="F9929" s="40" t="s">
        <v>11404</v>
      </c>
      <c r="G9929" s="40" t="s">
        <v>11404</v>
      </c>
      <c r="H9929" s="40" t="s">
        <v>11404</v>
      </c>
    </row>
    <row r="9930">
      <c r="A9930" s="39"/>
      <c r="E9930" s="40" t="s">
        <v>11404</v>
      </c>
      <c r="F9930" s="40" t="s">
        <v>11404</v>
      </c>
      <c r="G9930" s="40" t="s">
        <v>11404</v>
      </c>
      <c r="H9930" s="40" t="s">
        <v>11404</v>
      </c>
    </row>
    <row r="9931">
      <c r="A9931" s="39"/>
      <c r="E9931" s="40" t="s">
        <v>11404</v>
      </c>
      <c r="F9931" s="40" t="s">
        <v>11404</v>
      </c>
      <c r="G9931" s="40" t="s">
        <v>11404</v>
      </c>
      <c r="H9931" s="40" t="s">
        <v>11404</v>
      </c>
    </row>
    <row r="9932">
      <c r="A9932" s="39"/>
      <c r="E9932" s="40" t="s">
        <v>11404</v>
      </c>
      <c r="F9932" s="40" t="s">
        <v>11404</v>
      </c>
      <c r="G9932" s="40" t="s">
        <v>11404</v>
      </c>
      <c r="H9932" s="40" t="s">
        <v>11404</v>
      </c>
    </row>
    <row r="9933">
      <c r="A9933" s="39"/>
      <c r="E9933" s="40" t="s">
        <v>11404</v>
      </c>
      <c r="F9933" s="40" t="s">
        <v>11404</v>
      </c>
      <c r="G9933" s="40" t="s">
        <v>11404</v>
      </c>
      <c r="H9933" s="40" t="s">
        <v>11404</v>
      </c>
    </row>
    <row r="9934">
      <c r="A9934" s="39"/>
      <c r="E9934" s="40" t="s">
        <v>11404</v>
      </c>
      <c r="F9934" s="40" t="s">
        <v>11404</v>
      </c>
      <c r="G9934" s="40" t="s">
        <v>11404</v>
      </c>
      <c r="H9934" s="40" t="s">
        <v>11404</v>
      </c>
    </row>
    <row r="9935">
      <c r="A9935" s="39"/>
      <c r="E9935" s="40" t="s">
        <v>11404</v>
      </c>
      <c r="F9935" s="40" t="s">
        <v>11404</v>
      </c>
      <c r="G9935" s="40" t="s">
        <v>11404</v>
      </c>
      <c r="H9935" s="40" t="s">
        <v>11404</v>
      </c>
    </row>
    <row r="9936">
      <c r="A9936" s="39"/>
      <c r="E9936" s="40" t="s">
        <v>11404</v>
      </c>
      <c r="F9936" s="40" t="s">
        <v>11404</v>
      </c>
      <c r="G9936" s="40" t="s">
        <v>11404</v>
      </c>
      <c r="H9936" s="40" t="s">
        <v>11404</v>
      </c>
    </row>
    <row r="9937">
      <c r="A9937" s="39"/>
      <c r="E9937" s="40" t="s">
        <v>11404</v>
      </c>
      <c r="F9937" s="40" t="s">
        <v>11404</v>
      </c>
      <c r="G9937" s="40" t="s">
        <v>11404</v>
      </c>
      <c r="H9937" s="40" t="s">
        <v>11404</v>
      </c>
    </row>
    <row r="9938">
      <c r="A9938" s="39"/>
      <c r="E9938" s="40" t="s">
        <v>11404</v>
      </c>
      <c r="F9938" s="40" t="s">
        <v>11404</v>
      </c>
      <c r="G9938" s="40" t="s">
        <v>11404</v>
      </c>
      <c r="H9938" s="40" t="s">
        <v>11404</v>
      </c>
    </row>
    <row r="9939">
      <c r="A9939" s="39"/>
      <c r="E9939" s="40" t="s">
        <v>11404</v>
      </c>
      <c r="F9939" s="40" t="s">
        <v>11404</v>
      </c>
      <c r="G9939" s="40" t="s">
        <v>11404</v>
      </c>
      <c r="H9939" s="40" t="s">
        <v>11404</v>
      </c>
    </row>
    <row r="9940">
      <c r="A9940" s="39"/>
      <c r="E9940" s="40" t="s">
        <v>11404</v>
      </c>
      <c r="F9940" s="40" t="s">
        <v>11404</v>
      </c>
      <c r="G9940" s="40" t="s">
        <v>11404</v>
      </c>
      <c r="H9940" s="40" t="s">
        <v>11404</v>
      </c>
    </row>
    <row r="9941">
      <c r="A9941" s="39"/>
      <c r="E9941" s="40" t="s">
        <v>11404</v>
      </c>
      <c r="F9941" s="40" t="s">
        <v>11404</v>
      </c>
      <c r="G9941" s="40" t="s">
        <v>11404</v>
      </c>
      <c r="H9941" s="40" t="s">
        <v>11404</v>
      </c>
    </row>
    <row r="9942">
      <c r="A9942" s="39"/>
      <c r="E9942" s="40" t="s">
        <v>11404</v>
      </c>
      <c r="F9942" s="40" t="s">
        <v>11404</v>
      </c>
      <c r="G9942" s="40" t="s">
        <v>11404</v>
      </c>
      <c r="H9942" s="40" t="s">
        <v>11404</v>
      </c>
    </row>
    <row r="9943">
      <c r="A9943" s="39"/>
      <c r="E9943" s="40" t="s">
        <v>11404</v>
      </c>
      <c r="F9943" s="40" t="s">
        <v>11404</v>
      </c>
      <c r="G9943" s="40" t="s">
        <v>11404</v>
      </c>
      <c r="H9943" s="40" t="s">
        <v>11404</v>
      </c>
    </row>
    <row r="9944">
      <c r="A9944" s="39"/>
      <c r="E9944" s="40" t="s">
        <v>11404</v>
      </c>
      <c r="F9944" s="40" t="s">
        <v>11404</v>
      </c>
      <c r="G9944" s="40" t="s">
        <v>11404</v>
      </c>
      <c r="H9944" s="40" t="s">
        <v>11404</v>
      </c>
    </row>
    <row r="9945">
      <c r="A9945" s="39"/>
      <c r="E9945" s="40" t="s">
        <v>11404</v>
      </c>
      <c r="F9945" s="40" t="s">
        <v>11404</v>
      </c>
      <c r="G9945" s="40" t="s">
        <v>11404</v>
      </c>
      <c r="H9945" s="40" t="s">
        <v>11404</v>
      </c>
    </row>
    <row r="9946">
      <c r="A9946" s="39"/>
      <c r="E9946" s="40" t="s">
        <v>11404</v>
      </c>
      <c r="F9946" s="40" t="s">
        <v>11404</v>
      </c>
      <c r="G9946" s="40" t="s">
        <v>11404</v>
      </c>
      <c r="H9946" s="40" t="s">
        <v>11404</v>
      </c>
    </row>
    <row r="9947">
      <c r="A9947" s="39"/>
      <c r="E9947" s="40" t="s">
        <v>11404</v>
      </c>
      <c r="F9947" s="40" t="s">
        <v>11404</v>
      </c>
      <c r="G9947" s="40" t="s">
        <v>11404</v>
      </c>
      <c r="H9947" s="40" t="s">
        <v>11404</v>
      </c>
    </row>
    <row r="9948">
      <c r="A9948" s="39"/>
      <c r="E9948" s="40" t="s">
        <v>11404</v>
      </c>
      <c r="F9948" s="40" t="s">
        <v>11404</v>
      </c>
      <c r="G9948" s="40" t="s">
        <v>11404</v>
      </c>
      <c r="H9948" s="40" t="s">
        <v>11404</v>
      </c>
    </row>
    <row r="9949">
      <c r="A9949" s="39"/>
      <c r="E9949" s="40" t="s">
        <v>11404</v>
      </c>
      <c r="F9949" s="40" t="s">
        <v>11404</v>
      </c>
      <c r="G9949" s="40" t="s">
        <v>11404</v>
      </c>
      <c r="H9949" s="40" t="s">
        <v>11404</v>
      </c>
    </row>
    <row r="9950">
      <c r="A9950" s="39"/>
      <c r="E9950" s="40" t="s">
        <v>11404</v>
      </c>
      <c r="F9950" s="40" t="s">
        <v>11404</v>
      </c>
      <c r="G9950" s="40" t="s">
        <v>11404</v>
      </c>
      <c r="H9950" s="40" t="s">
        <v>11404</v>
      </c>
    </row>
    <row r="9951">
      <c r="A9951" s="39"/>
      <c r="E9951" s="40" t="s">
        <v>11404</v>
      </c>
      <c r="F9951" s="40" t="s">
        <v>11404</v>
      </c>
      <c r="G9951" s="40" t="s">
        <v>11404</v>
      </c>
      <c r="H9951" s="40" t="s">
        <v>11404</v>
      </c>
    </row>
    <row r="9952">
      <c r="A9952" s="39"/>
      <c r="E9952" s="40" t="s">
        <v>11404</v>
      </c>
      <c r="F9952" s="40" t="s">
        <v>11404</v>
      </c>
      <c r="G9952" s="40" t="s">
        <v>11404</v>
      </c>
      <c r="H9952" s="40" t="s">
        <v>11404</v>
      </c>
    </row>
    <row r="9953">
      <c r="A9953" s="39"/>
      <c r="E9953" s="40" t="s">
        <v>11404</v>
      </c>
      <c r="F9953" s="40" t="s">
        <v>11404</v>
      </c>
      <c r="G9953" s="40" t="s">
        <v>11404</v>
      </c>
      <c r="H9953" s="40" t="s">
        <v>11404</v>
      </c>
    </row>
    <row r="9954">
      <c r="A9954" s="39"/>
      <c r="E9954" s="40" t="s">
        <v>11404</v>
      </c>
      <c r="F9954" s="40" t="s">
        <v>11404</v>
      </c>
      <c r="G9954" s="40" t="s">
        <v>11404</v>
      </c>
      <c r="H9954" s="40" t="s">
        <v>11404</v>
      </c>
    </row>
    <row r="9955">
      <c r="A9955" s="39"/>
      <c r="E9955" s="40" t="s">
        <v>11404</v>
      </c>
      <c r="F9955" s="40" t="s">
        <v>11404</v>
      </c>
      <c r="G9955" s="40" t="s">
        <v>11404</v>
      </c>
      <c r="H9955" s="40" t="s">
        <v>11404</v>
      </c>
    </row>
    <row r="9956">
      <c r="A9956" s="39"/>
      <c r="E9956" s="40" t="s">
        <v>11404</v>
      </c>
      <c r="F9956" s="40" t="s">
        <v>11404</v>
      </c>
      <c r="G9956" s="40" t="s">
        <v>11404</v>
      </c>
      <c r="H9956" s="40" t="s">
        <v>11404</v>
      </c>
    </row>
    <row r="9957">
      <c r="A9957" s="39"/>
      <c r="E9957" s="40" t="s">
        <v>11404</v>
      </c>
      <c r="F9957" s="40" t="s">
        <v>11404</v>
      </c>
      <c r="G9957" s="40" t="s">
        <v>11404</v>
      </c>
      <c r="H9957" s="40" t="s">
        <v>11404</v>
      </c>
    </row>
    <row r="9958">
      <c r="A9958" s="39"/>
      <c r="E9958" s="40" t="s">
        <v>11404</v>
      </c>
      <c r="F9958" s="40" t="s">
        <v>11404</v>
      </c>
      <c r="G9958" s="40" t="s">
        <v>11404</v>
      </c>
      <c r="H9958" s="40" t="s">
        <v>11404</v>
      </c>
    </row>
    <row r="9959">
      <c r="A9959" s="39"/>
      <c r="E9959" s="40" t="s">
        <v>11404</v>
      </c>
      <c r="F9959" s="40" t="s">
        <v>11404</v>
      </c>
      <c r="G9959" s="40" t="s">
        <v>11404</v>
      </c>
      <c r="H9959" s="40" t="s">
        <v>11404</v>
      </c>
    </row>
    <row r="9960">
      <c r="A9960" s="39"/>
      <c r="E9960" s="40" t="s">
        <v>11404</v>
      </c>
      <c r="F9960" s="40" t="s">
        <v>11404</v>
      </c>
      <c r="G9960" s="40" t="s">
        <v>11404</v>
      </c>
      <c r="H9960" s="40" t="s">
        <v>11404</v>
      </c>
    </row>
    <row r="9961">
      <c r="A9961" s="39"/>
      <c r="E9961" s="40" t="s">
        <v>11404</v>
      </c>
      <c r="F9961" s="40" t="s">
        <v>11404</v>
      </c>
      <c r="G9961" s="40" t="s">
        <v>11404</v>
      </c>
      <c r="H9961" s="40" t="s">
        <v>11404</v>
      </c>
    </row>
    <row r="9962">
      <c r="A9962" s="39"/>
      <c r="E9962" s="40" t="s">
        <v>11404</v>
      </c>
      <c r="F9962" s="40" t="s">
        <v>11404</v>
      </c>
      <c r="G9962" s="40" t="s">
        <v>11404</v>
      </c>
      <c r="H9962" s="40" t="s">
        <v>11404</v>
      </c>
    </row>
    <row r="9963">
      <c r="A9963" s="39"/>
      <c r="E9963" s="40" t="s">
        <v>11404</v>
      </c>
      <c r="F9963" s="40" t="s">
        <v>11404</v>
      </c>
      <c r="G9963" s="40" t="s">
        <v>11404</v>
      </c>
      <c r="H9963" s="40" t="s">
        <v>11404</v>
      </c>
    </row>
    <row r="9964">
      <c r="A9964" s="39"/>
      <c r="E9964" s="40" t="s">
        <v>11404</v>
      </c>
      <c r="F9964" s="40" t="s">
        <v>11404</v>
      </c>
      <c r="G9964" s="40" t="s">
        <v>11404</v>
      </c>
      <c r="H9964" s="40" t="s">
        <v>11404</v>
      </c>
    </row>
    <row r="9965">
      <c r="A9965" s="39"/>
      <c r="E9965" s="40" t="s">
        <v>11404</v>
      </c>
      <c r="F9965" s="40" t="s">
        <v>11404</v>
      </c>
      <c r="G9965" s="40" t="s">
        <v>11404</v>
      </c>
      <c r="H9965" s="40" t="s">
        <v>11404</v>
      </c>
    </row>
    <row r="9966">
      <c r="A9966" s="39"/>
      <c r="E9966" s="40" t="s">
        <v>11404</v>
      </c>
      <c r="F9966" s="40" t="s">
        <v>11404</v>
      </c>
      <c r="G9966" s="40" t="s">
        <v>11404</v>
      </c>
      <c r="H9966" s="40" t="s">
        <v>11404</v>
      </c>
    </row>
    <row r="9967">
      <c r="A9967" s="39"/>
      <c r="E9967" s="40" t="s">
        <v>11404</v>
      </c>
      <c r="F9967" s="40" t="s">
        <v>11404</v>
      </c>
      <c r="G9967" s="40" t="s">
        <v>11404</v>
      </c>
      <c r="H9967" s="40" t="s">
        <v>11404</v>
      </c>
    </row>
    <row r="9968">
      <c r="A9968" s="39"/>
      <c r="E9968" s="40" t="s">
        <v>11404</v>
      </c>
      <c r="F9968" s="40" t="s">
        <v>11404</v>
      </c>
      <c r="G9968" s="40" t="s">
        <v>11404</v>
      </c>
      <c r="H9968" s="40" t="s">
        <v>11404</v>
      </c>
    </row>
    <row r="9969">
      <c r="A9969" s="39"/>
      <c r="E9969" s="40" t="s">
        <v>11404</v>
      </c>
      <c r="F9969" s="40" t="s">
        <v>11404</v>
      </c>
      <c r="G9969" s="40" t="s">
        <v>11404</v>
      </c>
      <c r="H9969" s="40" t="s">
        <v>11404</v>
      </c>
    </row>
    <row r="9970">
      <c r="A9970" s="39"/>
      <c r="E9970" s="40" t="s">
        <v>11404</v>
      </c>
      <c r="F9970" s="40" t="s">
        <v>11404</v>
      </c>
      <c r="G9970" s="40" t="s">
        <v>11404</v>
      </c>
      <c r="H9970" s="40" t="s">
        <v>11404</v>
      </c>
    </row>
    <row r="9971">
      <c r="A9971" s="39"/>
      <c r="E9971" s="40" t="s">
        <v>11404</v>
      </c>
      <c r="F9971" s="40" t="s">
        <v>11404</v>
      </c>
      <c r="G9971" s="40" t="s">
        <v>11404</v>
      </c>
      <c r="H9971" s="40" t="s">
        <v>11404</v>
      </c>
    </row>
    <row r="9972">
      <c r="A9972" s="39"/>
      <c r="E9972" s="40" t="s">
        <v>11404</v>
      </c>
      <c r="F9972" s="40" t="s">
        <v>11404</v>
      </c>
      <c r="G9972" s="40" t="s">
        <v>11404</v>
      </c>
      <c r="H9972" s="40" t="s">
        <v>11404</v>
      </c>
    </row>
    <row r="9973">
      <c r="A9973" s="39"/>
      <c r="E9973" s="40" t="s">
        <v>11404</v>
      </c>
      <c r="F9973" s="40" t="s">
        <v>11404</v>
      </c>
      <c r="G9973" s="40" t="s">
        <v>11404</v>
      </c>
      <c r="H9973" s="40" t="s">
        <v>11404</v>
      </c>
    </row>
    <row r="9974">
      <c r="A9974" s="39"/>
      <c r="E9974" s="40" t="s">
        <v>11404</v>
      </c>
      <c r="F9974" s="40" t="s">
        <v>11404</v>
      </c>
      <c r="G9974" s="40" t="s">
        <v>11404</v>
      </c>
      <c r="H9974" s="40" t="s">
        <v>11404</v>
      </c>
    </row>
    <row r="9975">
      <c r="A9975" s="39"/>
      <c r="E9975" s="40" t="s">
        <v>11404</v>
      </c>
      <c r="F9975" s="40" t="s">
        <v>11404</v>
      </c>
      <c r="G9975" s="40" t="s">
        <v>11404</v>
      </c>
      <c r="H9975" s="40" t="s">
        <v>11404</v>
      </c>
    </row>
    <row r="9976">
      <c r="A9976" s="39"/>
      <c r="E9976" s="40" t="s">
        <v>11404</v>
      </c>
      <c r="F9976" s="40" t="s">
        <v>11404</v>
      </c>
      <c r="G9976" s="40" t="s">
        <v>11404</v>
      </c>
      <c r="H9976" s="40" t="s">
        <v>11404</v>
      </c>
    </row>
    <row r="9977">
      <c r="A9977" s="39"/>
      <c r="E9977" s="40" t="s">
        <v>11404</v>
      </c>
      <c r="F9977" s="40" t="s">
        <v>11404</v>
      </c>
      <c r="G9977" s="40" t="s">
        <v>11404</v>
      </c>
      <c r="H9977" s="40" t="s">
        <v>11404</v>
      </c>
    </row>
    <row r="9978">
      <c r="A9978" s="39"/>
      <c r="E9978" s="40" t="s">
        <v>11404</v>
      </c>
      <c r="F9978" s="40" t="s">
        <v>11404</v>
      </c>
      <c r="G9978" s="40" t="s">
        <v>11404</v>
      </c>
      <c r="H9978" s="40" t="s">
        <v>11404</v>
      </c>
    </row>
    <row r="9979">
      <c r="A9979" s="39"/>
      <c r="E9979" s="40" t="s">
        <v>11404</v>
      </c>
      <c r="F9979" s="40" t="s">
        <v>11404</v>
      </c>
      <c r="G9979" s="40" t="s">
        <v>11404</v>
      </c>
      <c r="H9979" s="40" t="s">
        <v>11404</v>
      </c>
    </row>
    <row r="9980">
      <c r="A9980" s="39"/>
      <c r="E9980" s="40" t="s">
        <v>11404</v>
      </c>
      <c r="F9980" s="40" t="s">
        <v>11404</v>
      </c>
      <c r="G9980" s="40" t="s">
        <v>11404</v>
      </c>
      <c r="H9980" s="40" t="s">
        <v>11404</v>
      </c>
    </row>
    <row r="9981">
      <c r="A9981" s="39"/>
      <c r="E9981" s="40" t="s">
        <v>11404</v>
      </c>
      <c r="F9981" s="40" t="s">
        <v>11404</v>
      </c>
      <c r="G9981" s="40" t="s">
        <v>11404</v>
      </c>
      <c r="H9981" s="40" t="s">
        <v>11404</v>
      </c>
    </row>
    <row r="9982">
      <c r="A9982" s="39"/>
      <c r="E9982" s="40" t="s">
        <v>11404</v>
      </c>
      <c r="F9982" s="40" t="s">
        <v>11404</v>
      </c>
      <c r="G9982" s="40" t="s">
        <v>11404</v>
      </c>
      <c r="H9982" s="40" t="s">
        <v>11404</v>
      </c>
    </row>
    <row r="9983">
      <c r="A9983" s="39"/>
      <c r="E9983" s="40" t="s">
        <v>11404</v>
      </c>
      <c r="F9983" s="40" t="s">
        <v>11404</v>
      </c>
      <c r="G9983" s="40" t="s">
        <v>11404</v>
      </c>
      <c r="H9983" s="40" t="s">
        <v>11404</v>
      </c>
    </row>
    <row r="9984">
      <c r="A9984" s="39"/>
      <c r="E9984" s="40" t="s">
        <v>11404</v>
      </c>
      <c r="F9984" s="40" t="s">
        <v>11404</v>
      </c>
      <c r="G9984" s="40" t="s">
        <v>11404</v>
      </c>
      <c r="H9984" s="40" t="s">
        <v>11404</v>
      </c>
    </row>
    <row r="9985">
      <c r="A9985" s="39"/>
      <c r="E9985" s="40" t="s">
        <v>11404</v>
      </c>
      <c r="F9985" s="40" t="s">
        <v>11404</v>
      </c>
      <c r="G9985" s="40" t="s">
        <v>11404</v>
      </c>
      <c r="H9985" s="40" t="s">
        <v>11404</v>
      </c>
    </row>
    <row r="9986">
      <c r="A9986" s="39"/>
      <c r="E9986" s="40" t="s">
        <v>11404</v>
      </c>
      <c r="F9986" s="40" t="s">
        <v>11404</v>
      </c>
      <c r="G9986" s="40" t="s">
        <v>11404</v>
      </c>
      <c r="H9986" s="40" t="s">
        <v>11404</v>
      </c>
    </row>
    <row r="9987">
      <c r="A9987" s="39"/>
      <c r="E9987" s="40" t="s">
        <v>11404</v>
      </c>
      <c r="F9987" s="40" t="s">
        <v>11404</v>
      </c>
      <c r="G9987" s="40" t="s">
        <v>11404</v>
      </c>
      <c r="H9987" s="40" t="s">
        <v>11404</v>
      </c>
    </row>
    <row r="9988">
      <c r="A9988" s="39"/>
      <c r="E9988" s="40" t="s">
        <v>11404</v>
      </c>
      <c r="F9988" s="40" t="s">
        <v>11404</v>
      </c>
      <c r="G9988" s="40" t="s">
        <v>11404</v>
      </c>
      <c r="H9988" s="40" t="s">
        <v>11404</v>
      </c>
    </row>
    <row r="9989">
      <c r="A9989" s="39"/>
      <c r="E9989" s="40" t="s">
        <v>11404</v>
      </c>
      <c r="F9989" s="40" t="s">
        <v>11404</v>
      </c>
      <c r="G9989" s="40" t="s">
        <v>11404</v>
      </c>
      <c r="H9989" s="40" t="s">
        <v>11404</v>
      </c>
    </row>
    <row r="9990">
      <c r="A9990" s="39"/>
      <c r="E9990" s="40" t="s">
        <v>11404</v>
      </c>
      <c r="F9990" s="40" t="s">
        <v>11404</v>
      </c>
      <c r="G9990" s="40" t="s">
        <v>11404</v>
      </c>
      <c r="H9990" s="40" t="s">
        <v>11404</v>
      </c>
    </row>
    <row r="9991">
      <c r="A9991" s="39"/>
      <c r="E9991" s="40" t="s">
        <v>11404</v>
      </c>
      <c r="F9991" s="40" t="s">
        <v>11404</v>
      </c>
      <c r="G9991" s="40" t="s">
        <v>11404</v>
      </c>
      <c r="H9991" s="40" t="s">
        <v>11404</v>
      </c>
    </row>
    <row r="9992">
      <c r="A9992" s="39"/>
      <c r="E9992" s="40" t="s">
        <v>11404</v>
      </c>
      <c r="F9992" s="40" t="s">
        <v>11404</v>
      </c>
      <c r="G9992" s="40" t="s">
        <v>11404</v>
      </c>
      <c r="H9992" s="40" t="s">
        <v>11404</v>
      </c>
    </row>
    <row r="9993">
      <c r="A9993" s="39"/>
      <c r="E9993" s="40" t="s">
        <v>11404</v>
      </c>
      <c r="F9993" s="40" t="s">
        <v>11404</v>
      </c>
      <c r="G9993" s="40" t="s">
        <v>11404</v>
      </c>
      <c r="H9993" s="40" t="s">
        <v>11404</v>
      </c>
    </row>
    <row r="9994">
      <c r="A9994" s="39"/>
      <c r="E9994" s="40" t="s">
        <v>11404</v>
      </c>
      <c r="F9994" s="40" t="s">
        <v>11404</v>
      </c>
      <c r="G9994" s="40" t="s">
        <v>11404</v>
      </c>
      <c r="H9994" s="40" t="s">
        <v>11404</v>
      </c>
    </row>
    <row r="9995">
      <c r="A9995" s="39"/>
      <c r="E9995" s="40" t="s">
        <v>11404</v>
      </c>
      <c r="F9995" s="40" t="s">
        <v>11404</v>
      </c>
      <c r="G9995" s="40" t="s">
        <v>11404</v>
      </c>
      <c r="H9995" s="40" t="s">
        <v>11404</v>
      </c>
    </row>
    <row r="9996">
      <c r="A9996" s="39"/>
      <c r="E9996" s="40" t="s">
        <v>11404</v>
      </c>
      <c r="F9996" s="40" t="s">
        <v>11404</v>
      </c>
      <c r="G9996" s="40" t="s">
        <v>11404</v>
      </c>
      <c r="H9996" s="40" t="s">
        <v>11404</v>
      </c>
    </row>
    <row r="9997">
      <c r="A9997" s="39"/>
      <c r="E9997" s="40" t="s">
        <v>11404</v>
      </c>
      <c r="F9997" s="40" t="s">
        <v>11404</v>
      </c>
      <c r="G9997" s="40" t="s">
        <v>11404</v>
      </c>
      <c r="H9997" s="40" t="s">
        <v>11404</v>
      </c>
    </row>
    <row r="9998">
      <c r="A9998" s="39"/>
      <c r="E9998" s="40" t="s">
        <v>11404</v>
      </c>
      <c r="F9998" s="40" t="s">
        <v>11404</v>
      </c>
      <c r="G9998" s="40" t="s">
        <v>11404</v>
      </c>
      <c r="H9998" s="40" t="s">
        <v>11404</v>
      </c>
    </row>
    <row r="9999">
      <c r="A9999" s="39"/>
      <c r="E9999" s="40" t="s">
        <v>11404</v>
      </c>
      <c r="F9999" s="40" t="s">
        <v>11404</v>
      </c>
      <c r="G9999" s="40" t="s">
        <v>11404</v>
      </c>
      <c r="H9999" s="40" t="s">
        <v>11404</v>
      </c>
    </row>
    <row r="10000">
      <c r="A10000" s="39"/>
      <c r="E10000" s="40" t="s">
        <v>11404</v>
      </c>
      <c r="F10000" s="40" t="s">
        <v>11404</v>
      </c>
      <c r="G10000" s="40" t="s">
        <v>11404</v>
      </c>
      <c r="H10000" s="40" t="s">
        <v>11404</v>
      </c>
    </row>
    <row r="10001">
      <c r="A10001" s="39"/>
      <c r="E10001" s="40" t="s">
        <v>11404</v>
      </c>
      <c r="F10001" s="40" t="s">
        <v>11404</v>
      </c>
      <c r="G10001" s="40" t="s">
        <v>11404</v>
      </c>
      <c r="H10001" s="40" t="s">
        <v>11404</v>
      </c>
    </row>
    <row r="10002">
      <c r="A10002" s="39"/>
      <c r="E10002" s="40" t="s">
        <v>11404</v>
      </c>
      <c r="F10002" s="40" t="s">
        <v>11404</v>
      </c>
      <c r="G10002" s="40" t="s">
        <v>11404</v>
      </c>
      <c r="H10002" s="40" t="s">
        <v>11404</v>
      </c>
    </row>
    <row r="10003">
      <c r="A10003" s="39"/>
      <c r="E10003" s="40" t="s">
        <v>11404</v>
      </c>
      <c r="F10003" s="40" t="s">
        <v>11404</v>
      </c>
      <c r="G10003" s="40" t="s">
        <v>11404</v>
      </c>
      <c r="H10003" s="40" t="s">
        <v>11404</v>
      </c>
    </row>
    <row r="10004">
      <c r="A10004" s="39"/>
      <c r="E10004" s="40" t="s">
        <v>11404</v>
      </c>
      <c r="F10004" s="40" t="s">
        <v>11404</v>
      </c>
      <c r="G10004" s="40" t="s">
        <v>11404</v>
      </c>
      <c r="H10004" s="40" t="s">
        <v>11404</v>
      </c>
    </row>
    <row r="10005">
      <c r="A10005" s="39"/>
      <c r="E10005" s="40" t="s">
        <v>11404</v>
      </c>
      <c r="F10005" s="40" t="s">
        <v>11404</v>
      </c>
      <c r="G10005" s="40" t="s">
        <v>11404</v>
      </c>
      <c r="H10005" s="40" t="s">
        <v>11404</v>
      </c>
    </row>
    <row r="10006">
      <c r="A10006" s="39"/>
      <c r="E10006" s="40" t="s">
        <v>11404</v>
      </c>
      <c r="F10006" s="40" t="s">
        <v>11404</v>
      </c>
      <c r="G10006" s="40" t="s">
        <v>11404</v>
      </c>
      <c r="H10006" s="40" t="s">
        <v>11404</v>
      </c>
    </row>
    <row r="10007">
      <c r="A10007" s="39"/>
      <c r="E10007" s="40" t="s">
        <v>11404</v>
      </c>
      <c r="F10007" s="40" t="s">
        <v>11404</v>
      </c>
      <c r="G10007" s="40" t="s">
        <v>11404</v>
      </c>
      <c r="H10007" s="40" t="s">
        <v>11404</v>
      </c>
    </row>
    <row r="10008">
      <c r="A10008" s="39"/>
      <c r="E10008" s="40" t="s">
        <v>11404</v>
      </c>
      <c r="F10008" s="40" t="s">
        <v>11404</v>
      </c>
      <c r="G10008" s="40" t="s">
        <v>11404</v>
      </c>
      <c r="H10008" s="40" t="s">
        <v>11404</v>
      </c>
    </row>
    <row r="10009">
      <c r="A10009" s="39"/>
      <c r="E10009" s="40" t="s">
        <v>11404</v>
      </c>
      <c r="F10009" s="40" t="s">
        <v>11404</v>
      </c>
      <c r="G10009" s="40" t="s">
        <v>11404</v>
      </c>
      <c r="H10009" s="40" t="s">
        <v>11404</v>
      </c>
    </row>
    <row r="10010">
      <c r="A10010" s="39"/>
      <c r="E10010" s="40" t="s">
        <v>11404</v>
      </c>
      <c r="F10010" s="40" t="s">
        <v>11404</v>
      </c>
      <c r="G10010" s="40" t="s">
        <v>11404</v>
      </c>
      <c r="H10010" s="40" t="s">
        <v>11404</v>
      </c>
    </row>
    <row r="10011">
      <c r="A10011" s="39"/>
      <c r="E10011" s="40" t="s">
        <v>11404</v>
      </c>
      <c r="F10011" s="40" t="s">
        <v>11404</v>
      </c>
      <c r="G10011" s="40" t="s">
        <v>11404</v>
      </c>
      <c r="H10011" s="40" t="s">
        <v>11404</v>
      </c>
    </row>
    <row r="10012">
      <c r="A10012" s="39"/>
      <c r="E10012" s="40" t="s">
        <v>11404</v>
      </c>
      <c r="F10012" s="40" t="s">
        <v>11404</v>
      </c>
      <c r="G10012" s="40" t="s">
        <v>11404</v>
      </c>
      <c r="H10012" s="40" t="s">
        <v>11404</v>
      </c>
    </row>
    <row r="10013">
      <c r="A10013" s="39"/>
      <c r="E10013" s="40" t="s">
        <v>11404</v>
      </c>
      <c r="F10013" s="40" t="s">
        <v>11404</v>
      </c>
      <c r="G10013" s="40" t="s">
        <v>11404</v>
      </c>
      <c r="H10013" s="40" t="s">
        <v>11404</v>
      </c>
    </row>
    <row r="10014">
      <c r="A10014" s="39"/>
      <c r="E10014" s="40" t="s">
        <v>11404</v>
      </c>
      <c r="F10014" s="40" t="s">
        <v>11404</v>
      </c>
      <c r="G10014" s="40" t="s">
        <v>11404</v>
      </c>
      <c r="H10014" s="40" t="s">
        <v>11404</v>
      </c>
    </row>
    <row r="10015">
      <c r="A10015" s="39"/>
      <c r="E10015" s="40" t="s">
        <v>11404</v>
      </c>
      <c r="F10015" s="40" t="s">
        <v>11404</v>
      </c>
      <c r="G10015" s="40" t="s">
        <v>11404</v>
      </c>
      <c r="H10015" s="40" t="s">
        <v>11404</v>
      </c>
    </row>
    <row r="10016">
      <c r="A10016" s="39"/>
      <c r="E10016" s="40" t="s">
        <v>11404</v>
      </c>
      <c r="F10016" s="40" t="s">
        <v>11404</v>
      </c>
      <c r="G10016" s="40" t="s">
        <v>11404</v>
      </c>
      <c r="H10016" s="40" t="s">
        <v>11404</v>
      </c>
    </row>
    <row r="10017">
      <c r="A10017" s="39"/>
      <c r="E10017" s="40" t="s">
        <v>11404</v>
      </c>
      <c r="F10017" s="40" t="s">
        <v>11404</v>
      </c>
      <c r="G10017" s="40" t="s">
        <v>11404</v>
      </c>
      <c r="H10017" s="40" t="s">
        <v>11404</v>
      </c>
    </row>
    <row r="10018">
      <c r="A10018" s="39"/>
      <c r="E10018" s="40" t="s">
        <v>11404</v>
      </c>
      <c r="F10018" s="40" t="s">
        <v>11404</v>
      </c>
      <c r="G10018" s="40" t="s">
        <v>11404</v>
      </c>
      <c r="H10018" s="40" t="s">
        <v>11404</v>
      </c>
    </row>
    <row r="10019">
      <c r="A10019" s="39"/>
      <c r="E10019" s="40" t="s">
        <v>11404</v>
      </c>
      <c r="F10019" s="40" t="s">
        <v>11404</v>
      </c>
      <c r="G10019" s="40" t="s">
        <v>11404</v>
      </c>
      <c r="H10019" s="40" t="s">
        <v>11404</v>
      </c>
    </row>
    <row r="10020">
      <c r="A10020" s="39"/>
      <c r="E10020" s="40" t="s">
        <v>11404</v>
      </c>
      <c r="F10020" s="40" t="s">
        <v>11404</v>
      </c>
      <c r="G10020" s="40" t="s">
        <v>11404</v>
      </c>
      <c r="H10020" s="40" t="s">
        <v>11404</v>
      </c>
    </row>
    <row r="10021">
      <c r="A10021" s="39"/>
      <c r="E10021" s="40" t="s">
        <v>11404</v>
      </c>
      <c r="F10021" s="40" t="s">
        <v>11404</v>
      </c>
      <c r="G10021" s="40" t="s">
        <v>11404</v>
      </c>
      <c r="H10021" s="40" t="s">
        <v>11404</v>
      </c>
    </row>
    <row r="10022">
      <c r="A10022" s="39"/>
      <c r="E10022" s="40" t="s">
        <v>11404</v>
      </c>
      <c r="F10022" s="40" t="s">
        <v>11404</v>
      </c>
      <c r="G10022" s="40" t="s">
        <v>11404</v>
      </c>
      <c r="H10022" s="40" t="s">
        <v>11404</v>
      </c>
    </row>
    <row r="10023">
      <c r="A10023" s="39"/>
      <c r="E10023" s="40" t="s">
        <v>11404</v>
      </c>
      <c r="F10023" s="40" t="s">
        <v>11404</v>
      </c>
      <c r="G10023" s="40" t="s">
        <v>11404</v>
      </c>
      <c r="H10023" s="40" t="s">
        <v>11404</v>
      </c>
    </row>
    <row r="10024">
      <c r="A10024" s="39"/>
      <c r="E10024" s="40" t="s">
        <v>11404</v>
      </c>
      <c r="F10024" s="40" t="s">
        <v>11404</v>
      </c>
      <c r="G10024" s="40" t="s">
        <v>11404</v>
      </c>
      <c r="H10024" s="40" t="s">
        <v>11404</v>
      </c>
    </row>
    <row r="10025">
      <c r="A10025" s="39"/>
      <c r="E10025" s="40" t="s">
        <v>11404</v>
      </c>
      <c r="F10025" s="40" t="s">
        <v>11404</v>
      </c>
      <c r="G10025" s="40" t="s">
        <v>11404</v>
      </c>
      <c r="H10025" s="40" t="s">
        <v>11404</v>
      </c>
    </row>
    <row r="10026">
      <c r="A10026" s="39"/>
      <c r="E10026" s="40" t="s">
        <v>11404</v>
      </c>
      <c r="F10026" s="40" t="s">
        <v>11404</v>
      </c>
      <c r="G10026" s="40" t="s">
        <v>11404</v>
      </c>
      <c r="H10026" s="40" t="s">
        <v>11404</v>
      </c>
    </row>
    <row r="10027">
      <c r="A10027" s="39"/>
      <c r="E10027" s="40" t="s">
        <v>11404</v>
      </c>
      <c r="F10027" s="40" t="s">
        <v>11404</v>
      </c>
      <c r="G10027" s="40" t="s">
        <v>11404</v>
      </c>
      <c r="H10027" s="40" t="s">
        <v>11404</v>
      </c>
    </row>
    <row r="10028">
      <c r="A10028" s="39"/>
      <c r="E10028" s="40" t="s">
        <v>11404</v>
      </c>
      <c r="F10028" s="40" t="s">
        <v>11404</v>
      </c>
      <c r="G10028" s="40" t="s">
        <v>11404</v>
      </c>
      <c r="H10028" s="40" t="s">
        <v>11404</v>
      </c>
    </row>
    <row r="10029">
      <c r="A10029" s="39"/>
      <c r="E10029" s="40" t="s">
        <v>11404</v>
      </c>
      <c r="F10029" s="40" t="s">
        <v>11404</v>
      </c>
      <c r="G10029" s="40" t="s">
        <v>11404</v>
      </c>
      <c r="H10029" s="40" t="s">
        <v>11404</v>
      </c>
    </row>
    <row r="10030">
      <c r="A10030" s="39"/>
      <c r="E10030" s="40" t="s">
        <v>11404</v>
      </c>
      <c r="F10030" s="40" t="s">
        <v>11404</v>
      </c>
      <c r="G10030" s="40" t="s">
        <v>11404</v>
      </c>
      <c r="H10030" s="40" t="s">
        <v>11404</v>
      </c>
    </row>
    <row r="10031">
      <c r="A10031" s="39"/>
      <c r="E10031" s="40" t="s">
        <v>11404</v>
      </c>
      <c r="F10031" s="40" t="s">
        <v>11404</v>
      </c>
      <c r="G10031" s="40" t="s">
        <v>11404</v>
      </c>
      <c r="H10031" s="40" t="s">
        <v>11404</v>
      </c>
    </row>
    <row r="10032">
      <c r="A10032" s="39"/>
      <c r="E10032" s="40" t="s">
        <v>11404</v>
      </c>
      <c r="F10032" s="40" t="s">
        <v>11404</v>
      </c>
      <c r="G10032" s="40" t="s">
        <v>11404</v>
      </c>
      <c r="H10032" s="40" t="s">
        <v>11404</v>
      </c>
    </row>
    <row r="10033">
      <c r="A10033" s="39"/>
      <c r="E10033" s="40" t="s">
        <v>11404</v>
      </c>
      <c r="F10033" s="40" t="s">
        <v>11404</v>
      </c>
      <c r="G10033" s="40" t="s">
        <v>11404</v>
      </c>
      <c r="H10033" s="40" t="s">
        <v>11404</v>
      </c>
    </row>
    <row r="10034">
      <c r="A10034" s="39"/>
      <c r="E10034" s="40" t="s">
        <v>11404</v>
      </c>
      <c r="F10034" s="40" t="s">
        <v>11404</v>
      </c>
      <c r="G10034" s="40" t="s">
        <v>11404</v>
      </c>
      <c r="H10034" s="40" t="s">
        <v>11404</v>
      </c>
    </row>
    <row r="10035">
      <c r="A10035" s="39"/>
      <c r="E10035" s="40" t="s">
        <v>11404</v>
      </c>
      <c r="F10035" s="40" t="s">
        <v>11404</v>
      </c>
      <c r="G10035" s="40" t="s">
        <v>11404</v>
      </c>
      <c r="H10035" s="40" t="s">
        <v>11404</v>
      </c>
    </row>
    <row r="10036">
      <c r="A10036" s="39"/>
      <c r="E10036" s="40" t="s">
        <v>11404</v>
      </c>
      <c r="F10036" s="40" t="s">
        <v>11404</v>
      </c>
      <c r="G10036" s="40" t="s">
        <v>11404</v>
      </c>
      <c r="H10036" s="40" t="s">
        <v>11404</v>
      </c>
    </row>
    <row r="10037">
      <c r="A10037" s="39"/>
      <c r="E10037" s="40" t="s">
        <v>11404</v>
      </c>
      <c r="F10037" s="40" t="s">
        <v>11404</v>
      </c>
      <c r="G10037" s="40" t="s">
        <v>11404</v>
      </c>
      <c r="H10037" s="40" t="s">
        <v>11404</v>
      </c>
    </row>
    <row r="10038">
      <c r="A10038" s="39"/>
      <c r="E10038" s="40" t="s">
        <v>11404</v>
      </c>
      <c r="F10038" s="40" t="s">
        <v>11404</v>
      </c>
      <c r="G10038" s="40" t="s">
        <v>11404</v>
      </c>
      <c r="H10038" s="40" t="s">
        <v>11404</v>
      </c>
    </row>
    <row r="10039">
      <c r="A10039" s="39"/>
      <c r="E10039" s="40" t="s">
        <v>11404</v>
      </c>
      <c r="F10039" s="40" t="s">
        <v>11404</v>
      </c>
      <c r="G10039" s="40" t="s">
        <v>11404</v>
      </c>
      <c r="H10039" s="40" t="s">
        <v>11404</v>
      </c>
    </row>
    <row r="10040">
      <c r="A10040" s="39"/>
      <c r="E10040" s="40" t="s">
        <v>11404</v>
      </c>
      <c r="F10040" s="40" t="s">
        <v>11404</v>
      </c>
      <c r="G10040" s="40" t="s">
        <v>11404</v>
      </c>
      <c r="H10040" s="40" t="s">
        <v>11404</v>
      </c>
    </row>
    <row r="10041">
      <c r="A10041" s="39"/>
      <c r="E10041" s="40" t="s">
        <v>11404</v>
      </c>
      <c r="F10041" s="40" t="s">
        <v>11404</v>
      </c>
      <c r="G10041" s="40" t="s">
        <v>11404</v>
      </c>
      <c r="H10041" s="40" t="s">
        <v>11404</v>
      </c>
    </row>
    <row r="10042">
      <c r="A10042" s="39"/>
      <c r="E10042" s="40" t="s">
        <v>11404</v>
      </c>
      <c r="F10042" s="40" t="s">
        <v>11404</v>
      </c>
      <c r="G10042" s="40" t="s">
        <v>11404</v>
      </c>
      <c r="H10042" s="40" t="s">
        <v>11404</v>
      </c>
    </row>
    <row r="10043">
      <c r="A10043" s="39"/>
      <c r="E10043" s="40" t="s">
        <v>11404</v>
      </c>
      <c r="F10043" s="40" t="s">
        <v>11404</v>
      </c>
      <c r="G10043" s="40" t="s">
        <v>11404</v>
      </c>
      <c r="H10043" s="40" t="s">
        <v>11404</v>
      </c>
    </row>
    <row r="10044">
      <c r="A10044" s="39"/>
      <c r="E10044" s="40" t="s">
        <v>11404</v>
      </c>
      <c r="F10044" s="40" t="s">
        <v>11404</v>
      </c>
      <c r="G10044" s="40" t="s">
        <v>11404</v>
      </c>
      <c r="H10044" s="40" t="s">
        <v>11404</v>
      </c>
    </row>
    <row r="10045">
      <c r="A10045" s="39"/>
      <c r="E10045" s="40" t="s">
        <v>11404</v>
      </c>
      <c r="F10045" s="40" t="s">
        <v>11404</v>
      </c>
      <c r="G10045" s="40" t="s">
        <v>11404</v>
      </c>
      <c r="H10045" s="40" t="s">
        <v>11404</v>
      </c>
    </row>
    <row r="10046">
      <c r="A10046" s="39"/>
      <c r="E10046" s="40" t="s">
        <v>11404</v>
      </c>
      <c r="F10046" s="40" t="s">
        <v>11404</v>
      </c>
      <c r="G10046" s="40" t="s">
        <v>11404</v>
      </c>
      <c r="H10046" s="40" t="s">
        <v>11404</v>
      </c>
    </row>
    <row r="10047">
      <c r="A10047" s="39"/>
      <c r="E10047" s="40" t="s">
        <v>11404</v>
      </c>
      <c r="F10047" s="40" t="s">
        <v>11404</v>
      </c>
      <c r="G10047" s="40" t="s">
        <v>11404</v>
      </c>
      <c r="H10047" s="40" t="s">
        <v>11404</v>
      </c>
    </row>
    <row r="10048">
      <c r="A10048" s="39"/>
      <c r="E10048" s="40" t="s">
        <v>11404</v>
      </c>
      <c r="F10048" s="40" t="s">
        <v>11404</v>
      </c>
      <c r="G10048" s="40" t="s">
        <v>11404</v>
      </c>
      <c r="H10048" s="40" t="s">
        <v>11404</v>
      </c>
    </row>
    <row r="10049">
      <c r="A10049" s="39"/>
      <c r="E10049" s="40" t="s">
        <v>11404</v>
      </c>
      <c r="F10049" s="40" t="s">
        <v>11404</v>
      </c>
      <c r="G10049" s="40" t="s">
        <v>11404</v>
      </c>
      <c r="H10049" s="40" t="s">
        <v>11404</v>
      </c>
    </row>
    <row r="10050">
      <c r="A10050" s="39"/>
      <c r="E10050" s="40" t="s">
        <v>11404</v>
      </c>
      <c r="F10050" s="40" t="s">
        <v>11404</v>
      </c>
      <c r="G10050" s="40" t="s">
        <v>11404</v>
      </c>
      <c r="H10050" s="40" t="s">
        <v>11404</v>
      </c>
    </row>
    <row r="10051">
      <c r="A10051" s="39"/>
      <c r="E10051" s="40" t="s">
        <v>11404</v>
      </c>
      <c r="F10051" s="40" t="s">
        <v>11404</v>
      </c>
      <c r="G10051" s="40" t="s">
        <v>11404</v>
      </c>
      <c r="H10051" s="40" t="s">
        <v>11404</v>
      </c>
    </row>
    <row r="10052">
      <c r="A10052" s="39"/>
      <c r="E10052" s="40" t="s">
        <v>11404</v>
      </c>
      <c r="F10052" s="40" t="s">
        <v>11404</v>
      </c>
      <c r="G10052" s="40" t="s">
        <v>11404</v>
      </c>
      <c r="H10052" s="40" t="s">
        <v>11404</v>
      </c>
    </row>
    <row r="10053">
      <c r="A10053" s="39"/>
      <c r="E10053" s="40" t="s">
        <v>11404</v>
      </c>
      <c r="F10053" s="40" t="s">
        <v>11404</v>
      </c>
      <c r="G10053" s="40" t="s">
        <v>11404</v>
      </c>
      <c r="H10053" s="40" t="s">
        <v>11404</v>
      </c>
    </row>
    <row r="10054">
      <c r="A10054" s="39"/>
      <c r="E10054" s="40" t="s">
        <v>11404</v>
      </c>
      <c r="F10054" s="40" t="s">
        <v>11404</v>
      </c>
      <c r="G10054" s="40" t="s">
        <v>11404</v>
      </c>
      <c r="H10054" s="40" t="s">
        <v>11404</v>
      </c>
    </row>
    <row r="10055">
      <c r="A10055" s="39"/>
      <c r="E10055" s="40" t="s">
        <v>11404</v>
      </c>
      <c r="F10055" s="40" t="s">
        <v>11404</v>
      </c>
      <c r="G10055" s="40" t="s">
        <v>11404</v>
      </c>
      <c r="H10055" s="40" t="s">
        <v>11404</v>
      </c>
    </row>
    <row r="10056">
      <c r="A10056" s="39"/>
      <c r="E10056" s="40" t="s">
        <v>11404</v>
      </c>
      <c r="F10056" s="40" t="s">
        <v>11404</v>
      </c>
      <c r="G10056" s="40" t="s">
        <v>11404</v>
      </c>
      <c r="H10056" s="40" t="s">
        <v>11404</v>
      </c>
    </row>
    <row r="10057">
      <c r="A10057" s="39"/>
      <c r="E10057" s="40" t="s">
        <v>11404</v>
      </c>
      <c r="F10057" s="40" t="s">
        <v>11404</v>
      </c>
      <c r="G10057" s="40" t="s">
        <v>11404</v>
      </c>
      <c r="H10057" s="40" t="s">
        <v>11404</v>
      </c>
    </row>
    <row r="10058">
      <c r="A10058" s="39"/>
      <c r="E10058" s="40" t="s">
        <v>11404</v>
      </c>
      <c r="F10058" s="40" t="s">
        <v>11404</v>
      </c>
      <c r="G10058" s="40" t="s">
        <v>11404</v>
      </c>
      <c r="H10058" s="40" t="s">
        <v>11404</v>
      </c>
    </row>
    <row r="10059">
      <c r="A10059" s="39"/>
      <c r="E10059" s="40" t="s">
        <v>11404</v>
      </c>
      <c r="F10059" s="40" t="s">
        <v>11404</v>
      </c>
      <c r="G10059" s="40" t="s">
        <v>11404</v>
      </c>
      <c r="H10059" s="40" t="s">
        <v>11404</v>
      </c>
    </row>
    <row r="10060">
      <c r="A10060" s="39"/>
      <c r="E10060" s="40" t="s">
        <v>11404</v>
      </c>
      <c r="F10060" s="40" t="s">
        <v>11404</v>
      </c>
      <c r="G10060" s="40" t="s">
        <v>11404</v>
      </c>
      <c r="H10060" s="40" t="s">
        <v>11404</v>
      </c>
    </row>
    <row r="10061">
      <c r="A10061" s="39"/>
      <c r="E10061" s="40" t="s">
        <v>11404</v>
      </c>
      <c r="F10061" s="40" t="s">
        <v>11404</v>
      </c>
      <c r="G10061" s="40" t="s">
        <v>11404</v>
      </c>
      <c r="H10061" s="40" t="s">
        <v>11404</v>
      </c>
    </row>
    <row r="10062">
      <c r="A10062" s="39"/>
      <c r="E10062" s="40" t="s">
        <v>11404</v>
      </c>
      <c r="F10062" s="40" t="s">
        <v>11404</v>
      </c>
      <c r="G10062" s="40" t="s">
        <v>11404</v>
      </c>
      <c r="H10062" s="40" t="s">
        <v>11404</v>
      </c>
    </row>
    <row r="10063">
      <c r="A10063" s="39"/>
      <c r="E10063" s="40" t="s">
        <v>11404</v>
      </c>
      <c r="F10063" s="40" t="s">
        <v>11404</v>
      </c>
      <c r="G10063" s="40" t="s">
        <v>11404</v>
      </c>
      <c r="H10063" s="40" t="s">
        <v>11404</v>
      </c>
    </row>
    <row r="10064">
      <c r="A10064" s="39"/>
      <c r="E10064" s="40" t="s">
        <v>11404</v>
      </c>
      <c r="F10064" s="40" t="s">
        <v>11404</v>
      </c>
      <c r="G10064" s="40" t="s">
        <v>11404</v>
      </c>
      <c r="H10064" s="40" t="s">
        <v>11404</v>
      </c>
    </row>
    <row r="10065">
      <c r="A10065" s="39"/>
      <c r="E10065" s="40" t="s">
        <v>11404</v>
      </c>
      <c r="F10065" s="40" t="s">
        <v>11404</v>
      </c>
      <c r="G10065" s="40" t="s">
        <v>11404</v>
      </c>
      <c r="H10065" s="40" t="s">
        <v>11404</v>
      </c>
    </row>
    <row r="10066">
      <c r="A10066" s="39"/>
      <c r="E10066" s="40" t="s">
        <v>11404</v>
      </c>
      <c r="F10066" s="40" t="s">
        <v>11404</v>
      </c>
      <c r="G10066" s="40" t="s">
        <v>11404</v>
      </c>
      <c r="H10066" s="40" t="s">
        <v>11404</v>
      </c>
    </row>
    <row r="10067">
      <c r="A10067" s="39"/>
      <c r="E10067" s="40" t="s">
        <v>11404</v>
      </c>
      <c r="F10067" s="40" t="s">
        <v>11404</v>
      </c>
      <c r="G10067" s="40" t="s">
        <v>11404</v>
      </c>
      <c r="H10067" s="40" t="s">
        <v>11404</v>
      </c>
    </row>
    <row r="10068">
      <c r="A10068" s="39"/>
      <c r="E10068" s="40" t="s">
        <v>11404</v>
      </c>
      <c r="F10068" s="40" t="s">
        <v>11404</v>
      </c>
      <c r="G10068" s="40" t="s">
        <v>11404</v>
      </c>
      <c r="H10068" s="40" t="s">
        <v>11404</v>
      </c>
    </row>
    <row r="10069">
      <c r="A10069" s="39"/>
      <c r="E10069" s="40" t="s">
        <v>11404</v>
      </c>
      <c r="F10069" s="40" t="s">
        <v>11404</v>
      </c>
      <c r="G10069" s="40" t="s">
        <v>11404</v>
      </c>
      <c r="H10069" s="40" t="s">
        <v>11404</v>
      </c>
    </row>
    <row r="10070">
      <c r="A10070" s="39"/>
      <c r="E10070" s="40" t="s">
        <v>11404</v>
      </c>
      <c r="F10070" s="40" t="s">
        <v>11404</v>
      </c>
      <c r="G10070" s="40" t="s">
        <v>11404</v>
      </c>
      <c r="H10070" s="40" t="s">
        <v>11404</v>
      </c>
    </row>
    <row r="10071">
      <c r="A10071" s="39"/>
      <c r="E10071" s="40" t="s">
        <v>11404</v>
      </c>
      <c r="F10071" s="40" t="s">
        <v>11404</v>
      </c>
      <c r="G10071" s="40" t="s">
        <v>11404</v>
      </c>
      <c r="H10071" s="40" t="s">
        <v>11404</v>
      </c>
    </row>
    <row r="10072">
      <c r="A10072" s="39"/>
      <c r="E10072" s="40" t="s">
        <v>11404</v>
      </c>
      <c r="F10072" s="40" t="s">
        <v>11404</v>
      </c>
      <c r="G10072" s="40" t="s">
        <v>11404</v>
      </c>
      <c r="H10072" s="40" t="s">
        <v>11404</v>
      </c>
    </row>
    <row r="10073">
      <c r="A10073" s="39"/>
      <c r="E10073" s="40" t="s">
        <v>11404</v>
      </c>
      <c r="F10073" s="40" t="s">
        <v>11404</v>
      </c>
      <c r="G10073" s="40" t="s">
        <v>11404</v>
      </c>
      <c r="H10073" s="40" t="s">
        <v>11404</v>
      </c>
    </row>
    <row r="10074">
      <c r="A10074" s="39"/>
      <c r="E10074" s="40" t="s">
        <v>11404</v>
      </c>
      <c r="F10074" s="40" t="s">
        <v>11404</v>
      </c>
      <c r="G10074" s="40" t="s">
        <v>11404</v>
      </c>
      <c r="H10074" s="40" t="s">
        <v>11404</v>
      </c>
    </row>
    <row r="10075">
      <c r="A10075" s="39"/>
      <c r="E10075" s="40" t="s">
        <v>11404</v>
      </c>
      <c r="F10075" s="40" t="s">
        <v>11404</v>
      </c>
      <c r="G10075" s="40" t="s">
        <v>11404</v>
      </c>
      <c r="H10075" s="40" t="s">
        <v>11404</v>
      </c>
    </row>
    <row r="10076">
      <c r="A10076" s="39"/>
      <c r="E10076" s="40" t="s">
        <v>11404</v>
      </c>
      <c r="F10076" s="40" t="s">
        <v>11404</v>
      </c>
      <c r="G10076" s="40" t="s">
        <v>11404</v>
      </c>
      <c r="H10076" s="40" t="s">
        <v>11404</v>
      </c>
    </row>
    <row r="10077">
      <c r="A10077" s="39"/>
      <c r="E10077" s="40" t="s">
        <v>11404</v>
      </c>
      <c r="F10077" s="40" t="s">
        <v>11404</v>
      </c>
      <c r="G10077" s="40" t="s">
        <v>11404</v>
      </c>
      <c r="H10077" s="40" t="s">
        <v>11404</v>
      </c>
    </row>
    <row r="10078">
      <c r="A10078" s="39"/>
      <c r="E10078" s="40" t="s">
        <v>11404</v>
      </c>
      <c r="F10078" s="40" t="s">
        <v>11404</v>
      </c>
      <c r="G10078" s="40" t="s">
        <v>11404</v>
      </c>
      <c r="H10078" s="40" t="s">
        <v>11404</v>
      </c>
    </row>
    <row r="10079">
      <c r="A10079" s="39"/>
      <c r="E10079" s="40" t="s">
        <v>11404</v>
      </c>
      <c r="F10079" s="40" t="s">
        <v>11404</v>
      </c>
      <c r="G10079" s="40" t="s">
        <v>11404</v>
      </c>
      <c r="H10079" s="40" t="s">
        <v>11404</v>
      </c>
    </row>
    <row r="10080">
      <c r="A10080" s="39"/>
      <c r="E10080" s="40" t="s">
        <v>11404</v>
      </c>
      <c r="F10080" s="40" t="s">
        <v>11404</v>
      </c>
      <c r="G10080" s="40" t="s">
        <v>11404</v>
      </c>
      <c r="H10080" s="40" t="s">
        <v>11404</v>
      </c>
    </row>
    <row r="10081">
      <c r="A10081" s="39"/>
      <c r="E10081" s="40" t="s">
        <v>11404</v>
      </c>
      <c r="F10081" s="40" t="s">
        <v>11404</v>
      </c>
      <c r="G10081" s="40" t="s">
        <v>11404</v>
      </c>
      <c r="H10081" s="40" t="s">
        <v>11404</v>
      </c>
    </row>
    <row r="10082">
      <c r="A10082" s="39"/>
      <c r="E10082" s="40" t="s">
        <v>11404</v>
      </c>
      <c r="F10082" s="40" t="s">
        <v>11404</v>
      </c>
      <c r="G10082" s="40" t="s">
        <v>11404</v>
      </c>
      <c r="H10082" s="40" t="s">
        <v>11404</v>
      </c>
    </row>
    <row r="10083">
      <c r="A10083" s="39"/>
      <c r="E10083" s="40" t="s">
        <v>11404</v>
      </c>
      <c r="F10083" s="40" t="s">
        <v>11404</v>
      </c>
      <c r="G10083" s="40" t="s">
        <v>11404</v>
      </c>
      <c r="H10083" s="40" t="s">
        <v>11404</v>
      </c>
    </row>
    <row r="10084">
      <c r="A10084" s="39"/>
      <c r="E10084" s="40" t="s">
        <v>11404</v>
      </c>
      <c r="F10084" s="40" t="s">
        <v>11404</v>
      </c>
      <c r="G10084" s="40" t="s">
        <v>11404</v>
      </c>
      <c r="H10084" s="40" t="s">
        <v>11404</v>
      </c>
    </row>
    <row r="10085">
      <c r="A10085" s="39"/>
      <c r="E10085" s="40" t="s">
        <v>11404</v>
      </c>
      <c r="F10085" s="40" t="s">
        <v>11404</v>
      </c>
      <c r="G10085" s="40" t="s">
        <v>11404</v>
      </c>
      <c r="H10085" s="40" t="s">
        <v>11404</v>
      </c>
    </row>
    <row r="10086">
      <c r="A10086" s="39"/>
      <c r="E10086" s="40" t="s">
        <v>11404</v>
      </c>
      <c r="F10086" s="40" t="s">
        <v>11404</v>
      </c>
      <c r="G10086" s="40" t="s">
        <v>11404</v>
      </c>
      <c r="H10086" s="40" t="s">
        <v>11404</v>
      </c>
    </row>
    <row r="10087">
      <c r="A10087" s="39"/>
      <c r="E10087" s="40" t="s">
        <v>11404</v>
      </c>
      <c r="F10087" s="40" t="s">
        <v>11404</v>
      </c>
      <c r="G10087" s="40" t="s">
        <v>11404</v>
      </c>
      <c r="H10087" s="40" t="s">
        <v>11404</v>
      </c>
    </row>
    <row r="10088">
      <c r="A10088" s="39"/>
      <c r="E10088" s="40" t="s">
        <v>11404</v>
      </c>
      <c r="F10088" s="40" t="s">
        <v>11404</v>
      </c>
      <c r="G10088" s="40" t="s">
        <v>11404</v>
      </c>
      <c r="H10088" s="40" t="s">
        <v>11404</v>
      </c>
    </row>
    <row r="10089">
      <c r="A10089" s="39"/>
      <c r="E10089" s="40" t="s">
        <v>11404</v>
      </c>
      <c r="F10089" s="40" t="s">
        <v>11404</v>
      </c>
      <c r="G10089" s="40" t="s">
        <v>11404</v>
      </c>
      <c r="H10089" s="40" t="s">
        <v>11404</v>
      </c>
    </row>
    <row r="10090">
      <c r="A10090" s="39"/>
      <c r="E10090" s="40" t="s">
        <v>11404</v>
      </c>
      <c r="F10090" s="40" t="s">
        <v>11404</v>
      </c>
      <c r="G10090" s="40" t="s">
        <v>11404</v>
      </c>
      <c r="H10090" s="40" t="s">
        <v>11404</v>
      </c>
    </row>
    <row r="10091">
      <c r="A10091" s="39"/>
      <c r="E10091" s="40" t="s">
        <v>11404</v>
      </c>
      <c r="F10091" s="40" t="s">
        <v>11404</v>
      </c>
      <c r="G10091" s="40" t="s">
        <v>11404</v>
      </c>
      <c r="H10091" s="40" t="s">
        <v>11404</v>
      </c>
    </row>
    <row r="10092">
      <c r="A10092" s="39"/>
      <c r="E10092" s="40" t="s">
        <v>11404</v>
      </c>
      <c r="F10092" s="40" t="s">
        <v>11404</v>
      </c>
      <c r="G10092" s="40" t="s">
        <v>11404</v>
      </c>
      <c r="H10092" s="40" t="s">
        <v>11404</v>
      </c>
    </row>
    <row r="10093">
      <c r="A10093" s="39"/>
      <c r="E10093" s="40" t="s">
        <v>11404</v>
      </c>
      <c r="F10093" s="40" t="s">
        <v>11404</v>
      </c>
      <c r="G10093" s="40" t="s">
        <v>11404</v>
      </c>
      <c r="H10093" s="40" t="s">
        <v>11404</v>
      </c>
    </row>
    <row r="10094">
      <c r="A10094" s="39"/>
      <c r="E10094" s="40" t="s">
        <v>11404</v>
      </c>
      <c r="F10094" s="40" t="s">
        <v>11404</v>
      </c>
      <c r="G10094" s="40" t="s">
        <v>11404</v>
      </c>
      <c r="H10094" s="40" t="s">
        <v>11404</v>
      </c>
    </row>
    <row r="10095">
      <c r="A10095" s="39"/>
      <c r="E10095" s="40" t="s">
        <v>11404</v>
      </c>
      <c r="F10095" s="40" t="s">
        <v>11404</v>
      </c>
      <c r="G10095" s="40" t="s">
        <v>11404</v>
      </c>
      <c r="H10095" s="40" t="s">
        <v>11404</v>
      </c>
    </row>
    <row r="10096">
      <c r="A10096" s="39"/>
      <c r="E10096" s="40" t="s">
        <v>11404</v>
      </c>
      <c r="F10096" s="40" t="s">
        <v>11404</v>
      </c>
      <c r="G10096" s="40" t="s">
        <v>11404</v>
      </c>
      <c r="H10096" s="40" t="s">
        <v>11404</v>
      </c>
    </row>
    <row r="10097">
      <c r="A10097" s="39"/>
      <c r="E10097" s="40" t="s">
        <v>11404</v>
      </c>
      <c r="F10097" s="40" t="s">
        <v>11404</v>
      </c>
      <c r="G10097" s="40" t="s">
        <v>11404</v>
      </c>
      <c r="H10097" s="40" t="s">
        <v>11404</v>
      </c>
    </row>
    <row r="10098">
      <c r="A10098" s="39"/>
      <c r="E10098" s="40" t="s">
        <v>11404</v>
      </c>
      <c r="F10098" s="40" t="s">
        <v>11404</v>
      </c>
      <c r="G10098" s="40" t="s">
        <v>11404</v>
      </c>
      <c r="H10098" s="40" t="s">
        <v>11404</v>
      </c>
    </row>
    <row r="10099">
      <c r="A10099" s="39"/>
      <c r="E10099" s="40" t="s">
        <v>11404</v>
      </c>
      <c r="F10099" s="40" t="s">
        <v>11404</v>
      </c>
      <c r="G10099" s="40" t="s">
        <v>11404</v>
      </c>
      <c r="H10099" s="40" t="s">
        <v>11404</v>
      </c>
    </row>
    <row r="10100">
      <c r="A10100" s="39"/>
      <c r="E10100" s="40" t="s">
        <v>11404</v>
      </c>
      <c r="F10100" s="40" t="s">
        <v>11404</v>
      </c>
      <c r="G10100" s="40" t="s">
        <v>11404</v>
      </c>
      <c r="H10100" s="40" t="s">
        <v>11404</v>
      </c>
    </row>
    <row r="10101">
      <c r="A10101" s="39"/>
      <c r="E10101" s="40" t="s">
        <v>11404</v>
      </c>
      <c r="F10101" s="40" t="s">
        <v>11404</v>
      </c>
      <c r="G10101" s="40" t="s">
        <v>11404</v>
      </c>
      <c r="H10101" s="40" t="s">
        <v>11404</v>
      </c>
    </row>
    <row r="10102">
      <c r="A10102" s="39"/>
      <c r="E10102" s="40" t="s">
        <v>11404</v>
      </c>
      <c r="F10102" s="40" t="s">
        <v>11404</v>
      </c>
      <c r="G10102" s="40" t="s">
        <v>11404</v>
      </c>
      <c r="H10102" s="40" t="s">
        <v>11404</v>
      </c>
    </row>
    <row r="10103">
      <c r="A10103" s="39"/>
      <c r="E10103" s="40" t="s">
        <v>11404</v>
      </c>
      <c r="F10103" s="40" t="s">
        <v>11404</v>
      </c>
      <c r="G10103" s="40" t="s">
        <v>11404</v>
      </c>
      <c r="H10103" s="40" t="s">
        <v>11404</v>
      </c>
    </row>
    <row r="10104">
      <c r="A10104" s="39"/>
      <c r="E10104" s="40" t="s">
        <v>11404</v>
      </c>
      <c r="F10104" s="40" t="s">
        <v>11404</v>
      </c>
      <c r="G10104" s="40" t="s">
        <v>11404</v>
      </c>
      <c r="H10104" s="40" t="s">
        <v>11404</v>
      </c>
    </row>
    <row r="10105">
      <c r="A10105" s="39"/>
      <c r="E10105" s="40" t="s">
        <v>11404</v>
      </c>
      <c r="F10105" s="40" t="s">
        <v>11404</v>
      </c>
      <c r="G10105" s="40" t="s">
        <v>11404</v>
      </c>
      <c r="H10105" s="40" t="s">
        <v>11404</v>
      </c>
    </row>
    <row r="10106">
      <c r="A10106" s="39"/>
      <c r="E10106" s="40" t="s">
        <v>11404</v>
      </c>
      <c r="F10106" s="40" t="s">
        <v>11404</v>
      </c>
      <c r="G10106" s="40" t="s">
        <v>11404</v>
      </c>
      <c r="H10106" s="40" t="s">
        <v>11404</v>
      </c>
    </row>
    <row r="10107">
      <c r="A10107" s="39"/>
      <c r="E10107" s="40" t="s">
        <v>11404</v>
      </c>
      <c r="F10107" s="40" t="s">
        <v>11404</v>
      </c>
      <c r="G10107" s="40" t="s">
        <v>11404</v>
      </c>
      <c r="H10107" s="40" t="s">
        <v>11404</v>
      </c>
    </row>
    <row r="10108">
      <c r="A10108" s="39"/>
      <c r="E10108" s="40" t="s">
        <v>11404</v>
      </c>
      <c r="F10108" s="40" t="s">
        <v>11404</v>
      </c>
      <c r="G10108" s="40" t="s">
        <v>11404</v>
      </c>
      <c r="H10108" s="40" t="s">
        <v>11404</v>
      </c>
    </row>
    <row r="10109">
      <c r="A10109" s="39"/>
      <c r="E10109" s="40" t="s">
        <v>11404</v>
      </c>
      <c r="F10109" s="40" t="s">
        <v>11404</v>
      </c>
      <c r="G10109" s="40" t="s">
        <v>11404</v>
      </c>
      <c r="H10109" s="40" t="s">
        <v>11404</v>
      </c>
    </row>
    <row r="10110">
      <c r="A10110" s="39"/>
      <c r="E10110" s="40" t="s">
        <v>11404</v>
      </c>
      <c r="F10110" s="40" t="s">
        <v>11404</v>
      </c>
      <c r="G10110" s="40" t="s">
        <v>11404</v>
      </c>
      <c r="H10110" s="40" t="s">
        <v>11404</v>
      </c>
    </row>
    <row r="10111">
      <c r="A10111" s="39"/>
      <c r="E10111" s="40" t="s">
        <v>11404</v>
      </c>
      <c r="F10111" s="40" t="s">
        <v>11404</v>
      </c>
      <c r="G10111" s="40" t="s">
        <v>11404</v>
      </c>
      <c r="H10111" s="40" t="s">
        <v>11404</v>
      </c>
    </row>
    <row r="10112">
      <c r="A10112" s="39"/>
      <c r="E10112" s="40" t="s">
        <v>11404</v>
      </c>
      <c r="F10112" s="40" t="s">
        <v>11404</v>
      </c>
      <c r="G10112" s="40" t="s">
        <v>11404</v>
      </c>
      <c r="H10112" s="40" t="s">
        <v>11404</v>
      </c>
    </row>
    <row r="10113">
      <c r="A10113" s="39"/>
      <c r="E10113" s="40" t="s">
        <v>11404</v>
      </c>
      <c r="F10113" s="40" t="s">
        <v>11404</v>
      </c>
      <c r="G10113" s="40" t="s">
        <v>11404</v>
      </c>
      <c r="H10113" s="40" t="s">
        <v>11404</v>
      </c>
    </row>
    <row r="10114">
      <c r="A10114" s="39"/>
      <c r="E10114" s="40" t="s">
        <v>11404</v>
      </c>
      <c r="F10114" s="40" t="s">
        <v>11404</v>
      </c>
      <c r="G10114" s="40" t="s">
        <v>11404</v>
      </c>
      <c r="H10114" s="40" t="s">
        <v>11404</v>
      </c>
    </row>
    <row r="10115">
      <c r="A10115" s="39"/>
      <c r="E10115" s="40" t="s">
        <v>11404</v>
      </c>
      <c r="F10115" s="40" t="s">
        <v>11404</v>
      </c>
      <c r="G10115" s="40" t="s">
        <v>11404</v>
      </c>
      <c r="H10115" s="40" t="s">
        <v>11404</v>
      </c>
    </row>
    <row r="10116">
      <c r="A10116" s="39"/>
      <c r="E10116" s="40" t="s">
        <v>11404</v>
      </c>
      <c r="F10116" s="40" t="s">
        <v>11404</v>
      </c>
      <c r="G10116" s="40" t="s">
        <v>11404</v>
      </c>
      <c r="H10116" s="40" t="s">
        <v>11404</v>
      </c>
    </row>
    <row r="10117">
      <c r="A10117" s="39"/>
      <c r="E10117" s="40" t="s">
        <v>11404</v>
      </c>
      <c r="F10117" s="40" t="s">
        <v>11404</v>
      </c>
      <c r="G10117" s="40" t="s">
        <v>11404</v>
      </c>
      <c r="H10117" s="40" t="s">
        <v>11404</v>
      </c>
    </row>
    <row r="10118">
      <c r="A10118" s="39"/>
      <c r="E10118" s="40" t="s">
        <v>11404</v>
      </c>
      <c r="F10118" s="40" t="s">
        <v>11404</v>
      </c>
      <c r="G10118" s="40" t="s">
        <v>11404</v>
      </c>
      <c r="H10118" s="40" t="s">
        <v>11404</v>
      </c>
    </row>
    <row r="10119">
      <c r="A10119" s="39"/>
      <c r="E10119" s="40" t="s">
        <v>11404</v>
      </c>
      <c r="F10119" s="40" t="s">
        <v>11404</v>
      </c>
      <c r="G10119" s="40" t="s">
        <v>11404</v>
      </c>
      <c r="H10119" s="40" t="s">
        <v>11404</v>
      </c>
    </row>
    <row r="10120">
      <c r="A10120" s="39"/>
      <c r="E10120" s="40" t="s">
        <v>11404</v>
      </c>
      <c r="F10120" s="40" t="s">
        <v>11404</v>
      </c>
      <c r="G10120" s="40" t="s">
        <v>11404</v>
      </c>
      <c r="H10120" s="40" t="s">
        <v>11404</v>
      </c>
    </row>
    <row r="10121">
      <c r="A10121" s="39"/>
      <c r="E10121" s="40" t="s">
        <v>11404</v>
      </c>
      <c r="F10121" s="40" t="s">
        <v>11404</v>
      </c>
      <c r="G10121" s="40" t="s">
        <v>11404</v>
      </c>
      <c r="H10121" s="40" t="s">
        <v>11404</v>
      </c>
    </row>
    <row r="10122">
      <c r="A10122" s="39"/>
      <c r="E10122" s="40" t="s">
        <v>11404</v>
      </c>
      <c r="F10122" s="40" t="s">
        <v>11404</v>
      </c>
      <c r="G10122" s="40" t="s">
        <v>11404</v>
      </c>
      <c r="H10122" s="40" t="s">
        <v>11404</v>
      </c>
    </row>
    <row r="10123">
      <c r="A10123" s="39"/>
      <c r="E10123" s="40" t="s">
        <v>11404</v>
      </c>
      <c r="F10123" s="40" t="s">
        <v>11404</v>
      </c>
      <c r="G10123" s="40" t="s">
        <v>11404</v>
      </c>
      <c r="H10123" s="40" t="s">
        <v>11404</v>
      </c>
    </row>
    <row r="10124">
      <c r="A10124" s="39"/>
      <c r="E10124" s="40" t="s">
        <v>11404</v>
      </c>
      <c r="F10124" s="40" t="s">
        <v>11404</v>
      </c>
      <c r="G10124" s="40" t="s">
        <v>11404</v>
      </c>
      <c r="H10124" s="40" t="s">
        <v>11404</v>
      </c>
    </row>
    <row r="10125">
      <c r="A10125" s="39"/>
      <c r="E10125" s="40" t="s">
        <v>11404</v>
      </c>
      <c r="F10125" s="40" t="s">
        <v>11404</v>
      </c>
      <c r="G10125" s="40" t="s">
        <v>11404</v>
      </c>
      <c r="H10125" s="40" t="s">
        <v>11404</v>
      </c>
    </row>
    <row r="10126">
      <c r="A10126" s="39"/>
      <c r="E10126" s="40" t="s">
        <v>11404</v>
      </c>
      <c r="F10126" s="40" t="s">
        <v>11404</v>
      </c>
      <c r="G10126" s="40" t="s">
        <v>11404</v>
      </c>
      <c r="H10126" s="40" t="s">
        <v>11404</v>
      </c>
    </row>
    <row r="10127">
      <c r="A10127" s="39"/>
      <c r="E10127" s="40" t="s">
        <v>11404</v>
      </c>
      <c r="F10127" s="40" t="s">
        <v>11404</v>
      </c>
      <c r="G10127" s="40" t="s">
        <v>11404</v>
      </c>
      <c r="H10127" s="40" t="s">
        <v>11404</v>
      </c>
    </row>
    <row r="10128">
      <c r="A10128" s="39"/>
      <c r="E10128" s="40" t="s">
        <v>11404</v>
      </c>
      <c r="F10128" s="40" t="s">
        <v>11404</v>
      </c>
      <c r="G10128" s="40" t="s">
        <v>11404</v>
      </c>
      <c r="H10128" s="40" t="s">
        <v>11404</v>
      </c>
    </row>
    <row r="10129">
      <c r="A10129" s="39"/>
      <c r="E10129" s="40" t="s">
        <v>11404</v>
      </c>
      <c r="F10129" s="40" t="s">
        <v>11404</v>
      </c>
      <c r="G10129" s="40" t="s">
        <v>11404</v>
      </c>
      <c r="H10129" s="40" t="s">
        <v>11404</v>
      </c>
    </row>
    <row r="10130">
      <c r="A10130" s="39"/>
      <c r="E10130" s="40" t="s">
        <v>11404</v>
      </c>
      <c r="F10130" s="40" t="s">
        <v>11404</v>
      </c>
      <c r="G10130" s="40" t="s">
        <v>11404</v>
      </c>
      <c r="H10130" s="40" t="s">
        <v>11404</v>
      </c>
    </row>
    <row r="10131">
      <c r="A10131" s="39"/>
      <c r="E10131" s="40" t="s">
        <v>11404</v>
      </c>
      <c r="F10131" s="40" t="s">
        <v>11404</v>
      </c>
      <c r="G10131" s="40" t="s">
        <v>11404</v>
      </c>
      <c r="H10131" s="40" t="s">
        <v>11404</v>
      </c>
    </row>
    <row r="10132">
      <c r="A10132" s="39"/>
      <c r="E10132" s="40" t="s">
        <v>11404</v>
      </c>
      <c r="F10132" s="40" t="s">
        <v>11404</v>
      </c>
      <c r="G10132" s="40" t="s">
        <v>11404</v>
      </c>
      <c r="H10132" s="40" t="s">
        <v>11404</v>
      </c>
    </row>
    <row r="10133">
      <c r="A10133" s="39"/>
      <c r="E10133" s="40" t="s">
        <v>11404</v>
      </c>
      <c r="F10133" s="40" t="s">
        <v>11404</v>
      </c>
      <c r="G10133" s="40" t="s">
        <v>11404</v>
      </c>
      <c r="H10133" s="40" t="s">
        <v>11404</v>
      </c>
    </row>
    <row r="10134">
      <c r="A10134" s="39"/>
      <c r="E10134" s="40" t="s">
        <v>11404</v>
      </c>
      <c r="F10134" s="40" t="s">
        <v>11404</v>
      </c>
      <c r="G10134" s="40" t="s">
        <v>11404</v>
      </c>
      <c r="H10134" s="40" t="s">
        <v>11404</v>
      </c>
    </row>
    <row r="10135">
      <c r="A10135" s="39"/>
      <c r="E10135" s="40" t="s">
        <v>11404</v>
      </c>
      <c r="F10135" s="40" t="s">
        <v>11404</v>
      </c>
      <c r="G10135" s="40" t="s">
        <v>11404</v>
      </c>
      <c r="H10135" s="40" t="s">
        <v>11404</v>
      </c>
    </row>
    <row r="10136">
      <c r="A10136" s="39"/>
      <c r="E10136" s="40" t="s">
        <v>11404</v>
      </c>
      <c r="F10136" s="40" t="s">
        <v>11404</v>
      </c>
      <c r="G10136" s="40" t="s">
        <v>11404</v>
      </c>
      <c r="H10136" s="40" t="s">
        <v>11404</v>
      </c>
    </row>
    <row r="10137">
      <c r="A10137" s="39"/>
      <c r="E10137" s="40" t="s">
        <v>11404</v>
      </c>
      <c r="F10137" s="40" t="s">
        <v>11404</v>
      </c>
      <c r="G10137" s="40" t="s">
        <v>11404</v>
      </c>
      <c r="H10137" s="40" t="s">
        <v>11404</v>
      </c>
    </row>
    <row r="10138">
      <c r="A10138" s="39"/>
      <c r="E10138" s="40" t="s">
        <v>11404</v>
      </c>
      <c r="F10138" s="40" t="s">
        <v>11404</v>
      </c>
      <c r="G10138" s="40" t="s">
        <v>11404</v>
      </c>
      <c r="H10138" s="40" t="s">
        <v>11404</v>
      </c>
    </row>
    <row r="10139">
      <c r="A10139" s="39"/>
      <c r="E10139" s="40" t="s">
        <v>11404</v>
      </c>
      <c r="F10139" s="40" t="s">
        <v>11404</v>
      </c>
      <c r="G10139" s="40" t="s">
        <v>11404</v>
      </c>
      <c r="H10139" s="40" t="s">
        <v>11404</v>
      </c>
    </row>
    <row r="10140">
      <c r="A10140" s="39"/>
      <c r="E10140" s="40" t="s">
        <v>11404</v>
      </c>
      <c r="F10140" s="40" t="s">
        <v>11404</v>
      </c>
      <c r="G10140" s="40" t="s">
        <v>11404</v>
      </c>
      <c r="H10140" s="40" t="s">
        <v>11404</v>
      </c>
    </row>
    <row r="10141">
      <c r="A10141" s="39"/>
      <c r="E10141" s="40" t="s">
        <v>11404</v>
      </c>
      <c r="F10141" s="40" t="s">
        <v>11404</v>
      </c>
      <c r="G10141" s="40" t="s">
        <v>11404</v>
      </c>
      <c r="H10141" s="40" t="s">
        <v>11404</v>
      </c>
    </row>
    <row r="10142">
      <c r="A10142" s="39"/>
      <c r="E10142" s="40" t="s">
        <v>11404</v>
      </c>
      <c r="F10142" s="40" t="s">
        <v>11404</v>
      </c>
      <c r="G10142" s="40" t="s">
        <v>11404</v>
      </c>
      <c r="H10142" s="40" t="s">
        <v>11404</v>
      </c>
    </row>
    <row r="10143">
      <c r="A10143" s="39"/>
      <c r="E10143" s="40" t="s">
        <v>11404</v>
      </c>
      <c r="F10143" s="40" t="s">
        <v>11404</v>
      </c>
      <c r="G10143" s="40" t="s">
        <v>11404</v>
      </c>
      <c r="H10143" s="40" t="s">
        <v>11404</v>
      </c>
    </row>
    <row r="10144">
      <c r="A10144" s="39"/>
      <c r="E10144" s="40" t="s">
        <v>11404</v>
      </c>
      <c r="F10144" s="40" t="s">
        <v>11404</v>
      </c>
      <c r="G10144" s="40" t="s">
        <v>11404</v>
      </c>
      <c r="H10144" s="40" t="s">
        <v>11404</v>
      </c>
    </row>
    <row r="10145">
      <c r="A10145" s="39"/>
      <c r="E10145" s="40" t="s">
        <v>11404</v>
      </c>
      <c r="F10145" s="40" t="s">
        <v>11404</v>
      </c>
      <c r="G10145" s="40" t="s">
        <v>11404</v>
      </c>
      <c r="H10145" s="40" t="s">
        <v>11404</v>
      </c>
    </row>
    <row r="10146">
      <c r="A10146" s="39"/>
      <c r="E10146" s="40" t="s">
        <v>11404</v>
      </c>
      <c r="F10146" s="40" t="s">
        <v>11404</v>
      </c>
      <c r="G10146" s="40" t="s">
        <v>11404</v>
      </c>
      <c r="H10146" s="40" t="s">
        <v>11404</v>
      </c>
    </row>
    <row r="10147">
      <c r="A10147" s="39"/>
      <c r="E10147" s="40" t="s">
        <v>11404</v>
      </c>
      <c r="F10147" s="40" t="s">
        <v>11404</v>
      </c>
      <c r="G10147" s="40" t="s">
        <v>11404</v>
      </c>
      <c r="H10147" s="40" t="s">
        <v>11404</v>
      </c>
    </row>
    <row r="10148">
      <c r="A10148" s="39"/>
      <c r="E10148" s="40" t="s">
        <v>11404</v>
      </c>
      <c r="F10148" s="40" t="s">
        <v>11404</v>
      </c>
      <c r="G10148" s="40" t="s">
        <v>11404</v>
      </c>
      <c r="H10148" s="40" t="s">
        <v>11404</v>
      </c>
    </row>
    <row r="10149">
      <c r="A10149" s="39"/>
      <c r="E10149" s="40" t="s">
        <v>11404</v>
      </c>
      <c r="F10149" s="40" t="s">
        <v>11404</v>
      </c>
      <c r="G10149" s="40" t="s">
        <v>11404</v>
      </c>
      <c r="H10149" s="40" t="s">
        <v>11404</v>
      </c>
    </row>
    <row r="10150">
      <c r="A10150" s="39"/>
      <c r="E10150" s="40" t="s">
        <v>11404</v>
      </c>
      <c r="F10150" s="40" t="s">
        <v>11404</v>
      </c>
      <c r="G10150" s="40" t="s">
        <v>11404</v>
      </c>
      <c r="H10150" s="40" t="s">
        <v>11404</v>
      </c>
    </row>
    <row r="10151">
      <c r="A10151" s="39"/>
      <c r="E10151" s="40" t="s">
        <v>11404</v>
      </c>
      <c r="F10151" s="40" t="s">
        <v>11404</v>
      </c>
      <c r="G10151" s="40" t="s">
        <v>11404</v>
      </c>
      <c r="H10151" s="40" t="s">
        <v>11404</v>
      </c>
    </row>
    <row r="10152">
      <c r="A10152" s="39"/>
      <c r="E10152" s="40" t="s">
        <v>11404</v>
      </c>
      <c r="F10152" s="40" t="s">
        <v>11404</v>
      </c>
      <c r="G10152" s="40" t="s">
        <v>11404</v>
      </c>
      <c r="H10152" s="40" t="s">
        <v>11404</v>
      </c>
    </row>
    <row r="10153">
      <c r="A10153" s="39"/>
      <c r="E10153" s="40" t="s">
        <v>11404</v>
      </c>
      <c r="F10153" s="40" t="s">
        <v>11404</v>
      </c>
      <c r="G10153" s="40" t="s">
        <v>11404</v>
      </c>
      <c r="H10153" s="40" t="s">
        <v>11404</v>
      </c>
    </row>
    <row r="10154">
      <c r="A10154" s="39"/>
      <c r="E10154" s="40" t="s">
        <v>11404</v>
      </c>
      <c r="F10154" s="40" t="s">
        <v>11404</v>
      </c>
      <c r="G10154" s="40" t="s">
        <v>11404</v>
      </c>
      <c r="H10154" s="40" t="s">
        <v>11404</v>
      </c>
    </row>
    <row r="10155">
      <c r="A10155" s="39"/>
      <c r="E10155" s="40" t="s">
        <v>11404</v>
      </c>
      <c r="F10155" s="40" t="s">
        <v>11404</v>
      </c>
      <c r="G10155" s="40" t="s">
        <v>11404</v>
      </c>
      <c r="H10155" s="40" t="s">
        <v>11404</v>
      </c>
    </row>
    <row r="10156">
      <c r="A10156" s="39"/>
      <c r="E10156" s="40" t="s">
        <v>11404</v>
      </c>
      <c r="F10156" s="40" t="s">
        <v>11404</v>
      </c>
      <c r="G10156" s="40" t="s">
        <v>11404</v>
      </c>
      <c r="H10156" s="40" t="s">
        <v>11404</v>
      </c>
    </row>
    <row r="10157">
      <c r="A10157" s="39"/>
      <c r="E10157" s="40" t="s">
        <v>11404</v>
      </c>
      <c r="F10157" s="40" t="s">
        <v>11404</v>
      </c>
      <c r="G10157" s="40" t="s">
        <v>11404</v>
      </c>
      <c r="H10157" s="40" t="s">
        <v>11404</v>
      </c>
    </row>
    <row r="10158">
      <c r="A10158" s="39"/>
      <c r="E10158" s="40" t="s">
        <v>11404</v>
      </c>
      <c r="F10158" s="40" t="s">
        <v>11404</v>
      </c>
      <c r="G10158" s="40" t="s">
        <v>11404</v>
      </c>
      <c r="H10158" s="40" t="s">
        <v>11404</v>
      </c>
    </row>
    <row r="10159">
      <c r="A10159" s="39"/>
      <c r="E10159" s="40" t="s">
        <v>11404</v>
      </c>
      <c r="F10159" s="40" t="s">
        <v>11404</v>
      </c>
      <c r="G10159" s="40" t="s">
        <v>11404</v>
      </c>
      <c r="H10159" s="40" t="s">
        <v>11404</v>
      </c>
    </row>
    <row r="10160">
      <c r="A10160" s="39"/>
      <c r="E10160" s="40" t="s">
        <v>11404</v>
      </c>
      <c r="F10160" s="40" t="s">
        <v>11404</v>
      </c>
      <c r="G10160" s="40" t="s">
        <v>11404</v>
      </c>
      <c r="H10160" s="40" t="s">
        <v>11404</v>
      </c>
    </row>
    <row r="10161">
      <c r="A10161" s="39"/>
      <c r="E10161" s="40" t="s">
        <v>11404</v>
      </c>
      <c r="F10161" s="40" t="s">
        <v>11404</v>
      </c>
      <c r="G10161" s="40" t="s">
        <v>11404</v>
      </c>
      <c r="H10161" s="40" t="s">
        <v>11404</v>
      </c>
    </row>
    <row r="10162">
      <c r="A10162" s="39"/>
      <c r="E10162" s="40" t="s">
        <v>11404</v>
      </c>
      <c r="F10162" s="40" t="s">
        <v>11404</v>
      </c>
      <c r="G10162" s="40" t="s">
        <v>11404</v>
      </c>
      <c r="H10162" s="40" t="s">
        <v>11404</v>
      </c>
    </row>
    <row r="10163">
      <c r="A10163" s="39"/>
      <c r="E10163" s="40" t="s">
        <v>11404</v>
      </c>
      <c r="F10163" s="40" t="s">
        <v>11404</v>
      </c>
      <c r="G10163" s="40" t="s">
        <v>11404</v>
      </c>
      <c r="H10163" s="40" t="s">
        <v>11404</v>
      </c>
    </row>
    <row r="10164">
      <c r="A10164" s="39"/>
      <c r="E10164" s="40" t="s">
        <v>11404</v>
      </c>
      <c r="F10164" s="40" t="s">
        <v>11404</v>
      </c>
      <c r="G10164" s="40" t="s">
        <v>11404</v>
      </c>
      <c r="H10164" s="40" t="s">
        <v>11404</v>
      </c>
    </row>
    <row r="10165">
      <c r="A10165" s="39"/>
      <c r="E10165" s="40" t="s">
        <v>11404</v>
      </c>
      <c r="F10165" s="40" t="s">
        <v>11404</v>
      </c>
      <c r="G10165" s="40" t="s">
        <v>11404</v>
      </c>
      <c r="H10165" s="40" t="s">
        <v>11404</v>
      </c>
    </row>
    <row r="10166">
      <c r="A10166" s="39"/>
      <c r="E10166" s="40" t="s">
        <v>11404</v>
      </c>
      <c r="F10166" s="40" t="s">
        <v>11404</v>
      </c>
      <c r="G10166" s="40" t="s">
        <v>11404</v>
      </c>
      <c r="H10166" s="40" t="s">
        <v>11404</v>
      </c>
    </row>
    <row r="10167">
      <c r="A10167" s="39"/>
      <c r="E10167" s="40" t="s">
        <v>11404</v>
      </c>
      <c r="F10167" s="40" t="s">
        <v>11404</v>
      </c>
      <c r="G10167" s="40" t="s">
        <v>11404</v>
      </c>
      <c r="H10167" s="40" t="s">
        <v>11404</v>
      </c>
    </row>
    <row r="10168">
      <c r="A10168" s="39"/>
      <c r="E10168" s="40" t="s">
        <v>11404</v>
      </c>
      <c r="F10168" s="40" t="s">
        <v>11404</v>
      </c>
      <c r="G10168" s="40" t="s">
        <v>11404</v>
      </c>
      <c r="H10168" s="40" t="s">
        <v>11404</v>
      </c>
    </row>
    <row r="10169">
      <c r="A10169" s="39"/>
      <c r="E10169" s="40" t="s">
        <v>11404</v>
      </c>
      <c r="F10169" s="40" t="s">
        <v>11404</v>
      </c>
      <c r="G10169" s="40" t="s">
        <v>11404</v>
      </c>
      <c r="H10169" s="40" t="s">
        <v>11404</v>
      </c>
    </row>
    <row r="10170">
      <c r="A10170" s="39"/>
      <c r="E10170" s="40" t="s">
        <v>11404</v>
      </c>
      <c r="F10170" s="40" t="s">
        <v>11404</v>
      </c>
      <c r="G10170" s="40" t="s">
        <v>11404</v>
      </c>
      <c r="H10170" s="40" t="s">
        <v>11404</v>
      </c>
    </row>
    <row r="10171">
      <c r="A10171" s="39"/>
      <c r="E10171" s="40" t="s">
        <v>11404</v>
      </c>
      <c r="F10171" s="40" t="s">
        <v>11404</v>
      </c>
      <c r="G10171" s="40" t="s">
        <v>11404</v>
      </c>
      <c r="H10171" s="40" t="s">
        <v>11404</v>
      </c>
    </row>
    <row r="10172">
      <c r="A10172" s="39"/>
      <c r="E10172" s="40" t="s">
        <v>11404</v>
      </c>
      <c r="F10172" s="40" t="s">
        <v>11404</v>
      </c>
      <c r="G10172" s="40" t="s">
        <v>11404</v>
      </c>
      <c r="H10172" s="40" t="s">
        <v>11404</v>
      </c>
    </row>
    <row r="10173">
      <c r="A10173" s="39"/>
      <c r="E10173" s="40" t="s">
        <v>11404</v>
      </c>
      <c r="F10173" s="40" t="s">
        <v>11404</v>
      </c>
      <c r="G10173" s="40" t="s">
        <v>11404</v>
      </c>
      <c r="H10173" s="40" t="s">
        <v>11404</v>
      </c>
    </row>
    <row r="10174">
      <c r="A10174" s="39"/>
      <c r="E10174" s="40" t="s">
        <v>11404</v>
      </c>
      <c r="F10174" s="40" t="s">
        <v>11404</v>
      </c>
      <c r="G10174" s="40" t="s">
        <v>11404</v>
      </c>
      <c r="H10174" s="40" t="s">
        <v>11404</v>
      </c>
    </row>
    <row r="10175">
      <c r="A10175" s="39"/>
      <c r="E10175" s="40" t="s">
        <v>11404</v>
      </c>
      <c r="F10175" s="40" t="s">
        <v>11404</v>
      </c>
      <c r="G10175" s="40" t="s">
        <v>11404</v>
      </c>
      <c r="H10175" s="40" t="s">
        <v>11404</v>
      </c>
    </row>
    <row r="10176">
      <c r="A10176" s="39"/>
      <c r="E10176" s="40" t="s">
        <v>11404</v>
      </c>
      <c r="F10176" s="40" t="s">
        <v>11404</v>
      </c>
      <c r="G10176" s="40" t="s">
        <v>11404</v>
      </c>
      <c r="H10176" s="40" t="s">
        <v>11404</v>
      </c>
    </row>
    <row r="10177">
      <c r="A10177" s="39"/>
      <c r="E10177" s="40" t="s">
        <v>11404</v>
      </c>
      <c r="F10177" s="40" t="s">
        <v>11404</v>
      </c>
      <c r="G10177" s="40" t="s">
        <v>11404</v>
      </c>
      <c r="H10177" s="40" t="s">
        <v>11404</v>
      </c>
    </row>
    <row r="10178">
      <c r="A10178" s="39"/>
      <c r="E10178" s="40" t="s">
        <v>11404</v>
      </c>
      <c r="F10178" s="40" t="s">
        <v>11404</v>
      </c>
      <c r="G10178" s="40" t="s">
        <v>11404</v>
      </c>
      <c r="H10178" s="40" t="s">
        <v>11404</v>
      </c>
    </row>
    <row r="10179">
      <c r="A10179" s="39"/>
      <c r="E10179" s="40" t="s">
        <v>11404</v>
      </c>
      <c r="F10179" s="40" t="s">
        <v>11404</v>
      </c>
      <c r="G10179" s="40" t="s">
        <v>11404</v>
      </c>
      <c r="H10179" s="40" t="s">
        <v>11404</v>
      </c>
    </row>
    <row r="10180">
      <c r="A10180" s="39"/>
      <c r="E10180" s="40" t="s">
        <v>11404</v>
      </c>
      <c r="F10180" s="40" t="s">
        <v>11404</v>
      </c>
      <c r="G10180" s="40" t="s">
        <v>11404</v>
      </c>
      <c r="H10180" s="40" t="s">
        <v>11404</v>
      </c>
    </row>
    <row r="10181">
      <c r="A10181" s="39"/>
      <c r="E10181" s="40" t="s">
        <v>11404</v>
      </c>
      <c r="F10181" s="40" t="s">
        <v>11404</v>
      </c>
      <c r="G10181" s="40" t="s">
        <v>11404</v>
      </c>
      <c r="H10181" s="40" t="s">
        <v>11404</v>
      </c>
    </row>
    <row r="10182">
      <c r="A10182" s="39"/>
      <c r="E10182" s="40" t="s">
        <v>11404</v>
      </c>
      <c r="F10182" s="40" t="s">
        <v>11404</v>
      </c>
      <c r="G10182" s="40" t="s">
        <v>11404</v>
      </c>
      <c r="H10182" s="40" t="s">
        <v>11404</v>
      </c>
    </row>
    <row r="10183">
      <c r="A10183" s="39"/>
      <c r="E10183" s="40" t="s">
        <v>11404</v>
      </c>
      <c r="F10183" s="40" t="s">
        <v>11404</v>
      </c>
      <c r="G10183" s="40" t="s">
        <v>11404</v>
      </c>
      <c r="H10183" s="40" t="s">
        <v>11404</v>
      </c>
    </row>
    <row r="10184">
      <c r="A10184" s="39"/>
      <c r="E10184" s="40" t="s">
        <v>11404</v>
      </c>
      <c r="F10184" s="40" t="s">
        <v>11404</v>
      </c>
      <c r="G10184" s="40" t="s">
        <v>11404</v>
      </c>
      <c r="H10184" s="40" t="s">
        <v>11404</v>
      </c>
    </row>
    <row r="10185">
      <c r="A10185" s="39"/>
      <c r="E10185" s="40" t="s">
        <v>11404</v>
      </c>
      <c r="F10185" s="40" t="s">
        <v>11404</v>
      </c>
      <c r="G10185" s="40" t="s">
        <v>11404</v>
      </c>
      <c r="H10185" s="40" t="s">
        <v>11404</v>
      </c>
    </row>
    <row r="10186">
      <c r="A10186" s="39"/>
      <c r="E10186" s="40" t="s">
        <v>11404</v>
      </c>
      <c r="F10186" s="40" t="s">
        <v>11404</v>
      </c>
      <c r="G10186" s="40" t="s">
        <v>11404</v>
      </c>
      <c r="H10186" s="40" t="s">
        <v>11404</v>
      </c>
    </row>
    <row r="10187">
      <c r="A10187" s="39"/>
      <c r="E10187" s="40" t="s">
        <v>11404</v>
      </c>
      <c r="F10187" s="40" t="s">
        <v>11404</v>
      </c>
      <c r="G10187" s="40" t="s">
        <v>11404</v>
      </c>
      <c r="H10187" s="40" t="s">
        <v>11404</v>
      </c>
    </row>
    <row r="10188">
      <c r="A10188" s="39"/>
      <c r="E10188" s="40" t="s">
        <v>11404</v>
      </c>
      <c r="F10188" s="40" t="s">
        <v>11404</v>
      </c>
      <c r="G10188" s="40" t="s">
        <v>11404</v>
      </c>
      <c r="H10188" s="40" t="s">
        <v>11404</v>
      </c>
    </row>
    <row r="10189">
      <c r="A10189" s="39"/>
      <c r="E10189" s="40" t="s">
        <v>11404</v>
      </c>
      <c r="F10189" s="40" t="s">
        <v>11404</v>
      </c>
      <c r="G10189" s="40" t="s">
        <v>11404</v>
      </c>
      <c r="H10189" s="40" t="s">
        <v>11404</v>
      </c>
    </row>
    <row r="10190">
      <c r="A10190" s="39"/>
      <c r="E10190" s="40" t="s">
        <v>11404</v>
      </c>
      <c r="F10190" s="40" t="s">
        <v>11404</v>
      </c>
      <c r="G10190" s="40" t="s">
        <v>11404</v>
      </c>
      <c r="H10190" s="40" t="s">
        <v>11404</v>
      </c>
    </row>
    <row r="10191">
      <c r="A10191" s="39"/>
      <c r="E10191" s="40" t="s">
        <v>11404</v>
      </c>
      <c r="F10191" s="40" t="s">
        <v>11404</v>
      </c>
      <c r="G10191" s="40" t="s">
        <v>11404</v>
      </c>
      <c r="H10191" s="40" t="s">
        <v>11404</v>
      </c>
    </row>
    <row r="10192">
      <c r="A10192" s="39"/>
      <c r="E10192" s="40" t="s">
        <v>11404</v>
      </c>
      <c r="F10192" s="40" t="s">
        <v>11404</v>
      </c>
      <c r="G10192" s="40" t="s">
        <v>11404</v>
      </c>
      <c r="H10192" s="40" t="s">
        <v>11404</v>
      </c>
    </row>
    <row r="10193">
      <c r="A10193" s="39"/>
      <c r="E10193" s="40" t="s">
        <v>11404</v>
      </c>
      <c r="F10193" s="40" t="s">
        <v>11404</v>
      </c>
      <c r="G10193" s="40" t="s">
        <v>11404</v>
      </c>
      <c r="H10193" s="40" t="s">
        <v>11404</v>
      </c>
    </row>
    <row r="10194">
      <c r="A10194" s="39"/>
      <c r="E10194" s="40" t="s">
        <v>11404</v>
      </c>
      <c r="F10194" s="40" t="s">
        <v>11404</v>
      </c>
      <c r="G10194" s="40" t="s">
        <v>11404</v>
      </c>
      <c r="H10194" s="40" t="s">
        <v>11404</v>
      </c>
    </row>
    <row r="10195">
      <c r="A10195" s="39"/>
      <c r="E10195" s="40" t="s">
        <v>11404</v>
      </c>
      <c r="F10195" s="40" t="s">
        <v>11404</v>
      </c>
      <c r="G10195" s="40" t="s">
        <v>11404</v>
      </c>
      <c r="H10195" s="40" t="s">
        <v>11404</v>
      </c>
    </row>
    <row r="10196">
      <c r="A10196" s="39"/>
      <c r="E10196" s="40" t="s">
        <v>11404</v>
      </c>
      <c r="F10196" s="40" t="s">
        <v>11404</v>
      </c>
      <c r="G10196" s="40" t="s">
        <v>11404</v>
      </c>
      <c r="H10196" s="40" t="s">
        <v>11404</v>
      </c>
    </row>
    <row r="10197">
      <c r="A10197" s="39"/>
      <c r="E10197" s="40" t="s">
        <v>11404</v>
      </c>
      <c r="F10197" s="40" t="s">
        <v>11404</v>
      </c>
      <c r="G10197" s="40" t="s">
        <v>11404</v>
      </c>
      <c r="H10197" s="40" t="s">
        <v>11404</v>
      </c>
    </row>
    <row r="10198">
      <c r="A10198" s="39"/>
      <c r="E10198" s="40" t="s">
        <v>11404</v>
      </c>
      <c r="F10198" s="40" t="s">
        <v>11404</v>
      </c>
      <c r="G10198" s="40" t="s">
        <v>11404</v>
      </c>
      <c r="H10198" s="40" t="s">
        <v>11404</v>
      </c>
    </row>
    <row r="10199">
      <c r="A10199" s="39"/>
      <c r="E10199" s="40" t="s">
        <v>11404</v>
      </c>
      <c r="F10199" s="40" t="s">
        <v>11404</v>
      </c>
      <c r="G10199" s="40" t="s">
        <v>11404</v>
      </c>
      <c r="H10199" s="40" t="s">
        <v>11404</v>
      </c>
    </row>
    <row r="10200">
      <c r="A10200" s="39"/>
      <c r="E10200" s="40" t="s">
        <v>11404</v>
      </c>
      <c r="F10200" s="40" t="s">
        <v>11404</v>
      </c>
      <c r="G10200" s="40" t="s">
        <v>11404</v>
      </c>
      <c r="H10200" s="40" t="s">
        <v>11404</v>
      </c>
    </row>
    <row r="10201">
      <c r="A10201" s="39"/>
      <c r="E10201" s="40" t="s">
        <v>11404</v>
      </c>
      <c r="F10201" s="40" t="s">
        <v>11404</v>
      </c>
      <c r="G10201" s="40" t="s">
        <v>11404</v>
      </c>
      <c r="H10201" s="40" t="s">
        <v>11404</v>
      </c>
    </row>
    <row r="10202">
      <c r="A10202" s="39"/>
      <c r="E10202" s="40" t="s">
        <v>11404</v>
      </c>
      <c r="F10202" s="40" t="s">
        <v>11404</v>
      </c>
      <c r="G10202" s="40" t="s">
        <v>11404</v>
      </c>
      <c r="H10202" s="40" t="s">
        <v>11404</v>
      </c>
    </row>
    <row r="10203">
      <c r="A10203" s="39"/>
      <c r="E10203" s="40" t="s">
        <v>11404</v>
      </c>
      <c r="F10203" s="40" t="s">
        <v>11404</v>
      </c>
      <c r="G10203" s="40" t="s">
        <v>11404</v>
      </c>
      <c r="H10203" s="40" t="s">
        <v>11404</v>
      </c>
    </row>
    <row r="10204">
      <c r="A10204" s="39"/>
      <c r="E10204" s="40" t="s">
        <v>11404</v>
      </c>
      <c r="F10204" s="40" t="s">
        <v>11404</v>
      </c>
      <c r="G10204" s="40" t="s">
        <v>11404</v>
      </c>
      <c r="H10204" s="40" t="s">
        <v>11404</v>
      </c>
    </row>
    <row r="10205">
      <c r="A10205" s="39"/>
      <c r="E10205" s="40" t="s">
        <v>11404</v>
      </c>
      <c r="F10205" s="40" t="s">
        <v>11404</v>
      </c>
      <c r="G10205" s="40" t="s">
        <v>11404</v>
      </c>
      <c r="H10205" s="40" t="s">
        <v>11404</v>
      </c>
    </row>
    <row r="10206">
      <c r="A10206" s="39"/>
      <c r="E10206" s="40" t="s">
        <v>11404</v>
      </c>
      <c r="F10206" s="40" t="s">
        <v>11404</v>
      </c>
      <c r="G10206" s="40" t="s">
        <v>11404</v>
      </c>
      <c r="H10206" s="40" t="s">
        <v>11404</v>
      </c>
    </row>
    <row r="10207">
      <c r="A10207" s="39"/>
      <c r="E10207" s="40" t="s">
        <v>11404</v>
      </c>
      <c r="F10207" s="40" t="s">
        <v>11404</v>
      </c>
      <c r="G10207" s="40" t="s">
        <v>11404</v>
      </c>
      <c r="H10207" s="40" t="s">
        <v>11404</v>
      </c>
    </row>
    <row r="10208">
      <c r="A10208" s="39"/>
      <c r="E10208" s="40" t="s">
        <v>11404</v>
      </c>
      <c r="F10208" s="40" t="s">
        <v>11404</v>
      </c>
      <c r="G10208" s="40" t="s">
        <v>11404</v>
      </c>
      <c r="H10208" s="40" t="s">
        <v>11404</v>
      </c>
    </row>
    <row r="10209">
      <c r="A10209" s="39"/>
      <c r="E10209" s="40" t="s">
        <v>11404</v>
      </c>
      <c r="F10209" s="40" t="s">
        <v>11404</v>
      </c>
      <c r="G10209" s="40" t="s">
        <v>11404</v>
      </c>
      <c r="H10209" s="40" t="s">
        <v>11404</v>
      </c>
    </row>
    <row r="10210">
      <c r="A10210" s="39"/>
      <c r="E10210" s="40" t="s">
        <v>11404</v>
      </c>
      <c r="F10210" s="40" t="s">
        <v>11404</v>
      </c>
      <c r="G10210" s="40" t="s">
        <v>11404</v>
      </c>
      <c r="H10210" s="40" t="s">
        <v>11404</v>
      </c>
    </row>
    <row r="10211">
      <c r="A10211" s="39"/>
      <c r="E10211" s="40" t="s">
        <v>11404</v>
      </c>
      <c r="F10211" s="40" t="s">
        <v>11404</v>
      </c>
      <c r="G10211" s="40" t="s">
        <v>11404</v>
      </c>
      <c r="H10211" s="40" t="s">
        <v>11404</v>
      </c>
    </row>
    <row r="10212">
      <c r="A10212" s="39"/>
      <c r="E10212" s="40" t="s">
        <v>11404</v>
      </c>
      <c r="F10212" s="40" t="s">
        <v>11404</v>
      </c>
      <c r="G10212" s="40" t="s">
        <v>11404</v>
      </c>
      <c r="H10212" s="40" t="s">
        <v>11404</v>
      </c>
    </row>
    <row r="10213">
      <c r="A10213" s="39"/>
      <c r="E10213" s="40" t="s">
        <v>11404</v>
      </c>
      <c r="F10213" s="40" t="s">
        <v>11404</v>
      </c>
      <c r="G10213" s="40" t="s">
        <v>11404</v>
      </c>
      <c r="H10213" s="40" t="s">
        <v>11404</v>
      </c>
    </row>
    <row r="10214">
      <c r="A10214" s="39"/>
      <c r="E10214" s="40" t="s">
        <v>11404</v>
      </c>
      <c r="F10214" s="40" t="s">
        <v>11404</v>
      </c>
      <c r="G10214" s="40" t="s">
        <v>11404</v>
      </c>
      <c r="H10214" s="40" t="s">
        <v>11404</v>
      </c>
    </row>
    <row r="10215">
      <c r="A10215" s="39"/>
      <c r="E10215" s="40" t="s">
        <v>11404</v>
      </c>
      <c r="F10215" s="40" t="s">
        <v>11404</v>
      </c>
      <c r="G10215" s="40" t="s">
        <v>11404</v>
      </c>
      <c r="H10215" s="40" t="s">
        <v>11404</v>
      </c>
    </row>
    <row r="10216">
      <c r="A10216" s="39"/>
      <c r="E10216" s="40" t="s">
        <v>11404</v>
      </c>
      <c r="F10216" s="40" t="s">
        <v>11404</v>
      </c>
      <c r="G10216" s="40" t="s">
        <v>11404</v>
      </c>
      <c r="H10216" s="40" t="s">
        <v>11404</v>
      </c>
    </row>
    <row r="10217">
      <c r="A10217" s="39"/>
      <c r="E10217" s="40" t="s">
        <v>11404</v>
      </c>
      <c r="F10217" s="40" t="s">
        <v>11404</v>
      </c>
      <c r="G10217" s="40" t="s">
        <v>11404</v>
      </c>
      <c r="H10217" s="40" t="s">
        <v>11404</v>
      </c>
    </row>
    <row r="10218">
      <c r="A10218" s="39"/>
      <c r="E10218" s="40" t="s">
        <v>11404</v>
      </c>
      <c r="F10218" s="40" t="s">
        <v>11404</v>
      </c>
      <c r="G10218" s="40" t="s">
        <v>11404</v>
      </c>
      <c r="H10218" s="40" t="s">
        <v>11404</v>
      </c>
    </row>
    <row r="10219">
      <c r="A10219" s="39"/>
      <c r="E10219" s="40" t="s">
        <v>11404</v>
      </c>
      <c r="F10219" s="40" t="s">
        <v>11404</v>
      </c>
      <c r="G10219" s="40" t="s">
        <v>11404</v>
      </c>
      <c r="H10219" s="40" t="s">
        <v>11404</v>
      </c>
    </row>
    <row r="10220">
      <c r="A10220" s="39"/>
      <c r="E10220" s="40" t="s">
        <v>11404</v>
      </c>
      <c r="F10220" s="40" t="s">
        <v>11404</v>
      </c>
      <c r="G10220" s="40" t="s">
        <v>11404</v>
      </c>
      <c r="H10220" s="40" t="s">
        <v>11404</v>
      </c>
    </row>
    <row r="10221">
      <c r="A10221" s="39"/>
      <c r="E10221" s="40" t="s">
        <v>11404</v>
      </c>
      <c r="F10221" s="40" t="s">
        <v>11404</v>
      </c>
      <c r="G10221" s="40" t="s">
        <v>11404</v>
      </c>
      <c r="H10221" s="40" t="s">
        <v>11404</v>
      </c>
    </row>
    <row r="10222">
      <c r="A10222" s="39"/>
      <c r="E10222" s="40" t="s">
        <v>11404</v>
      </c>
      <c r="F10222" s="40" t="s">
        <v>11404</v>
      </c>
      <c r="G10222" s="40" t="s">
        <v>11404</v>
      </c>
      <c r="H10222" s="40" t="s">
        <v>11404</v>
      </c>
    </row>
    <row r="10223">
      <c r="A10223" s="39"/>
      <c r="E10223" s="40" t="s">
        <v>11404</v>
      </c>
      <c r="F10223" s="40" t="s">
        <v>11404</v>
      </c>
      <c r="G10223" s="40" t="s">
        <v>11404</v>
      </c>
      <c r="H10223" s="40" t="s">
        <v>11404</v>
      </c>
    </row>
    <row r="10224">
      <c r="A10224" s="39"/>
      <c r="E10224" s="40" t="s">
        <v>11404</v>
      </c>
      <c r="F10224" s="40" t="s">
        <v>11404</v>
      </c>
      <c r="G10224" s="40" t="s">
        <v>11404</v>
      </c>
      <c r="H10224" s="40" t="s">
        <v>11404</v>
      </c>
    </row>
    <row r="10225">
      <c r="A10225" s="39"/>
      <c r="E10225" s="40" t="s">
        <v>11404</v>
      </c>
      <c r="F10225" s="40" t="s">
        <v>11404</v>
      </c>
      <c r="G10225" s="40" t="s">
        <v>11404</v>
      </c>
      <c r="H10225" s="40" t="s">
        <v>11404</v>
      </c>
    </row>
    <row r="10226">
      <c r="A10226" s="39"/>
      <c r="E10226" s="40" t="s">
        <v>11404</v>
      </c>
      <c r="F10226" s="40" t="s">
        <v>11404</v>
      </c>
      <c r="G10226" s="40" t="s">
        <v>11404</v>
      </c>
      <c r="H10226" s="40" t="s">
        <v>11404</v>
      </c>
    </row>
    <row r="10227">
      <c r="A10227" s="39"/>
      <c r="E10227" s="40" t="s">
        <v>11404</v>
      </c>
      <c r="F10227" s="40" t="s">
        <v>11404</v>
      </c>
      <c r="G10227" s="40" t="s">
        <v>11404</v>
      </c>
      <c r="H10227" s="40" t="s">
        <v>11404</v>
      </c>
    </row>
    <row r="10228">
      <c r="A10228" s="39"/>
      <c r="E10228" s="40" t="s">
        <v>11404</v>
      </c>
      <c r="F10228" s="40" t="s">
        <v>11404</v>
      </c>
      <c r="G10228" s="40" t="s">
        <v>11404</v>
      </c>
      <c r="H10228" s="40" t="s">
        <v>11404</v>
      </c>
    </row>
    <row r="10229">
      <c r="A10229" s="39"/>
      <c r="E10229" s="40" t="s">
        <v>11404</v>
      </c>
      <c r="F10229" s="40" t="s">
        <v>11404</v>
      </c>
      <c r="G10229" s="40" t="s">
        <v>11404</v>
      </c>
      <c r="H10229" s="40" t="s">
        <v>11404</v>
      </c>
    </row>
    <row r="10230">
      <c r="A10230" s="39"/>
      <c r="E10230" s="40" t="s">
        <v>11404</v>
      </c>
      <c r="F10230" s="40" t="s">
        <v>11404</v>
      </c>
      <c r="G10230" s="40" t="s">
        <v>11404</v>
      </c>
      <c r="H10230" s="40" t="s">
        <v>11404</v>
      </c>
    </row>
    <row r="10231">
      <c r="A10231" s="39"/>
      <c r="E10231" s="40" t="s">
        <v>11404</v>
      </c>
      <c r="F10231" s="40" t="s">
        <v>11404</v>
      </c>
      <c r="G10231" s="40" t="s">
        <v>11404</v>
      </c>
      <c r="H10231" s="40" t="s">
        <v>11404</v>
      </c>
    </row>
    <row r="10232">
      <c r="A10232" s="39"/>
      <c r="E10232" s="40" t="s">
        <v>11404</v>
      </c>
      <c r="F10232" s="40" t="s">
        <v>11404</v>
      </c>
      <c r="G10232" s="40" t="s">
        <v>11404</v>
      </c>
      <c r="H10232" s="40" t="s">
        <v>11404</v>
      </c>
    </row>
    <row r="10233">
      <c r="A10233" s="39"/>
      <c r="E10233" s="40" t="s">
        <v>11404</v>
      </c>
      <c r="F10233" s="40" t="s">
        <v>11404</v>
      </c>
      <c r="G10233" s="40" t="s">
        <v>11404</v>
      </c>
      <c r="H10233" s="40" t="s">
        <v>11404</v>
      </c>
    </row>
    <row r="10234">
      <c r="A10234" s="39"/>
      <c r="E10234" s="40" t="s">
        <v>11404</v>
      </c>
      <c r="F10234" s="40" t="s">
        <v>11404</v>
      </c>
      <c r="G10234" s="40" t="s">
        <v>11404</v>
      </c>
      <c r="H10234" s="40" t="s">
        <v>11404</v>
      </c>
    </row>
    <row r="10235">
      <c r="A10235" s="39"/>
      <c r="E10235" s="40" t="s">
        <v>11404</v>
      </c>
      <c r="F10235" s="40" t="s">
        <v>11404</v>
      </c>
      <c r="G10235" s="40" t="s">
        <v>11404</v>
      </c>
      <c r="H10235" s="40" t="s">
        <v>11404</v>
      </c>
    </row>
    <row r="10236">
      <c r="A10236" s="39"/>
      <c r="E10236" s="40" t="s">
        <v>11404</v>
      </c>
      <c r="F10236" s="40" t="s">
        <v>11404</v>
      </c>
      <c r="G10236" s="40" t="s">
        <v>11404</v>
      </c>
      <c r="H10236" s="40" t="s">
        <v>11404</v>
      </c>
    </row>
    <row r="10237">
      <c r="A10237" s="39"/>
      <c r="E10237" s="40" t="s">
        <v>11404</v>
      </c>
      <c r="F10237" s="40" t="s">
        <v>11404</v>
      </c>
      <c r="G10237" s="40" t="s">
        <v>11404</v>
      </c>
      <c r="H10237" s="40" t="s">
        <v>11404</v>
      </c>
    </row>
    <row r="10238">
      <c r="A10238" s="39"/>
      <c r="E10238" s="40" t="s">
        <v>11404</v>
      </c>
      <c r="F10238" s="40" t="s">
        <v>11404</v>
      </c>
      <c r="G10238" s="40" t="s">
        <v>11404</v>
      </c>
      <c r="H10238" s="40" t="s">
        <v>11404</v>
      </c>
    </row>
    <row r="10239">
      <c r="A10239" s="39"/>
      <c r="E10239" s="40" t="s">
        <v>11404</v>
      </c>
      <c r="F10239" s="40" t="s">
        <v>11404</v>
      </c>
      <c r="G10239" s="40" t="s">
        <v>11404</v>
      </c>
      <c r="H10239" s="40" t="s">
        <v>11404</v>
      </c>
    </row>
    <row r="10240">
      <c r="A10240" s="39"/>
      <c r="E10240" s="40" t="s">
        <v>11404</v>
      </c>
      <c r="F10240" s="40" t="s">
        <v>11404</v>
      </c>
      <c r="G10240" s="40" t="s">
        <v>11404</v>
      </c>
      <c r="H10240" s="40" t="s">
        <v>11404</v>
      </c>
    </row>
    <row r="10241">
      <c r="A10241" s="39"/>
      <c r="E10241" s="40" t="s">
        <v>11404</v>
      </c>
      <c r="F10241" s="40" t="s">
        <v>11404</v>
      </c>
      <c r="G10241" s="40" t="s">
        <v>11404</v>
      </c>
      <c r="H10241" s="40" t="s">
        <v>11404</v>
      </c>
    </row>
    <row r="10242">
      <c r="A10242" s="39"/>
      <c r="E10242" s="40" t="s">
        <v>11404</v>
      </c>
      <c r="F10242" s="40" t="s">
        <v>11404</v>
      </c>
      <c r="G10242" s="40" t="s">
        <v>11404</v>
      </c>
      <c r="H10242" s="40" t="s">
        <v>11404</v>
      </c>
    </row>
    <row r="10243">
      <c r="A10243" s="39"/>
      <c r="E10243" s="40" t="s">
        <v>11404</v>
      </c>
      <c r="F10243" s="40" t="s">
        <v>11404</v>
      </c>
      <c r="G10243" s="40" t="s">
        <v>11404</v>
      </c>
      <c r="H10243" s="40" t="s">
        <v>11404</v>
      </c>
    </row>
    <row r="10244">
      <c r="A10244" s="39"/>
      <c r="E10244" s="40" t="s">
        <v>11404</v>
      </c>
      <c r="F10244" s="40" t="s">
        <v>11404</v>
      </c>
      <c r="G10244" s="40" t="s">
        <v>11404</v>
      </c>
      <c r="H10244" s="40" t="s">
        <v>11404</v>
      </c>
    </row>
    <row r="10245">
      <c r="A10245" s="39"/>
      <c r="E10245" s="40" t="s">
        <v>11404</v>
      </c>
      <c r="F10245" s="40" t="s">
        <v>11404</v>
      </c>
      <c r="G10245" s="40" t="s">
        <v>11404</v>
      </c>
      <c r="H10245" s="40" t="s">
        <v>11404</v>
      </c>
    </row>
    <row r="10246">
      <c r="A10246" s="39"/>
      <c r="E10246" s="40" t="s">
        <v>11404</v>
      </c>
      <c r="F10246" s="40" t="s">
        <v>11404</v>
      </c>
      <c r="G10246" s="40" t="s">
        <v>11404</v>
      </c>
      <c r="H10246" s="40" t="s">
        <v>11404</v>
      </c>
    </row>
    <row r="10247">
      <c r="A10247" s="39"/>
      <c r="E10247" s="40" t="s">
        <v>11404</v>
      </c>
      <c r="F10247" s="40" t="s">
        <v>11404</v>
      </c>
      <c r="G10247" s="40" t="s">
        <v>11404</v>
      </c>
      <c r="H10247" s="40" t="s">
        <v>11404</v>
      </c>
    </row>
    <row r="10248">
      <c r="A10248" s="39"/>
      <c r="E10248" s="40" t="s">
        <v>11404</v>
      </c>
      <c r="F10248" s="40" t="s">
        <v>11404</v>
      </c>
      <c r="G10248" s="40" t="s">
        <v>11404</v>
      </c>
      <c r="H10248" s="40" t="s">
        <v>11404</v>
      </c>
    </row>
    <row r="10249">
      <c r="A10249" s="39"/>
      <c r="E10249" s="40" t="s">
        <v>11404</v>
      </c>
      <c r="F10249" s="40" t="s">
        <v>11404</v>
      </c>
      <c r="G10249" s="40" t="s">
        <v>11404</v>
      </c>
      <c r="H10249" s="40" t="s">
        <v>11404</v>
      </c>
    </row>
    <row r="10250">
      <c r="A10250" s="39"/>
      <c r="E10250" s="40" t="s">
        <v>11404</v>
      </c>
      <c r="F10250" s="40" t="s">
        <v>11404</v>
      </c>
      <c r="G10250" s="40" t="s">
        <v>11404</v>
      </c>
      <c r="H10250" s="40" t="s">
        <v>11404</v>
      </c>
    </row>
    <row r="10251">
      <c r="A10251" s="39"/>
      <c r="E10251" s="40" t="s">
        <v>11404</v>
      </c>
      <c r="F10251" s="40" t="s">
        <v>11404</v>
      </c>
      <c r="G10251" s="40" t="s">
        <v>11404</v>
      </c>
      <c r="H10251" s="40" t="s">
        <v>11404</v>
      </c>
    </row>
    <row r="10252">
      <c r="A10252" s="39"/>
      <c r="E10252" s="40" t="s">
        <v>11404</v>
      </c>
      <c r="F10252" s="40" t="s">
        <v>11404</v>
      </c>
      <c r="G10252" s="40" t="s">
        <v>11404</v>
      </c>
      <c r="H10252" s="40" t="s">
        <v>11404</v>
      </c>
    </row>
    <row r="10253">
      <c r="A10253" s="39"/>
      <c r="E10253" s="40" t="s">
        <v>11404</v>
      </c>
      <c r="F10253" s="40" t="s">
        <v>11404</v>
      </c>
      <c r="G10253" s="40" t="s">
        <v>11404</v>
      </c>
      <c r="H10253" s="40" t="s">
        <v>11404</v>
      </c>
    </row>
    <row r="10254">
      <c r="A10254" s="39"/>
      <c r="E10254" s="40" t="s">
        <v>11404</v>
      </c>
      <c r="F10254" s="40" t="s">
        <v>11404</v>
      </c>
      <c r="G10254" s="40" t="s">
        <v>11404</v>
      </c>
      <c r="H10254" s="40" t="s">
        <v>11404</v>
      </c>
    </row>
    <row r="10255">
      <c r="A10255" s="39"/>
      <c r="E10255" s="40" t="s">
        <v>11404</v>
      </c>
      <c r="F10255" s="40" t="s">
        <v>11404</v>
      </c>
      <c r="G10255" s="40" t="s">
        <v>11404</v>
      </c>
      <c r="H10255" s="40" t="s">
        <v>11404</v>
      </c>
    </row>
    <row r="10256">
      <c r="A10256" s="39"/>
      <c r="E10256" s="40" t="s">
        <v>11404</v>
      </c>
      <c r="F10256" s="40" t="s">
        <v>11404</v>
      </c>
      <c r="G10256" s="40" t="s">
        <v>11404</v>
      </c>
      <c r="H10256" s="40" t="s">
        <v>11404</v>
      </c>
    </row>
    <row r="10257">
      <c r="A10257" s="39"/>
      <c r="E10257" s="40" t="s">
        <v>11404</v>
      </c>
      <c r="F10257" s="40" t="s">
        <v>11404</v>
      </c>
      <c r="G10257" s="40" t="s">
        <v>11404</v>
      </c>
      <c r="H10257" s="40" t="s">
        <v>11404</v>
      </c>
    </row>
    <row r="10258">
      <c r="A10258" s="39"/>
      <c r="E10258" s="40" t="s">
        <v>11404</v>
      </c>
      <c r="F10258" s="40" t="s">
        <v>11404</v>
      </c>
      <c r="G10258" s="40" t="s">
        <v>11404</v>
      </c>
      <c r="H10258" s="40" t="s">
        <v>11404</v>
      </c>
    </row>
    <row r="10259">
      <c r="A10259" s="39"/>
      <c r="E10259" s="40" t="s">
        <v>11404</v>
      </c>
      <c r="F10259" s="40" t="s">
        <v>11404</v>
      </c>
      <c r="G10259" s="40" t="s">
        <v>11404</v>
      </c>
      <c r="H10259" s="40" t="s">
        <v>11404</v>
      </c>
    </row>
    <row r="10260">
      <c r="A10260" s="39"/>
      <c r="E10260" s="40" t="s">
        <v>11404</v>
      </c>
      <c r="F10260" s="40" t="s">
        <v>11404</v>
      </c>
      <c r="G10260" s="40" t="s">
        <v>11404</v>
      </c>
      <c r="H10260" s="40" t="s">
        <v>11404</v>
      </c>
    </row>
    <row r="10261">
      <c r="A10261" s="39"/>
      <c r="E10261" s="40" t="s">
        <v>11404</v>
      </c>
      <c r="F10261" s="40" t="s">
        <v>11404</v>
      </c>
      <c r="G10261" s="40" t="s">
        <v>11404</v>
      </c>
      <c r="H10261" s="40" t="s">
        <v>11404</v>
      </c>
    </row>
    <row r="10262">
      <c r="A10262" s="39"/>
      <c r="E10262" s="40" t="s">
        <v>11404</v>
      </c>
      <c r="F10262" s="40" t="s">
        <v>11404</v>
      </c>
      <c r="G10262" s="40" t="s">
        <v>11404</v>
      </c>
      <c r="H10262" s="40" t="s">
        <v>11404</v>
      </c>
    </row>
    <row r="10263">
      <c r="A10263" s="39"/>
      <c r="E10263" s="40" t="s">
        <v>11404</v>
      </c>
      <c r="F10263" s="40" t="s">
        <v>11404</v>
      </c>
      <c r="G10263" s="40" t="s">
        <v>11404</v>
      </c>
      <c r="H10263" s="40" t="s">
        <v>11404</v>
      </c>
    </row>
    <row r="10264">
      <c r="A10264" s="39"/>
      <c r="E10264" s="40" t="s">
        <v>11404</v>
      </c>
      <c r="F10264" s="40" t="s">
        <v>11404</v>
      </c>
      <c r="G10264" s="40" t="s">
        <v>11404</v>
      </c>
      <c r="H10264" s="40" t="s">
        <v>11404</v>
      </c>
    </row>
    <row r="10265">
      <c r="A10265" s="39"/>
      <c r="E10265" s="40" t="s">
        <v>11404</v>
      </c>
      <c r="F10265" s="40" t="s">
        <v>11404</v>
      </c>
      <c r="G10265" s="40" t="s">
        <v>11404</v>
      </c>
      <c r="H10265" s="40" t="s">
        <v>11404</v>
      </c>
    </row>
    <row r="10266">
      <c r="A10266" s="39"/>
      <c r="E10266" s="40" t="s">
        <v>11404</v>
      </c>
      <c r="F10266" s="40" t="s">
        <v>11404</v>
      </c>
      <c r="G10266" s="40" t="s">
        <v>11404</v>
      </c>
      <c r="H10266" s="40" t="s">
        <v>11404</v>
      </c>
    </row>
    <row r="10267">
      <c r="A10267" s="39"/>
      <c r="E10267" s="40" t="s">
        <v>11404</v>
      </c>
      <c r="F10267" s="40" t="s">
        <v>11404</v>
      </c>
      <c r="G10267" s="40" t="s">
        <v>11404</v>
      </c>
      <c r="H10267" s="40" t="s">
        <v>11404</v>
      </c>
    </row>
    <row r="10268">
      <c r="A10268" s="39"/>
      <c r="E10268" s="40" t="s">
        <v>11404</v>
      </c>
      <c r="F10268" s="40" t="s">
        <v>11404</v>
      </c>
      <c r="G10268" s="40" t="s">
        <v>11404</v>
      </c>
      <c r="H10268" s="40" t="s">
        <v>11404</v>
      </c>
    </row>
    <row r="10269">
      <c r="A10269" s="39"/>
      <c r="E10269" s="40" t="s">
        <v>11404</v>
      </c>
      <c r="F10269" s="40" t="s">
        <v>11404</v>
      </c>
      <c r="G10269" s="40" t="s">
        <v>11404</v>
      </c>
      <c r="H10269" s="40" t="s">
        <v>11404</v>
      </c>
    </row>
    <row r="10270">
      <c r="A10270" s="39"/>
      <c r="E10270" s="40" t="s">
        <v>11404</v>
      </c>
      <c r="F10270" s="40" t="s">
        <v>11404</v>
      </c>
      <c r="G10270" s="40" t="s">
        <v>11404</v>
      </c>
      <c r="H10270" s="40" t="s">
        <v>11404</v>
      </c>
    </row>
    <row r="10271">
      <c r="A10271" s="39"/>
      <c r="E10271" s="40" t="s">
        <v>11404</v>
      </c>
      <c r="F10271" s="40" t="s">
        <v>11404</v>
      </c>
      <c r="G10271" s="40" t="s">
        <v>11404</v>
      </c>
      <c r="H10271" s="40" t="s">
        <v>11404</v>
      </c>
    </row>
    <row r="10272">
      <c r="A10272" s="39"/>
      <c r="E10272" s="40" t="s">
        <v>11404</v>
      </c>
      <c r="F10272" s="40" t="s">
        <v>11404</v>
      </c>
      <c r="G10272" s="40" t="s">
        <v>11404</v>
      </c>
      <c r="H10272" s="40" t="s">
        <v>11404</v>
      </c>
    </row>
    <row r="10273">
      <c r="A10273" s="39"/>
      <c r="E10273" s="40" t="s">
        <v>11404</v>
      </c>
      <c r="F10273" s="40" t="s">
        <v>11404</v>
      </c>
      <c r="G10273" s="40" t="s">
        <v>11404</v>
      </c>
      <c r="H10273" s="40" t="s">
        <v>11404</v>
      </c>
    </row>
    <row r="10274">
      <c r="A10274" s="39"/>
      <c r="E10274" s="40" t="s">
        <v>11404</v>
      </c>
      <c r="F10274" s="40" t="s">
        <v>11404</v>
      </c>
      <c r="G10274" s="40" t="s">
        <v>11404</v>
      </c>
      <c r="H10274" s="40" t="s">
        <v>11404</v>
      </c>
    </row>
    <row r="10275">
      <c r="A10275" s="39"/>
      <c r="E10275" s="40" t="s">
        <v>11404</v>
      </c>
      <c r="F10275" s="40" t="s">
        <v>11404</v>
      </c>
      <c r="G10275" s="40" t="s">
        <v>11404</v>
      </c>
      <c r="H10275" s="40" t="s">
        <v>11404</v>
      </c>
    </row>
    <row r="10276">
      <c r="A10276" s="39"/>
      <c r="E10276" s="40" t="s">
        <v>11404</v>
      </c>
      <c r="F10276" s="40" t="s">
        <v>11404</v>
      </c>
      <c r="G10276" s="40" t="s">
        <v>11404</v>
      </c>
      <c r="H10276" s="40" t="s">
        <v>11404</v>
      </c>
    </row>
    <row r="10277">
      <c r="A10277" s="39"/>
      <c r="E10277" s="40" t="s">
        <v>11404</v>
      </c>
      <c r="F10277" s="40" t="s">
        <v>11404</v>
      </c>
      <c r="G10277" s="40" t="s">
        <v>11404</v>
      </c>
      <c r="H10277" s="40" t="s">
        <v>11404</v>
      </c>
    </row>
    <row r="10278">
      <c r="A10278" s="39"/>
      <c r="E10278" s="40" t="s">
        <v>11404</v>
      </c>
      <c r="F10278" s="40" t="s">
        <v>11404</v>
      </c>
      <c r="G10278" s="40" t="s">
        <v>11404</v>
      </c>
      <c r="H10278" s="40" t="s">
        <v>11404</v>
      </c>
    </row>
    <row r="10279">
      <c r="A10279" s="39"/>
      <c r="E10279" s="40" t="s">
        <v>11404</v>
      </c>
      <c r="F10279" s="40" t="s">
        <v>11404</v>
      </c>
      <c r="G10279" s="40" t="s">
        <v>11404</v>
      </c>
      <c r="H10279" s="40" t="s">
        <v>11404</v>
      </c>
    </row>
    <row r="10280">
      <c r="A10280" s="39"/>
      <c r="E10280" s="40" t="s">
        <v>11404</v>
      </c>
      <c r="F10280" s="40" t="s">
        <v>11404</v>
      </c>
      <c r="G10280" s="40" t="s">
        <v>11404</v>
      </c>
      <c r="H10280" s="40" t="s">
        <v>11404</v>
      </c>
    </row>
    <row r="10281">
      <c r="A10281" s="39"/>
      <c r="E10281" s="40" t="s">
        <v>11404</v>
      </c>
      <c r="F10281" s="40" t="s">
        <v>11404</v>
      </c>
      <c r="G10281" s="40" t="s">
        <v>11404</v>
      </c>
      <c r="H10281" s="40" t="s">
        <v>11404</v>
      </c>
    </row>
    <row r="10282">
      <c r="A10282" s="39"/>
      <c r="E10282" s="40" t="s">
        <v>11404</v>
      </c>
      <c r="F10282" s="40" t="s">
        <v>11404</v>
      </c>
      <c r="G10282" s="40" t="s">
        <v>11404</v>
      </c>
      <c r="H10282" s="40" t="s">
        <v>11404</v>
      </c>
    </row>
    <row r="10283">
      <c r="A10283" s="39"/>
      <c r="E10283" s="40" t="s">
        <v>11404</v>
      </c>
      <c r="F10283" s="40" t="s">
        <v>11404</v>
      </c>
      <c r="G10283" s="40" t="s">
        <v>11404</v>
      </c>
      <c r="H10283" s="40" t="s">
        <v>11404</v>
      </c>
    </row>
    <row r="10284">
      <c r="A10284" s="39"/>
      <c r="E10284" s="40" t="s">
        <v>11404</v>
      </c>
      <c r="F10284" s="40" t="s">
        <v>11404</v>
      </c>
      <c r="G10284" s="40" t="s">
        <v>11404</v>
      </c>
      <c r="H10284" s="40" t="s">
        <v>11404</v>
      </c>
    </row>
    <row r="10285">
      <c r="A10285" s="39"/>
      <c r="E10285" s="40" t="s">
        <v>11404</v>
      </c>
      <c r="F10285" s="40" t="s">
        <v>11404</v>
      </c>
      <c r="G10285" s="40" t="s">
        <v>11404</v>
      </c>
      <c r="H10285" s="40" t="s">
        <v>11404</v>
      </c>
    </row>
    <row r="10286">
      <c r="A10286" s="39"/>
      <c r="E10286" s="40" t="s">
        <v>11404</v>
      </c>
      <c r="F10286" s="40" t="s">
        <v>11404</v>
      </c>
      <c r="G10286" s="40" t="s">
        <v>11404</v>
      </c>
      <c r="H10286" s="40" t="s">
        <v>11404</v>
      </c>
    </row>
    <row r="10287">
      <c r="A10287" s="39"/>
      <c r="E10287" s="40" t="s">
        <v>11404</v>
      </c>
      <c r="F10287" s="40" t="s">
        <v>11404</v>
      </c>
      <c r="G10287" s="40" t="s">
        <v>11404</v>
      </c>
      <c r="H10287" s="40" t="s">
        <v>11404</v>
      </c>
    </row>
    <row r="10288">
      <c r="A10288" s="39"/>
      <c r="E10288" s="40" t="s">
        <v>11404</v>
      </c>
      <c r="F10288" s="40" t="s">
        <v>11404</v>
      </c>
      <c r="G10288" s="40" t="s">
        <v>11404</v>
      </c>
      <c r="H10288" s="40" t="s">
        <v>11404</v>
      </c>
    </row>
    <row r="10289">
      <c r="A10289" s="39"/>
      <c r="E10289" s="40" t="s">
        <v>11404</v>
      </c>
      <c r="F10289" s="40" t="s">
        <v>11404</v>
      </c>
      <c r="G10289" s="40" t="s">
        <v>11404</v>
      </c>
      <c r="H10289" s="40" t="s">
        <v>11404</v>
      </c>
    </row>
    <row r="10290">
      <c r="A10290" s="39"/>
      <c r="E10290" s="40" t="s">
        <v>11404</v>
      </c>
      <c r="F10290" s="40" t="s">
        <v>11404</v>
      </c>
      <c r="G10290" s="40" t="s">
        <v>11404</v>
      </c>
      <c r="H10290" s="40" t="s">
        <v>11404</v>
      </c>
    </row>
    <row r="10291">
      <c r="A10291" s="39"/>
      <c r="E10291" s="40" t="s">
        <v>11404</v>
      </c>
      <c r="F10291" s="40" t="s">
        <v>11404</v>
      </c>
      <c r="G10291" s="40" t="s">
        <v>11404</v>
      </c>
      <c r="H10291" s="40" t="s">
        <v>11404</v>
      </c>
    </row>
    <row r="10292">
      <c r="A10292" s="39"/>
      <c r="E10292" s="40" t="s">
        <v>11404</v>
      </c>
      <c r="F10292" s="40" t="s">
        <v>11404</v>
      </c>
      <c r="G10292" s="40" t="s">
        <v>11404</v>
      </c>
      <c r="H10292" s="40" t="s">
        <v>11404</v>
      </c>
    </row>
    <row r="10293">
      <c r="A10293" s="39"/>
      <c r="E10293" s="40" t="s">
        <v>11404</v>
      </c>
      <c r="F10293" s="40" t="s">
        <v>11404</v>
      </c>
      <c r="G10293" s="40" t="s">
        <v>11404</v>
      </c>
      <c r="H10293" s="40" t="s">
        <v>11404</v>
      </c>
    </row>
    <row r="10294">
      <c r="A10294" s="39"/>
      <c r="E10294" s="40" t="s">
        <v>11404</v>
      </c>
      <c r="F10294" s="40" t="s">
        <v>11404</v>
      </c>
      <c r="G10294" s="40" t="s">
        <v>11404</v>
      </c>
      <c r="H10294" s="40" t="s">
        <v>11404</v>
      </c>
    </row>
    <row r="10295">
      <c r="A10295" s="39"/>
      <c r="E10295" s="40" t="s">
        <v>11404</v>
      </c>
      <c r="F10295" s="40" t="s">
        <v>11404</v>
      </c>
      <c r="G10295" s="40" t="s">
        <v>11404</v>
      </c>
      <c r="H10295" s="40" t="s">
        <v>11404</v>
      </c>
    </row>
    <row r="10296">
      <c r="A10296" s="39"/>
      <c r="E10296" s="40" t="s">
        <v>11404</v>
      </c>
      <c r="F10296" s="40" t="s">
        <v>11404</v>
      </c>
      <c r="G10296" s="40" t="s">
        <v>11404</v>
      </c>
      <c r="H10296" s="40" t="s">
        <v>11404</v>
      </c>
    </row>
    <row r="10297">
      <c r="A10297" s="39"/>
      <c r="E10297" s="40" t="s">
        <v>11404</v>
      </c>
      <c r="F10297" s="40" t="s">
        <v>11404</v>
      </c>
      <c r="G10297" s="40" t="s">
        <v>11404</v>
      </c>
      <c r="H10297" s="40" t="s">
        <v>11404</v>
      </c>
    </row>
    <row r="10298">
      <c r="A10298" s="39"/>
      <c r="E10298" s="40" t="s">
        <v>11404</v>
      </c>
      <c r="F10298" s="40" t="s">
        <v>11404</v>
      </c>
      <c r="G10298" s="40" t="s">
        <v>11404</v>
      </c>
      <c r="H10298" s="40" t="s">
        <v>11404</v>
      </c>
    </row>
    <row r="10299">
      <c r="A10299" s="39"/>
      <c r="E10299" s="40" t="s">
        <v>11404</v>
      </c>
      <c r="F10299" s="40" t="s">
        <v>11404</v>
      </c>
      <c r="G10299" s="40" t="s">
        <v>11404</v>
      </c>
      <c r="H10299" s="40" t="s">
        <v>11404</v>
      </c>
    </row>
    <row r="10300">
      <c r="A10300" s="39"/>
      <c r="E10300" s="40" t="s">
        <v>11404</v>
      </c>
      <c r="F10300" s="40" t="s">
        <v>11404</v>
      </c>
      <c r="G10300" s="40" t="s">
        <v>11404</v>
      </c>
      <c r="H10300" s="40" t="s">
        <v>11404</v>
      </c>
    </row>
    <row r="10301">
      <c r="A10301" s="39"/>
      <c r="E10301" s="40" t="s">
        <v>11404</v>
      </c>
      <c r="F10301" s="40" t="s">
        <v>11404</v>
      </c>
      <c r="G10301" s="40" t="s">
        <v>11404</v>
      </c>
      <c r="H10301" s="40" t="s">
        <v>11404</v>
      </c>
    </row>
    <row r="10302">
      <c r="A10302" s="39"/>
      <c r="E10302" s="40" t="s">
        <v>11404</v>
      </c>
      <c r="F10302" s="40" t="s">
        <v>11404</v>
      </c>
      <c r="G10302" s="40" t="s">
        <v>11404</v>
      </c>
      <c r="H10302" s="40" t="s">
        <v>11404</v>
      </c>
    </row>
    <row r="10303">
      <c r="A10303" s="39"/>
      <c r="E10303" s="40" t="s">
        <v>11404</v>
      </c>
      <c r="F10303" s="40" t="s">
        <v>11404</v>
      </c>
      <c r="G10303" s="40" t="s">
        <v>11404</v>
      </c>
      <c r="H10303" s="40" t="s">
        <v>11404</v>
      </c>
    </row>
    <row r="10304">
      <c r="A10304" s="39"/>
      <c r="E10304" s="40" t="s">
        <v>11404</v>
      </c>
      <c r="F10304" s="40" t="s">
        <v>11404</v>
      </c>
      <c r="G10304" s="40" t="s">
        <v>11404</v>
      </c>
      <c r="H10304" s="40" t="s">
        <v>11404</v>
      </c>
    </row>
    <row r="10305">
      <c r="A10305" s="39"/>
      <c r="E10305" s="40" t="s">
        <v>11404</v>
      </c>
      <c r="F10305" s="40" t="s">
        <v>11404</v>
      </c>
      <c r="G10305" s="40" t="s">
        <v>11404</v>
      </c>
      <c r="H10305" s="40" t="s">
        <v>11404</v>
      </c>
    </row>
    <row r="10306">
      <c r="A10306" s="39"/>
      <c r="E10306" s="40" t="s">
        <v>11404</v>
      </c>
      <c r="F10306" s="40" t="s">
        <v>11404</v>
      </c>
      <c r="G10306" s="40" t="s">
        <v>11404</v>
      </c>
      <c r="H10306" s="40" t="s">
        <v>11404</v>
      </c>
    </row>
    <row r="10307">
      <c r="A10307" s="39"/>
      <c r="E10307" s="40" t="s">
        <v>11404</v>
      </c>
      <c r="F10307" s="40" t="s">
        <v>11404</v>
      </c>
      <c r="G10307" s="40" t="s">
        <v>11404</v>
      </c>
      <c r="H10307" s="40" t="s">
        <v>11404</v>
      </c>
    </row>
    <row r="10308">
      <c r="A10308" s="39"/>
      <c r="E10308" s="40" t="s">
        <v>11404</v>
      </c>
      <c r="F10308" s="40" t="s">
        <v>11404</v>
      </c>
      <c r="G10308" s="40" t="s">
        <v>11404</v>
      </c>
      <c r="H10308" s="40" t="s">
        <v>11404</v>
      </c>
    </row>
    <row r="10309">
      <c r="A10309" s="39"/>
      <c r="E10309" s="40" t="s">
        <v>11404</v>
      </c>
      <c r="F10309" s="40" t="s">
        <v>11404</v>
      </c>
      <c r="G10309" s="40" t="s">
        <v>11404</v>
      </c>
      <c r="H10309" s="40" t="s">
        <v>11404</v>
      </c>
    </row>
    <row r="10310">
      <c r="A10310" s="39"/>
      <c r="E10310" s="40" t="s">
        <v>11404</v>
      </c>
      <c r="F10310" s="40" t="s">
        <v>11404</v>
      </c>
      <c r="G10310" s="40" t="s">
        <v>11404</v>
      </c>
      <c r="H10310" s="40" t="s">
        <v>11404</v>
      </c>
    </row>
    <row r="10311">
      <c r="A10311" s="39"/>
      <c r="E10311" s="40" t="s">
        <v>11404</v>
      </c>
      <c r="F10311" s="40" t="s">
        <v>11404</v>
      </c>
      <c r="G10311" s="40" t="s">
        <v>11404</v>
      </c>
      <c r="H10311" s="40" t="s">
        <v>11404</v>
      </c>
    </row>
    <row r="10312">
      <c r="A10312" s="39"/>
      <c r="E10312" s="40" t="s">
        <v>11404</v>
      </c>
      <c r="F10312" s="40" t="s">
        <v>11404</v>
      </c>
      <c r="G10312" s="40" t="s">
        <v>11404</v>
      </c>
      <c r="H10312" s="40" t="s">
        <v>11404</v>
      </c>
    </row>
    <row r="10313">
      <c r="A10313" s="39"/>
      <c r="E10313" s="40" t="s">
        <v>11404</v>
      </c>
      <c r="F10313" s="40" t="s">
        <v>11404</v>
      </c>
      <c r="G10313" s="40" t="s">
        <v>11404</v>
      </c>
      <c r="H10313" s="40" t="s">
        <v>11404</v>
      </c>
    </row>
    <row r="10314">
      <c r="A10314" s="39"/>
      <c r="E10314" s="40" t="s">
        <v>11404</v>
      </c>
      <c r="F10314" s="40" t="s">
        <v>11404</v>
      </c>
      <c r="G10314" s="40" t="s">
        <v>11404</v>
      </c>
      <c r="H10314" s="40" t="s">
        <v>11404</v>
      </c>
    </row>
    <row r="10315">
      <c r="A10315" s="39"/>
      <c r="E10315" s="40" t="s">
        <v>11404</v>
      </c>
      <c r="F10315" s="40" t="s">
        <v>11404</v>
      </c>
      <c r="G10315" s="40" t="s">
        <v>11404</v>
      </c>
      <c r="H10315" s="40" t="s">
        <v>11404</v>
      </c>
    </row>
    <row r="10316">
      <c r="A10316" s="39"/>
      <c r="E10316" s="40" t="s">
        <v>11404</v>
      </c>
      <c r="F10316" s="40" t="s">
        <v>11404</v>
      </c>
      <c r="G10316" s="40" t="s">
        <v>11404</v>
      </c>
      <c r="H10316" s="40" t="s">
        <v>11404</v>
      </c>
    </row>
    <row r="10317">
      <c r="A10317" s="39"/>
      <c r="E10317" s="40" t="s">
        <v>11404</v>
      </c>
      <c r="F10317" s="40" t="s">
        <v>11404</v>
      </c>
      <c r="G10317" s="40" t="s">
        <v>11404</v>
      </c>
      <c r="H10317" s="40" t="s">
        <v>11404</v>
      </c>
    </row>
    <row r="10318">
      <c r="A10318" s="39"/>
      <c r="E10318" s="40" t="s">
        <v>11404</v>
      </c>
      <c r="F10318" s="40" t="s">
        <v>11404</v>
      </c>
      <c r="G10318" s="40" t="s">
        <v>11404</v>
      </c>
      <c r="H10318" s="40" t="s">
        <v>11404</v>
      </c>
    </row>
    <row r="10319">
      <c r="A10319" s="39"/>
      <c r="E10319" s="40" t="s">
        <v>11404</v>
      </c>
      <c r="F10319" s="40" t="s">
        <v>11404</v>
      </c>
      <c r="G10319" s="40" t="s">
        <v>11404</v>
      </c>
      <c r="H10319" s="40" t="s">
        <v>11404</v>
      </c>
    </row>
    <row r="10320">
      <c r="A10320" s="39"/>
      <c r="E10320" s="40" t="s">
        <v>11404</v>
      </c>
      <c r="F10320" s="40" t="s">
        <v>11404</v>
      </c>
      <c r="G10320" s="40" t="s">
        <v>11404</v>
      </c>
      <c r="H10320" s="40" t="s">
        <v>11404</v>
      </c>
    </row>
    <row r="10321">
      <c r="A10321" s="39"/>
      <c r="E10321" s="40" t="s">
        <v>11404</v>
      </c>
      <c r="F10321" s="40" t="s">
        <v>11404</v>
      </c>
      <c r="G10321" s="40" t="s">
        <v>11404</v>
      </c>
      <c r="H10321" s="40" t="s">
        <v>11404</v>
      </c>
    </row>
    <row r="10322">
      <c r="A10322" s="39"/>
      <c r="E10322" s="40" t="s">
        <v>11404</v>
      </c>
      <c r="F10322" s="40" t="s">
        <v>11404</v>
      </c>
      <c r="G10322" s="40" t="s">
        <v>11404</v>
      </c>
      <c r="H10322" s="40" t="s">
        <v>11404</v>
      </c>
    </row>
    <row r="10323">
      <c r="A10323" s="39"/>
      <c r="E10323" s="40" t="s">
        <v>11404</v>
      </c>
      <c r="F10323" s="40" t="s">
        <v>11404</v>
      </c>
      <c r="G10323" s="40" t="s">
        <v>11404</v>
      </c>
      <c r="H10323" s="40" t="s">
        <v>11404</v>
      </c>
    </row>
    <row r="10324">
      <c r="A10324" s="39"/>
      <c r="E10324" s="40" t="s">
        <v>11404</v>
      </c>
      <c r="F10324" s="40" t="s">
        <v>11404</v>
      </c>
      <c r="G10324" s="40" t="s">
        <v>11404</v>
      </c>
      <c r="H10324" s="40" t="s">
        <v>11404</v>
      </c>
    </row>
    <row r="10325">
      <c r="A10325" s="39"/>
      <c r="E10325" s="40" t="s">
        <v>11404</v>
      </c>
      <c r="F10325" s="40" t="s">
        <v>11404</v>
      </c>
      <c r="G10325" s="40" t="s">
        <v>11404</v>
      </c>
      <c r="H10325" s="40" t="s">
        <v>11404</v>
      </c>
    </row>
    <row r="10326">
      <c r="A10326" s="39"/>
      <c r="E10326" s="40" t="s">
        <v>11404</v>
      </c>
      <c r="F10326" s="40" t="s">
        <v>11404</v>
      </c>
      <c r="G10326" s="40" t="s">
        <v>11404</v>
      </c>
      <c r="H10326" s="40" t="s">
        <v>11404</v>
      </c>
    </row>
    <row r="10327">
      <c r="A10327" s="39"/>
      <c r="E10327" s="40" t="s">
        <v>11404</v>
      </c>
      <c r="F10327" s="40" t="s">
        <v>11404</v>
      </c>
      <c r="G10327" s="40" t="s">
        <v>11404</v>
      </c>
      <c r="H10327" s="40" t="s">
        <v>11404</v>
      </c>
    </row>
    <row r="10328">
      <c r="A10328" s="39"/>
      <c r="E10328" s="40" t="s">
        <v>11404</v>
      </c>
      <c r="F10328" s="40" t="s">
        <v>11404</v>
      </c>
      <c r="G10328" s="40" t="s">
        <v>11404</v>
      </c>
      <c r="H10328" s="40" t="s">
        <v>11404</v>
      </c>
    </row>
    <row r="10329">
      <c r="A10329" s="39"/>
      <c r="E10329" s="40" t="s">
        <v>11404</v>
      </c>
      <c r="F10329" s="40" t="s">
        <v>11404</v>
      </c>
      <c r="G10329" s="40" t="s">
        <v>11404</v>
      </c>
      <c r="H10329" s="40" t="s">
        <v>11404</v>
      </c>
    </row>
    <row r="10330">
      <c r="A10330" s="39"/>
      <c r="E10330" s="40" t="s">
        <v>11404</v>
      </c>
      <c r="F10330" s="40" t="s">
        <v>11404</v>
      </c>
      <c r="G10330" s="40" t="s">
        <v>11404</v>
      </c>
      <c r="H10330" s="40" t="s">
        <v>11404</v>
      </c>
    </row>
    <row r="10331">
      <c r="A10331" s="39"/>
      <c r="E10331" s="40" t="s">
        <v>11404</v>
      </c>
      <c r="F10331" s="40" t="s">
        <v>11404</v>
      </c>
      <c r="G10331" s="40" t="s">
        <v>11404</v>
      </c>
      <c r="H10331" s="40" t="s">
        <v>11404</v>
      </c>
    </row>
    <row r="10332">
      <c r="A10332" s="39"/>
      <c r="E10332" s="40" t="s">
        <v>11404</v>
      </c>
      <c r="F10332" s="40" t="s">
        <v>11404</v>
      </c>
      <c r="G10332" s="40" t="s">
        <v>11404</v>
      </c>
      <c r="H10332" s="40" t="s">
        <v>11404</v>
      </c>
    </row>
    <row r="10333">
      <c r="A10333" s="39"/>
      <c r="E10333" s="40" t="s">
        <v>11404</v>
      </c>
      <c r="F10333" s="40" t="s">
        <v>11404</v>
      </c>
      <c r="G10333" s="40" t="s">
        <v>11404</v>
      </c>
      <c r="H10333" s="40" t="s">
        <v>11404</v>
      </c>
    </row>
    <row r="10334">
      <c r="A10334" s="39"/>
      <c r="E10334" s="40" t="s">
        <v>11404</v>
      </c>
      <c r="F10334" s="40" t="s">
        <v>11404</v>
      </c>
      <c r="G10334" s="40" t="s">
        <v>11404</v>
      </c>
      <c r="H10334" s="40" t="s">
        <v>11404</v>
      </c>
    </row>
    <row r="10335">
      <c r="A10335" s="39"/>
      <c r="E10335" s="40" t="s">
        <v>11404</v>
      </c>
      <c r="F10335" s="40" t="s">
        <v>11404</v>
      </c>
      <c r="G10335" s="40" t="s">
        <v>11404</v>
      </c>
      <c r="H10335" s="40" t="s">
        <v>11404</v>
      </c>
    </row>
    <row r="10336">
      <c r="A10336" s="39"/>
      <c r="E10336" s="40" t="s">
        <v>11404</v>
      </c>
      <c r="F10336" s="40" t="s">
        <v>11404</v>
      </c>
      <c r="G10336" s="40" t="s">
        <v>11404</v>
      </c>
      <c r="H10336" s="40" t="s">
        <v>11404</v>
      </c>
    </row>
    <row r="10337">
      <c r="A10337" s="39"/>
      <c r="E10337" s="40" t="s">
        <v>11404</v>
      </c>
      <c r="F10337" s="40" t="s">
        <v>11404</v>
      </c>
      <c r="G10337" s="40" t="s">
        <v>11404</v>
      </c>
      <c r="H10337" s="40" t="s">
        <v>11404</v>
      </c>
    </row>
    <row r="10338">
      <c r="A10338" s="39"/>
      <c r="E10338" s="40" t="s">
        <v>11404</v>
      </c>
      <c r="F10338" s="40" t="s">
        <v>11404</v>
      </c>
      <c r="G10338" s="40" t="s">
        <v>11404</v>
      </c>
      <c r="H10338" s="40" t="s">
        <v>11404</v>
      </c>
    </row>
    <row r="10339">
      <c r="A10339" s="39"/>
      <c r="E10339" s="40" t="s">
        <v>11404</v>
      </c>
      <c r="F10339" s="40" t="s">
        <v>11404</v>
      </c>
      <c r="G10339" s="40" t="s">
        <v>11404</v>
      </c>
      <c r="H10339" s="40" t="s">
        <v>11404</v>
      </c>
    </row>
    <row r="10340">
      <c r="A10340" s="39"/>
      <c r="E10340" s="40" t="s">
        <v>11404</v>
      </c>
      <c r="F10340" s="40" t="s">
        <v>11404</v>
      </c>
      <c r="G10340" s="40" t="s">
        <v>11404</v>
      </c>
      <c r="H10340" s="40" t="s">
        <v>11404</v>
      </c>
    </row>
    <row r="10341">
      <c r="A10341" s="39"/>
      <c r="E10341" s="40" t="s">
        <v>11404</v>
      </c>
      <c r="F10341" s="40" t="s">
        <v>11404</v>
      </c>
      <c r="G10341" s="40" t="s">
        <v>11404</v>
      </c>
      <c r="H10341" s="40" t="s">
        <v>11404</v>
      </c>
    </row>
    <row r="10342">
      <c r="A10342" s="39"/>
      <c r="E10342" s="40" t="s">
        <v>11404</v>
      </c>
      <c r="F10342" s="40" t="s">
        <v>11404</v>
      </c>
      <c r="G10342" s="40" t="s">
        <v>11404</v>
      </c>
      <c r="H10342" s="40" t="s">
        <v>11404</v>
      </c>
    </row>
    <row r="10343">
      <c r="A10343" s="39"/>
      <c r="E10343" s="40" t="s">
        <v>11404</v>
      </c>
      <c r="F10343" s="40" t="s">
        <v>11404</v>
      </c>
      <c r="G10343" s="40" t="s">
        <v>11404</v>
      </c>
      <c r="H10343" s="40" t="s">
        <v>11404</v>
      </c>
    </row>
    <row r="10344">
      <c r="A10344" s="39"/>
      <c r="E10344" s="40" t="s">
        <v>11404</v>
      </c>
      <c r="F10344" s="40" t="s">
        <v>11404</v>
      </c>
      <c r="G10344" s="40" t="s">
        <v>11404</v>
      </c>
      <c r="H10344" s="40" t="s">
        <v>11404</v>
      </c>
    </row>
    <row r="10345">
      <c r="A10345" s="39"/>
      <c r="E10345" s="40" t="s">
        <v>11404</v>
      </c>
      <c r="F10345" s="40" t="s">
        <v>11404</v>
      </c>
      <c r="G10345" s="40" t="s">
        <v>11404</v>
      </c>
      <c r="H10345" s="40" t="s">
        <v>11404</v>
      </c>
    </row>
    <row r="10346">
      <c r="A10346" s="39"/>
      <c r="E10346" s="40" t="s">
        <v>11404</v>
      </c>
      <c r="F10346" s="40" t="s">
        <v>11404</v>
      </c>
      <c r="G10346" s="40" t="s">
        <v>11404</v>
      </c>
      <c r="H10346" s="40" t="s">
        <v>11404</v>
      </c>
    </row>
    <row r="10347">
      <c r="A10347" s="39"/>
      <c r="E10347" s="40" t="s">
        <v>11404</v>
      </c>
      <c r="F10347" s="40" t="s">
        <v>11404</v>
      </c>
      <c r="G10347" s="40" t="s">
        <v>11404</v>
      </c>
      <c r="H10347" s="40" t="s">
        <v>11404</v>
      </c>
    </row>
    <row r="10348">
      <c r="A10348" s="39"/>
      <c r="E10348" s="40" t="s">
        <v>11404</v>
      </c>
      <c r="F10348" s="40" t="s">
        <v>11404</v>
      </c>
      <c r="G10348" s="40" t="s">
        <v>11404</v>
      </c>
      <c r="H10348" s="40" t="s">
        <v>11404</v>
      </c>
    </row>
    <row r="10349">
      <c r="A10349" s="39"/>
      <c r="E10349" s="40" t="s">
        <v>11404</v>
      </c>
      <c r="F10349" s="40" t="s">
        <v>11404</v>
      </c>
      <c r="G10349" s="40" t="s">
        <v>11404</v>
      </c>
      <c r="H10349" s="40" t="s">
        <v>11404</v>
      </c>
    </row>
    <row r="10350">
      <c r="A10350" s="39"/>
      <c r="E10350" s="40" t="s">
        <v>11404</v>
      </c>
      <c r="F10350" s="40" t="s">
        <v>11404</v>
      </c>
      <c r="G10350" s="40" t="s">
        <v>11404</v>
      </c>
      <c r="H10350" s="40" t="s">
        <v>11404</v>
      </c>
    </row>
    <row r="10351">
      <c r="A10351" s="39"/>
      <c r="E10351" s="40" t="s">
        <v>11404</v>
      </c>
      <c r="F10351" s="40" t="s">
        <v>11404</v>
      </c>
      <c r="G10351" s="40" t="s">
        <v>11404</v>
      </c>
      <c r="H10351" s="40" t="s">
        <v>11404</v>
      </c>
    </row>
    <row r="10352">
      <c r="A10352" s="39"/>
      <c r="E10352" s="40" t="s">
        <v>11404</v>
      </c>
      <c r="F10352" s="40" t="s">
        <v>11404</v>
      </c>
      <c r="G10352" s="40" t="s">
        <v>11404</v>
      </c>
      <c r="H10352" s="40" t="s">
        <v>11404</v>
      </c>
    </row>
    <row r="10353">
      <c r="A10353" s="39"/>
      <c r="E10353" s="40" t="s">
        <v>11404</v>
      </c>
      <c r="F10353" s="40" t="s">
        <v>11404</v>
      </c>
      <c r="G10353" s="40" t="s">
        <v>11404</v>
      </c>
      <c r="H10353" s="40" t="s">
        <v>11404</v>
      </c>
    </row>
    <row r="10354">
      <c r="A10354" s="39"/>
      <c r="E10354" s="40" t="s">
        <v>11404</v>
      </c>
      <c r="F10354" s="40" t="s">
        <v>11404</v>
      </c>
      <c r="G10354" s="40" t="s">
        <v>11404</v>
      </c>
      <c r="H10354" s="40" t="s">
        <v>11404</v>
      </c>
    </row>
    <row r="10355">
      <c r="A10355" s="39"/>
      <c r="E10355" s="40" t="s">
        <v>11404</v>
      </c>
      <c r="F10355" s="40" t="s">
        <v>11404</v>
      </c>
      <c r="G10355" s="40" t="s">
        <v>11404</v>
      </c>
      <c r="H10355" s="40" t="s">
        <v>11404</v>
      </c>
    </row>
    <row r="10356">
      <c r="A10356" s="39"/>
      <c r="E10356" s="40" t="s">
        <v>11404</v>
      </c>
      <c r="F10356" s="40" t="s">
        <v>11404</v>
      </c>
      <c r="G10356" s="40" t="s">
        <v>11404</v>
      </c>
      <c r="H10356" s="40" t="s">
        <v>11404</v>
      </c>
    </row>
    <row r="10357">
      <c r="A10357" s="39"/>
      <c r="E10357" s="40" t="s">
        <v>11404</v>
      </c>
      <c r="F10357" s="40" t="s">
        <v>11404</v>
      </c>
      <c r="G10357" s="40" t="s">
        <v>11404</v>
      </c>
      <c r="H10357" s="40" t="s">
        <v>11404</v>
      </c>
    </row>
    <row r="10358">
      <c r="A10358" s="39"/>
      <c r="E10358" s="40" t="s">
        <v>11404</v>
      </c>
      <c r="F10358" s="40" t="s">
        <v>11404</v>
      </c>
      <c r="G10358" s="40" t="s">
        <v>11404</v>
      </c>
      <c r="H10358" s="40" t="s">
        <v>11404</v>
      </c>
    </row>
    <row r="10359">
      <c r="A10359" s="39"/>
      <c r="E10359" s="40" t="s">
        <v>11404</v>
      </c>
      <c r="F10359" s="40" t="s">
        <v>11404</v>
      </c>
      <c r="G10359" s="40" t="s">
        <v>11404</v>
      </c>
      <c r="H10359" s="40" t="s">
        <v>11404</v>
      </c>
    </row>
    <row r="10360">
      <c r="A10360" s="39"/>
      <c r="E10360" s="40" t="s">
        <v>11404</v>
      </c>
      <c r="F10360" s="40" t="s">
        <v>11404</v>
      </c>
      <c r="G10360" s="40" t="s">
        <v>11404</v>
      </c>
      <c r="H10360" s="40" t="s">
        <v>11404</v>
      </c>
    </row>
    <row r="10361">
      <c r="A10361" s="39"/>
      <c r="E10361" s="40" t="s">
        <v>11404</v>
      </c>
      <c r="F10361" s="40" t="s">
        <v>11404</v>
      </c>
      <c r="G10361" s="40" t="s">
        <v>11404</v>
      </c>
      <c r="H10361" s="40" t="s">
        <v>11404</v>
      </c>
    </row>
    <row r="10362">
      <c r="A10362" s="39"/>
      <c r="E10362" s="40" t="s">
        <v>11404</v>
      </c>
      <c r="F10362" s="40" t="s">
        <v>11404</v>
      </c>
      <c r="G10362" s="40" t="s">
        <v>11404</v>
      </c>
      <c r="H10362" s="40" t="s">
        <v>11404</v>
      </c>
    </row>
    <row r="10363">
      <c r="A10363" s="39"/>
      <c r="E10363" s="40" t="s">
        <v>11404</v>
      </c>
      <c r="F10363" s="40" t="s">
        <v>11404</v>
      </c>
      <c r="G10363" s="40" t="s">
        <v>11404</v>
      </c>
      <c r="H10363" s="40" t="s">
        <v>11404</v>
      </c>
    </row>
    <row r="10364">
      <c r="A10364" s="39"/>
      <c r="E10364" s="40" t="s">
        <v>11404</v>
      </c>
      <c r="F10364" s="40" t="s">
        <v>11404</v>
      </c>
      <c r="G10364" s="40" t="s">
        <v>11404</v>
      </c>
      <c r="H10364" s="40" t="s">
        <v>11404</v>
      </c>
    </row>
    <row r="10365">
      <c r="A10365" s="39"/>
      <c r="E10365" s="40" t="s">
        <v>11404</v>
      </c>
      <c r="F10365" s="40" t="s">
        <v>11404</v>
      </c>
      <c r="G10365" s="40" t="s">
        <v>11404</v>
      </c>
      <c r="H10365" s="40" t="s">
        <v>11404</v>
      </c>
    </row>
    <row r="10366">
      <c r="A10366" s="39"/>
      <c r="E10366" s="40" t="s">
        <v>11404</v>
      </c>
      <c r="F10366" s="40" t="s">
        <v>11404</v>
      </c>
      <c r="G10366" s="40" t="s">
        <v>11404</v>
      </c>
      <c r="H10366" s="40" t="s">
        <v>11404</v>
      </c>
    </row>
    <row r="10367">
      <c r="A10367" s="39"/>
      <c r="E10367" s="40" t="s">
        <v>11404</v>
      </c>
      <c r="F10367" s="40" t="s">
        <v>11404</v>
      </c>
      <c r="G10367" s="40" t="s">
        <v>11404</v>
      </c>
      <c r="H10367" s="40" t="s">
        <v>11404</v>
      </c>
    </row>
    <row r="10368">
      <c r="A10368" s="39"/>
      <c r="E10368" s="40" t="s">
        <v>11404</v>
      </c>
      <c r="F10368" s="40" t="s">
        <v>11404</v>
      </c>
      <c r="G10368" s="40" t="s">
        <v>11404</v>
      </c>
      <c r="H10368" s="40" t="s">
        <v>11404</v>
      </c>
    </row>
    <row r="10369">
      <c r="A10369" s="39"/>
      <c r="E10369" s="40" t="s">
        <v>11404</v>
      </c>
      <c r="F10369" s="40" t="s">
        <v>11404</v>
      </c>
      <c r="G10369" s="40" t="s">
        <v>11404</v>
      </c>
      <c r="H10369" s="40" t="s">
        <v>11404</v>
      </c>
    </row>
    <row r="10370">
      <c r="A10370" s="39"/>
      <c r="E10370" s="40" t="s">
        <v>11404</v>
      </c>
      <c r="F10370" s="40" t="s">
        <v>11404</v>
      </c>
      <c r="G10370" s="40" t="s">
        <v>11404</v>
      </c>
      <c r="H10370" s="40" t="s">
        <v>11404</v>
      </c>
    </row>
    <row r="10371">
      <c r="A10371" s="39"/>
      <c r="E10371" s="40" t="s">
        <v>11404</v>
      </c>
      <c r="F10371" s="40" t="s">
        <v>11404</v>
      </c>
      <c r="G10371" s="40" t="s">
        <v>11404</v>
      </c>
      <c r="H10371" s="40" t="s">
        <v>11404</v>
      </c>
    </row>
    <row r="10372">
      <c r="A10372" s="39"/>
      <c r="E10372" s="40" t="s">
        <v>11404</v>
      </c>
      <c r="F10372" s="40" t="s">
        <v>11404</v>
      </c>
      <c r="G10372" s="40" t="s">
        <v>11404</v>
      </c>
      <c r="H10372" s="40" t="s">
        <v>11404</v>
      </c>
    </row>
    <row r="10373">
      <c r="A10373" s="39"/>
      <c r="E10373" s="40" t="s">
        <v>11404</v>
      </c>
      <c r="F10373" s="40" t="s">
        <v>11404</v>
      </c>
      <c r="G10373" s="40" t="s">
        <v>11404</v>
      </c>
      <c r="H10373" s="40" t="s">
        <v>11404</v>
      </c>
    </row>
    <row r="10374">
      <c r="A10374" s="39"/>
      <c r="E10374" s="40" t="s">
        <v>11404</v>
      </c>
      <c r="F10374" s="40" t="s">
        <v>11404</v>
      </c>
      <c r="G10374" s="40" t="s">
        <v>11404</v>
      </c>
      <c r="H10374" s="40" t="s">
        <v>11404</v>
      </c>
    </row>
    <row r="10375">
      <c r="A10375" s="39"/>
      <c r="E10375" s="40" t="s">
        <v>11404</v>
      </c>
      <c r="F10375" s="40" t="s">
        <v>11404</v>
      </c>
      <c r="G10375" s="40" t="s">
        <v>11404</v>
      </c>
      <c r="H10375" s="40" t="s">
        <v>11404</v>
      </c>
    </row>
    <row r="10376">
      <c r="A10376" s="39"/>
      <c r="E10376" s="40" t="s">
        <v>11404</v>
      </c>
      <c r="F10376" s="40" t="s">
        <v>11404</v>
      </c>
      <c r="G10376" s="40" t="s">
        <v>11404</v>
      </c>
      <c r="H10376" s="40" t="s">
        <v>11404</v>
      </c>
    </row>
    <row r="10377">
      <c r="A10377" s="39"/>
      <c r="E10377" s="40" t="s">
        <v>11404</v>
      </c>
      <c r="F10377" s="40" t="s">
        <v>11404</v>
      </c>
      <c r="G10377" s="40" t="s">
        <v>11404</v>
      </c>
      <c r="H10377" s="40" t="s">
        <v>11404</v>
      </c>
    </row>
    <row r="10378">
      <c r="A10378" s="39"/>
      <c r="E10378" s="40" t="s">
        <v>11404</v>
      </c>
      <c r="F10378" s="40" t="s">
        <v>11404</v>
      </c>
      <c r="G10378" s="40" t="s">
        <v>11404</v>
      </c>
      <c r="H10378" s="40" t="s">
        <v>11404</v>
      </c>
    </row>
    <row r="10379">
      <c r="A10379" s="39"/>
      <c r="E10379" s="40" t="s">
        <v>11404</v>
      </c>
      <c r="F10379" s="40" t="s">
        <v>11404</v>
      </c>
      <c r="G10379" s="40" t="s">
        <v>11404</v>
      </c>
      <c r="H10379" s="40" t="s">
        <v>11404</v>
      </c>
    </row>
    <row r="10380">
      <c r="A10380" s="39"/>
      <c r="E10380" s="40" t="s">
        <v>11404</v>
      </c>
      <c r="F10380" s="40" t="s">
        <v>11404</v>
      </c>
      <c r="G10380" s="40" t="s">
        <v>11404</v>
      </c>
      <c r="H10380" s="40" t="s">
        <v>11404</v>
      </c>
    </row>
    <row r="10381">
      <c r="A10381" s="39"/>
      <c r="E10381" s="40" t="s">
        <v>11404</v>
      </c>
      <c r="F10381" s="40" t="s">
        <v>11404</v>
      </c>
      <c r="G10381" s="40" t="s">
        <v>11404</v>
      </c>
      <c r="H10381" s="40" t="s">
        <v>11404</v>
      </c>
    </row>
    <row r="10382">
      <c r="A10382" s="39"/>
      <c r="E10382" s="40" t="s">
        <v>11404</v>
      </c>
      <c r="F10382" s="40" t="s">
        <v>11404</v>
      </c>
      <c r="G10382" s="40" t="s">
        <v>11404</v>
      </c>
      <c r="H10382" s="40" t="s">
        <v>11404</v>
      </c>
    </row>
    <row r="10383">
      <c r="A10383" s="39"/>
      <c r="E10383" s="40" t="s">
        <v>11404</v>
      </c>
      <c r="F10383" s="40" t="s">
        <v>11404</v>
      </c>
      <c r="G10383" s="40" t="s">
        <v>11404</v>
      </c>
      <c r="H10383" s="40" t="s">
        <v>11404</v>
      </c>
    </row>
    <row r="10384">
      <c r="A10384" s="39"/>
      <c r="E10384" s="40" t="s">
        <v>11404</v>
      </c>
      <c r="F10384" s="40" t="s">
        <v>11404</v>
      </c>
      <c r="G10384" s="40" t="s">
        <v>11404</v>
      </c>
      <c r="H10384" s="40" t="s">
        <v>11404</v>
      </c>
    </row>
    <row r="10385">
      <c r="A10385" s="39"/>
      <c r="E10385" s="40" t="s">
        <v>11404</v>
      </c>
      <c r="F10385" s="40" t="s">
        <v>11404</v>
      </c>
      <c r="G10385" s="40" t="s">
        <v>11404</v>
      </c>
      <c r="H10385" s="40" t="s">
        <v>11404</v>
      </c>
    </row>
    <row r="10386">
      <c r="A10386" s="39"/>
      <c r="E10386" s="40" t="s">
        <v>11404</v>
      </c>
      <c r="F10386" s="40" t="s">
        <v>11404</v>
      </c>
      <c r="G10386" s="40" t="s">
        <v>11404</v>
      </c>
      <c r="H10386" s="40" t="s">
        <v>11404</v>
      </c>
    </row>
    <row r="10387">
      <c r="A10387" s="39"/>
      <c r="E10387" s="40" t="s">
        <v>11404</v>
      </c>
      <c r="F10387" s="40" t="s">
        <v>11404</v>
      </c>
      <c r="G10387" s="40" t="s">
        <v>11404</v>
      </c>
      <c r="H10387" s="40" t="s">
        <v>11404</v>
      </c>
    </row>
    <row r="10388">
      <c r="A10388" s="39"/>
      <c r="E10388" s="40" t="s">
        <v>11404</v>
      </c>
      <c r="F10388" s="40" t="s">
        <v>11404</v>
      </c>
      <c r="G10388" s="40" t="s">
        <v>11404</v>
      </c>
      <c r="H10388" s="40" t="s">
        <v>11404</v>
      </c>
    </row>
    <row r="10389">
      <c r="A10389" s="39"/>
      <c r="E10389" s="40" t="s">
        <v>11404</v>
      </c>
      <c r="F10389" s="40" t="s">
        <v>11404</v>
      </c>
      <c r="G10389" s="40" t="s">
        <v>11404</v>
      </c>
      <c r="H10389" s="40" t="s">
        <v>11404</v>
      </c>
    </row>
    <row r="10390">
      <c r="A10390" s="39"/>
      <c r="E10390" s="40" t="s">
        <v>11404</v>
      </c>
      <c r="F10390" s="40" t="s">
        <v>11404</v>
      </c>
      <c r="G10390" s="40" t="s">
        <v>11404</v>
      </c>
      <c r="H10390" s="40" t="s">
        <v>11404</v>
      </c>
    </row>
    <row r="10391">
      <c r="A10391" s="39"/>
      <c r="E10391" s="40" t="s">
        <v>11404</v>
      </c>
      <c r="F10391" s="40" t="s">
        <v>11404</v>
      </c>
      <c r="G10391" s="40" t="s">
        <v>11404</v>
      </c>
      <c r="H10391" s="40" t="s">
        <v>11404</v>
      </c>
    </row>
    <row r="10392">
      <c r="A10392" s="39"/>
      <c r="E10392" s="40" t="s">
        <v>11404</v>
      </c>
      <c r="F10392" s="40" t="s">
        <v>11404</v>
      </c>
      <c r="G10392" s="40" t="s">
        <v>11404</v>
      </c>
      <c r="H10392" s="40" t="s">
        <v>11404</v>
      </c>
    </row>
    <row r="10393">
      <c r="A10393" s="39"/>
      <c r="E10393" s="40" t="s">
        <v>11404</v>
      </c>
      <c r="F10393" s="40" t="s">
        <v>11404</v>
      </c>
      <c r="G10393" s="40" t="s">
        <v>11404</v>
      </c>
      <c r="H10393" s="40" t="s">
        <v>11404</v>
      </c>
    </row>
    <row r="10394">
      <c r="A10394" s="39"/>
      <c r="E10394" s="40" t="s">
        <v>11404</v>
      </c>
      <c r="F10394" s="40" t="s">
        <v>11404</v>
      </c>
      <c r="G10394" s="40" t="s">
        <v>11404</v>
      </c>
      <c r="H10394" s="40" t="s">
        <v>11404</v>
      </c>
    </row>
    <row r="10395">
      <c r="A10395" s="39"/>
      <c r="E10395" s="40" t="s">
        <v>11404</v>
      </c>
      <c r="F10395" s="40" t="s">
        <v>11404</v>
      </c>
      <c r="G10395" s="40" t="s">
        <v>11404</v>
      </c>
      <c r="H10395" s="40" t="s">
        <v>11404</v>
      </c>
    </row>
    <row r="10396">
      <c r="A10396" s="39"/>
      <c r="E10396" s="40" t="s">
        <v>11404</v>
      </c>
      <c r="F10396" s="40" t="s">
        <v>11404</v>
      </c>
      <c r="G10396" s="40" t="s">
        <v>11404</v>
      </c>
      <c r="H10396" s="40" t="s">
        <v>11404</v>
      </c>
    </row>
    <row r="10397">
      <c r="A10397" s="39"/>
      <c r="E10397" s="40" t="s">
        <v>11404</v>
      </c>
      <c r="F10397" s="40" t="s">
        <v>11404</v>
      </c>
      <c r="G10397" s="40" t="s">
        <v>11404</v>
      </c>
      <c r="H10397" s="40" t="s">
        <v>11404</v>
      </c>
    </row>
    <row r="10398">
      <c r="A10398" s="39"/>
      <c r="E10398" s="40" t="s">
        <v>11404</v>
      </c>
      <c r="F10398" s="40" t="s">
        <v>11404</v>
      </c>
      <c r="G10398" s="40" t="s">
        <v>11404</v>
      </c>
      <c r="H10398" s="40" t="s">
        <v>11404</v>
      </c>
    </row>
    <row r="10399">
      <c r="A10399" s="39"/>
      <c r="E10399" s="40" t="s">
        <v>11404</v>
      </c>
      <c r="F10399" s="40" t="s">
        <v>11404</v>
      </c>
      <c r="G10399" s="40" t="s">
        <v>11404</v>
      </c>
      <c r="H10399" s="40" t="s">
        <v>11404</v>
      </c>
    </row>
    <row r="10400">
      <c r="A10400" s="39"/>
      <c r="E10400" s="40" t="s">
        <v>11404</v>
      </c>
      <c r="F10400" s="40" t="s">
        <v>11404</v>
      </c>
      <c r="G10400" s="40" t="s">
        <v>11404</v>
      </c>
      <c r="H10400" s="40" t="s">
        <v>11404</v>
      </c>
    </row>
    <row r="10401">
      <c r="A10401" s="39"/>
      <c r="E10401" s="40" t="s">
        <v>11404</v>
      </c>
      <c r="F10401" s="40" t="s">
        <v>11404</v>
      </c>
      <c r="G10401" s="40" t="s">
        <v>11404</v>
      </c>
      <c r="H10401" s="40" t="s">
        <v>11404</v>
      </c>
    </row>
    <row r="10402">
      <c r="A10402" s="39"/>
      <c r="E10402" s="40" t="s">
        <v>11404</v>
      </c>
      <c r="F10402" s="40" t="s">
        <v>11404</v>
      </c>
      <c r="G10402" s="40" t="s">
        <v>11404</v>
      </c>
      <c r="H10402" s="40" t="s">
        <v>11404</v>
      </c>
    </row>
    <row r="10403">
      <c r="A10403" s="39"/>
      <c r="E10403" s="40" t="s">
        <v>11404</v>
      </c>
      <c r="F10403" s="40" t="s">
        <v>11404</v>
      </c>
      <c r="G10403" s="40" t="s">
        <v>11404</v>
      </c>
      <c r="H10403" s="40" t="s">
        <v>11404</v>
      </c>
    </row>
    <row r="10404">
      <c r="A10404" s="39"/>
      <c r="E10404" s="40" t="s">
        <v>11404</v>
      </c>
      <c r="F10404" s="40" t="s">
        <v>11404</v>
      </c>
      <c r="G10404" s="40" t="s">
        <v>11404</v>
      </c>
      <c r="H10404" s="40" t="s">
        <v>11404</v>
      </c>
    </row>
    <row r="10405">
      <c r="A10405" s="39"/>
      <c r="E10405" s="40" t="s">
        <v>11404</v>
      </c>
      <c r="F10405" s="40" t="s">
        <v>11404</v>
      </c>
      <c r="G10405" s="40" t="s">
        <v>11404</v>
      </c>
      <c r="H10405" s="40" t="s">
        <v>11404</v>
      </c>
    </row>
    <row r="10406">
      <c r="A10406" s="39"/>
      <c r="E10406" s="40" t="s">
        <v>11404</v>
      </c>
      <c r="F10406" s="40" t="s">
        <v>11404</v>
      </c>
      <c r="G10406" s="40" t="s">
        <v>11404</v>
      </c>
      <c r="H10406" s="40" t="s">
        <v>11404</v>
      </c>
    </row>
    <row r="10407">
      <c r="A10407" s="39"/>
      <c r="E10407" s="40" t="s">
        <v>11404</v>
      </c>
      <c r="F10407" s="40" t="s">
        <v>11404</v>
      </c>
      <c r="G10407" s="40" t="s">
        <v>11404</v>
      </c>
      <c r="H10407" s="40" t="s">
        <v>11404</v>
      </c>
    </row>
    <row r="10408">
      <c r="A10408" s="39"/>
      <c r="E10408" s="40" t="s">
        <v>11404</v>
      </c>
      <c r="F10408" s="40" t="s">
        <v>11404</v>
      </c>
      <c r="G10408" s="40" t="s">
        <v>11404</v>
      </c>
      <c r="H10408" s="40" t="s">
        <v>11404</v>
      </c>
    </row>
    <row r="10409">
      <c r="A10409" s="39"/>
      <c r="E10409" s="40" t="s">
        <v>11404</v>
      </c>
      <c r="F10409" s="40" t="s">
        <v>11404</v>
      </c>
      <c r="G10409" s="40" t="s">
        <v>11404</v>
      </c>
      <c r="H10409" s="40" t="s">
        <v>11404</v>
      </c>
    </row>
    <row r="10410">
      <c r="A10410" s="39"/>
      <c r="E10410" s="40" t="s">
        <v>11404</v>
      </c>
      <c r="F10410" s="40" t="s">
        <v>11404</v>
      </c>
      <c r="G10410" s="40" t="s">
        <v>11404</v>
      </c>
      <c r="H10410" s="40" t="s">
        <v>11404</v>
      </c>
    </row>
    <row r="10411">
      <c r="A10411" s="39"/>
      <c r="E10411" s="40" t="s">
        <v>11404</v>
      </c>
      <c r="F10411" s="40" t="s">
        <v>11404</v>
      </c>
      <c r="G10411" s="40" t="s">
        <v>11404</v>
      </c>
      <c r="H10411" s="40" t="s">
        <v>11404</v>
      </c>
    </row>
    <row r="10412">
      <c r="A10412" s="39"/>
      <c r="E10412" s="40" t="s">
        <v>11404</v>
      </c>
      <c r="F10412" s="40" t="s">
        <v>11404</v>
      </c>
      <c r="G10412" s="40" t="s">
        <v>11404</v>
      </c>
      <c r="H10412" s="40" t="s">
        <v>11404</v>
      </c>
    </row>
    <row r="10413">
      <c r="A10413" s="39"/>
      <c r="E10413" s="40" t="s">
        <v>11404</v>
      </c>
      <c r="F10413" s="40" t="s">
        <v>11404</v>
      </c>
      <c r="G10413" s="40" t="s">
        <v>11404</v>
      </c>
      <c r="H10413" s="40" t="s">
        <v>11404</v>
      </c>
    </row>
    <row r="10414">
      <c r="A10414" s="39"/>
      <c r="E10414" s="40" t="s">
        <v>11404</v>
      </c>
      <c r="F10414" s="40" t="s">
        <v>11404</v>
      </c>
      <c r="G10414" s="40" t="s">
        <v>11404</v>
      </c>
      <c r="H10414" s="40" t="s">
        <v>11404</v>
      </c>
    </row>
    <row r="10415">
      <c r="A10415" s="39"/>
      <c r="E10415" s="40" t="s">
        <v>11404</v>
      </c>
      <c r="F10415" s="40" t="s">
        <v>11404</v>
      </c>
      <c r="G10415" s="40" t="s">
        <v>11404</v>
      </c>
      <c r="H10415" s="40" t="s">
        <v>11404</v>
      </c>
    </row>
    <row r="10416">
      <c r="A10416" s="39"/>
      <c r="E10416" s="40" t="s">
        <v>11404</v>
      </c>
      <c r="F10416" s="40" t="s">
        <v>11404</v>
      </c>
      <c r="G10416" s="40" t="s">
        <v>11404</v>
      </c>
      <c r="H10416" s="40" t="s">
        <v>11404</v>
      </c>
    </row>
    <row r="10417">
      <c r="A10417" s="39"/>
      <c r="E10417" s="40" t="s">
        <v>11404</v>
      </c>
      <c r="F10417" s="40" t="s">
        <v>11404</v>
      </c>
      <c r="G10417" s="40" t="s">
        <v>11404</v>
      </c>
      <c r="H10417" s="40" t="s">
        <v>11404</v>
      </c>
    </row>
    <row r="10418">
      <c r="A10418" s="39"/>
      <c r="E10418" s="40" t="s">
        <v>11404</v>
      </c>
      <c r="F10418" s="40" t="s">
        <v>11404</v>
      </c>
      <c r="G10418" s="40" t="s">
        <v>11404</v>
      </c>
      <c r="H10418" s="40" t="s">
        <v>11404</v>
      </c>
    </row>
    <row r="10419">
      <c r="A10419" s="39"/>
      <c r="E10419" s="40" t="s">
        <v>11404</v>
      </c>
      <c r="F10419" s="40" t="s">
        <v>11404</v>
      </c>
      <c r="G10419" s="40" t="s">
        <v>11404</v>
      </c>
      <c r="H10419" s="40" t="s">
        <v>11404</v>
      </c>
    </row>
    <row r="10420">
      <c r="A10420" s="39"/>
      <c r="E10420" s="40" t="s">
        <v>11404</v>
      </c>
      <c r="F10420" s="40" t="s">
        <v>11404</v>
      </c>
      <c r="G10420" s="40" t="s">
        <v>11404</v>
      </c>
      <c r="H10420" s="40" t="s">
        <v>11404</v>
      </c>
    </row>
    <row r="10421">
      <c r="A10421" s="39"/>
      <c r="E10421" s="40" t="s">
        <v>11404</v>
      </c>
      <c r="F10421" s="40" t="s">
        <v>11404</v>
      </c>
      <c r="G10421" s="40" t="s">
        <v>11404</v>
      </c>
      <c r="H10421" s="40" t="s">
        <v>11404</v>
      </c>
    </row>
    <row r="10422">
      <c r="A10422" s="39"/>
      <c r="E10422" s="40" t="s">
        <v>11404</v>
      </c>
      <c r="F10422" s="40" t="s">
        <v>11404</v>
      </c>
      <c r="G10422" s="40" t="s">
        <v>11404</v>
      </c>
      <c r="H10422" s="40" t="s">
        <v>11404</v>
      </c>
    </row>
    <row r="10423">
      <c r="A10423" s="39"/>
      <c r="E10423" s="40" t="s">
        <v>11404</v>
      </c>
      <c r="F10423" s="40" t="s">
        <v>11404</v>
      </c>
      <c r="G10423" s="40" t="s">
        <v>11404</v>
      </c>
      <c r="H10423" s="40" t="s">
        <v>11404</v>
      </c>
    </row>
    <row r="10424">
      <c r="A10424" s="39"/>
      <c r="E10424" s="40" t="s">
        <v>11404</v>
      </c>
      <c r="F10424" s="40" t="s">
        <v>11404</v>
      </c>
      <c r="G10424" s="40" t="s">
        <v>11404</v>
      </c>
      <c r="H10424" s="40" t="s">
        <v>11404</v>
      </c>
    </row>
    <row r="10425">
      <c r="A10425" s="39"/>
      <c r="E10425" s="40" t="s">
        <v>11404</v>
      </c>
      <c r="F10425" s="40" t="s">
        <v>11404</v>
      </c>
      <c r="G10425" s="40" t="s">
        <v>11404</v>
      </c>
      <c r="H10425" s="40" t="s">
        <v>11404</v>
      </c>
    </row>
    <row r="10426">
      <c r="A10426" s="39"/>
      <c r="E10426" s="40" t="s">
        <v>11404</v>
      </c>
      <c r="F10426" s="40" t="s">
        <v>11404</v>
      </c>
      <c r="G10426" s="40" t="s">
        <v>11404</v>
      </c>
      <c r="H10426" s="40" t="s">
        <v>11404</v>
      </c>
    </row>
    <row r="10427">
      <c r="A10427" s="39"/>
      <c r="E10427" s="40" t="s">
        <v>11404</v>
      </c>
      <c r="F10427" s="40" t="s">
        <v>11404</v>
      </c>
      <c r="G10427" s="40" t="s">
        <v>11404</v>
      </c>
      <c r="H10427" s="40" t="s">
        <v>11404</v>
      </c>
    </row>
    <row r="10428">
      <c r="A10428" s="39"/>
      <c r="E10428" s="40" t="s">
        <v>11404</v>
      </c>
      <c r="F10428" s="40" t="s">
        <v>11404</v>
      </c>
      <c r="G10428" s="40" t="s">
        <v>11404</v>
      </c>
      <c r="H10428" s="40" t="s">
        <v>11404</v>
      </c>
    </row>
    <row r="10429">
      <c r="A10429" s="39"/>
      <c r="E10429" s="40" t="s">
        <v>11404</v>
      </c>
      <c r="F10429" s="40" t="s">
        <v>11404</v>
      </c>
      <c r="G10429" s="40" t="s">
        <v>11404</v>
      </c>
      <c r="H10429" s="40" t="s">
        <v>11404</v>
      </c>
    </row>
    <row r="10430">
      <c r="A10430" s="39"/>
      <c r="E10430" s="40" t="s">
        <v>11404</v>
      </c>
      <c r="F10430" s="40" t="s">
        <v>11404</v>
      </c>
      <c r="G10430" s="40" t="s">
        <v>11404</v>
      </c>
      <c r="H10430" s="40" t="s">
        <v>11404</v>
      </c>
    </row>
    <row r="10431">
      <c r="A10431" s="39"/>
      <c r="E10431" s="40" t="s">
        <v>11404</v>
      </c>
      <c r="F10431" s="40" t="s">
        <v>11404</v>
      </c>
      <c r="G10431" s="40" t="s">
        <v>11404</v>
      </c>
      <c r="H10431" s="40" t="s">
        <v>11404</v>
      </c>
    </row>
    <row r="10432">
      <c r="A10432" s="39"/>
      <c r="E10432" s="40" t="s">
        <v>11404</v>
      </c>
      <c r="F10432" s="40" t="s">
        <v>11404</v>
      </c>
      <c r="G10432" s="40" t="s">
        <v>11404</v>
      </c>
      <c r="H10432" s="40" t="s">
        <v>11404</v>
      </c>
    </row>
    <row r="10433">
      <c r="A10433" s="39"/>
      <c r="E10433" s="40" t="s">
        <v>11404</v>
      </c>
      <c r="F10433" s="40" t="s">
        <v>11404</v>
      </c>
      <c r="G10433" s="40" t="s">
        <v>11404</v>
      </c>
      <c r="H10433" s="40" t="s">
        <v>11404</v>
      </c>
    </row>
    <row r="10434">
      <c r="A10434" s="39"/>
      <c r="E10434" s="40" t="s">
        <v>11404</v>
      </c>
      <c r="F10434" s="40" t="s">
        <v>11404</v>
      </c>
      <c r="G10434" s="40" t="s">
        <v>11404</v>
      </c>
      <c r="H10434" s="40" t="s">
        <v>11404</v>
      </c>
    </row>
    <row r="10435">
      <c r="A10435" s="39"/>
      <c r="E10435" s="40" t="s">
        <v>11404</v>
      </c>
      <c r="F10435" s="40" t="s">
        <v>11404</v>
      </c>
      <c r="G10435" s="40" t="s">
        <v>11404</v>
      </c>
      <c r="H10435" s="40" t="s">
        <v>11404</v>
      </c>
    </row>
    <row r="10436">
      <c r="A10436" s="39"/>
      <c r="E10436" s="40" t="s">
        <v>11404</v>
      </c>
      <c r="F10436" s="40" t="s">
        <v>11404</v>
      </c>
      <c r="G10436" s="40" t="s">
        <v>11404</v>
      </c>
      <c r="H10436" s="40" t="s">
        <v>11404</v>
      </c>
    </row>
    <row r="10437">
      <c r="A10437" s="39"/>
      <c r="E10437" s="40" t="s">
        <v>11404</v>
      </c>
      <c r="F10437" s="40" t="s">
        <v>11404</v>
      </c>
      <c r="G10437" s="40" t="s">
        <v>11404</v>
      </c>
      <c r="H10437" s="40" t="s">
        <v>11404</v>
      </c>
    </row>
    <row r="10438">
      <c r="A10438" s="39"/>
      <c r="E10438" s="40" t="s">
        <v>11404</v>
      </c>
      <c r="F10438" s="40" t="s">
        <v>11404</v>
      </c>
      <c r="G10438" s="40" t="s">
        <v>11404</v>
      </c>
      <c r="H10438" s="40" t="s">
        <v>11404</v>
      </c>
    </row>
    <row r="10439">
      <c r="A10439" s="39"/>
      <c r="E10439" s="40" t="s">
        <v>11404</v>
      </c>
      <c r="F10439" s="40" t="s">
        <v>11404</v>
      </c>
      <c r="G10439" s="40" t="s">
        <v>11404</v>
      </c>
      <c r="H10439" s="40" t="s">
        <v>11404</v>
      </c>
    </row>
    <row r="10440">
      <c r="A10440" s="39"/>
      <c r="E10440" s="40" t="s">
        <v>11404</v>
      </c>
      <c r="F10440" s="40" t="s">
        <v>11404</v>
      </c>
      <c r="G10440" s="40" t="s">
        <v>11404</v>
      </c>
      <c r="H10440" s="40" t="s">
        <v>11404</v>
      </c>
    </row>
    <row r="10441">
      <c r="A10441" s="39"/>
      <c r="E10441" s="40" t="s">
        <v>11404</v>
      </c>
      <c r="F10441" s="40" t="s">
        <v>11404</v>
      </c>
      <c r="G10441" s="40" t="s">
        <v>11404</v>
      </c>
      <c r="H10441" s="40" t="s">
        <v>11404</v>
      </c>
    </row>
    <row r="10442">
      <c r="A10442" s="39"/>
      <c r="E10442" s="40" t="s">
        <v>11404</v>
      </c>
      <c r="F10442" s="40" t="s">
        <v>11404</v>
      </c>
      <c r="G10442" s="40" t="s">
        <v>11404</v>
      </c>
      <c r="H10442" s="40" t="s">
        <v>11404</v>
      </c>
    </row>
    <row r="10443">
      <c r="A10443" s="39"/>
      <c r="E10443" s="40" t="s">
        <v>11404</v>
      </c>
      <c r="F10443" s="40" t="s">
        <v>11404</v>
      </c>
      <c r="G10443" s="40" t="s">
        <v>11404</v>
      </c>
      <c r="H10443" s="40" t="s">
        <v>11404</v>
      </c>
    </row>
    <row r="10444">
      <c r="A10444" s="39"/>
      <c r="E10444" s="40" t="s">
        <v>11404</v>
      </c>
      <c r="F10444" s="40" t="s">
        <v>11404</v>
      </c>
      <c r="G10444" s="40" t="s">
        <v>11404</v>
      </c>
      <c r="H10444" s="40" t="s">
        <v>11404</v>
      </c>
    </row>
    <row r="10445">
      <c r="A10445" s="39"/>
      <c r="E10445" s="40" t="s">
        <v>11404</v>
      </c>
      <c r="F10445" s="40" t="s">
        <v>11404</v>
      </c>
      <c r="G10445" s="40" t="s">
        <v>11404</v>
      </c>
      <c r="H10445" s="40" t="s">
        <v>11404</v>
      </c>
    </row>
    <row r="10446">
      <c r="A10446" s="39"/>
      <c r="E10446" s="40" t="s">
        <v>11404</v>
      </c>
      <c r="F10446" s="40" t="s">
        <v>11404</v>
      </c>
      <c r="G10446" s="40" t="s">
        <v>11404</v>
      </c>
      <c r="H10446" s="40" t="s">
        <v>11404</v>
      </c>
    </row>
    <row r="10447">
      <c r="A10447" s="39"/>
      <c r="E10447" s="40" t="s">
        <v>11404</v>
      </c>
      <c r="F10447" s="40" t="s">
        <v>11404</v>
      </c>
      <c r="G10447" s="40" t="s">
        <v>11404</v>
      </c>
      <c r="H10447" s="40" t="s">
        <v>11404</v>
      </c>
    </row>
    <row r="10448">
      <c r="A10448" s="39"/>
      <c r="E10448" s="40" t="s">
        <v>11404</v>
      </c>
      <c r="F10448" s="40" t="s">
        <v>11404</v>
      </c>
      <c r="G10448" s="40" t="s">
        <v>11404</v>
      </c>
      <c r="H10448" s="40" t="s">
        <v>11404</v>
      </c>
    </row>
    <row r="10449">
      <c r="A10449" s="39"/>
      <c r="E10449" s="40" t="s">
        <v>11404</v>
      </c>
      <c r="F10449" s="40" t="s">
        <v>11404</v>
      </c>
      <c r="G10449" s="40" t="s">
        <v>11404</v>
      </c>
      <c r="H10449" s="40" t="s">
        <v>11404</v>
      </c>
    </row>
    <row r="10450">
      <c r="A10450" s="39"/>
      <c r="E10450" s="40" t="s">
        <v>11404</v>
      </c>
      <c r="F10450" s="40" t="s">
        <v>11404</v>
      </c>
      <c r="G10450" s="40" t="s">
        <v>11404</v>
      </c>
      <c r="H10450" s="40" t="s">
        <v>11404</v>
      </c>
    </row>
    <row r="10451">
      <c r="A10451" s="39"/>
      <c r="E10451" s="40" t="s">
        <v>11404</v>
      </c>
      <c r="F10451" s="40" t="s">
        <v>11404</v>
      </c>
      <c r="G10451" s="40" t="s">
        <v>11404</v>
      </c>
      <c r="H10451" s="40" t="s">
        <v>11404</v>
      </c>
    </row>
    <row r="10452">
      <c r="A10452" s="39"/>
      <c r="E10452" s="40" t="s">
        <v>11404</v>
      </c>
      <c r="F10452" s="40" t="s">
        <v>11404</v>
      </c>
      <c r="G10452" s="40" t="s">
        <v>11404</v>
      </c>
      <c r="H10452" s="40" t="s">
        <v>11404</v>
      </c>
    </row>
    <row r="10453">
      <c r="A10453" s="39"/>
      <c r="E10453" s="40" t="s">
        <v>11404</v>
      </c>
      <c r="F10453" s="40" t="s">
        <v>11404</v>
      </c>
      <c r="G10453" s="40" t="s">
        <v>11404</v>
      </c>
      <c r="H10453" s="40" t="s">
        <v>11404</v>
      </c>
    </row>
    <row r="10454">
      <c r="A10454" s="39"/>
      <c r="E10454" s="40" t="s">
        <v>11404</v>
      </c>
      <c r="F10454" s="40" t="s">
        <v>11404</v>
      </c>
      <c r="G10454" s="40" t="s">
        <v>11404</v>
      </c>
      <c r="H10454" s="40" t="s">
        <v>11404</v>
      </c>
    </row>
    <row r="10455">
      <c r="A10455" s="39"/>
      <c r="E10455" s="40" t="s">
        <v>11404</v>
      </c>
      <c r="F10455" s="40" t="s">
        <v>11404</v>
      </c>
      <c r="G10455" s="40" t="s">
        <v>11404</v>
      </c>
      <c r="H10455" s="40" t="s">
        <v>11404</v>
      </c>
    </row>
    <row r="10456">
      <c r="A10456" s="39"/>
      <c r="E10456" s="40" t="s">
        <v>11404</v>
      </c>
      <c r="F10456" s="40" t="s">
        <v>11404</v>
      </c>
      <c r="G10456" s="40" t="s">
        <v>11404</v>
      </c>
      <c r="H10456" s="40" t="s">
        <v>11404</v>
      </c>
    </row>
    <row r="10457">
      <c r="A10457" s="39"/>
      <c r="E10457" s="40" t="s">
        <v>11404</v>
      </c>
      <c r="F10457" s="40" t="s">
        <v>11404</v>
      </c>
      <c r="G10457" s="40" t="s">
        <v>11404</v>
      </c>
      <c r="H10457" s="40" t="s">
        <v>11404</v>
      </c>
    </row>
    <row r="10458">
      <c r="A10458" s="39"/>
      <c r="E10458" s="40" t="s">
        <v>11404</v>
      </c>
      <c r="F10458" s="40" t="s">
        <v>11404</v>
      </c>
      <c r="G10458" s="40" t="s">
        <v>11404</v>
      </c>
      <c r="H10458" s="40" t="s">
        <v>11404</v>
      </c>
    </row>
    <row r="10459">
      <c r="A10459" s="39"/>
      <c r="E10459" s="40" t="s">
        <v>11404</v>
      </c>
      <c r="F10459" s="40" t="s">
        <v>11404</v>
      </c>
      <c r="G10459" s="40" t="s">
        <v>11404</v>
      </c>
      <c r="H10459" s="40" t="s">
        <v>11404</v>
      </c>
    </row>
    <row r="10460">
      <c r="A10460" s="39"/>
      <c r="E10460" s="40" t="s">
        <v>11404</v>
      </c>
      <c r="F10460" s="40" t="s">
        <v>11404</v>
      </c>
      <c r="G10460" s="40" t="s">
        <v>11404</v>
      </c>
      <c r="H10460" s="40" t="s">
        <v>11404</v>
      </c>
    </row>
    <row r="10461">
      <c r="A10461" s="39"/>
      <c r="E10461" s="40" t="s">
        <v>11404</v>
      </c>
      <c r="F10461" s="40" t="s">
        <v>11404</v>
      </c>
      <c r="G10461" s="40" t="s">
        <v>11404</v>
      </c>
      <c r="H10461" s="40" t="s">
        <v>11404</v>
      </c>
    </row>
    <row r="10462">
      <c r="A10462" s="39"/>
      <c r="E10462" s="40" t="s">
        <v>11404</v>
      </c>
      <c r="F10462" s="40" t="s">
        <v>11404</v>
      </c>
      <c r="G10462" s="40" t="s">
        <v>11404</v>
      </c>
      <c r="H10462" s="40" t="s">
        <v>11404</v>
      </c>
    </row>
    <row r="10463">
      <c r="A10463" s="39"/>
      <c r="E10463" s="40" t="s">
        <v>11404</v>
      </c>
      <c r="F10463" s="40" t="s">
        <v>11404</v>
      </c>
      <c r="G10463" s="40" t="s">
        <v>11404</v>
      </c>
      <c r="H10463" s="40" t="s">
        <v>11404</v>
      </c>
    </row>
    <row r="10464">
      <c r="A10464" s="39"/>
      <c r="E10464" s="40" t="s">
        <v>11404</v>
      </c>
      <c r="F10464" s="40" t="s">
        <v>11404</v>
      </c>
      <c r="G10464" s="40" t="s">
        <v>11404</v>
      </c>
      <c r="H10464" s="40" t="s">
        <v>11404</v>
      </c>
    </row>
    <row r="10465">
      <c r="A10465" s="39"/>
      <c r="E10465" s="40" t="s">
        <v>11404</v>
      </c>
      <c r="F10465" s="40" t="s">
        <v>11404</v>
      </c>
      <c r="G10465" s="40" t="s">
        <v>11404</v>
      </c>
      <c r="H10465" s="40" t="s">
        <v>11404</v>
      </c>
    </row>
    <row r="10466">
      <c r="A10466" s="39"/>
      <c r="E10466" s="40" t="s">
        <v>11404</v>
      </c>
      <c r="F10466" s="40" t="s">
        <v>11404</v>
      </c>
      <c r="G10466" s="40" t="s">
        <v>11404</v>
      </c>
      <c r="H10466" s="40" t="s">
        <v>11404</v>
      </c>
    </row>
    <row r="10467">
      <c r="A10467" s="39"/>
      <c r="E10467" s="40" t="s">
        <v>11404</v>
      </c>
      <c r="F10467" s="40" t="s">
        <v>11404</v>
      </c>
      <c r="G10467" s="40" t="s">
        <v>11404</v>
      </c>
      <c r="H10467" s="40" t="s">
        <v>11404</v>
      </c>
    </row>
    <row r="10468">
      <c r="A10468" s="39"/>
      <c r="E10468" s="40" t="s">
        <v>11404</v>
      </c>
      <c r="F10468" s="40" t="s">
        <v>11404</v>
      </c>
      <c r="G10468" s="40" t="s">
        <v>11404</v>
      </c>
      <c r="H10468" s="40" t="s">
        <v>11404</v>
      </c>
    </row>
    <row r="10469">
      <c r="A10469" s="39"/>
      <c r="E10469" s="40" t="s">
        <v>11404</v>
      </c>
      <c r="F10469" s="40" t="s">
        <v>11404</v>
      </c>
      <c r="G10469" s="40" t="s">
        <v>11404</v>
      </c>
      <c r="H10469" s="40" t="s">
        <v>11404</v>
      </c>
    </row>
    <row r="10470">
      <c r="A10470" s="39"/>
      <c r="E10470" s="40" t="s">
        <v>11404</v>
      </c>
      <c r="F10470" s="40" t="s">
        <v>11404</v>
      </c>
      <c r="G10470" s="40" t="s">
        <v>11404</v>
      </c>
      <c r="H10470" s="40" t="s">
        <v>11404</v>
      </c>
    </row>
    <row r="10471">
      <c r="A10471" s="39"/>
      <c r="E10471" s="40" t="s">
        <v>11404</v>
      </c>
      <c r="F10471" s="40" t="s">
        <v>11404</v>
      </c>
      <c r="G10471" s="40" t="s">
        <v>11404</v>
      </c>
      <c r="H10471" s="40" t="s">
        <v>11404</v>
      </c>
    </row>
    <row r="10472">
      <c r="A10472" s="39"/>
      <c r="E10472" s="40" t="s">
        <v>11404</v>
      </c>
      <c r="F10472" s="40" t="s">
        <v>11404</v>
      </c>
      <c r="G10472" s="40" t="s">
        <v>11404</v>
      </c>
      <c r="H10472" s="40" t="s">
        <v>11404</v>
      </c>
    </row>
    <row r="10473">
      <c r="A10473" s="39"/>
      <c r="E10473" s="40" t="s">
        <v>11404</v>
      </c>
      <c r="F10473" s="40" t="s">
        <v>11404</v>
      </c>
      <c r="G10473" s="40" t="s">
        <v>11404</v>
      </c>
      <c r="H10473" s="40" t="s">
        <v>11404</v>
      </c>
    </row>
    <row r="10474">
      <c r="A10474" s="39"/>
      <c r="E10474" s="40" t="s">
        <v>11404</v>
      </c>
      <c r="F10474" s="40" t="s">
        <v>11404</v>
      </c>
      <c r="G10474" s="40" t="s">
        <v>11404</v>
      </c>
      <c r="H10474" s="40" t="s">
        <v>11404</v>
      </c>
    </row>
    <row r="10475">
      <c r="A10475" s="39"/>
      <c r="E10475" s="40" t="s">
        <v>11404</v>
      </c>
      <c r="F10475" s="40" t="s">
        <v>11404</v>
      </c>
      <c r="G10475" s="40" t="s">
        <v>11404</v>
      </c>
      <c r="H10475" s="40" t="s">
        <v>11404</v>
      </c>
    </row>
    <row r="10476">
      <c r="A10476" s="39"/>
      <c r="E10476" s="40" t="s">
        <v>11404</v>
      </c>
      <c r="F10476" s="40" t="s">
        <v>11404</v>
      </c>
      <c r="G10476" s="40" t="s">
        <v>11404</v>
      </c>
      <c r="H10476" s="40" t="s">
        <v>11404</v>
      </c>
    </row>
    <row r="10477">
      <c r="A10477" s="39"/>
      <c r="E10477" s="40" t="s">
        <v>11404</v>
      </c>
      <c r="F10477" s="40" t="s">
        <v>11404</v>
      </c>
      <c r="G10477" s="40" t="s">
        <v>11404</v>
      </c>
      <c r="H10477" s="40" t="s">
        <v>11404</v>
      </c>
    </row>
    <row r="10478">
      <c r="A10478" s="39"/>
      <c r="E10478" s="40" t="s">
        <v>11404</v>
      </c>
      <c r="F10478" s="40" t="s">
        <v>11404</v>
      </c>
      <c r="G10478" s="40" t="s">
        <v>11404</v>
      </c>
      <c r="H10478" s="40" t="s">
        <v>11404</v>
      </c>
    </row>
    <row r="10479">
      <c r="A10479" s="39"/>
      <c r="E10479" s="40" t="s">
        <v>11404</v>
      </c>
      <c r="F10479" s="40" t="s">
        <v>11404</v>
      </c>
      <c r="G10479" s="40" t="s">
        <v>11404</v>
      </c>
      <c r="H10479" s="40" t="s">
        <v>11404</v>
      </c>
    </row>
    <row r="10480">
      <c r="A10480" s="39"/>
      <c r="E10480" s="40" t="s">
        <v>11404</v>
      </c>
      <c r="F10480" s="40" t="s">
        <v>11404</v>
      </c>
      <c r="G10480" s="40" t="s">
        <v>11404</v>
      </c>
      <c r="H10480" s="40" t="s">
        <v>11404</v>
      </c>
    </row>
    <row r="10481">
      <c r="A10481" s="39"/>
      <c r="E10481" s="40" t="s">
        <v>11404</v>
      </c>
      <c r="F10481" s="40" t="s">
        <v>11404</v>
      </c>
      <c r="G10481" s="40" t="s">
        <v>11404</v>
      </c>
      <c r="H10481" s="40" t="s">
        <v>11404</v>
      </c>
    </row>
    <row r="10482">
      <c r="A10482" s="39"/>
      <c r="E10482" s="40" t="s">
        <v>11404</v>
      </c>
      <c r="F10482" s="40" t="s">
        <v>11404</v>
      </c>
      <c r="G10482" s="40" t="s">
        <v>11404</v>
      </c>
      <c r="H10482" s="40" t="s">
        <v>11404</v>
      </c>
    </row>
    <row r="10483">
      <c r="A10483" s="39"/>
      <c r="E10483" s="40" t="s">
        <v>11404</v>
      </c>
      <c r="F10483" s="40" t="s">
        <v>11404</v>
      </c>
      <c r="G10483" s="40" t="s">
        <v>11404</v>
      </c>
      <c r="H10483" s="40" t="s">
        <v>11404</v>
      </c>
    </row>
    <row r="10484">
      <c r="A10484" s="39"/>
      <c r="E10484" s="40" t="s">
        <v>11404</v>
      </c>
      <c r="F10484" s="40" t="s">
        <v>11404</v>
      </c>
      <c r="G10484" s="40" t="s">
        <v>11404</v>
      </c>
      <c r="H10484" s="40" t="s">
        <v>11404</v>
      </c>
    </row>
    <row r="10485">
      <c r="A10485" s="39"/>
      <c r="E10485" s="40" t="s">
        <v>11404</v>
      </c>
      <c r="F10485" s="40" t="s">
        <v>11404</v>
      </c>
      <c r="G10485" s="40" t="s">
        <v>11404</v>
      </c>
      <c r="H10485" s="40" t="s">
        <v>11404</v>
      </c>
    </row>
    <row r="10486">
      <c r="A10486" s="39"/>
      <c r="E10486" s="40" t="s">
        <v>11404</v>
      </c>
      <c r="F10486" s="40" t="s">
        <v>11404</v>
      </c>
      <c r="G10486" s="40" t="s">
        <v>11404</v>
      </c>
      <c r="H10486" s="40" t="s">
        <v>11404</v>
      </c>
    </row>
    <row r="10487">
      <c r="A10487" s="39"/>
      <c r="E10487" s="40" t="s">
        <v>11404</v>
      </c>
      <c r="F10487" s="40" t="s">
        <v>11404</v>
      </c>
      <c r="G10487" s="40" t="s">
        <v>11404</v>
      </c>
      <c r="H10487" s="40" t="s">
        <v>11404</v>
      </c>
    </row>
    <row r="10488">
      <c r="A10488" s="39"/>
      <c r="E10488" s="40" t="s">
        <v>11404</v>
      </c>
      <c r="F10488" s="40" t="s">
        <v>11404</v>
      </c>
      <c r="G10488" s="40" t="s">
        <v>11404</v>
      </c>
      <c r="H10488" s="40" t="s">
        <v>11404</v>
      </c>
    </row>
    <row r="10489">
      <c r="A10489" s="39"/>
      <c r="E10489" s="40" t="s">
        <v>11404</v>
      </c>
      <c r="F10489" s="40" t="s">
        <v>11404</v>
      </c>
      <c r="G10489" s="40" t="s">
        <v>11404</v>
      </c>
      <c r="H10489" s="40" t="s">
        <v>11404</v>
      </c>
    </row>
    <row r="10490">
      <c r="A10490" s="39"/>
      <c r="E10490" s="40" t="s">
        <v>11404</v>
      </c>
      <c r="F10490" s="40" t="s">
        <v>11404</v>
      </c>
      <c r="G10490" s="40" t="s">
        <v>11404</v>
      </c>
      <c r="H10490" s="40" t="s">
        <v>11404</v>
      </c>
    </row>
    <row r="10491">
      <c r="A10491" s="39"/>
      <c r="E10491" s="40" t="s">
        <v>11404</v>
      </c>
      <c r="F10491" s="40" t="s">
        <v>11404</v>
      </c>
      <c r="G10491" s="40" t="s">
        <v>11404</v>
      </c>
      <c r="H10491" s="40" t="s">
        <v>11404</v>
      </c>
    </row>
    <row r="10492">
      <c r="A10492" s="39"/>
      <c r="E10492" s="40" t="s">
        <v>11404</v>
      </c>
      <c r="F10492" s="40" t="s">
        <v>11404</v>
      </c>
      <c r="G10492" s="40" t="s">
        <v>11404</v>
      </c>
      <c r="H10492" s="40" t="s">
        <v>11404</v>
      </c>
    </row>
    <row r="10493">
      <c r="A10493" s="39"/>
      <c r="E10493" s="40" t="s">
        <v>11404</v>
      </c>
      <c r="F10493" s="40" t="s">
        <v>11404</v>
      </c>
      <c r="G10493" s="40" t="s">
        <v>11404</v>
      </c>
      <c r="H10493" s="40" t="s">
        <v>11404</v>
      </c>
    </row>
    <row r="10494">
      <c r="A10494" s="39"/>
      <c r="E10494" s="40" t="s">
        <v>11404</v>
      </c>
      <c r="F10494" s="40" t="s">
        <v>11404</v>
      </c>
      <c r="G10494" s="40" t="s">
        <v>11404</v>
      </c>
      <c r="H10494" s="40" t="s">
        <v>11404</v>
      </c>
    </row>
    <row r="10495">
      <c r="A10495" s="39"/>
      <c r="E10495" s="40" t="s">
        <v>11404</v>
      </c>
      <c r="F10495" s="40" t="s">
        <v>11404</v>
      </c>
      <c r="G10495" s="40" t="s">
        <v>11404</v>
      </c>
      <c r="H10495" s="40" t="s">
        <v>11404</v>
      </c>
    </row>
    <row r="10496">
      <c r="A10496" s="39"/>
      <c r="E10496" s="40" t="s">
        <v>11404</v>
      </c>
      <c r="F10496" s="40" t="s">
        <v>11404</v>
      </c>
      <c r="G10496" s="40" t="s">
        <v>11404</v>
      </c>
      <c r="H10496" s="40" t="s">
        <v>11404</v>
      </c>
    </row>
    <row r="10497">
      <c r="A10497" s="39"/>
      <c r="E10497" s="40" t="s">
        <v>11404</v>
      </c>
      <c r="F10497" s="40" t="s">
        <v>11404</v>
      </c>
      <c r="G10497" s="40" t="s">
        <v>11404</v>
      </c>
      <c r="H10497" s="40" t="s">
        <v>11404</v>
      </c>
    </row>
    <row r="10498">
      <c r="A10498" s="39"/>
      <c r="E10498" s="40" t="s">
        <v>11404</v>
      </c>
      <c r="F10498" s="40" t="s">
        <v>11404</v>
      </c>
      <c r="G10498" s="40" t="s">
        <v>11404</v>
      </c>
      <c r="H10498" s="40" t="s">
        <v>11404</v>
      </c>
    </row>
    <row r="10499">
      <c r="A10499" s="39"/>
      <c r="E10499" s="40" t="s">
        <v>11404</v>
      </c>
      <c r="F10499" s="40" t="s">
        <v>11404</v>
      </c>
      <c r="G10499" s="40" t="s">
        <v>11404</v>
      </c>
      <c r="H10499" s="40" t="s">
        <v>11404</v>
      </c>
    </row>
    <row r="10500">
      <c r="A10500" s="39"/>
      <c r="E10500" s="40" t="s">
        <v>11404</v>
      </c>
      <c r="F10500" s="40" t="s">
        <v>11404</v>
      </c>
      <c r="G10500" s="40" t="s">
        <v>11404</v>
      </c>
      <c r="H10500" s="40" t="s">
        <v>11404</v>
      </c>
    </row>
    <row r="10501">
      <c r="A10501" s="39"/>
      <c r="E10501" s="40" t="s">
        <v>11404</v>
      </c>
      <c r="F10501" s="40" t="s">
        <v>11404</v>
      </c>
      <c r="G10501" s="40" t="s">
        <v>11404</v>
      </c>
      <c r="H10501" s="40" t="s">
        <v>11404</v>
      </c>
    </row>
    <row r="10502">
      <c r="A10502" s="39"/>
      <c r="E10502" s="40" t="s">
        <v>11404</v>
      </c>
      <c r="F10502" s="40" t="s">
        <v>11404</v>
      </c>
      <c r="G10502" s="40" t="s">
        <v>11404</v>
      </c>
      <c r="H10502" s="40" t="s">
        <v>11404</v>
      </c>
    </row>
    <row r="10503">
      <c r="A10503" s="39"/>
      <c r="E10503" s="40" t="s">
        <v>11404</v>
      </c>
      <c r="F10503" s="40" t="s">
        <v>11404</v>
      </c>
      <c r="G10503" s="40" t="s">
        <v>11404</v>
      </c>
      <c r="H10503" s="40" t="s">
        <v>11404</v>
      </c>
    </row>
    <row r="10504">
      <c r="A10504" s="39"/>
      <c r="E10504" s="40" t="s">
        <v>11404</v>
      </c>
      <c r="F10504" s="40" t="s">
        <v>11404</v>
      </c>
      <c r="G10504" s="40" t="s">
        <v>11404</v>
      </c>
      <c r="H10504" s="40" t="s">
        <v>11404</v>
      </c>
    </row>
    <row r="10505">
      <c r="A10505" s="39"/>
      <c r="E10505" s="40" t="s">
        <v>11404</v>
      </c>
      <c r="F10505" s="40" t="s">
        <v>11404</v>
      </c>
      <c r="G10505" s="40" t="s">
        <v>11404</v>
      </c>
      <c r="H10505" s="40" t="s">
        <v>11404</v>
      </c>
    </row>
    <row r="10506">
      <c r="A10506" s="39"/>
      <c r="E10506" s="40" t="s">
        <v>11404</v>
      </c>
      <c r="F10506" s="40" t="s">
        <v>11404</v>
      </c>
      <c r="G10506" s="40" t="s">
        <v>11404</v>
      </c>
      <c r="H10506" s="40" t="s">
        <v>11404</v>
      </c>
    </row>
    <row r="10507">
      <c r="A10507" s="39"/>
      <c r="E10507" s="40" t="s">
        <v>11404</v>
      </c>
      <c r="F10507" s="40" t="s">
        <v>11404</v>
      </c>
      <c r="G10507" s="40" t="s">
        <v>11404</v>
      </c>
      <c r="H10507" s="40" t="s">
        <v>11404</v>
      </c>
    </row>
    <row r="10508">
      <c r="A10508" s="39"/>
      <c r="E10508" s="40" t="s">
        <v>11404</v>
      </c>
      <c r="F10508" s="40" t="s">
        <v>11404</v>
      </c>
      <c r="G10508" s="40" t="s">
        <v>11404</v>
      </c>
      <c r="H10508" s="40" t="s">
        <v>11404</v>
      </c>
    </row>
    <row r="10509">
      <c r="A10509" s="39"/>
      <c r="E10509" s="40" t="s">
        <v>11404</v>
      </c>
      <c r="F10509" s="40" t="s">
        <v>11404</v>
      </c>
      <c r="G10509" s="40" t="s">
        <v>11404</v>
      </c>
      <c r="H10509" s="40" t="s">
        <v>11404</v>
      </c>
    </row>
    <row r="10510">
      <c r="A10510" s="39"/>
      <c r="E10510" s="40" t="s">
        <v>11404</v>
      </c>
      <c r="F10510" s="40" t="s">
        <v>11404</v>
      </c>
      <c r="G10510" s="40" t="s">
        <v>11404</v>
      </c>
      <c r="H10510" s="40" t="s">
        <v>11404</v>
      </c>
    </row>
    <row r="10511">
      <c r="A10511" s="39"/>
      <c r="E10511" s="40" t="s">
        <v>11404</v>
      </c>
      <c r="F10511" s="40" t="s">
        <v>11404</v>
      </c>
      <c r="G10511" s="40" t="s">
        <v>11404</v>
      </c>
      <c r="H10511" s="40" t="s">
        <v>11404</v>
      </c>
    </row>
    <row r="10512">
      <c r="A10512" s="39"/>
      <c r="E10512" s="40" t="s">
        <v>11404</v>
      </c>
      <c r="F10512" s="40" t="s">
        <v>11404</v>
      </c>
      <c r="G10512" s="40" t="s">
        <v>11404</v>
      </c>
      <c r="H10512" s="40" t="s">
        <v>11404</v>
      </c>
    </row>
    <row r="10513">
      <c r="A10513" s="39"/>
      <c r="E10513" s="40" t="s">
        <v>11404</v>
      </c>
      <c r="F10513" s="40" t="s">
        <v>11404</v>
      </c>
      <c r="G10513" s="40" t="s">
        <v>11404</v>
      </c>
      <c r="H10513" s="40" t="s">
        <v>11404</v>
      </c>
    </row>
    <row r="10514">
      <c r="A10514" s="39"/>
      <c r="E10514" s="40" t="s">
        <v>11404</v>
      </c>
      <c r="F10514" s="40" t="s">
        <v>11404</v>
      </c>
      <c r="G10514" s="40" t="s">
        <v>11404</v>
      </c>
      <c r="H10514" s="40" t="s">
        <v>11404</v>
      </c>
    </row>
    <row r="10515">
      <c r="A10515" s="39"/>
      <c r="E10515" s="40" t="s">
        <v>11404</v>
      </c>
      <c r="F10515" s="40" t="s">
        <v>11404</v>
      </c>
      <c r="G10515" s="40" t="s">
        <v>11404</v>
      </c>
      <c r="H10515" s="40" t="s">
        <v>11404</v>
      </c>
    </row>
    <row r="10516">
      <c r="A10516" s="39"/>
      <c r="E10516" s="40" t="s">
        <v>11404</v>
      </c>
      <c r="F10516" s="40" t="s">
        <v>11404</v>
      </c>
      <c r="G10516" s="40" t="s">
        <v>11404</v>
      </c>
      <c r="H10516" s="40" t="s">
        <v>11404</v>
      </c>
    </row>
    <row r="10517">
      <c r="A10517" s="39"/>
      <c r="E10517" s="40" t="s">
        <v>11404</v>
      </c>
      <c r="F10517" s="40" t="s">
        <v>11404</v>
      </c>
      <c r="G10517" s="40" t="s">
        <v>11404</v>
      </c>
      <c r="H10517" s="40" t="s">
        <v>11404</v>
      </c>
    </row>
    <row r="10518">
      <c r="A10518" s="39"/>
      <c r="E10518" s="40" t="s">
        <v>11404</v>
      </c>
      <c r="F10518" s="40" t="s">
        <v>11404</v>
      </c>
      <c r="G10518" s="40" t="s">
        <v>11404</v>
      </c>
      <c r="H10518" s="40" t="s">
        <v>11404</v>
      </c>
    </row>
    <row r="10519">
      <c r="A10519" s="39"/>
      <c r="E10519" s="40" t="s">
        <v>11404</v>
      </c>
      <c r="F10519" s="40" t="s">
        <v>11404</v>
      </c>
      <c r="G10519" s="40" t="s">
        <v>11404</v>
      </c>
      <c r="H10519" s="40" t="s">
        <v>11404</v>
      </c>
    </row>
    <row r="10520">
      <c r="A10520" s="39"/>
      <c r="E10520" s="40" t="s">
        <v>11404</v>
      </c>
      <c r="F10520" s="40" t="s">
        <v>11404</v>
      </c>
      <c r="G10520" s="40" t="s">
        <v>11404</v>
      </c>
      <c r="H10520" s="40" t="s">
        <v>11404</v>
      </c>
    </row>
    <row r="10521">
      <c r="A10521" s="39"/>
      <c r="E10521" s="40" t="s">
        <v>11404</v>
      </c>
      <c r="F10521" s="40" t="s">
        <v>11404</v>
      </c>
      <c r="G10521" s="40" t="s">
        <v>11404</v>
      </c>
      <c r="H10521" s="40" t="s">
        <v>11404</v>
      </c>
    </row>
    <row r="10522">
      <c r="A10522" s="39"/>
      <c r="E10522" s="40" t="s">
        <v>11404</v>
      </c>
      <c r="F10522" s="40" t="s">
        <v>11404</v>
      </c>
      <c r="G10522" s="40" t="s">
        <v>11404</v>
      </c>
      <c r="H10522" s="40" t="s">
        <v>11404</v>
      </c>
    </row>
    <row r="10523">
      <c r="A10523" s="39"/>
      <c r="E10523" s="40" t="s">
        <v>11404</v>
      </c>
      <c r="F10523" s="40" t="s">
        <v>11404</v>
      </c>
      <c r="G10523" s="40" t="s">
        <v>11404</v>
      </c>
      <c r="H10523" s="40" t="s">
        <v>11404</v>
      </c>
    </row>
    <row r="10524">
      <c r="A10524" s="39"/>
      <c r="E10524" s="40" t="s">
        <v>11404</v>
      </c>
      <c r="F10524" s="40" t="s">
        <v>11404</v>
      </c>
      <c r="G10524" s="40" t="s">
        <v>11404</v>
      </c>
      <c r="H10524" s="40" t="s">
        <v>11404</v>
      </c>
    </row>
    <row r="10525">
      <c r="A10525" s="39"/>
      <c r="E10525" s="40" t="s">
        <v>11404</v>
      </c>
      <c r="F10525" s="40" t="s">
        <v>11404</v>
      </c>
      <c r="G10525" s="40" t="s">
        <v>11404</v>
      </c>
      <c r="H10525" s="40" t="s">
        <v>11404</v>
      </c>
    </row>
    <row r="10526">
      <c r="A10526" s="39"/>
      <c r="E10526" s="40" t="s">
        <v>11404</v>
      </c>
      <c r="F10526" s="40" t="s">
        <v>11404</v>
      </c>
      <c r="G10526" s="40" t="s">
        <v>11404</v>
      </c>
      <c r="H10526" s="40" t="s">
        <v>11404</v>
      </c>
    </row>
    <row r="10527">
      <c r="A10527" s="39"/>
      <c r="E10527" s="40" t="s">
        <v>11404</v>
      </c>
      <c r="F10527" s="40" t="s">
        <v>11404</v>
      </c>
      <c r="G10527" s="40" t="s">
        <v>11404</v>
      </c>
      <c r="H10527" s="40" t="s">
        <v>11404</v>
      </c>
    </row>
    <row r="10528">
      <c r="A10528" s="39"/>
      <c r="E10528" s="40" t="s">
        <v>11404</v>
      </c>
      <c r="F10528" s="40" t="s">
        <v>11404</v>
      </c>
      <c r="G10528" s="40" t="s">
        <v>11404</v>
      </c>
      <c r="H10528" s="40" t="s">
        <v>11404</v>
      </c>
    </row>
    <row r="10529">
      <c r="A10529" s="39"/>
      <c r="E10529" s="40" t="s">
        <v>11404</v>
      </c>
      <c r="F10529" s="40" t="s">
        <v>11404</v>
      </c>
      <c r="G10529" s="40" t="s">
        <v>11404</v>
      </c>
      <c r="H10529" s="40" t="s">
        <v>11404</v>
      </c>
    </row>
    <row r="10530">
      <c r="A10530" s="39"/>
      <c r="E10530" s="40" t="s">
        <v>11404</v>
      </c>
      <c r="F10530" s="40" t="s">
        <v>11404</v>
      </c>
      <c r="G10530" s="40" t="s">
        <v>11404</v>
      </c>
      <c r="H10530" s="40" t="s">
        <v>11404</v>
      </c>
    </row>
    <row r="10531">
      <c r="A10531" s="39"/>
      <c r="E10531" s="40" t="s">
        <v>11404</v>
      </c>
      <c r="F10531" s="40" t="s">
        <v>11404</v>
      </c>
      <c r="G10531" s="40" t="s">
        <v>11404</v>
      </c>
      <c r="H10531" s="40" t="s">
        <v>11404</v>
      </c>
    </row>
    <row r="10532">
      <c r="A10532" s="39"/>
      <c r="E10532" s="40" t="s">
        <v>11404</v>
      </c>
      <c r="F10532" s="40" t="s">
        <v>11404</v>
      </c>
      <c r="G10532" s="40" t="s">
        <v>11404</v>
      </c>
      <c r="H10532" s="40" t="s">
        <v>11404</v>
      </c>
    </row>
    <row r="10533">
      <c r="A10533" s="39"/>
      <c r="E10533" s="40" t="s">
        <v>11404</v>
      </c>
      <c r="F10533" s="40" t="s">
        <v>11404</v>
      </c>
      <c r="G10533" s="40" t="s">
        <v>11404</v>
      </c>
      <c r="H10533" s="40" t="s">
        <v>11404</v>
      </c>
    </row>
    <row r="10534">
      <c r="A10534" s="39"/>
      <c r="E10534" s="40" t="s">
        <v>11404</v>
      </c>
      <c r="F10534" s="40" t="s">
        <v>11404</v>
      </c>
      <c r="G10534" s="40" t="s">
        <v>11404</v>
      </c>
      <c r="H10534" s="40" t="s">
        <v>11404</v>
      </c>
    </row>
    <row r="10535">
      <c r="A10535" s="39"/>
      <c r="E10535" s="40" t="s">
        <v>11404</v>
      </c>
      <c r="F10535" s="40" t="s">
        <v>11404</v>
      </c>
      <c r="G10535" s="40" t="s">
        <v>11404</v>
      </c>
      <c r="H10535" s="40" t="s">
        <v>11404</v>
      </c>
    </row>
    <row r="10536">
      <c r="A10536" s="39"/>
      <c r="E10536" s="40" t="s">
        <v>11404</v>
      </c>
      <c r="F10536" s="40" t="s">
        <v>11404</v>
      </c>
      <c r="G10536" s="40" t="s">
        <v>11404</v>
      </c>
      <c r="H10536" s="40" t="s">
        <v>11404</v>
      </c>
    </row>
    <row r="10537">
      <c r="A10537" s="39"/>
      <c r="E10537" s="40" t="s">
        <v>11404</v>
      </c>
      <c r="F10537" s="40" t="s">
        <v>11404</v>
      </c>
      <c r="G10537" s="40" t="s">
        <v>11404</v>
      </c>
      <c r="H10537" s="40" t="s">
        <v>11404</v>
      </c>
    </row>
    <row r="10538">
      <c r="A10538" s="39"/>
      <c r="E10538" s="40" t="s">
        <v>11404</v>
      </c>
      <c r="F10538" s="40" t="s">
        <v>11404</v>
      </c>
      <c r="G10538" s="40" t="s">
        <v>11404</v>
      </c>
      <c r="H10538" s="40" t="s">
        <v>11404</v>
      </c>
    </row>
    <row r="10539">
      <c r="A10539" s="39"/>
      <c r="E10539" s="40" t="s">
        <v>11404</v>
      </c>
      <c r="F10539" s="40" t="s">
        <v>11404</v>
      </c>
      <c r="G10539" s="40" t="s">
        <v>11404</v>
      </c>
      <c r="H10539" s="40" t="s">
        <v>11404</v>
      </c>
    </row>
    <row r="10540">
      <c r="A10540" s="39"/>
      <c r="E10540" s="40" t="s">
        <v>11404</v>
      </c>
      <c r="F10540" s="40" t="s">
        <v>11404</v>
      </c>
      <c r="G10540" s="40" t="s">
        <v>11404</v>
      </c>
      <c r="H10540" s="40" t="s">
        <v>11404</v>
      </c>
    </row>
    <row r="10541">
      <c r="A10541" s="39"/>
      <c r="E10541" s="40" t="s">
        <v>11404</v>
      </c>
      <c r="F10541" s="40" t="s">
        <v>11404</v>
      </c>
      <c r="G10541" s="40" t="s">
        <v>11404</v>
      </c>
      <c r="H10541" s="40" t="s">
        <v>11404</v>
      </c>
    </row>
    <row r="10542">
      <c r="A10542" s="39"/>
      <c r="E10542" s="40" t="s">
        <v>11404</v>
      </c>
      <c r="F10542" s="40" t="s">
        <v>11404</v>
      </c>
      <c r="G10542" s="40" t="s">
        <v>11404</v>
      </c>
      <c r="H10542" s="40" t="s">
        <v>11404</v>
      </c>
    </row>
    <row r="10543">
      <c r="A10543" s="39"/>
      <c r="E10543" s="40" t="s">
        <v>11404</v>
      </c>
      <c r="F10543" s="40" t="s">
        <v>11404</v>
      </c>
      <c r="G10543" s="40" t="s">
        <v>11404</v>
      </c>
      <c r="H10543" s="40" t="s">
        <v>11404</v>
      </c>
    </row>
    <row r="10544">
      <c r="A10544" s="39"/>
      <c r="E10544" s="40" t="s">
        <v>11404</v>
      </c>
      <c r="F10544" s="40" t="s">
        <v>11404</v>
      </c>
      <c r="G10544" s="40" t="s">
        <v>11404</v>
      </c>
      <c r="H10544" s="40" t="s">
        <v>11404</v>
      </c>
    </row>
    <row r="10545">
      <c r="A10545" s="39"/>
      <c r="E10545" s="40" t="s">
        <v>11404</v>
      </c>
      <c r="F10545" s="40" t="s">
        <v>11404</v>
      </c>
      <c r="G10545" s="40" t="s">
        <v>11404</v>
      </c>
      <c r="H10545" s="40" t="s">
        <v>11404</v>
      </c>
    </row>
    <row r="10546">
      <c r="A10546" s="39"/>
      <c r="E10546" s="40" t="s">
        <v>11404</v>
      </c>
      <c r="F10546" s="40" t="s">
        <v>11404</v>
      </c>
      <c r="G10546" s="40" t="s">
        <v>11404</v>
      </c>
      <c r="H10546" s="40" t="s">
        <v>11404</v>
      </c>
    </row>
    <row r="10547">
      <c r="A10547" s="39"/>
      <c r="E10547" s="40" t="s">
        <v>11404</v>
      </c>
      <c r="F10547" s="40" t="s">
        <v>11404</v>
      </c>
      <c r="G10547" s="40" t="s">
        <v>11404</v>
      </c>
      <c r="H10547" s="40" t="s">
        <v>11404</v>
      </c>
    </row>
    <row r="10548">
      <c r="A10548" s="39"/>
      <c r="E10548" s="40" t="s">
        <v>11404</v>
      </c>
      <c r="F10548" s="40" t="s">
        <v>11404</v>
      </c>
      <c r="G10548" s="40" t="s">
        <v>11404</v>
      </c>
      <c r="H10548" s="40" t="s">
        <v>11404</v>
      </c>
    </row>
    <row r="10549">
      <c r="A10549" s="39"/>
      <c r="E10549" s="40" t="s">
        <v>11404</v>
      </c>
      <c r="F10549" s="40" t="s">
        <v>11404</v>
      </c>
      <c r="G10549" s="40" t="s">
        <v>11404</v>
      </c>
      <c r="H10549" s="40" t="s">
        <v>11404</v>
      </c>
    </row>
    <row r="10550">
      <c r="A10550" s="39"/>
      <c r="E10550" s="40" t="s">
        <v>11404</v>
      </c>
      <c r="F10550" s="40" t="s">
        <v>11404</v>
      </c>
      <c r="G10550" s="40" t="s">
        <v>11404</v>
      </c>
      <c r="H10550" s="40" t="s">
        <v>11404</v>
      </c>
    </row>
    <row r="10551">
      <c r="A10551" s="39"/>
      <c r="E10551" s="40" t="s">
        <v>11404</v>
      </c>
      <c r="F10551" s="40" t="s">
        <v>11404</v>
      </c>
      <c r="G10551" s="40" t="s">
        <v>11404</v>
      </c>
      <c r="H10551" s="40" t="s">
        <v>11404</v>
      </c>
    </row>
    <row r="10552">
      <c r="A10552" s="39"/>
      <c r="E10552" s="40" t="s">
        <v>11404</v>
      </c>
      <c r="F10552" s="40" t="s">
        <v>11404</v>
      </c>
      <c r="G10552" s="40" t="s">
        <v>11404</v>
      </c>
      <c r="H10552" s="40" t="s">
        <v>11404</v>
      </c>
    </row>
    <row r="10553">
      <c r="A10553" s="39"/>
      <c r="E10553" s="40" t="s">
        <v>11404</v>
      </c>
      <c r="F10553" s="40" t="s">
        <v>11404</v>
      </c>
      <c r="G10553" s="40" t="s">
        <v>11404</v>
      </c>
      <c r="H10553" s="40" t="s">
        <v>11404</v>
      </c>
    </row>
    <row r="10554">
      <c r="A10554" s="39"/>
      <c r="E10554" s="40" t="s">
        <v>11404</v>
      </c>
      <c r="F10554" s="40" t="s">
        <v>11404</v>
      </c>
      <c r="G10554" s="40" t="s">
        <v>11404</v>
      </c>
      <c r="H10554" s="40" t="s">
        <v>11404</v>
      </c>
    </row>
    <row r="10555">
      <c r="A10555" s="39"/>
      <c r="E10555" s="40" t="s">
        <v>11404</v>
      </c>
      <c r="F10555" s="40" t="s">
        <v>11404</v>
      </c>
      <c r="G10555" s="40" t="s">
        <v>11404</v>
      </c>
      <c r="H10555" s="40" t="s">
        <v>11404</v>
      </c>
    </row>
    <row r="10556">
      <c r="A10556" s="39"/>
      <c r="E10556" s="40" t="s">
        <v>11404</v>
      </c>
      <c r="F10556" s="40" t="s">
        <v>11404</v>
      </c>
      <c r="G10556" s="40" t="s">
        <v>11404</v>
      </c>
      <c r="H10556" s="40" t="s">
        <v>11404</v>
      </c>
    </row>
    <row r="10557">
      <c r="A10557" s="39"/>
      <c r="E10557" s="40" t="s">
        <v>11404</v>
      </c>
      <c r="F10557" s="40" t="s">
        <v>11404</v>
      </c>
      <c r="G10557" s="40" t="s">
        <v>11404</v>
      </c>
      <c r="H10557" s="40" t="s">
        <v>11404</v>
      </c>
    </row>
    <row r="10558">
      <c r="A10558" s="39"/>
      <c r="E10558" s="40" t="s">
        <v>11404</v>
      </c>
      <c r="F10558" s="40" t="s">
        <v>11404</v>
      </c>
      <c r="G10558" s="40" t="s">
        <v>11404</v>
      </c>
      <c r="H10558" s="40" t="s">
        <v>11404</v>
      </c>
    </row>
    <row r="10559">
      <c r="A10559" s="39"/>
      <c r="E10559" s="40" t="s">
        <v>11404</v>
      </c>
      <c r="F10559" s="40" t="s">
        <v>11404</v>
      </c>
      <c r="G10559" s="40" t="s">
        <v>11404</v>
      </c>
      <c r="H10559" s="40" t="s">
        <v>11404</v>
      </c>
    </row>
    <row r="10560">
      <c r="A10560" s="39"/>
      <c r="E10560" s="40" t="s">
        <v>11404</v>
      </c>
      <c r="F10560" s="40" t="s">
        <v>11404</v>
      </c>
      <c r="G10560" s="40" t="s">
        <v>11404</v>
      </c>
      <c r="H10560" s="40" t="s">
        <v>11404</v>
      </c>
    </row>
    <row r="10561">
      <c r="A10561" s="39"/>
      <c r="E10561" s="40" t="s">
        <v>11404</v>
      </c>
      <c r="F10561" s="40" t="s">
        <v>11404</v>
      </c>
      <c r="G10561" s="40" t="s">
        <v>11404</v>
      </c>
      <c r="H10561" s="40" t="s">
        <v>11404</v>
      </c>
    </row>
    <row r="10562">
      <c r="A10562" s="39"/>
      <c r="E10562" s="40" t="s">
        <v>11404</v>
      </c>
      <c r="F10562" s="40" t="s">
        <v>11404</v>
      </c>
      <c r="G10562" s="40" t="s">
        <v>11404</v>
      </c>
      <c r="H10562" s="40" t="s">
        <v>11404</v>
      </c>
    </row>
    <row r="10563">
      <c r="A10563" s="39"/>
      <c r="E10563" s="40" t="s">
        <v>11404</v>
      </c>
      <c r="F10563" s="40" t="s">
        <v>11404</v>
      </c>
      <c r="G10563" s="40" t="s">
        <v>11404</v>
      </c>
      <c r="H10563" s="40" t="s">
        <v>11404</v>
      </c>
    </row>
    <row r="10564">
      <c r="A10564" s="39"/>
      <c r="E10564" s="40" t="s">
        <v>11404</v>
      </c>
      <c r="F10564" s="40" t="s">
        <v>11404</v>
      </c>
      <c r="G10564" s="40" t="s">
        <v>11404</v>
      </c>
      <c r="H10564" s="40" t="s">
        <v>11404</v>
      </c>
    </row>
    <row r="10565">
      <c r="A10565" s="39"/>
      <c r="E10565" s="40" t="s">
        <v>11404</v>
      </c>
      <c r="F10565" s="40" t="s">
        <v>11404</v>
      </c>
      <c r="G10565" s="40" t="s">
        <v>11404</v>
      </c>
      <c r="H10565" s="40" t="s">
        <v>11404</v>
      </c>
    </row>
    <row r="10566">
      <c r="A10566" s="39"/>
      <c r="E10566" s="40" t="s">
        <v>11404</v>
      </c>
      <c r="F10566" s="40" t="s">
        <v>11404</v>
      </c>
      <c r="G10566" s="40" t="s">
        <v>11404</v>
      </c>
      <c r="H10566" s="40" t="s">
        <v>11404</v>
      </c>
    </row>
    <row r="10567">
      <c r="A10567" s="39"/>
      <c r="E10567" s="40" t="s">
        <v>11404</v>
      </c>
      <c r="F10567" s="40" t="s">
        <v>11404</v>
      </c>
      <c r="G10567" s="40" t="s">
        <v>11404</v>
      </c>
      <c r="H10567" s="40" t="s">
        <v>11404</v>
      </c>
    </row>
    <row r="10568">
      <c r="A10568" s="39"/>
      <c r="E10568" s="40" t="s">
        <v>11404</v>
      </c>
      <c r="F10568" s="40" t="s">
        <v>11404</v>
      </c>
      <c r="G10568" s="40" t="s">
        <v>11404</v>
      </c>
      <c r="H10568" s="40" t="s">
        <v>11404</v>
      </c>
    </row>
    <row r="10569">
      <c r="A10569" s="39"/>
      <c r="E10569" s="40" t="s">
        <v>11404</v>
      </c>
      <c r="F10569" s="40" t="s">
        <v>11404</v>
      </c>
      <c r="G10569" s="40" t="s">
        <v>11404</v>
      </c>
      <c r="H10569" s="40" t="s">
        <v>11404</v>
      </c>
    </row>
    <row r="10570">
      <c r="A10570" s="39"/>
      <c r="E10570" s="40" t="s">
        <v>11404</v>
      </c>
      <c r="F10570" s="40" t="s">
        <v>11404</v>
      </c>
      <c r="G10570" s="40" t="s">
        <v>11404</v>
      </c>
      <c r="H10570" s="40" t="s">
        <v>11404</v>
      </c>
    </row>
    <row r="10571">
      <c r="A10571" s="39"/>
      <c r="E10571" s="40" t="s">
        <v>11404</v>
      </c>
      <c r="F10571" s="40" t="s">
        <v>11404</v>
      </c>
      <c r="G10571" s="40" t="s">
        <v>11404</v>
      </c>
      <c r="H10571" s="40" t="s">
        <v>11404</v>
      </c>
    </row>
    <row r="10572">
      <c r="A10572" s="39"/>
      <c r="E10572" s="40" t="s">
        <v>11404</v>
      </c>
      <c r="F10572" s="40" t="s">
        <v>11404</v>
      </c>
      <c r="G10572" s="40" t="s">
        <v>11404</v>
      </c>
      <c r="H10572" s="40" t="s">
        <v>11404</v>
      </c>
    </row>
    <row r="10573">
      <c r="A10573" s="39"/>
      <c r="E10573" s="40" t="s">
        <v>11404</v>
      </c>
      <c r="F10573" s="40" t="s">
        <v>11404</v>
      </c>
      <c r="G10573" s="40" t="s">
        <v>11404</v>
      </c>
      <c r="H10573" s="40" t="s">
        <v>11404</v>
      </c>
    </row>
    <row r="10574">
      <c r="A10574" s="39"/>
      <c r="E10574" s="40" t="s">
        <v>11404</v>
      </c>
      <c r="F10574" s="40" t="s">
        <v>11404</v>
      </c>
      <c r="G10574" s="40" t="s">
        <v>11404</v>
      </c>
      <c r="H10574" s="40" t="s">
        <v>11404</v>
      </c>
    </row>
    <row r="10575">
      <c r="A10575" s="39"/>
      <c r="E10575" s="40" t="s">
        <v>11404</v>
      </c>
      <c r="F10575" s="40" t="s">
        <v>11404</v>
      </c>
      <c r="G10575" s="40" t="s">
        <v>11404</v>
      </c>
      <c r="H10575" s="40" t="s">
        <v>11404</v>
      </c>
    </row>
    <row r="10576">
      <c r="A10576" s="39"/>
      <c r="E10576" s="40" t="s">
        <v>11404</v>
      </c>
      <c r="F10576" s="40" t="s">
        <v>11404</v>
      </c>
      <c r="G10576" s="40" t="s">
        <v>11404</v>
      </c>
      <c r="H10576" s="40" t="s">
        <v>11404</v>
      </c>
    </row>
    <row r="10577">
      <c r="A10577" s="39"/>
      <c r="E10577" s="40" t="s">
        <v>11404</v>
      </c>
      <c r="F10577" s="40" t="s">
        <v>11404</v>
      </c>
      <c r="G10577" s="40" t="s">
        <v>11404</v>
      </c>
      <c r="H10577" s="40" t="s">
        <v>11404</v>
      </c>
    </row>
    <row r="10578">
      <c r="A10578" s="39"/>
      <c r="E10578" s="40" t="s">
        <v>11404</v>
      </c>
      <c r="F10578" s="40" t="s">
        <v>11404</v>
      </c>
      <c r="G10578" s="40" t="s">
        <v>11404</v>
      </c>
      <c r="H10578" s="40" t="s">
        <v>11404</v>
      </c>
    </row>
    <row r="10579">
      <c r="A10579" s="39"/>
      <c r="E10579" s="40" t="s">
        <v>11404</v>
      </c>
      <c r="F10579" s="40" t="s">
        <v>11404</v>
      </c>
      <c r="G10579" s="40" t="s">
        <v>11404</v>
      </c>
      <c r="H10579" s="40" t="s">
        <v>11404</v>
      </c>
    </row>
    <row r="10580">
      <c r="A10580" s="39"/>
      <c r="E10580" s="40" t="s">
        <v>11404</v>
      </c>
      <c r="F10580" s="40" t="s">
        <v>11404</v>
      </c>
      <c r="G10580" s="40" t="s">
        <v>11404</v>
      </c>
      <c r="H10580" s="40" t="s">
        <v>11404</v>
      </c>
    </row>
    <row r="10581">
      <c r="A10581" s="39"/>
      <c r="E10581" s="40" t="s">
        <v>11404</v>
      </c>
      <c r="F10581" s="40" t="s">
        <v>11404</v>
      </c>
      <c r="G10581" s="40" t="s">
        <v>11404</v>
      </c>
      <c r="H10581" s="40" t="s">
        <v>11404</v>
      </c>
    </row>
    <row r="10582">
      <c r="A10582" s="39"/>
      <c r="E10582" s="40" t="s">
        <v>11404</v>
      </c>
      <c r="F10582" s="40" t="s">
        <v>11404</v>
      </c>
      <c r="G10582" s="40" t="s">
        <v>11404</v>
      </c>
      <c r="H10582" s="40" t="s">
        <v>11404</v>
      </c>
    </row>
    <row r="10583">
      <c r="A10583" s="39"/>
      <c r="E10583" s="40" t="s">
        <v>11404</v>
      </c>
      <c r="F10583" s="40" t="s">
        <v>11404</v>
      </c>
      <c r="G10583" s="40" t="s">
        <v>11404</v>
      </c>
      <c r="H10583" s="40" t="s">
        <v>11404</v>
      </c>
    </row>
    <row r="10584">
      <c r="A10584" s="39"/>
      <c r="E10584" s="40" t="s">
        <v>11404</v>
      </c>
      <c r="F10584" s="40" t="s">
        <v>11404</v>
      </c>
      <c r="G10584" s="40" t="s">
        <v>11404</v>
      </c>
      <c r="H10584" s="40" t="s">
        <v>11404</v>
      </c>
    </row>
    <row r="10585">
      <c r="A10585" s="39"/>
      <c r="E10585" s="40" t="s">
        <v>11404</v>
      </c>
      <c r="F10585" s="40" t="s">
        <v>11404</v>
      </c>
      <c r="G10585" s="40" t="s">
        <v>11404</v>
      </c>
      <c r="H10585" s="40" t="s">
        <v>11404</v>
      </c>
    </row>
    <row r="10586">
      <c r="A10586" s="39"/>
      <c r="E10586" s="40" t="s">
        <v>11404</v>
      </c>
      <c r="F10586" s="40" t="s">
        <v>11404</v>
      </c>
      <c r="G10586" s="40" t="s">
        <v>11404</v>
      </c>
      <c r="H10586" s="40" t="s">
        <v>11404</v>
      </c>
    </row>
    <row r="10587">
      <c r="A10587" s="39"/>
      <c r="E10587" s="40" t="s">
        <v>11404</v>
      </c>
      <c r="F10587" s="40" t="s">
        <v>11404</v>
      </c>
      <c r="G10587" s="40" t="s">
        <v>11404</v>
      </c>
      <c r="H10587" s="40" t="s">
        <v>11404</v>
      </c>
    </row>
    <row r="10588">
      <c r="A10588" s="39"/>
      <c r="E10588" s="40" t="s">
        <v>11404</v>
      </c>
      <c r="F10588" s="40" t="s">
        <v>11404</v>
      </c>
      <c r="G10588" s="40" t="s">
        <v>11404</v>
      </c>
      <c r="H10588" s="40" t="s">
        <v>11404</v>
      </c>
    </row>
    <row r="10589">
      <c r="A10589" s="39"/>
      <c r="E10589" s="40" t="s">
        <v>11404</v>
      </c>
      <c r="F10589" s="40" t="s">
        <v>11404</v>
      </c>
      <c r="G10589" s="40" t="s">
        <v>11404</v>
      </c>
      <c r="H10589" s="40" t="s">
        <v>11404</v>
      </c>
    </row>
    <row r="10590">
      <c r="A10590" s="39"/>
      <c r="E10590" s="40" t="s">
        <v>11404</v>
      </c>
      <c r="F10590" s="40" t="s">
        <v>11404</v>
      </c>
      <c r="G10590" s="40" t="s">
        <v>11404</v>
      </c>
      <c r="H10590" s="40" t="s">
        <v>11404</v>
      </c>
    </row>
    <row r="10591">
      <c r="A10591" s="39"/>
      <c r="E10591" s="40" t="s">
        <v>11404</v>
      </c>
      <c r="F10591" s="40" t="s">
        <v>11404</v>
      </c>
      <c r="G10591" s="40" t="s">
        <v>11404</v>
      </c>
      <c r="H10591" s="40" t="s">
        <v>11404</v>
      </c>
    </row>
    <row r="10592">
      <c r="A10592" s="39"/>
      <c r="E10592" s="40" t="s">
        <v>11404</v>
      </c>
      <c r="F10592" s="40" t="s">
        <v>11404</v>
      </c>
      <c r="G10592" s="40" t="s">
        <v>11404</v>
      </c>
      <c r="H10592" s="40" t="s">
        <v>11404</v>
      </c>
    </row>
    <row r="10593">
      <c r="A10593" s="39"/>
      <c r="E10593" s="40" t="s">
        <v>11404</v>
      </c>
      <c r="F10593" s="40" t="s">
        <v>11404</v>
      </c>
      <c r="G10593" s="40" t="s">
        <v>11404</v>
      </c>
      <c r="H10593" s="40" t="s">
        <v>11404</v>
      </c>
    </row>
    <row r="10594">
      <c r="A10594" s="39"/>
      <c r="E10594" s="40" t="s">
        <v>11404</v>
      </c>
      <c r="F10594" s="40" t="s">
        <v>11404</v>
      </c>
      <c r="G10594" s="40" t="s">
        <v>11404</v>
      </c>
      <c r="H10594" s="40" t="s">
        <v>11404</v>
      </c>
    </row>
    <row r="10595">
      <c r="A10595" s="39"/>
      <c r="E10595" s="40" t="s">
        <v>11404</v>
      </c>
      <c r="F10595" s="40" t="s">
        <v>11404</v>
      </c>
      <c r="G10595" s="40" t="s">
        <v>11404</v>
      </c>
      <c r="H10595" s="40" t="s">
        <v>11404</v>
      </c>
    </row>
    <row r="10596">
      <c r="A10596" s="39"/>
      <c r="E10596" s="40" t="s">
        <v>11404</v>
      </c>
      <c r="F10596" s="40" t="s">
        <v>11404</v>
      </c>
      <c r="G10596" s="40" t="s">
        <v>11404</v>
      </c>
      <c r="H10596" s="40" t="s">
        <v>11404</v>
      </c>
    </row>
    <row r="10597">
      <c r="A10597" s="39"/>
      <c r="E10597" s="40" t="s">
        <v>11404</v>
      </c>
      <c r="F10597" s="40" t="s">
        <v>11404</v>
      </c>
      <c r="G10597" s="40" t="s">
        <v>11404</v>
      </c>
      <c r="H10597" s="40" t="s">
        <v>11404</v>
      </c>
    </row>
    <row r="10598">
      <c r="A10598" s="39"/>
      <c r="E10598" s="40" t="s">
        <v>11404</v>
      </c>
      <c r="F10598" s="40" t="s">
        <v>11404</v>
      </c>
      <c r="G10598" s="40" t="s">
        <v>11404</v>
      </c>
      <c r="H10598" s="40" t="s">
        <v>11404</v>
      </c>
    </row>
    <row r="10599">
      <c r="A10599" s="39"/>
      <c r="E10599" s="40" t="s">
        <v>11404</v>
      </c>
      <c r="F10599" s="40" t="s">
        <v>11404</v>
      </c>
      <c r="G10599" s="40" t="s">
        <v>11404</v>
      </c>
      <c r="H10599" s="40" t="s">
        <v>11404</v>
      </c>
    </row>
    <row r="10600">
      <c r="A10600" s="39"/>
      <c r="E10600" s="40" t="s">
        <v>11404</v>
      </c>
      <c r="F10600" s="40" t="s">
        <v>11404</v>
      </c>
      <c r="G10600" s="40" t="s">
        <v>11404</v>
      </c>
      <c r="H10600" s="40" t="s">
        <v>11404</v>
      </c>
    </row>
    <row r="10601">
      <c r="A10601" s="39"/>
      <c r="E10601" s="40" t="s">
        <v>11404</v>
      </c>
      <c r="F10601" s="40" t="s">
        <v>11404</v>
      </c>
      <c r="G10601" s="40" t="s">
        <v>11404</v>
      </c>
      <c r="H10601" s="40" t="s">
        <v>11404</v>
      </c>
    </row>
    <row r="10602">
      <c r="A10602" s="39"/>
      <c r="E10602" s="40" t="s">
        <v>11404</v>
      </c>
      <c r="F10602" s="40" t="s">
        <v>11404</v>
      </c>
      <c r="G10602" s="40" t="s">
        <v>11404</v>
      </c>
      <c r="H10602" s="40" t="s">
        <v>11404</v>
      </c>
    </row>
    <row r="10603">
      <c r="A10603" s="39"/>
      <c r="E10603" s="40" t="s">
        <v>11404</v>
      </c>
      <c r="F10603" s="40" t="s">
        <v>11404</v>
      </c>
      <c r="G10603" s="40" t="s">
        <v>11404</v>
      </c>
      <c r="H10603" s="40" t="s">
        <v>11404</v>
      </c>
    </row>
    <row r="10604">
      <c r="A10604" s="39"/>
      <c r="E10604" s="40" t="s">
        <v>11404</v>
      </c>
      <c r="F10604" s="40" t="s">
        <v>11404</v>
      </c>
      <c r="G10604" s="40" t="s">
        <v>11404</v>
      </c>
      <c r="H10604" s="40" t="s">
        <v>11404</v>
      </c>
    </row>
    <row r="10605">
      <c r="A10605" s="39"/>
      <c r="E10605" s="40" t="s">
        <v>11404</v>
      </c>
      <c r="F10605" s="40" t="s">
        <v>11404</v>
      </c>
      <c r="G10605" s="40" t="s">
        <v>11404</v>
      </c>
      <c r="H10605" s="40" t="s">
        <v>11404</v>
      </c>
    </row>
    <row r="10606">
      <c r="A10606" s="39"/>
      <c r="E10606" s="40" t="s">
        <v>11404</v>
      </c>
      <c r="F10606" s="40" t="s">
        <v>11404</v>
      </c>
      <c r="G10606" s="40" t="s">
        <v>11404</v>
      </c>
      <c r="H10606" s="40" t="s">
        <v>11404</v>
      </c>
    </row>
    <row r="10607">
      <c r="A10607" s="39"/>
      <c r="E10607" s="40" t="s">
        <v>11404</v>
      </c>
      <c r="F10607" s="40" t="s">
        <v>11404</v>
      </c>
      <c r="G10607" s="40" t="s">
        <v>11404</v>
      </c>
      <c r="H10607" s="40" t="s">
        <v>11404</v>
      </c>
    </row>
    <row r="10608">
      <c r="A10608" s="39"/>
      <c r="E10608" s="40" t="s">
        <v>11404</v>
      </c>
      <c r="F10608" s="40" t="s">
        <v>11404</v>
      </c>
      <c r="G10608" s="40" t="s">
        <v>11404</v>
      </c>
      <c r="H10608" s="40" t="s">
        <v>11404</v>
      </c>
    </row>
    <row r="10609">
      <c r="A10609" s="39"/>
      <c r="E10609" s="40" t="s">
        <v>11404</v>
      </c>
      <c r="F10609" s="40" t="s">
        <v>11404</v>
      </c>
      <c r="G10609" s="40" t="s">
        <v>11404</v>
      </c>
      <c r="H10609" s="40" t="s">
        <v>11404</v>
      </c>
    </row>
    <row r="10610">
      <c r="A10610" s="39"/>
      <c r="E10610" s="40" t="s">
        <v>11404</v>
      </c>
      <c r="F10610" s="40" t="s">
        <v>11404</v>
      </c>
      <c r="G10610" s="40" t="s">
        <v>11404</v>
      </c>
      <c r="H10610" s="40" t="s">
        <v>11404</v>
      </c>
    </row>
    <row r="10611">
      <c r="A10611" s="39"/>
      <c r="E10611" s="40" t="s">
        <v>11404</v>
      </c>
      <c r="F10611" s="40" t="s">
        <v>11404</v>
      </c>
      <c r="G10611" s="40" t="s">
        <v>11404</v>
      </c>
      <c r="H10611" s="40" t="s">
        <v>11404</v>
      </c>
    </row>
    <row r="10612">
      <c r="A10612" s="39"/>
      <c r="E10612" s="40" t="s">
        <v>11404</v>
      </c>
      <c r="F10612" s="40" t="s">
        <v>11404</v>
      </c>
      <c r="G10612" s="40" t="s">
        <v>11404</v>
      </c>
      <c r="H10612" s="40" t="s">
        <v>11404</v>
      </c>
    </row>
    <row r="10613">
      <c r="A10613" s="39"/>
      <c r="E10613" s="40" t="s">
        <v>11404</v>
      </c>
      <c r="F10613" s="40" t="s">
        <v>11404</v>
      </c>
      <c r="G10613" s="40" t="s">
        <v>11404</v>
      </c>
      <c r="H10613" s="40" t="s">
        <v>11404</v>
      </c>
    </row>
    <row r="10614">
      <c r="A10614" s="39"/>
      <c r="E10614" s="40" t="s">
        <v>11404</v>
      </c>
      <c r="F10614" s="40" t="s">
        <v>11404</v>
      </c>
      <c r="G10614" s="40" t="s">
        <v>11404</v>
      </c>
      <c r="H10614" s="40" t="s">
        <v>11404</v>
      </c>
    </row>
    <row r="10615">
      <c r="A10615" s="39"/>
      <c r="E10615" s="40" t="s">
        <v>11404</v>
      </c>
      <c r="F10615" s="40" t="s">
        <v>11404</v>
      </c>
      <c r="G10615" s="40" t="s">
        <v>11404</v>
      </c>
      <c r="H10615" s="40" t="s">
        <v>11404</v>
      </c>
    </row>
    <row r="10616">
      <c r="A10616" s="39"/>
      <c r="E10616" s="40" t="s">
        <v>11404</v>
      </c>
      <c r="F10616" s="40" t="s">
        <v>11404</v>
      </c>
      <c r="G10616" s="40" t="s">
        <v>11404</v>
      </c>
      <c r="H10616" s="40" t="s">
        <v>11404</v>
      </c>
    </row>
    <row r="10617">
      <c r="A10617" s="39"/>
      <c r="E10617" s="40" t="s">
        <v>11404</v>
      </c>
      <c r="F10617" s="40" t="s">
        <v>11404</v>
      </c>
      <c r="G10617" s="40" t="s">
        <v>11404</v>
      </c>
      <c r="H10617" s="40" t="s">
        <v>11404</v>
      </c>
    </row>
    <row r="10618">
      <c r="A10618" s="39"/>
      <c r="E10618" s="40" t="s">
        <v>11404</v>
      </c>
      <c r="F10618" s="40" t="s">
        <v>11404</v>
      </c>
      <c r="G10618" s="40" t="s">
        <v>11404</v>
      </c>
      <c r="H10618" s="40" t="s">
        <v>11404</v>
      </c>
    </row>
    <row r="10619">
      <c r="A10619" s="39"/>
      <c r="E10619" s="40" t="s">
        <v>11404</v>
      </c>
      <c r="F10619" s="40" t="s">
        <v>11404</v>
      </c>
      <c r="G10619" s="40" t="s">
        <v>11404</v>
      </c>
      <c r="H10619" s="40" t="s">
        <v>11404</v>
      </c>
    </row>
    <row r="10620">
      <c r="A10620" s="39"/>
      <c r="E10620" s="40" t="s">
        <v>11404</v>
      </c>
      <c r="F10620" s="40" t="s">
        <v>11404</v>
      </c>
      <c r="G10620" s="40" t="s">
        <v>11404</v>
      </c>
      <c r="H10620" s="40" t="s">
        <v>11404</v>
      </c>
    </row>
    <row r="10621">
      <c r="A10621" s="39"/>
      <c r="E10621" s="40" t="s">
        <v>11404</v>
      </c>
      <c r="F10621" s="40" t="s">
        <v>11404</v>
      </c>
      <c r="G10621" s="40" t="s">
        <v>11404</v>
      </c>
      <c r="H10621" s="40" t="s">
        <v>11404</v>
      </c>
    </row>
    <row r="10622">
      <c r="A10622" s="39"/>
      <c r="E10622" s="40" t="s">
        <v>11404</v>
      </c>
      <c r="F10622" s="40" t="s">
        <v>11404</v>
      </c>
      <c r="G10622" s="40" t="s">
        <v>11404</v>
      </c>
      <c r="H10622" s="40" t="s">
        <v>11404</v>
      </c>
    </row>
    <row r="10623">
      <c r="A10623" s="39"/>
      <c r="E10623" s="40" t="s">
        <v>11404</v>
      </c>
      <c r="F10623" s="40" t="s">
        <v>11404</v>
      </c>
      <c r="G10623" s="40" t="s">
        <v>11404</v>
      </c>
      <c r="H10623" s="40" t="s">
        <v>11404</v>
      </c>
    </row>
    <row r="10624">
      <c r="A10624" s="39"/>
      <c r="E10624" s="40" t="s">
        <v>11404</v>
      </c>
      <c r="F10624" s="40" t="s">
        <v>11404</v>
      </c>
      <c r="G10624" s="40" t="s">
        <v>11404</v>
      </c>
      <c r="H10624" s="40" t="s">
        <v>11404</v>
      </c>
    </row>
    <row r="10625">
      <c r="A10625" s="39"/>
      <c r="E10625" s="40" t="s">
        <v>11404</v>
      </c>
      <c r="F10625" s="40" t="s">
        <v>11404</v>
      </c>
      <c r="G10625" s="40" t="s">
        <v>11404</v>
      </c>
      <c r="H10625" s="40" t="s">
        <v>11404</v>
      </c>
    </row>
    <row r="10626">
      <c r="A10626" s="39"/>
      <c r="E10626" s="40" t="s">
        <v>11404</v>
      </c>
      <c r="F10626" s="40" t="s">
        <v>11404</v>
      </c>
      <c r="G10626" s="40" t="s">
        <v>11404</v>
      </c>
      <c r="H10626" s="40" t="s">
        <v>11404</v>
      </c>
    </row>
    <row r="10627">
      <c r="A10627" s="39"/>
      <c r="E10627" s="40" t="s">
        <v>11404</v>
      </c>
      <c r="F10627" s="40" t="s">
        <v>11404</v>
      </c>
      <c r="G10627" s="40" t="s">
        <v>11404</v>
      </c>
      <c r="H10627" s="40" t="s">
        <v>11404</v>
      </c>
    </row>
    <row r="10628">
      <c r="A10628" s="39"/>
      <c r="E10628" s="40" t="s">
        <v>11404</v>
      </c>
      <c r="F10628" s="40" t="s">
        <v>11404</v>
      </c>
      <c r="G10628" s="40" t="s">
        <v>11404</v>
      </c>
      <c r="H10628" s="40" t="s">
        <v>11404</v>
      </c>
    </row>
    <row r="10629">
      <c r="A10629" s="39"/>
      <c r="E10629" s="40" t="s">
        <v>11404</v>
      </c>
      <c r="F10629" s="40" t="s">
        <v>11404</v>
      </c>
      <c r="G10629" s="40" t="s">
        <v>11404</v>
      </c>
      <c r="H10629" s="40" t="s">
        <v>11404</v>
      </c>
    </row>
    <row r="10630">
      <c r="A10630" s="39"/>
      <c r="E10630" s="40" t="s">
        <v>11404</v>
      </c>
      <c r="F10630" s="40" t="s">
        <v>11404</v>
      </c>
      <c r="G10630" s="40" t="s">
        <v>11404</v>
      </c>
      <c r="H10630" s="40" t="s">
        <v>11404</v>
      </c>
    </row>
    <row r="10631">
      <c r="A10631" s="39"/>
      <c r="E10631" s="40" t="s">
        <v>11404</v>
      </c>
      <c r="F10631" s="40" t="s">
        <v>11404</v>
      </c>
      <c r="G10631" s="40" t="s">
        <v>11404</v>
      </c>
      <c r="H10631" s="40" t="s">
        <v>11404</v>
      </c>
    </row>
    <row r="10632">
      <c r="A10632" s="39"/>
      <c r="E10632" s="40" t="s">
        <v>11404</v>
      </c>
      <c r="F10632" s="40" t="s">
        <v>11404</v>
      </c>
      <c r="G10632" s="40" t="s">
        <v>11404</v>
      </c>
      <c r="H10632" s="40" t="s">
        <v>11404</v>
      </c>
    </row>
    <row r="10633">
      <c r="A10633" s="39"/>
      <c r="E10633" s="40" t="s">
        <v>11404</v>
      </c>
      <c r="F10633" s="40" t="s">
        <v>11404</v>
      </c>
      <c r="G10633" s="40" t="s">
        <v>11404</v>
      </c>
      <c r="H10633" s="40" t="s">
        <v>11404</v>
      </c>
    </row>
    <row r="10634">
      <c r="A10634" s="39"/>
      <c r="E10634" s="40" t="s">
        <v>11404</v>
      </c>
      <c r="F10634" s="40" t="s">
        <v>11404</v>
      </c>
      <c r="G10634" s="40" t="s">
        <v>11404</v>
      </c>
      <c r="H10634" s="40" t="s">
        <v>11404</v>
      </c>
    </row>
    <row r="10635">
      <c r="A10635" s="39"/>
      <c r="E10635" s="40" t="s">
        <v>11404</v>
      </c>
      <c r="F10635" s="40" t="s">
        <v>11404</v>
      </c>
      <c r="G10635" s="40" t="s">
        <v>11404</v>
      </c>
      <c r="H10635" s="40" t="s">
        <v>11404</v>
      </c>
    </row>
    <row r="10636">
      <c r="A10636" s="39"/>
      <c r="E10636" s="40" t="s">
        <v>11404</v>
      </c>
      <c r="F10636" s="40" t="s">
        <v>11404</v>
      </c>
      <c r="G10636" s="40" t="s">
        <v>11404</v>
      </c>
      <c r="H10636" s="40" t="s">
        <v>11404</v>
      </c>
    </row>
    <row r="10637">
      <c r="A10637" s="39"/>
      <c r="E10637" s="40" t="s">
        <v>11404</v>
      </c>
      <c r="F10637" s="40" t="s">
        <v>11404</v>
      </c>
      <c r="G10637" s="40" t="s">
        <v>11404</v>
      </c>
      <c r="H10637" s="40" t="s">
        <v>11404</v>
      </c>
    </row>
    <row r="10638">
      <c r="A10638" s="39"/>
      <c r="E10638" s="40" t="s">
        <v>11404</v>
      </c>
      <c r="F10638" s="40" t="s">
        <v>11404</v>
      </c>
      <c r="G10638" s="40" t="s">
        <v>11404</v>
      </c>
      <c r="H10638" s="40" t="s">
        <v>11404</v>
      </c>
    </row>
    <row r="10639">
      <c r="A10639" s="39"/>
      <c r="E10639" s="40" t="s">
        <v>11404</v>
      </c>
      <c r="F10639" s="40" t="s">
        <v>11404</v>
      </c>
      <c r="G10639" s="40" t="s">
        <v>11404</v>
      </c>
      <c r="H10639" s="40" t="s">
        <v>11404</v>
      </c>
    </row>
    <row r="10640">
      <c r="A10640" s="39"/>
      <c r="E10640" s="40" t="s">
        <v>11404</v>
      </c>
      <c r="F10640" s="40" t="s">
        <v>11404</v>
      </c>
      <c r="G10640" s="40" t="s">
        <v>11404</v>
      </c>
      <c r="H10640" s="40" t="s">
        <v>11404</v>
      </c>
    </row>
    <row r="10641">
      <c r="A10641" s="39"/>
      <c r="E10641" s="40" t="s">
        <v>11404</v>
      </c>
      <c r="F10641" s="40" t="s">
        <v>11404</v>
      </c>
      <c r="G10641" s="40" t="s">
        <v>11404</v>
      </c>
      <c r="H10641" s="40" t="s">
        <v>11404</v>
      </c>
    </row>
    <row r="10642">
      <c r="A10642" s="39"/>
      <c r="E10642" s="40" t="s">
        <v>11404</v>
      </c>
      <c r="F10642" s="40" t="s">
        <v>11404</v>
      </c>
      <c r="G10642" s="40" t="s">
        <v>11404</v>
      </c>
      <c r="H10642" s="40" t="s">
        <v>11404</v>
      </c>
    </row>
    <row r="10643">
      <c r="A10643" s="39"/>
      <c r="E10643" s="40" t="s">
        <v>11404</v>
      </c>
      <c r="F10643" s="40" t="s">
        <v>11404</v>
      </c>
      <c r="G10643" s="40" t="s">
        <v>11404</v>
      </c>
      <c r="H10643" s="40" t="s">
        <v>11404</v>
      </c>
    </row>
    <row r="10644">
      <c r="A10644" s="39"/>
      <c r="E10644" s="40" t="s">
        <v>11404</v>
      </c>
      <c r="F10644" s="40" t="s">
        <v>11404</v>
      </c>
      <c r="G10644" s="40" t="s">
        <v>11404</v>
      </c>
      <c r="H10644" s="40" t="s">
        <v>11404</v>
      </c>
    </row>
    <row r="10645">
      <c r="A10645" s="39"/>
      <c r="E10645" s="40" t="s">
        <v>11404</v>
      </c>
      <c r="F10645" s="40" t="s">
        <v>11404</v>
      </c>
      <c r="G10645" s="40" t="s">
        <v>11404</v>
      </c>
      <c r="H10645" s="40" t="s">
        <v>11404</v>
      </c>
    </row>
    <row r="10646">
      <c r="A10646" s="39"/>
      <c r="E10646" s="40" t="s">
        <v>11404</v>
      </c>
      <c r="F10646" s="40" t="s">
        <v>11404</v>
      </c>
      <c r="G10646" s="40" t="s">
        <v>11404</v>
      </c>
      <c r="H10646" s="40" t="s">
        <v>11404</v>
      </c>
    </row>
    <row r="10647">
      <c r="A10647" s="39"/>
      <c r="E10647" s="40" t="s">
        <v>11404</v>
      </c>
      <c r="F10647" s="40" t="s">
        <v>11404</v>
      </c>
      <c r="G10647" s="40" t="s">
        <v>11404</v>
      </c>
      <c r="H10647" s="40" t="s">
        <v>11404</v>
      </c>
    </row>
    <row r="10648">
      <c r="A10648" s="39"/>
      <c r="E10648" s="40" t="s">
        <v>11404</v>
      </c>
      <c r="F10648" s="40" t="s">
        <v>11404</v>
      </c>
      <c r="G10648" s="40" t="s">
        <v>11404</v>
      </c>
      <c r="H10648" s="40" t="s">
        <v>11404</v>
      </c>
    </row>
    <row r="10649">
      <c r="A10649" s="39"/>
      <c r="E10649" s="40" t="s">
        <v>11404</v>
      </c>
      <c r="F10649" s="40" t="s">
        <v>11404</v>
      </c>
      <c r="G10649" s="40" t="s">
        <v>11404</v>
      </c>
      <c r="H10649" s="40" t="s">
        <v>11404</v>
      </c>
    </row>
    <row r="10650">
      <c r="A10650" s="39"/>
      <c r="E10650" s="40" t="s">
        <v>11404</v>
      </c>
      <c r="F10650" s="40" t="s">
        <v>11404</v>
      </c>
      <c r="G10650" s="40" t="s">
        <v>11404</v>
      </c>
      <c r="H10650" s="40" t="s">
        <v>11404</v>
      </c>
    </row>
    <row r="10651">
      <c r="A10651" s="39"/>
      <c r="E10651" s="40" t="s">
        <v>11404</v>
      </c>
      <c r="F10651" s="40" t="s">
        <v>11404</v>
      </c>
      <c r="G10651" s="40" t="s">
        <v>11404</v>
      </c>
      <c r="H10651" s="40" t="s">
        <v>11404</v>
      </c>
    </row>
    <row r="10652">
      <c r="A10652" s="39"/>
      <c r="E10652" s="40" t="s">
        <v>11404</v>
      </c>
      <c r="F10652" s="40" t="s">
        <v>11404</v>
      </c>
      <c r="G10652" s="40" t="s">
        <v>11404</v>
      </c>
      <c r="H10652" s="40" t="s">
        <v>11404</v>
      </c>
    </row>
    <row r="10653">
      <c r="A10653" s="39"/>
      <c r="E10653" s="40" t="s">
        <v>11404</v>
      </c>
      <c r="F10653" s="40" t="s">
        <v>11404</v>
      </c>
      <c r="G10653" s="40" t="s">
        <v>11404</v>
      </c>
      <c r="H10653" s="40" t="s">
        <v>11404</v>
      </c>
    </row>
    <row r="10654">
      <c r="A10654" s="39"/>
      <c r="E10654" s="40" t="s">
        <v>11404</v>
      </c>
      <c r="F10654" s="40" t="s">
        <v>11404</v>
      </c>
      <c r="G10654" s="40" t="s">
        <v>11404</v>
      </c>
      <c r="H10654" s="40" t="s">
        <v>11404</v>
      </c>
    </row>
    <row r="10655">
      <c r="A10655" s="39"/>
      <c r="E10655" s="40" t="s">
        <v>11404</v>
      </c>
      <c r="F10655" s="40" t="s">
        <v>11404</v>
      </c>
      <c r="G10655" s="40" t="s">
        <v>11404</v>
      </c>
      <c r="H10655" s="40" t="s">
        <v>11404</v>
      </c>
    </row>
    <row r="10656">
      <c r="A10656" s="39"/>
      <c r="E10656" s="40" t="s">
        <v>11404</v>
      </c>
      <c r="F10656" s="40" t="s">
        <v>11404</v>
      </c>
      <c r="G10656" s="40" t="s">
        <v>11404</v>
      </c>
      <c r="H10656" s="40" t="s">
        <v>11404</v>
      </c>
    </row>
    <row r="10657">
      <c r="A10657" s="39"/>
      <c r="E10657" s="40" t="s">
        <v>11404</v>
      </c>
      <c r="F10657" s="40" t="s">
        <v>11404</v>
      </c>
      <c r="G10657" s="40" t="s">
        <v>11404</v>
      </c>
      <c r="H10657" s="40" t="s">
        <v>11404</v>
      </c>
    </row>
    <row r="10658">
      <c r="A10658" s="39"/>
      <c r="E10658" s="40" t="s">
        <v>11404</v>
      </c>
      <c r="F10658" s="40" t="s">
        <v>11404</v>
      </c>
      <c r="G10658" s="40" t="s">
        <v>11404</v>
      </c>
      <c r="H10658" s="40" t="s">
        <v>11404</v>
      </c>
    </row>
    <row r="10659">
      <c r="A10659" s="39"/>
      <c r="E10659" s="40" t="s">
        <v>11404</v>
      </c>
      <c r="F10659" s="40" t="s">
        <v>11404</v>
      </c>
      <c r="G10659" s="40" t="s">
        <v>11404</v>
      </c>
      <c r="H10659" s="40" t="s">
        <v>11404</v>
      </c>
    </row>
    <row r="10660">
      <c r="A10660" s="39"/>
      <c r="E10660" s="40" t="s">
        <v>11404</v>
      </c>
      <c r="F10660" s="40" t="s">
        <v>11404</v>
      </c>
      <c r="G10660" s="40" t="s">
        <v>11404</v>
      </c>
      <c r="H10660" s="40" t="s">
        <v>11404</v>
      </c>
    </row>
    <row r="10661">
      <c r="A10661" s="39"/>
      <c r="E10661" s="40" t="s">
        <v>11404</v>
      </c>
      <c r="F10661" s="40" t="s">
        <v>11404</v>
      </c>
      <c r="G10661" s="40" t="s">
        <v>11404</v>
      </c>
      <c r="H10661" s="40" t="s">
        <v>11404</v>
      </c>
    </row>
    <row r="10662">
      <c r="A10662" s="39"/>
      <c r="E10662" s="40" t="s">
        <v>11404</v>
      </c>
      <c r="F10662" s="40" t="s">
        <v>11404</v>
      </c>
      <c r="G10662" s="40" t="s">
        <v>11404</v>
      </c>
      <c r="H10662" s="40" t="s">
        <v>11404</v>
      </c>
    </row>
    <row r="10663">
      <c r="A10663" s="39"/>
      <c r="E10663" s="40" t="s">
        <v>11404</v>
      </c>
      <c r="F10663" s="40" t="s">
        <v>11404</v>
      </c>
      <c r="G10663" s="40" t="s">
        <v>11404</v>
      </c>
      <c r="H10663" s="40" t="s">
        <v>11404</v>
      </c>
    </row>
    <row r="10664">
      <c r="A10664" s="39"/>
      <c r="E10664" s="40" t="s">
        <v>11404</v>
      </c>
      <c r="F10664" s="40" t="s">
        <v>11404</v>
      </c>
      <c r="G10664" s="40" t="s">
        <v>11404</v>
      </c>
      <c r="H10664" s="40" t="s">
        <v>11404</v>
      </c>
    </row>
    <row r="10665">
      <c r="A10665" s="39"/>
      <c r="E10665" s="40" t="s">
        <v>11404</v>
      </c>
      <c r="F10665" s="40" t="s">
        <v>11404</v>
      </c>
      <c r="G10665" s="40" t="s">
        <v>11404</v>
      </c>
      <c r="H10665" s="40" t="s">
        <v>11404</v>
      </c>
    </row>
    <row r="10666">
      <c r="A10666" s="39"/>
      <c r="E10666" s="40" t="s">
        <v>11404</v>
      </c>
      <c r="F10666" s="40" t="s">
        <v>11404</v>
      </c>
      <c r="G10666" s="40" t="s">
        <v>11404</v>
      </c>
      <c r="H10666" s="40" t="s">
        <v>11404</v>
      </c>
    </row>
    <row r="10667">
      <c r="A10667" s="39"/>
      <c r="E10667" s="40" t="s">
        <v>11404</v>
      </c>
      <c r="F10667" s="40" t="s">
        <v>11404</v>
      </c>
      <c r="G10667" s="40" t="s">
        <v>11404</v>
      </c>
      <c r="H10667" s="40" t="s">
        <v>11404</v>
      </c>
    </row>
    <row r="10668">
      <c r="A10668" s="39"/>
      <c r="E10668" s="40" t="s">
        <v>11404</v>
      </c>
      <c r="F10668" s="40" t="s">
        <v>11404</v>
      </c>
      <c r="G10668" s="40" t="s">
        <v>11404</v>
      </c>
      <c r="H10668" s="40" t="s">
        <v>11404</v>
      </c>
    </row>
    <row r="10669">
      <c r="A10669" s="39"/>
      <c r="E10669" s="40" t="s">
        <v>11404</v>
      </c>
      <c r="F10669" s="40" t="s">
        <v>11404</v>
      </c>
      <c r="G10669" s="40" t="s">
        <v>11404</v>
      </c>
      <c r="H10669" s="40" t="s">
        <v>11404</v>
      </c>
    </row>
    <row r="10670">
      <c r="A10670" s="39"/>
      <c r="E10670" s="40" t="s">
        <v>11404</v>
      </c>
      <c r="F10670" s="40" t="s">
        <v>11404</v>
      </c>
      <c r="G10670" s="40" t="s">
        <v>11404</v>
      </c>
      <c r="H10670" s="40" t="s">
        <v>11404</v>
      </c>
    </row>
    <row r="10671">
      <c r="A10671" s="39"/>
      <c r="E10671" s="40" t="s">
        <v>11404</v>
      </c>
      <c r="F10671" s="40" t="s">
        <v>11404</v>
      </c>
      <c r="G10671" s="40" t="s">
        <v>11404</v>
      </c>
      <c r="H10671" s="40" t="s">
        <v>11404</v>
      </c>
    </row>
    <row r="10672">
      <c r="A10672" s="39"/>
      <c r="E10672" s="40" t="s">
        <v>11404</v>
      </c>
      <c r="F10672" s="40" t="s">
        <v>11404</v>
      </c>
      <c r="G10672" s="40" t="s">
        <v>11404</v>
      </c>
      <c r="H10672" s="40" t="s">
        <v>11404</v>
      </c>
    </row>
    <row r="10673">
      <c r="A10673" s="39"/>
      <c r="E10673" s="40" t="s">
        <v>11404</v>
      </c>
      <c r="F10673" s="40" t="s">
        <v>11404</v>
      </c>
      <c r="G10673" s="40" t="s">
        <v>11404</v>
      </c>
      <c r="H10673" s="40" t="s">
        <v>11404</v>
      </c>
    </row>
    <row r="10674">
      <c r="A10674" s="39"/>
      <c r="E10674" s="40" t="s">
        <v>11404</v>
      </c>
      <c r="F10674" s="40" t="s">
        <v>11404</v>
      </c>
      <c r="G10674" s="40" t="s">
        <v>11404</v>
      </c>
      <c r="H10674" s="40" t="s">
        <v>11404</v>
      </c>
    </row>
    <row r="10675">
      <c r="A10675" s="39"/>
      <c r="E10675" s="40" t="s">
        <v>11404</v>
      </c>
      <c r="F10675" s="40" t="s">
        <v>11404</v>
      </c>
      <c r="G10675" s="40" t="s">
        <v>11404</v>
      </c>
      <c r="H10675" s="40" t="s">
        <v>11404</v>
      </c>
    </row>
    <row r="10676">
      <c r="A10676" s="39"/>
      <c r="E10676" s="40" t="s">
        <v>11404</v>
      </c>
      <c r="F10676" s="40" t="s">
        <v>11404</v>
      </c>
      <c r="G10676" s="40" t="s">
        <v>11404</v>
      </c>
      <c r="H10676" s="40" t="s">
        <v>11404</v>
      </c>
    </row>
    <row r="10677">
      <c r="A10677" s="39"/>
      <c r="E10677" s="40" t="s">
        <v>11404</v>
      </c>
      <c r="F10677" s="40" t="s">
        <v>11404</v>
      </c>
      <c r="G10677" s="40" t="s">
        <v>11404</v>
      </c>
      <c r="H10677" s="40" t="s">
        <v>11404</v>
      </c>
    </row>
    <row r="10678">
      <c r="A10678" s="39"/>
      <c r="E10678" s="40" t="s">
        <v>11404</v>
      </c>
      <c r="F10678" s="40" t="s">
        <v>11404</v>
      </c>
      <c r="G10678" s="40" t="s">
        <v>11404</v>
      </c>
      <c r="H10678" s="40" t="s">
        <v>11404</v>
      </c>
    </row>
    <row r="10679">
      <c r="A10679" s="39"/>
      <c r="E10679" s="40" t="s">
        <v>11404</v>
      </c>
      <c r="F10679" s="40" t="s">
        <v>11404</v>
      </c>
      <c r="G10679" s="40" t="s">
        <v>11404</v>
      </c>
      <c r="H10679" s="40" t="s">
        <v>11404</v>
      </c>
    </row>
    <row r="10680">
      <c r="A10680" s="39"/>
      <c r="E10680" s="40" t="s">
        <v>11404</v>
      </c>
      <c r="F10680" s="40" t="s">
        <v>11404</v>
      </c>
      <c r="G10680" s="40" t="s">
        <v>11404</v>
      </c>
      <c r="H10680" s="40" t="s">
        <v>11404</v>
      </c>
    </row>
    <row r="10681">
      <c r="A10681" s="39"/>
      <c r="E10681" s="40" t="s">
        <v>11404</v>
      </c>
      <c r="F10681" s="40" t="s">
        <v>11404</v>
      </c>
      <c r="G10681" s="40" t="s">
        <v>11404</v>
      </c>
      <c r="H10681" s="40" t="s">
        <v>11404</v>
      </c>
    </row>
    <row r="10682">
      <c r="A10682" s="39"/>
      <c r="E10682" s="40" t="s">
        <v>11404</v>
      </c>
      <c r="F10682" s="40" t="s">
        <v>11404</v>
      </c>
      <c r="G10682" s="40" t="s">
        <v>11404</v>
      </c>
      <c r="H10682" s="40" t="s">
        <v>11404</v>
      </c>
    </row>
    <row r="10683">
      <c r="A10683" s="39"/>
      <c r="E10683" s="40" t="s">
        <v>11404</v>
      </c>
      <c r="F10683" s="40" t="s">
        <v>11404</v>
      </c>
      <c r="G10683" s="40" t="s">
        <v>11404</v>
      </c>
      <c r="H10683" s="40" t="s">
        <v>11404</v>
      </c>
    </row>
    <row r="10684">
      <c r="A10684" s="39"/>
      <c r="E10684" s="40" t="s">
        <v>11404</v>
      </c>
      <c r="F10684" s="40" t="s">
        <v>11404</v>
      </c>
      <c r="G10684" s="40" t="s">
        <v>11404</v>
      </c>
      <c r="H10684" s="40" t="s">
        <v>11404</v>
      </c>
    </row>
    <row r="10685">
      <c r="A10685" s="39"/>
      <c r="E10685" s="40" t="s">
        <v>11404</v>
      </c>
      <c r="F10685" s="40" t="s">
        <v>11404</v>
      </c>
      <c r="G10685" s="40" t="s">
        <v>11404</v>
      </c>
      <c r="H10685" s="40" t="s">
        <v>11404</v>
      </c>
    </row>
    <row r="10686">
      <c r="A10686" s="39"/>
      <c r="E10686" s="40" t="s">
        <v>11404</v>
      </c>
      <c r="F10686" s="40" t="s">
        <v>11404</v>
      </c>
      <c r="G10686" s="40" t="s">
        <v>11404</v>
      </c>
      <c r="H10686" s="40" t="s">
        <v>11404</v>
      </c>
    </row>
    <row r="10687">
      <c r="A10687" s="39"/>
      <c r="E10687" s="40" t="s">
        <v>11404</v>
      </c>
      <c r="F10687" s="40" t="s">
        <v>11404</v>
      </c>
      <c r="G10687" s="40" t="s">
        <v>11404</v>
      </c>
      <c r="H10687" s="40" t="s">
        <v>11404</v>
      </c>
    </row>
    <row r="10688">
      <c r="A10688" s="39"/>
      <c r="E10688" s="40" t="s">
        <v>11404</v>
      </c>
      <c r="F10688" s="40" t="s">
        <v>11404</v>
      </c>
      <c r="G10688" s="40" t="s">
        <v>11404</v>
      </c>
      <c r="H10688" s="40" t="s">
        <v>11404</v>
      </c>
    </row>
    <row r="10689">
      <c r="A10689" s="39"/>
      <c r="E10689" s="40" t="s">
        <v>11404</v>
      </c>
      <c r="F10689" s="40" t="s">
        <v>11404</v>
      </c>
      <c r="G10689" s="40" t="s">
        <v>11404</v>
      </c>
      <c r="H10689" s="40" t="s">
        <v>11404</v>
      </c>
    </row>
    <row r="10690">
      <c r="A10690" s="39"/>
      <c r="E10690" s="40" t="s">
        <v>11404</v>
      </c>
      <c r="F10690" s="40" t="s">
        <v>11404</v>
      </c>
      <c r="G10690" s="40" t="s">
        <v>11404</v>
      </c>
      <c r="H10690" s="40" t="s">
        <v>11404</v>
      </c>
    </row>
    <row r="10691">
      <c r="A10691" s="39"/>
      <c r="E10691" s="40" t="s">
        <v>11404</v>
      </c>
      <c r="F10691" s="40" t="s">
        <v>11404</v>
      </c>
      <c r="G10691" s="40" t="s">
        <v>11404</v>
      </c>
      <c r="H10691" s="40" t="s">
        <v>11404</v>
      </c>
    </row>
    <row r="10692">
      <c r="A10692" s="39"/>
      <c r="E10692" s="40" t="s">
        <v>11404</v>
      </c>
      <c r="F10692" s="40" t="s">
        <v>11404</v>
      </c>
      <c r="G10692" s="40" t="s">
        <v>11404</v>
      </c>
      <c r="H10692" s="40" t="s">
        <v>11404</v>
      </c>
    </row>
    <row r="10693">
      <c r="A10693" s="39"/>
      <c r="E10693" s="40" t="s">
        <v>11404</v>
      </c>
      <c r="F10693" s="40" t="s">
        <v>11404</v>
      </c>
      <c r="G10693" s="40" t="s">
        <v>11404</v>
      </c>
      <c r="H10693" s="40" t="s">
        <v>11404</v>
      </c>
    </row>
    <row r="10694">
      <c r="A10694" s="39"/>
      <c r="E10694" s="40" t="s">
        <v>11404</v>
      </c>
      <c r="F10694" s="40" t="s">
        <v>11404</v>
      </c>
      <c r="G10694" s="40" t="s">
        <v>11404</v>
      </c>
      <c r="H10694" s="40" t="s">
        <v>11404</v>
      </c>
    </row>
    <row r="10695">
      <c r="A10695" s="39"/>
      <c r="E10695" s="40" t="s">
        <v>11404</v>
      </c>
      <c r="F10695" s="40" t="s">
        <v>11404</v>
      </c>
      <c r="G10695" s="40" t="s">
        <v>11404</v>
      </c>
      <c r="H10695" s="40" t="s">
        <v>11404</v>
      </c>
    </row>
    <row r="10696">
      <c r="A10696" s="39"/>
      <c r="E10696" s="40" t="s">
        <v>11404</v>
      </c>
      <c r="F10696" s="40" t="s">
        <v>11404</v>
      </c>
      <c r="G10696" s="40" t="s">
        <v>11404</v>
      </c>
      <c r="H10696" s="40" t="s">
        <v>11404</v>
      </c>
    </row>
    <row r="10697">
      <c r="A10697" s="39"/>
      <c r="E10697" s="40" t="s">
        <v>11404</v>
      </c>
      <c r="F10697" s="40" t="s">
        <v>11404</v>
      </c>
      <c r="G10697" s="40" t="s">
        <v>11404</v>
      </c>
      <c r="H10697" s="40" t="s">
        <v>11404</v>
      </c>
    </row>
    <row r="10698">
      <c r="A10698" s="39"/>
      <c r="E10698" s="40" t="s">
        <v>11404</v>
      </c>
      <c r="F10698" s="40" t="s">
        <v>11404</v>
      </c>
      <c r="G10698" s="40" t="s">
        <v>11404</v>
      </c>
      <c r="H10698" s="40" t="s">
        <v>11404</v>
      </c>
    </row>
    <row r="10699">
      <c r="A10699" s="39"/>
      <c r="E10699" s="40" t="s">
        <v>11404</v>
      </c>
      <c r="F10699" s="40" t="s">
        <v>11404</v>
      </c>
      <c r="G10699" s="40" t="s">
        <v>11404</v>
      </c>
      <c r="H10699" s="40" t="s">
        <v>11404</v>
      </c>
    </row>
    <row r="10700">
      <c r="A10700" s="39"/>
      <c r="E10700" s="40" t="s">
        <v>11404</v>
      </c>
      <c r="F10700" s="40" t="s">
        <v>11404</v>
      </c>
      <c r="G10700" s="40" t="s">
        <v>11404</v>
      </c>
      <c r="H10700" s="40" t="s">
        <v>11404</v>
      </c>
    </row>
    <row r="10701">
      <c r="A10701" s="39"/>
      <c r="E10701" s="40" t="s">
        <v>11404</v>
      </c>
      <c r="F10701" s="40" t="s">
        <v>11404</v>
      </c>
      <c r="G10701" s="40" t="s">
        <v>11404</v>
      </c>
      <c r="H10701" s="40" t="s">
        <v>11404</v>
      </c>
    </row>
    <row r="10702">
      <c r="A10702" s="39"/>
      <c r="E10702" s="40" t="s">
        <v>11404</v>
      </c>
      <c r="F10702" s="40" t="s">
        <v>11404</v>
      </c>
      <c r="G10702" s="40" t="s">
        <v>11404</v>
      </c>
      <c r="H10702" s="40" t="s">
        <v>11404</v>
      </c>
    </row>
    <row r="10703">
      <c r="A10703" s="39"/>
      <c r="E10703" s="40" t="s">
        <v>11404</v>
      </c>
      <c r="F10703" s="40" t="s">
        <v>11404</v>
      </c>
      <c r="G10703" s="40" t="s">
        <v>11404</v>
      </c>
      <c r="H10703" s="40" t="s">
        <v>11404</v>
      </c>
    </row>
    <row r="10704">
      <c r="A10704" s="39"/>
      <c r="E10704" s="40" t="s">
        <v>11404</v>
      </c>
      <c r="F10704" s="40" t="s">
        <v>11404</v>
      </c>
      <c r="G10704" s="40" t="s">
        <v>11404</v>
      </c>
      <c r="H10704" s="40" t="s">
        <v>11404</v>
      </c>
    </row>
    <row r="10705">
      <c r="A10705" s="39"/>
      <c r="E10705" s="40" t="s">
        <v>11404</v>
      </c>
      <c r="F10705" s="40" t="s">
        <v>11404</v>
      </c>
      <c r="G10705" s="40" t="s">
        <v>11404</v>
      </c>
      <c r="H10705" s="40" t="s">
        <v>11404</v>
      </c>
    </row>
    <row r="10706">
      <c r="A10706" s="39"/>
      <c r="E10706" s="40" t="s">
        <v>11404</v>
      </c>
      <c r="F10706" s="40" t="s">
        <v>11404</v>
      </c>
      <c r="G10706" s="40" t="s">
        <v>11404</v>
      </c>
      <c r="H10706" s="40" t="s">
        <v>11404</v>
      </c>
    </row>
    <row r="10707">
      <c r="A10707" s="39"/>
      <c r="E10707" s="40" t="s">
        <v>11404</v>
      </c>
      <c r="F10707" s="40" t="s">
        <v>11404</v>
      </c>
      <c r="G10707" s="40" t="s">
        <v>11404</v>
      </c>
      <c r="H10707" s="40" t="s">
        <v>11404</v>
      </c>
    </row>
    <row r="10708">
      <c r="A10708" s="39"/>
      <c r="E10708" s="40" t="s">
        <v>11404</v>
      </c>
      <c r="F10708" s="40" t="s">
        <v>11404</v>
      </c>
      <c r="G10708" s="40" t="s">
        <v>11404</v>
      </c>
      <c r="H10708" s="40" t="s">
        <v>11404</v>
      </c>
    </row>
    <row r="10709">
      <c r="A10709" s="39"/>
      <c r="E10709" s="40" t="s">
        <v>11404</v>
      </c>
      <c r="F10709" s="40" t="s">
        <v>11404</v>
      </c>
      <c r="G10709" s="40" t="s">
        <v>11404</v>
      </c>
      <c r="H10709" s="40" t="s">
        <v>11404</v>
      </c>
    </row>
    <row r="10710">
      <c r="A10710" s="39"/>
      <c r="E10710" s="40" t="s">
        <v>11404</v>
      </c>
      <c r="F10710" s="40" t="s">
        <v>11404</v>
      </c>
      <c r="G10710" s="40" t="s">
        <v>11404</v>
      </c>
      <c r="H10710" s="40" t="s">
        <v>11404</v>
      </c>
    </row>
    <row r="10711">
      <c r="A10711" s="39"/>
      <c r="E10711" s="40" t="s">
        <v>11404</v>
      </c>
      <c r="F10711" s="40" t="s">
        <v>11404</v>
      </c>
      <c r="G10711" s="40" t="s">
        <v>11404</v>
      </c>
      <c r="H10711" s="40" t="s">
        <v>11404</v>
      </c>
    </row>
    <row r="10712">
      <c r="A10712" s="39"/>
      <c r="E10712" s="40" t="s">
        <v>11404</v>
      </c>
      <c r="F10712" s="40" t="s">
        <v>11404</v>
      </c>
      <c r="G10712" s="40" t="s">
        <v>11404</v>
      </c>
      <c r="H10712" s="40" t="s">
        <v>11404</v>
      </c>
    </row>
    <row r="10713">
      <c r="A10713" s="39"/>
      <c r="E10713" s="40" t="s">
        <v>11404</v>
      </c>
      <c r="F10713" s="40" t="s">
        <v>11404</v>
      </c>
      <c r="G10713" s="40" t="s">
        <v>11404</v>
      </c>
      <c r="H10713" s="40" t="s">
        <v>11404</v>
      </c>
    </row>
    <row r="10714">
      <c r="A10714" s="39"/>
      <c r="E10714" s="40" t="s">
        <v>11404</v>
      </c>
      <c r="F10714" s="40" t="s">
        <v>11404</v>
      </c>
      <c r="G10714" s="40" t="s">
        <v>11404</v>
      </c>
      <c r="H10714" s="40" t="s">
        <v>11404</v>
      </c>
    </row>
    <row r="10715">
      <c r="A10715" s="39"/>
      <c r="E10715" s="40" t="s">
        <v>11404</v>
      </c>
      <c r="F10715" s="40" t="s">
        <v>11404</v>
      </c>
      <c r="G10715" s="40" t="s">
        <v>11404</v>
      </c>
      <c r="H10715" s="40" t="s">
        <v>11404</v>
      </c>
    </row>
    <row r="10716">
      <c r="A10716" s="39"/>
      <c r="E10716" s="40" t="s">
        <v>11404</v>
      </c>
      <c r="F10716" s="40" t="s">
        <v>11404</v>
      </c>
      <c r="G10716" s="40" t="s">
        <v>11404</v>
      </c>
      <c r="H10716" s="40" t="s">
        <v>11404</v>
      </c>
    </row>
    <row r="10717">
      <c r="A10717" s="39"/>
      <c r="E10717" s="40" t="s">
        <v>11404</v>
      </c>
      <c r="F10717" s="40" t="s">
        <v>11404</v>
      </c>
      <c r="G10717" s="40" t="s">
        <v>11404</v>
      </c>
      <c r="H10717" s="40" t="s">
        <v>11404</v>
      </c>
    </row>
    <row r="10718">
      <c r="A10718" s="39"/>
      <c r="E10718" s="40" t="s">
        <v>11404</v>
      </c>
      <c r="F10718" s="40" t="s">
        <v>11404</v>
      </c>
      <c r="G10718" s="40" t="s">
        <v>11404</v>
      </c>
      <c r="H10718" s="40" t="s">
        <v>11404</v>
      </c>
    </row>
    <row r="10719">
      <c r="A10719" s="39"/>
      <c r="E10719" s="40" t="s">
        <v>11404</v>
      </c>
      <c r="F10719" s="40" t="s">
        <v>11404</v>
      </c>
      <c r="G10719" s="40" t="s">
        <v>11404</v>
      </c>
      <c r="H10719" s="40" t="s">
        <v>11404</v>
      </c>
    </row>
    <row r="10720">
      <c r="A10720" s="39"/>
      <c r="E10720" s="40" t="s">
        <v>11404</v>
      </c>
      <c r="F10720" s="40" t="s">
        <v>11404</v>
      </c>
      <c r="G10720" s="40" t="s">
        <v>11404</v>
      </c>
      <c r="H10720" s="40" t="s">
        <v>11404</v>
      </c>
    </row>
    <row r="10721">
      <c r="A10721" s="39"/>
      <c r="E10721" s="40" t="s">
        <v>11404</v>
      </c>
      <c r="F10721" s="40" t="s">
        <v>11404</v>
      </c>
      <c r="G10721" s="40" t="s">
        <v>11404</v>
      </c>
      <c r="H10721" s="40" t="s">
        <v>11404</v>
      </c>
    </row>
    <row r="10722">
      <c r="A10722" s="39"/>
      <c r="E10722" s="40" t="s">
        <v>11404</v>
      </c>
      <c r="F10722" s="40" t="s">
        <v>11404</v>
      </c>
      <c r="G10722" s="40" t="s">
        <v>11404</v>
      </c>
      <c r="H10722" s="40" t="s">
        <v>11404</v>
      </c>
    </row>
    <row r="10723">
      <c r="A10723" s="39"/>
      <c r="E10723" s="40" t="s">
        <v>11404</v>
      </c>
      <c r="F10723" s="40" t="s">
        <v>11404</v>
      </c>
      <c r="G10723" s="40" t="s">
        <v>11404</v>
      </c>
      <c r="H10723" s="40" t="s">
        <v>11404</v>
      </c>
    </row>
    <row r="10724">
      <c r="A10724" s="39"/>
      <c r="E10724" s="40" t="s">
        <v>11404</v>
      </c>
      <c r="F10724" s="40" t="s">
        <v>11404</v>
      </c>
      <c r="G10724" s="40" t="s">
        <v>11404</v>
      </c>
      <c r="H10724" s="40" t="s">
        <v>11404</v>
      </c>
    </row>
    <row r="10725">
      <c r="A10725" s="39"/>
      <c r="E10725" s="40" t="s">
        <v>11404</v>
      </c>
      <c r="F10725" s="40" t="s">
        <v>11404</v>
      </c>
      <c r="G10725" s="40" t="s">
        <v>11404</v>
      </c>
      <c r="H10725" s="40" t="s">
        <v>11404</v>
      </c>
    </row>
    <row r="10726">
      <c r="A10726" s="39"/>
      <c r="E10726" s="40" t="s">
        <v>11404</v>
      </c>
      <c r="F10726" s="40" t="s">
        <v>11404</v>
      </c>
      <c r="G10726" s="40" t="s">
        <v>11404</v>
      </c>
      <c r="H10726" s="40" t="s">
        <v>11404</v>
      </c>
    </row>
    <row r="10727">
      <c r="A10727" s="39"/>
      <c r="E10727" s="40" t="s">
        <v>11404</v>
      </c>
      <c r="F10727" s="40" t="s">
        <v>11404</v>
      </c>
      <c r="G10727" s="40" t="s">
        <v>11404</v>
      </c>
      <c r="H10727" s="40" t="s">
        <v>11404</v>
      </c>
    </row>
    <row r="10728">
      <c r="A10728" s="39"/>
      <c r="E10728" s="40" t="s">
        <v>11404</v>
      </c>
      <c r="F10728" s="40" t="s">
        <v>11404</v>
      </c>
      <c r="G10728" s="40" t="s">
        <v>11404</v>
      </c>
      <c r="H10728" s="40" t="s">
        <v>11404</v>
      </c>
    </row>
    <row r="10729">
      <c r="A10729" s="39"/>
      <c r="E10729" s="40" t="s">
        <v>11404</v>
      </c>
      <c r="F10729" s="40" t="s">
        <v>11404</v>
      </c>
      <c r="G10729" s="40" t="s">
        <v>11404</v>
      </c>
      <c r="H10729" s="40" t="s">
        <v>11404</v>
      </c>
    </row>
    <row r="10730">
      <c r="A10730" s="39"/>
      <c r="E10730" s="40" t="s">
        <v>11404</v>
      </c>
      <c r="F10730" s="40" t="s">
        <v>11404</v>
      </c>
      <c r="G10730" s="40" t="s">
        <v>11404</v>
      </c>
      <c r="H10730" s="40" t="s">
        <v>11404</v>
      </c>
    </row>
    <row r="10731">
      <c r="A10731" s="39"/>
      <c r="E10731" s="40" t="s">
        <v>11404</v>
      </c>
      <c r="F10731" s="40" t="s">
        <v>11404</v>
      </c>
      <c r="G10731" s="40" t="s">
        <v>11404</v>
      </c>
      <c r="H10731" s="40" t="s">
        <v>11404</v>
      </c>
    </row>
    <row r="10732">
      <c r="A10732" s="39"/>
      <c r="E10732" s="40" t="s">
        <v>11404</v>
      </c>
      <c r="F10732" s="40" t="s">
        <v>11404</v>
      </c>
      <c r="G10732" s="40" t="s">
        <v>11404</v>
      </c>
      <c r="H10732" s="40" t="s">
        <v>11404</v>
      </c>
    </row>
    <row r="10733">
      <c r="A10733" s="39"/>
      <c r="E10733" s="40" t="s">
        <v>11404</v>
      </c>
      <c r="F10733" s="40" t="s">
        <v>11404</v>
      </c>
      <c r="G10733" s="40" t="s">
        <v>11404</v>
      </c>
      <c r="H10733" s="40" t="s">
        <v>11404</v>
      </c>
    </row>
    <row r="10734">
      <c r="A10734" s="39"/>
      <c r="E10734" s="40" t="s">
        <v>11404</v>
      </c>
      <c r="F10734" s="40" t="s">
        <v>11404</v>
      </c>
      <c r="G10734" s="40" t="s">
        <v>11404</v>
      </c>
      <c r="H10734" s="40" t="s">
        <v>11404</v>
      </c>
    </row>
    <row r="10735">
      <c r="A10735" s="39"/>
      <c r="E10735" s="40" t="s">
        <v>11404</v>
      </c>
      <c r="F10735" s="40" t="s">
        <v>11404</v>
      </c>
      <c r="G10735" s="40" t="s">
        <v>11404</v>
      </c>
      <c r="H10735" s="40" t="s">
        <v>11404</v>
      </c>
    </row>
    <row r="10736">
      <c r="A10736" s="39"/>
      <c r="E10736" s="40" t="s">
        <v>11404</v>
      </c>
      <c r="F10736" s="40" t="s">
        <v>11404</v>
      </c>
      <c r="G10736" s="40" t="s">
        <v>11404</v>
      </c>
      <c r="H10736" s="40" t="s">
        <v>11404</v>
      </c>
    </row>
    <row r="10737">
      <c r="A10737" s="39"/>
      <c r="E10737" s="40" t="s">
        <v>11404</v>
      </c>
      <c r="F10737" s="40" t="s">
        <v>11404</v>
      </c>
      <c r="G10737" s="40" t="s">
        <v>11404</v>
      </c>
      <c r="H10737" s="40" t="s">
        <v>11404</v>
      </c>
    </row>
    <row r="10738">
      <c r="A10738" s="39"/>
      <c r="E10738" s="40" t="s">
        <v>11404</v>
      </c>
      <c r="F10738" s="40" t="s">
        <v>11404</v>
      </c>
      <c r="G10738" s="40" t="s">
        <v>11404</v>
      </c>
      <c r="H10738" s="40" t="s">
        <v>11404</v>
      </c>
    </row>
    <row r="10739">
      <c r="A10739" s="39"/>
      <c r="E10739" s="40" t="s">
        <v>11404</v>
      </c>
      <c r="F10739" s="40" t="s">
        <v>11404</v>
      </c>
      <c r="G10739" s="40" t="s">
        <v>11404</v>
      </c>
      <c r="H10739" s="40" t="s">
        <v>11404</v>
      </c>
    </row>
    <row r="10740">
      <c r="A10740" s="39"/>
      <c r="E10740" s="40" t="s">
        <v>11404</v>
      </c>
      <c r="F10740" s="40" t="s">
        <v>11404</v>
      </c>
      <c r="G10740" s="40" t="s">
        <v>11404</v>
      </c>
      <c r="H10740" s="40" t="s">
        <v>11404</v>
      </c>
    </row>
    <row r="10741">
      <c r="A10741" s="39"/>
      <c r="E10741" s="40" t="s">
        <v>11404</v>
      </c>
      <c r="F10741" s="40" t="s">
        <v>11404</v>
      </c>
      <c r="G10741" s="40" t="s">
        <v>11404</v>
      </c>
      <c r="H10741" s="40" t="s">
        <v>11404</v>
      </c>
    </row>
    <row r="10742">
      <c r="A10742" s="39"/>
      <c r="E10742" s="40" t="s">
        <v>11404</v>
      </c>
      <c r="F10742" s="40" t="s">
        <v>11404</v>
      </c>
      <c r="G10742" s="40" t="s">
        <v>11404</v>
      </c>
      <c r="H10742" s="40" t="s">
        <v>11404</v>
      </c>
    </row>
    <row r="10743">
      <c r="A10743" s="39"/>
      <c r="E10743" s="40" t="s">
        <v>11404</v>
      </c>
      <c r="F10743" s="40" t="s">
        <v>11404</v>
      </c>
      <c r="G10743" s="40" t="s">
        <v>11404</v>
      </c>
      <c r="H10743" s="40" t="s">
        <v>11404</v>
      </c>
    </row>
    <row r="10744">
      <c r="A10744" s="39"/>
      <c r="E10744" s="40" t="s">
        <v>11404</v>
      </c>
      <c r="F10744" s="40" t="s">
        <v>11404</v>
      </c>
      <c r="G10744" s="40" t="s">
        <v>11404</v>
      </c>
      <c r="H10744" s="40" t="s">
        <v>11404</v>
      </c>
    </row>
    <row r="10745">
      <c r="A10745" s="39"/>
      <c r="E10745" s="40" t="s">
        <v>11404</v>
      </c>
      <c r="F10745" s="40" t="s">
        <v>11404</v>
      </c>
      <c r="G10745" s="40" t="s">
        <v>11404</v>
      </c>
      <c r="H10745" s="40" t="s">
        <v>11404</v>
      </c>
    </row>
    <row r="10746">
      <c r="A10746" s="39"/>
      <c r="E10746" s="40" t="s">
        <v>11404</v>
      </c>
      <c r="F10746" s="40" t="s">
        <v>11404</v>
      </c>
      <c r="G10746" s="40" t="s">
        <v>11404</v>
      </c>
      <c r="H10746" s="40" t="s">
        <v>11404</v>
      </c>
    </row>
    <row r="10747">
      <c r="A10747" s="39"/>
      <c r="E10747" s="40" t="s">
        <v>11404</v>
      </c>
      <c r="F10747" s="40" t="s">
        <v>11404</v>
      </c>
      <c r="G10747" s="40" t="s">
        <v>11404</v>
      </c>
      <c r="H10747" s="40" t="s">
        <v>11404</v>
      </c>
    </row>
    <row r="10748">
      <c r="A10748" s="39"/>
      <c r="E10748" s="40" t="s">
        <v>11404</v>
      </c>
      <c r="F10748" s="40" t="s">
        <v>11404</v>
      </c>
      <c r="G10748" s="40" t="s">
        <v>11404</v>
      </c>
      <c r="H10748" s="40" t="s">
        <v>11404</v>
      </c>
    </row>
    <row r="10749">
      <c r="A10749" s="39"/>
      <c r="E10749" s="40" t="s">
        <v>11404</v>
      </c>
      <c r="F10749" s="40" t="s">
        <v>11404</v>
      </c>
      <c r="G10749" s="40" t="s">
        <v>11404</v>
      </c>
      <c r="H10749" s="40" t="s">
        <v>11404</v>
      </c>
    </row>
    <row r="10750">
      <c r="A10750" s="39"/>
      <c r="E10750" s="40" t="s">
        <v>11404</v>
      </c>
      <c r="F10750" s="40" t="s">
        <v>11404</v>
      </c>
      <c r="G10750" s="40" t="s">
        <v>11404</v>
      </c>
      <c r="H10750" s="40" t="s">
        <v>11404</v>
      </c>
    </row>
    <row r="10751">
      <c r="A10751" s="39"/>
      <c r="E10751" s="40" t="s">
        <v>11404</v>
      </c>
      <c r="F10751" s="40" t="s">
        <v>11404</v>
      </c>
      <c r="G10751" s="40" t="s">
        <v>11404</v>
      </c>
      <c r="H10751" s="40" t="s">
        <v>11404</v>
      </c>
    </row>
    <row r="10752">
      <c r="A10752" s="39"/>
      <c r="E10752" s="40" t="s">
        <v>11404</v>
      </c>
      <c r="F10752" s="40" t="s">
        <v>11404</v>
      </c>
      <c r="G10752" s="40" t="s">
        <v>11404</v>
      </c>
      <c r="H10752" s="40" t="s">
        <v>11404</v>
      </c>
    </row>
    <row r="10753">
      <c r="A10753" s="39"/>
      <c r="E10753" s="40" t="s">
        <v>11404</v>
      </c>
      <c r="F10753" s="40" t="s">
        <v>11404</v>
      </c>
      <c r="G10753" s="40" t="s">
        <v>11404</v>
      </c>
      <c r="H10753" s="40" t="s">
        <v>11404</v>
      </c>
    </row>
    <row r="10754">
      <c r="A10754" s="39"/>
      <c r="E10754" s="40" t="s">
        <v>11404</v>
      </c>
      <c r="F10754" s="40" t="s">
        <v>11404</v>
      </c>
      <c r="G10754" s="40" t="s">
        <v>11404</v>
      </c>
      <c r="H10754" s="40" t="s">
        <v>11404</v>
      </c>
    </row>
    <row r="10755">
      <c r="A10755" s="39"/>
      <c r="E10755" s="40" t="s">
        <v>11404</v>
      </c>
      <c r="F10755" s="40" t="s">
        <v>11404</v>
      </c>
      <c r="G10755" s="40" t="s">
        <v>11404</v>
      </c>
      <c r="H10755" s="40" t="s">
        <v>11404</v>
      </c>
    </row>
    <row r="10756">
      <c r="A10756" s="39"/>
      <c r="E10756" s="40" t="s">
        <v>11404</v>
      </c>
      <c r="F10756" s="40" t="s">
        <v>11404</v>
      </c>
      <c r="G10756" s="40" t="s">
        <v>11404</v>
      </c>
      <c r="H10756" s="40" t="s">
        <v>11404</v>
      </c>
    </row>
    <row r="10757">
      <c r="A10757" s="39"/>
      <c r="E10757" s="40" t="s">
        <v>11404</v>
      </c>
      <c r="F10757" s="40" t="s">
        <v>11404</v>
      </c>
      <c r="G10757" s="40" t="s">
        <v>11404</v>
      </c>
      <c r="H10757" s="40" t="s">
        <v>11404</v>
      </c>
    </row>
    <row r="10758">
      <c r="A10758" s="39"/>
      <c r="E10758" s="40" t="s">
        <v>11404</v>
      </c>
      <c r="F10758" s="40" t="s">
        <v>11404</v>
      </c>
      <c r="G10758" s="40" t="s">
        <v>11404</v>
      </c>
      <c r="H10758" s="40" t="s">
        <v>11404</v>
      </c>
    </row>
    <row r="10759">
      <c r="A10759" s="39"/>
      <c r="E10759" s="40" t="s">
        <v>11404</v>
      </c>
      <c r="F10759" s="40" t="s">
        <v>11404</v>
      </c>
      <c r="G10759" s="40" t="s">
        <v>11404</v>
      </c>
      <c r="H10759" s="40" t="s">
        <v>11404</v>
      </c>
    </row>
    <row r="10760">
      <c r="A10760" s="39"/>
      <c r="E10760" s="40" t="s">
        <v>11404</v>
      </c>
      <c r="F10760" s="40" t="s">
        <v>11404</v>
      </c>
      <c r="G10760" s="40" t="s">
        <v>11404</v>
      </c>
      <c r="H10760" s="40" t="s">
        <v>11404</v>
      </c>
    </row>
    <row r="10761">
      <c r="A10761" s="39"/>
      <c r="E10761" s="40" t="s">
        <v>11404</v>
      </c>
      <c r="F10761" s="40" t="s">
        <v>11404</v>
      </c>
      <c r="G10761" s="40" t="s">
        <v>11404</v>
      </c>
      <c r="H10761" s="40" t="s">
        <v>11404</v>
      </c>
    </row>
    <row r="10762">
      <c r="A10762" s="39"/>
      <c r="E10762" s="40" t="s">
        <v>11404</v>
      </c>
      <c r="F10762" s="40" t="s">
        <v>11404</v>
      </c>
      <c r="G10762" s="40" t="s">
        <v>11404</v>
      </c>
      <c r="H10762" s="40" t="s">
        <v>11404</v>
      </c>
    </row>
    <row r="10763">
      <c r="A10763" s="39"/>
      <c r="E10763" s="40" t="s">
        <v>11404</v>
      </c>
      <c r="F10763" s="40" t="s">
        <v>11404</v>
      </c>
      <c r="G10763" s="40" t="s">
        <v>11404</v>
      </c>
      <c r="H10763" s="40" t="s">
        <v>11404</v>
      </c>
    </row>
    <row r="10764">
      <c r="A10764" s="39"/>
      <c r="E10764" s="40" t="s">
        <v>11404</v>
      </c>
      <c r="F10764" s="40" t="s">
        <v>11404</v>
      </c>
      <c r="G10764" s="40" t="s">
        <v>11404</v>
      </c>
      <c r="H10764" s="40" t="s">
        <v>11404</v>
      </c>
    </row>
    <row r="10765">
      <c r="A10765" s="39"/>
      <c r="E10765" s="40" t="s">
        <v>11404</v>
      </c>
      <c r="F10765" s="40" t="s">
        <v>11404</v>
      </c>
      <c r="G10765" s="40" t="s">
        <v>11404</v>
      </c>
      <c r="H10765" s="40" t="s">
        <v>11404</v>
      </c>
    </row>
    <row r="10766">
      <c r="A10766" s="39"/>
      <c r="E10766" s="40" t="s">
        <v>11404</v>
      </c>
      <c r="F10766" s="40" t="s">
        <v>11404</v>
      </c>
      <c r="G10766" s="40" t="s">
        <v>11404</v>
      </c>
      <c r="H10766" s="40" t="s">
        <v>11404</v>
      </c>
    </row>
    <row r="10767">
      <c r="A10767" s="39"/>
      <c r="E10767" s="40" t="s">
        <v>11404</v>
      </c>
      <c r="F10767" s="40" t="s">
        <v>11404</v>
      </c>
      <c r="G10767" s="40" t="s">
        <v>11404</v>
      </c>
      <c r="H10767" s="40" t="s">
        <v>11404</v>
      </c>
    </row>
    <row r="10768">
      <c r="A10768" s="39"/>
      <c r="E10768" s="40" t="s">
        <v>11404</v>
      </c>
      <c r="F10768" s="40" t="s">
        <v>11404</v>
      </c>
      <c r="G10768" s="40" t="s">
        <v>11404</v>
      </c>
      <c r="H10768" s="40" t="s">
        <v>11404</v>
      </c>
    </row>
    <row r="10769">
      <c r="A10769" s="39"/>
      <c r="E10769" s="40" t="s">
        <v>11404</v>
      </c>
      <c r="F10769" s="40" t="s">
        <v>11404</v>
      </c>
      <c r="G10769" s="40" t="s">
        <v>11404</v>
      </c>
      <c r="H10769" s="40" t="s">
        <v>11404</v>
      </c>
    </row>
    <row r="10770">
      <c r="A10770" s="39"/>
      <c r="E10770" s="40" t="s">
        <v>11404</v>
      </c>
      <c r="F10770" s="40" t="s">
        <v>11404</v>
      </c>
      <c r="G10770" s="40" t="s">
        <v>11404</v>
      </c>
      <c r="H10770" s="40" t="s">
        <v>11404</v>
      </c>
    </row>
    <row r="10771">
      <c r="A10771" s="39"/>
      <c r="E10771" s="40" t="s">
        <v>11404</v>
      </c>
      <c r="F10771" s="40" t="s">
        <v>11404</v>
      </c>
      <c r="G10771" s="40" t="s">
        <v>11404</v>
      </c>
      <c r="H10771" s="40" t="s">
        <v>11404</v>
      </c>
    </row>
    <row r="10772">
      <c r="A10772" s="39"/>
      <c r="E10772" s="40" t="s">
        <v>11404</v>
      </c>
      <c r="F10772" s="40" t="s">
        <v>11404</v>
      </c>
      <c r="G10772" s="40" t="s">
        <v>11404</v>
      </c>
      <c r="H10772" s="40" t="s">
        <v>11404</v>
      </c>
    </row>
    <row r="10773">
      <c r="A10773" s="39"/>
      <c r="E10773" s="40" t="s">
        <v>11404</v>
      </c>
      <c r="F10773" s="40" t="s">
        <v>11404</v>
      </c>
      <c r="G10773" s="40" t="s">
        <v>11404</v>
      </c>
      <c r="H10773" s="40" t="s">
        <v>11404</v>
      </c>
    </row>
    <row r="10774">
      <c r="A10774" s="39"/>
      <c r="E10774" s="40" t="s">
        <v>11404</v>
      </c>
      <c r="F10774" s="40" t="s">
        <v>11404</v>
      </c>
      <c r="G10774" s="40" t="s">
        <v>11404</v>
      </c>
      <c r="H10774" s="40" t="s">
        <v>11404</v>
      </c>
    </row>
    <row r="10775">
      <c r="A10775" s="39"/>
      <c r="E10775" s="40" t="s">
        <v>11404</v>
      </c>
      <c r="F10775" s="40" t="s">
        <v>11404</v>
      </c>
      <c r="G10775" s="40" t="s">
        <v>11404</v>
      </c>
      <c r="H10775" s="40" t="s">
        <v>11404</v>
      </c>
    </row>
    <row r="10776">
      <c r="A10776" s="39"/>
      <c r="E10776" s="40" t="s">
        <v>11404</v>
      </c>
      <c r="F10776" s="40" t="s">
        <v>11404</v>
      </c>
      <c r="G10776" s="40" t="s">
        <v>11404</v>
      </c>
      <c r="H10776" s="40" t="s">
        <v>11404</v>
      </c>
    </row>
    <row r="10777">
      <c r="A10777" s="39"/>
      <c r="E10777" s="40" t="s">
        <v>11404</v>
      </c>
      <c r="F10777" s="40" t="s">
        <v>11404</v>
      </c>
      <c r="G10777" s="40" t="s">
        <v>11404</v>
      </c>
      <c r="H10777" s="40" t="s">
        <v>11404</v>
      </c>
    </row>
    <row r="10778">
      <c r="A10778" s="39"/>
      <c r="E10778" s="40" t="s">
        <v>11404</v>
      </c>
      <c r="F10778" s="40" t="s">
        <v>11404</v>
      </c>
      <c r="G10778" s="40" t="s">
        <v>11404</v>
      </c>
      <c r="H10778" s="40" t="s">
        <v>11404</v>
      </c>
    </row>
    <row r="10779">
      <c r="A10779" s="39"/>
      <c r="E10779" s="40" t="s">
        <v>11404</v>
      </c>
      <c r="F10779" s="40" t="s">
        <v>11404</v>
      </c>
      <c r="G10779" s="40" t="s">
        <v>11404</v>
      </c>
      <c r="H10779" s="40" t="s">
        <v>11404</v>
      </c>
    </row>
    <row r="10780">
      <c r="A10780" s="39"/>
      <c r="E10780" s="40" t="s">
        <v>11404</v>
      </c>
      <c r="F10780" s="40" t="s">
        <v>11404</v>
      </c>
      <c r="G10780" s="40" t="s">
        <v>11404</v>
      </c>
      <c r="H10780" s="40" t="s">
        <v>11404</v>
      </c>
    </row>
    <row r="10781">
      <c r="A10781" s="39"/>
      <c r="E10781" s="40" t="s">
        <v>11404</v>
      </c>
      <c r="F10781" s="40" t="s">
        <v>11404</v>
      </c>
      <c r="G10781" s="40" t="s">
        <v>11404</v>
      </c>
      <c r="H10781" s="40" t="s">
        <v>11404</v>
      </c>
    </row>
    <row r="10782">
      <c r="A10782" s="39"/>
      <c r="E10782" s="40" t="s">
        <v>11404</v>
      </c>
      <c r="F10782" s="40" t="s">
        <v>11404</v>
      </c>
      <c r="G10782" s="40" t="s">
        <v>11404</v>
      </c>
      <c r="H10782" s="40" t="s">
        <v>11404</v>
      </c>
    </row>
    <row r="10783">
      <c r="A10783" s="39"/>
      <c r="E10783" s="40" t="s">
        <v>11404</v>
      </c>
      <c r="F10783" s="40" t="s">
        <v>11404</v>
      </c>
      <c r="G10783" s="40" t="s">
        <v>11404</v>
      </c>
      <c r="H10783" s="40" t="s">
        <v>11404</v>
      </c>
    </row>
    <row r="10784">
      <c r="A10784" s="39"/>
      <c r="E10784" s="40" t="s">
        <v>11404</v>
      </c>
      <c r="F10784" s="40" t="s">
        <v>11404</v>
      </c>
      <c r="G10784" s="40" t="s">
        <v>11404</v>
      </c>
      <c r="H10784" s="40" t="s">
        <v>11404</v>
      </c>
    </row>
    <row r="10785">
      <c r="A10785" s="39"/>
      <c r="E10785" s="40" t="s">
        <v>11404</v>
      </c>
      <c r="F10785" s="40" t="s">
        <v>11404</v>
      </c>
      <c r="G10785" s="40" t="s">
        <v>11404</v>
      </c>
      <c r="H10785" s="40" t="s">
        <v>11404</v>
      </c>
    </row>
    <row r="10786">
      <c r="A10786" s="39"/>
      <c r="E10786" s="40" t="s">
        <v>11404</v>
      </c>
      <c r="F10786" s="40" t="s">
        <v>11404</v>
      </c>
      <c r="G10786" s="40" t="s">
        <v>11404</v>
      </c>
      <c r="H10786" s="40" t="s">
        <v>11404</v>
      </c>
    </row>
    <row r="10787">
      <c r="A10787" s="39"/>
      <c r="E10787" s="40" t="s">
        <v>11404</v>
      </c>
      <c r="F10787" s="40" t="s">
        <v>11404</v>
      </c>
      <c r="G10787" s="40" t="s">
        <v>11404</v>
      </c>
      <c r="H10787" s="40" t="s">
        <v>11404</v>
      </c>
    </row>
    <row r="10788">
      <c r="A10788" s="39"/>
      <c r="E10788" s="40" t="s">
        <v>11404</v>
      </c>
      <c r="F10788" s="40" t="s">
        <v>11404</v>
      </c>
      <c r="G10788" s="40" t="s">
        <v>11404</v>
      </c>
      <c r="H10788" s="40" t="s">
        <v>11404</v>
      </c>
    </row>
    <row r="10789">
      <c r="A10789" s="39"/>
      <c r="E10789" s="40" t="s">
        <v>11404</v>
      </c>
      <c r="F10789" s="40" t="s">
        <v>11404</v>
      </c>
      <c r="G10789" s="40" t="s">
        <v>11404</v>
      </c>
      <c r="H10789" s="40" t="s">
        <v>11404</v>
      </c>
    </row>
    <row r="10790">
      <c r="A10790" s="39"/>
      <c r="E10790" s="40" t="s">
        <v>11404</v>
      </c>
      <c r="F10790" s="40" t="s">
        <v>11404</v>
      </c>
      <c r="G10790" s="40" t="s">
        <v>11404</v>
      </c>
      <c r="H10790" s="40" t="s">
        <v>11404</v>
      </c>
    </row>
    <row r="10791">
      <c r="A10791" s="39"/>
      <c r="E10791" s="40" t="s">
        <v>11404</v>
      </c>
      <c r="F10791" s="40" t="s">
        <v>11404</v>
      </c>
      <c r="G10791" s="40" t="s">
        <v>11404</v>
      </c>
      <c r="H10791" s="40" t="s">
        <v>11404</v>
      </c>
    </row>
    <row r="10792">
      <c r="A10792" s="39"/>
      <c r="E10792" s="40" t="s">
        <v>11404</v>
      </c>
      <c r="F10792" s="40" t="s">
        <v>11404</v>
      </c>
      <c r="G10792" s="40" t="s">
        <v>11404</v>
      </c>
      <c r="H10792" s="40" t="s">
        <v>11404</v>
      </c>
    </row>
    <row r="10793">
      <c r="A10793" s="39"/>
      <c r="E10793" s="40" t="s">
        <v>11404</v>
      </c>
      <c r="F10793" s="40" t="s">
        <v>11404</v>
      </c>
      <c r="G10793" s="40" t="s">
        <v>11404</v>
      </c>
      <c r="H10793" s="40" t="s">
        <v>11404</v>
      </c>
    </row>
    <row r="10794">
      <c r="A10794" s="39"/>
      <c r="E10794" s="40" t="s">
        <v>11404</v>
      </c>
      <c r="F10794" s="40" t="s">
        <v>11404</v>
      </c>
      <c r="G10794" s="40" t="s">
        <v>11404</v>
      </c>
      <c r="H10794" s="40" t="s">
        <v>11404</v>
      </c>
    </row>
    <row r="10795">
      <c r="A10795" s="39"/>
      <c r="E10795" s="40" t="s">
        <v>11404</v>
      </c>
      <c r="F10795" s="40" t="s">
        <v>11404</v>
      </c>
      <c r="G10795" s="40" t="s">
        <v>11404</v>
      </c>
      <c r="H10795" s="40" t="s">
        <v>11404</v>
      </c>
    </row>
    <row r="10796">
      <c r="A10796" s="39"/>
      <c r="E10796" s="40" t="s">
        <v>11404</v>
      </c>
      <c r="F10796" s="40" t="s">
        <v>11404</v>
      </c>
      <c r="G10796" s="40" t="s">
        <v>11404</v>
      </c>
      <c r="H10796" s="40" t="s">
        <v>11404</v>
      </c>
    </row>
    <row r="10797">
      <c r="A10797" s="39"/>
      <c r="E10797" s="40" t="s">
        <v>11404</v>
      </c>
      <c r="F10797" s="40" t="s">
        <v>11404</v>
      </c>
      <c r="G10797" s="40" t="s">
        <v>11404</v>
      </c>
      <c r="H10797" s="40" t="s">
        <v>11404</v>
      </c>
    </row>
    <row r="10798">
      <c r="A10798" s="39"/>
      <c r="E10798" s="40" t="s">
        <v>11404</v>
      </c>
      <c r="F10798" s="40" t="s">
        <v>11404</v>
      </c>
      <c r="G10798" s="40" t="s">
        <v>11404</v>
      </c>
      <c r="H10798" s="40" t="s">
        <v>11404</v>
      </c>
    </row>
    <row r="10799">
      <c r="A10799" s="39"/>
      <c r="E10799" s="40" t="s">
        <v>11404</v>
      </c>
      <c r="F10799" s="40" t="s">
        <v>11404</v>
      </c>
      <c r="G10799" s="40" t="s">
        <v>11404</v>
      </c>
      <c r="H10799" s="40" t="s">
        <v>11404</v>
      </c>
    </row>
    <row r="10800">
      <c r="A10800" s="39"/>
      <c r="E10800" s="40" t="s">
        <v>11404</v>
      </c>
      <c r="F10800" s="40" t="s">
        <v>11404</v>
      </c>
      <c r="G10800" s="40" t="s">
        <v>11404</v>
      </c>
      <c r="H10800" s="40" t="s">
        <v>11404</v>
      </c>
    </row>
    <row r="10801">
      <c r="A10801" s="39"/>
      <c r="E10801" s="40" t="s">
        <v>11404</v>
      </c>
      <c r="F10801" s="40" t="s">
        <v>11404</v>
      </c>
      <c r="G10801" s="40" t="s">
        <v>11404</v>
      </c>
      <c r="H10801" s="40" t="s">
        <v>11404</v>
      </c>
    </row>
    <row r="10802">
      <c r="A10802" s="39"/>
      <c r="E10802" s="40" t="s">
        <v>11404</v>
      </c>
      <c r="F10802" s="40" t="s">
        <v>11404</v>
      </c>
      <c r="G10802" s="40" t="s">
        <v>11404</v>
      </c>
      <c r="H10802" s="40" t="s">
        <v>11404</v>
      </c>
    </row>
    <row r="10803">
      <c r="A10803" s="39"/>
      <c r="E10803" s="40" t="s">
        <v>11404</v>
      </c>
      <c r="F10803" s="40" t="s">
        <v>11404</v>
      </c>
      <c r="G10803" s="40" t="s">
        <v>11404</v>
      </c>
      <c r="H10803" s="40" t="s">
        <v>11404</v>
      </c>
    </row>
    <row r="10804">
      <c r="A10804" s="39"/>
      <c r="E10804" s="40" t="s">
        <v>11404</v>
      </c>
      <c r="F10804" s="40" t="s">
        <v>11404</v>
      </c>
      <c r="G10804" s="40" t="s">
        <v>11404</v>
      </c>
      <c r="H10804" s="40" t="s">
        <v>11404</v>
      </c>
    </row>
    <row r="10805">
      <c r="A10805" s="39"/>
      <c r="E10805" s="40" t="s">
        <v>11404</v>
      </c>
      <c r="F10805" s="40" t="s">
        <v>11404</v>
      </c>
      <c r="G10805" s="40" t="s">
        <v>11404</v>
      </c>
      <c r="H10805" s="40" t="s">
        <v>11404</v>
      </c>
    </row>
    <row r="10806">
      <c r="A10806" s="39"/>
      <c r="E10806" s="40" t="s">
        <v>11404</v>
      </c>
      <c r="F10806" s="40" t="s">
        <v>11404</v>
      </c>
      <c r="G10806" s="40" t="s">
        <v>11404</v>
      </c>
      <c r="H10806" s="40" t="s">
        <v>11404</v>
      </c>
    </row>
    <row r="10807">
      <c r="A10807" s="39"/>
      <c r="E10807" s="40" t="s">
        <v>11404</v>
      </c>
      <c r="F10807" s="40" t="s">
        <v>11404</v>
      </c>
      <c r="G10807" s="40" t="s">
        <v>11404</v>
      </c>
      <c r="H10807" s="40" t="s">
        <v>11404</v>
      </c>
    </row>
    <row r="10808">
      <c r="A10808" s="39"/>
      <c r="E10808" s="40" t="s">
        <v>11404</v>
      </c>
      <c r="F10808" s="40" t="s">
        <v>11404</v>
      </c>
      <c r="G10808" s="40" t="s">
        <v>11404</v>
      </c>
      <c r="H10808" s="40" t="s">
        <v>11404</v>
      </c>
    </row>
    <row r="10809">
      <c r="A10809" s="39"/>
      <c r="E10809" s="40" t="s">
        <v>11404</v>
      </c>
      <c r="F10809" s="40" t="s">
        <v>11404</v>
      </c>
      <c r="G10809" s="40" t="s">
        <v>11404</v>
      </c>
      <c r="H10809" s="40" t="s">
        <v>11404</v>
      </c>
    </row>
    <row r="10810">
      <c r="A10810" s="39"/>
      <c r="E10810" s="40" t="s">
        <v>11404</v>
      </c>
      <c r="F10810" s="40" t="s">
        <v>11404</v>
      </c>
      <c r="G10810" s="40" t="s">
        <v>11404</v>
      </c>
      <c r="H10810" s="40" t="s">
        <v>11404</v>
      </c>
    </row>
    <row r="10811">
      <c r="A10811" s="39"/>
      <c r="E10811" s="40" t="s">
        <v>11404</v>
      </c>
      <c r="F10811" s="40" t="s">
        <v>11404</v>
      </c>
      <c r="G10811" s="40" t="s">
        <v>11404</v>
      </c>
      <c r="H10811" s="40" t="s">
        <v>11404</v>
      </c>
    </row>
    <row r="10812">
      <c r="A10812" s="39"/>
      <c r="E10812" s="40" t="s">
        <v>11404</v>
      </c>
      <c r="F10812" s="40" t="s">
        <v>11404</v>
      </c>
      <c r="G10812" s="40" t="s">
        <v>11404</v>
      </c>
      <c r="H10812" s="40" t="s">
        <v>11404</v>
      </c>
    </row>
    <row r="10813">
      <c r="A10813" s="39"/>
      <c r="E10813" s="40" t="s">
        <v>11404</v>
      </c>
      <c r="F10813" s="40" t="s">
        <v>11404</v>
      </c>
      <c r="G10813" s="40" t="s">
        <v>11404</v>
      </c>
      <c r="H10813" s="40" t="s">
        <v>11404</v>
      </c>
    </row>
    <row r="10814">
      <c r="A10814" s="39"/>
      <c r="E10814" s="40" t="s">
        <v>11404</v>
      </c>
      <c r="F10814" s="40" t="s">
        <v>11404</v>
      </c>
      <c r="G10814" s="40" t="s">
        <v>11404</v>
      </c>
      <c r="H10814" s="40" t="s">
        <v>11404</v>
      </c>
    </row>
    <row r="10815">
      <c r="A10815" s="39"/>
      <c r="E10815" s="40" t="s">
        <v>11404</v>
      </c>
      <c r="F10815" s="40" t="s">
        <v>11404</v>
      </c>
      <c r="G10815" s="40" t="s">
        <v>11404</v>
      </c>
      <c r="H10815" s="40" t="s">
        <v>11404</v>
      </c>
    </row>
    <row r="10816">
      <c r="A10816" s="39"/>
      <c r="E10816" s="40" t="s">
        <v>11404</v>
      </c>
      <c r="F10816" s="40" t="s">
        <v>11404</v>
      </c>
      <c r="G10816" s="40" t="s">
        <v>11404</v>
      </c>
      <c r="H10816" s="40" t="s">
        <v>11404</v>
      </c>
    </row>
    <row r="10817">
      <c r="A10817" s="39"/>
      <c r="E10817" s="40" t="s">
        <v>11404</v>
      </c>
      <c r="F10817" s="40" t="s">
        <v>11404</v>
      </c>
      <c r="G10817" s="40" t="s">
        <v>11404</v>
      </c>
      <c r="H10817" s="40" t="s">
        <v>11404</v>
      </c>
    </row>
    <row r="10818">
      <c r="A10818" s="39"/>
      <c r="E10818" s="40" t="s">
        <v>11404</v>
      </c>
      <c r="F10818" s="40" t="s">
        <v>11404</v>
      </c>
      <c r="G10818" s="40" t="s">
        <v>11404</v>
      </c>
      <c r="H10818" s="40" t="s">
        <v>11404</v>
      </c>
    </row>
    <row r="10819">
      <c r="A10819" s="39"/>
      <c r="E10819" s="40" t="s">
        <v>11404</v>
      </c>
      <c r="F10819" s="40" t="s">
        <v>11404</v>
      </c>
      <c r="G10819" s="40" t="s">
        <v>11404</v>
      </c>
      <c r="H10819" s="40" t="s">
        <v>11404</v>
      </c>
    </row>
    <row r="10820">
      <c r="A10820" s="39"/>
      <c r="E10820" s="40" t="s">
        <v>11404</v>
      </c>
      <c r="F10820" s="40" t="s">
        <v>11404</v>
      </c>
      <c r="G10820" s="40" t="s">
        <v>11404</v>
      </c>
      <c r="H10820" s="40" t="s">
        <v>11404</v>
      </c>
    </row>
    <row r="10821">
      <c r="A10821" s="39"/>
      <c r="E10821" s="40" t="s">
        <v>11404</v>
      </c>
      <c r="F10821" s="40" t="s">
        <v>11404</v>
      </c>
      <c r="G10821" s="40" t="s">
        <v>11404</v>
      </c>
      <c r="H10821" s="40" t="s">
        <v>11404</v>
      </c>
    </row>
    <row r="10822">
      <c r="A10822" s="39"/>
      <c r="E10822" s="40" t="s">
        <v>11404</v>
      </c>
      <c r="F10822" s="40" t="s">
        <v>11404</v>
      </c>
      <c r="G10822" s="40" t="s">
        <v>11404</v>
      </c>
      <c r="H10822" s="40" t="s">
        <v>11404</v>
      </c>
    </row>
    <row r="10823">
      <c r="A10823" s="39"/>
      <c r="E10823" s="40" t="s">
        <v>11404</v>
      </c>
      <c r="F10823" s="40" t="s">
        <v>11404</v>
      </c>
      <c r="G10823" s="40" t="s">
        <v>11404</v>
      </c>
      <c r="H10823" s="40" t="s">
        <v>11404</v>
      </c>
    </row>
    <row r="10824">
      <c r="A10824" s="39"/>
      <c r="E10824" s="40" t="s">
        <v>11404</v>
      </c>
      <c r="F10824" s="40" t="s">
        <v>11404</v>
      </c>
      <c r="G10824" s="40" t="s">
        <v>11404</v>
      </c>
      <c r="H10824" s="40" t="s">
        <v>11404</v>
      </c>
    </row>
    <row r="10825">
      <c r="A10825" s="39"/>
      <c r="E10825" s="40" t="s">
        <v>11404</v>
      </c>
      <c r="F10825" s="40" t="s">
        <v>11404</v>
      </c>
      <c r="G10825" s="40" t="s">
        <v>11404</v>
      </c>
      <c r="H10825" s="40" t="s">
        <v>11404</v>
      </c>
    </row>
    <row r="10826">
      <c r="A10826" s="39"/>
      <c r="E10826" s="40" t="s">
        <v>11404</v>
      </c>
      <c r="F10826" s="40" t="s">
        <v>11404</v>
      </c>
      <c r="G10826" s="40" t="s">
        <v>11404</v>
      </c>
      <c r="H10826" s="40" t="s">
        <v>11404</v>
      </c>
    </row>
    <row r="10827">
      <c r="A10827" s="39"/>
      <c r="E10827" s="40" t="s">
        <v>11404</v>
      </c>
      <c r="F10827" s="40" t="s">
        <v>11404</v>
      </c>
      <c r="G10827" s="40" t="s">
        <v>11404</v>
      </c>
      <c r="H10827" s="40" t="s">
        <v>11404</v>
      </c>
    </row>
    <row r="10828">
      <c r="A10828" s="39"/>
      <c r="E10828" s="40" t="s">
        <v>11404</v>
      </c>
      <c r="F10828" s="40" t="s">
        <v>11404</v>
      </c>
      <c r="G10828" s="40" t="s">
        <v>11404</v>
      </c>
      <c r="H10828" s="40" t="s">
        <v>11404</v>
      </c>
    </row>
    <row r="10829">
      <c r="A10829" s="39"/>
      <c r="E10829" s="40" t="s">
        <v>11404</v>
      </c>
      <c r="F10829" s="40" t="s">
        <v>11404</v>
      </c>
      <c r="G10829" s="40" t="s">
        <v>11404</v>
      </c>
      <c r="H10829" s="40" t="s">
        <v>11404</v>
      </c>
    </row>
    <row r="10830">
      <c r="A10830" s="39"/>
      <c r="E10830" s="40" t="s">
        <v>11404</v>
      </c>
      <c r="F10830" s="40" t="s">
        <v>11404</v>
      </c>
      <c r="G10830" s="40" t="s">
        <v>11404</v>
      </c>
      <c r="H10830" s="40" t="s">
        <v>11404</v>
      </c>
    </row>
    <row r="10831">
      <c r="A10831" s="39"/>
      <c r="E10831" s="40" t="s">
        <v>11404</v>
      </c>
      <c r="F10831" s="40" t="s">
        <v>11404</v>
      </c>
      <c r="G10831" s="40" t="s">
        <v>11404</v>
      </c>
      <c r="H10831" s="40" t="s">
        <v>11404</v>
      </c>
    </row>
    <row r="10832">
      <c r="A10832" s="39"/>
      <c r="E10832" s="40" t="s">
        <v>11404</v>
      </c>
      <c r="F10832" s="40" t="s">
        <v>11404</v>
      </c>
      <c r="G10832" s="40" t="s">
        <v>11404</v>
      </c>
      <c r="H10832" s="40" t="s">
        <v>11404</v>
      </c>
    </row>
    <row r="10833">
      <c r="A10833" s="39"/>
      <c r="E10833" s="40" t="s">
        <v>11404</v>
      </c>
      <c r="F10833" s="40" t="s">
        <v>11404</v>
      </c>
      <c r="G10833" s="40" t="s">
        <v>11404</v>
      </c>
      <c r="H10833" s="40" t="s">
        <v>11404</v>
      </c>
    </row>
    <row r="10834">
      <c r="A10834" s="39"/>
      <c r="E10834" s="40" t="s">
        <v>11404</v>
      </c>
      <c r="F10834" s="40" t="s">
        <v>11404</v>
      </c>
      <c r="G10834" s="40" t="s">
        <v>11404</v>
      </c>
      <c r="H10834" s="40" t="s">
        <v>11404</v>
      </c>
    </row>
    <row r="10835">
      <c r="A10835" s="39"/>
      <c r="E10835" s="40" t="s">
        <v>11404</v>
      </c>
      <c r="F10835" s="40" t="s">
        <v>11404</v>
      </c>
      <c r="G10835" s="40" t="s">
        <v>11404</v>
      </c>
      <c r="H10835" s="40" t="s">
        <v>11404</v>
      </c>
    </row>
    <row r="10836">
      <c r="A10836" s="39"/>
      <c r="E10836" s="40" t="s">
        <v>11404</v>
      </c>
      <c r="F10836" s="40" t="s">
        <v>11404</v>
      </c>
      <c r="G10836" s="40" t="s">
        <v>11404</v>
      </c>
      <c r="H10836" s="40" t="s">
        <v>11404</v>
      </c>
    </row>
    <row r="10837">
      <c r="A10837" s="39"/>
      <c r="E10837" s="40" t="s">
        <v>11404</v>
      </c>
      <c r="F10837" s="40" t="s">
        <v>11404</v>
      </c>
      <c r="G10837" s="40" t="s">
        <v>11404</v>
      </c>
      <c r="H10837" s="40" t="s">
        <v>11404</v>
      </c>
    </row>
    <row r="10838">
      <c r="A10838" s="39"/>
      <c r="E10838" s="40" t="s">
        <v>11404</v>
      </c>
      <c r="F10838" s="40" t="s">
        <v>11404</v>
      </c>
      <c r="G10838" s="40" t="s">
        <v>11404</v>
      </c>
      <c r="H10838" s="40" t="s">
        <v>11404</v>
      </c>
    </row>
    <row r="10839">
      <c r="A10839" s="39"/>
      <c r="E10839" s="40" t="s">
        <v>11404</v>
      </c>
      <c r="F10839" s="40" t="s">
        <v>11404</v>
      </c>
      <c r="G10839" s="40" t="s">
        <v>11404</v>
      </c>
      <c r="H10839" s="40" t="s">
        <v>11404</v>
      </c>
    </row>
    <row r="10840">
      <c r="A10840" s="39"/>
      <c r="E10840" s="40" t="s">
        <v>11404</v>
      </c>
      <c r="F10840" s="40" t="s">
        <v>11404</v>
      </c>
      <c r="G10840" s="40" t="s">
        <v>11404</v>
      </c>
      <c r="H10840" s="40" t="s">
        <v>11404</v>
      </c>
    </row>
    <row r="10841">
      <c r="A10841" s="39"/>
      <c r="E10841" s="40" t="s">
        <v>11404</v>
      </c>
      <c r="F10841" s="40" t="s">
        <v>11404</v>
      </c>
      <c r="G10841" s="40" t="s">
        <v>11404</v>
      </c>
      <c r="H10841" s="40" t="s">
        <v>11404</v>
      </c>
    </row>
    <row r="10842">
      <c r="A10842" s="39"/>
      <c r="E10842" s="40" t="s">
        <v>11404</v>
      </c>
      <c r="F10842" s="40" t="s">
        <v>11404</v>
      </c>
      <c r="G10842" s="40" t="s">
        <v>11404</v>
      </c>
      <c r="H10842" s="40" t="s">
        <v>11404</v>
      </c>
    </row>
    <row r="10843">
      <c r="A10843" s="39"/>
      <c r="E10843" s="40" t="s">
        <v>11404</v>
      </c>
      <c r="F10843" s="40" t="s">
        <v>11404</v>
      </c>
      <c r="G10843" s="40" t="s">
        <v>11404</v>
      </c>
      <c r="H10843" s="40" t="s">
        <v>11404</v>
      </c>
    </row>
    <row r="10844">
      <c r="A10844" s="39"/>
      <c r="E10844" s="40" t="s">
        <v>11404</v>
      </c>
      <c r="F10844" s="40" t="s">
        <v>11404</v>
      </c>
      <c r="G10844" s="40" t="s">
        <v>11404</v>
      </c>
      <c r="H10844" s="40" t="s">
        <v>11404</v>
      </c>
    </row>
    <row r="10845">
      <c r="A10845" s="39"/>
      <c r="E10845" s="40" t="s">
        <v>11404</v>
      </c>
      <c r="F10845" s="40" t="s">
        <v>11404</v>
      </c>
      <c r="G10845" s="40" t="s">
        <v>11404</v>
      </c>
      <c r="H10845" s="40" t="s">
        <v>11404</v>
      </c>
    </row>
    <row r="10846">
      <c r="A10846" s="39"/>
      <c r="E10846" s="40" t="s">
        <v>11404</v>
      </c>
      <c r="F10846" s="40" t="s">
        <v>11404</v>
      </c>
      <c r="G10846" s="40" t="s">
        <v>11404</v>
      </c>
      <c r="H10846" s="40" t="s">
        <v>11404</v>
      </c>
    </row>
    <row r="10847">
      <c r="A10847" s="39"/>
      <c r="E10847" s="40" t="s">
        <v>11404</v>
      </c>
      <c r="F10847" s="40" t="s">
        <v>11404</v>
      </c>
      <c r="G10847" s="40" t="s">
        <v>11404</v>
      </c>
      <c r="H10847" s="40" t="s">
        <v>11404</v>
      </c>
    </row>
    <row r="10848">
      <c r="A10848" s="39"/>
      <c r="E10848" s="40" t="s">
        <v>11404</v>
      </c>
      <c r="F10848" s="40" t="s">
        <v>11404</v>
      </c>
      <c r="G10848" s="40" t="s">
        <v>11404</v>
      </c>
      <c r="H10848" s="40" t="s">
        <v>11404</v>
      </c>
    </row>
    <row r="10849">
      <c r="A10849" s="39"/>
      <c r="E10849" s="40" t="s">
        <v>11404</v>
      </c>
      <c r="F10849" s="40" t="s">
        <v>11404</v>
      </c>
      <c r="G10849" s="40" t="s">
        <v>11404</v>
      </c>
      <c r="H10849" s="40" t="s">
        <v>11404</v>
      </c>
    </row>
    <row r="10850">
      <c r="A10850" s="39"/>
      <c r="E10850" s="40" t="s">
        <v>11404</v>
      </c>
      <c r="F10850" s="40" t="s">
        <v>11404</v>
      </c>
      <c r="G10850" s="40" t="s">
        <v>11404</v>
      </c>
      <c r="H10850" s="40" t="s">
        <v>11404</v>
      </c>
    </row>
    <row r="10851">
      <c r="A10851" s="39"/>
      <c r="E10851" s="40" t="s">
        <v>11404</v>
      </c>
      <c r="F10851" s="40" t="s">
        <v>11404</v>
      </c>
      <c r="G10851" s="40" t="s">
        <v>11404</v>
      </c>
      <c r="H10851" s="40" t="s">
        <v>11404</v>
      </c>
    </row>
    <row r="10852">
      <c r="A10852" s="39"/>
      <c r="E10852" s="40" t="s">
        <v>11404</v>
      </c>
      <c r="F10852" s="40" t="s">
        <v>11404</v>
      </c>
      <c r="G10852" s="40" t="s">
        <v>11404</v>
      </c>
      <c r="H10852" s="40" t="s">
        <v>11404</v>
      </c>
    </row>
    <row r="10853">
      <c r="A10853" s="39"/>
      <c r="E10853" s="40" t="s">
        <v>11404</v>
      </c>
      <c r="F10853" s="40" t="s">
        <v>11404</v>
      </c>
      <c r="G10853" s="40" t="s">
        <v>11404</v>
      </c>
      <c r="H10853" s="40" t="s">
        <v>11404</v>
      </c>
    </row>
    <row r="10854">
      <c r="A10854" s="39"/>
      <c r="E10854" s="40" t="s">
        <v>11404</v>
      </c>
      <c r="F10854" s="40" t="s">
        <v>11404</v>
      </c>
      <c r="G10854" s="40" t="s">
        <v>11404</v>
      </c>
      <c r="H10854" s="40" t="s">
        <v>11404</v>
      </c>
    </row>
    <row r="10855">
      <c r="A10855" s="39"/>
      <c r="E10855" s="40" t="s">
        <v>11404</v>
      </c>
      <c r="F10855" s="40" t="s">
        <v>11404</v>
      </c>
      <c r="G10855" s="40" t="s">
        <v>11404</v>
      </c>
      <c r="H10855" s="40" t="s">
        <v>11404</v>
      </c>
    </row>
    <row r="10856">
      <c r="A10856" s="39"/>
      <c r="E10856" s="40" t="s">
        <v>11404</v>
      </c>
      <c r="F10856" s="40" t="s">
        <v>11404</v>
      </c>
      <c r="G10856" s="40" t="s">
        <v>11404</v>
      </c>
      <c r="H10856" s="40" t="s">
        <v>11404</v>
      </c>
    </row>
    <row r="10857">
      <c r="A10857" s="39"/>
      <c r="E10857" s="40" t="s">
        <v>11404</v>
      </c>
      <c r="F10857" s="40" t="s">
        <v>11404</v>
      </c>
      <c r="G10857" s="40" t="s">
        <v>11404</v>
      </c>
      <c r="H10857" s="40" t="s">
        <v>11404</v>
      </c>
    </row>
    <row r="10858">
      <c r="A10858" s="39"/>
      <c r="E10858" s="40" t="s">
        <v>11404</v>
      </c>
      <c r="F10858" s="40" t="s">
        <v>11404</v>
      </c>
      <c r="G10858" s="40" t="s">
        <v>11404</v>
      </c>
      <c r="H10858" s="40" t="s">
        <v>11404</v>
      </c>
    </row>
    <row r="10859">
      <c r="A10859" s="39"/>
      <c r="E10859" s="40" t="s">
        <v>11404</v>
      </c>
      <c r="F10859" s="40" t="s">
        <v>11404</v>
      </c>
      <c r="G10859" s="40" t="s">
        <v>11404</v>
      </c>
      <c r="H10859" s="40" t="s">
        <v>11404</v>
      </c>
    </row>
    <row r="10860">
      <c r="A10860" s="39"/>
      <c r="E10860" s="40" t="s">
        <v>11404</v>
      </c>
      <c r="F10860" s="40" t="s">
        <v>11404</v>
      </c>
      <c r="G10860" s="40" t="s">
        <v>11404</v>
      </c>
      <c r="H10860" s="40" t="s">
        <v>11404</v>
      </c>
    </row>
    <row r="10861">
      <c r="A10861" s="39"/>
      <c r="E10861" s="40" t="s">
        <v>11404</v>
      </c>
      <c r="F10861" s="40" t="s">
        <v>11404</v>
      </c>
      <c r="G10861" s="40" t="s">
        <v>11404</v>
      </c>
      <c r="H10861" s="40" t="s">
        <v>11404</v>
      </c>
    </row>
    <row r="10862">
      <c r="A10862" s="39"/>
      <c r="E10862" s="40" t="s">
        <v>11404</v>
      </c>
      <c r="F10862" s="40" t="s">
        <v>11404</v>
      </c>
      <c r="G10862" s="40" t="s">
        <v>11404</v>
      </c>
      <c r="H10862" s="40" t="s">
        <v>11404</v>
      </c>
    </row>
    <row r="10863">
      <c r="A10863" s="39"/>
      <c r="E10863" s="40" t="s">
        <v>11404</v>
      </c>
      <c r="F10863" s="40" t="s">
        <v>11404</v>
      </c>
      <c r="G10863" s="40" t="s">
        <v>11404</v>
      </c>
      <c r="H10863" s="40" t="s">
        <v>11404</v>
      </c>
    </row>
    <row r="10864">
      <c r="A10864" s="39"/>
      <c r="E10864" s="40" t="s">
        <v>11404</v>
      </c>
      <c r="F10864" s="40" t="s">
        <v>11404</v>
      </c>
      <c r="G10864" s="40" t="s">
        <v>11404</v>
      </c>
      <c r="H10864" s="40" t="s">
        <v>11404</v>
      </c>
    </row>
    <row r="10865">
      <c r="A10865" s="39"/>
      <c r="E10865" s="40" t="s">
        <v>11404</v>
      </c>
      <c r="F10865" s="40" t="s">
        <v>11404</v>
      </c>
      <c r="G10865" s="40" t="s">
        <v>11404</v>
      </c>
      <c r="H10865" s="40" t="s">
        <v>11404</v>
      </c>
    </row>
    <row r="10866">
      <c r="A10866" s="39"/>
      <c r="E10866" s="40" t="s">
        <v>11404</v>
      </c>
      <c r="F10866" s="40" t="s">
        <v>11404</v>
      </c>
      <c r="G10866" s="40" t="s">
        <v>11404</v>
      </c>
      <c r="H10866" s="40" t="s">
        <v>11404</v>
      </c>
    </row>
    <row r="10867">
      <c r="A10867" s="39"/>
      <c r="E10867" s="40" t="s">
        <v>11404</v>
      </c>
      <c r="F10867" s="40" t="s">
        <v>11404</v>
      </c>
      <c r="G10867" s="40" t="s">
        <v>11404</v>
      </c>
      <c r="H10867" s="40" t="s">
        <v>11404</v>
      </c>
    </row>
    <row r="10868">
      <c r="A10868" s="39"/>
      <c r="E10868" s="40" t="s">
        <v>11404</v>
      </c>
      <c r="F10868" s="40" t="s">
        <v>11404</v>
      </c>
      <c r="G10868" s="40" t="s">
        <v>11404</v>
      </c>
      <c r="H10868" s="40" t="s">
        <v>11404</v>
      </c>
    </row>
    <row r="10869">
      <c r="A10869" s="39"/>
      <c r="E10869" s="40" t="s">
        <v>11404</v>
      </c>
      <c r="F10869" s="40" t="s">
        <v>11404</v>
      </c>
      <c r="G10869" s="40" t="s">
        <v>11404</v>
      </c>
      <c r="H10869" s="40" t="s">
        <v>11404</v>
      </c>
    </row>
    <row r="10870">
      <c r="A10870" s="39"/>
      <c r="E10870" s="40" t="s">
        <v>11404</v>
      </c>
      <c r="F10870" s="40" t="s">
        <v>11404</v>
      </c>
      <c r="G10870" s="40" t="s">
        <v>11404</v>
      </c>
      <c r="H10870" s="40" t="s">
        <v>11404</v>
      </c>
    </row>
    <row r="10871">
      <c r="A10871" s="39"/>
      <c r="E10871" s="40" t="s">
        <v>11404</v>
      </c>
      <c r="F10871" s="40" t="s">
        <v>11404</v>
      </c>
      <c r="G10871" s="40" t="s">
        <v>11404</v>
      </c>
      <c r="H10871" s="40" t="s">
        <v>11404</v>
      </c>
    </row>
    <row r="10872">
      <c r="A10872" s="39"/>
      <c r="E10872" s="40" t="s">
        <v>11404</v>
      </c>
      <c r="F10872" s="40" t="s">
        <v>11404</v>
      </c>
      <c r="G10872" s="40" t="s">
        <v>11404</v>
      </c>
      <c r="H10872" s="40" t="s">
        <v>11404</v>
      </c>
    </row>
    <row r="10873">
      <c r="A10873" s="39"/>
      <c r="E10873" s="40" t="s">
        <v>11404</v>
      </c>
      <c r="F10873" s="40" t="s">
        <v>11404</v>
      </c>
      <c r="G10873" s="40" t="s">
        <v>11404</v>
      </c>
      <c r="H10873" s="40" t="s">
        <v>11404</v>
      </c>
    </row>
    <row r="10874">
      <c r="A10874" s="39"/>
      <c r="E10874" s="40" t="s">
        <v>11404</v>
      </c>
      <c r="F10874" s="40" t="s">
        <v>11404</v>
      </c>
      <c r="G10874" s="40" t="s">
        <v>11404</v>
      </c>
      <c r="H10874" s="40" t="s">
        <v>11404</v>
      </c>
    </row>
    <row r="10875">
      <c r="A10875" s="39"/>
      <c r="E10875" s="40" t="s">
        <v>11404</v>
      </c>
      <c r="F10875" s="40" t="s">
        <v>11404</v>
      </c>
      <c r="G10875" s="40" t="s">
        <v>11404</v>
      </c>
      <c r="H10875" s="40" t="s">
        <v>11404</v>
      </c>
    </row>
    <row r="10876">
      <c r="A10876" s="39"/>
      <c r="E10876" s="40" t="s">
        <v>11404</v>
      </c>
      <c r="F10876" s="40" t="s">
        <v>11404</v>
      </c>
      <c r="G10876" s="40" t="s">
        <v>11404</v>
      </c>
      <c r="H10876" s="40" t="s">
        <v>11404</v>
      </c>
    </row>
    <row r="10877">
      <c r="A10877" s="39"/>
      <c r="E10877" s="40" t="s">
        <v>11404</v>
      </c>
      <c r="F10877" s="40" t="s">
        <v>11404</v>
      </c>
      <c r="G10877" s="40" t="s">
        <v>11404</v>
      </c>
      <c r="H10877" s="40" t="s">
        <v>11404</v>
      </c>
    </row>
    <row r="10878">
      <c r="A10878" s="39"/>
      <c r="E10878" s="40" t="s">
        <v>11404</v>
      </c>
      <c r="F10878" s="40" t="s">
        <v>11404</v>
      </c>
      <c r="G10878" s="40" t="s">
        <v>11404</v>
      </c>
      <c r="H10878" s="40" t="s">
        <v>11404</v>
      </c>
    </row>
    <row r="10879">
      <c r="A10879" s="39"/>
      <c r="E10879" s="40" t="s">
        <v>11404</v>
      </c>
      <c r="F10879" s="40" t="s">
        <v>11404</v>
      </c>
      <c r="G10879" s="40" t="s">
        <v>11404</v>
      </c>
      <c r="H10879" s="40" t="s">
        <v>11404</v>
      </c>
    </row>
    <row r="10880">
      <c r="A10880" s="39"/>
      <c r="E10880" s="40" t="s">
        <v>11404</v>
      </c>
      <c r="F10880" s="40" t="s">
        <v>11404</v>
      </c>
      <c r="G10880" s="40" t="s">
        <v>11404</v>
      </c>
      <c r="H10880" s="40" t="s">
        <v>11404</v>
      </c>
    </row>
    <row r="10881">
      <c r="A10881" s="39"/>
      <c r="E10881" s="40" t="s">
        <v>11404</v>
      </c>
      <c r="F10881" s="40" t="s">
        <v>11404</v>
      </c>
      <c r="G10881" s="40" t="s">
        <v>11404</v>
      </c>
      <c r="H10881" s="40" t="s">
        <v>11404</v>
      </c>
    </row>
    <row r="10882">
      <c r="A10882" s="39"/>
      <c r="E10882" s="40" t="s">
        <v>11404</v>
      </c>
      <c r="F10882" s="40" t="s">
        <v>11404</v>
      </c>
      <c r="G10882" s="40" t="s">
        <v>11404</v>
      </c>
      <c r="H10882" s="40" t="s">
        <v>11404</v>
      </c>
    </row>
    <row r="10883">
      <c r="A10883" s="39"/>
      <c r="E10883" s="40" t="s">
        <v>11404</v>
      </c>
      <c r="F10883" s="40" t="s">
        <v>11404</v>
      </c>
      <c r="G10883" s="40" t="s">
        <v>11404</v>
      </c>
      <c r="H10883" s="40" t="s">
        <v>11404</v>
      </c>
    </row>
    <row r="10884">
      <c r="A10884" s="39"/>
      <c r="E10884" s="40" t="s">
        <v>11404</v>
      </c>
      <c r="F10884" s="40" t="s">
        <v>11404</v>
      </c>
      <c r="G10884" s="40" t="s">
        <v>11404</v>
      </c>
      <c r="H10884" s="40" t="s">
        <v>11404</v>
      </c>
    </row>
    <row r="10885">
      <c r="A10885" s="39"/>
      <c r="E10885" s="40" t="s">
        <v>11404</v>
      </c>
      <c r="F10885" s="40" t="s">
        <v>11404</v>
      </c>
      <c r="G10885" s="40" t="s">
        <v>11404</v>
      </c>
      <c r="H10885" s="40" t="s">
        <v>11404</v>
      </c>
    </row>
    <row r="10886">
      <c r="A10886" s="39"/>
      <c r="E10886" s="40" t="s">
        <v>11404</v>
      </c>
      <c r="F10886" s="40" t="s">
        <v>11404</v>
      </c>
      <c r="G10886" s="40" t="s">
        <v>11404</v>
      </c>
      <c r="H10886" s="40" t="s">
        <v>11404</v>
      </c>
    </row>
    <row r="10887">
      <c r="A10887" s="39"/>
      <c r="E10887" s="40" t="s">
        <v>11404</v>
      </c>
      <c r="F10887" s="40" t="s">
        <v>11404</v>
      </c>
      <c r="G10887" s="40" t="s">
        <v>11404</v>
      </c>
      <c r="H10887" s="40" t="s">
        <v>11404</v>
      </c>
    </row>
    <row r="10888">
      <c r="A10888" s="39"/>
      <c r="E10888" s="40" t="s">
        <v>11404</v>
      </c>
      <c r="F10888" s="40" t="s">
        <v>11404</v>
      </c>
      <c r="G10888" s="40" t="s">
        <v>11404</v>
      </c>
      <c r="H10888" s="40" t="s">
        <v>11404</v>
      </c>
    </row>
    <row r="10889">
      <c r="A10889" s="39"/>
      <c r="E10889" s="40" t="s">
        <v>11404</v>
      </c>
      <c r="F10889" s="40" t="s">
        <v>11404</v>
      </c>
      <c r="G10889" s="40" t="s">
        <v>11404</v>
      </c>
      <c r="H10889" s="40" t="s">
        <v>11404</v>
      </c>
    </row>
    <row r="10890">
      <c r="A10890" s="39"/>
      <c r="E10890" s="40" t="s">
        <v>11404</v>
      </c>
      <c r="F10890" s="40" t="s">
        <v>11404</v>
      </c>
      <c r="G10890" s="40" t="s">
        <v>11404</v>
      </c>
      <c r="H10890" s="40" t="s">
        <v>11404</v>
      </c>
    </row>
    <row r="10891">
      <c r="A10891" s="39"/>
      <c r="E10891" s="40" t="s">
        <v>11404</v>
      </c>
      <c r="F10891" s="40" t="s">
        <v>11404</v>
      </c>
      <c r="G10891" s="40" t="s">
        <v>11404</v>
      </c>
      <c r="H10891" s="40" t="s">
        <v>11404</v>
      </c>
    </row>
    <row r="10892">
      <c r="A10892" s="39"/>
      <c r="E10892" s="40" t="s">
        <v>11404</v>
      </c>
      <c r="F10892" s="40" t="s">
        <v>11404</v>
      </c>
      <c r="G10892" s="40" t="s">
        <v>11404</v>
      </c>
      <c r="H10892" s="40" t="s">
        <v>11404</v>
      </c>
    </row>
    <row r="10893">
      <c r="A10893" s="39"/>
      <c r="E10893" s="40" t="s">
        <v>11404</v>
      </c>
      <c r="F10893" s="40" t="s">
        <v>11404</v>
      </c>
      <c r="G10893" s="40" t="s">
        <v>11404</v>
      </c>
      <c r="H10893" s="40" t="s">
        <v>11404</v>
      </c>
    </row>
    <row r="10894">
      <c r="A10894" s="39"/>
      <c r="E10894" s="40" t="s">
        <v>11404</v>
      </c>
      <c r="F10894" s="40" t="s">
        <v>11404</v>
      </c>
      <c r="G10894" s="40" t="s">
        <v>11404</v>
      </c>
      <c r="H10894" s="40" t="s">
        <v>11404</v>
      </c>
    </row>
    <row r="10895">
      <c r="A10895" s="39"/>
      <c r="E10895" s="40" t="s">
        <v>11404</v>
      </c>
      <c r="F10895" s="40" t="s">
        <v>11404</v>
      </c>
      <c r="G10895" s="40" t="s">
        <v>11404</v>
      </c>
      <c r="H10895" s="40" t="s">
        <v>11404</v>
      </c>
    </row>
    <row r="10896">
      <c r="A10896" s="39"/>
      <c r="E10896" s="40" t="s">
        <v>11404</v>
      </c>
      <c r="F10896" s="40" t="s">
        <v>11404</v>
      </c>
      <c r="G10896" s="40" t="s">
        <v>11404</v>
      </c>
      <c r="H10896" s="40" t="s">
        <v>11404</v>
      </c>
    </row>
    <row r="10897">
      <c r="A10897" s="39"/>
      <c r="E10897" s="40" t="s">
        <v>11404</v>
      </c>
      <c r="F10897" s="40" t="s">
        <v>11404</v>
      </c>
      <c r="G10897" s="40" t="s">
        <v>11404</v>
      </c>
      <c r="H10897" s="40" t="s">
        <v>11404</v>
      </c>
    </row>
    <row r="10898">
      <c r="A10898" s="39"/>
      <c r="E10898" s="40" t="s">
        <v>11404</v>
      </c>
      <c r="F10898" s="40" t="s">
        <v>11404</v>
      </c>
      <c r="G10898" s="40" t="s">
        <v>11404</v>
      </c>
      <c r="H10898" s="40" t="s">
        <v>11404</v>
      </c>
    </row>
    <row r="10899">
      <c r="A10899" s="39"/>
      <c r="E10899" s="40" t="s">
        <v>11404</v>
      </c>
      <c r="F10899" s="40" t="s">
        <v>11404</v>
      </c>
      <c r="G10899" s="40" t="s">
        <v>11404</v>
      </c>
      <c r="H10899" s="40" t="s">
        <v>11404</v>
      </c>
    </row>
    <row r="10900">
      <c r="A10900" s="39"/>
      <c r="E10900" s="40" t="s">
        <v>11404</v>
      </c>
      <c r="F10900" s="40" t="s">
        <v>11404</v>
      </c>
      <c r="G10900" s="40" t="s">
        <v>11404</v>
      </c>
      <c r="H10900" s="40" t="s">
        <v>11404</v>
      </c>
    </row>
    <row r="10901">
      <c r="A10901" s="39"/>
      <c r="E10901" s="40" t="s">
        <v>11404</v>
      </c>
      <c r="F10901" s="40" t="s">
        <v>11404</v>
      </c>
      <c r="G10901" s="40" t="s">
        <v>11404</v>
      </c>
      <c r="H10901" s="40" t="s">
        <v>11404</v>
      </c>
    </row>
    <row r="10902">
      <c r="A10902" s="39"/>
      <c r="E10902" s="40" t="s">
        <v>11404</v>
      </c>
      <c r="F10902" s="40" t="s">
        <v>11404</v>
      </c>
      <c r="G10902" s="40" t="s">
        <v>11404</v>
      </c>
      <c r="H10902" s="40" t="s">
        <v>11404</v>
      </c>
    </row>
    <row r="10903">
      <c r="A10903" s="39"/>
      <c r="E10903" s="40" t="s">
        <v>11404</v>
      </c>
      <c r="F10903" s="40" t="s">
        <v>11404</v>
      </c>
      <c r="G10903" s="40" t="s">
        <v>11404</v>
      </c>
      <c r="H10903" s="40" t="s">
        <v>11404</v>
      </c>
    </row>
    <row r="10904">
      <c r="A10904" s="39"/>
      <c r="E10904" s="40" t="s">
        <v>11404</v>
      </c>
      <c r="F10904" s="40" t="s">
        <v>11404</v>
      </c>
      <c r="G10904" s="40" t="s">
        <v>11404</v>
      </c>
      <c r="H10904" s="40" t="s">
        <v>11404</v>
      </c>
    </row>
    <row r="10905">
      <c r="A10905" s="39"/>
      <c r="E10905" s="40" t="s">
        <v>11404</v>
      </c>
      <c r="F10905" s="40" t="s">
        <v>11404</v>
      </c>
      <c r="G10905" s="40" t="s">
        <v>11404</v>
      </c>
      <c r="H10905" s="40" t="s">
        <v>11404</v>
      </c>
    </row>
    <row r="10906">
      <c r="A10906" s="39"/>
      <c r="E10906" s="40" t="s">
        <v>11404</v>
      </c>
      <c r="F10906" s="40" t="s">
        <v>11404</v>
      </c>
      <c r="G10906" s="40" t="s">
        <v>11404</v>
      </c>
      <c r="H10906" s="40" t="s">
        <v>11404</v>
      </c>
    </row>
    <row r="10907">
      <c r="A10907" s="39"/>
      <c r="E10907" s="40" t="s">
        <v>11404</v>
      </c>
      <c r="F10907" s="40" t="s">
        <v>11404</v>
      </c>
      <c r="G10907" s="40" t="s">
        <v>11404</v>
      </c>
      <c r="H10907" s="40" t="s">
        <v>11404</v>
      </c>
    </row>
    <row r="10908">
      <c r="A10908" s="39"/>
      <c r="E10908" s="40" t="s">
        <v>11404</v>
      </c>
      <c r="F10908" s="40" t="s">
        <v>11404</v>
      </c>
      <c r="G10908" s="40" t="s">
        <v>11404</v>
      </c>
      <c r="H10908" s="40" t="s">
        <v>11404</v>
      </c>
    </row>
    <row r="10909">
      <c r="A10909" s="39"/>
      <c r="E10909" s="40" t="s">
        <v>11404</v>
      </c>
      <c r="F10909" s="40" t="s">
        <v>11404</v>
      </c>
      <c r="G10909" s="40" t="s">
        <v>11404</v>
      </c>
      <c r="H10909" s="40" t="s">
        <v>11404</v>
      </c>
    </row>
    <row r="10910">
      <c r="A10910" s="39"/>
      <c r="E10910" s="40" t="s">
        <v>11404</v>
      </c>
      <c r="F10910" s="40" t="s">
        <v>11404</v>
      </c>
      <c r="G10910" s="40" t="s">
        <v>11404</v>
      </c>
      <c r="H10910" s="40" t="s">
        <v>11404</v>
      </c>
    </row>
    <row r="10911">
      <c r="A10911" s="39"/>
      <c r="E10911" s="40" t="s">
        <v>11404</v>
      </c>
      <c r="F10911" s="40" t="s">
        <v>11404</v>
      </c>
      <c r="G10911" s="40" t="s">
        <v>11404</v>
      </c>
      <c r="H10911" s="40" t="s">
        <v>11404</v>
      </c>
    </row>
    <row r="10912">
      <c r="A10912" s="39"/>
      <c r="E10912" s="40" t="s">
        <v>11404</v>
      </c>
      <c r="F10912" s="40" t="s">
        <v>11404</v>
      </c>
      <c r="G10912" s="40" t="s">
        <v>11404</v>
      </c>
      <c r="H10912" s="40" t="s">
        <v>11404</v>
      </c>
    </row>
    <row r="10913">
      <c r="A10913" s="39"/>
      <c r="E10913" s="40" t="s">
        <v>11404</v>
      </c>
      <c r="F10913" s="40" t="s">
        <v>11404</v>
      </c>
      <c r="G10913" s="40" t="s">
        <v>11404</v>
      </c>
      <c r="H10913" s="40" t="s">
        <v>11404</v>
      </c>
    </row>
    <row r="10914">
      <c r="A10914" s="39"/>
      <c r="E10914" s="40" t="s">
        <v>11404</v>
      </c>
      <c r="F10914" s="40" t="s">
        <v>11404</v>
      </c>
      <c r="G10914" s="40" t="s">
        <v>11404</v>
      </c>
      <c r="H10914" s="40" t="s">
        <v>11404</v>
      </c>
    </row>
    <row r="10915">
      <c r="A10915" s="39"/>
      <c r="E10915" s="40" t="s">
        <v>11404</v>
      </c>
      <c r="F10915" s="40" t="s">
        <v>11404</v>
      </c>
      <c r="G10915" s="40" t="s">
        <v>11404</v>
      </c>
      <c r="H10915" s="40" t="s">
        <v>11404</v>
      </c>
    </row>
    <row r="10916">
      <c r="A10916" s="39"/>
      <c r="E10916" s="40" t="s">
        <v>11404</v>
      </c>
      <c r="F10916" s="40" t="s">
        <v>11404</v>
      </c>
      <c r="G10916" s="40" t="s">
        <v>11404</v>
      </c>
      <c r="H10916" s="40" t="s">
        <v>11404</v>
      </c>
    </row>
    <row r="10917">
      <c r="A10917" s="39"/>
      <c r="E10917" s="40" t="s">
        <v>11404</v>
      </c>
      <c r="F10917" s="40" t="s">
        <v>11404</v>
      </c>
      <c r="G10917" s="40" t="s">
        <v>11404</v>
      </c>
      <c r="H10917" s="40" t="s">
        <v>11404</v>
      </c>
    </row>
    <row r="10918">
      <c r="A10918" s="39"/>
      <c r="E10918" s="40" t="s">
        <v>11404</v>
      </c>
      <c r="F10918" s="40" t="s">
        <v>11404</v>
      </c>
      <c r="G10918" s="40" t="s">
        <v>11404</v>
      </c>
      <c r="H10918" s="40" t="s">
        <v>11404</v>
      </c>
    </row>
    <row r="10919">
      <c r="A10919" s="39"/>
      <c r="E10919" s="40" t="s">
        <v>11404</v>
      </c>
      <c r="F10919" s="40" t="s">
        <v>11404</v>
      </c>
      <c r="G10919" s="40" t="s">
        <v>11404</v>
      </c>
      <c r="H10919" s="40" t="s">
        <v>11404</v>
      </c>
    </row>
    <row r="10920">
      <c r="A10920" s="39"/>
      <c r="E10920" s="40" t="s">
        <v>11404</v>
      </c>
      <c r="F10920" s="40" t="s">
        <v>11404</v>
      </c>
      <c r="G10920" s="40" t="s">
        <v>11404</v>
      </c>
      <c r="H10920" s="40" t="s">
        <v>11404</v>
      </c>
    </row>
    <row r="10921">
      <c r="A10921" s="39"/>
      <c r="E10921" s="40" t="s">
        <v>11404</v>
      </c>
      <c r="F10921" s="40" t="s">
        <v>11404</v>
      </c>
      <c r="G10921" s="40" t="s">
        <v>11404</v>
      </c>
      <c r="H10921" s="40" t="s">
        <v>11404</v>
      </c>
    </row>
    <row r="10922">
      <c r="A10922" s="39"/>
      <c r="E10922" s="40" t="s">
        <v>11404</v>
      </c>
      <c r="F10922" s="40" t="s">
        <v>11404</v>
      </c>
      <c r="G10922" s="40" t="s">
        <v>11404</v>
      </c>
      <c r="H10922" s="40" t="s">
        <v>11404</v>
      </c>
    </row>
    <row r="10923">
      <c r="A10923" s="39"/>
      <c r="E10923" s="40" t="s">
        <v>11404</v>
      </c>
      <c r="F10923" s="40" t="s">
        <v>11404</v>
      </c>
      <c r="G10923" s="40" t="s">
        <v>11404</v>
      </c>
      <c r="H10923" s="40" t="s">
        <v>11404</v>
      </c>
    </row>
    <row r="10924">
      <c r="A10924" s="39"/>
      <c r="E10924" s="40" t="s">
        <v>11404</v>
      </c>
      <c r="F10924" s="40" t="s">
        <v>11404</v>
      </c>
      <c r="G10924" s="40" t="s">
        <v>11404</v>
      </c>
      <c r="H10924" s="40" t="s">
        <v>11404</v>
      </c>
    </row>
    <row r="10925">
      <c r="A10925" s="39"/>
      <c r="E10925" s="40" t="s">
        <v>11404</v>
      </c>
      <c r="F10925" s="40" t="s">
        <v>11404</v>
      </c>
      <c r="G10925" s="40" t="s">
        <v>11404</v>
      </c>
      <c r="H10925" s="40" t="s">
        <v>11404</v>
      </c>
    </row>
    <row r="10926">
      <c r="A10926" s="39"/>
      <c r="E10926" s="40" t="s">
        <v>11404</v>
      </c>
      <c r="F10926" s="40" t="s">
        <v>11404</v>
      </c>
      <c r="G10926" s="40" t="s">
        <v>11404</v>
      </c>
      <c r="H10926" s="40" t="s">
        <v>11404</v>
      </c>
    </row>
    <row r="10927">
      <c r="A10927" s="39"/>
      <c r="E10927" s="40" t="s">
        <v>11404</v>
      </c>
      <c r="F10927" s="40" t="s">
        <v>11404</v>
      </c>
      <c r="G10927" s="40" t="s">
        <v>11404</v>
      </c>
      <c r="H10927" s="40" t="s">
        <v>11404</v>
      </c>
    </row>
    <row r="10928">
      <c r="A10928" s="39"/>
      <c r="E10928" s="40" t="s">
        <v>11404</v>
      </c>
      <c r="F10928" s="40" t="s">
        <v>11404</v>
      </c>
      <c r="G10928" s="40" t="s">
        <v>11404</v>
      </c>
      <c r="H10928" s="40" t="s">
        <v>11404</v>
      </c>
    </row>
    <row r="10929">
      <c r="A10929" s="39"/>
      <c r="E10929" s="40" t="s">
        <v>11404</v>
      </c>
      <c r="F10929" s="40" t="s">
        <v>11404</v>
      </c>
      <c r="G10929" s="40" t="s">
        <v>11404</v>
      </c>
      <c r="H10929" s="40" t="s">
        <v>11404</v>
      </c>
    </row>
    <row r="10930">
      <c r="A10930" s="39"/>
      <c r="E10930" s="40" t="s">
        <v>11404</v>
      </c>
      <c r="F10930" s="40" t="s">
        <v>11404</v>
      </c>
      <c r="G10930" s="40" t="s">
        <v>11404</v>
      </c>
      <c r="H10930" s="40" t="s">
        <v>11404</v>
      </c>
    </row>
    <row r="10931">
      <c r="A10931" s="39"/>
      <c r="E10931" s="40" t="s">
        <v>11404</v>
      </c>
      <c r="F10931" s="40" t="s">
        <v>11404</v>
      </c>
      <c r="G10931" s="40" t="s">
        <v>11404</v>
      </c>
      <c r="H10931" s="40" t="s">
        <v>11404</v>
      </c>
    </row>
    <row r="10932">
      <c r="A10932" s="39"/>
      <c r="E10932" s="40" t="s">
        <v>11404</v>
      </c>
      <c r="F10932" s="40" t="s">
        <v>11404</v>
      </c>
      <c r="G10932" s="40" t="s">
        <v>11404</v>
      </c>
      <c r="H10932" s="40" t="s">
        <v>11404</v>
      </c>
    </row>
    <row r="10933">
      <c r="A10933" s="39"/>
      <c r="E10933" s="40" t="s">
        <v>11404</v>
      </c>
      <c r="F10933" s="40" t="s">
        <v>11404</v>
      </c>
      <c r="G10933" s="40" t="s">
        <v>11404</v>
      </c>
      <c r="H10933" s="40" t="s">
        <v>11404</v>
      </c>
    </row>
    <row r="10934">
      <c r="A10934" s="39"/>
      <c r="E10934" s="40" t="s">
        <v>11404</v>
      </c>
      <c r="F10934" s="40" t="s">
        <v>11404</v>
      </c>
      <c r="G10934" s="40" t="s">
        <v>11404</v>
      </c>
      <c r="H10934" s="40" t="s">
        <v>11404</v>
      </c>
    </row>
    <row r="10935">
      <c r="A10935" s="39"/>
      <c r="E10935" s="40" t="s">
        <v>11404</v>
      </c>
      <c r="F10935" s="40" t="s">
        <v>11404</v>
      </c>
      <c r="G10935" s="40" t="s">
        <v>11404</v>
      </c>
      <c r="H10935" s="40" t="s">
        <v>11404</v>
      </c>
    </row>
    <row r="10936">
      <c r="A10936" s="39"/>
      <c r="E10936" s="40" t="s">
        <v>11404</v>
      </c>
      <c r="F10936" s="40" t="s">
        <v>11404</v>
      </c>
      <c r="G10936" s="40" t="s">
        <v>11404</v>
      </c>
      <c r="H10936" s="40" t="s">
        <v>11404</v>
      </c>
    </row>
    <row r="10937">
      <c r="A10937" s="39"/>
      <c r="E10937" s="40" t="s">
        <v>11404</v>
      </c>
      <c r="F10937" s="40" t="s">
        <v>11404</v>
      </c>
      <c r="G10937" s="40" t="s">
        <v>11404</v>
      </c>
      <c r="H10937" s="40" t="s">
        <v>11404</v>
      </c>
    </row>
    <row r="10938">
      <c r="A10938" s="39"/>
      <c r="E10938" s="40" t="s">
        <v>11404</v>
      </c>
      <c r="F10938" s="40" t="s">
        <v>11404</v>
      </c>
      <c r="G10938" s="40" t="s">
        <v>11404</v>
      </c>
      <c r="H10938" s="40" t="s">
        <v>11404</v>
      </c>
    </row>
    <row r="10939">
      <c r="A10939" s="39"/>
      <c r="E10939" s="40" t="s">
        <v>11404</v>
      </c>
      <c r="F10939" s="40" t="s">
        <v>11404</v>
      </c>
      <c r="G10939" s="40" t="s">
        <v>11404</v>
      </c>
      <c r="H10939" s="40" t="s">
        <v>11404</v>
      </c>
    </row>
    <row r="10940">
      <c r="A10940" s="39"/>
      <c r="E10940" s="40" t="s">
        <v>11404</v>
      </c>
      <c r="F10940" s="40" t="s">
        <v>11404</v>
      </c>
      <c r="G10940" s="40" t="s">
        <v>11404</v>
      </c>
      <c r="H10940" s="40" t="s">
        <v>11404</v>
      </c>
    </row>
    <row r="10941">
      <c r="A10941" s="39"/>
      <c r="E10941" s="40" t="s">
        <v>11404</v>
      </c>
      <c r="F10941" s="40" t="s">
        <v>11404</v>
      </c>
      <c r="G10941" s="40" t="s">
        <v>11404</v>
      </c>
      <c r="H10941" s="40" t="s">
        <v>11404</v>
      </c>
    </row>
    <row r="10942">
      <c r="A10942" s="39"/>
      <c r="E10942" s="40" t="s">
        <v>11404</v>
      </c>
      <c r="F10942" s="40" t="s">
        <v>11404</v>
      </c>
      <c r="G10942" s="40" t="s">
        <v>11404</v>
      </c>
      <c r="H10942" s="40" t="s">
        <v>11404</v>
      </c>
    </row>
    <row r="10943">
      <c r="A10943" s="39"/>
      <c r="E10943" s="40" t="s">
        <v>11404</v>
      </c>
      <c r="F10943" s="40" t="s">
        <v>11404</v>
      </c>
      <c r="G10943" s="40" t="s">
        <v>11404</v>
      </c>
      <c r="H10943" s="40" t="s">
        <v>11404</v>
      </c>
    </row>
    <row r="10944">
      <c r="A10944" s="39"/>
      <c r="E10944" s="40" t="s">
        <v>11404</v>
      </c>
      <c r="F10944" s="40" t="s">
        <v>11404</v>
      </c>
      <c r="G10944" s="40" t="s">
        <v>11404</v>
      </c>
      <c r="H10944" s="40" t="s">
        <v>11404</v>
      </c>
    </row>
    <row r="10945">
      <c r="A10945" s="39"/>
      <c r="E10945" s="40" t="s">
        <v>11404</v>
      </c>
      <c r="F10945" s="40" t="s">
        <v>11404</v>
      </c>
      <c r="G10945" s="40" t="s">
        <v>11404</v>
      </c>
      <c r="H10945" s="40" t="s">
        <v>11404</v>
      </c>
    </row>
    <row r="10946">
      <c r="A10946" s="39"/>
      <c r="E10946" s="40" t="s">
        <v>11404</v>
      </c>
      <c r="F10946" s="40" t="s">
        <v>11404</v>
      </c>
      <c r="G10946" s="40" t="s">
        <v>11404</v>
      </c>
      <c r="H10946" s="40" t="s">
        <v>11404</v>
      </c>
    </row>
    <row r="10947">
      <c r="A10947" s="39"/>
      <c r="E10947" s="40" t="s">
        <v>11404</v>
      </c>
      <c r="F10947" s="40" t="s">
        <v>11404</v>
      </c>
      <c r="G10947" s="40" t="s">
        <v>11404</v>
      </c>
      <c r="H10947" s="40" t="s">
        <v>11404</v>
      </c>
    </row>
    <row r="10948">
      <c r="A10948" s="39"/>
      <c r="E10948" s="40" t="s">
        <v>11404</v>
      </c>
      <c r="F10948" s="40" t="s">
        <v>11404</v>
      </c>
      <c r="G10948" s="40" t="s">
        <v>11404</v>
      </c>
      <c r="H10948" s="40" t="s">
        <v>11404</v>
      </c>
    </row>
    <row r="10949">
      <c r="A10949" s="39"/>
      <c r="E10949" s="40" t="s">
        <v>11404</v>
      </c>
      <c r="F10949" s="40" t="s">
        <v>11404</v>
      </c>
      <c r="G10949" s="40" t="s">
        <v>11404</v>
      </c>
      <c r="H10949" s="40" t="s">
        <v>11404</v>
      </c>
    </row>
    <row r="10950">
      <c r="A10950" s="39"/>
      <c r="E10950" s="40" t="s">
        <v>11404</v>
      </c>
      <c r="F10950" s="40" t="s">
        <v>11404</v>
      </c>
      <c r="G10950" s="40" t="s">
        <v>11404</v>
      </c>
      <c r="H10950" s="40" t="s">
        <v>11404</v>
      </c>
    </row>
    <row r="10951">
      <c r="A10951" s="39"/>
      <c r="E10951" s="40" t="s">
        <v>11404</v>
      </c>
      <c r="F10951" s="40" t="s">
        <v>11404</v>
      </c>
      <c r="G10951" s="40" t="s">
        <v>11404</v>
      </c>
      <c r="H10951" s="40" t="s">
        <v>11404</v>
      </c>
    </row>
    <row r="10952">
      <c r="A10952" s="39"/>
      <c r="E10952" s="40" t="s">
        <v>11404</v>
      </c>
      <c r="F10952" s="40" t="s">
        <v>11404</v>
      </c>
      <c r="G10952" s="40" t="s">
        <v>11404</v>
      </c>
      <c r="H10952" s="40" t="s">
        <v>11404</v>
      </c>
    </row>
    <row r="10953">
      <c r="A10953" s="39"/>
      <c r="E10953" s="40" t="s">
        <v>11404</v>
      </c>
      <c r="F10953" s="40" t="s">
        <v>11404</v>
      </c>
      <c r="G10953" s="40" t="s">
        <v>11404</v>
      </c>
      <c r="H10953" s="40" t="s">
        <v>11404</v>
      </c>
    </row>
    <row r="10954">
      <c r="A10954" s="39"/>
      <c r="E10954" s="40" t="s">
        <v>11404</v>
      </c>
      <c r="F10954" s="40" t="s">
        <v>11404</v>
      </c>
      <c r="G10954" s="40" t="s">
        <v>11404</v>
      </c>
      <c r="H10954" s="40" t="s">
        <v>11404</v>
      </c>
    </row>
    <row r="10955">
      <c r="A10955" s="39"/>
      <c r="E10955" s="40" t="s">
        <v>11404</v>
      </c>
      <c r="F10955" s="40" t="s">
        <v>11404</v>
      </c>
      <c r="G10955" s="40" t="s">
        <v>11404</v>
      </c>
      <c r="H10955" s="40" t="s">
        <v>11404</v>
      </c>
    </row>
    <row r="10956">
      <c r="A10956" s="39"/>
      <c r="E10956" s="40" t="s">
        <v>11404</v>
      </c>
      <c r="F10956" s="40" t="s">
        <v>11404</v>
      </c>
      <c r="G10956" s="40" t="s">
        <v>11404</v>
      </c>
      <c r="H10956" s="40" t="s">
        <v>11404</v>
      </c>
    </row>
    <row r="10957">
      <c r="A10957" s="39"/>
      <c r="E10957" s="40" t="s">
        <v>11404</v>
      </c>
      <c r="F10957" s="40" t="s">
        <v>11404</v>
      </c>
      <c r="G10957" s="40" t="s">
        <v>11404</v>
      </c>
      <c r="H10957" s="40" t="s">
        <v>11404</v>
      </c>
    </row>
    <row r="10958">
      <c r="A10958" s="39"/>
      <c r="E10958" s="40" t="s">
        <v>11404</v>
      </c>
      <c r="F10958" s="40" t="s">
        <v>11404</v>
      </c>
      <c r="G10958" s="40" t="s">
        <v>11404</v>
      </c>
      <c r="H10958" s="40" t="s">
        <v>11404</v>
      </c>
    </row>
    <row r="10959">
      <c r="A10959" s="39"/>
      <c r="E10959" s="40" t="s">
        <v>11404</v>
      </c>
      <c r="F10959" s="40" t="s">
        <v>11404</v>
      </c>
      <c r="G10959" s="40" t="s">
        <v>11404</v>
      </c>
      <c r="H10959" s="40" t="s">
        <v>11404</v>
      </c>
    </row>
    <row r="10960">
      <c r="A10960" s="39"/>
      <c r="E10960" s="40" t="s">
        <v>11404</v>
      </c>
      <c r="F10960" s="40" t="s">
        <v>11404</v>
      </c>
      <c r="G10960" s="40" t="s">
        <v>11404</v>
      </c>
      <c r="H10960" s="40" t="s">
        <v>11404</v>
      </c>
    </row>
    <row r="10961">
      <c r="A10961" s="39"/>
      <c r="E10961" s="40" t="s">
        <v>11404</v>
      </c>
      <c r="F10961" s="40" t="s">
        <v>11404</v>
      </c>
      <c r="G10961" s="40" t="s">
        <v>11404</v>
      </c>
      <c r="H10961" s="40" t="s">
        <v>11404</v>
      </c>
    </row>
    <row r="10962">
      <c r="A10962" s="39"/>
      <c r="E10962" s="40" t="s">
        <v>11404</v>
      </c>
      <c r="F10962" s="40" t="s">
        <v>11404</v>
      </c>
      <c r="G10962" s="40" t="s">
        <v>11404</v>
      </c>
      <c r="H10962" s="40" t="s">
        <v>11404</v>
      </c>
    </row>
    <row r="10963">
      <c r="A10963" s="39"/>
      <c r="E10963" s="40" t="s">
        <v>11404</v>
      </c>
      <c r="F10963" s="40" t="s">
        <v>11404</v>
      </c>
      <c r="G10963" s="40" t="s">
        <v>11404</v>
      </c>
      <c r="H10963" s="40" t="s">
        <v>11404</v>
      </c>
    </row>
    <row r="10964">
      <c r="A10964" s="39"/>
      <c r="E10964" s="40" t="s">
        <v>11404</v>
      </c>
      <c r="F10964" s="40" t="s">
        <v>11404</v>
      </c>
      <c r="G10964" s="40" t="s">
        <v>11404</v>
      </c>
      <c r="H10964" s="40" t="s">
        <v>11404</v>
      </c>
    </row>
    <row r="10965">
      <c r="A10965" s="39"/>
      <c r="E10965" s="40" t="s">
        <v>11404</v>
      </c>
      <c r="F10965" s="40" t="s">
        <v>11404</v>
      </c>
      <c r="G10965" s="40" t="s">
        <v>11404</v>
      </c>
      <c r="H10965" s="40" t="s">
        <v>11404</v>
      </c>
    </row>
    <row r="10966">
      <c r="A10966" s="39"/>
      <c r="E10966" s="40" t="s">
        <v>11404</v>
      </c>
      <c r="F10966" s="40" t="s">
        <v>11404</v>
      </c>
      <c r="G10966" s="40" t="s">
        <v>11404</v>
      </c>
      <c r="H10966" s="40" t="s">
        <v>11404</v>
      </c>
    </row>
    <row r="10967">
      <c r="A10967" s="39"/>
      <c r="E10967" s="40" t="s">
        <v>11404</v>
      </c>
      <c r="F10967" s="40" t="s">
        <v>11404</v>
      </c>
      <c r="G10967" s="40" t="s">
        <v>11404</v>
      </c>
      <c r="H10967" s="40" t="s">
        <v>11404</v>
      </c>
    </row>
    <row r="10968">
      <c r="A10968" s="39"/>
      <c r="E10968" s="40" t="s">
        <v>11404</v>
      </c>
      <c r="F10968" s="40" t="s">
        <v>11404</v>
      </c>
      <c r="G10968" s="40" t="s">
        <v>11404</v>
      </c>
      <c r="H10968" s="40" t="s">
        <v>11404</v>
      </c>
    </row>
    <row r="10969">
      <c r="A10969" s="39"/>
      <c r="E10969" s="40" t="s">
        <v>11404</v>
      </c>
      <c r="F10969" s="40" t="s">
        <v>11404</v>
      </c>
      <c r="G10969" s="40" t="s">
        <v>11404</v>
      </c>
      <c r="H10969" s="40" t="s">
        <v>11404</v>
      </c>
    </row>
    <row r="10970">
      <c r="A10970" s="39"/>
      <c r="E10970" s="40" t="s">
        <v>11404</v>
      </c>
      <c r="F10970" s="40" t="s">
        <v>11404</v>
      </c>
      <c r="G10970" s="40" t="s">
        <v>11404</v>
      </c>
      <c r="H10970" s="40" t="s">
        <v>11404</v>
      </c>
    </row>
    <row r="10971">
      <c r="A10971" s="39"/>
      <c r="E10971" s="40" t="s">
        <v>11404</v>
      </c>
      <c r="F10971" s="40" t="s">
        <v>11404</v>
      </c>
      <c r="G10971" s="40" t="s">
        <v>11404</v>
      </c>
      <c r="H10971" s="40" t="s">
        <v>11404</v>
      </c>
    </row>
    <row r="10972">
      <c r="A10972" s="39"/>
      <c r="E10972" s="40" t="s">
        <v>11404</v>
      </c>
      <c r="F10972" s="40" t="s">
        <v>11404</v>
      </c>
      <c r="G10972" s="40" t="s">
        <v>11404</v>
      </c>
      <c r="H10972" s="40" t="s">
        <v>11404</v>
      </c>
    </row>
    <row r="10973">
      <c r="A10973" s="39"/>
      <c r="E10973" s="40" t="s">
        <v>11404</v>
      </c>
      <c r="F10973" s="40" t="s">
        <v>11404</v>
      </c>
      <c r="G10973" s="40" t="s">
        <v>11404</v>
      </c>
      <c r="H10973" s="40" t="s">
        <v>11404</v>
      </c>
    </row>
    <row r="10974">
      <c r="A10974" s="39"/>
      <c r="E10974" s="40" t="s">
        <v>11404</v>
      </c>
      <c r="F10974" s="40" t="s">
        <v>11404</v>
      </c>
      <c r="G10974" s="40" t="s">
        <v>11404</v>
      </c>
      <c r="H10974" s="40" t="s">
        <v>11404</v>
      </c>
    </row>
    <row r="10975">
      <c r="A10975" s="39"/>
      <c r="E10975" s="40" t="s">
        <v>11404</v>
      </c>
      <c r="F10975" s="40" t="s">
        <v>11404</v>
      </c>
      <c r="G10975" s="40" t="s">
        <v>11404</v>
      </c>
      <c r="H10975" s="40" t="s">
        <v>11404</v>
      </c>
    </row>
    <row r="10976">
      <c r="A10976" s="39"/>
      <c r="E10976" s="40" t="s">
        <v>11404</v>
      </c>
      <c r="F10976" s="40" t="s">
        <v>11404</v>
      </c>
      <c r="G10976" s="40" t="s">
        <v>11404</v>
      </c>
      <c r="H10976" s="40" t="s">
        <v>11404</v>
      </c>
    </row>
    <row r="10977">
      <c r="A10977" s="39"/>
      <c r="E10977" s="40" t="s">
        <v>11404</v>
      </c>
      <c r="F10977" s="40" t="s">
        <v>11404</v>
      </c>
      <c r="G10977" s="40" t="s">
        <v>11404</v>
      </c>
      <c r="H10977" s="40" t="s">
        <v>11404</v>
      </c>
    </row>
    <row r="10978">
      <c r="A10978" s="39"/>
      <c r="E10978" s="40" t="s">
        <v>11404</v>
      </c>
      <c r="F10978" s="40" t="s">
        <v>11404</v>
      </c>
      <c r="G10978" s="40" t="s">
        <v>11404</v>
      </c>
      <c r="H10978" s="40" t="s">
        <v>11404</v>
      </c>
    </row>
    <row r="10979">
      <c r="A10979" s="39"/>
      <c r="E10979" s="40" t="s">
        <v>11404</v>
      </c>
      <c r="F10979" s="40" t="s">
        <v>11404</v>
      </c>
      <c r="G10979" s="40" t="s">
        <v>11404</v>
      </c>
      <c r="H10979" s="40" t="s">
        <v>11404</v>
      </c>
    </row>
    <row r="10980">
      <c r="A10980" s="39"/>
      <c r="E10980" s="40" t="s">
        <v>11404</v>
      </c>
      <c r="F10980" s="40" t="s">
        <v>11404</v>
      </c>
      <c r="G10980" s="40" t="s">
        <v>11404</v>
      </c>
      <c r="H10980" s="40" t="s">
        <v>11404</v>
      </c>
    </row>
    <row r="10981">
      <c r="A10981" s="39"/>
      <c r="E10981" s="40" t="s">
        <v>11404</v>
      </c>
      <c r="F10981" s="40" t="s">
        <v>11404</v>
      </c>
      <c r="G10981" s="40" t="s">
        <v>11404</v>
      </c>
      <c r="H10981" s="40" t="s">
        <v>11404</v>
      </c>
    </row>
    <row r="10982">
      <c r="A10982" s="39"/>
      <c r="E10982" s="40" t="s">
        <v>11404</v>
      </c>
      <c r="F10982" s="40" t="s">
        <v>11404</v>
      </c>
      <c r="G10982" s="40" t="s">
        <v>11404</v>
      </c>
      <c r="H10982" s="40" t="s">
        <v>11404</v>
      </c>
    </row>
    <row r="10983">
      <c r="A10983" s="39"/>
      <c r="E10983" s="40" t="s">
        <v>11404</v>
      </c>
      <c r="F10983" s="40" t="s">
        <v>11404</v>
      </c>
      <c r="G10983" s="40" t="s">
        <v>11404</v>
      </c>
      <c r="H10983" s="40" t="s">
        <v>11404</v>
      </c>
    </row>
    <row r="10984">
      <c r="A10984" s="39"/>
      <c r="E10984" s="40" t="s">
        <v>11404</v>
      </c>
      <c r="F10984" s="40" t="s">
        <v>11404</v>
      </c>
      <c r="G10984" s="40" t="s">
        <v>11404</v>
      </c>
      <c r="H10984" s="40" t="s">
        <v>11404</v>
      </c>
    </row>
    <row r="10985">
      <c r="A10985" s="39"/>
      <c r="E10985" s="40" t="s">
        <v>11404</v>
      </c>
      <c r="F10985" s="40" t="s">
        <v>11404</v>
      </c>
      <c r="G10985" s="40" t="s">
        <v>11404</v>
      </c>
      <c r="H10985" s="40" t="s">
        <v>11404</v>
      </c>
    </row>
    <row r="10986">
      <c r="A10986" s="39"/>
      <c r="E10986" s="40" t="s">
        <v>11404</v>
      </c>
      <c r="F10986" s="40" t="s">
        <v>11404</v>
      </c>
      <c r="G10986" s="40" t="s">
        <v>11404</v>
      </c>
      <c r="H10986" s="40" t="s">
        <v>11404</v>
      </c>
    </row>
    <row r="10987">
      <c r="A10987" s="39"/>
      <c r="E10987" s="40" t="s">
        <v>11404</v>
      </c>
      <c r="F10987" s="40" t="s">
        <v>11404</v>
      </c>
      <c r="G10987" s="40" t="s">
        <v>11404</v>
      </c>
      <c r="H10987" s="40" t="s">
        <v>11404</v>
      </c>
    </row>
    <row r="10988">
      <c r="A10988" s="39"/>
      <c r="E10988" s="40" t="s">
        <v>11404</v>
      </c>
      <c r="F10988" s="40" t="s">
        <v>11404</v>
      </c>
      <c r="G10988" s="40" t="s">
        <v>11404</v>
      </c>
      <c r="H10988" s="40" t="s">
        <v>11404</v>
      </c>
    </row>
    <row r="10989">
      <c r="A10989" s="39"/>
      <c r="E10989" s="40" t="s">
        <v>11404</v>
      </c>
      <c r="F10989" s="40" t="s">
        <v>11404</v>
      </c>
      <c r="G10989" s="40" t="s">
        <v>11404</v>
      </c>
      <c r="H10989" s="40" t="s">
        <v>11404</v>
      </c>
    </row>
    <row r="10990">
      <c r="A10990" s="39"/>
      <c r="E10990" s="40" t="s">
        <v>11404</v>
      </c>
      <c r="F10990" s="40" t="s">
        <v>11404</v>
      </c>
      <c r="G10990" s="40" t="s">
        <v>11404</v>
      </c>
      <c r="H10990" s="40" t="s">
        <v>11404</v>
      </c>
    </row>
    <row r="10991">
      <c r="A10991" s="39"/>
      <c r="E10991" s="40" t="s">
        <v>11404</v>
      </c>
      <c r="F10991" s="40" t="s">
        <v>11404</v>
      </c>
      <c r="G10991" s="40" t="s">
        <v>11404</v>
      </c>
      <c r="H10991" s="40" t="s">
        <v>11404</v>
      </c>
    </row>
    <row r="10992">
      <c r="A10992" s="39"/>
      <c r="E10992" s="40" t="s">
        <v>11404</v>
      </c>
      <c r="F10992" s="40" t="s">
        <v>11404</v>
      </c>
      <c r="G10992" s="40" t="s">
        <v>11404</v>
      </c>
      <c r="H10992" s="40" t="s">
        <v>11404</v>
      </c>
    </row>
    <row r="10993">
      <c r="A10993" s="39"/>
      <c r="E10993" s="40" t="s">
        <v>11404</v>
      </c>
      <c r="F10993" s="40" t="s">
        <v>11404</v>
      </c>
      <c r="G10993" s="40" t="s">
        <v>11404</v>
      </c>
      <c r="H10993" s="40" t="s">
        <v>11404</v>
      </c>
    </row>
    <row r="10994">
      <c r="A10994" s="39"/>
      <c r="E10994" s="40" t="s">
        <v>11404</v>
      </c>
      <c r="F10994" s="40" t="s">
        <v>11404</v>
      </c>
      <c r="G10994" s="40" t="s">
        <v>11404</v>
      </c>
      <c r="H10994" s="40" t="s">
        <v>11404</v>
      </c>
    </row>
    <row r="10995">
      <c r="A10995" s="39"/>
      <c r="E10995" s="40" t="s">
        <v>11404</v>
      </c>
      <c r="F10995" s="40" t="s">
        <v>11404</v>
      </c>
      <c r="G10995" s="40" t="s">
        <v>11404</v>
      </c>
      <c r="H10995" s="40" t="s">
        <v>11404</v>
      </c>
    </row>
    <row r="10996">
      <c r="A10996" s="39"/>
      <c r="E10996" s="40" t="s">
        <v>11404</v>
      </c>
      <c r="F10996" s="40" t="s">
        <v>11404</v>
      </c>
      <c r="G10996" s="40" t="s">
        <v>11404</v>
      </c>
      <c r="H10996" s="40" t="s">
        <v>11404</v>
      </c>
    </row>
    <row r="10997">
      <c r="A10997" s="39"/>
      <c r="E10997" s="40" t="s">
        <v>11404</v>
      </c>
      <c r="F10997" s="40" t="s">
        <v>11404</v>
      </c>
      <c r="G10997" s="40" t="s">
        <v>11404</v>
      </c>
      <c r="H10997" s="40" t="s">
        <v>11404</v>
      </c>
    </row>
    <row r="10998">
      <c r="A10998" s="39"/>
      <c r="E10998" s="40" t="s">
        <v>11404</v>
      </c>
      <c r="F10998" s="40" t="s">
        <v>11404</v>
      </c>
      <c r="G10998" s="40" t="s">
        <v>11404</v>
      </c>
      <c r="H10998" s="40" t="s">
        <v>11404</v>
      </c>
    </row>
    <row r="10999">
      <c r="A10999" s="39"/>
      <c r="E10999" s="40" t="s">
        <v>11404</v>
      </c>
      <c r="F10999" s="40" t="s">
        <v>11404</v>
      </c>
      <c r="G10999" s="40" t="s">
        <v>11404</v>
      </c>
      <c r="H10999" s="40" t="s">
        <v>11404</v>
      </c>
    </row>
    <row r="11000">
      <c r="A11000" s="39"/>
      <c r="E11000" s="40" t="s">
        <v>11404</v>
      </c>
      <c r="F11000" s="40" t="s">
        <v>11404</v>
      </c>
      <c r="G11000" s="40" t="s">
        <v>11404</v>
      </c>
      <c r="H11000" s="40" t="s">
        <v>11404</v>
      </c>
    </row>
    <row r="11001">
      <c r="A11001" s="39"/>
      <c r="E11001" s="40" t="s">
        <v>11404</v>
      </c>
      <c r="F11001" s="40" t="s">
        <v>11404</v>
      </c>
      <c r="G11001" s="40" t="s">
        <v>11404</v>
      </c>
      <c r="H11001" s="40" t="s">
        <v>11404</v>
      </c>
    </row>
    <row r="11002">
      <c r="A11002" s="39"/>
      <c r="E11002" s="40" t="s">
        <v>11404</v>
      </c>
      <c r="F11002" s="40" t="s">
        <v>11404</v>
      </c>
      <c r="G11002" s="40" t="s">
        <v>11404</v>
      </c>
      <c r="H11002" s="40" t="s">
        <v>11404</v>
      </c>
    </row>
    <row r="11003">
      <c r="A11003" s="39"/>
      <c r="E11003" s="40" t="s">
        <v>11404</v>
      </c>
      <c r="F11003" s="40" t="s">
        <v>11404</v>
      </c>
      <c r="G11003" s="40" t="s">
        <v>11404</v>
      </c>
      <c r="H11003" s="40" t="s">
        <v>11404</v>
      </c>
    </row>
    <row r="11004">
      <c r="A11004" s="39"/>
      <c r="E11004" s="40" t="s">
        <v>11404</v>
      </c>
      <c r="F11004" s="40" t="s">
        <v>11404</v>
      </c>
      <c r="G11004" s="40" t="s">
        <v>11404</v>
      </c>
      <c r="H11004" s="40" t="s">
        <v>11404</v>
      </c>
    </row>
    <row r="11005">
      <c r="A11005" s="39"/>
      <c r="E11005" s="40" t="s">
        <v>11404</v>
      </c>
      <c r="F11005" s="40" t="s">
        <v>11404</v>
      </c>
      <c r="G11005" s="40" t="s">
        <v>11404</v>
      </c>
      <c r="H11005" s="40" t="s">
        <v>11404</v>
      </c>
    </row>
    <row r="11006">
      <c r="A11006" s="39"/>
      <c r="E11006" s="40" t="s">
        <v>11404</v>
      </c>
      <c r="F11006" s="40" t="s">
        <v>11404</v>
      </c>
      <c r="G11006" s="40" t="s">
        <v>11404</v>
      </c>
      <c r="H11006" s="40" t="s">
        <v>11404</v>
      </c>
    </row>
    <row r="11007">
      <c r="A11007" s="39"/>
      <c r="E11007" s="40" t="s">
        <v>11404</v>
      </c>
      <c r="F11007" s="40" t="s">
        <v>11404</v>
      </c>
      <c r="G11007" s="40" t="s">
        <v>11404</v>
      </c>
      <c r="H11007" s="40" t="s">
        <v>11404</v>
      </c>
    </row>
    <row r="11008">
      <c r="A11008" s="39"/>
      <c r="E11008" s="40" t="s">
        <v>11404</v>
      </c>
      <c r="F11008" s="40" t="s">
        <v>11404</v>
      </c>
      <c r="G11008" s="40" t="s">
        <v>11404</v>
      </c>
      <c r="H11008" s="40" t="s">
        <v>11404</v>
      </c>
    </row>
    <row r="11009">
      <c r="A11009" s="39"/>
      <c r="E11009" s="40" t="s">
        <v>11404</v>
      </c>
      <c r="F11009" s="40" t="s">
        <v>11404</v>
      </c>
      <c r="G11009" s="40" t="s">
        <v>11404</v>
      </c>
      <c r="H11009" s="40" t="s">
        <v>11404</v>
      </c>
    </row>
    <row r="11010">
      <c r="A11010" s="39"/>
      <c r="E11010" s="40" t="s">
        <v>11404</v>
      </c>
      <c r="F11010" s="40" t="s">
        <v>11404</v>
      </c>
      <c r="G11010" s="40" t="s">
        <v>11404</v>
      </c>
      <c r="H11010" s="40" t="s">
        <v>11404</v>
      </c>
    </row>
    <row r="11011">
      <c r="A11011" s="39"/>
      <c r="E11011" s="40" t="s">
        <v>11404</v>
      </c>
      <c r="F11011" s="40" t="s">
        <v>11404</v>
      </c>
      <c r="G11011" s="40" t="s">
        <v>11404</v>
      </c>
      <c r="H11011" s="40" t="s">
        <v>11404</v>
      </c>
    </row>
    <row r="11012">
      <c r="A11012" s="39"/>
      <c r="E11012" s="40" t="s">
        <v>11404</v>
      </c>
      <c r="F11012" s="40" t="s">
        <v>11404</v>
      </c>
      <c r="G11012" s="40" t="s">
        <v>11404</v>
      </c>
      <c r="H11012" s="40" t="s">
        <v>11404</v>
      </c>
    </row>
    <row r="11013">
      <c r="A11013" s="39"/>
      <c r="E11013" s="40" t="s">
        <v>11404</v>
      </c>
      <c r="F11013" s="40" t="s">
        <v>11404</v>
      </c>
      <c r="G11013" s="40" t="s">
        <v>11404</v>
      </c>
      <c r="H11013" s="40" t="s">
        <v>11404</v>
      </c>
    </row>
    <row r="11014">
      <c r="A11014" s="39"/>
      <c r="E11014" s="40" t="s">
        <v>11404</v>
      </c>
      <c r="F11014" s="40" t="s">
        <v>11404</v>
      </c>
      <c r="G11014" s="40" t="s">
        <v>11404</v>
      </c>
      <c r="H11014" s="40" t="s">
        <v>11404</v>
      </c>
    </row>
    <row r="11015">
      <c r="A11015" s="39"/>
      <c r="E11015" s="40" t="s">
        <v>11404</v>
      </c>
      <c r="F11015" s="40" t="s">
        <v>11404</v>
      </c>
      <c r="G11015" s="40" t="s">
        <v>11404</v>
      </c>
      <c r="H11015" s="40" t="s">
        <v>11404</v>
      </c>
    </row>
    <row r="11016">
      <c r="A11016" s="39"/>
      <c r="E11016" s="40" t="s">
        <v>11404</v>
      </c>
      <c r="F11016" s="40" t="s">
        <v>11404</v>
      </c>
      <c r="G11016" s="40" t="s">
        <v>11404</v>
      </c>
      <c r="H11016" s="40" t="s">
        <v>11404</v>
      </c>
    </row>
    <row r="11017">
      <c r="A11017" s="39"/>
      <c r="E11017" s="40" t="s">
        <v>11404</v>
      </c>
      <c r="F11017" s="40" t="s">
        <v>11404</v>
      </c>
      <c r="G11017" s="40" t="s">
        <v>11404</v>
      </c>
      <c r="H11017" s="40" t="s">
        <v>11404</v>
      </c>
    </row>
    <row r="11018">
      <c r="A11018" s="39"/>
      <c r="E11018" s="40" t="s">
        <v>11404</v>
      </c>
      <c r="F11018" s="40" t="s">
        <v>11404</v>
      </c>
      <c r="G11018" s="40" t="s">
        <v>11404</v>
      </c>
      <c r="H11018" s="40" t="s">
        <v>11404</v>
      </c>
    </row>
    <row r="11019">
      <c r="A11019" s="39"/>
      <c r="E11019" s="40" t="s">
        <v>11404</v>
      </c>
      <c r="F11019" s="40" t="s">
        <v>11404</v>
      </c>
      <c r="G11019" s="40" t="s">
        <v>11404</v>
      </c>
      <c r="H11019" s="40" t="s">
        <v>11404</v>
      </c>
    </row>
    <row r="11020">
      <c r="A11020" s="39"/>
      <c r="E11020" s="40" t="s">
        <v>11404</v>
      </c>
      <c r="F11020" s="40" t="s">
        <v>11404</v>
      </c>
      <c r="G11020" s="40" t="s">
        <v>11404</v>
      </c>
      <c r="H11020" s="40" t="s">
        <v>11404</v>
      </c>
    </row>
    <row r="11021">
      <c r="A11021" s="39"/>
      <c r="E11021" s="40" t="s">
        <v>11404</v>
      </c>
      <c r="F11021" s="40" t="s">
        <v>11404</v>
      </c>
      <c r="G11021" s="40" t="s">
        <v>11404</v>
      </c>
      <c r="H11021" s="40" t="s">
        <v>11404</v>
      </c>
    </row>
    <row r="11022">
      <c r="A11022" s="39"/>
      <c r="E11022" s="40" t="s">
        <v>11404</v>
      </c>
      <c r="F11022" s="40" t="s">
        <v>11404</v>
      </c>
      <c r="G11022" s="40" t="s">
        <v>11404</v>
      </c>
      <c r="H11022" s="40" t="s">
        <v>11404</v>
      </c>
    </row>
    <row r="11023">
      <c r="A11023" s="39"/>
      <c r="E11023" s="40" t="s">
        <v>11404</v>
      </c>
      <c r="F11023" s="40" t="s">
        <v>11404</v>
      </c>
      <c r="G11023" s="40" t="s">
        <v>11404</v>
      </c>
      <c r="H11023" s="40" t="s">
        <v>11404</v>
      </c>
    </row>
    <row r="11024">
      <c r="A11024" s="39"/>
      <c r="E11024" s="40" t="s">
        <v>11404</v>
      </c>
      <c r="F11024" s="40" t="s">
        <v>11404</v>
      </c>
      <c r="G11024" s="40" t="s">
        <v>11404</v>
      </c>
      <c r="H11024" s="40" t="s">
        <v>11404</v>
      </c>
    </row>
    <row r="11025">
      <c r="A11025" s="39"/>
      <c r="E11025" s="40" t="s">
        <v>11404</v>
      </c>
      <c r="F11025" s="40" t="s">
        <v>11404</v>
      </c>
      <c r="G11025" s="40" t="s">
        <v>11404</v>
      </c>
      <c r="H11025" s="40" t="s">
        <v>11404</v>
      </c>
    </row>
    <row r="11026">
      <c r="A11026" s="39"/>
      <c r="E11026" s="40" t="s">
        <v>11404</v>
      </c>
      <c r="F11026" s="40" t="s">
        <v>11404</v>
      </c>
      <c r="G11026" s="40" t="s">
        <v>11404</v>
      </c>
      <c r="H11026" s="40" t="s">
        <v>11404</v>
      </c>
    </row>
    <row r="11027">
      <c r="A11027" s="39"/>
      <c r="E11027" s="40" t="s">
        <v>11404</v>
      </c>
      <c r="F11027" s="40" t="s">
        <v>11404</v>
      </c>
      <c r="G11027" s="40" t="s">
        <v>11404</v>
      </c>
      <c r="H11027" s="40" t="s">
        <v>11404</v>
      </c>
    </row>
    <row r="11028">
      <c r="A11028" s="39"/>
      <c r="E11028" s="40" t="s">
        <v>11404</v>
      </c>
      <c r="F11028" s="40" t="s">
        <v>11404</v>
      </c>
      <c r="G11028" s="40" t="s">
        <v>11404</v>
      </c>
      <c r="H11028" s="40" t="s">
        <v>11404</v>
      </c>
    </row>
    <row r="11029">
      <c r="A11029" s="39"/>
      <c r="E11029" s="40" t="s">
        <v>11404</v>
      </c>
      <c r="F11029" s="40" t="s">
        <v>11404</v>
      </c>
      <c r="G11029" s="40" t="s">
        <v>11404</v>
      </c>
      <c r="H11029" s="40" t="s">
        <v>11404</v>
      </c>
    </row>
    <row r="11030">
      <c r="A11030" s="39"/>
      <c r="E11030" s="40" t="s">
        <v>11404</v>
      </c>
      <c r="F11030" s="40" t="s">
        <v>11404</v>
      </c>
      <c r="G11030" s="40" t="s">
        <v>11404</v>
      </c>
      <c r="H11030" s="40" t="s">
        <v>11404</v>
      </c>
    </row>
    <row r="11031">
      <c r="A11031" s="39"/>
      <c r="E11031" s="40" t="s">
        <v>11404</v>
      </c>
      <c r="F11031" s="40" t="s">
        <v>11404</v>
      </c>
      <c r="G11031" s="40" t="s">
        <v>11404</v>
      </c>
      <c r="H11031" s="40" t="s">
        <v>11404</v>
      </c>
    </row>
    <row r="11032">
      <c r="A11032" s="39"/>
      <c r="E11032" s="40" t="s">
        <v>11404</v>
      </c>
      <c r="F11032" s="40" t="s">
        <v>11404</v>
      </c>
      <c r="G11032" s="40" t="s">
        <v>11404</v>
      </c>
      <c r="H11032" s="40" t="s">
        <v>11404</v>
      </c>
    </row>
    <row r="11033">
      <c r="A11033" s="39"/>
      <c r="E11033" s="40" t="s">
        <v>11404</v>
      </c>
      <c r="F11033" s="40" t="s">
        <v>11404</v>
      </c>
      <c r="G11033" s="40" t="s">
        <v>11404</v>
      </c>
      <c r="H11033" s="40" t="s">
        <v>11404</v>
      </c>
    </row>
    <row r="11034">
      <c r="A11034" s="39"/>
      <c r="E11034" s="40" t="s">
        <v>11404</v>
      </c>
      <c r="F11034" s="40" t="s">
        <v>11404</v>
      </c>
      <c r="G11034" s="40" t="s">
        <v>11404</v>
      </c>
      <c r="H11034" s="40" t="s">
        <v>11404</v>
      </c>
    </row>
    <row r="11035">
      <c r="A11035" s="39"/>
      <c r="E11035" s="40" t="s">
        <v>11404</v>
      </c>
      <c r="F11035" s="40" t="s">
        <v>11404</v>
      </c>
      <c r="G11035" s="40" t="s">
        <v>11404</v>
      </c>
      <c r="H11035" s="40" t="s">
        <v>11404</v>
      </c>
    </row>
    <row r="11036">
      <c r="A11036" s="39"/>
      <c r="E11036" s="40" t="s">
        <v>11404</v>
      </c>
      <c r="F11036" s="40" t="s">
        <v>11404</v>
      </c>
      <c r="G11036" s="40" t="s">
        <v>11404</v>
      </c>
      <c r="H11036" s="40" t="s">
        <v>11404</v>
      </c>
    </row>
    <row r="11037">
      <c r="A11037" s="39"/>
      <c r="E11037" s="40" t="s">
        <v>11404</v>
      </c>
      <c r="F11037" s="40" t="s">
        <v>11404</v>
      </c>
      <c r="G11037" s="40" t="s">
        <v>11404</v>
      </c>
      <c r="H11037" s="40" t="s">
        <v>11404</v>
      </c>
    </row>
    <row r="11038">
      <c r="A11038" s="39"/>
      <c r="E11038" s="40" t="s">
        <v>11404</v>
      </c>
      <c r="F11038" s="40" t="s">
        <v>11404</v>
      </c>
      <c r="G11038" s="40" t="s">
        <v>11404</v>
      </c>
      <c r="H11038" s="40" t="s">
        <v>11404</v>
      </c>
    </row>
    <row r="11039">
      <c r="A11039" s="39"/>
      <c r="E11039" s="40" t="s">
        <v>11404</v>
      </c>
      <c r="F11039" s="40" t="s">
        <v>11404</v>
      </c>
      <c r="G11039" s="40" t="s">
        <v>11404</v>
      </c>
      <c r="H11039" s="40" t="s">
        <v>11404</v>
      </c>
    </row>
    <row r="11040">
      <c r="A11040" s="39"/>
      <c r="E11040" s="40" t="s">
        <v>11404</v>
      </c>
      <c r="F11040" s="40" t="s">
        <v>11404</v>
      </c>
      <c r="G11040" s="40" t="s">
        <v>11404</v>
      </c>
      <c r="H11040" s="40" t="s">
        <v>11404</v>
      </c>
    </row>
    <row r="11041">
      <c r="A11041" s="39"/>
      <c r="E11041" s="40" t="s">
        <v>11404</v>
      </c>
      <c r="F11041" s="40" t="s">
        <v>11404</v>
      </c>
      <c r="G11041" s="40" t="s">
        <v>11404</v>
      </c>
      <c r="H11041" s="40" t="s">
        <v>11404</v>
      </c>
    </row>
    <row r="11042">
      <c r="A11042" s="39"/>
      <c r="E11042" s="40" t="s">
        <v>11404</v>
      </c>
      <c r="F11042" s="40" t="s">
        <v>11404</v>
      </c>
      <c r="G11042" s="40" t="s">
        <v>11404</v>
      </c>
      <c r="H11042" s="40" t="s">
        <v>11404</v>
      </c>
    </row>
    <row r="11043">
      <c r="A11043" s="39"/>
      <c r="E11043" s="40" t="s">
        <v>11404</v>
      </c>
      <c r="F11043" s="40" t="s">
        <v>11404</v>
      </c>
      <c r="G11043" s="40" t="s">
        <v>11404</v>
      </c>
      <c r="H11043" s="40" t="s">
        <v>11404</v>
      </c>
    </row>
    <row r="11044">
      <c r="A11044" s="39"/>
      <c r="E11044" s="40" t="s">
        <v>11404</v>
      </c>
      <c r="F11044" s="40" t="s">
        <v>11404</v>
      </c>
      <c r="G11044" s="40" t="s">
        <v>11404</v>
      </c>
      <c r="H11044" s="40" t="s">
        <v>11404</v>
      </c>
    </row>
    <row r="11045">
      <c r="A11045" s="39"/>
      <c r="E11045" s="40" t="s">
        <v>11404</v>
      </c>
      <c r="F11045" s="40" t="s">
        <v>11404</v>
      </c>
      <c r="G11045" s="40" t="s">
        <v>11404</v>
      </c>
      <c r="H11045" s="40" t="s">
        <v>11404</v>
      </c>
    </row>
    <row r="11046">
      <c r="A11046" s="39"/>
      <c r="E11046" s="40" t="s">
        <v>11404</v>
      </c>
      <c r="F11046" s="40" t="s">
        <v>11404</v>
      </c>
      <c r="G11046" s="40" t="s">
        <v>11404</v>
      </c>
      <c r="H11046" s="40" t="s">
        <v>11404</v>
      </c>
    </row>
    <row r="11047">
      <c r="A11047" s="39"/>
      <c r="E11047" s="40" t="s">
        <v>11404</v>
      </c>
      <c r="F11047" s="40" t="s">
        <v>11404</v>
      </c>
      <c r="G11047" s="40" t="s">
        <v>11404</v>
      </c>
      <c r="H11047" s="40" t="s">
        <v>11404</v>
      </c>
    </row>
    <row r="11048">
      <c r="A11048" s="39"/>
      <c r="E11048" s="40" t="s">
        <v>11404</v>
      </c>
      <c r="F11048" s="40" t="s">
        <v>11404</v>
      </c>
      <c r="G11048" s="40" t="s">
        <v>11404</v>
      </c>
      <c r="H11048" s="40" t="s">
        <v>11404</v>
      </c>
    </row>
    <row r="11049">
      <c r="A11049" s="39"/>
      <c r="E11049" s="40" t="s">
        <v>11404</v>
      </c>
      <c r="F11049" s="40" t="s">
        <v>11404</v>
      </c>
      <c r="G11049" s="40" t="s">
        <v>11404</v>
      </c>
      <c r="H11049" s="40" t="s">
        <v>11404</v>
      </c>
    </row>
    <row r="11050">
      <c r="A11050" s="39"/>
      <c r="E11050" s="40" t="s">
        <v>11404</v>
      </c>
      <c r="F11050" s="40" t="s">
        <v>11404</v>
      </c>
      <c r="G11050" s="40" t="s">
        <v>11404</v>
      </c>
      <c r="H11050" s="40" t="s">
        <v>11404</v>
      </c>
    </row>
    <row r="11051">
      <c r="A11051" s="39"/>
      <c r="E11051" s="40" t="s">
        <v>11404</v>
      </c>
      <c r="F11051" s="40" t="s">
        <v>11404</v>
      </c>
      <c r="G11051" s="40" t="s">
        <v>11404</v>
      </c>
      <c r="H11051" s="40" t="s">
        <v>11404</v>
      </c>
    </row>
    <row r="11052">
      <c r="A11052" s="39"/>
      <c r="E11052" s="40" t="s">
        <v>11404</v>
      </c>
      <c r="F11052" s="40" t="s">
        <v>11404</v>
      </c>
      <c r="G11052" s="40" t="s">
        <v>11404</v>
      </c>
      <c r="H11052" s="40" t="s">
        <v>11404</v>
      </c>
    </row>
    <row r="11053">
      <c r="A11053" s="39"/>
      <c r="E11053" s="40" t="s">
        <v>11404</v>
      </c>
      <c r="F11053" s="40" t="s">
        <v>11404</v>
      </c>
      <c r="G11053" s="40" t="s">
        <v>11404</v>
      </c>
      <c r="H11053" s="40" t="s">
        <v>11404</v>
      </c>
    </row>
    <row r="11054">
      <c r="A11054" s="39"/>
      <c r="E11054" s="40" t="s">
        <v>11404</v>
      </c>
      <c r="F11054" s="40" t="s">
        <v>11404</v>
      </c>
      <c r="G11054" s="40" t="s">
        <v>11404</v>
      </c>
      <c r="H11054" s="40" t="s">
        <v>11404</v>
      </c>
    </row>
    <row r="11055">
      <c r="A11055" s="39"/>
      <c r="E11055" s="40" t="s">
        <v>11404</v>
      </c>
      <c r="F11055" s="40" t="s">
        <v>11404</v>
      </c>
      <c r="G11055" s="40" t="s">
        <v>11404</v>
      </c>
      <c r="H11055" s="40" t="s">
        <v>11404</v>
      </c>
    </row>
    <row r="11056">
      <c r="A11056" s="39"/>
      <c r="E11056" s="40" t="s">
        <v>11404</v>
      </c>
      <c r="F11056" s="40" t="s">
        <v>11404</v>
      </c>
      <c r="G11056" s="40" t="s">
        <v>11404</v>
      </c>
      <c r="H11056" s="40" t="s">
        <v>11404</v>
      </c>
    </row>
    <row r="11057">
      <c r="A11057" s="39"/>
      <c r="E11057" s="40" t="s">
        <v>11404</v>
      </c>
      <c r="F11057" s="40" t="s">
        <v>11404</v>
      </c>
      <c r="G11057" s="40" t="s">
        <v>11404</v>
      </c>
      <c r="H11057" s="40" t="s">
        <v>11404</v>
      </c>
    </row>
    <row r="11058">
      <c r="A11058" s="39"/>
      <c r="E11058" s="40" t="s">
        <v>11404</v>
      </c>
      <c r="F11058" s="40" t="s">
        <v>11404</v>
      </c>
      <c r="G11058" s="40" t="s">
        <v>11404</v>
      </c>
      <c r="H11058" s="40" t="s">
        <v>11404</v>
      </c>
    </row>
    <row r="11059">
      <c r="A11059" s="39"/>
      <c r="E11059" s="40" t="s">
        <v>11404</v>
      </c>
      <c r="F11059" s="40" t="s">
        <v>11404</v>
      </c>
      <c r="G11059" s="40" t="s">
        <v>11404</v>
      </c>
      <c r="H11059" s="40" t="s">
        <v>11404</v>
      </c>
    </row>
    <row r="11060">
      <c r="A11060" s="39"/>
      <c r="E11060" s="40" t="s">
        <v>11404</v>
      </c>
      <c r="F11060" s="40" t="s">
        <v>11404</v>
      </c>
      <c r="G11060" s="40" t="s">
        <v>11404</v>
      </c>
      <c r="H11060" s="40" t="s">
        <v>11404</v>
      </c>
    </row>
    <row r="11061">
      <c r="A11061" s="39"/>
      <c r="E11061" s="40" t="s">
        <v>11404</v>
      </c>
      <c r="F11061" s="40" t="s">
        <v>11404</v>
      </c>
      <c r="G11061" s="40" t="s">
        <v>11404</v>
      </c>
      <c r="H11061" s="40" t="s">
        <v>11404</v>
      </c>
    </row>
    <row r="11062">
      <c r="A11062" s="39"/>
      <c r="E11062" s="40" t="s">
        <v>11404</v>
      </c>
      <c r="F11062" s="40" t="s">
        <v>11404</v>
      </c>
      <c r="G11062" s="40" t="s">
        <v>11404</v>
      </c>
      <c r="H11062" s="40" t="s">
        <v>11404</v>
      </c>
    </row>
    <row r="11063">
      <c r="A11063" s="39"/>
      <c r="E11063" s="40" t="s">
        <v>11404</v>
      </c>
      <c r="F11063" s="40" t="s">
        <v>11404</v>
      </c>
      <c r="G11063" s="40" t="s">
        <v>11404</v>
      </c>
      <c r="H11063" s="40" t="s">
        <v>11404</v>
      </c>
    </row>
    <row r="11064">
      <c r="A11064" s="39"/>
      <c r="E11064" s="40" t="s">
        <v>11404</v>
      </c>
      <c r="F11064" s="40" t="s">
        <v>11404</v>
      </c>
      <c r="G11064" s="40" t="s">
        <v>11404</v>
      </c>
      <c r="H11064" s="40" t="s">
        <v>11404</v>
      </c>
    </row>
    <row r="11065">
      <c r="A11065" s="39"/>
      <c r="E11065" s="40" t="s">
        <v>11404</v>
      </c>
      <c r="F11065" s="40" t="s">
        <v>11404</v>
      </c>
      <c r="G11065" s="40" t="s">
        <v>11404</v>
      </c>
      <c r="H11065" s="40" t="s">
        <v>11404</v>
      </c>
    </row>
    <row r="11066">
      <c r="A11066" s="39"/>
      <c r="E11066" s="40" t="s">
        <v>11404</v>
      </c>
      <c r="F11066" s="40" t="s">
        <v>11404</v>
      </c>
      <c r="G11066" s="40" t="s">
        <v>11404</v>
      </c>
      <c r="H11066" s="40" t="s">
        <v>11404</v>
      </c>
    </row>
    <row r="11067">
      <c r="A11067" s="39"/>
      <c r="E11067" s="40" t="s">
        <v>11404</v>
      </c>
      <c r="F11067" s="40" t="s">
        <v>11404</v>
      </c>
      <c r="G11067" s="40" t="s">
        <v>11404</v>
      </c>
      <c r="H11067" s="40" t="s">
        <v>11404</v>
      </c>
    </row>
    <row r="11068">
      <c r="A11068" s="39"/>
      <c r="E11068" s="40" t="s">
        <v>11404</v>
      </c>
      <c r="F11068" s="40" t="s">
        <v>11404</v>
      </c>
      <c r="G11068" s="40" t="s">
        <v>11404</v>
      </c>
      <c r="H11068" s="40" t="s">
        <v>11404</v>
      </c>
    </row>
    <row r="11069">
      <c r="A11069" s="39"/>
      <c r="E11069" s="40" t="s">
        <v>11404</v>
      </c>
      <c r="F11069" s="40" t="s">
        <v>11404</v>
      </c>
      <c r="G11069" s="40" t="s">
        <v>11404</v>
      </c>
      <c r="H11069" s="40" t="s">
        <v>11404</v>
      </c>
    </row>
    <row r="11070">
      <c r="A11070" s="39"/>
      <c r="E11070" s="40" t="s">
        <v>11404</v>
      </c>
      <c r="F11070" s="40" t="s">
        <v>11404</v>
      </c>
      <c r="G11070" s="40" t="s">
        <v>11404</v>
      </c>
      <c r="H11070" s="40" t="s">
        <v>11404</v>
      </c>
    </row>
    <row r="11071">
      <c r="A11071" s="39"/>
      <c r="E11071" s="40" t="s">
        <v>11404</v>
      </c>
      <c r="F11071" s="40" t="s">
        <v>11404</v>
      </c>
      <c r="G11071" s="40" t="s">
        <v>11404</v>
      </c>
      <c r="H11071" s="40" t="s">
        <v>11404</v>
      </c>
    </row>
    <row r="11072">
      <c r="A11072" s="39"/>
      <c r="E11072" s="40" t="s">
        <v>11404</v>
      </c>
      <c r="F11072" s="40" t="s">
        <v>11404</v>
      </c>
      <c r="G11072" s="40" t="s">
        <v>11404</v>
      </c>
      <c r="H11072" s="40" t="s">
        <v>11404</v>
      </c>
    </row>
    <row r="11073">
      <c r="A11073" s="39"/>
      <c r="E11073" s="40" t="s">
        <v>11404</v>
      </c>
      <c r="F11073" s="40" t="s">
        <v>11404</v>
      </c>
      <c r="G11073" s="40" t="s">
        <v>11404</v>
      </c>
      <c r="H11073" s="40" t="s">
        <v>11404</v>
      </c>
    </row>
    <row r="11074">
      <c r="A11074" s="39"/>
      <c r="E11074" s="40" t="s">
        <v>11404</v>
      </c>
      <c r="F11074" s="40" t="s">
        <v>11404</v>
      </c>
      <c r="G11074" s="40" t="s">
        <v>11404</v>
      </c>
      <c r="H11074" s="40" t="s">
        <v>11404</v>
      </c>
    </row>
    <row r="11075">
      <c r="A11075" s="39"/>
      <c r="E11075" s="40" t="s">
        <v>11404</v>
      </c>
      <c r="F11075" s="40" t="s">
        <v>11404</v>
      </c>
      <c r="G11075" s="40" t="s">
        <v>11404</v>
      </c>
      <c r="H11075" s="40" t="s">
        <v>11404</v>
      </c>
    </row>
    <row r="11076">
      <c r="A11076" s="39"/>
      <c r="E11076" s="40" t="s">
        <v>11404</v>
      </c>
      <c r="F11076" s="40" t="s">
        <v>11404</v>
      </c>
      <c r="G11076" s="40" t="s">
        <v>11404</v>
      </c>
      <c r="H11076" s="40" t="s">
        <v>11404</v>
      </c>
    </row>
    <row r="11077">
      <c r="A11077" s="39"/>
      <c r="E11077" s="40" t="s">
        <v>11404</v>
      </c>
      <c r="F11077" s="40" t="s">
        <v>11404</v>
      </c>
      <c r="G11077" s="40" t="s">
        <v>11404</v>
      </c>
      <c r="H11077" s="40" t="s">
        <v>11404</v>
      </c>
    </row>
    <row r="11078">
      <c r="A11078" s="39"/>
      <c r="E11078" s="40" t="s">
        <v>11404</v>
      </c>
      <c r="F11078" s="40" t="s">
        <v>11404</v>
      </c>
      <c r="G11078" s="40" t="s">
        <v>11404</v>
      </c>
      <c r="H11078" s="40" t="s">
        <v>11404</v>
      </c>
    </row>
    <row r="11079">
      <c r="A11079" s="39"/>
      <c r="E11079" s="40" t="s">
        <v>11404</v>
      </c>
      <c r="F11079" s="40" t="s">
        <v>11404</v>
      </c>
      <c r="G11079" s="40" t="s">
        <v>11404</v>
      </c>
      <c r="H11079" s="40" t="s">
        <v>11404</v>
      </c>
    </row>
    <row r="11080">
      <c r="A11080" s="39"/>
      <c r="E11080" s="40" t="s">
        <v>11404</v>
      </c>
      <c r="F11080" s="40" t="s">
        <v>11404</v>
      </c>
      <c r="G11080" s="40" t="s">
        <v>11404</v>
      </c>
      <c r="H11080" s="40" t="s">
        <v>11404</v>
      </c>
    </row>
    <row r="11081">
      <c r="A11081" s="39"/>
      <c r="E11081" s="40" t="s">
        <v>11404</v>
      </c>
      <c r="F11081" s="40" t="s">
        <v>11404</v>
      </c>
      <c r="G11081" s="40" t="s">
        <v>11404</v>
      </c>
      <c r="H11081" s="40" t="s">
        <v>11404</v>
      </c>
    </row>
    <row r="11082">
      <c r="A11082" s="39"/>
      <c r="E11082" s="40" t="s">
        <v>11404</v>
      </c>
      <c r="F11082" s="40" t="s">
        <v>11404</v>
      </c>
      <c r="G11082" s="40" t="s">
        <v>11404</v>
      </c>
      <c r="H11082" s="40" t="s">
        <v>11404</v>
      </c>
    </row>
    <row r="11083">
      <c r="A11083" s="39"/>
      <c r="E11083" s="40" t="s">
        <v>11404</v>
      </c>
      <c r="F11083" s="40" t="s">
        <v>11404</v>
      </c>
      <c r="G11083" s="40" t="s">
        <v>11404</v>
      </c>
      <c r="H11083" s="40" t="s">
        <v>11404</v>
      </c>
    </row>
    <row r="11084">
      <c r="A11084" s="39"/>
      <c r="E11084" s="40" t="s">
        <v>11404</v>
      </c>
      <c r="F11084" s="40" t="s">
        <v>11404</v>
      </c>
      <c r="G11084" s="40" t="s">
        <v>11404</v>
      </c>
      <c r="H11084" s="40" t="s">
        <v>11404</v>
      </c>
    </row>
    <row r="11085">
      <c r="A11085" s="39"/>
      <c r="E11085" s="40" t="s">
        <v>11404</v>
      </c>
      <c r="F11085" s="40" t="s">
        <v>11404</v>
      </c>
      <c r="G11085" s="40" t="s">
        <v>11404</v>
      </c>
      <c r="H11085" s="40" t="s">
        <v>11404</v>
      </c>
    </row>
    <row r="11086">
      <c r="A11086" s="39"/>
      <c r="E11086" s="40" t="s">
        <v>11404</v>
      </c>
      <c r="F11086" s="40" t="s">
        <v>11404</v>
      </c>
      <c r="G11086" s="40" t="s">
        <v>11404</v>
      </c>
      <c r="H11086" s="40" t="s">
        <v>11404</v>
      </c>
    </row>
    <row r="11087">
      <c r="A11087" s="39"/>
      <c r="E11087" s="40" t="s">
        <v>11404</v>
      </c>
      <c r="F11087" s="40" t="s">
        <v>11404</v>
      </c>
      <c r="G11087" s="40" t="s">
        <v>11404</v>
      </c>
      <c r="H11087" s="40" t="s">
        <v>11404</v>
      </c>
    </row>
    <row r="11088">
      <c r="A11088" s="39"/>
      <c r="E11088" s="40" t="s">
        <v>11404</v>
      </c>
      <c r="F11088" s="40" t="s">
        <v>11404</v>
      </c>
      <c r="G11088" s="40" t="s">
        <v>11404</v>
      </c>
      <c r="H11088" s="40" t="s">
        <v>11404</v>
      </c>
    </row>
    <row r="11089">
      <c r="A11089" s="39"/>
      <c r="E11089" s="40" t="s">
        <v>11404</v>
      </c>
      <c r="F11089" s="40" t="s">
        <v>11404</v>
      </c>
      <c r="G11089" s="40" t="s">
        <v>11404</v>
      </c>
      <c r="H11089" s="40" t="s">
        <v>11404</v>
      </c>
    </row>
    <row r="11090">
      <c r="A11090" s="39"/>
      <c r="E11090" s="40" t="s">
        <v>11404</v>
      </c>
      <c r="F11090" s="40" t="s">
        <v>11404</v>
      </c>
      <c r="G11090" s="40" t="s">
        <v>11404</v>
      </c>
      <c r="H11090" s="40" t="s">
        <v>11404</v>
      </c>
    </row>
    <row r="11091">
      <c r="A11091" s="39"/>
      <c r="E11091" s="40" t="s">
        <v>11404</v>
      </c>
      <c r="F11091" s="40" t="s">
        <v>11404</v>
      </c>
      <c r="G11091" s="40" t="s">
        <v>11404</v>
      </c>
      <c r="H11091" s="40" t="s">
        <v>11404</v>
      </c>
    </row>
    <row r="11092">
      <c r="A11092" s="39"/>
      <c r="E11092" s="40" t="s">
        <v>11404</v>
      </c>
      <c r="F11092" s="40" t="s">
        <v>11404</v>
      </c>
      <c r="G11092" s="40" t="s">
        <v>11404</v>
      </c>
      <c r="H11092" s="40" t="s">
        <v>11404</v>
      </c>
    </row>
    <row r="11093">
      <c r="A11093" s="39"/>
      <c r="E11093" s="40" t="s">
        <v>11404</v>
      </c>
      <c r="F11093" s="40" t="s">
        <v>11404</v>
      </c>
      <c r="G11093" s="40" t="s">
        <v>11404</v>
      </c>
      <c r="H11093" s="40" t="s">
        <v>11404</v>
      </c>
    </row>
    <row r="11094">
      <c r="A11094" s="39"/>
      <c r="E11094" s="40" t="s">
        <v>11404</v>
      </c>
      <c r="F11094" s="40" t="s">
        <v>11404</v>
      </c>
      <c r="G11094" s="40" t="s">
        <v>11404</v>
      </c>
      <c r="H11094" s="40" t="s">
        <v>11404</v>
      </c>
    </row>
    <row r="11095">
      <c r="A11095" s="39"/>
      <c r="E11095" s="40" t="s">
        <v>11404</v>
      </c>
      <c r="F11095" s="40" t="s">
        <v>11404</v>
      </c>
      <c r="G11095" s="40" t="s">
        <v>11404</v>
      </c>
      <c r="H11095" s="40" t="s">
        <v>11404</v>
      </c>
    </row>
    <row r="11096">
      <c r="A11096" s="39"/>
      <c r="E11096" s="40" t="s">
        <v>11404</v>
      </c>
      <c r="F11096" s="40" t="s">
        <v>11404</v>
      </c>
      <c r="G11096" s="40" t="s">
        <v>11404</v>
      </c>
      <c r="H11096" s="40" t="s">
        <v>11404</v>
      </c>
    </row>
    <row r="11097">
      <c r="A11097" s="39"/>
      <c r="E11097" s="40" t="s">
        <v>11404</v>
      </c>
      <c r="F11097" s="40" t="s">
        <v>11404</v>
      </c>
      <c r="G11097" s="40" t="s">
        <v>11404</v>
      </c>
      <c r="H11097" s="40" t="s">
        <v>11404</v>
      </c>
    </row>
    <row r="11098">
      <c r="A11098" s="39"/>
      <c r="E11098" s="40" t="s">
        <v>11404</v>
      </c>
      <c r="F11098" s="40" t="s">
        <v>11404</v>
      </c>
      <c r="G11098" s="40" t="s">
        <v>11404</v>
      </c>
      <c r="H11098" s="40" t="s">
        <v>11404</v>
      </c>
    </row>
    <row r="11099">
      <c r="A11099" s="39"/>
      <c r="E11099" s="40" t="s">
        <v>11404</v>
      </c>
      <c r="F11099" s="40" t="s">
        <v>11404</v>
      </c>
      <c r="G11099" s="40" t="s">
        <v>11404</v>
      </c>
      <c r="H11099" s="40" t="s">
        <v>11404</v>
      </c>
    </row>
    <row r="11100">
      <c r="A11100" s="39"/>
      <c r="E11100" s="40" t="s">
        <v>11404</v>
      </c>
      <c r="F11100" s="40" t="s">
        <v>11404</v>
      </c>
      <c r="G11100" s="40" t="s">
        <v>11404</v>
      </c>
      <c r="H11100" s="40" t="s">
        <v>11404</v>
      </c>
    </row>
    <row r="11101">
      <c r="A11101" s="39"/>
      <c r="E11101" s="40" t="s">
        <v>11404</v>
      </c>
      <c r="F11101" s="40" t="s">
        <v>11404</v>
      </c>
      <c r="G11101" s="40" t="s">
        <v>11404</v>
      </c>
      <c r="H11101" s="40" t="s">
        <v>11404</v>
      </c>
    </row>
    <row r="11102">
      <c r="A11102" s="39"/>
      <c r="E11102" s="40" t="s">
        <v>11404</v>
      </c>
      <c r="F11102" s="40" t="s">
        <v>11404</v>
      </c>
      <c r="G11102" s="40" t="s">
        <v>11404</v>
      </c>
      <c r="H11102" s="40" t="s">
        <v>11404</v>
      </c>
    </row>
    <row r="11103">
      <c r="A11103" s="39"/>
      <c r="E11103" s="40" t="s">
        <v>11404</v>
      </c>
      <c r="F11103" s="40" t="s">
        <v>11404</v>
      </c>
      <c r="G11103" s="40" t="s">
        <v>11404</v>
      </c>
      <c r="H11103" s="40" t="s">
        <v>11404</v>
      </c>
    </row>
    <row r="11104">
      <c r="A11104" s="39"/>
      <c r="E11104" s="40" t="s">
        <v>11404</v>
      </c>
      <c r="F11104" s="40" t="s">
        <v>11404</v>
      </c>
      <c r="G11104" s="40" t="s">
        <v>11404</v>
      </c>
      <c r="H11104" s="40" t="s">
        <v>11404</v>
      </c>
    </row>
    <row r="11105">
      <c r="A11105" s="39"/>
      <c r="E11105" s="40" t="s">
        <v>11404</v>
      </c>
      <c r="F11105" s="40" t="s">
        <v>11404</v>
      </c>
      <c r="G11105" s="40" t="s">
        <v>11404</v>
      </c>
      <c r="H11105" s="40" t="s">
        <v>11404</v>
      </c>
    </row>
    <row r="11106">
      <c r="A11106" s="39"/>
      <c r="E11106" s="40" t="s">
        <v>11404</v>
      </c>
      <c r="F11106" s="40" t="s">
        <v>11404</v>
      </c>
      <c r="G11106" s="40" t="s">
        <v>11404</v>
      </c>
      <c r="H11106" s="40" t="s">
        <v>11404</v>
      </c>
    </row>
    <row r="11107">
      <c r="A11107" s="39"/>
      <c r="E11107" s="40" t="s">
        <v>11404</v>
      </c>
      <c r="F11107" s="40" t="s">
        <v>11404</v>
      </c>
      <c r="G11107" s="40" t="s">
        <v>11404</v>
      </c>
      <c r="H11107" s="40" t="s">
        <v>11404</v>
      </c>
    </row>
    <row r="11108">
      <c r="A11108" s="39"/>
      <c r="E11108" s="40" t="s">
        <v>11404</v>
      </c>
      <c r="F11108" s="40" t="s">
        <v>11404</v>
      </c>
      <c r="G11108" s="40" t="s">
        <v>11404</v>
      </c>
      <c r="H11108" s="40" t="s">
        <v>11404</v>
      </c>
    </row>
    <row r="11109">
      <c r="A11109" s="39"/>
      <c r="E11109" s="40" t="s">
        <v>11404</v>
      </c>
      <c r="F11109" s="40" t="s">
        <v>11404</v>
      </c>
      <c r="G11109" s="40" t="s">
        <v>11404</v>
      </c>
      <c r="H11109" s="40" t="s">
        <v>11404</v>
      </c>
    </row>
    <row r="11110">
      <c r="A11110" s="39"/>
      <c r="E11110" s="40" t="s">
        <v>11404</v>
      </c>
      <c r="F11110" s="40" t="s">
        <v>11404</v>
      </c>
      <c r="G11110" s="40" t="s">
        <v>11404</v>
      </c>
      <c r="H11110" s="40" t="s">
        <v>11404</v>
      </c>
    </row>
    <row r="11111">
      <c r="A11111" s="39"/>
      <c r="E11111" s="40" t="s">
        <v>11404</v>
      </c>
      <c r="F11111" s="40" t="s">
        <v>11404</v>
      </c>
      <c r="G11111" s="40" t="s">
        <v>11404</v>
      </c>
      <c r="H11111" s="40" t="s">
        <v>11404</v>
      </c>
    </row>
    <row r="11112">
      <c r="A11112" s="39"/>
      <c r="E11112" s="40" t="s">
        <v>11404</v>
      </c>
      <c r="F11112" s="40" t="s">
        <v>11404</v>
      </c>
      <c r="G11112" s="40" t="s">
        <v>11404</v>
      </c>
      <c r="H11112" s="40" t="s">
        <v>11404</v>
      </c>
    </row>
    <row r="11113">
      <c r="A11113" s="39"/>
      <c r="E11113" s="40" t="s">
        <v>11404</v>
      </c>
      <c r="F11113" s="40" t="s">
        <v>11404</v>
      </c>
      <c r="G11113" s="40" t="s">
        <v>11404</v>
      </c>
      <c r="H11113" s="40" t="s">
        <v>11404</v>
      </c>
    </row>
    <row r="11114">
      <c r="A11114" s="39"/>
      <c r="E11114" s="40" t="s">
        <v>11404</v>
      </c>
      <c r="F11114" s="40" t="s">
        <v>11404</v>
      </c>
      <c r="G11114" s="40" t="s">
        <v>11404</v>
      </c>
      <c r="H11114" s="40" t="s">
        <v>11404</v>
      </c>
    </row>
    <row r="11115">
      <c r="A11115" s="39"/>
      <c r="E11115" s="40" t="s">
        <v>11404</v>
      </c>
      <c r="F11115" s="40" t="s">
        <v>11404</v>
      </c>
      <c r="G11115" s="40" t="s">
        <v>11404</v>
      </c>
      <c r="H11115" s="40" t="s">
        <v>11404</v>
      </c>
    </row>
    <row r="11116">
      <c r="A11116" s="39"/>
      <c r="E11116" s="40" t="s">
        <v>11404</v>
      </c>
      <c r="F11116" s="40" t="s">
        <v>11404</v>
      </c>
      <c r="G11116" s="40" t="s">
        <v>11404</v>
      </c>
      <c r="H11116" s="40" t="s">
        <v>11404</v>
      </c>
    </row>
    <row r="11117">
      <c r="A11117" s="39"/>
      <c r="E11117" s="40" t="s">
        <v>11404</v>
      </c>
      <c r="F11117" s="40" t="s">
        <v>11404</v>
      </c>
      <c r="G11117" s="40" t="s">
        <v>11404</v>
      </c>
      <c r="H11117" s="40" t="s">
        <v>11404</v>
      </c>
    </row>
    <row r="11118">
      <c r="A11118" s="39"/>
      <c r="E11118" s="40" t="s">
        <v>11404</v>
      </c>
      <c r="F11118" s="40" t="s">
        <v>11404</v>
      </c>
      <c r="G11118" s="40" t="s">
        <v>11404</v>
      </c>
      <c r="H11118" s="40" t="s">
        <v>11404</v>
      </c>
    </row>
    <row r="11119">
      <c r="A11119" s="39"/>
      <c r="E11119" s="40" t="s">
        <v>11404</v>
      </c>
      <c r="F11119" s="40" t="s">
        <v>11404</v>
      </c>
      <c r="G11119" s="40" t="s">
        <v>11404</v>
      </c>
      <c r="H11119" s="40" t="s">
        <v>11404</v>
      </c>
    </row>
    <row r="11120">
      <c r="A11120" s="39"/>
      <c r="E11120" s="40" t="s">
        <v>11404</v>
      </c>
      <c r="F11120" s="40" t="s">
        <v>11404</v>
      </c>
      <c r="G11120" s="40" t="s">
        <v>11404</v>
      </c>
      <c r="H11120" s="40" t="s">
        <v>11404</v>
      </c>
    </row>
    <row r="11121">
      <c r="A11121" s="39"/>
      <c r="E11121" s="40" t="s">
        <v>11404</v>
      </c>
      <c r="F11121" s="40" t="s">
        <v>11404</v>
      </c>
      <c r="G11121" s="40" t="s">
        <v>11404</v>
      </c>
      <c r="H11121" s="40" t="s">
        <v>11404</v>
      </c>
    </row>
    <row r="11122">
      <c r="A11122" s="39"/>
      <c r="E11122" s="40" t="s">
        <v>11404</v>
      </c>
      <c r="F11122" s="40" t="s">
        <v>11404</v>
      </c>
      <c r="G11122" s="40" t="s">
        <v>11404</v>
      </c>
      <c r="H11122" s="40" t="s">
        <v>11404</v>
      </c>
    </row>
    <row r="11123">
      <c r="A11123" s="39"/>
      <c r="E11123" s="40" t="s">
        <v>11404</v>
      </c>
      <c r="F11123" s="40" t="s">
        <v>11404</v>
      </c>
      <c r="G11123" s="40" t="s">
        <v>11404</v>
      </c>
      <c r="H11123" s="40" t="s">
        <v>11404</v>
      </c>
    </row>
    <row r="11124">
      <c r="A11124" s="39"/>
      <c r="E11124" s="40" t="s">
        <v>11404</v>
      </c>
      <c r="F11124" s="40" t="s">
        <v>11404</v>
      </c>
      <c r="G11124" s="40" t="s">
        <v>11404</v>
      </c>
      <c r="H11124" s="40" t="s">
        <v>11404</v>
      </c>
    </row>
    <row r="11125">
      <c r="A11125" s="39"/>
      <c r="E11125" s="40" t="s">
        <v>11404</v>
      </c>
      <c r="F11125" s="40" t="s">
        <v>11404</v>
      </c>
      <c r="G11125" s="40" t="s">
        <v>11404</v>
      </c>
      <c r="H11125" s="40" t="s">
        <v>11404</v>
      </c>
    </row>
    <row r="11126">
      <c r="A11126" s="39"/>
      <c r="E11126" s="40" t="s">
        <v>11404</v>
      </c>
      <c r="F11126" s="40" t="s">
        <v>11404</v>
      </c>
      <c r="G11126" s="40" t="s">
        <v>11404</v>
      </c>
      <c r="H11126" s="40" t="s">
        <v>11404</v>
      </c>
    </row>
    <row r="11127">
      <c r="A11127" s="39"/>
      <c r="E11127" s="40" t="s">
        <v>11404</v>
      </c>
      <c r="F11127" s="40" t="s">
        <v>11404</v>
      </c>
      <c r="G11127" s="40" t="s">
        <v>11404</v>
      </c>
      <c r="H11127" s="40" t="s">
        <v>11404</v>
      </c>
    </row>
    <row r="11128">
      <c r="A11128" s="39"/>
      <c r="E11128" s="40" t="s">
        <v>11404</v>
      </c>
      <c r="F11128" s="40" t="s">
        <v>11404</v>
      </c>
      <c r="G11128" s="40" t="s">
        <v>11404</v>
      </c>
      <c r="H11128" s="40" t="s">
        <v>11404</v>
      </c>
    </row>
    <row r="11129">
      <c r="A11129" s="39"/>
      <c r="E11129" s="40" t="s">
        <v>11404</v>
      </c>
      <c r="F11129" s="40" t="s">
        <v>11404</v>
      </c>
      <c r="G11129" s="40" t="s">
        <v>11404</v>
      </c>
      <c r="H11129" s="40" t="s">
        <v>11404</v>
      </c>
    </row>
    <row r="11130">
      <c r="A11130" s="39"/>
      <c r="E11130" s="40" t="s">
        <v>11404</v>
      </c>
      <c r="F11130" s="40" t="s">
        <v>11404</v>
      </c>
      <c r="G11130" s="40" t="s">
        <v>11404</v>
      </c>
      <c r="H11130" s="40" t="s">
        <v>11404</v>
      </c>
    </row>
    <row r="11131">
      <c r="A11131" s="39"/>
      <c r="E11131" s="40" t="s">
        <v>11404</v>
      </c>
      <c r="F11131" s="40" t="s">
        <v>11404</v>
      </c>
      <c r="G11131" s="40" t="s">
        <v>11404</v>
      </c>
      <c r="H11131" s="40" t="s">
        <v>11404</v>
      </c>
    </row>
    <row r="11132">
      <c r="A11132" s="39"/>
      <c r="E11132" s="40" t="s">
        <v>11404</v>
      </c>
      <c r="F11132" s="40" t="s">
        <v>11404</v>
      </c>
      <c r="G11132" s="40" t="s">
        <v>11404</v>
      </c>
      <c r="H11132" s="40" t="s">
        <v>11404</v>
      </c>
    </row>
    <row r="11133">
      <c r="A11133" s="39"/>
      <c r="E11133" s="40" t="s">
        <v>11404</v>
      </c>
      <c r="F11133" s="40" t="s">
        <v>11404</v>
      </c>
      <c r="G11133" s="40" t="s">
        <v>11404</v>
      </c>
      <c r="H11133" s="40" t="s">
        <v>11404</v>
      </c>
    </row>
    <row r="11134">
      <c r="A11134" s="39"/>
      <c r="E11134" s="40" t="s">
        <v>11404</v>
      </c>
      <c r="F11134" s="40" t="s">
        <v>11404</v>
      </c>
      <c r="G11134" s="40" t="s">
        <v>11404</v>
      </c>
      <c r="H11134" s="40" t="s">
        <v>11404</v>
      </c>
    </row>
    <row r="11135">
      <c r="A11135" s="39"/>
      <c r="E11135" s="40" t="s">
        <v>11404</v>
      </c>
      <c r="F11135" s="40" t="s">
        <v>11404</v>
      </c>
      <c r="G11135" s="40" t="s">
        <v>11404</v>
      </c>
      <c r="H11135" s="40" t="s">
        <v>11404</v>
      </c>
    </row>
    <row r="11136">
      <c r="A11136" s="39"/>
      <c r="E11136" s="40" t="s">
        <v>11404</v>
      </c>
      <c r="F11136" s="40" t="s">
        <v>11404</v>
      </c>
      <c r="G11136" s="40" t="s">
        <v>11404</v>
      </c>
      <c r="H11136" s="40" t="s">
        <v>11404</v>
      </c>
    </row>
    <row r="11137">
      <c r="A11137" s="39"/>
      <c r="E11137" s="40" t="s">
        <v>11404</v>
      </c>
      <c r="F11137" s="40" t="s">
        <v>11404</v>
      </c>
      <c r="G11137" s="40" t="s">
        <v>11404</v>
      </c>
      <c r="H11137" s="40" t="s">
        <v>11404</v>
      </c>
    </row>
    <row r="11138">
      <c r="A11138" s="39"/>
      <c r="E11138" s="40" t="s">
        <v>11404</v>
      </c>
      <c r="F11138" s="40" t="s">
        <v>11404</v>
      </c>
      <c r="G11138" s="40" t="s">
        <v>11404</v>
      </c>
      <c r="H11138" s="40" t="s">
        <v>11404</v>
      </c>
    </row>
    <row r="11139">
      <c r="A11139" s="39"/>
      <c r="E11139" s="40" t="s">
        <v>11404</v>
      </c>
      <c r="F11139" s="40" t="s">
        <v>11404</v>
      </c>
      <c r="G11139" s="40" t="s">
        <v>11404</v>
      </c>
      <c r="H11139" s="40" t="s">
        <v>11404</v>
      </c>
    </row>
    <row r="11140">
      <c r="A11140" s="39"/>
      <c r="E11140" s="40" t="s">
        <v>11404</v>
      </c>
      <c r="F11140" s="40" t="s">
        <v>11404</v>
      </c>
      <c r="G11140" s="40" t="s">
        <v>11404</v>
      </c>
      <c r="H11140" s="40" t="s">
        <v>11404</v>
      </c>
    </row>
    <row r="11141">
      <c r="A11141" s="39"/>
      <c r="E11141" s="40" t="s">
        <v>11404</v>
      </c>
      <c r="F11141" s="40" t="s">
        <v>11404</v>
      </c>
      <c r="G11141" s="40" t="s">
        <v>11404</v>
      </c>
      <c r="H11141" s="40" t="s">
        <v>11404</v>
      </c>
    </row>
    <row r="11142">
      <c r="A11142" s="39"/>
      <c r="E11142" s="40" t="s">
        <v>11404</v>
      </c>
      <c r="F11142" s="40" t="s">
        <v>11404</v>
      </c>
      <c r="G11142" s="40" t="s">
        <v>11404</v>
      </c>
      <c r="H11142" s="40" t="s">
        <v>11404</v>
      </c>
    </row>
    <row r="11143">
      <c r="A11143" s="39"/>
      <c r="E11143" s="40" t="s">
        <v>11404</v>
      </c>
      <c r="F11143" s="40" t="s">
        <v>11404</v>
      </c>
      <c r="G11143" s="40" t="s">
        <v>11404</v>
      </c>
      <c r="H11143" s="40" t="s">
        <v>11404</v>
      </c>
    </row>
    <row r="11144">
      <c r="A11144" s="39"/>
      <c r="E11144" s="40" t="s">
        <v>11404</v>
      </c>
      <c r="F11144" s="40" t="s">
        <v>11404</v>
      </c>
      <c r="G11144" s="40" t="s">
        <v>11404</v>
      </c>
      <c r="H11144" s="40" t="s">
        <v>11404</v>
      </c>
    </row>
    <row r="11145">
      <c r="A11145" s="39"/>
      <c r="E11145" s="40" t="s">
        <v>11404</v>
      </c>
      <c r="F11145" s="40" t="s">
        <v>11404</v>
      </c>
      <c r="G11145" s="40" t="s">
        <v>11404</v>
      </c>
      <c r="H11145" s="40" t="s">
        <v>11404</v>
      </c>
    </row>
    <row r="11146">
      <c r="A11146" s="39"/>
      <c r="E11146" s="40" t="s">
        <v>11404</v>
      </c>
      <c r="F11146" s="40" t="s">
        <v>11404</v>
      </c>
      <c r="G11146" s="40" t="s">
        <v>11404</v>
      </c>
      <c r="H11146" s="40" t="s">
        <v>11404</v>
      </c>
    </row>
    <row r="11147">
      <c r="A11147" s="39"/>
      <c r="E11147" s="40" t="s">
        <v>11404</v>
      </c>
      <c r="F11147" s="40" t="s">
        <v>11404</v>
      </c>
      <c r="G11147" s="40" t="s">
        <v>11404</v>
      </c>
      <c r="H11147" s="40" t="s">
        <v>11404</v>
      </c>
    </row>
    <row r="11148">
      <c r="A11148" s="39"/>
      <c r="E11148" s="40" t="s">
        <v>11404</v>
      </c>
      <c r="F11148" s="40" t="s">
        <v>11404</v>
      </c>
      <c r="G11148" s="40" t="s">
        <v>11404</v>
      </c>
      <c r="H11148" s="40" t="s">
        <v>11404</v>
      </c>
    </row>
    <row r="11149">
      <c r="A11149" s="39"/>
      <c r="E11149" s="40" t="s">
        <v>11404</v>
      </c>
      <c r="F11149" s="40" t="s">
        <v>11404</v>
      </c>
      <c r="G11149" s="40" t="s">
        <v>11404</v>
      </c>
      <c r="H11149" s="40" t="s">
        <v>11404</v>
      </c>
    </row>
    <row r="11150">
      <c r="A11150" s="39"/>
      <c r="E11150" s="40" t="s">
        <v>11404</v>
      </c>
      <c r="F11150" s="40" t="s">
        <v>11404</v>
      </c>
      <c r="G11150" s="40" t="s">
        <v>11404</v>
      </c>
      <c r="H11150" s="40" t="s">
        <v>11404</v>
      </c>
    </row>
    <row r="11151">
      <c r="A11151" s="39"/>
      <c r="E11151" s="40" t="s">
        <v>11404</v>
      </c>
      <c r="F11151" s="40" t="s">
        <v>11404</v>
      </c>
      <c r="G11151" s="40" t="s">
        <v>11404</v>
      </c>
      <c r="H11151" s="40" t="s">
        <v>11404</v>
      </c>
    </row>
    <row r="11152">
      <c r="A11152" s="39"/>
      <c r="E11152" s="40" t="s">
        <v>11404</v>
      </c>
      <c r="F11152" s="40" t="s">
        <v>11404</v>
      </c>
      <c r="G11152" s="40" t="s">
        <v>11404</v>
      </c>
      <c r="H11152" s="40" t="s">
        <v>11404</v>
      </c>
    </row>
    <row r="11153">
      <c r="A11153" s="39"/>
      <c r="E11153" s="40" t="s">
        <v>11404</v>
      </c>
      <c r="F11153" s="40" t="s">
        <v>11404</v>
      </c>
      <c r="G11153" s="40" t="s">
        <v>11404</v>
      </c>
      <c r="H11153" s="40" t="s">
        <v>11404</v>
      </c>
    </row>
    <row r="11154">
      <c r="A11154" s="39"/>
      <c r="E11154" s="40" t="s">
        <v>11404</v>
      </c>
      <c r="F11154" s="40" t="s">
        <v>11404</v>
      </c>
      <c r="G11154" s="40" t="s">
        <v>11404</v>
      </c>
      <c r="H11154" s="40" t="s">
        <v>11404</v>
      </c>
    </row>
    <row r="11155">
      <c r="A11155" s="39"/>
      <c r="E11155" s="40" t="s">
        <v>11404</v>
      </c>
      <c r="F11155" s="40" t="s">
        <v>11404</v>
      </c>
      <c r="G11155" s="40" t="s">
        <v>11404</v>
      </c>
      <c r="H11155" s="40" t="s">
        <v>11404</v>
      </c>
    </row>
    <row r="11156">
      <c r="A11156" s="39"/>
      <c r="E11156" s="40" t="s">
        <v>11404</v>
      </c>
      <c r="F11156" s="40" t="s">
        <v>11404</v>
      </c>
      <c r="G11156" s="40" t="s">
        <v>11404</v>
      </c>
      <c r="H11156" s="40" t="s">
        <v>11404</v>
      </c>
    </row>
    <row r="11157">
      <c r="A11157" s="39"/>
      <c r="E11157" s="40" t="s">
        <v>11404</v>
      </c>
      <c r="F11157" s="40" t="s">
        <v>11404</v>
      </c>
      <c r="G11157" s="40" t="s">
        <v>11404</v>
      </c>
      <c r="H11157" s="40" t="s">
        <v>11404</v>
      </c>
    </row>
    <row r="11158">
      <c r="A11158" s="39"/>
      <c r="E11158" s="40" t="s">
        <v>11404</v>
      </c>
      <c r="F11158" s="40" t="s">
        <v>11404</v>
      </c>
      <c r="G11158" s="40" t="s">
        <v>11404</v>
      </c>
      <c r="H11158" s="40" t="s">
        <v>11404</v>
      </c>
    </row>
    <row r="11159">
      <c r="A11159" s="39"/>
      <c r="E11159" s="40" t="s">
        <v>11404</v>
      </c>
      <c r="F11159" s="40" t="s">
        <v>11404</v>
      </c>
      <c r="G11159" s="40" t="s">
        <v>11404</v>
      </c>
      <c r="H11159" s="40" t="s">
        <v>11404</v>
      </c>
    </row>
    <row r="11160">
      <c r="A11160" s="39"/>
      <c r="E11160" s="40" t="s">
        <v>11404</v>
      </c>
      <c r="F11160" s="40" t="s">
        <v>11404</v>
      </c>
      <c r="G11160" s="40" t="s">
        <v>11404</v>
      </c>
      <c r="H11160" s="40" t="s">
        <v>11404</v>
      </c>
    </row>
    <row r="11161">
      <c r="A11161" s="39"/>
      <c r="E11161" s="40" t="s">
        <v>11404</v>
      </c>
      <c r="F11161" s="40" t="s">
        <v>11404</v>
      </c>
      <c r="G11161" s="40" t="s">
        <v>11404</v>
      </c>
      <c r="H11161" s="40" t="s">
        <v>11404</v>
      </c>
    </row>
    <row r="11162">
      <c r="A11162" s="39"/>
      <c r="E11162" s="40" t="s">
        <v>11404</v>
      </c>
      <c r="F11162" s="40" t="s">
        <v>11404</v>
      </c>
      <c r="G11162" s="40" t="s">
        <v>11404</v>
      </c>
      <c r="H11162" s="40" t="s">
        <v>11404</v>
      </c>
    </row>
    <row r="11163">
      <c r="A11163" s="39"/>
      <c r="E11163" s="40" t="s">
        <v>11404</v>
      </c>
      <c r="F11163" s="40" t="s">
        <v>11404</v>
      </c>
      <c r="G11163" s="40" t="s">
        <v>11404</v>
      </c>
      <c r="H11163" s="40" t="s">
        <v>11404</v>
      </c>
    </row>
    <row r="11164">
      <c r="A11164" s="39"/>
      <c r="E11164" s="40" t="s">
        <v>11404</v>
      </c>
      <c r="F11164" s="40" t="s">
        <v>11404</v>
      </c>
      <c r="G11164" s="40" t="s">
        <v>11404</v>
      </c>
      <c r="H11164" s="40" t="s">
        <v>11404</v>
      </c>
    </row>
    <row r="11165">
      <c r="A11165" s="39"/>
      <c r="E11165" s="40" t="s">
        <v>11404</v>
      </c>
      <c r="F11165" s="40" t="s">
        <v>11404</v>
      </c>
      <c r="G11165" s="40" t="s">
        <v>11404</v>
      </c>
      <c r="H11165" s="40" t="s">
        <v>11404</v>
      </c>
    </row>
    <row r="11166">
      <c r="A11166" s="39"/>
      <c r="E11166" s="40" t="s">
        <v>11404</v>
      </c>
      <c r="F11166" s="40" t="s">
        <v>11404</v>
      </c>
      <c r="G11166" s="40" t="s">
        <v>11404</v>
      </c>
      <c r="H11166" s="40" t="s">
        <v>11404</v>
      </c>
    </row>
    <row r="11167">
      <c r="A11167" s="39"/>
      <c r="E11167" s="40" t="s">
        <v>11404</v>
      </c>
      <c r="F11167" s="40" t="s">
        <v>11404</v>
      </c>
      <c r="G11167" s="40" t="s">
        <v>11404</v>
      </c>
      <c r="H11167" s="40" t="s">
        <v>11404</v>
      </c>
    </row>
    <row r="11168">
      <c r="A11168" s="39"/>
      <c r="E11168" s="40" t="s">
        <v>11404</v>
      </c>
      <c r="F11168" s="40" t="s">
        <v>11404</v>
      </c>
      <c r="G11168" s="40" t="s">
        <v>11404</v>
      </c>
      <c r="H11168" s="40" t="s">
        <v>11404</v>
      </c>
    </row>
    <row r="11169">
      <c r="A11169" s="39"/>
      <c r="E11169" s="40" t="s">
        <v>11404</v>
      </c>
      <c r="F11169" s="40" t="s">
        <v>11404</v>
      </c>
      <c r="G11169" s="40" t="s">
        <v>11404</v>
      </c>
      <c r="H11169" s="40" t="s">
        <v>11404</v>
      </c>
    </row>
    <row r="11170">
      <c r="A11170" s="39"/>
      <c r="E11170" s="40" t="s">
        <v>11404</v>
      </c>
      <c r="F11170" s="40" t="s">
        <v>11404</v>
      </c>
      <c r="G11170" s="40" t="s">
        <v>11404</v>
      </c>
      <c r="H11170" s="40" t="s">
        <v>11404</v>
      </c>
    </row>
    <row r="11171">
      <c r="A11171" s="39"/>
      <c r="E11171" s="40" t="s">
        <v>11404</v>
      </c>
      <c r="F11171" s="40" t="s">
        <v>11404</v>
      </c>
      <c r="G11171" s="40" t="s">
        <v>11404</v>
      </c>
      <c r="H11171" s="40" t="s">
        <v>11404</v>
      </c>
    </row>
    <row r="11172">
      <c r="A11172" s="39"/>
      <c r="E11172" s="40" t="s">
        <v>11404</v>
      </c>
      <c r="F11172" s="40" t="s">
        <v>11404</v>
      </c>
      <c r="G11172" s="40" t="s">
        <v>11404</v>
      </c>
      <c r="H11172" s="40" t="s">
        <v>11404</v>
      </c>
    </row>
    <row r="11173">
      <c r="A11173" s="39"/>
      <c r="E11173" s="40" t="s">
        <v>11404</v>
      </c>
      <c r="F11173" s="40" t="s">
        <v>11404</v>
      </c>
      <c r="G11173" s="40" t="s">
        <v>11404</v>
      </c>
      <c r="H11173" s="40" t="s">
        <v>11404</v>
      </c>
    </row>
    <row r="11174">
      <c r="A11174" s="39"/>
      <c r="E11174" s="40" t="s">
        <v>11404</v>
      </c>
      <c r="F11174" s="40" t="s">
        <v>11404</v>
      </c>
      <c r="G11174" s="40" t="s">
        <v>11404</v>
      </c>
      <c r="H11174" s="40" t="s">
        <v>11404</v>
      </c>
    </row>
    <row r="11175">
      <c r="A11175" s="39"/>
      <c r="E11175" s="40" t="s">
        <v>11404</v>
      </c>
      <c r="F11175" s="40" t="s">
        <v>11404</v>
      </c>
      <c r="G11175" s="40" t="s">
        <v>11404</v>
      </c>
      <c r="H11175" s="40" t="s">
        <v>11404</v>
      </c>
    </row>
    <row r="11176">
      <c r="A11176" s="39"/>
      <c r="E11176" s="40" t="s">
        <v>11404</v>
      </c>
      <c r="F11176" s="40" t="s">
        <v>11404</v>
      </c>
      <c r="G11176" s="40" t="s">
        <v>11404</v>
      </c>
      <c r="H11176" s="40" t="s">
        <v>11404</v>
      </c>
    </row>
    <row r="11177">
      <c r="A11177" s="39"/>
      <c r="E11177" s="40" t="s">
        <v>11404</v>
      </c>
      <c r="F11177" s="40" t="s">
        <v>11404</v>
      </c>
      <c r="G11177" s="40" t="s">
        <v>11404</v>
      </c>
      <c r="H11177" s="40" t="s">
        <v>11404</v>
      </c>
    </row>
    <row r="11178">
      <c r="A11178" s="39"/>
      <c r="E11178" s="40" t="s">
        <v>11404</v>
      </c>
      <c r="F11178" s="40" t="s">
        <v>11404</v>
      </c>
      <c r="G11178" s="40" t="s">
        <v>11404</v>
      </c>
      <c r="H11178" s="40" t="s">
        <v>11404</v>
      </c>
    </row>
    <row r="11179">
      <c r="A11179" s="39"/>
      <c r="E11179" s="40" t="s">
        <v>11404</v>
      </c>
      <c r="F11179" s="40" t="s">
        <v>11404</v>
      </c>
      <c r="G11179" s="40" t="s">
        <v>11404</v>
      </c>
      <c r="H11179" s="40" t="s">
        <v>11404</v>
      </c>
    </row>
    <row r="11180">
      <c r="A11180" s="39"/>
      <c r="E11180" s="40" t="s">
        <v>11404</v>
      </c>
      <c r="F11180" s="40" t="s">
        <v>11404</v>
      </c>
      <c r="G11180" s="40" t="s">
        <v>11404</v>
      </c>
      <c r="H11180" s="40" t="s">
        <v>11404</v>
      </c>
    </row>
    <row r="11181">
      <c r="A11181" s="39"/>
      <c r="E11181" s="40" t="s">
        <v>11404</v>
      </c>
      <c r="F11181" s="40" t="s">
        <v>11404</v>
      </c>
      <c r="G11181" s="40" t="s">
        <v>11404</v>
      </c>
      <c r="H11181" s="40" t="s">
        <v>11404</v>
      </c>
    </row>
    <row r="11182">
      <c r="A11182" s="39"/>
      <c r="E11182" s="40" t="s">
        <v>11404</v>
      </c>
      <c r="F11182" s="40" t="s">
        <v>11404</v>
      </c>
      <c r="G11182" s="40" t="s">
        <v>11404</v>
      </c>
      <c r="H11182" s="40" t="s">
        <v>11404</v>
      </c>
    </row>
    <row r="11183">
      <c r="A11183" s="39"/>
      <c r="E11183" s="40" t="s">
        <v>11404</v>
      </c>
      <c r="F11183" s="40" t="s">
        <v>11404</v>
      </c>
      <c r="G11183" s="40" t="s">
        <v>11404</v>
      </c>
      <c r="H11183" s="40" t="s">
        <v>11404</v>
      </c>
    </row>
    <row r="11184">
      <c r="A11184" s="39"/>
      <c r="E11184" s="40" t="s">
        <v>11404</v>
      </c>
      <c r="F11184" s="40" t="s">
        <v>11404</v>
      </c>
      <c r="G11184" s="40" t="s">
        <v>11404</v>
      </c>
      <c r="H11184" s="40" t="s">
        <v>11404</v>
      </c>
    </row>
    <row r="11185">
      <c r="A11185" s="39"/>
      <c r="E11185" s="40" t="s">
        <v>11404</v>
      </c>
      <c r="F11185" s="40" t="s">
        <v>11404</v>
      </c>
      <c r="G11185" s="40" t="s">
        <v>11404</v>
      </c>
      <c r="H11185" s="40" t="s">
        <v>11404</v>
      </c>
    </row>
    <row r="11186">
      <c r="A11186" s="39"/>
      <c r="E11186" s="40" t="s">
        <v>11404</v>
      </c>
      <c r="F11186" s="40" t="s">
        <v>11404</v>
      </c>
      <c r="G11186" s="40" t="s">
        <v>11404</v>
      </c>
      <c r="H11186" s="40" t="s">
        <v>11404</v>
      </c>
    </row>
    <row r="11187">
      <c r="A11187" s="39"/>
      <c r="E11187" s="40" t="s">
        <v>11404</v>
      </c>
      <c r="F11187" s="40" t="s">
        <v>11404</v>
      </c>
      <c r="G11187" s="40" t="s">
        <v>11404</v>
      </c>
      <c r="H11187" s="40" t="s">
        <v>11404</v>
      </c>
    </row>
    <row r="11188">
      <c r="A11188" s="39"/>
      <c r="E11188" s="40" t="s">
        <v>11404</v>
      </c>
      <c r="F11188" s="40" t="s">
        <v>11404</v>
      </c>
      <c r="G11188" s="40" t="s">
        <v>11404</v>
      </c>
      <c r="H11188" s="40" t="s">
        <v>11404</v>
      </c>
    </row>
    <row r="11189">
      <c r="A11189" s="39"/>
      <c r="E11189" s="40" t="s">
        <v>11404</v>
      </c>
      <c r="F11189" s="40" t="s">
        <v>11404</v>
      </c>
      <c r="G11189" s="40" t="s">
        <v>11404</v>
      </c>
      <c r="H11189" s="40" t="s">
        <v>11404</v>
      </c>
    </row>
    <row r="11190">
      <c r="A11190" s="39"/>
      <c r="E11190" s="40" t="s">
        <v>11404</v>
      </c>
      <c r="F11190" s="40" t="s">
        <v>11404</v>
      </c>
      <c r="G11190" s="40" t="s">
        <v>11404</v>
      </c>
      <c r="H11190" s="40" t="s">
        <v>11404</v>
      </c>
    </row>
    <row r="11191">
      <c r="A11191" s="39"/>
      <c r="E11191" s="40" t="s">
        <v>11404</v>
      </c>
      <c r="F11191" s="40" t="s">
        <v>11404</v>
      </c>
      <c r="G11191" s="40" t="s">
        <v>11404</v>
      </c>
      <c r="H11191" s="40" t="s">
        <v>11404</v>
      </c>
    </row>
    <row r="11192">
      <c r="A11192" s="39"/>
      <c r="E11192" s="40" t="s">
        <v>11404</v>
      </c>
      <c r="F11192" s="40" t="s">
        <v>11404</v>
      </c>
      <c r="G11192" s="40" t="s">
        <v>11404</v>
      </c>
      <c r="H11192" s="40" t="s">
        <v>11404</v>
      </c>
    </row>
    <row r="11193">
      <c r="A11193" s="39"/>
      <c r="E11193" s="40" t="s">
        <v>11404</v>
      </c>
      <c r="F11193" s="40" t="s">
        <v>11404</v>
      </c>
      <c r="G11193" s="40" t="s">
        <v>11404</v>
      </c>
      <c r="H11193" s="40" t="s">
        <v>11404</v>
      </c>
    </row>
    <row r="11194">
      <c r="A11194" s="39"/>
      <c r="E11194" s="40" t="s">
        <v>11404</v>
      </c>
      <c r="F11194" s="40" t="s">
        <v>11404</v>
      </c>
      <c r="G11194" s="40" t="s">
        <v>11404</v>
      </c>
      <c r="H11194" s="40" t="s">
        <v>11404</v>
      </c>
    </row>
    <row r="11195">
      <c r="A11195" s="39"/>
      <c r="E11195" s="40" t="s">
        <v>11404</v>
      </c>
      <c r="F11195" s="40" t="s">
        <v>11404</v>
      </c>
      <c r="G11195" s="40" t="s">
        <v>11404</v>
      </c>
      <c r="H11195" s="40" t="s">
        <v>11404</v>
      </c>
    </row>
    <row r="11196">
      <c r="A11196" s="39"/>
      <c r="E11196" s="40" t="s">
        <v>11404</v>
      </c>
      <c r="F11196" s="40" t="s">
        <v>11404</v>
      </c>
      <c r="G11196" s="40" t="s">
        <v>11404</v>
      </c>
      <c r="H11196" s="40" t="s">
        <v>11404</v>
      </c>
    </row>
    <row r="11197">
      <c r="A11197" s="39"/>
      <c r="E11197" s="40" t="s">
        <v>11404</v>
      </c>
      <c r="F11197" s="40" t="s">
        <v>11404</v>
      </c>
      <c r="G11197" s="40" t="s">
        <v>11404</v>
      </c>
      <c r="H11197" s="40" t="s">
        <v>11404</v>
      </c>
    </row>
    <row r="11198">
      <c r="A11198" s="39"/>
      <c r="E11198" s="40" t="s">
        <v>11404</v>
      </c>
      <c r="F11198" s="40" t="s">
        <v>11404</v>
      </c>
      <c r="G11198" s="40" t="s">
        <v>11404</v>
      </c>
      <c r="H11198" s="40" t="s">
        <v>11404</v>
      </c>
    </row>
    <row r="11199">
      <c r="A11199" s="39"/>
      <c r="E11199" s="40" t="s">
        <v>11404</v>
      </c>
      <c r="F11199" s="40" t="s">
        <v>11404</v>
      </c>
      <c r="G11199" s="40" t="s">
        <v>11404</v>
      </c>
      <c r="H11199" s="40" t="s">
        <v>11404</v>
      </c>
    </row>
    <row r="11200">
      <c r="A11200" s="39"/>
      <c r="E11200" s="40" t="s">
        <v>11404</v>
      </c>
      <c r="F11200" s="40" t="s">
        <v>11404</v>
      </c>
      <c r="G11200" s="40" t="s">
        <v>11404</v>
      </c>
      <c r="H11200" s="40" t="s">
        <v>11404</v>
      </c>
    </row>
    <row r="11201">
      <c r="A11201" s="39"/>
      <c r="E11201" s="40" t="s">
        <v>11404</v>
      </c>
      <c r="F11201" s="40" t="s">
        <v>11404</v>
      </c>
      <c r="G11201" s="40" t="s">
        <v>11404</v>
      </c>
      <c r="H11201" s="40" t="s">
        <v>11404</v>
      </c>
    </row>
    <row r="11202">
      <c r="A11202" s="39"/>
      <c r="E11202" s="40" t="s">
        <v>11404</v>
      </c>
      <c r="F11202" s="40" t="s">
        <v>11404</v>
      </c>
      <c r="G11202" s="40" t="s">
        <v>11404</v>
      </c>
      <c r="H11202" s="40" t="s">
        <v>11404</v>
      </c>
    </row>
    <row r="11203">
      <c r="A11203" s="39"/>
      <c r="E11203" s="40" t="s">
        <v>11404</v>
      </c>
      <c r="F11203" s="40" t="s">
        <v>11404</v>
      </c>
      <c r="G11203" s="40" t="s">
        <v>11404</v>
      </c>
      <c r="H11203" s="40" t="s">
        <v>11404</v>
      </c>
    </row>
    <row r="11204">
      <c r="A11204" s="39"/>
      <c r="E11204" s="40" t="s">
        <v>11404</v>
      </c>
      <c r="F11204" s="40" t="s">
        <v>11404</v>
      </c>
      <c r="G11204" s="40" t="s">
        <v>11404</v>
      </c>
      <c r="H11204" s="40" t="s">
        <v>11404</v>
      </c>
    </row>
    <row r="11205">
      <c r="A11205" s="39"/>
      <c r="E11205" s="40" t="s">
        <v>11404</v>
      </c>
      <c r="F11205" s="40" t="s">
        <v>11404</v>
      </c>
      <c r="G11205" s="40" t="s">
        <v>11404</v>
      </c>
      <c r="H11205" s="40" t="s">
        <v>11404</v>
      </c>
    </row>
    <row r="11206">
      <c r="A11206" s="39"/>
      <c r="E11206" s="40" t="s">
        <v>11404</v>
      </c>
      <c r="F11206" s="40" t="s">
        <v>11404</v>
      </c>
      <c r="G11206" s="40" t="s">
        <v>11404</v>
      </c>
      <c r="H11206" s="40" t="s">
        <v>11404</v>
      </c>
    </row>
    <row r="11207">
      <c r="A11207" s="39"/>
      <c r="E11207" s="40" t="s">
        <v>11404</v>
      </c>
      <c r="F11207" s="40" t="s">
        <v>11404</v>
      </c>
      <c r="G11207" s="40" t="s">
        <v>11404</v>
      </c>
      <c r="H11207" s="40" t="s">
        <v>11404</v>
      </c>
    </row>
    <row r="11208">
      <c r="A11208" s="39"/>
      <c r="E11208" s="40" t="s">
        <v>11404</v>
      </c>
      <c r="F11208" s="40" t="s">
        <v>11404</v>
      </c>
      <c r="G11208" s="40" t="s">
        <v>11404</v>
      </c>
      <c r="H11208" s="40" t="s">
        <v>11404</v>
      </c>
    </row>
    <row r="11209">
      <c r="A11209" s="39"/>
      <c r="E11209" s="40" t="s">
        <v>11404</v>
      </c>
      <c r="F11209" s="40" t="s">
        <v>11404</v>
      </c>
      <c r="G11209" s="40" t="s">
        <v>11404</v>
      </c>
      <c r="H11209" s="40" t="s">
        <v>11404</v>
      </c>
    </row>
    <row r="11210">
      <c r="A11210" s="39"/>
      <c r="E11210" s="40" t="s">
        <v>11404</v>
      </c>
      <c r="F11210" s="40" t="s">
        <v>11404</v>
      </c>
      <c r="G11210" s="40" t="s">
        <v>11404</v>
      </c>
      <c r="H11210" s="40" t="s">
        <v>11404</v>
      </c>
    </row>
    <row r="11211">
      <c r="A11211" s="39"/>
      <c r="E11211" s="40" t="s">
        <v>11404</v>
      </c>
      <c r="F11211" s="40" t="s">
        <v>11404</v>
      </c>
      <c r="G11211" s="40" t="s">
        <v>11404</v>
      </c>
      <c r="H11211" s="40" t="s">
        <v>11404</v>
      </c>
    </row>
    <row r="11212">
      <c r="A11212" s="39"/>
      <c r="E11212" s="40" t="s">
        <v>11404</v>
      </c>
      <c r="F11212" s="40" t="s">
        <v>11404</v>
      </c>
      <c r="G11212" s="40" t="s">
        <v>11404</v>
      </c>
      <c r="H11212" s="40" t="s">
        <v>11404</v>
      </c>
    </row>
    <row r="11213">
      <c r="A11213" s="39"/>
      <c r="E11213" s="40" t="s">
        <v>11404</v>
      </c>
      <c r="F11213" s="40" t="s">
        <v>11404</v>
      </c>
      <c r="G11213" s="40" t="s">
        <v>11404</v>
      </c>
      <c r="H11213" s="40" t="s">
        <v>11404</v>
      </c>
    </row>
    <row r="11214">
      <c r="A11214" s="39"/>
      <c r="E11214" s="40" t="s">
        <v>11404</v>
      </c>
      <c r="F11214" s="40" t="s">
        <v>11404</v>
      </c>
      <c r="G11214" s="40" t="s">
        <v>11404</v>
      </c>
      <c r="H11214" s="40" t="s">
        <v>11404</v>
      </c>
    </row>
    <row r="11215">
      <c r="A11215" s="39"/>
      <c r="E11215" s="40" t="s">
        <v>11404</v>
      </c>
      <c r="F11215" s="40" t="s">
        <v>11404</v>
      </c>
      <c r="G11215" s="40" t="s">
        <v>11404</v>
      </c>
      <c r="H11215" s="40" t="s">
        <v>11404</v>
      </c>
    </row>
    <row r="11216">
      <c r="A11216" s="39"/>
      <c r="E11216" s="40" t="s">
        <v>11404</v>
      </c>
      <c r="F11216" s="40" t="s">
        <v>11404</v>
      </c>
      <c r="G11216" s="40" t="s">
        <v>11404</v>
      </c>
      <c r="H11216" s="40" t="s">
        <v>11404</v>
      </c>
    </row>
    <row r="11217">
      <c r="A11217" s="39"/>
      <c r="E11217" s="40" t="s">
        <v>11404</v>
      </c>
      <c r="F11217" s="40" t="s">
        <v>11404</v>
      </c>
      <c r="G11217" s="40" t="s">
        <v>11404</v>
      </c>
      <c r="H11217" s="40" t="s">
        <v>11404</v>
      </c>
    </row>
    <row r="11218">
      <c r="A11218" s="39"/>
      <c r="E11218" s="40" t="s">
        <v>11404</v>
      </c>
      <c r="F11218" s="40" t="s">
        <v>11404</v>
      </c>
      <c r="G11218" s="40" t="s">
        <v>11404</v>
      </c>
      <c r="H11218" s="40" t="s">
        <v>11404</v>
      </c>
    </row>
    <row r="11219">
      <c r="A11219" s="39"/>
      <c r="E11219" s="40" t="s">
        <v>11404</v>
      </c>
      <c r="F11219" s="40" t="s">
        <v>11404</v>
      </c>
      <c r="G11219" s="40" t="s">
        <v>11404</v>
      </c>
      <c r="H11219" s="40" t="s">
        <v>11404</v>
      </c>
    </row>
    <row r="11220">
      <c r="A11220" s="39"/>
      <c r="E11220" s="40" t="s">
        <v>11404</v>
      </c>
      <c r="F11220" s="40" t="s">
        <v>11404</v>
      </c>
      <c r="G11220" s="40" t="s">
        <v>11404</v>
      </c>
      <c r="H11220" s="40" t="s">
        <v>11404</v>
      </c>
    </row>
    <row r="11221">
      <c r="A11221" s="39"/>
      <c r="E11221" s="40" t="s">
        <v>11404</v>
      </c>
      <c r="F11221" s="40" t="s">
        <v>11404</v>
      </c>
      <c r="G11221" s="40" t="s">
        <v>11404</v>
      </c>
      <c r="H11221" s="40" t="s">
        <v>11404</v>
      </c>
    </row>
    <row r="11222">
      <c r="A11222" s="39"/>
      <c r="E11222" s="40" t="s">
        <v>11404</v>
      </c>
      <c r="F11222" s="40" t="s">
        <v>11404</v>
      </c>
      <c r="G11222" s="40" t="s">
        <v>11404</v>
      </c>
      <c r="H11222" s="40" t="s">
        <v>11404</v>
      </c>
    </row>
    <row r="11223">
      <c r="A11223" s="39"/>
      <c r="E11223" s="40" t="s">
        <v>11404</v>
      </c>
      <c r="F11223" s="40" t="s">
        <v>11404</v>
      </c>
      <c r="G11223" s="40" t="s">
        <v>11404</v>
      </c>
      <c r="H11223" s="40" t="s">
        <v>11404</v>
      </c>
    </row>
    <row r="11224">
      <c r="A11224" s="39"/>
      <c r="E11224" s="40" t="s">
        <v>11404</v>
      </c>
      <c r="F11224" s="40" t="s">
        <v>11404</v>
      </c>
      <c r="G11224" s="40" t="s">
        <v>11404</v>
      </c>
      <c r="H11224" s="40" t="s">
        <v>11404</v>
      </c>
    </row>
    <row r="11225">
      <c r="A11225" s="39"/>
      <c r="E11225" s="40" t="s">
        <v>11404</v>
      </c>
      <c r="F11225" s="40" t="s">
        <v>11404</v>
      </c>
      <c r="G11225" s="40" t="s">
        <v>11404</v>
      </c>
      <c r="H11225" s="40" t="s">
        <v>11404</v>
      </c>
    </row>
    <row r="11226">
      <c r="A11226" s="39"/>
      <c r="E11226" s="40" t="s">
        <v>11404</v>
      </c>
      <c r="F11226" s="40" t="s">
        <v>11404</v>
      </c>
      <c r="G11226" s="40" t="s">
        <v>11404</v>
      </c>
      <c r="H11226" s="40" t="s">
        <v>11404</v>
      </c>
    </row>
    <row r="11227">
      <c r="A11227" s="39"/>
      <c r="E11227" s="40" t="s">
        <v>11404</v>
      </c>
      <c r="F11227" s="40" t="s">
        <v>11404</v>
      </c>
      <c r="G11227" s="40" t="s">
        <v>11404</v>
      </c>
      <c r="H11227" s="40" t="s">
        <v>11404</v>
      </c>
    </row>
    <row r="11228">
      <c r="A11228" s="39"/>
      <c r="E11228" s="40" t="s">
        <v>11404</v>
      </c>
      <c r="F11228" s="40" t="s">
        <v>11404</v>
      </c>
      <c r="G11228" s="40" t="s">
        <v>11404</v>
      </c>
      <c r="H11228" s="40" t="s">
        <v>11404</v>
      </c>
    </row>
    <row r="11229">
      <c r="A11229" s="39"/>
      <c r="E11229" s="40" t="s">
        <v>11404</v>
      </c>
      <c r="F11229" s="40" t="s">
        <v>11404</v>
      </c>
      <c r="G11229" s="40" t="s">
        <v>11404</v>
      </c>
      <c r="H11229" s="40" t="s">
        <v>11404</v>
      </c>
    </row>
    <row r="11230">
      <c r="A11230" s="39"/>
      <c r="E11230" s="40" t="s">
        <v>11404</v>
      </c>
      <c r="F11230" s="40" t="s">
        <v>11404</v>
      </c>
      <c r="G11230" s="40" t="s">
        <v>11404</v>
      </c>
      <c r="H11230" s="40" t="s">
        <v>11404</v>
      </c>
    </row>
    <row r="11231">
      <c r="A11231" s="39"/>
      <c r="E11231" s="40" t="s">
        <v>11404</v>
      </c>
      <c r="F11231" s="40" t="s">
        <v>11404</v>
      </c>
      <c r="G11231" s="40" t="s">
        <v>11404</v>
      </c>
      <c r="H11231" s="40" t="s">
        <v>11404</v>
      </c>
    </row>
    <row r="11232">
      <c r="A11232" s="39"/>
      <c r="E11232" s="40" t="s">
        <v>11404</v>
      </c>
      <c r="F11232" s="40" t="s">
        <v>11404</v>
      </c>
      <c r="G11232" s="40" t="s">
        <v>11404</v>
      </c>
      <c r="H11232" s="40" t="s">
        <v>11404</v>
      </c>
    </row>
    <row r="11233">
      <c r="A11233" s="39"/>
      <c r="E11233" s="40" t="s">
        <v>11404</v>
      </c>
      <c r="F11233" s="40" t="s">
        <v>11404</v>
      </c>
      <c r="G11233" s="40" t="s">
        <v>11404</v>
      </c>
      <c r="H11233" s="40" t="s">
        <v>11404</v>
      </c>
    </row>
    <row r="11234">
      <c r="A11234" s="39"/>
      <c r="E11234" s="40" t="s">
        <v>11404</v>
      </c>
      <c r="F11234" s="40" t="s">
        <v>11404</v>
      </c>
      <c r="G11234" s="40" t="s">
        <v>11404</v>
      </c>
      <c r="H11234" s="40" t="s">
        <v>11404</v>
      </c>
    </row>
    <row r="11235">
      <c r="A11235" s="39"/>
      <c r="E11235" s="40" t="s">
        <v>11404</v>
      </c>
      <c r="F11235" s="40" t="s">
        <v>11404</v>
      </c>
      <c r="G11235" s="40" t="s">
        <v>11404</v>
      </c>
      <c r="H11235" s="40" t="s">
        <v>11404</v>
      </c>
    </row>
    <row r="11236">
      <c r="A11236" s="39"/>
      <c r="E11236" s="40" t="s">
        <v>11404</v>
      </c>
      <c r="F11236" s="40" t="s">
        <v>11404</v>
      </c>
      <c r="G11236" s="40" t="s">
        <v>11404</v>
      </c>
      <c r="H11236" s="40" t="s">
        <v>11404</v>
      </c>
    </row>
    <row r="11237">
      <c r="A11237" s="39"/>
      <c r="E11237" s="40" t="s">
        <v>11404</v>
      </c>
      <c r="F11237" s="40" t="s">
        <v>11404</v>
      </c>
      <c r="G11237" s="40" t="s">
        <v>11404</v>
      </c>
      <c r="H11237" s="40" t="s">
        <v>11404</v>
      </c>
    </row>
    <row r="11238">
      <c r="A11238" s="39"/>
      <c r="E11238" s="40" t="s">
        <v>11404</v>
      </c>
      <c r="F11238" s="40" t="s">
        <v>11404</v>
      </c>
      <c r="G11238" s="40" t="s">
        <v>11404</v>
      </c>
      <c r="H11238" s="40" t="s">
        <v>11404</v>
      </c>
    </row>
    <row r="11239">
      <c r="A11239" s="39"/>
      <c r="E11239" s="40" t="s">
        <v>11404</v>
      </c>
      <c r="F11239" s="40" t="s">
        <v>11404</v>
      </c>
      <c r="G11239" s="40" t="s">
        <v>11404</v>
      </c>
      <c r="H11239" s="40" t="s">
        <v>11404</v>
      </c>
    </row>
    <row r="11240">
      <c r="A11240" s="39"/>
      <c r="E11240" s="40" t="s">
        <v>11404</v>
      </c>
      <c r="F11240" s="40" t="s">
        <v>11404</v>
      </c>
      <c r="G11240" s="40" t="s">
        <v>11404</v>
      </c>
      <c r="H11240" s="40" t="s">
        <v>11404</v>
      </c>
    </row>
    <row r="11241">
      <c r="A11241" s="39"/>
      <c r="E11241" s="40" t="s">
        <v>11404</v>
      </c>
      <c r="F11241" s="40" t="s">
        <v>11404</v>
      </c>
      <c r="G11241" s="40" t="s">
        <v>11404</v>
      </c>
      <c r="H11241" s="40" t="s">
        <v>11404</v>
      </c>
    </row>
    <row r="11242">
      <c r="A11242" s="39"/>
      <c r="E11242" s="40" t="s">
        <v>11404</v>
      </c>
      <c r="F11242" s="40" t="s">
        <v>11404</v>
      </c>
      <c r="G11242" s="40" t="s">
        <v>11404</v>
      </c>
      <c r="H11242" s="40" t="s">
        <v>11404</v>
      </c>
    </row>
    <row r="11243">
      <c r="A11243" s="39"/>
      <c r="E11243" s="40" t="s">
        <v>11404</v>
      </c>
      <c r="F11243" s="40" t="s">
        <v>11404</v>
      </c>
      <c r="G11243" s="40" t="s">
        <v>11404</v>
      </c>
      <c r="H11243" s="40" t="s">
        <v>11404</v>
      </c>
    </row>
    <row r="11244">
      <c r="A11244" s="39"/>
      <c r="E11244" s="40" t="s">
        <v>11404</v>
      </c>
      <c r="F11244" s="40" t="s">
        <v>11404</v>
      </c>
      <c r="G11244" s="40" t="s">
        <v>11404</v>
      </c>
      <c r="H11244" s="40" t="s">
        <v>11404</v>
      </c>
    </row>
    <row r="11245">
      <c r="A11245" s="39"/>
      <c r="E11245" s="40" t="s">
        <v>11404</v>
      </c>
      <c r="F11245" s="40" t="s">
        <v>11404</v>
      </c>
      <c r="G11245" s="40" t="s">
        <v>11404</v>
      </c>
      <c r="H11245" s="40" t="s">
        <v>11404</v>
      </c>
    </row>
    <row r="11246">
      <c r="A11246" s="39"/>
      <c r="E11246" s="40" t="s">
        <v>11404</v>
      </c>
      <c r="F11246" s="40" t="s">
        <v>11404</v>
      </c>
      <c r="G11246" s="40" t="s">
        <v>11404</v>
      </c>
      <c r="H11246" s="40" t="s">
        <v>11404</v>
      </c>
    </row>
    <row r="11247">
      <c r="A11247" s="39"/>
      <c r="E11247" s="40" t="s">
        <v>11404</v>
      </c>
      <c r="F11247" s="40" t="s">
        <v>11404</v>
      </c>
      <c r="G11247" s="40" t="s">
        <v>11404</v>
      </c>
      <c r="H11247" s="40" t="s">
        <v>11404</v>
      </c>
    </row>
    <row r="11248">
      <c r="A11248" s="39"/>
      <c r="E11248" s="40" t="s">
        <v>11404</v>
      </c>
      <c r="F11248" s="40" t="s">
        <v>11404</v>
      </c>
      <c r="G11248" s="40" t="s">
        <v>11404</v>
      </c>
      <c r="H11248" s="40" t="s">
        <v>11404</v>
      </c>
    </row>
    <row r="11249">
      <c r="A11249" s="39"/>
      <c r="E11249" s="40" t="s">
        <v>11404</v>
      </c>
      <c r="F11249" s="40" t="s">
        <v>11404</v>
      </c>
      <c r="G11249" s="40" t="s">
        <v>11404</v>
      </c>
      <c r="H11249" s="40" t="s">
        <v>11404</v>
      </c>
    </row>
    <row r="11250">
      <c r="A11250" s="39"/>
      <c r="E11250" s="40" t="s">
        <v>11404</v>
      </c>
      <c r="F11250" s="40" t="s">
        <v>11404</v>
      </c>
      <c r="G11250" s="40" t="s">
        <v>11404</v>
      </c>
      <c r="H11250" s="40" t="s">
        <v>11404</v>
      </c>
    </row>
    <row r="11251">
      <c r="A11251" s="39"/>
      <c r="E11251" s="40" t="s">
        <v>11404</v>
      </c>
      <c r="F11251" s="40" t="s">
        <v>11404</v>
      </c>
      <c r="G11251" s="40" t="s">
        <v>11404</v>
      </c>
      <c r="H11251" s="40" t="s">
        <v>11404</v>
      </c>
    </row>
    <row r="11252">
      <c r="A11252" s="39"/>
      <c r="E11252" s="40" t="s">
        <v>11404</v>
      </c>
      <c r="F11252" s="40" t="s">
        <v>11404</v>
      </c>
      <c r="G11252" s="40" t="s">
        <v>11404</v>
      </c>
      <c r="H11252" s="40" t="s">
        <v>11404</v>
      </c>
    </row>
    <row r="11253">
      <c r="A11253" s="39"/>
      <c r="E11253" s="40" t="s">
        <v>11404</v>
      </c>
      <c r="F11253" s="40" t="s">
        <v>11404</v>
      </c>
      <c r="G11253" s="40" t="s">
        <v>11404</v>
      </c>
      <c r="H11253" s="40" t="s">
        <v>11404</v>
      </c>
    </row>
    <row r="11254">
      <c r="A11254" s="39"/>
      <c r="E11254" s="40" t="s">
        <v>11404</v>
      </c>
      <c r="F11254" s="40" t="s">
        <v>11404</v>
      </c>
      <c r="G11254" s="40" t="s">
        <v>11404</v>
      </c>
      <c r="H11254" s="40" t="s">
        <v>11404</v>
      </c>
    </row>
    <row r="11255">
      <c r="A11255" s="39"/>
      <c r="E11255" s="40" t="s">
        <v>11404</v>
      </c>
      <c r="F11255" s="40" t="s">
        <v>11404</v>
      </c>
      <c r="G11255" s="40" t="s">
        <v>11404</v>
      </c>
      <c r="H11255" s="40" t="s">
        <v>11404</v>
      </c>
    </row>
    <row r="11256">
      <c r="A11256" s="39"/>
      <c r="E11256" s="40" t="s">
        <v>11404</v>
      </c>
      <c r="F11256" s="40" t="s">
        <v>11404</v>
      </c>
      <c r="G11256" s="40" t="s">
        <v>11404</v>
      </c>
      <c r="H11256" s="40" t="s">
        <v>11404</v>
      </c>
    </row>
    <row r="11257">
      <c r="A11257" s="39"/>
      <c r="E11257" s="40" t="s">
        <v>11404</v>
      </c>
      <c r="F11257" s="40" t="s">
        <v>11404</v>
      </c>
      <c r="G11257" s="40" t="s">
        <v>11404</v>
      </c>
      <c r="H11257" s="40" t="s">
        <v>11404</v>
      </c>
    </row>
    <row r="11258">
      <c r="A11258" s="39"/>
      <c r="E11258" s="40" t="s">
        <v>11404</v>
      </c>
      <c r="F11258" s="40" t="s">
        <v>11404</v>
      </c>
      <c r="G11258" s="40" t="s">
        <v>11404</v>
      </c>
      <c r="H11258" s="40" t="s">
        <v>11404</v>
      </c>
    </row>
    <row r="11259">
      <c r="A11259" s="39"/>
      <c r="E11259" s="40" t="s">
        <v>11404</v>
      </c>
      <c r="F11259" s="40" t="s">
        <v>11404</v>
      </c>
      <c r="G11259" s="40" t="s">
        <v>11404</v>
      </c>
      <c r="H11259" s="40" t="s">
        <v>11404</v>
      </c>
    </row>
    <row r="11260">
      <c r="A11260" s="39"/>
      <c r="E11260" s="40" t="s">
        <v>11404</v>
      </c>
      <c r="F11260" s="40" t="s">
        <v>11404</v>
      </c>
      <c r="G11260" s="40" t="s">
        <v>11404</v>
      </c>
      <c r="H11260" s="40" t="s">
        <v>11404</v>
      </c>
    </row>
    <row r="11261">
      <c r="A11261" s="39"/>
      <c r="E11261" s="40" t="s">
        <v>11404</v>
      </c>
      <c r="F11261" s="40" t="s">
        <v>11404</v>
      </c>
      <c r="G11261" s="40" t="s">
        <v>11404</v>
      </c>
      <c r="H11261" s="40" t="s">
        <v>11404</v>
      </c>
    </row>
    <row r="11262">
      <c r="A11262" s="39"/>
      <c r="E11262" s="40" t="s">
        <v>11404</v>
      </c>
      <c r="F11262" s="40" t="s">
        <v>11404</v>
      </c>
      <c r="G11262" s="40" t="s">
        <v>11404</v>
      </c>
      <c r="H11262" s="40" t="s">
        <v>11404</v>
      </c>
    </row>
    <row r="11263">
      <c r="A11263" s="39"/>
      <c r="E11263" s="40" t="s">
        <v>11404</v>
      </c>
      <c r="F11263" s="40" t="s">
        <v>11404</v>
      </c>
      <c r="G11263" s="40" t="s">
        <v>11404</v>
      </c>
      <c r="H11263" s="40" t="s">
        <v>11404</v>
      </c>
    </row>
    <row r="11264">
      <c r="A11264" s="39"/>
      <c r="E11264" s="40" t="s">
        <v>11404</v>
      </c>
      <c r="F11264" s="40" t="s">
        <v>11404</v>
      </c>
      <c r="G11264" s="40" t="s">
        <v>11404</v>
      </c>
      <c r="H11264" s="40" t="s">
        <v>11404</v>
      </c>
    </row>
    <row r="11265">
      <c r="A11265" s="39"/>
      <c r="E11265" s="40" t="s">
        <v>11404</v>
      </c>
      <c r="F11265" s="40" t="s">
        <v>11404</v>
      </c>
      <c r="G11265" s="40" t="s">
        <v>11404</v>
      </c>
      <c r="H11265" s="40" t="s">
        <v>11404</v>
      </c>
    </row>
    <row r="11266">
      <c r="A11266" s="39"/>
      <c r="E11266" s="40" t="s">
        <v>11404</v>
      </c>
      <c r="F11266" s="40" t="s">
        <v>11404</v>
      </c>
      <c r="G11266" s="40" t="s">
        <v>11404</v>
      </c>
      <c r="H11266" s="40" t="s">
        <v>11404</v>
      </c>
    </row>
    <row r="11267">
      <c r="A11267" s="39"/>
      <c r="E11267" s="40" t="s">
        <v>11404</v>
      </c>
      <c r="F11267" s="40" t="s">
        <v>11404</v>
      </c>
      <c r="G11267" s="40" t="s">
        <v>11404</v>
      </c>
      <c r="H11267" s="40" t="s">
        <v>11404</v>
      </c>
    </row>
    <row r="11268">
      <c r="A11268" s="39"/>
      <c r="E11268" s="40" t="s">
        <v>11404</v>
      </c>
      <c r="F11268" s="40" t="s">
        <v>11404</v>
      </c>
      <c r="G11268" s="40" t="s">
        <v>11404</v>
      </c>
      <c r="H11268" s="40" t="s">
        <v>11404</v>
      </c>
    </row>
    <row r="11269">
      <c r="A11269" s="39"/>
      <c r="E11269" s="40" t="s">
        <v>11404</v>
      </c>
      <c r="F11269" s="40" t="s">
        <v>11404</v>
      </c>
      <c r="G11269" s="40" t="s">
        <v>11404</v>
      </c>
      <c r="H11269" s="40" t="s">
        <v>11404</v>
      </c>
    </row>
    <row r="11270">
      <c r="A11270" s="39"/>
      <c r="E11270" s="40" t="s">
        <v>11404</v>
      </c>
      <c r="F11270" s="40" t="s">
        <v>11404</v>
      </c>
      <c r="G11270" s="40" t="s">
        <v>11404</v>
      </c>
      <c r="H11270" s="40" t="s">
        <v>11404</v>
      </c>
    </row>
    <row r="11271">
      <c r="A11271" s="39"/>
      <c r="E11271" s="40" t="s">
        <v>11404</v>
      </c>
      <c r="F11271" s="40" t="s">
        <v>11404</v>
      </c>
      <c r="G11271" s="40" t="s">
        <v>11404</v>
      </c>
      <c r="H11271" s="40" t="s">
        <v>11404</v>
      </c>
    </row>
    <row r="11272">
      <c r="A11272" s="39"/>
      <c r="E11272" s="40" t="s">
        <v>11404</v>
      </c>
      <c r="F11272" s="40" t="s">
        <v>11404</v>
      </c>
      <c r="G11272" s="40" t="s">
        <v>11404</v>
      </c>
      <c r="H11272" s="40" t="s">
        <v>11404</v>
      </c>
    </row>
    <row r="11273">
      <c r="A11273" s="39"/>
      <c r="E11273" s="40" t="s">
        <v>11404</v>
      </c>
      <c r="F11273" s="40" t="s">
        <v>11404</v>
      </c>
      <c r="G11273" s="40" t="s">
        <v>11404</v>
      </c>
      <c r="H11273" s="40" t="s">
        <v>11404</v>
      </c>
    </row>
    <row r="11274">
      <c r="A11274" s="39"/>
      <c r="E11274" s="40" t="s">
        <v>11404</v>
      </c>
      <c r="F11274" s="40" t="s">
        <v>11404</v>
      </c>
      <c r="G11274" s="40" t="s">
        <v>11404</v>
      </c>
      <c r="H11274" s="40" t="s">
        <v>11404</v>
      </c>
    </row>
    <row r="11275">
      <c r="A11275" s="39"/>
      <c r="E11275" s="40" t="s">
        <v>11404</v>
      </c>
      <c r="F11275" s="40" t="s">
        <v>11404</v>
      </c>
      <c r="G11275" s="40" t="s">
        <v>11404</v>
      </c>
      <c r="H11275" s="40" t="s">
        <v>11404</v>
      </c>
    </row>
    <row r="11276">
      <c r="A11276" s="39"/>
      <c r="E11276" s="40" t="s">
        <v>11404</v>
      </c>
      <c r="F11276" s="40" t="s">
        <v>11404</v>
      </c>
      <c r="G11276" s="40" t="s">
        <v>11404</v>
      </c>
      <c r="H11276" s="40" t="s">
        <v>11404</v>
      </c>
    </row>
    <row r="11277">
      <c r="A11277" s="39"/>
      <c r="E11277" s="40" t="s">
        <v>11404</v>
      </c>
      <c r="F11277" s="40" t="s">
        <v>11404</v>
      </c>
      <c r="G11277" s="40" t="s">
        <v>11404</v>
      </c>
      <c r="H11277" s="40" t="s">
        <v>11404</v>
      </c>
    </row>
    <row r="11278">
      <c r="A11278" s="39"/>
      <c r="E11278" s="40" t="s">
        <v>11404</v>
      </c>
      <c r="F11278" s="40" t="s">
        <v>11404</v>
      </c>
      <c r="G11278" s="40" t="s">
        <v>11404</v>
      </c>
      <c r="H11278" s="40" t="s">
        <v>11404</v>
      </c>
    </row>
    <row r="11279">
      <c r="A11279" s="39"/>
      <c r="E11279" s="40" t="s">
        <v>11404</v>
      </c>
      <c r="F11279" s="40" t="s">
        <v>11404</v>
      </c>
      <c r="G11279" s="40" t="s">
        <v>11404</v>
      </c>
      <c r="H11279" s="40" t="s">
        <v>11404</v>
      </c>
    </row>
    <row r="11280">
      <c r="A11280" s="39"/>
      <c r="E11280" s="40" t="s">
        <v>11404</v>
      </c>
      <c r="F11280" s="40" t="s">
        <v>11404</v>
      </c>
      <c r="G11280" s="40" t="s">
        <v>11404</v>
      </c>
      <c r="H11280" s="40" t="s">
        <v>11404</v>
      </c>
    </row>
    <row r="11281">
      <c r="A11281" s="39"/>
      <c r="E11281" s="40" t="s">
        <v>11404</v>
      </c>
      <c r="F11281" s="40" t="s">
        <v>11404</v>
      </c>
      <c r="G11281" s="40" t="s">
        <v>11404</v>
      </c>
      <c r="H11281" s="40" t="s">
        <v>11404</v>
      </c>
    </row>
    <row r="11282">
      <c r="A11282" s="39"/>
      <c r="E11282" s="40" t="s">
        <v>11404</v>
      </c>
      <c r="F11282" s="40" t="s">
        <v>11404</v>
      </c>
      <c r="G11282" s="40" t="s">
        <v>11404</v>
      </c>
      <c r="H11282" s="40" t="s">
        <v>11404</v>
      </c>
    </row>
    <row r="11283">
      <c r="A11283" s="39"/>
      <c r="E11283" s="40" t="s">
        <v>11404</v>
      </c>
      <c r="F11283" s="40" t="s">
        <v>11404</v>
      </c>
      <c r="G11283" s="40" t="s">
        <v>11404</v>
      </c>
      <c r="H11283" s="40" t="s">
        <v>11404</v>
      </c>
    </row>
    <row r="11284">
      <c r="A11284" s="39"/>
      <c r="E11284" s="40" t="s">
        <v>11404</v>
      </c>
      <c r="F11284" s="40" t="s">
        <v>11404</v>
      </c>
      <c r="G11284" s="40" t="s">
        <v>11404</v>
      </c>
      <c r="H11284" s="40" t="s">
        <v>11404</v>
      </c>
    </row>
    <row r="11285">
      <c r="A11285" s="39"/>
      <c r="E11285" s="40" t="s">
        <v>11404</v>
      </c>
      <c r="F11285" s="40" t="s">
        <v>11404</v>
      </c>
      <c r="G11285" s="40" t="s">
        <v>11404</v>
      </c>
      <c r="H11285" s="40" t="s">
        <v>11404</v>
      </c>
    </row>
    <row r="11286">
      <c r="A11286" s="39"/>
      <c r="E11286" s="40" t="s">
        <v>11404</v>
      </c>
      <c r="F11286" s="40" t="s">
        <v>11404</v>
      </c>
      <c r="G11286" s="40" t="s">
        <v>11404</v>
      </c>
      <c r="H11286" s="40" t="s">
        <v>11404</v>
      </c>
    </row>
    <row r="11287">
      <c r="A11287" s="39"/>
      <c r="E11287" s="40" t="s">
        <v>11404</v>
      </c>
      <c r="F11287" s="40" t="s">
        <v>11404</v>
      </c>
      <c r="G11287" s="40" t="s">
        <v>11404</v>
      </c>
      <c r="H11287" s="40" t="s">
        <v>11404</v>
      </c>
    </row>
    <row r="11288">
      <c r="A11288" s="39"/>
      <c r="E11288" s="40" t="s">
        <v>11404</v>
      </c>
      <c r="F11288" s="40" t="s">
        <v>11404</v>
      </c>
      <c r="G11288" s="40" t="s">
        <v>11404</v>
      </c>
      <c r="H11288" s="40" t="s">
        <v>11404</v>
      </c>
    </row>
    <row r="11289">
      <c r="A11289" s="39"/>
      <c r="E11289" s="40" t="s">
        <v>11404</v>
      </c>
      <c r="F11289" s="40" t="s">
        <v>11404</v>
      </c>
      <c r="G11289" s="40" t="s">
        <v>11404</v>
      </c>
      <c r="H11289" s="40" t="s">
        <v>11404</v>
      </c>
    </row>
    <row r="11290">
      <c r="A11290" s="39"/>
      <c r="E11290" s="40" t="s">
        <v>11404</v>
      </c>
      <c r="F11290" s="40" t="s">
        <v>11404</v>
      </c>
      <c r="G11290" s="40" t="s">
        <v>11404</v>
      </c>
      <c r="H11290" s="40" t="s">
        <v>11404</v>
      </c>
    </row>
    <row r="11291">
      <c r="A11291" s="39"/>
      <c r="E11291" s="40" t="s">
        <v>11404</v>
      </c>
      <c r="F11291" s="40" t="s">
        <v>11404</v>
      </c>
      <c r="G11291" s="40" t="s">
        <v>11404</v>
      </c>
      <c r="H11291" s="40" t="s">
        <v>11404</v>
      </c>
    </row>
    <row r="11292">
      <c r="A11292" s="39"/>
      <c r="E11292" s="40" t="s">
        <v>11404</v>
      </c>
      <c r="F11292" s="40" t="s">
        <v>11404</v>
      </c>
      <c r="G11292" s="40" t="s">
        <v>11404</v>
      </c>
      <c r="H11292" s="40" t="s">
        <v>11404</v>
      </c>
    </row>
    <row r="11293">
      <c r="A11293" s="39"/>
      <c r="E11293" s="40" t="s">
        <v>11404</v>
      </c>
      <c r="F11293" s="40" t="s">
        <v>11404</v>
      </c>
      <c r="G11293" s="40" t="s">
        <v>11404</v>
      </c>
      <c r="H11293" s="40" t="s">
        <v>11404</v>
      </c>
    </row>
    <row r="11294">
      <c r="A11294" s="39"/>
      <c r="E11294" s="40" t="s">
        <v>11404</v>
      </c>
      <c r="F11294" s="40" t="s">
        <v>11404</v>
      </c>
      <c r="G11294" s="40" t="s">
        <v>11404</v>
      </c>
      <c r="H11294" s="40" t="s">
        <v>11404</v>
      </c>
    </row>
    <row r="11295">
      <c r="A11295" s="39"/>
      <c r="E11295" s="40" t="s">
        <v>11404</v>
      </c>
      <c r="F11295" s="40" t="s">
        <v>11404</v>
      </c>
      <c r="G11295" s="40" t="s">
        <v>11404</v>
      </c>
      <c r="H11295" s="40" t="s">
        <v>11404</v>
      </c>
    </row>
    <row r="11296">
      <c r="A11296" s="39"/>
      <c r="E11296" s="40" t="s">
        <v>11404</v>
      </c>
      <c r="F11296" s="40" t="s">
        <v>11404</v>
      </c>
      <c r="G11296" s="40" t="s">
        <v>11404</v>
      </c>
      <c r="H11296" s="40" t="s">
        <v>11404</v>
      </c>
    </row>
    <row r="11297">
      <c r="A11297" s="39"/>
      <c r="E11297" s="40" t="s">
        <v>11404</v>
      </c>
      <c r="F11297" s="40" t="s">
        <v>11404</v>
      </c>
      <c r="G11297" s="40" t="s">
        <v>11404</v>
      </c>
      <c r="H11297" s="40" t="s">
        <v>11404</v>
      </c>
    </row>
    <row r="11298">
      <c r="A11298" s="39"/>
      <c r="E11298" s="40" t="s">
        <v>11404</v>
      </c>
      <c r="F11298" s="40" t="s">
        <v>11404</v>
      </c>
      <c r="G11298" s="40" t="s">
        <v>11404</v>
      </c>
      <c r="H11298" s="40" t="s">
        <v>11404</v>
      </c>
    </row>
    <row r="11299">
      <c r="A11299" s="39"/>
      <c r="E11299" s="40" t="s">
        <v>11404</v>
      </c>
      <c r="F11299" s="40" t="s">
        <v>11404</v>
      </c>
      <c r="G11299" s="40" t="s">
        <v>11404</v>
      </c>
      <c r="H11299" s="40" t="s">
        <v>11404</v>
      </c>
    </row>
    <row r="11300">
      <c r="A11300" s="39"/>
      <c r="E11300" s="40" t="s">
        <v>11404</v>
      </c>
      <c r="F11300" s="40" t="s">
        <v>11404</v>
      </c>
      <c r="G11300" s="40" t="s">
        <v>11404</v>
      </c>
      <c r="H11300" s="40" t="s">
        <v>11404</v>
      </c>
    </row>
    <row r="11301">
      <c r="A11301" s="39"/>
      <c r="E11301" s="40" t="s">
        <v>11404</v>
      </c>
      <c r="F11301" s="40" t="s">
        <v>11404</v>
      </c>
      <c r="G11301" s="40" t="s">
        <v>11404</v>
      </c>
      <c r="H11301" s="40" t="s">
        <v>11404</v>
      </c>
    </row>
    <row r="11302">
      <c r="A11302" s="39"/>
      <c r="E11302" s="40" t="s">
        <v>11404</v>
      </c>
      <c r="F11302" s="40" t="s">
        <v>11404</v>
      </c>
      <c r="G11302" s="40" t="s">
        <v>11404</v>
      </c>
      <c r="H11302" s="40" t="s">
        <v>11404</v>
      </c>
    </row>
    <row r="11303">
      <c r="A11303" s="39"/>
      <c r="E11303" s="40" t="s">
        <v>11404</v>
      </c>
      <c r="F11303" s="40" t="s">
        <v>11404</v>
      </c>
      <c r="G11303" s="40" t="s">
        <v>11404</v>
      </c>
      <c r="H11303" s="40" t="s">
        <v>11404</v>
      </c>
    </row>
    <row r="11304">
      <c r="A11304" s="39"/>
      <c r="E11304" s="40" t="s">
        <v>11404</v>
      </c>
      <c r="F11304" s="40" t="s">
        <v>11404</v>
      </c>
      <c r="G11304" s="40" t="s">
        <v>11404</v>
      </c>
      <c r="H11304" s="40" t="s">
        <v>11404</v>
      </c>
    </row>
    <row r="11305">
      <c r="A11305" s="39"/>
      <c r="E11305" s="40" t="s">
        <v>11404</v>
      </c>
      <c r="F11305" s="40" t="s">
        <v>11404</v>
      </c>
      <c r="G11305" s="40" t="s">
        <v>11404</v>
      </c>
      <c r="H11305" s="40" t="s">
        <v>11404</v>
      </c>
    </row>
    <row r="11306">
      <c r="A11306" s="39"/>
      <c r="E11306" s="40" t="s">
        <v>11404</v>
      </c>
      <c r="F11306" s="40" t="s">
        <v>11404</v>
      </c>
      <c r="G11306" s="40" t="s">
        <v>11404</v>
      </c>
      <c r="H11306" s="40" t="s">
        <v>11404</v>
      </c>
    </row>
    <row r="11307">
      <c r="A11307" s="39"/>
      <c r="E11307" s="40" t="s">
        <v>11404</v>
      </c>
      <c r="F11307" s="40" t="s">
        <v>11404</v>
      </c>
      <c r="G11307" s="40" t="s">
        <v>11404</v>
      </c>
      <c r="H11307" s="40" t="s">
        <v>11404</v>
      </c>
    </row>
    <row r="11308">
      <c r="A11308" s="39"/>
      <c r="E11308" s="40" t="s">
        <v>11404</v>
      </c>
      <c r="F11308" s="40" t="s">
        <v>11404</v>
      </c>
      <c r="G11308" s="40" t="s">
        <v>11404</v>
      </c>
      <c r="H11308" s="40" t="s">
        <v>11404</v>
      </c>
    </row>
    <row r="11309">
      <c r="A11309" s="39"/>
      <c r="E11309" s="40" t="s">
        <v>11404</v>
      </c>
      <c r="F11309" s="40" t="s">
        <v>11404</v>
      </c>
      <c r="G11309" s="40" t="s">
        <v>11404</v>
      </c>
      <c r="H11309" s="40" t="s">
        <v>11404</v>
      </c>
    </row>
    <row r="11310">
      <c r="A11310" s="39"/>
      <c r="E11310" s="40" t="s">
        <v>11404</v>
      </c>
      <c r="F11310" s="40" t="s">
        <v>11404</v>
      </c>
      <c r="G11310" s="40" t="s">
        <v>11404</v>
      </c>
      <c r="H11310" s="40" t="s">
        <v>11404</v>
      </c>
    </row>
    <row r="11311">
      <c r="A11311" s="39"/>
      <c r="E11311" s="40" t="s">
        <v>11404</v>
      </c>
      <c r="F11311" s="40" t="s">
        <v>11404</v>
      </c>
      <c r="G11311" s="40" t="s">
        <v>11404</v>
      </c>
      <c r="H11311" s="40" t="s">
        <v>11404</v>
      </c>
    </row>
    <row r="11312">
      <c r="A11312" s="39"/>
      <c r="E11312" s="40" t="s">
        <v>11404</v>
      </c>
      <c r="F11312" s="40" t="s">
        <v>11404</v>
      </c>
      <c r="G11312" s="40" t="s">
        <v>11404</v>
      </c>
      <c r="H11312" s="40" t="s">
        <v>11404</v>
      </c>
    </row>
    <row r="11313">
      <c r="A11313" s="39"/>
      <c r="E11313" s="40" t="s">
        <v>11404</v>
      </c>
      <c r="F11313" s="40" t="s">
        <v>11404</v>
      </c>
      <c r="G11313" s="40" t="s">
        <v>11404</v>
      </c>
      <c r="H11313" s="40" t="s">
        <v>11404</v>
      </c>
    </row>
    <row r="11314">
      <c r="A11314" s="39"/>
      <c r="E11314" s="40" t="s">
        <v>11404</v>
      </c>
      <c r="F11314" s="40" t="s">
        <v>11404</v>
      </c>
      <c r="G11314" s="40" t="s">
        <v>11404</v>
      </c>
      <c r="H11314" s="40" t="s">
        <v>11404</v>
      </c>
    </row>
    <row r="11315">
      <c r="A11315" s="39"/>
      <c r="E11315" s="40" t="s">
        <v>11404</v>
      </c>
      <c r="F11315" s="40" t="s">
        <v>11404</v>
      </c>
      <c r="G11315" s="40" t="s">
        <v>11404</v>
      </c>
      <c r="H11315" s="40" t="s">
        <v>11404</v>
      </c>
    </row>
    <row r="11316">
      <c r="A11316" s="39"/>
      <c r="E11316" s="40" t="s">
        <v>11404</v>
      </c>
      <c r="F11316" s="40" t="s">
        <v>11404</v>
      </c>
      <c r="G11316" s="40" t="s">
        <v>11404</v>
      </c>
      <c r="H11316" s="40" t="s">
        <v>11404</v>
      </c>
    </row>
    <row r="11317">
      <c r="A11317" s="39"/>
      <c r="E11317" s="40" t="s">
        <v>11404</v>
      </c>
      <c r="F11317" s="40" t="s">
        <v>11404</v>
      </c>
      <c r="G11317" s="40" t="s">
        <v>11404</v>
      </c>
      <c r="H11317" s="40" t="s">
        <v>11404</v>
      </c>
    </row>
    <row r="11318">
      <c r="A11318" s="39"/>
      <c r="E11318" s="40" t="s">
        <v>11404</v>
      </c>
      <c r="F11318" s="40" t="s">
        <v>11404</v>
      </c>
      <c r="G11318" s="40" t="s">
        <v>11404</v>
      </c>
      <c r="H11318" s="40" t="s">
        <v>11404</v>
      </c>
    </row>
    <row r="11319">
      <c r="A11319" s="39"/>
      <c r="E11319" s="40" t="s">
        <v>11404</v>
      </c>
      <c r="F11319" s="40" t="s">
        <v>11404</v>
      </c>
      <c r="G11319" s="40" t="s">
        <v>11404</v>
      </c>
      <c r="H11319" s="40" t="s">
        <v>11404</v>
      </c>
    </row>
    <row r="11320">
      <c r="A11320" s="39"/>
      <c r="E11320" s="40" t="s">
        <v>11404</v>
      </c>
      <c r="F11320" s="40" t="s">
        <v>11404</v>
      </c>
      <c r="G11320" s="40" t="s">
        <v>11404</v>
      </c>
      <c r="H11320" s="40" t="s">
        <v>11404</v>
      </c>
    </row>
    <row r="11321">
      <c r="A11321" s="39"/>
      <c r="E11321" s="40" t="s">
        <v>11404</v>
      </c>
      <c r="F11321" s="40" t="s">
        <v>11404</v>
      </c>
      <c r="G11321" s="40" t="s">
        <v>11404</v>
      </c>
      <c r="H11321" s="40" t="s">
        <v>11404</v>
      </c>
    </row>
    <row r="11322">
      <c r="A11322" s="39"/>
      <c r="E11322" s="40" t="s">
        <v>11404</v>
      </c>
      <c r="F11322" s="40" t="s">
        <v>11404</v>
      </c>
      <c r="G11322" s="40" t="s">
        <v>11404</v>
      </c>
      <c r="H11322" s="40" t="s">
        <v>11404</v>
      </c>
    </row>
    <row r="11323">
      <c r="A11323" s="39"/>
      <c r="E11323" s="40" t="s">
        <v>11404</v>
      </c>
      <c r="F11323" s="40" t="s">
        <v>11404</v>
      </c>
      <c r="G11323" s="40" t="s">
        <v>11404</v>
      </c>
      <c r="H11323" s="40" t="s">
        <v>11404</v>
      </c>
    </row>
    <row r="11324">
      <c r="A11324" s="39"/>
      <c r="E11324" s="40" t="s">
        <v>11404</v>
      </c>
      <c r="F11324" s="40" t="s">
        <v>11404</v>
      </c>
      <c r="G11324" s="40" t="s">
        <v>11404</v>
      </c>
      <c r="H11324" s="40" t="s">
        <v>11404</v>
      </c>
    </row>
    <row r="11325">
      <c r="A11325" s="39"/>
      <c r="E11325" s="40" t="s">
        <v>11404</v>
      </c>
      <c r="F11325" s="40" t="s">
        <v>11404</v>
      </c>
      <c r="G11325" s="40" t="s">
        <v>11404</v>
      </c>
      <c r="H11325" s="40" t="s">
        <v>11404</v>
      </c>
    </row>
    <row r="11326">
      <c r="A11326" s="39"/>
      <c r="E11326" s="40" t="s">
        <v>11404</v>
      </c>
      <c r="F11326" s="40" t="s">
        <v>11404</v>
      </c>
      <c r="G11326" s="40" t="s">
        <v>11404</v>
      </c>
      <c r="H11326" s="40" t="s">
        <v>11404</v>
      </c>
    </row>
    <row r="11327">
      <c r="A11327" s="39"/>
      <c r="E11327" s="40" t="s">
        <v>11404</v>
      </c>
      <c r="F11327" s="40" t="s">
        <v>11404</v>
      </c>
      <c r="G11327" s="40" t="s">
        <v>11404</v>
      </c>
      <c r="H11327" s="40" t="s">
        <v>11404</v>
      </c>
    </row>
    <row r="11328">
      <c r="A11328" s="39"/>
      <c r="E11328" s="40" t="s">
        <v>11404</v>
      </c>
      <c r="F11328" s="40" t="s">
        <v>11404</v>
      </c>
      <c r="G11328" s="40" t="s">
        <v>11404</v>
      </c>
      <c r="H11328" s="40" t="s">
        <v>11404</v>
      </c>
    </row>
    <row r="11329">
      <c r="A11329" s="39"/>
      <c r="E11329" s="40" t="s">
        <v>11404</v>
      </c>
      <c r="F11329" s="40" t="s">
        <v>11404</v>
      </c>
      <c r="G11329" s="40" t="s">
        <v>11404</v>
      </c>
      <c r="H11329" s="40" t="s">
        <v>11404</v>
      </c>
    </row>
    <row r="11330">
      <c r="A11330" s="39"/>
      <c r="E11330" s="40" t="s">
        <v>11404</v>
      </c>
      <c r="F11330" s="40" t="s">
        <v>11404</v>
      </c>
      <c r="G11330" s="40" t="s">
        <v>11404</v>
      </c>
      <c r="H11330" s="40" t="s">
        <v>11404</v>
      </c>
    </row>
    <row r="11331">
      <c r="A11331" s="39"/>
      <c r="E11331" s="40" t="s">
        <v>11404</v>
      </c>
      <c r="F11331" s="40" t="s">
        <v>11404</v>
      </c>
      <c r="G11331" s="40" t="s">
        <v>11404</v>
      </c>
      <c r="H11331" s="40" t="s">
        <v>11404</v>
      </c>
    </row>
    <row r="11332">
      <c r="A11332" s="39"/>
      <c r="E11332" s="40" t="s">
        <v>11404</v>
      </c>
      <c r="F11332" s="40" t="s">
        <v>11404</v>
      </c>
      <c r="G11332" s="40" t="s">
        <v>11404</v>
      </c>
      <c r="H11332" s="40" t="s">
        <v>11404</v>
      </c>
    </row>
    <row r="11333">
      <c r="A11333" s="39"/>
      <c r="E11333" s="40" t="s">
        <v>11404</v>
      </c>
      <c r="F11333" s="40" t="s">
        <v>11404</v>
      </c>
      <c r="G11333" s="40" t="s">
        <v>11404</v>
      </c>
      <c r="H11333" s="40" t="s">
        <v>11404</v>
      </c>
    </row>
    <row r="11334">
      <c r="A11334" s="39"/>
      <c r="E11334" s="40" t="s">
        <v>11404</v>
      </c>
      <c r="F11334" s="40" t="s">
        <v>11404</v>
      </c>
      <c r="G11334" s="40" t="s">
        <v>11404</v>
      </c>
      <c r="H11334" s="40" t="s">
        <v>11404</v>
      </c>
    </row>
    <row r="11335">
      <c r="A11335" s="39"/>
      <c r="E11335" s="40" t="s">
        <v>11404</v>
      </c>
      <c r="F11335" s="40" t="s">
        <v>11404</v>
      </c>
      <c r="G11335" s="40" t="s">
        <v>11404</v>
      </c>
      <c r="H11335" s="40" t="s">
        <v>11404</v>
      </c>
    </row>
    <row r="11336">
      <c r="A11336" s="39"/>
      <c r="E11336" s="40" t="s">
        <v>11404</v>
      </c>
      <c r="F11336" s="40" t="s">
        <v>11404</v>
      </c>
      <c r="G11336" s="40" t="s">
        <v>11404</v>
      </c>
      <c r="H11336" s="40" t="s">
        <v>11404</v>
      </c>
    </row>
    <row r="11337">
      <c r="A11337" s="39"/>
      <c r="E11337" s="40" t="s">
        <v>11404</v>
      </c>
      <c r="F11337" s="40" t="s">
        <v>11404</v>
      </c>
      <c r="G11337" s="40" t="s">
        <v>11404</v>
      </c>
      <c r="H11337" s="40" t="s">
        <v>11404</v>
      </c>
    </row>
    <row r="11338">
      <c r="A11338" s="39"/>
      <c r="E11338" s="40" t="s">
        <v>11404</v>
      </c>
      <c r="F11338" s="40" t="s">
        <v>11404</v>
      </c>
      <c r="G11338" s="40" t="s">
        <v>11404</v>
      </c>
      <c r="H11338" s="40" t="s">
        <v>11404</v>
      </c>
    </row>
    <row r="11339">
      <c r="A11339" s="39"/>
      <c r="E11339" s="40" t="s">
        <v>11404</v>
      </c>
      <c r="F11339" s="40" t="s">
        <v>11404</v>
      </c>
      <c r="G11339" s="40" t="s">
        <v>11404</v>
      </c>
      <c r="H11339" s="40" t="s">
        <v>11404</v>
      </c>
    </row>
    <row r="11340">
      <c r="A11340" s="39"/>
      <c r="E11340" s="40" t="s">
        <v>11404</v>
      </c>
      <c r="F11340" s="40" t="s">
        <v>11404</v>
      </c>
      <c r="G11340" s="40" t="s">
        <v>11404</v>
      </c>
      <c r="H11340" s="40" t="s">
        <v>11404</v>
      </c>
    </row>
    <row r="11341">
      <c r="A11341" s="39"/>
      <c r="E11341" s="40" t="s">
        <v>11404</v>
      </c>
      <c r="F11341" s="40" t="s">
        <v>11404</v>
      </c>
      <c r="G11341" s="40" t="s">
        <v>11404</v>
      </c>
      <c r="H11341" s="40" t="s">
        <v>11404</v>
      </c>
    </row>
    <row r="11342">
      <c r="A11342" s="39"/>
      <c r="E11342" s="40" t="s">
        <v>11404</v>
      </c>
      <c r="F11342" s="40" t="s">
        <v>11404</v>
      </c>
      <c r="G11342" s="40" t="s">
        <v>11404</v>
      </c>
      <c r="H11342" s="40" t="s">
        <v>11404</v>
      </c>
    </row>
    <row r="11343">
      <c r="A11343" s="39"/>
      <c r="E11343" s="40" t="s">
        <v>11404</v>
      </c>
      <c r="F11343" s="40" t="s">
        <v>11404</v>
      </c>
      <c r="G11343" s="40" t="s">
        <v>11404</v>
      </c>
      <c r="H11343" s="40" t="s">
        <v>11404</v>
      </c>
    </row>
    <row r="11344">
      <c r="A11344" s="39"/>
      <c r="E11344" s="40" t="s">
        <v>11404</v>
      </c>
      <c r="F11344" s="40" t="s">
        <v>11404</v>
      </c>
      <c r="G11344" s="40" t="s">
        <v>11404</v>
      </c>
      <c r="H11344" s="40" t="s">
        <v>11404</v>
      </c>
    </row>
    <row r="11345">
      <c r="A11345" s="39"/>
      <c r="E11345" s="40" t="s">
        <v>11404</v>
      </c>
      <c r="F11345" s="40" t="s">
        <v>11404</v>
      </c>
      <c r="G11345" s="40" t="s">
        <v>11404</v>
      </c>
      <c r="H11345" s="40" t="s">
        <v>11404</v>
      </c>
    </row>
    <row r="11346">
      <c r="A11346" s="39"/>
      <c r="E11346" s="40" t="s">
        <v>11404</v>
      </c>
      <c r="F11346" s="40" t="s">
        <v>11404</v>
      </c>
      <c r="G11346" s="40" t="s">
        <v>11404</v>
      </c>
      <c r="H11346" s="40" t="s">
        <v>11404</v>
      </c>
    </row>
    <row r="11347">
      <c r="A11347" s="39"/>
      <c r="E11347" s="40" t="s">
        <v>11404</v>
      </c>
      <c r="F11347" s="40" t="s">
        <v>11404</v>
      </c>
      <c r="G11347" s="40" t="s">
        <v>11404</v>
      </c>
      <c r="H11347" s="40" t="s">
        <v>11404</v>
      </c>
    </row>
    <row r="11348">
      <c r="A11348" s="39"/>
      <c r="E11348" s="40" t="s">
        <v>11404</v>
      </c>
      <c r="F11348" s="40" t="s">
        <v>11404</v>
      </c>
      <c r="G11348" s="40" t="s">
        <v>11404</v>
      </c>
      <c r="H11348" s="40" t="s">
        <v>11404</v>
      </c>
    </row>
    <row r="11349">
      <c r="A11349" s="39"/>
      <c r="E11349" s="40" t="s">
        <v>11404</v>
      </c>
      <c r="F11349" s="40" t="s">
        <v>11404</v>
      </c>
      <c r="G11349" s="40" t="s">
        <v>11404</v>
      </c>
      <c r="H11349" s="40" t="s">
        <v>11404</v>
      </c>
    </row>
    <row r="11350">
      <c r="A11350" s="39"/>
      <c r="E11350" s="40" t="s">
        <v>11404</v>
      </c>
      <c r="F11350" s="40" t="s">
        <v>11404</v>
      </c>
      <c r="G11350" s="40" t="s">
        <v>11404</v>
      </c>
      <c r="H11350" s="40" t="s">
        <v>11404</v>
      </c>
    </row>
    <row r="11351">
      <c r="A11351" s="39"/>
      <c r="E11351" s="40" t="s">
        <v>11404</v>
      </c>
      <c r="F11351" s="40" t="s">
        <v>11404</v>
      </c>
      <c r="G11351" s="40" t="s">
        <v>11404</v>
      </c>
      <c r="H11351" s="40" t="s">
        <v>11404</v>
      </c>
    </row>
    <row r="11352">
      <c r="A11352" s="39"/>
      <c r="E11352" s="40" t="s">
        <v>11404</v>
      </c>
      <c r="F11352" s="40" t="s">
        <v>11404</v>
      </c>
      <c r="G11352" s="40" t="s">
        <v>11404</v>
      </c>
      <c r="H11352" s="40" t="s">
        <v>11404</v>
      </c>
    </row>
    <row r="11353">
      <c r="A11353" s="39"/>
      <c r="E11353" s="40" t="s">
        <v>11404</v>
      </c>
      <c r="F11353" s="40" t="s">
        <v>11404</v>
      </c>
      <c r="G11353" s="40" t="s">
        <v>11404</v>
      </c>
      <c r="H11353" s="40" t="s">
        <v>11404</v>
      </c>
    </row>
    <row r="11354">
      <c r="A11354" s="39"/>
      <c r="E11354" s="40" t="s">
        <v>11404</v>
      </c>
      <c r="F11354" s="40" t="s">
        <v>11404</v>
      </c>
      <c r="G11354" s="40" t="s">
        <v>11404</v>
      </c>
      <c r="H11354" s="40" t="s">
        <v>11404</v>
      </c>
    </row>
    <row r="11355">
      <c r="A11355" s="39"/>
      <c r="E11355" s="40" t="s">
        <v>11404</v>
      </c>
      <c r="F11355" s="40" t="s">
        <v>11404</v>
      </c>
      <c r="G11355" s="40" t="s">
        <v>11404</v>
      </c>
      <c r="H11355" s="40" t="s">
        <v>11404</v>
      </c>
    </row>
    <row r="11356">
      <c r="A11356" s="39"/>
      <c r="E11356" s="40" t="s">
        <v>11404</v>
      </c>
      <c r="F11356" s="40" t="s">
        <v>11404</v>
      </c>
      <c r="G11356" s="40" t="s">
        <v>11404</v>
      </c>
      <c r="H11356" s="40" t="s">
        <v>11404</v>
      </c>
    </row>
    <row r="11357">
      <c r="A11357" s="39"/>
      <c r="E11357" s="40" t="s">
        <v>11404</v>
      </c>
      <c r="F11357" s="40" t="s">
        <v>11404</v>
      </c>
      <c r="G11357" s="40" t="s">
        <v>11404</v>
      </c>
      <c r="H11357" s="40" t="s">
        <v>11404</v>
      </c>
    </row>
    <row r="11358">
      <c r="A11358" s="39"/>
      <c r="E11358" s="40" t="s">
        <v>11404</v>
      </c>
      <c r="F11358" s="40" t="s">
        <v>11404</v>
      </c>
      <c r="G11358" s="40" t="s">
        <v>11404</v>
      </c>
      <c r="H11358" s="40" t="s">
        <v>11404</v>
      </c>
    </row>
    <row r="11359">
      <c r="A11359" s="39"/>
      <c r="E11359" s="40" t="s">
        <v>11404</v>
      </c>
      <c r="F11359" s="40" t="s">
        <v>11404</v>
      </c>
      <c r="G11359" s="40" t="s">
        <v>11404</v>
      </c>
      <c r="H11359" s="40" t="s">
        <v>11404</v>
      </c>
    </row>
    <row r="11360">
      <c r="A11360" s="39"/>
      <c r="E11360" s="40" t="s">
        <v>11404</v>
      </c>
      <c r="F11360" s="40" t="s">
        <v>11404</v>
      </c>
      <c r="G11360" s="40" t="s">
        <v>11404</v>
      </c>
      <c r="H11360" s="40" t="s">
        <v>11404</v>
      </c>
    </row>
    <row r="11361">
      <c r="A11361" s="39"/>
      <c r="E11361" s="40" t="s">
        <v>11404</v>
      </c>
      <c r="F11361" s="40" t="s">
        <v>11404</v>
      </c>
      <c r="G11361" s="40" t="s">
        <v>11404</v>
      </c>
      <c r="H11361" s="40" t="s">
        <v>11404</v>
      </c>
    </row>
    <row r="11362">
      <c r="A11362" s="39"/>
      <c r="E11362" s="40" t="s">
        <v>11404</v>
      </c>
      <c r="F11362" s="40" t="s">
        <v>11404</v>
      </c>
      <c r="G11362" s="40" t="s">
        <v>11404</v>
      </c>
      <c r="H11362" s="40" t="s">
        <v>11404</v>
      </c>
    </row>
    <row r="11363">
      <c r="A11363" s="39"/>
      <c r="E11363" s="40" t="s">
        <v>11404</v>
      </c>
      <c r="F11363" s="40" t="s">
        <v>11404</v>
      </c>
      <c r="G11363" s="40" t="s">
        <v>11404</v>
      </c>
      <c r="H11363" s="40" t="s">
        <v>11404</v>
      </c>
    </row>
    <row r="11364">
      <c r="A11364" s="39"/>
      <c r="E11364" s="40" t="s">
        <v>11404</v>
      </c>
      <c r="F11364" s="40" t="s">
        <v>11404</v>
      </c>
      <c r="G11364" s="40" t="s">
        <v>11404</v>
      </c>
      <c r="H11364" s="40" t="s">
        <v>11404</v>
      </c>
    </row>
    <row r="11365">
      <c r="A11365" s="39"/>
      <c r="E11365" s="40" t="s">
        <v>11404</v>
      </c>
      <c r="F11365" s="40" t="s">
        <v>11404</v>
      </c>
      <c r="G11365" s="40" t="s">
        <v>11404</v>
      </c>
      <c r="H11365" s="40" t="s">
        <v>11404</v>
      </c>
    </row>
    <row r="11366">
      <c r="A11366" s="39"/>
      <c r="E11366" s="40" t="s">
        <v>11404</v>
      </c>
      <c r="F11366" s="40" t="s">
        <v>11404</v>
      </c>
      <c r="G11366" s="40" t="s">
        <v>11404</v>
      </c>
      <c r="H11366" s="40" t="s">
        <v>11404</v>
      </c>
    </row>
    <row r="11367">
      <c r="A11367" s="39"/>
      <c r="E11367" s="40" t="s">
        <v>11404</v>
      </c>
      <c r="F11367" s="40" t="s">
        <v>11404</v>
      </c>
      <c r="G11367" s="40" t="s">
        <v>11404</v>
      </c>
      <c r="H11367" s="40" t="s">
        <v>11404</v>
      </c>
    </row>
    <row r="11368">
      <c r="A11368" s="39"/>
      <c r="E11368" s="40" t="s">
        <v>11404</v>
      </c>
      <c r="F11368" s="40" t="s">
        <v>11404</v>
      </c>
      <c r="G11368" s="40" t="s">
        <v>11404</v>
      </c>
      <c r="H11368" s="40" t="s">
        <v>11404</v>
      </c>
    </row>
    <row r="11369">
      <c r="A11369" s="39"/>
      <c r="E11369" s="40" t="s">
        <v>11404</v>
      </c>
      <c r="F11369" s="40" t="s">
        <v>11404</v>
      </c>
      <c r="G11369" s="40" t="s">
        <v>11404</v>
      </c>
      <c r="H11369" s="40" t="s">
        <v>11404</v>
      </c>
    </row>
    <row r="11370">
      <c r="A11370" s="39"/>
      <c r="E11370" s="40" t="s">
        <v>11404</v>
      </c>
      <c r="F11370" s="40" t="s">
        <v>11404</v>
      </c>
      <c r="G11370" s="40" t="s">
        <v>11404</v>
      </c>
      <c r="H11370" s="40" t="s">
        <v>11404</v>
      </c>
    </row>
    <row r="11371">
      <c r="A11371" s="39"/>
      <c r="E11371" s="40" t="s">
        <v>11404</v>
      </c>
      <c r="F11371" s="40" t="s">
        <v>11404</v>
      </c>
      <c r="G11371" s="40" t="s">
        <v>11404</v>
      </c>
      <c r="H11371" s="40" t="s">
        <v>11404</v>
      </c>
    </row>
    <row r="11372">
      <c r="A11372" s="39"/>
      <c r="E11372" s="40" t="s">
        <v>11404</v>
      </c>
      <c r="F11372" s="40" t="s">
        <v>11404</v>
      </c>
      <c r="G11372" s="40" t="s">
        <v>11404</v>
      </c>
      <c r="H11372" s="40" t="s">
        <v>11404</v>
      </c>
    </row>
    <row r="11373">
      <c r="A11373" s="39"/>
      <c r="E11373" s="40" t="s">
        <v>11404</v>
      </c>
      <c r="F11373" s="40" t="s">
        <v>11404</v>
      </c>
      <c r="G11373" s="40" t="s">
        <v>11404</v>
      </c>
      <c r="H11373" s="40" t="s">
        <v>11404</v>
      </c>
    </row>
    <row r="11374">
      <c r="A11374" s="39"/>
      <c r="E11374" s="40" t="s">
        <v>11404</v>
      </c>
      <c r="F11374" s="40" t="s">
        <v>11404</v>
      </c>
      <c r="G11374" s="40" t="s">
        <v>11404</v>
      </c>
      <c r="H11374" s="40" t="s">
        <v>11404</v>
      </c>
    </row>
    <row r="11375">
      <c r="A11375" s="39"/>
      <c r="E11375" s="40" t="s">
        <v>11404</v>
      </c>
      <c r="F11375" s="40" t="s">
        <v>11404</v>
      </c>
      <c r="G11375" s="40" t="s">
        <v>11404</v>
      </c>
      <c r="H11375" s="40" t="s">
        <v>11404</v>
      </c>
    </row>
    <row r="11376">
      <c r="A11376" s="39"/>
      <c r="E11376" s="40" t="s">
        <v>11404</v>
      </c>
      <c r="F11376" s="40" t="s">
        <v>11404</v>
      </c>
      <c r="G11376" s="40" t="s">
        <v>11404</v>
      </c>
      <c r="H11376" s="40" t="s">
        <v>11404</v>
      </c>
    </row>
    <row r="11377">
      <c r="A11377" s="39"/>
      <c r="E11377" s="40" t="s">
        <v>11404</v>
      </c>
      <c r="F11377" s="40" t="s">
        <v>11404</v>
      </c>
      <c r="G11377" s="40" t="s">
        <v>11404</v>
      </c>
      <c r="H11377" s="40" t="s">
        <v>11404</v>
      </c>
    </row>
    <row r="11378">
      <c r="A11378" s="39"/>
      <c r="E11378" s="40" t="s">
        <v>11404</v>
      </c>
      <c r="F11378" s="40" t="s">
        <v>11404</v>
      </c>
      <c r="G11378" s="40" t="s">
        <v>11404</v>
      </c>
      <c r="H11378" s="40" t="s">
        <v>11404</v>
      </c>
    </row>
    <row r="11379">
      <c r="A11379" s="39"/>
      <c r="E11379" s="40" t="s">
        <v>11404</v>
      </c>
      <c r="F11379" s="40" t="s">
        <v>11404</v>
      </c>
      <c r="G11379" s="40" t="s">
        <v>11404</v>
      </c>
      <c r="H11379" s="40" t="s">
        <v>11404</v>
      </c>
    </row>
    <row r="11380">
      <c r="A11380" s="39"/>
      <c r="E11380" s="40" t="s">
        <v>11404</v>
      </c>
      <c r="F11380" s="40" t="s">
        <v>11404</v>
      </c>
      <c r="G11380" s="40" t="s">
        <v>11404</v>
      </c>
      <c r="H11380" s="40" t="s">
        <v>11404</v>
      </c>
    </row>
    <row r="11381">
      <c r="A11381" s="39"/>
      <c r="E11381" s="40" t="s">
        <v>11404</v>
      </c>
      <c r="F11381" s="40" t="s">
        <v>11404</v>
      </c>
      <c r="G11381" s="40" t="s">
        <v>11404</v>
      </c>
      <c r="H11381" s="40" t="s">
        <v>11404</v>
      </c>
    </row>
    <row r="11382">
      <c r="A11382" s="39"/>
      <c r="E11382" s="40" t="s">
        <v>11404</v>
      </c>
      <c r="F11382" s="40" t="s">
        <v>11404</v>
      </c>
      <c r="G11382" s="40" t="s">
        <v>11404</v>
      </c>
      <c r="H11382" s="40" t="s">
        <v>11404</v>
      </c>
    </row>
    <row r="11383">
      <c r="A11383" s="39"/>
      <c r="E11383" s="40" t="s">
        <v>11404</v>
      </c>
      <c r="F11383" s="40" t="s">
        <v>11404</v>
      </c>
      <c r="G11383" s="40" t="s">
        <v>11404</v>
      </c>
      <c r="H11383" s="40" t="s">
        <v>11404</v>
      </c>
    </row>
    <row r="11384">
      <c r="A11384" s="39"/>
      <c r="E11384" s="40" t="s">
        <v>11404</v>
      </c>
      <c r="F11384" s="40" t="s">
        <v>11404</v>
      </c>
      <c r="G11384" s="40" t="s">
        <v>11404</v>
      </c>
      <c r="H11384" s="40" t="s">
        <v>11404</v>
      </c>
    </row>
    <row r="11385">
      <c r="A11385" s="39"/>
      <c r="E11385" s="40" t="s">
        <v>11404</v>
      </c>
      <c r="F11385" s="40" t="s">
        <v>11404</v>
      </c>
      <c r="G11385" s="40" t="s">
        <v>11404</v>
      </c>
      <c r="H11385" s="40" t="s">
        <v>11404</v>
      </c>
    </row>
    <row r="11386">
      <c r="A11386" s="39"/>
      <c r="E11386" s="40" t="s">
        <v>11404</v>
      </c>
      <c r="F11386" s="40" t="s">
        <v>11404</v>
      </c>
      <c r="G11386" s="40" t="s">
        <v>11404</v>
      </c>
      <c r="H11386" s="40" t="s">
        <v>11404</v>
      </c>
    </row>
    <row r="11387">
      <c r="A11387" s="39"/>
      <c r="E11387" s="40" t="s">
        <v>11404</v>
      </c>
      <c r="F11387" s="40" t="s">
        <v>11404</v>
      </c>
      <c r="G11387" s="40" t="s">
        <v>11404</v>
      </c>
      <c r="H11387" s="40" t="s">
        <v>11404</v>
      </c>
    </row>
    <row r="11388">
      <c r="A11388" s="39"/>
      <c r="E11388" s="40" t="s">
        <v>11404</v>
      </c>
      <c r="F11388" s="40" t="s">
        <v>11404</v>
      </c>
      <c r="G11388" s="40" t="s">
        <v>11404</v>
      </c>
      <c r="H11388" s="40" t="s">
        <v>11404</v>
      </c>
    </row>
    <row r="11389">
      <c r="A11389" s="39"/>
      <c r="E11389" s="40" t="s">
        <v>11404</v>
      </c>
      <c r="F11389" s="40" t="s">
        <v>11404</v>
      </c>
      <c r="G11389" s="40" t="s">
        <v>11404</v>
      </c>
      <c r="H11389" s="40" t="s">
        <v>11404</v>
      </c>
    </row>
    <row r="11390">
      <c r="A11390" s="39"/>
      <c r="E11390" s="40" t="s">
        <v>11404</v>
      </c>
      <c r="F11390" s="40" t="s">
        <v>11404</v>
      </c>
      <c r="G11390" s="40" t="s">
        <v>11404</v>
      </c>
      <c r="H11390" s="40" t="s">
        <v>11404</v>
      </c>
    </row>
    <row r="11391">
      <c r="A11391" s="39"/>
      <c r="E11391" s="40" t="s">
        <v>11404</v>
      </c>
      <c r="F11391" s="40" t="s">
        <v>11404</v>
      </c>
      <c r="G11391" s="40" t="s">
        <v>11404</v>
      </c>
      <c r="H11391" s="40" t="s">
        <v>11404</v>
      </c>
    </row>
    <row r="11392">
      <c r="A11392" s="39"/>
      <c r="E11392" s="40" t="s">
        <v>11404</v>
      </c>
      <c r="F11392" s="40" t="s">
        <v>11404</v>
      </c>
      <c r="G11392" s="40" t="s">
        <v>11404</v>
      </c>
      <c r="H11392" s="40" t="s">
        <v>11404</v>
      </c>
    </row>
    <row r="11393">
      <c r="A11393" s="39"/>
      <c r="E11393" s="40" t="s">
        <v>11404</v>
      </c>
      <c r="F11393" s="40" t="s">
        <v>11404</v>
      </c>
      <c r="G11393" s="40" t="s">
        <v>11404</v>
      </c>
      <c r="H11393" s="40" t="s">
        <v>11404</v>
      </c>
    </row>
    <row r="11394">
      <c r="A11394" s="39"/>
      <c r="E11394" s="40" t="s">
        <v>11404</v>
      </c>
      <c r="F11394" s="40" t="s">
        <v>11404</v>
      </c>
      <c r="G11394" s="40" t="s">
        <v>11404</v>
      </c>
      <c r="H11394" s="40" t="s">
        <v>11404</v>
      </c>
    </row>
    <row r="11395">
      <c r="A11395" s="39"/>
      <c r="E11395" s="40" t="s">
        <v>11404</v>
      </c>
      <c r="F11395" s="40" t="s">
        <v>11404</v>
      </c>
      <c r="G11395" s="40" t="s">
        <v>11404</v>
      </c>
      <c r="H11395" s="40" t="s">
        <v>11404</v>
      </c>
    </row>
    <row r="11396">
      <c r="A11396" s="39"/>
      <c r="E11396" s="40" t="s">
        <v>11404</v>
      </c>
      <c r="F11396" s="40" t="s">
        <v>11404</v>
      </c>
      <c r="G11396" s="40" t="s">
        <v>11404</v>
      </c>
      <c r="H11396" s="40" t="s">
        <v>11404</v>
      </c>
    </row>
    <row r="11397">
      <c r="A11397" s="39"/>
      <c r="E11397" s="40" t="s">
        <v>11404</v>
      </c>
      <c r="F11397" s="40" t="s">
        <v>11404</v>
      </c>
      <c r="G11397" s="40" t="s">
        <v>11404</v>
      </c>
      <c r="H11397" s="40" t="s">
        <v>11404</v>
      </c>
    </row>
    <row r="11398">
      <c r="A11398" s="39"/>
      <c r="E11398" s="40" t="s">
        <v>11404</v>
      </c>
      <c r="F11398" s="40" t="s">
        <v>11404</v>
      </c>
      <c r="G11398" s="40" t="s">
        <v>11404</v>
      </c>
      <c r="H11398" s="40" t="s">
        <v>11404</v>
      </c>
    </row>
    <row r="11399">
      <c r="A11399" s="39"/>
      <c r="E11399" s="40" t="s">
        <v>11404</v>
      </c>
      <c r="F11399" s="40" t="s">
        <v>11404</v>
      </c>
      <c r="G11399" s="40" t="s">
        <v>11404</v>
      </c>
      <c r="H11399" s="40" t="s">
        <v>11404</v>
      </c>
    </row>
    <row r="11400">
      <c r="A11400" s="39"/>
      <c r="E11400" s="40" t="s">
        <v>11404</v>
      </c>
      <c r="F11400" s="40" t="s">
        <v>11404</v>
      </c>
      <c r="G11400" s="40" t="s">
        <v>11404</v>
      </c>
      <c r="H11400" s="40" t="s">
        <v>11404</v>
      </c>
    </row>
    <row r="11401">
      <c r="A11401" s="39"/>
      <c r="E11401" s="40" t="s">
        <v>11404</v>
      </c>
      <c r="F11401" s="40" t="s">
        <v>11404</v>
      </c>
      <c r="G11401" s="40" t="s">
        <v>11404</v>
      </c>
      <c r="H11401" s="40" t="s">
        <v>11404</v>
      </c>
    </row>
    <row r="11402">
      <c r="A11402" s="39"/>
      <c r="E11402" s="40" t="s">
        <v>11404</v>
      </c>
      <c r="F11402" s="40" t="s">
        <v>11404</v>
      </c>
      <c r="G11402" s="40" t="s">
        <v>11404</v>
      </c>
      <c r="H11402" s="40" t="s">
        <v>11404</v>
      </c>
    </row>
    <row r="11403">
      <c r="A11403" s="39"/>
      <c r="E11403" s="40" t="s">
        <v>11404</v>
      </c>
      <c r="F11403" s="40" t="s">
        <v>11404</v>
      </c>
      <c r="G11403" s="40" t="s">
        <v>11404</v>
      </c>
      <c r="H11403" s="40" t="s">
        <v>11404</v>
      </c>
    </row>
    <row r="11404">
      <c r="A11404" s="39"/>
      <c r="E11404" s="40" t="s">
        <v>11404</v>
      </c>
      <c r="F11404" s="40" t="s">
        <v>11404</v>
      </c>
      <c r="G11404" s="40" t="s">
        <v>11404</v>
      </c>
      <c r="H11404" s="40" t="s">
        <v>11404</v>
      </c>
    </row>
    <row r="11405">
      <c r="A11405" s="39"/>
      <c r="E11405" s="40" t="s">
        <v>11404</v>
      </c>
      <c r="F11405" s="40" t="s">
        <v>11404</v>
      </c>
      <c r="G11405" s="40" t="s">
        <v>11404</v>
      </c>
      <c r="H11405" s="40" t="s">
        <v>11404</v>
      </c>
    </row>
    <row r="11406">
      <c r="A11406" s="39"/>
      <c r="E11406" s="40" t="s">
        <v>11404</v>
      </c>
      <c r="F11406" s="40" t="s">
        <v>11404</v>
      </c>
      <c r="G11406" s="40" t="s">
        <v>11404</v>
      </c>
      <c r="H11406" s="40" t="s">
        <v>11404</v>
      </c>
    </row>
    <row r="11407">
      <c r="A11407" s="39"/>
      <c r="E11407" s="40" t="s">
        <v>11404</v>
      </c>
      <c r="F11407" s="40" t="s">
        <v>11404</v>
      </c>
      <c r="G11407" s="40" t="s">
        <v>11404</v>
      </c>
      <c r="H11407" s="40" t="s">
        <v>11404</v>
      </c>
    </row>
    <row r="11408">
      <c r="A11408" s="39"/>
      <c r="E11408" s="40" t="s">
        <v>11404</v>
      </c>
      <c r="F11408" s="40" t="s">
        <v>11404</v>
      </c>
      <c r="G11408" s="40" t="s">
        <v>11404</v>
      </c>
      <c r="H11408" s="40" t="s">
        <v>11404</v>
      </c>
    </row>
    <row r="11409">
      <c r="A11409" s="39"/>
      <c r="E11409" s="40" t="s">
        <v>11404</v>
      </c>
      <c r="F11409" s="40" t="s">
        <v>11404</v>
      </c>
      <c r="G11409" s="40" t="s">
        <v>11404</v>
      </c>
      <c r="H11409" s="40" t="s">
        <v>11404</v>
      </c>
    </row>
    <row r="11410">
      <c r="A11410" s="39"/>
      <c r="E11410" s="40" t="s">
        <v>11404</v>
      </c>
      <c r="F11410" s="40" t="s">
        <v>11404</v>
      </c>
      <c r="G11410" s="40" t="s">
        <v>11404</v>
      </c>
      <c r="H11410" s="40" t="s">
        <v>11404</v>
      </c>
    </row>
    <row r="11411">
      <c r="A11411" s="39"/>
      <c r="E11411" s="40" t="s">
        <v>11404</v>
      </c>
      <c r="F11411" s="40" t="s">
        <v>11404</v>
      </c>
      <c r="G11411" s="40" t="s">
        <v>11404</v>
      </c>
      <c r="H11411" s="40" t="s">
        <v>11404</v>
      </c>
    </row>
    <row r="11412">
      <c r="A11412" s="39"/>
      <c r="E11412" s="40" t="s">
        <v>11404</v>
      </c>
      <c r="F11412" s="40" t="s">
        <v>11404</v>
      </c>
      <c r="G11412" s="40" t="s">
        <v>11404</v>
      </c>
      <c r="H11412" s="40" t="s">
        <v>11404</v>
      </c>
    </row>
    <row r="11413">
      <c r="A11413" s="39"/>
      <c r="E11413" s="40" t="s">
        <v>11404</v>
      </c>
      <c r="F11413" s="40" t="s">
        <v>11404</v>
      </c>
      <c r="G11413" s="40" t="s">
        <v>11404</v>
      </c>
      <c r="H11413" s="40" t="s">
        <v>11404</v>
      </c>
    </row>
    <row r="11414">
      <c r="A11414" s="39"/>
      <c r="E11414" s="40" t="s">
        <v>11404</v>
      </c>
      <c r="F11414" s="40" t="s">
        <v>11404</v>
      </c>
      <c r="G11414" s="40" t="s">
        <v>11404</v>
      </c>
      <c r="H11414" s="40" t="s">
        <v>11404</v>
      </c>
    </row>
    <row r="11415">
      <c r="A11415" s="39"/>
      <c r="E11415" s="40" t="s">
        <v>11404</v>
      </c>
      <c r="F11415" s="40" t="s">
        <v>11404</v>
      </c>
      <c r="G11415" s="40" t="s">
        <v>11404</v>
      </c>
      <c r="H11415" s="40" t="s">
        <v>11404</v>
      </c>
    </row>
    <row r="11416">
      <c r="A11416" s="39"/>
      <c r="E11416" s="40" t="s">
        <v>11404</v>
      </c>
      <c r="F11416" s="40" t="s">
        <v>11404</v>
      </c>
      <c r="G11416" s="40" t="s">
        <v>11404</v>
      </c>
      <c r="H11416" s="40" t="s">
        <v>11404</v>
      </c>
    </row>
    <row r="11417">
      <c r="A11417" s="39"/>
      <c r="E11417" s="40" t="s">
        <v>11404</v>
      </c>
      <c r="F11417" s="40" t="s">
        <v>11404</v>
      </c>
      <c r="G11417" s="40" t="s">
        <v>11404</v>
      </c>
      <c r="H11417" s="40" t="s">
        <v>11404</v>
      </c>
    </row>
    <row r="11418">
      <c r="A11418" s="39"/>
      <c r="E11418" s="40" t="s">
        <v>11404</v>
      </c>
      <c r="F11418" s="40" t="s">
        <v>11404</v>
      </c>
      <c r="G11418" s="40" t="s">
        <v>11404</v>
      </c>
      <c r="H11418" s="40" t="s">
        <v>11404</v>
      </c>
    </row>
    <row r="11419">
      <c r="A11419" s="39"/>
      <c r="E11419" s="40" t="s">
        <v>11404</v>
      </c>
      <c r="F11419" s="40" t="s">
        <v>11404</v>
      </c>
      <c r="G11419" s="40" t="s">
        <v>11404</v>
      </c>
      <c r="H11419" s="40" t="s">
        <v>11404</v>
      </c>
    </row>
    <row r="11420">
      <c r="A11420" s="39"/>
      <c r="E11420" s="40" t="s">
        <v>11404</v>
      </c>
      <c r="F11420" s="40" t="s">
        <v>11404</v>
      </c>
      <c r="G11420" s="40" t="s">
        <v>11404</v>
      </c>
      <c r="H11420" s="40" t="s">
        <v>11404</v>
      </c>
    </row>
    <row r="11421">
      <c r="A11421" s="39"/>
      <c r="E11421" s="40" t="s">
        <v>11404</v>
      </c>
      <c r="F11421" s="40" t="s">
        <v>11404</v>
      </c>
      <c r="G11421" s="40" t="s">
        <v>11404</v>
      </c>
      <c r="H11421" s="40" t="s">
        <v>11404</v>
      </c>
    </row>
    <row r="11422">
      <c r="A11422" s="39"/>
      <c r="E11422" s="40" t="s">
        <v>11404</v>
      </c>
      <c r="F11422" s="40" t="s">
        <v>11404</v>
      </c>
      <c r="G11422" s="40" t="s">
        <v>11404</v>
      </c>
      <c r="H11422" s="40" t="s">
        <v>11404</v>
      </c>
    </row>
    <row r="11423">
      <c r="A11423" s="39"/>
      <c r="E11423" s="40" t="s">
        <v>11404</v>
      </c>
      <c r="F11423" s="40" t="s">
        <v>11404</v>
      </c>
      <c r="G11423" s="40" t="s">
        <v>11404</v>
      </c>
      <c r="H11423" s="40" t="s">
        <v>11404</v>
      </c>
    </row>
    <row r="11424">
      <c r="A11424" s="39"/>
      <c r="E11424" s="40" t="s">
        <v>11404</v>
      </c>
      <c r="F11424" s="40" t="s">
        <v>11404</v>
      </c>
      <c r="G11424" s="40" t="s">
        <v>11404</v>
      </c>
      <c r="H11424" s="40" t="s">
        <v>11404</v>
      </c>
    </row>
    <row r="11425">
      <c r="A11425" s="39"/>
      <c r="E11425" s="40" t="s">
        <v>11404</v>
      </c>
      <c r="F11425" s="40" t="s">
        <v>11404</v>
      </c>
      <c r="G11425" s="40" t="s">
        <v>11404</v>
      </c>
      <c r="H11425" s="40" t="s">
        <v>11404</v>
      </c>
    </row>
    <row r="11426">
      <c r="A11426" s="39"/>
      <c r="E11426" s="40" t="s">
        <v>11404</v>
      </c>
      <c r="F11426" s="40" t="s">
        <v>11404</v>
      </c>
      <c r="G11426" s="40" t="s">
        <v>11404</v>
      </c>
      <c r="H11426" s="40" t="s">
        <v>11404</v>
      </c>
    </row>
    <row r="11427">
      <c r="A11427" s="39"/>
      <c r="E11427" s="40" t="s">
        <v>11404</v>
      </c>
      <c r="F11427" s="40" t="s">
        <v>11404</v>
      </c>
      <c r="G11427" s="40" t="s">
        <v>11404</v>
      </c>
      <c r="H11427" s="40" t="s">
        <v>11404</v>
      </c>
    </row>
    <row r="11428">
      <c r="A11428" s="39"/>
      <c r="E11428" s="40" t="s">
        <v>11404</v>
      </c>
      <c r="F11428" s="40" t="s">
        <v>11404</v>
      </c>
      <c r="G11428" s="40" t="s">
        <v>11404</v>
      </c>
      <c r="H11428" s="40" t="s">
        <v>11404</v>
      </c>
    </row>
    <row r="11429">
      <c r="A11429" s="39"/>
      <c r="E11429" s="40" t="s">
        <v>11404</v>
      </c>
      <c r="F11429" s="40" t="s">
        <v>11404</v>
      </c>
      <c r="G11429" s="40" t="s">
        <v>11404</v>
      </c>
      <c r="H11429" s="40" t="s">
        <v>11404</v>
      </c>
    </row>
    <row r="11430">
      <c r="A11430" s="39"/>
      <c r="E11430" s="40" t="s">
        <v>11404</v>
      </c>
      <c r="F11430" s="40" t="s">
        <v>11404</v>
      </c>
      <c r="G11430" s="40" t="s">
        <v>11404</v>
      </c>
      <c r="H11430" s="40" t="s">
        <v>11404</v>
      </c>
    </row>
    <row r="11431">
      <c r="A11431" s="39"/>
      <c r="E11431" s="40" t="s">
        <v>11404</v>
      </c>
      <c r="F11431" s="40" t="s">
        <v>11404</v>
      </c>
      <c r="G11431" s="40" t="s">
        <v>11404</v>
      </c>
      <c r="H11431" s="40" t="s">
        <v>11404</v>
      </c>
    </row>
    <row r="11432">
      <c r="A11432" s="39"/>
      <c r="E11432" s="40" t="s">
        <v>11404</v>
      </c>
      <c r="F11432" s="40" t="s">
        <v>11404</v>
      </c>
      <c r="G11432" s="40" t="s">
        <v>11404</v>
      </c>
      <c r="H11432" s="40" t="s">
        <v>11404</v>
      </c>
    </row>
    <row r="11433">
      <c r="A11433" s="39"/>
      <c r="E11433" s="40" t="s">
        <v>11404</v>
      </c>
      <c r="F11433" s="40" t="s">
        <v>11404</v>
      </c>
      <c r="G11433" s="40" t="s">
        <v>11404</v>
      </c>
      <c r="H11433" s="40" t="s">
        <v>11404</v>
      </c>
    </row>
    <row r="11434">
      <c r="A11434" s="39"/>
      <c r="E11434" s="40" t="s">
        <v>11404</v>
      </c>
      <c r="F11434" s="40" t="s">
        <v>11404</v>
      </c>
      <c r="G11434" s="40" t="s">
        <v>11404</v>
      </c>
      <c r="H11434" s="40" t="s">
        <v>11404</v>
      </c>
    </row>
    <row r="11435">
      <c r="A11435" s="39"/>
      <c r="E11435" s="40" t="s">
        <v>11404</v>
      </c>
      <c r="F11435" s="40" t="s">
        <v>11404</v>
      </c>
      <c r="G11435" s="40" t="s">
        <v>11404</v>
      </c>
      <c r="H11435" s="40" t="s">
        <v>11404</v>
      </c>
    </row>
    <row r="11436">
      <c r="A11436" s="39"/>
      <c r="E11436" s="40" t="s">
        <v>11404</v>
      </c>
      <c r="F11436" s="40" t="s">
        <v>11404</v>
      </c>
      <c r="G11436" s="40" t="s">
        <v>11404</v>
      </c>
      <c r="H11436" s="40" t="s">
        <v>11404</v>
      </c>
    </row>
    <row r="11437">
      <c r="A11437" s="39"/>
      <c r="E11437" s="40" t="s">
        <v>11404</v>
      </c>
      <c r="F11437" s="40" t="s">
        <v>11404</v>
      </c>
      <c r="G11437" s="40" t="s">
        <v>11404</v>
      </c>
      <c r="H11437" s="40" t="s">
        <v>11404</v>
      </c>
    </row>
    <row r="11438">
      <c r="A11438" s="39"/>
      <c r="E11438" s="40" t="s">
        <v>11404</v>
      </c>
      <c r="F11438" s="40" t="s">
        <v>11404</v>
      </c>
      <c r="G11438" s="40" t="s">
        <v>11404</v>
      </c>
      <c r="H11438" s="40" t="s">
        <v>11404</v>
      </c>
    </row>
    <row r="11439">
      <c r="A11439" s="39"/>
      <c r="E11439" s="40" t="s">
        <v>11404</v>
      </c>
      <c r="F11439" s="40" t="s">
        <v>11404</v>
      </c>
      <c r="G11439" s="40" t="s">
        <v>11404</v>
      </c>
      <c r="H11439" s="40" t="s">
        <v>11404</v>
      </c>
    </row>
    <row r="11440">
      <c r="A11440" s="39"/>
      <c r="E11440" s="40" t="s">
        <v>11404</v>
      </c>
      <c r="F11440" s="40" t="s">
        <v>11404</v>
      </c>
      <c r="G11440" s="40" t="s">
        <v>11404</v>
      </c>
      <c r="H11440" s="40" t="s">
        <v>11404</v>
      </c>
    </row>
    <row r="11441">
      <c r="A11441" s="39"/>
      <c r="E11441" s="40" t="s">
        <v>11404</v>
      </c>
      <c r="F11441" s="40" t="s">
        <v>11404</v>
      </c>
      <c r="G11441" s="40" t="s">
        <v>11404</v>
      </c>
      <c r="H11441" s="40" t="s">
        <v>11404</v>
      </c>
    </row>
    <row r="11442">
      <c r="A11442" s="39"/>
      <c r="E11442" s="40" t="s">
        <v>11404</v>
      </c>
      <c r="F11442" s="40" t="s">
        <v>11404</v>
      </c>
      <c r="G11442" s="40" t="s">
        <v>11404</v>
      </c>
      <c r="H11442" s="40" t="s">
        <v>11404</v>
      </c>
    </row>
    <row r="11443">
      <c r="A11443" s="39"/>
      <c r="E11443" s="40" t="s">
        <v>11404</v>
      </c>
      <c r="F11443" s="40" t="s">
        <v>11404</v>
      </c>
      <c r="G11443" s="40" t="s">
        <v>11404</v>
      </c>
      <c r="H11443" s="40" t="s">
        <v>11404</v>
      </c>
    </row>
    <row r="11444">
      <c r="A11444" s="39"/>
      <c r="E11444" s="40" t="s">
        <v>11404</v>
      </c>
      <c r="F11444" s="40" t="s">
        <v>11404</v>
      </c>
      <c r="G11444" s="40" t="s">
        <v>11404</v>
      </c>
      <c r="H11444" s="40" t="s">
        <v>11404</v>
      </c>
    </row>
    <row r="11445">
      <c r="A11445" s="39"/>
      <c r="E11445" s="40" t="s">
        <v>11404</v>
      </c>
      <c r="F11445" s="40" t="s">
        <v>11404</v>
      </c>
      <c r="G11445" s="40" t="s">
        <v>11404</v>
      </c>
      <c r="H11445" s="40" t="s">
        <v>11404</v>
      </c>
    </row>
    <row r="11446">
      <c r="A11446" s="39"/>
      <c r="E11446" s="40" t="s">
        <v>11404</v>
      </c>
      <c r="F11446" s="40" t="s">
        <v>11404</v>
      </c>
      <c r="G11446" s="40" t="s">
        <v>11404</v>
      </c>
      <c r="H11446" s="40" t="s">
        <v>11404</v>
      </c>
    </row>
    <row r="11447">
      <c r="A11447" s="39"/>
      <c r="E11447" s="40" t="s">
        <v>11404</v>
      </c>
      <c r="F11447" s="40" t="s">
        <v>11404</v>
      </c>
      <c r="G11447" s="40" t="s">
        <v>11404</v>
      </c>
      <c r="H11447" s="40" t="s">
        <v>11404</v>
      </c>
    </row>
    <row r="11448">
      <c r="A11448" s="39"/>
      <c r="E11448" s="40" t="s">
        <v>11404</v>
      </c>
      <c r="F11448" s="40" t="s">
        <v>11404</v>
      </c>
      <c r="G11448" s="40" t="s">
        <v>11404</v>
      </c>
      <c r="H11448" s="40" t="s">
        <v>11404</v>
      </c>
    </row>
    <row r="11449">
      <c r="A11449" s="39"/>
      <c r="E11449" s="40" t="s">
        <v>11404</v>
      </c>
      <c r="F11449" s="40" t="s">
        <v>11404</v>
      </c>
      <c r="G11449" s="40" t="s">
        <v>11404</v>
      </c>
      <c r="H11449" s="40" t="s">
        <v>11404</v>
      </c>
    </row>
    <row r="11450">
      <c r="A11450" s="39"/>
      <c r="E11450" s="40" t="s">
        <v>11404</v>
      </c>
      <c r="F11450" s="40" t="s">
        <v>11404</v>
      </c>
      <c r="G11450" s="40" t="s">
        <v>11404</v>
      </c>
      <c r="H11450" s="40" t="s">
        <v>11404</v>
      </c>
    </row>
    <row r="11451">
      <c r="A11451" s="39"/>
      <c r="E11451" s="40" t="s">
        <v>11404</v>
      </c>
      <c r="F11451" s="40" t="s">
        <v>11404</v>
      </c>
      <c r="G11451" s="40" t="s">
        <v>11404</v>
      </c>
      <c r="H11451" s="40" t="s">
        <v>11404</v>
      </c>
    </row>
    <row r="11452">
      <c r="A11452" s="39"/>
      <c r="E11452" s="40" t="s">
        <v>11404</v>
      </c>
      <c r="F11452" s="40" t="s">
        <v>11404</v>
      </c>
      <c r="G11452" s="40" t="s">
        <v>11404</v>
      </c>
      <c r="H11452" s="40" t="s">
        <v>11404</v>
      </c>
    </row>
    <row r="11453">
      <c r="A11453" s="39"/>
      <c r="E11453" s="40" t="s">
        <v>11404</v>
      </c>
      <c r="F11453" s="40" t="s">
        <v>11404</v>
      </c>
      <c r="G11453" s="40" t="s">
        <v>11404</v>
      </c>
      <c r="H11453" s="40" t="s">
        <v>11404</v>
      </c>
    </row>
    <row r="11454">
      <c r="A11454" s="39"/>
      <c r="E11454" s="40" t="s">
        <v>11404</v>
      </c>
      <c r="F11454" s="40" t="s">
        <v>11404</v>
      </c>
      <c r="G11454" s="40" t="s">
        <v>11404</v>
      </c>
      <c r="H11454" s="40" t="s">
        <v>11404</v>
      </c>
    </row>
    <row r="11455">
      <c r="A11455" s="39"/>
      <c r="E11455" s="40" t="s">
        <v>11404</v>
      </c>
      <c r="F11455" s="40" t="s">
        <v>11404</v>
      </c>
      <c r="G11455" s="40" t="s">
        <v>11404</v>
      </c>
      <c r="H11455" s="40" t="s">
        <v>11404</v>
      </c>
    </row>
    <row r="11456">
      <c r="A11456" s="39"/>
      <c r="E11456" s="40" t="s">
        <v>11404</v>
      </c>
      <c r="F11456" s="40" t="s">
        <v>11404</v>
      </c>
      <c r="G11456" s="40" t="s">
        <v>11404</v>
      </c>
      <c r="H11456" s="40" t="s">
        <v>11404</v>
      </c>
    </row>
    <row r="11457">
      <c r="A11457" s="39"/>
      <c r="E11457" s="40" t="s">
        <v>11404</v>
      </c>
      <c r="F11457" s="40" t="s">
        <v>11404</v>
      </c>
      <c r="G11457" s="40" t="s">
        <v>11404</v>
      </c>
      <c r="H11457" s="40" t="s">
        <v>11404</v>
      </c>
    </row>
    <row r="11458">
      <c r="A11458" s="39"/>
      <c r="E11458" s="40" t="s">
        <v>11404</v>
      </c>
      <c r="F11458" s="40" t="s">
        <v>11404</v>
      </c>
      <c r="G11458" s="40" t="s">
        <v>11404</v>
      </c>
      <c r="H11458" s="40" t="s">
        <v>11404</v>
      </c>
    </row>
    <row r="11459">
      <c r="A11459" s="39"/>
      <c r="E11459" s="40" t="s">
        <v>11404</v>
      </c>
      <c r="F11459" s="40" t="s">
        <v>11404</v>
      </c>
      <c r="G11459" s="40" t="s">
        <v>11404</v>
      </c>
      <c r="H11459" s="40" t="s">
        <v>11404</v>
      </c>
    </row>
    <row r="11460">
      <c r="A11460" s="39"/>
      <c r="E11460" s="40" t="s">
        <v>11404</v>
      </c>
      <c r="F11460" s="40" t="s">
        <v>11404</v>
      </c>
      <c r="G11460" s="40" t="s">
        <v>11404</v>
      </c>
      <c r="H11460" s="40" t="s">
        <v>11404</v>
      </c>
    </row>
    <row r="11461">
      <c r="A11461" s="39"/>
      <c r="E11461" s="40" t="s">
        <v>11404</v>
      </c>
      <c r="F11461" s="40" t="s">
        <v>11404</v>
      </c>
      <c r="G11461" s="40" t="s">
        <v>11404</v>
      </c>
      <c r="H11461" s="40" t="s">
        <v>11404</v>
      </c>
    </row>
    <row r="11462">
      <c r="A11462" s="39"/>
      <c r="E11462" s="40" t="s">
        <v>11404</v>
      </c>
      <c r="F11462" s="40" t="s">
        <v>11404</v>
      </c>
      <c r="G11462" s="40" t="s">
        <v>11404</v>
      </c>
      <c r="H11462" s="40" t="s">
        <v>11404</v>
      </c>
    </row>
    <row r="11463">
      <c r="A11463" s="39"/>
      <c r="E11463" s="40" t="s">
        <v>11404</v>
      </c>
      <c r="F11463" s="40" t="s">
        <v>11404</v>
      </c>
      <c r="G11463" s="40" t="s">
        <v>11404</v>
      </c>
      <c r="H11463" s="40" t="s">
        <v>11404</v>
      </c>
    </row>
    <row r="11464">
      <c r="A11464" s="39"/>
      <c r="E11464" s="40" t="s">
        <v>11404</v>
      </c>
      <c r="F11464" s="40" t="s">
        <v>11404</v>
      </c>
      <c r="G11464" s="40" t="s">
        <v>11404</v>
      </c>
      <c r="H11464" s="40" t="s">
        <v>11404</v>
      </c>
    </row>
    <row r="11465">
      <c r="A11465" s="39"/>
      <c r="E11465" s="40" t="s">
        <v>11404</v>
      </c>
      <c r="F11465" s="40" t="s">
        <v>11404</v>
      </c>
      <c r="G11465" s="40" t="s">
        <v>11404</v>
      </c>
      <c r="H11465" s="40" t="s">
        <v>11404</v>
      </c>
    </row>
    <row r="11466">
      <c r="A11466" s="39"/>
      <c r="E11466" s="40" t="s">
        <v>11404</v>
      </c>
      <c r="F11466" s="40" t="s">
        <v>11404</v>
      </c>
      <c r="G11466" s="40" t="s">
        <v>11404</v>
      </c>
      <c r="H11466" s="40" t="s">
        <v>11404</v>
      </c>
    </row>
    <row r="11467">
      <c r="A11467" s="39"/>
      <c r="E11467" s="40" t="s">
        <v>11404</v>
      </c>
      <c r="F11467" s="40" t="s">
        <v>11404</v>
      </c>
      <c r="G11467" s="40" t="s">
        <v>11404</v>
      </c>
      <c r="H11467" s="40" t="s">
        <v>11404</v>
      </c>
    </row>
    <row r="11468">
      <c r="A11468" s="39"/>
      <c r="E11468" s="40" t="s">
        <v>11404</v>
      </c>
      <c r="F11468" s="40" t="s">
        <v>11404</v>
      </c>
      <c r="G11468" s="40" t="s">
        <v>11404</v>
      </c>
      <c r="H11468" s="40" t="s">
        <v>11404</v>
      </c>
    </row>
    <row r="11469">
      <c r="A11469" s="39"/>
      <c r="E11469" s="40" t="s">
        <v>11404</v>
      </c>
      <c r="F11469" s="40" t="s">
        <v>11404</v>
      </c>
      <c r="G11469" s="40" t="s">
        <v>11404</v>
      </c>
      <c r="H11469" s="40" t="s">
        <v>11404</v>
      </c>
    </row>
    <row r="11470">
      <c r="A11470" s="39"/>
      <c r="E11470" s="40" t="s">
        <v>11404</v>
      </c>
      <c r="F11470" s="40" t="s">
        <v>11404</v>
      </c>
      <c r="G11470" s="40" t="s">
        <v>11404</v>
      </c>
      <c r="H11470" s="40" t="s">
        <v>11404</v>
      </c>
    </row>
    <row r="11471">
      <c r="A11471" s="39"/>
      <c r="E11471" s="40" t="s">
        <v>11404</v>
      </c>
      <c r="F11471" s="40" t="s">
        <v>11404</v>
      </c>
      <c r="G11471" s="40" t="s">
        <v>11404</v>
      </c>
      <c r="H11471" s="40" t="s">
        <v>11404</v>
      </c>
    </row>
    <row r="11472">
      <c r="A11472" s="39"/>
      <c r="E11472" s="40" t="s">
        <v>11404</v>
      </c>
      <c r="F11472" s="40" t="s">
        <v>11404</v>
      </c>
      <c r="G11472" s="40" t="s">
        <v>11404</v>
      </c>
      <c r="H11472" s="40" t="s">
        <v>11404</v>
      </c>
    </row>
    <row r="11473">
      <c r="A11473" s="39"/>
      <c r="E11473" s="40" t="s">
        <v>11404</v>
      </c>
      <c r="F11473" s="40" t="s">
        <v>11404</v>
      </c>
      <c r="G11473" s="40" t="s">
        <v>11404</v>
      </c>
      <c r="H11473" s="40" t="s">
        <v>11404</v>
      </c>
    </row>
    <row r="11474">
      <c r="A11474" s="39"/>
      <c r="E11474" s="40" t="s">
        <v>11404</v>
      </c>
      <c r="F11474" s="40" t="s">
        <v>11404</v>
      </c>
      <c r="G11474" s="40" t="s">
        <v>11404</v>
      </c>
      <c r="H11474" s="40" t="s">
        <v>11404</v>
      </c>
    </row>
    <row r="11475">
      <c r="A11475" s="39"/>
      <c r="E11475" s="40" t="s">
        <v>11404</v>
      </c>
      <c r="F11475" s="40" t="s">
        <v>11404</v>
      </c>
      <c r="G11475" s="40" t="s">
        <v>11404</v>
      </c>
      <c r="H11475" s="40" t="s">
        <v>11404</v>
      </c>
    </row>
    <row r="11476">
      <c r="A11476" s="39"/>
      <c r="E11476" s="40" t="s">
        <v>11404</v>
      </c>
      <c r="F11476" s="40" t="s">
        <v>11404</v>
      </c>
      <c r="G11476" s="40" t="s">
        <v>11404</v>
      </c>
      <c r="H11476" s="40" t="s">
        <v>11404</v>
      </c>
    </row>
    <row r="11477">
      <c r="A11477" s="39"/>
      <c r="E11477" s="40" t="s">
        <v>11404</v>
      </c>
      <c r="F11477" s="40" t="s">
        <v>11404</v>
      </c>
      <c r="G11477" s="40" t="s">
        <v>11404</v>
      </c>
      <c r="H11477" s="40" t="s">
        <v>11404</v>
      </c>
    </row>
    <row r="11478">
      <c r="A11478" s="39"/>
      <c r="E11478" s="40" t="s">
        <v>11404</v>
      </c>
      <c r="F11478" s="40" t="s">
        <v>11404</v>
      </c>
      <c r="G11478" s="40" t="s">
        <v>11404</v>
      </c>
      <c r="H11478" s="40" t="s">
        <v>11404</v>
      </c>
    </row>
    <row r="11479">
      <c r="A11479" s="39"/>
      <c r="E11479" s="40" t="s">
        <v>11404</v>
      </c>
      <c r="F11479" s="40" t="s">
        <v>11404</v>
      </c>
      <c r="G11479" s="40" t="s">
        <v>11404</v>
      </c>
      <c r="H11479" s="40" t="s">
        <v>11404</v>
      </c>
    </row>
    <row r="11480">
      <c r="A11480" s="39"/>
      <c r="E11480" s="40" t="s">
        <v>11404</v>
      </c>
      <c r="F11480" s="40" t="s">
        <v>11404</v>
      </c>
      <c r="G11480" s="40" t="s">
        <v>11404</v>
      </c>
      <c r="H11480" s="40" t="s">
        <v>11404</v>
      </c>
    </row>
    <row r="11481">
      <c r="A11481" s="39"/>
      <c r="E11481" s="40" t="s">
        <v>11404</v>
      </c>
      <c r="F11481" s="40" t="s">
        <v>11404</v>
      </c>
      <c r="G11481" s="40" t="s">
        <v>11404</v>
      </c>
      <c r="H11481" s="40" t="s">
        <v>11404</v>
      </c>
    </row>
    <row r="11482">
      <c r="A11482" s="39"/>
      <c r="E11482" s="40" t="s">
        <v>11404</v>
      </c>
      <c r="F11482" s="40" t="s">
        <v>11404</v>
      </c>
      <c r="G11482" s="40" t="s">
        <v>11404</v>
      </c>
      <c r="H11482" s="40" t="s">
        <v>11404</v>
      </c>
    </row>
    <row r="11483">
      <c r="A11483" s="39"/>
      <c r="E11483" s="40" t="s">
        <v>11404</v>
      </c>
      <c r="F11483" s="40" t="s">
        <v>11404</v>
      </c>
      <c r="G11483" s="40" t="s">
        <v>11404</v>
      </c>
      <c r="H11483" s="40" t="s">
        <v>11404</v>
      </c>
    </row>
    <row r="11484">
      <c r="A11484" s="39"/>
      <c r="E11484" s="40" t="s">
        <v>11404</v>
      </c>
      <c r="F11484" s="40" t="s">
        <v>11404</v>
      </c>
      <c r="G11484" s="40" t="s">
        <v>11404</v>
      </c>
      <c r="H11484" s="40" t="s">
        <v>11404</v>
      </c>
    </row>
    <row r="11485">
      <c r="A11485" s="39"/>
      <c r="E11485" s="40" t="s">
        <v>11404</v>
      </c>
      <c r="F11485" s="40" t="s">
        <v>11404</v>
      </c>
      <c r="G11485" s="40" t="s">
        <v>11404</v>
      </c>
      <c r="H11485" s="40" t="s">
        <v>11404</v>
      </c>
    </row>
    <row r="11486">
      <c r="A11486" s="39"/>
      <c r="E11486" s="40" t="s">
        <v>11404</v>
      </c>
      <c r="F11486" s="40" t="s">
        <v>11404</v>
      </c>
      <c r="G11486" s="40" t="s">
        <v>11404</v>
      </c>
      <c r="H11486" s="40" t="s">
        <v>11404</v>
      </c>
    </row>
    <row r="11487">
      <c r="A11487" s="39"/>
      <c r="E11487" s="40" t="s">
        <v>11404</v>
      </c>
      <c r="F11487" s="40" t="s">
        <v>11404</v>
      </c>
      <c r="G11487" s="40" t="s">
        <v>11404</v>
      </c>
      <c r="H11487" s="40" t="s">
        <v>11404</v>
      </c>
    </row>
    <row r="11488">
      <c r="A11488" s="39"/>
      <c r="E11488" s="40" t="s">
        <v>11404</v>
      </c>
      <c r="F11488" s="40" t="s">
        <v>11404</v>
      </c>
      <c r="G11488" s="40" t="s">
        <v>11404</v>
      </c>
      <c r="H11488" s="40" t="s">
        <v>11404</v>
      </c>
    </row>
    <row r="11489">
      <c r="A11489" s="39"/>
      <c r="E11489" s="40" t="s">
        <v>11404</v>
      </c>
      <c r="F11489" s="40" t="s">
        <v>11404</v>
      </c>
      <c r="G11489" s="40" t="s">
        <v>11404</v>
      </c>
      <c r="H11489" s="40" t="s">
        <v>11404</v>
      </c>
    </row>
    <row r="11490">
      <c r="A11490" s="39"/>
      <c r="E11490" s="40" t="s">
        <v>11404</v>
      </c>
      <c r="F11490" s="40" t="s">
        <v>11404</v>
      </c>
      <c r="G11490" s="40" t="s">
        <v>11404</v>
      </c>
      <c r="H11490" s="40" t="s">
        <v>11404</v>
      </c>
    </row>
    <row r="11491">
      <c r="A11491" s="39"/>
      <c r="E11491" s="40" t="s">
        <v>11404</v>
      </c>
      <c r="F11491" s="40" t="s">
        <v>11404</v>
      </c>
      <c r="G11491" s="40" t="s">
        <v>11404</v>
      </c>
      <c r="H11491" s="40" t="s">
        <v>11404</v>
      </c>
    </row>
    <row r="11492">
      <c r="A11492" s="39"/>
      <c r="E11492" s="40" t="s">
        <v>11404</v>
      </c>
      <c r="F11492" s="40" t="s">
        <v>11404</v>
      </c>
      <c r="G11492" s="40" t="s">
        <v>11404</v>
      </c>
      <c r="H11492" s="40" t="s">
        <v>11404</v>
      </c>
    </row>
    <row r="11493">
      <c r="A11493" s="39"/>
      <c r="E11493" s="40" t="s">
        <v>11404</v>
      </c>
      <c r="F11493" s="40" t="s">
        <v>11404</v>
      </c>
      <c r="G11493" s="40" t="s">
        <v>11404</v>
      </c>
      <c r="H11493" s="40" t="s">
        <v>11404</v>
      </c>
    </row>
    <row r="11494">
      <c r="A11494" s="39"/>
      <c r="E11494" s="40" t="s">
        <v>11404</v>
      </c>
      <c r="F11494" s="40" t="s">
        <v>11404</v>
      </c>
      <c r="G11494" s="40" t="s">
        <v>11404</v>
      </c>
      <c r="H11494" s="40" t="s">
        <v>11404</v>
      </c>
    </row>
    <row r="11495">
      <c r="A11495" s="39"/>
      <c r="E11495" s="40" t="s">
        <v>11404</v>
      </c>
      <c r="F11495" s="40" t="s">
        <v>11404</v>
      </c>
      <c r="G11495" s="40" t="s">
        <v>11404</v>
      </c>
      <c r="H11495" s="40" t="s">
        <v>11404</v>
      </c>
    </row>
    <row r="11496">
      <c r="A11496" s="39"/>
      <c r="E11496" s="40" t="s">
        <v>11404</v>
      </c>
      <c r="F11496" s="40" t="s">
        <v>11404</v>
      </c>
      <c r="G11496" s="40" t="s">
        <v>11404</v>
      </c>
      <c r="H11496" s="40" t="s">
        <v>11404</v>
      </c>
    </row>
    <row r="11497">
      <c r="A11497" s="39"/>
      <c r="E11497" s="40" t="s">
        <v>11404</v>
      </c>
      <c r="F11497" s="40" t="s">
        <v>11404</v>
      </c>
      <c r="G11497" s="40" t="s">
        <v>11404</v>
      </c>
      <c r="H11497" s="40" t="s">
        <v>11404</v>
      </c>
    </row>
    <row r="11498">
      <c r="A11498" s="39"/>
      <c r="E11498" s="40" t="s">
        <v>11404</v>
      </c>
      <c r="F11498" s="40" t="s">
        <v>11404</v>
      </c>
      <c r="G11498" s="40" t="s">
        <v>11404</v>
      </c>
      <c r="H11498" s="40" t="s">
        <v>11404</v>
      </c>
    </row>
    <row r="11499">
      <c r="A11499" s="39"/>
      <c r="E11499" s="40" t="s">
        <v>11404</v>
      </c>
      <c r="F11499" s="40" t="s">
        <v>11404</v>
      </c>
      <c r="G11499" s="40" t="s">
        <v>11404</v>
      </c>
      <c r="H11499" s="40" t="s">
        <v>11404</v>
      </c>
    </row>
    <row r="11500">
      <c r="A11500" s="39"/>
      <c r="E11500" s="40" t="s">
        <v>11404</v>
      </c>
      <c r="F11500" s="40" t="s">
        <v>11404</v>
      </c>
      <c r="G11500" s="40" t="s">
        <v>11404</v>
      </c>
      <c r="H11500" s="40" t="s">
        <v>11404</v>
      </c>
    </row>
    <row r="11501">
      <c r="A11501" s="39"/>
      <c r="E11501" s="40" t="s">
        <v>11404</v>
      </c>
      <c r="F11501" s="40" t="s">
        <v>11404</v>
      </c>
      <c r="G11501" s="40" t="s">
        <v>11404</v>
      </c>
      <c r="H11501" s="40" t="s">
        <v>11404</v>
      </c>
    </row>
    <row r="11502">
      <c r="A11502" s="39"/>
      <c r="E11502" s="40" t="s">
        <v>11404</v>
      </c>
      <c r="F11502" s="40" t="s">
        <v>11404</v>
      </c>
      <c r="G11502" s="40" t="s">
        <v>11404</v>
      </c>
      <c r="H11502" s="40" t="s">
        <v>11404</v>
      </c>
    </row>
    <row r="11503">
      <c r="A11503" s="39"/>
      <c r="E11503" s="40" t="s">
        <v>11404</v>
      </c>
      <c r="F11503" s="40" t="s">
        <v>11404</v>
      </c>
      <c r="G11503" s="40" t="s">
        <v>11404</v>
      </c>
      <c r="H11503" s="40" t="s">
        <v>11404</v>
      </c>
    </row>
    <row r="11504">
      <c r="A11504" s="39"/>
      <c r="E11504" s="40" t="s">
        <v>11404</v>
      </c>
      <c r="F11504" s="40" t="s">
        <v>11404</v>
      </c>
      <c r="G11504" s="40" t="s">
        <v>11404</v>
      </c>
      <c r="H11504" s="40" t="s">
        <v>11404</v>
      </c>
    </row>
    <row r="11505">
      <c r="A11505" s="39"/>
      <c r="E11505" s="40" t="s">
        <v>11404</v>
      </c>
      <c r="F11505" s="40" t="s">
        <v>11404</v>
      </c>
      <c r="G11505" s="40" t="s">
        <v>11404</v>
      </c>
      <c r="H11505" s="40" t="s">
        <v>11404</v>
      </c>
    </row>
    <row r="11506">
      <c r="A11506" s="39"/>
      <c r="E11506" s="40" t="s">
        <v>11404</v>
      </c>
      <c r="F11506" s="40" t="s">
        <v>11404</v>
      </c>
      <c r="G11506" s="40" t="s">
        <v>11404</v>
      </c>
      <c r="H11506" s="40" t="s">
        <v>11404</v>
      </c>
    </row>
    <row r="11507">
      <c r="A11507" s="39"/>
      <c r="E11507" s="40" t="s">
        <v>11404</v>
      </c>
      <c r="F11507" s="40" t="s">
        <v>11404</v>
      </c>
      <c r="G11507" s="40" t="s">
        <v>11404</v>
      </c>
      <c r="H11507" s="40" t="s">
        <v>11404</v>
      </c>
    </row>
    <row r="11508">
      <c r="A11508" s="39"/>
      <c r="E11508" s="40" t="s">
        <v>11404</v>
      </c>
      <c r="F11508" s="40" t="s">
        <v>11404</v>
      </c>
      <c r="G11508" s="40" t="s">
        <v>11404</v>
      </c>
      <c r="H11508" s="40" t="s">
        <v>11404</v>
      </c>
    </row>
    <row r="11509">
      <c r="A11509" s="39"/>
      <c r="E11509" s="40" t="s">
        <v>11404</v>
      </c>
      <c r="F11509" s="40" t="s">
        <v>11404</v>
      </c>
      <c r="G11509" s="40" t="s">
        <v>11404</v>
      </c>
      <c r="H11509" s="40" t="s">
        <v>11404</v>
      </c>
    </row>
    <row r="11510">
      <c r="A11510" s="39"/>
      <c r="E11510" s="40" t="s">
        <v>11404</v>
      </c>
      <c r="F11510" s="40" t="s">
        <v>11404</v>
      </c>
      <c r="G11510" s="40" t="s">
        <v>11404</v>
      </c>
      <c r="H11510" s="40" t="s">
        <v>11404</v>
      </c>
    </row>
    <row r="11511">
      <c r="A11511" s="39"/>
      <c r="E11511" s="40" t="s">
        <v>11404</v>
      </c>
      <c r="F11511" s="40" t="s">
        <v>11404</v>
      </c>
      <c r="G11511" s="40" t="s">
        <v>11404</v>
      </c>
      <c r="H11511" s="40" t="s">
        <v>11404</v>
      </c>
    </row>
    <row r="11512">
      <c r="A11512" s="39"/>
      <c r="E11512" s="40" t="s">
        <v>11404</v>
      </c>
      <c r="F11512" s="40" t="s">
        <v>11404</v>
      </c>
      <c r="G11512" s="40" t="s">
        <v>11404</v>
      </c>
      <c r="H11512" s="40" t="s">
        <v>11404</v>
      </c>
    </row>
    <row r="11513">
      <c r="A11513" s="39"/>
      <c r="E11513" s="40" t="s">
        <v>11404</v>
      </c>
      <c r="F11513" s="40" t="s">
        <v>11404</v>
      </c>
      <c r="G11513" s="40" t="s">
        <v>11404</v>
      </c>
      <c r="H11513" s="40" t="s">
        <v>11404</v>
      </c>
    </row>
    <row r="11514">
      <c r="A11514" s="39"/>
      <c r="E11514" s="40" t="s">
        <v>11404</v>
      </c>
      <c r="F11514" s="40" t="s">
        <v>11404</v>
      </c>
      <c r="G11514" s="40" t="s">
        <v>11404</v>
      </c>
      <c r="H11514" s="40" t="s">
        <v>11404</v>
      </c>
    </row>
    <row r="11515">
      <c r="A11515" s="39"/>
      <c r="E11515" s="40" t="s">
        <v>11404</v>
      </c>
      <c r="F11515" s="40" t="s">
        <v>11404</v>
      </c>
      <c r="G11515" s="40" t="s">
        <v>11404</v>
      </c>
      <c r="H11515" s="40" t="s">
        <v>11404</v>
      </c>
    </row>
    <row r="11516">
      <c r="A11516" s="39"/>
      <c r="E11516" s="40" t="s">
        <v>11404</v>
      </c>
      <c r="F11516" s="40" t="s">
        <v>11404</v>
      </c>
      <c r="G11516" s="40" t="s">
        <v>11404</v>
      </c>
      <c r="H11516" s="40" t="s">
        <v>11404</v>
      </c>
    </row>
    <row r="11517">
      <c r="A11517" s="39"/>
      <c r="E11517" s="40" t="s">
        <v>11404</v>
      </c>
      <c r="F11517" s="40" t="s">
        <v>11404</v>
      </c>
      <c r="G11517" s="40" t="s">
        <v>11404</v>
      </c>
      <c r="H11517" s="40" t="s">
        <v>11404</v>
      </c>
    </row>
    <row r="11518">
      <c r="A11518" s="39"/>
      <c r="E11518" s="40" t="s">
        <v>11404</v>
      </c>
      <c r="F11518" s="40" t="s">
        <v>11404</v>
      </c>
      <c r="G11518" s="40" t="s">
        <v>11404</v>
      </c>
      <c r="H11518" s="40" t="s">
        <v>11404</v>
      </c>
    </row>
    <row r="11519">
      <c r="A11519" s="39"/>
      <c r="E11519" s="40" t="s">
        <v>11404</v>
      </c>
      <c r="F11519" s="40" t="s">
        <v>11404</v>
      </c>
      <c r="G11519" s="40" t="s">
        <v>11404</v>
      </c>
      <c r="H11519" s="40" t="s">
        <v>11404</v>
      </c>
    </row>
    <row r="11520">
      <c r="A11520" s="39"/>
      <c r="E11520" s="40" t="s">
        <v>11404</v>
      </c>
      <c r="F11520" s="40" t="s">
        <v>11404</v>
      </c>
      <c r="G11520" s="40" t="s">
        <v>11404</v>
      </c>
      <c r="H11520" s="40" t="s">
        <v>11404</v>
      </c>
    </row>
    <row r="11521">
      <c r="A11521" s="39"/>
      <c r="E11521" s="40" t="s">
        <v>11404</v>
      </c>
      <c r="F11521" s="40" t="s">
        <v>11404</v>
      </c>
      <c r="G11521" s="40" t="s">
        <v>11404</v>
      </c>
      <c r="H11521" s="40" t="s">
        <v>11404</v>
      </c>
    </row>
    <row r="11522">
      <c r="A11522" s="39"/>
      <c r="E11522" s="40" t="s">
        <v>11404</v>
      </c>
      <c r="F11522" s="40" t="s">
        <v>11404</v>
      </c>
      <c r="G11522" s="40" t="s">
        <v>11404</v>
      </c>
      <c r="H11522" s="40" t="s">
        <v>11404</v>
      </c>
    </row>
    <row r="11523">
      <c r="A11523" s="39"/>
      <c r="E11523" s="40" t="s">
        <v>11404</v>
      </c>
      <c r="F11523" s="40" t="s">
        <v>11404</v>
      </c>
      <c r="G11523" s="40" t="s">
        <v>11404</v>
      </c>
      <c r="H11523" s="40" t="s">
        <v>11404</v>
      </c>
    </row>
    <row r="11524">
      <c r="A11524" s="39"/>
      <c r="E11524" s="40" t="s">
        <v>11404</v>
      </c>
      <c r="F11524" s="40" t="s">
        <v>11404</v>
      </c>
      <c r="G11524" s="40" t="s">
        <v>11404</v>
      </c>
      <c r="H11524" s="40" t="s">
        <v>11404</v>
      </c>
    </row>
    <row r="11525">
      <c r="A11525" s="39"/>
      <c r="E11525" s="40" t="s">
        <v>11404</v>
      </c>
      <c r="F11525" s="40" t="s">
        <v>11404</v>
      </c>
      <c r="G11525" s="40" t="s">
        <v>11404</v>
      </c>
      <c r="H11525" s="40" t="s">
        <v>11404</v>
      </c>
    </row>
    <row r="11526">
      <c r="A11526" s="39"/>
      <c r="E11526" s="40" t="s">
        <v>11404</v>
      </c>
      <c r="F11526" s="40" t="s">
        <v>11404</v>
      </c>
      <c r="G11526" s="40" t="s">
        <v>11404</v>
      </c>
      <c r="H11526" s="40" t="s">
        <v>11404</v>
      </c>
    </row>
    <row r="11527">
      <c r="A11527" s="39"/>
      <c r="E11527" s="40" t="s">
        <v>11404</v>
      </c>
      <c r="F11527" s="40" t="s">
        <v>11404</v>
      </c>
      <c r="G11527" s="40" t="s">
        <v>11404</v>
      </c>
      <c r="H11527" s="40" t="s">
        <v>11404</v>
      </c>
    </row>
    <row r="11528">
      <c r="A11528" s="39"/>
      <c r="E11528" s="40" t="s">
        <v>11404</v>
      </c>
      <c r="F11528" s="40" t="s">
        <v>11404</v>
      </c>
      <c r="G11528" s="40" t="s">
        <v>11404</v>
      </c>
      <c r="H11528" s="40" t="s">
        <v>11404</v>
      </c>
    </row>
    <row r="11529">
      <c r="A11529" s="39"/>
      <c r="E11529" s="40" t="s">
        <v>11404</v>
      </c>
      <c r="F11529" s="40" t="s">
        <v>11404</v>
      </c>
      <c r="G11529" s="40" t="s">
        <v>11404</v>
      </c>
      <c r="H11529" s="40" t="s">
        <v>11404</v>
      </c>
    </row>
    <row r="11530">
      <c r="A11530" s="39"/>
      <c r="E11530" s="40" t="s">
        <v>11404</v>
      </c>
      <c r="F11530" s="40" t="s">
        <v>11404</v>
      </c>
      <c r="G11530" s="40" t="s">
        <v>11404</v>
      </c>
      <c r="H11530" s="40" t="s">
        <v>11404</v>
      </c>
    </row>
    <row r="11531">
      <c r="A11531" s="39"/>
      <c r="E11531" s="40" t="s">
        <v>11404</v>
      </c>
      <c r="F11531" s="40" t="s">
        <v>11404</v>
      </c>
      <c r="G11531" s="40" t="s">
        <v>11404</v>
      </c>
      <c r="H11531" s="40" t="s">
        <v>11404</v>
      </c>
    </row>
    <row r="11532">
      <c r="A11532" s="39"/>
      <c r="E11532" s="40" t="s">
        <v>11404</v>
      </c>
      <c r="F11532" s="40" t="s">
        <v>11404</v>
      </c>
      <c r="G11532" s="40" t="s">
        <v>11404</v>
      </c>
      <c r="H11532" s="40" t="s">
        <v>11404</v>
      </c>
    </row>
    <row r="11533">
      <c r="A11533" s="39"/>
      <c r="E11533" s="40" t="s">
        <v>11404</v>
      </c>
      <c r="F11533" s="40" t="s">
        <v>11404</v>
      </c>
      <c r="G11533" s="40" t="s">
        <v>11404</v>
      </c>
      <c r="H11533" s="40" t="s">
        <v>11404</v>
      </c>
    </row>
    <row r="11534">
      <c r="A11534" s="39"/>
      <c r="E11534" s="40" t="s">
        <v>11404</v>
      </c>
      <c r="F11534" s="40" t="s">
        <v>11404</v>
      </c>
      <c r="G11534" s="40" t="s">
        <v>11404</v>
      </c>
      <c r="H11534" s="40" t="s">
        <v>11404</v>
      </c>
    </row>
    <row r="11535">
      <c r="A11535" s="39"/>
      <c r="E11535" s="40" t="s">
        <v>11404</v>
      </c>
      <c r="F11535" s="40" t="s">
        <v>11404</v>
      </c>
      <c r="G11535" s="40" t="s">
        <v>11404</v>
      </c>
      <c r="H11535" s="40" t="s">
        <v>11404</v>
      </c>
    </row>
    <row r="11536">
      <c r="A11536" s="39"/>
      <c r="E11536" s="40" t="s">
        <v>11404</v>
      </c>
      <c r="F11536" s="40" t="s">
        <v>11404</v>
      </c>
      <c r="G11536" s="40" t="s">
        <v>11404</v>
      </c>
      <c r="H11536" s="40" t="s">
        <v>11404</v>
      </c>
    </row>
    <row r="11537">
      <c r="A11537" s="39"/>
      <c r="E11537" s="40" t="s">
        <v>11404</v>
      </c>
      <c r="F11537" s="40" t="s">
        <v>11404</v>
      </c>
      <c r="G11537" s="40" t="s">
        <v>11404</v>
      </c>
      <c r="H11537" s="40" t="s">
        <v>11404</v>
      </c>
    </row>
    <row r="11538">
      <c r="A11538" s="39"/>
      <c r="E11538" s="40" t="s">
        <v>11404</v>
      </c>
      <c r="F11538" s="40" t="s">
        <v>11404</v>
      </c>
      <c r="G11538" s="40" t="s">
        <v>11404</v>
      </c>
      <c r="H11538" s="40" t="s">
        <v>11404</v>
      </c>
    </row>
    <row r="11539">
      <c r="A11539" s="39"/>
      <c r="E11539" s="40" t="s">
        <v>11404</v>
      </c>
      <c r="F11539" s="40" t="s">
        <v>11404</v>
      </c>
      <c r="G11539" s="40" t="s">
        <v>11404</v>
      </c>
      <c r="H11539" s="40" t="s">
        <v>11404</v>
      </c>
    </row>
    <row r="11540">
      <c r="A11540" s="39"/>
      <c r="E11540" s="40" t="s">
        <v>11404</v>
      </c>
      <c r="F11540" s="40" t="s">
        <v>11404</v>
      </c>
      <c r="G11540" s="40" t="s">
        <v>11404</v>
      </c>
      <c r="H11540" s="40" t="s">
        <v>11404</v>
      </c>
    </row>
    <row r="11541">
      <c r="A11541" s="39"/>
      <c r="E11541" s="40" t="s">
        <v>11404</v>
      </c>
      <c r="F11541" s="40" t="s">
        <v>11404</v>
      </c>
      <c r="G11541" s="40" t="s">
        <v>11404</v>
      </c>
      <c r="H11541" s="40" t="s">
        <v>11404</v>
      </c>
    </row>
    <row r="11542">
      <c r="A11542" s="39"/>
      <c r="E11542" s="40" t="s">
        <v>11404</v>
      </c>
      <c r="F11542" s="40" t="s">
        <v>11404</v>
      </c>
      <c r="G11542" s="40" t="s">
        <v>11404</v>
      </c>
      <c r="H11542" s="40" t="s">
        <v>11404</v>
      </c>
    </row>
    <row r="11543">
      <c r="A11543" s="39"/>
      <c r="E11543" s="40" t="s">
        <v>11404</v>
      </c>
      <c r="F11543" s="40" t="s">
        <v>11404</v>
      </c>
      <c r="G11543" s="40" t="s">
        <v>11404</v>
      </c>
      <c r="H11543" s="40" t="s">
        <v>11404</v>
      </c>
    </row>
    <row r="11544">
      <c r="A11544" s="39"/>
      <c r="E11544" s="40" t="s">
        <v>11404</v>
      </c>
      <c r="F11544" s="40" t="s">
        <v>11404</v>
      </c>
      <c r="G11544" s="40" t="s">
        <v>11404</v>
      </c>
      <c r="H11544" s="40" t="s">
        <v>11404</v>
      </c>
    </row>
    <row r="11545">
      <c r="A11545" s="39"/>
      <c r="E11545" s="40" t="s">
        <v>11404</v>
      </c>
      <c r="F11545" s="40" t="s">
        <v>11404</v>
      </c>
      <c r="G11545" s="40" t="s">
        <v>11404</v>
      </c>
      <c r="H11545" s="40" t="s">
        <v>11404</v>
      </c>
    </row>
    <row r="11546">
      <c r="A11546" s="39"/>
      <c r="E11546" s="40" t="s">
        <v>11404</v>
      </c>
      <c r="F11546" s="40" t="s">
        <v>11404</v>
      </c>
      <c r="G11546" s="40" t="s">
        <v>11404</v>
      </c>
      <c r="H11546" s="40" t="s">
        <v>11404</v>
      </c>
    </row>
    <row r="11547">
      <c r="A11547" s="39"/>
      <c r="E11547" s="40" t="s">
        <v>11404</v>
      </c>
      <c r="F11547" s="40" t="s">
        <v>11404</v>
      </c>
      <c r="G11547" s="40" t="s">
        <v>11404</v>
      </c>
      <c r="H11547" s="40" t="s">
        <v>11404</v>
      </c>
    </row>
    <row r="11548">
      <c r="A11548" s="39"/>
      <c r="E11548" s="40" t="s">
        <v>11404</v>
      </c>
      <c r="F11548" s="40" t="s">
        <v>11404</v>
      </c>
      <c r="G11548" s="40" t="s">
        <v>11404</v>
      </c>
      <c r="H11548" s="40" t="s">
        <v>11404</v>
      </c>
    </row>
    <row r="11549">
      <c r="A11549" s="39"/>
      <c r="E11549" s="40" t="s">
        <v>11404</v>
      </c>
      <c r="F11549" s="40" t="s">
        <v>11404</v>
      </c>
      <c r="G11549" s="40" t="s">
        <v>11404</v>
      </c>
      <c r="H11549" s="40" t="s">
        <v>11404</v>
      </c>
    </row>
    <row r="11550">
      <c r="A11550" s="39"/>
      <c r="E11550" s="40" t="s">
        <v>11404</v>
      </c>
      <c r="F11550" s="40" t="s">
        <v>11404</v>
      </c>
      <c r="G11550" s="40" t="s">
        <v>11404</v>
      </c>
      <c r="H11550" s="40" t="s">
        <v>11404</v>
      </c>
    </row>
    <row r="11551">
      <c r="A11551" s="39"/>
      <c r="E11551" s="40" t="s">
        <v>11404</v>
      </c>
      <c r="F11551" s="40" t="s">
        <v>11404</v>
      </c>
      <c r="G11551" s="40" t="s">
        <v>11404</v>
      </c>
      <c r="H11551" s="40" t="s">
        <v>11404</v>
      </c>
    </row>
    <row r="11552">
      <c r="A11552" s="39"/>
      <c r="E11552" s="40" t="s">
        <v>11404</v>
      </c>
      <c r="F11552" s="40" t="s">
        <v>11404</v>
      </c>
      <c r="G11552" s="40" t="s">
        <v>11404</v>
      </c>
      <c r="H11552" s="40" t="s">
        <v>11404</v>
      </c>
    </row>
    <row r="11553">
      <c r="A11553" s="39"/>
      <c r="E11553" s="40" t="s">
        <v>11404</v>
      </c>
      <c r="F11553" s="40" t="s">
        <v>11404</v>
      </c>
      <c r="G11553" s="40" t="s">
        <v>11404</v>
      </c>
      <c r="H11553" s="40" t="s">
        <v>11404</v>
      </c>
    </row>
    <row r="11554">
      <c r="A11554" s="39"/>
      <c r="E11554" s="40" t="s">
        <v>11404</v>
      </c>
      <c r="F11554" s="40" t="s">
        <v>11404</v>
      </c>
      <c r="G11554" s="40" t="s">
        <v>11404</v>
      </c>
      <c r="H11554" s="40" t="s">
        <v>11404</v>
      </c>
    </row>
    <row r="11555">
      <c r="A11555" s="39"/>
      <c r="E11555" s="40" t="s">
        <v>11404</v>
      </c>
      <c r="F11555" s="40" t="s">
        <v>11404</v>
      </c>
      <c r="G11555" s="40" t="s">
        <v>11404</v>
      </c>
      <c r="H11555" s="40" t="s">
        <v>11404</v>
      </c>
    </row>
    <row r="11556">
      <c r="A11556" s="39"/>
      <c r="E11556" s="40" t="s">
        <v>11404</v>
      </c>
      <c r="F11556" s="40" t="s">
        <v>11404</v>
      </c>
      <c r="G11556" s="40" t="s">
        <v>11404</v>
      </c>
      <c r="H11556" s="40" t="s">
        <v>11404</v>
      </c>
    </row>
    <row r="11557">
      <c r="A11557" s="39"/>
      <c r="E11557" s="40" t="s">
        <v>11404</v>
      </c>
      <c r="F11557" s="40" t="s">
        <v>11404</v>
      </c>
      <c r="G11557" s="40" t="s">
        <v>11404</v>
      </c>
      <c r="H11557" s="40" t="s">
        <v>11404</v>
      </c>
    </row>
    <row r="11558">
      <c r="A11558" s="39"/>
      <c r="E11558" s="40" t="s">
        <v>11404</v>
      </c>
      <c r="F11558" s="40" t="s">
        <v>11404</v>
      </c>
      <c r="G11558" s="40" t="s">
        <v>11404</v>
      </c>
      <c r="H11558" s="40" t="s">
        <v>11404</v>
      </c>
    </row>
    <row r="11559">
      <c r="A11559" s="39"/>
      <c r="E11559" s="40" t="s">
        <v>11404</v>
      </c>
      <c r="F11559" s="40" t="s">
        <v>11404</v>
      </c>
      <c r="G11559" s="40" t="s">
        <v>11404</v>
      </c>
      <c r="H11559" s="40" t="s">
        <v>11404</v>
      </c>
    </row>
    <row r="11560">
      <c r="A11560" s="39"/>
      <c r="E11560" s="40" t="s">
        <v>11404</v>
      </c>
      <c r="F11560" s="40" t="s">
        <v>11404</v>
      </c>
      <c r="G11560" s="40" t="s">
        <v>11404</v>
      </c>
      <c r="H11560" s="40" t="s">
        <v>11404</v>
      </c>
    </row>
    <row r="11561">
      <c r="A11561" s="39"/>
      <c r="E11561" s="40" t="s">
        <v>11404</v>
      </c>
      <c r="F11561" s="40" t="s">
        <v>11404</v>
      </c>
      <c r="G11561" s="40" t="s">
        <v>11404</v>
      </c>
      <c r="H11561" s="40" t="s">
        <v>11404</v>
      </c>
    </row>
    <row r="11562">
      <c r="A11562" s="39"/>
      <c r="E11562" s="40" t="s">
        <v>11404</v>
      </c>
      <c r="F11562" s="40" t="s">
        <v>11404</v>
      </c>
      <c r="G11562" s="40" t="s">
        <v>11404</v>
      </c>
      <c r="H11562" s="40" t="s">
        <v>11404</v>
      </c>
    </row>
    <row r="11563">
      <c r="A11563" s="39"/>
      <c r="E11563" s="40" t="s">
        <v>11404</v>
      </c>
      <c r="F11563" s="40" t="s">
        <v>11404</v>
      </c>
      <c r="G11563" s="40" t="s">
        <v>11404</v>
      </c>
      <c r="H11563" s="40" t="s">
        <v>11404</v>
      </c>
    </row>
    <row r="11564">
      <c r="A11564" s="39"/>
      <c r="E11564" s="40" t="s">
        <v>11404</v>
      </c>
      <c r="F11564" s="40" t="s">
        <v>11404</v>
      </c>
      <c r="G11564" s="40" t="s">
        <v>11404</v>
      </c>
      <c r="H11564" s="40" t="s">
        <v>11404</v>
      </c>
    </row>
    <row r="11565">
      <c r="A11565" s="39"/>
      <c r="E11565" s="40" t="s">
        <v>11404</v>
      </c>
      <c r="F11565" s="40" t="s">
        <v>11404</v>
      </c>
      <c r="G11565" s="40" t="s">
        <v>11404</v>
      </c>
      <c r="H11565" s="40" t="s">
        <v>11404</v>
      </c>
    </row>
    <row r="11566">
      <c r="A11566" s="39"/>
      <c r="E11566" s="40" t="s">
        <v>11404</v>
      </c>
      <c r="F11566" s="40" t="s">
        <v>11404</v>
      </c>
      <c r="G11566" s="40" t="s">
        <v>11404</v>
      </c>
      <c r="H11566" s="40" t="s">
        <v>11404</v>
      </c>
    </row>
    <row r="11567">
      <c r="A11567" s="39"/>
      <c r="E11567" s="40" t="s">
        <v>11404</v>
      </c>
      <c r="F11567" s="40" t="s">
        <v>11404</v>
      </c>
      <c r="G11567" s="40" t="s">
        <v>11404</v>
      </c>
      <c r="H11567" s="40" t="s">
        <v>11404</v>
      </c>
    </row>
    <row r="11568">
      <c r="A11568" s="39"/>
      <c r="E11568" s="40" t="s">
        <v>11404</v>
      </c>
      <c r="F11568" s="40" t="s">
        <v>11404</v>
      </c>
      <c r="G11568" s="40" t="s">
        <v>11404</v>
      </c>
      <c r="H11568" s="40" t="s">
        <v>11404</v>
      </c>
    </row>
    <row r="11569">
      <c r="A11569" s="39"/>
      <c r="E11569" s="40" t="s">
        <v>11404</v>
      </c>
      <c r="F11569" s="40" t="s">
        <v>11404</v>
      </c>
      <c r="G11569" s="40" t="s">
        <v>11404</v>
      </c>
      <c r="H11569" s="40" t="s">
        <v>11404</v>
      </c>
    </row>
    <row r="11570">
      <c r="A11570" s="39"/>
      <c r="E11570" s="40" t="s">
        <v>11404</v>
      </c>
      <c r="F11570" s="40" t="s">
        <v>11404</v>
      </c>
      <c r="G11570" s="40" t="s">
        <v>11404</v>
      </c>
      <c r="H11570" s="40" t="s">
        <v>11404</v>
      </c>
    </row>
    <row r="11571">
      <c r="A11571" s="39"/>
      <c r="E11571" s="40" t="s">
        <v>11404</v>
      </c>
      <c r="F11571" s="40" t="s">
        <v>11404</v>
      </c>
      <c r="G11571" s="40" t="s">
        <v>11404</v>
      </c>
      <c r="H11571" s="40" t="s">
        <v>11404</v>
      </c>
    </row>
    <row r="11572">
      <c r="A11572" s="39"/>
      <c r="E11572" s="40" t="s">
        <v>11404</v>
      </c>
      <c r="F11572" s="40" t="s">
        <v>11404</v>
      </c>
      <c r="G11572" s="40" t="s">
        <v>11404</v>
      </c>
      <c r="H11572" s="40" t="s">
        <v>11404</v>
      </c>
    </row>
    <row r="11573">
      <c r="A11573" s="39"/>
      <c r="E11573" s="40" t="s">
        <v>11404</v>
      </c>
      <c r="F11573" s="40" t="s">
        <v>11404</v>
      </c>
      <c r="G11573" s="40" t="s">
        <v>11404</v>
      </c>
      <c r="H11573" s="40" t="s">
        <v>11404</v>
      </c>
    </row>
    <row r="11574">
      <c r="A11574" s="39"/>
      <c r="E11574" s="40" t="s">
        <v>11404</v>
      </c>
      <c r="F11574" s="40" t="s">
        <v>11404</v>
      </c>
      <c r="G11574" s="40" t="s">
        <v>11404</v>
      </c>
      <c r="H11574" s="40" t="s">
        <v>11404</v>
      </c>
    </row>
    <row r="11575">
      <c r="A11575" s="39"/>
      <c r="E11575" s="40" t="s">
        <v>11404</v>
      </c>
      <c r="F11575" s="40" t="s">
        <v>11404</v>
      </c>
      <c r="G11575" s="40" t="s">
        <v>11404</v>
      </c>
      <c r="H11575" s="40" t="s">
        <v>11404</v>
      </c>
    </row>
    <row r="11576">
      <c r="A11576" s="39"/>
      <c r="E11576" s="40" t="s">
        <v>11404</v>
      </c>
      <c r="F11576" s="40" t="s">
        <v>11404</v>
      </c>
      <c r="G11576" s="40" t="s">
        <v>11404</v>
      </c>
      <c r="H11576" s="40" t="s">
        <v>11404</v>
      </c>
    </row>
    <row r="11577">
      <c r="A11577" s="39"/>
      <c r="E11577" s="40" t="s">
        <v>11404</v>
      </c>
      <c r="F11577" s="40" t="s">
        <v>11404</v>
      </c>
      <c r="G11577" s="40" t="s">
        <v>11404</v>
      </c>
      <c r="H11577" s="40" t="s">
        <v>11404</v>
      </c>
    </row>
    <row r="11578">
      <c r="A11578" s="39"/>
      <c r="E11578" s="40" t="s">
        <v>11404</v>
      </c>
      <c r="F11578" s="40" t="s">
        <v>11404</v>
      </c>
      <c r="G11578" s="40" t="s">
        <v>11404</v>
      </c>
      <c r="H11578" s="40" t="s">
        <v>11404</v>
      </c>
    </row>
    <row r="11579">
      <c r="A11579" s="39"/>
      <c r="E11579" s="40" t="s">
        <v>11404</v>
      </c>
      <c r="F11579" s="40" t="s">
        <v>11404</v>
      </c>
      <c r="G11579" s="40" t="s">
        <v>11404</v>
      </c>
      <c r="H11579" s="40" t="s">
        <v>11404</v>
      </c>
    </row>
    <row r="11580">
      <c r="A11580" s="39"/>
      <c r="E11580" s="40" t="s">
        <v>11404</v>
      </c>
      <c r="F11580" s="40" t="s">
        <v>11404</v>
      </c>
      <c r="G11580" s="40" t="s">
        <v>11404</v>
      </c>
      <c r="H11580" s="40" t="s">
        <v>11404</v>
      </c>
    </row>
    <row r="11581">
      <c r="A11581" s="39"/>
      <c r="E11581" s="40" t="s">
        <v>11404</v>
      </c>
      <c r="F11581" s="40" t="s">
        <v>11404</v>
      </c>
      <c r="G11581" s="40" t="s">
        <v>11404</v>
      </c>
      <c r="H11581" s="40" t="s">
        <v>11404</v>
      </c>
    </row>
    <row r="11582">
      <c r="A11582" s="39"/>
      <c r="E11582" s="40" t="s">
        <v>11404</v>
      </c>
      <c r="F11582" s="40" t="s">
        <v>11404</v>
      </c>
      <c r="G11582" s="40" t="s">
        <v>11404</v>
      </c>
      <c r="H11582" s="40" t="s">
        <v>11404</v>
      </c>
    </row>
    <row r="11583">
      <c r="A11583" s="39"/>
      <c r="E11583" s="40" t="s">
        <v>11404</v>
      </c>
      <c r="F11583" s="40" t="s">
        <v>11404</v>
      </c>
      <c r="G11583" s="40" t="s">
        <v>11404</v>
      </c>
      <c r="H11583" s="40" t="s">
        <v>11404</v>
      </c>
    </row>
    <row r="11584">
      <c r="A11584" s="39"/>
      <c r="E11584" s="40" t="s">
        <v>11404</v>
      </c>
      <c r="F11584" s="40" t="s">
        <v>11404</v>
      </c>
      <c r="G11584" s="40" t="s">
        <v>11404</v>
      </c>
      <c r="H11584" s="40" t="s">
        <v>11404</v>
      </c>
    </row>
    <row r="11585">
      <c r="A11585" s="39"/>
      <c r="E11585" s="40" t="s">
        <v>11404</v>
      </c>
      <c r="F11585" s="40" t="s">
        <v>11404</v>
      </c>
      <c r="G11585" s="40" t="s">
        <v>11404</v>
      </c>
      <c r="H11585" s="40" t="s">
        <v>11404</v>
      </c>
    </row>
    <row r="11586">
      <c r="A11586" s="39"/>
      <c r="E11586" s="40" t="s">
        <v>11404</v>
      </c>
      <c r="F11586" s="40" t="s">
        <v>11404</v>
      </c>
      <c r="G11586" s="40" t="s">
        <v>11404</v>
      </c>
      <c r="H11586" s="40" t="s">
        <v>11404</v>
      </c>
    </row>
    <row r="11587">
      <c r="A11587" s="39"/>
      <c r="E11587" s="40" t="s">
        <v>11404</v>
      </c>
      <c r="F11587" s="40" t="s">
        <v>11404</v>
      </c>
      <c r="G11587" s="40" t="s">
        <v>11404</v>
      </c>
      <c r="H11587" s="40" t="s">
        <v>11404</v>
      </c>
    </row>
    <row r="11588">
      <c r="A11588" s="39"/>
      <c r="E11588" s="40" t="s">
        <v>11404</v>
      </c>
      <c r="F11588" s="40" t="s">
        <v>11404</v>
      </c>
      <c r="G11588" s="40" t="s">
        <v>11404</v>
      </c>
      <c r="H11588" s="40" t="s">
        <v>11404</v>
      </c>
    </row>
    <row r="11589">
      <c r="A11589" s="39"/>
      <c r="E11589" s="40" t="s">
        <v>11404</v>
      </c>
      <c r="F11589" s="40" t="s">
        <v>11404</v>
      </c>
      <c r="G11589" s="40" t="s">
        <v>11404</v>
      </c>
      <c r="H11589" s="40" t="s">
        <v>11404</v>
      </c>
    </row>
    <row r="11590">
      <c r="A11590" s="39"/>
      <c r="E11590" s="40" t="s">
        <v>11404</v>
      </c>
      <c r="F11590" s="40" t="s">
        <v>11404</v>
      </c>
      <c r="G11590" s="40" t="s">
        <v>11404</v>
      </c>
      <c r="H11590" s="40" t="s">
        <v>11404</v>
      </c>
    </row>
    <row r="11591">
      <c r="A11591" s="39"/>
      <c r="E11591" s="40" t="s">
        <v>11404</v>
      </c>
      <c r="F11591" s="40" t="s">
        <v>11404</v>
      </c>
      <c r="G11591" s="40" t="s">
        <v>11404</v>
      </c>
      <c r="H11591" s="40" t="s">
        <v>11404</v>
      </c>
    </row>
    <row r="11592">
      <c r="A11592" s="39"/>
      <c r="E11592" s="40" t="s">
        <v>11404</v>
      </c>
      <c r="F11592" s="40" t="s">
        <v>11404</v>
      </c>
      <c r="G11592" s="40" t="s">
        <v>11404</v>
      </c>
      <c r="H11592" s="40" t="s">
        <v>11404</v>
      </c>
    </row>
    <row r="11593">
      <c r="A11593" s="39"/>
      <c r="E11593" s="40" t="s">
        <v>11404</v>
      </c>
      <c r="F11593" s="40" t="s">
        <v>11404</v>
      </c>
      <c r="G11593" s="40" t="s">
        <v>11404</v>
      </c>
      <c r="H11593" s="40" t="s">
        <v>11404</v>
      </c>
    </row>
    <row r="11594">
      <c r="A11594" s="39"/>
      <c r="E11594" s="40" t="s">
        <v>11404</v>
      </c>
      <c r="F11594" s="40" t="s">
        <v>11404</v>
      </c>
      <c r="G11594" s="40" t="s">
        <v>11404</v>
      </c>
      <c r="H11594" s="40" t="s">
        <v>11404</v>
      </c>
    </row>
    <row r="11595">
      <c r="A11595" s="39"/>
      <c r="E11595" s="40" t="s">
        <v>11404</v>
      </c>
      <c r="F11595" s="40" t="s">
        <v>11404</v>
      </c>
      <c r="G11595" s="40" t="s">
        <v>11404</v>
      </c>
      <c r="H11595" s="40" t="s">
        <v>11404</v>
      </c>
    </row>
    <row r="11596">
      <c r="A11596" s="39"/>
      <c r="E11596" s="40" t="s">
        <v>11404</v>
      </c>
      <c r="F11596" s="40" t="s">
        <v>11404</v>
      </c>
      <c r="G11596" s="40" t="s">
        <v>11404</v>
      </c>
      <c r="H11596" s="40" t="s">
        <v>11404</v>
      </c>
    </row>
    <row r="11597">
      <c r="A11597" s="39"/>
      <c r="E11597" s="40" t="s">
        <v>11404</v>
      </c>
      <c r="F11597" s="40" t="s">
        <v>11404</v>
      </c>
      <c r="G11597" s="40" t="s">
        <v>11404</v>
      </c>
      <c r="H11597" s="40" t="s">
        <v>11404</v>
      </c>
    </row>
    <row r="11598">
      <c r="A11598" s="39"/>
      <c r="E11598" s="40" t="s">
        <v>11404</v>
      </c>
      <c r="F11598" s="40" t="s">
        <v>11404</v>
      </c>
      <c r="G11598" s="40" t="s">
        <v>11404</v>
      </c>
      <c r="H11598" s="40" t="s">
        <v>11404</v>
      </c>
    </row>
    <row r="11599">
      <c r="A11599" s="39"/>
      <c r="E11599" s="40" t="s">
        <v>11404</v>
      </c>
      <c r="F11599" s="40" t="s">
        <v>11404</v>
      </c>
      <c r="G11599" s="40" t="s">
        <v>11404</v>
      </c>
      <c r="H11599" s="40" t="s">
        <v>11404</v>
      </c>
    </row>
    <row r="11600">
      <c r="A11600" s="39"/>
      <c r="E11600" s="40" t="s">
        <v>11404</v>
      </c>
      <c r="F11600" s="40" t="s">
        <v>11404</v>
      </c>
      <c r="G11600" s="40" t="s">
        <v>11404</v>
      </c>
      <c r="H11600" s="40" t="s">
        <v>11404</v>
      </c>
    </row>
    <row r="11601">
      <c r="A11601" s="39"/>
      <c r="E11601" s="40" t="s">
        <v>11404</v>
      </c>
      <c r="F11601" s="40" t="s">
        <v>11404</v>
      </c>
      <c r="G11601" s="40" t="s">
        <v>11404</v>
      </c>
      <c r="H11601" s="40" t="s">
        <v>11404</v>
      </c>
    </row>
    <row r="11602">
      <c r="A11602" s="39"/>
      <c r="E11602" s="40" t="s">
        <v>11404</v>
      </c>
      <c r="F11602" s="40" t="s">
        <v>11404</v>
      </c>
      <c r="G11602" s="40" t="s">
        <v>11404</v>
      </c>
      <c r="H11602" s="40" t="s">
        <v>11404</v>
      </c>
    </row>
    <row r="11603">
      <c r="A11603" s="39"/>
      <c r="E11603" s="40" t="s">
        <v>11404</v>
      </c>
      <c r="F11603" s="40" t="s">
        <v>11404</v>
      </c>
      <c r="G11603" s="40" t="s">
        <v>11404</v>
      </c>
      <c r="H11603" s="40" t="s">
        <v>11404</v>
      </c>
    </row>
    <row r="11604">
      <c r="A11604" s="39"/>
      <c r="E11604" s="40" t="s">
        <v>11404</v>
      </c>
      <c r="F11604" s="40" t="s">
        <v>11404</v>
      </c>
      <c r="G11604" s="40" t="s">
        <v>11404</v>
      </c>
      <c r="H11604" s="40" t="s">
        <v>11404</v>
      </c>
    </row>
    <row r="11605">
      <c r="A11605" s="39"/>
      <c r="E11605" s="40" t="s">
        <v>11404</v>
      </c>
      <c r="F11605" s="40" t="s">
        <v>11404</v>
      </c>
      <c r="G11605" s="40" t="s">
        <v>11404</v>
      </c>
      <c r="H11605" s="40" t="s">
        <v>11404</v>
      </c>
    </row>
    <row r="11606">
      <c r="A11606" s="39"/>
      <c r="E11606" s="40" t="s">
        <v>11404</v>
      </c>
      <c r="F11606" s="40" t="s">
        <v>11404</v>
      </c>
      <c r="G11606" s="40" t="s">
        <v>11404</v>
      </c>
      <c r="H11606" s="40" t="s">
        <v>11404</v>
      </c>
    </row>
    <row r="11607">
      <c r="A11607" s="39"/>
      <c r="E11607" s="40" t="s">
        <v>11404</v>
      </c>
      <c r="F11607" s="40" t="s">
        <v>11404</v>
      </c>
      <c r="G11607" s="40" t="s">
        <v>11404</v>
      </c>
      <c r="H11607" s="40" t="s">
        <v>11404</v>
      </c>
    </row>
    <row r="11608">
      <c r="A11608" s="39"/>
      <c r="E11608" s="40" t="s">
        <v>11404</v>
      </c>
      <c r="F11608" s="40" t="s">
        <v>11404</v>
      </c>
      <c r="G11608" s="40" t="s">
        <v>11404</v>
      </c>
      <c r="H11608" s="40" t="s">
        <v>11404</v>
      </c>
    </row>
    <row r="11609">
      <c r="A11609" s="39"/>
      <c r="E11609" s="40" t="s">
        <v>11404</v>
      </c>
      <c r="F11609" s="40" t="s">
        <v>11404</v>
      </c>
      <c r="G11609" s="40" t="s">
        <v>11404</v>
      </c>
      <c r="H11609" s="40" t="s">
        <v>11404</v>
      </c>
    </row>
    <row r="11610">
      <c r="A11610" s="39"/>
      <c r="E11610" s="40" t="s">
        <v>11404</v>
      </c>
      <c r="F11610" s="40" t="s">
        <v>11404</v>
      </c>
      <c r="G11610" s="40" t="s">
        <v>11404</v>
      </c>
      <c r="H11610" s="40" t="s">
        <v>11404</v>
      </c>
    </row>
    <row r="11611">
      <c r="A11611" s="39"/>
      <c r="E11611" s="40" t="s">
        <v>11404</v>
      </c>
      <c r="F11611" s="40" t="s">
        <v>11404</v>
      </c>
      <c r="G11611" s="40" t="s">
        <v>11404</v>
      </c>
      <c r="H11611" s="40" t="s">
        <v>11404</v>
      </c>
    </row>
    <row r="11612">
      <c r="A11612" s="39"/>
      <c r="E11612" s="40" t="s">
        <v>11404</v>
      </c>
      <c r="F11612" s="40" t="s">
        <v>11404</v>
      </c>
      <c r="G11612" s="40" t="s">
        <v>11404</v>
      </c>
      <c r="H11612" s="40" t="s">
        <v>11404</v>
      </c>
    </row>
    <row r="11613">
      <c r="A11613" s="39"/>
      <c r="E11613" s="40" t="s">
        <v>11404</v>
      </c>
      <c r="F11613" s="40" t="s">
        <v>11404</v>
      </c>
      <c r="G11613" s="40" t="s">
        <v>11404</v>
      </c>
      <c r="H11613" s="40" t="s">
        <v>11404</v>
      </c>
    </row>
    <row r="11614">
      <c r="A11614" s="39"/>
      <c r="E11614" s="40" t="s">
        <v>11404</v>
      </c>
      <c r="F11614" s="40" t="s">
        <v>11404</v>
      </c>
      <c r="G11614" s="40" t="s">
        <v>11404</v>
      </c>
      <c r="H11614" s="40" t="s">
        <v>11404</v>
      </c>
    </row>
    <row r="11615">
      <c r="A11615" s="39"/>
      <c r="E11615" s="40" t="s">
        <v>11404</v>
      </c>
      <c r="F11615" s="40" t="s">
        <v>11404</v>
      </c>
      <c r="G11615" s="40" t="s">
        <v>11404</v>
      </c>
      <c r="H11615" s="40" t="s">
        <v>11404</v>
      </c>
    </row>
    <row r="11616">
      <c r="A11616" s="39"/>
      <c r="E11616" s="40" t="s">
        <v>11404</v>
      </c>
      <c r="F11616" s="40" t="s">
        <v>11404</v>
      </c>
      <c r="G11616" s="40" t="s">
        <v>11404</v>
      </c>
      <c r="H11616" s="40" t="s">
        <v>11404</v>
      </c>
    </row>
    <row r="11617">
      <c r="A11617" s="39"/>
      <c r="E11617" s="40" t="s">
        <v>11404</v>
      </c>
      <c r="F11617" s="40" t="s">
        <v>11404</v>
      </c>
      <c r="G11617" s="40" t="s">
        <v>11404</v>
      </c>
      <c r="H11617" s="40" t="s">
        <v>11404</v>
      </c>
    </row>
    <row r="11618">
      <c r="A11618" s="39"/>
      <c r="E11618" s="40" t="s">
        <v>11404</v>
      </c>
      <c r="F11618" s="40" t="s">
        <v>11404</v>
      </c>
      <c r="G11618" s="40" t="s">
        <v>11404</v>
      </c>
      <c r="H11618" s="40" t="s">
        <v>11404</v>
      </c>
    </row>
    <row r="11619">
      <c r="A11619" s="39"/>
      <c r="E11619" s="40" t="s">
        <v>11404</v>
      </c>
      <c r="F11619" s="40" t="s">
        <v>11404</v>
      </c>
      <c r="G11619" s="40" t="s">
        <v>11404</v>
      </c>
      <c r="H11619" s="40" t="s">
        <v>11404</v>
      </c>
    </row>
    <row r="11620">
      <c r="A11620" s="39"/>
      <c r="E11620" s="40" t="s">
        <v>11404</v>
      </c>
      <c r="F11620" s="40" t="s">
        <v>11404</v>
      </c>
      <c r="G11620" s="40" t="s">
        <v>11404</v>
      </c>
      <c r="H11620" s="40" t="s">
        <v>11404</v>
      </c>
    </row>
    <row r="11621">
      <c r="A11621" s="39"/>
      <c r="E11621" s="40" t="s">
        <v>11404</v>
      </c>
      <c r="F11621" s="40" t="s">
        <v>11404</v>
      </c>
      <c r="G11621" s="40" t="s">
        <v>11404</v>
      </c>
      <c r="H11621" s="40" t="s">
        <v>11404</v>
      </c>
    </row>
    <row r="11622">
      <c r="A11622" s="39"/>
      <c r="E11622" s="40" t="s">
        <v>11404</v>
      </c>
      <c r="F11622" s="40" t="s">
        <v>11404</v>
      </c>
      <c r="G11622" s="40" t="s">
        <v>11404</v>
      </c>
      <c r="H11622" s="40" t="s">
        <v>11404</v>
      </c>
    </row>
    <row r="11623">
      <c r="A11623" s="39"/>
      <c r="E11623" s="40" t="s">
        <v>11404</v>
      </c>
      <c r="F11623" s="40" t="s">
        <v>11404</v>
      </c>
      <c r="G11623" s="40" t="s">
        <v>11404</v>
      </c>
      <c r="H11623" s="40" t="s">
        <v>11404</v>
      </c>
    </row>
    <row r="11624">
      <c r="A11624" s="39"/>
      <c r="E11624" s="40" t="s">
        <v>11404</v>
      </c>
      <c r="F11624" s="40" t="s">
        <v>11404</v>
      </c>
      <c r="G11624" s="40" t="s">
        <v>11404</v>
      </c>
      <c r="H11624" s="40" t="s">
        <v>11404</v>
      </c>
    </row>
    <row r="11625">
      <c r="A11625" s="39"/>
      <c r="E11625" s="40" t="s">
        <v>11404</v>
      </c>
      <c r="F11625" s="40" t="s">
        <v>11404</v>
      </c>
      <c r="G11625" s="40" t="s">
        <v>11404</v>
      </c>
      <c r="H11625" s="40" t="s">
        <v>11404</v>
      </c>
    </row>
    <row r="11626">
      <c r="A11626" s="39"/>
      <c r="E11626" s="40" t="s">
        <v>11404</v>
      </c>
      <c r="F11626" s="40" t="s">
        <v>11404</v>
      </c>
      <c r="G11626" s="40" t="s">
        <v>11404</v>
      </c>
      <c r="H11626" s="40" t="s">
        <v>11404</v>
      </c>
    </row>
    <row r="11627">
      <c r="A11627" s="39"/>
      <c r="E11627" s="40" t="s">
        <v>11404</v>
      </c>
      <c r="F11627" s="40" t="s">
        <v>11404</v>
      </c>
      <c r="G11627" s="40" t="s">
        <v>11404</v>
      </c>
      <c r="H11627" s="40" t="s">
        <v>11404</v>
      </c>
    </row>
    <row r="11628">
      <c r="A11628" s="39"/>
      <c r="E11628" s="40" t="s">
        <v>11404</v>
      </c>
      <c r="F11628" s="40" t="s">
        <v>11404</v>
      </c>
      <c r="G11628" s="40" t="s">
        <v>11404</v>
      </c>
      <c r="H11628" s="40" t="s">
        <v>11404</v>
      </c>
    </row>
    <row r="11629">
      <c r="A11629" s="39"/>
      <c r="E11629" s="40" t="s">
        <v>11404</v>
      </c>
      <c r="F11629" s="40" t="s">
        <v>11404</v>
      </c>
      <c r="G11629" s="40" t="s">
        <v>11404</v>
      </c>
      <c r="H11629" s="40" t="s">
        <v>11404</v>
      </c>
    </row>
    <row r="11630">
      <c r="A11630" s="39"/>
      <c r="E11630" s="40" t="s">
        <v>11404</v>
      </c>
      <c r="F11630" s="40" t="s">
        <v>11404</v>
      </c>
      <c r="G11630" s="40" t="s">
        <v>11404</v>
      </c>
      <c r="H11630" s="40" t="s">
        <v>11404</v>
      </c>
    </row>
    <row r="11631">
      <c r="A11631" s="39"/>
      <c r="E11631" s="40" t="s">
        <v>11404</v>
      </c>
      <c r="F11631" s="40" t="s">
        <v>11404</v>
      </c>
      <c r="G11631" s="40" t="s">
        <v>11404</v>
      </c>
      <c r="H11631" s="40" t="s">
        <v>11404</v>
      </c>
    </row>
    <row r="11632">
      <c r="A11632" s="39"/>
      <c r="E11632" s="40" t="s">
        <v>11404</v>
      </c>
      <c r="F11632" s="40" t="s">
        <v>11404</v>
      </c>
      <c r="G11632" s="40" t="s">
        <v>11404</v>
      </c>
      <c r="H11632" s="40" t="s">
        <v>11404</v>
      </c>
    </row>
    <row r="11633">
      <c r="A11633" s="39"/>
      <c r="E11633" s="40" t="s">
        <v>11404</v>
      </c>
      <c r="F11633" s="40" t="s">
        <v>11404</v>
      </c>
      <c r="G11633" s="40" t="s">
        <v>11404</v>
      </c>
      <c r="H11633" s="40" t="s">
        <v>11404</v>
      </c>
    </row>
    <row r="11634">
      <c r="A11634" s="39"/>
      <c r="E11634" s="40" t="s">
        <v>11404</v>
      </c>
      <c r="F11634" s="40" t="s">
        <v>11404</v>
      </c>
      <c r="G11634" s="40" t="s">
        <v>11404</v>
      </c>
      <c r="H11634" s="40" t="s">
        <v>11404</v>
      </c>
    </row>
    <row r="11635">
      <c r="A11635" s="39"/>
      <c r="E11635" s="40" t="s">
        <v>11404</v>
      </c>
      <c r="F11635" s="40" t="s">
        <v>11404</v>
      </c>
      <c r="G11635" s="40" t="s">
        <v>11404</v>
      </c>
      <c r="H11635" s="40" t="s">
        <v>11404</v>
      </c>
    </row>
    <row r="11636">
      <c r="A11636" s="39"/>
      <c r="E11636" s="40" t="s">
        <v>11404</v>
      </c>
      <c r="F11636" s="40" t="s">
        <v>11404</v>
      </c>
      <c r="G11636" s="40" t="s">
        <v>11404</v>
      </c>
      <c r="H11636" s="40" t="s">
        <v>11404</v>
      </c>
    </row>
    <row r="11637">
      <c r="A11637" s="39"/>
      <c r="E11637" s="40" t="s">
        <v>11404</v>
      </c>
      <c r="F11637" s="40" t="s">
        <v>11404</v>
      </c>
      <c r="G11637" s="40" t="s">
        <v>11404</v>
      </c>
      <c r="H11637" s="40" t="s">
        <v>11404</v>
      </c>
    </row>
    <row r="11638">
      <c r="A11638" s="39"/>
      <c r="E11638" s="40" t="s">
        <v>11404</v>
      </c>
      <c r="F11638" s="40" t="s">
        <v>11404</v>
      </c>
      <c r="G11638" s="40" t="s">
        <v>11404</v>
      </c>
      <c r="H11638" s="40" t="s">
        <v>11404</v>
      </c>
    </row>
    <row r="11639">
      <c r="A11639" s="39"/>
      <c r="E11639" s="40" t="s">
        <v>11404</v>
      </c>
      <c r="F11639" s="40" t="s">
        <v>11404</v>
      </c>
      <c r="G11639" s="40" t="s">
        <v>11404</v>
      </c>
      <c r="H11639" s="40" t="s">
        <v>11404</v>
      </c>
    </row>
    <row r="11640">
      <c r="A11640" s="39"/>
      <c r="E11640" s="40" t="s">
        <v>11404</v>
      </c>
      <c r="F11640" s="40" t="s">
        <v>11404</v>
      </c>
      <c r="G11640" s="40" t="s">
        <v>11404</v>
      </c>
      <c r="H11640" s="40" t="s">
        <v>11404</v>
      </c>
    </row>
    <row r="11641">
      <c r="A11641" s="39"/>
      <c r="E11641" s="40" t="s">
        <v>11404</v>
      </c>
      <c r="F11641" s="40" t="s">
        <v>11404</v>
      </c>
      <c r="G11641" s="40" t="s">
        <v>11404</v>
      </c>
      <c r="H11641" s="40" t="s">
        <v>11404</v>
      </c>
    </row>
    <row r="11642">
      <c r="A11642" s="39"/>
      <c r="E11642" s="40" t="s">
        <v>11404</v>
      </c>
      <c r="F11642" s="40" t="s">
        <v>11404</v>
      </c>
      <c r="G11642" s="40" t="s">
        <v>11404</v>
      </c>
      <c r="H11642" s="40" t="s">
        <v>11404</v>
      </c>
    </row>
    <row r="11643">
      <c r="A11643" s="39"/>
      <c r="E11643" s="40" t="s">
        <v>11404</v>
      </c>
      <c r="F11643" s="40" t="s">
        <v>11404</v>
      </c>
      <c r="G11643" s="40" t="s">
        <v>11404</v>
      </c>
      <c r="H11643" s="40" t="s">
        <v>11404</v>
      </c>
    </row>
    <row r="11644">
      <c r="A11644" s="39"/>
      <c r="E11644" s="40" t="s">
        <v>11404</v>
      </c>
      <c r="F11644" s="40" t="s">
        <v>11404</v>
      </c>
      <c r="G11644" s="40" t="s">
        <v>11404</v>
      </c>
      <c r="H11644" s="40" t="s">
        <v>11404</v>
      </c>
    </row>
    <row r="11645">
      <c r="A11645" s="39"/>
      <c r="E11645" s="40" t="s">
        <v>11404</v>
      </c>
      <c r="F11645" s="40" t="s">
        <v>11404</v>
      </c>
      <c r="G11645" s="40" t="s">
        <v>11404</v>
      </c>
      <c r="H11645" s="40" t="s">
        <v>11404</v>
      </c>
    </row>
    <row r="11646">
      <c r="A11646" s="39"/>
      <c r="E11646" s="40" t="s">
        <v>11404</v>
      </c>
      <c r="F11646" s="40" t="s">
        <v>11404</v>
      </c>
      <c r="G11646" s="40" t="s">
        <v>11404</v>
      </c>
      <c r="H11646" s="40" t="s">
        <v>11404</v>
      </c>
    </row>
    <row r="11647">
      <c r="A11647" s="39"/>
      <c r="E11647" s="40" t="s">
        <v>11404</v>
      </c>
      <c r="F11647" s="40" t="s">
        <v>11404</v>
      </c>
      <c r="G11647" s="40" t="s">
        <v>11404</v>
      </c>
      <c r="H11647" s="40" t="s">
        <v>11404</v>
      </c>
    </row>
    <row r="11648">
      <c r="A11648" s="39"/>
      <c r="E11648" s="40" t="s">
        <v>11404</v>
      </c>
      <c r="F11648" s="40" t="s">
        <v>11404</v>
      </c>
      <c r="G11648" s="40" t="s">
        <v>11404</v>
      </c>
      <c r="H11648" s="40" t="s">
        <v>11404</v>
      </c>
    </row>
    <row r="11649">
      <c r="A11649" s="39"/>
      <c r="E11649" s="40" t="s">
        <v>11404</v>
      </c>
      <c r="F11649" s="40" t="s">
        <v>11404</v>
      </c>
      <c r="G11649" s="40" t="s">
        <v>11404</v>
      </c>
      <c r="H11649" s="40" t="s">
        <v>11404</v>
      </c>
    </row>
    <row r="11650">
      <c r="A11650" s="39"/>
      <c r="E11650" s="40" t="s">
        <v>11404</v>
      </c>
      <c r="F11650" s="40" t="s">
        <v>11404</v>
      </c>
      <c r="G11650" s="40" t="s">
        <v>11404</v>
      </c>
      <c r="H11650" s="40" t="s">
        <v>11404</v>
      </c>
    </row>
    <row r="11651">
      <c r="A11651" s="39"/>
      <c r="E11651" s="40" t="s">
        <v>11404</v>
      </c>
      <c r="F11651" s="40" t="s">
        <v>11404</v>
      </c>
      <c r="G11651" s="40" t="s">
        <v>11404</v>
      </c>
      <c r="H11651" s="40" t="s">
        <v>11404</v>
      </c>
    </row>
    <row r="11652">
      <c r="A11652" s="39"/>
      <c r="E11652" s="40" t="s">
        <v>11404</v>
      </c>
      <c r="F11652" s="40" t="s">
        <v>11404</v>
      </c>
      <c r="G11652" s="40" t="s">
        <v>11404</v>
      </c>
      <c r="H11652" s="40" t="s">
        <v>11404</v>
      </c>
    </row>
    <row r="11653">
      <c r="A11653" s="39"/>
      <c r="E11653" s="40" t="s">
        <v>11404</v>
      </c>
      <c r="F11653" s="40" t="s">
        <v>11404</v>
      </c>
      <c r="G11653" s="40" t="s">
        <v>11404</v>
      </c>
      <c r="H11653" s="40" t="s">
        <v>11404</v>
      </c>
    </row>
    <row r="11654">
      <c r="A11654" s="39"/>
      <c r="E11654" s="40" t="s">
        <v>11404</v>
      </c>
      <c r="F11654" s="40" t="s">
        <v>11404</v>
      </c>
      <c r="G11654" s="40" t="s">
        <v>11404</v>
      </c>
      <c r="H11654" s="40" t="s">
        <v>11404</v>
      </c>
    </row>
    <row r="11655">
      <c r="A11655" s="39"/>
      <c r="E11655" s="40" t="s">
        <v>11404</v>
      </c>
      <c r="F11655" s="40" t="s">
        <v>11404</v>
      </c>
      <c r="G11655" s="40" t="s">
        <v>11404</v>
      </c>
      <c r="H11655" s="40" t="s">
        <v>11404</v>
      </c>
    </row>
    <row r="11656">
      <c r="A11656" s="39"/>
      <c r="E11656" s="40" t="s">
        <v>11404</v>
      </c>
      <c r="F11656" s="40" t="s">
        <v>11404</v>
      </c>
      <c r="G11656" s="40" t="s">
        <v>11404</v>
      </c>
      <c r="H11656" s="40" t="s">
        <v>11404</v>
      </c>
    </row>
    <row r="11657">
      <c r="A11657" s="39"/>
      <c r="E11657" s="40" t="s">
        <v>11404</v>
      </c>
      <c r="F11657" s="40" t="s">
        <v>11404</v>
      </c>
      <c r="G11657" s="40" t="s">
        <v>11404</v>
      </c>
      <c r="H11657" s="40" t="s">
        <v>11404</v>
      </c>
    </row>
    <row r="11658">
      <c r="A11658" s="39"/>
      <c r="E11658" s="40" t="s">
        <v>11404</v>
      </c>
      <c r="F11658" s="40" t="s">
        <v>11404</v>
      </c>
      <c r="G11658" s="40" t="s">
        <v>11404</v>
      </c>
      <c r="H11658" s="40" t="s">
        <v>11404</v>
      </c>
    </row>
    <row r="11659">
      <c r="A11659" s="39"/>
      <c r="E11659" s="40" t="s">
        <v>11404</v>
      </c>
      <c r="F11659" s="40" t="s">
        <v>11404</v>
      </c>
      <c r="G11659" s="40" t="s">
        <v>11404</v>
      </c>
      <c r="H11659" s="40" t="s">
        <v>11404</v>
      </c>
    </row>
    <row r="11660">
      <c r="A11660" s="39"/>
      <c r="E11660" s="40" t="s">
        <v>11404</v>
      </c>
      <c r="F11660" s="40" t="s">
        <v>11404</v>
      </c>
      <c r="G11660" s="40" t="s">
        <v>11404</v>
      </c>
      <c r="H11660" s="40" t="s">
        <v>11404</v>
      </c>
    </row>
    <row r="11661">
      <c r="A11661" s="39"/>
      <c r="E11661" s="40" t="s">
        <v>11404</v>
      </c>
      <c r="F11661" s="40" t="s">
        <v>11404</v>
      </c>
      <c r="G11661" s="40" t="s">
        <v>11404</v>
      </c>
      <c r="H11661" s="40" t="s">
        <v>11404</v>
      </c>
    </row>
    <row r="11662">
      <c r="A11662" s="39"/>
      <c r="E11662" s="40" t="s">
        <v>11404</v>
      </c>
      <c r="F11662" s="40" t="s">
        <v>11404</v>
      </c>
      <c r="G11662" s="40" t="s">
        <v>11404</v>
      </c>
      <c r="H11662" s="40" t="s">
        <v>11404</v>
      </c>
    </row>
    <row r="11663">
      <c r="A11663" s="39"/>
      <c r="E11663" s="40" t="s">
        <v>11404</v>
      </c>
      <c r="F11663" s="40" t="s">
        <v>11404</v>
      </c>
      <c r="G11663" s="40" t="s">
        <v>11404</v>
      </c>
      <c r="H11663" s="40" t="s">
        <v>11404</v>
      </c>
    </row>
    <row r="11664">
      <c r="A11664" s="39"/>
      <c r="E11664" s="40" t="s">
        <v>11404</v>
      </c>
      <c r="F11664" s="40" t="s">
        <v>11404</v>
      </c>
      <c r="G11664" s="40" t="s">
        <v>11404</v>
      </c>
      <c r="H11664" s="40" t="s">
        <v>11404</v>
      </c>
    </row>
    <row r="11665">
      <c r="A11665" s="39"/>
      <c r="E11665" s="40" t="s">
        <v>11404</v>
      </c>
      <c r="F11665" s="40" t="s">
        <v>11404</v>
      </c>
      <c r="G11665" s="40" t="s">
        <v>11404</v>
      </c>
      <c r="H11665" s="40" t="s">
        <v>11404</v>
      </c>
    </row>
    <row r="11666">
      <c r="A11666" s="39"/>
      <c r="E11666" s="40" t="s">
        <v>11404</v>
      </c>
      <c r="F11666" s="40" t="s">
        <v>11404</v>
      </c>
      <c r="G11666" s="40" t="s">
        <v>11404</v>
      </c>
      <c r="H11666" s="40" t="s">
        <v>11404</v>
      </c>
    </row>
    <row r="11667">
      <c r="A11667" s="39"/>
      <c r="E11667" s="40" t="s">
        <v>11404</v>
      </c>
      <c r="F11667" s="40" t="s">
        <v>11404</v>
      </c>
      <c r="G11667" s="40" t="s">
        <v>11404</v>
      </c>
      <c r="H11667" s="40" t="s">
        <v>11404</v>
      </c>
    </row>
    <row r="11668">
      <c r="A11668" s="39"/>
      <c r="E11668" s="40" t="s">
        <v>11404</v>
      </c>
      <c r="F11668" s="40" t="s">
        <v>11404</v>
      </c>
      <c r="G11668" s="40" t="s">
        <v>11404</v>
      </c>
      <c r="H11668" s="40" t="s">
        <v>11404</v>
      </c>
    </row>
    <row r="11669">
      <c r="A11669" s="39"/>
      <c r="E11669" s="40" t="s">
        <v>11404</v>
      </c>
      <c r="F11669" s="40" t="s">
        <v>11404</v>
      </c>
      <c r="G11669" s="40" t="s">
        <v>11404</v>
      </c>
      <c r="H11669" s="40" t="s">
        <v>11404</v>
      </c>
    </row>
    <row r="11670">
      <c r="A11670" s="39"/>
      <c r="E11670" s="40" t="s">
        <v>11404</v>
      </c>
      <c r="F11670" s="40" t="s">
        <v>11404</v>
      </c>
      <c r="G11670" s="40" t="s">
        <v>11404</v>
      </c>
      <c r="H11670" s="40" t="s">
        <v>11404</v>
      </c>
    </row>
    <row r="11671">
      <c r="A11671" s="39"/>
      <c r="E11671" s="40" t="s">
        <v>11404</v>
      </c>
      <c r="F11671" s="40" t="s">
        <v>11404</v>
      </c>
      <c r="G11671" s="40" t="s">
        <v>11404</v>
      </c>
      <c r="H11671" s="40" t="s">
        <v>11404</v>
      </c>
    </row>
    <row r="11672">
      <c r="A11672" s="39"/>
      <c r="E11672" s="40" t="s">
        <v>11404</v>
      </c>
      <c r="F11672" s="40" t="s">
        <v>11404</v>
      </c>
      <c r="G11672" s="40" t="s">
        <v>11404</v>
      </c>
      <c r="H11672" s="40" t="s">
        <v>11404</v>
      </c>
    </row>
    <row r="11673">
      <c r="A11673" s="39"/>
      <c r="E11673" s="40" t="s">
        <v>11404</v>
      </c>
      <c r="F11673" s="40" t="s">
        <v>11404</v>
      </c>
      <c r="G11673" s="40" t="s">
        <v>11404</v>
      </c>
      <c r="H11673" s="40" t="s">
        <v>11404</v>
      </c>
    </row>
    <row r="11674">
      <c r="A11674" s="39"/>
      <c r="E11674" s="40" t="s">
        <v>11404</v>
      </c>
      <c r="F11674" s="40" t="s">
        <v>11404</v>
      </c>
      <c r="G11674" s="40" t="s">
        <v>11404</v>
      </c>
      <c r="H11674" s="40" t="s">
        <v>11404</v>
      </c>
    </row>
    <row r="11675">
      <c r="A11675" s="39"/>
      <c r="E11675" s="40" t="s">
        <v>11404</v>
      </c>
      <c r="F11675" s="40" t="s">
        <v>11404</v>
      </c>
      <c r="G11675" s="40" t="s">
        <v>11404</v>
      </c>
      <c r="H11675" s="40" t="s">
        <v>11404</v>
      </c>
    </row>
    <row r="11676">
      <c r="A11676" s="39"/>
      <c r="E11676" s="40" t="s">
        <v>11404</v>
      </c>
      <c r="F11676" s="40" t="s">
        <v>11404</v>
      </c>
      <c r="G11676" s="40" t="s">
        <v>11404</v>
      </c>
      <c r="H11676" s="40" t="s">
        <v>11404</v>
      </c>
    </row>
    <row r="11677">
      <c r="A11677" s="39"/>
      <c r="E11677" s="40" t="s">
        <v>11404</v>
      </c>
      <c r="F11677" s="40" t="s">
        <v>11404</v>
      </c>
      <c r="G11677" s="40" t="s">
        <v>11404</v>
      </c>
      <c r="H11677" s="40" t="s">
        <v>11404</v>
      </c>
    </row>
    <row r="11678">
      <c r="A11678" s="39"/>
      <c r="E11678" s="40" t="s">
        <v>11404</v>
      </c>
      <c r="F11678" s="40" t="s">
        <v>11404</v>
      </c>
      <c r="G11678" s="40" t="s">
        <v>11404</v>
      </c>
      <c r="H11678" s="40" t="s">
        <v>11404</v>
      </c>
    </row>
    <row r="11679">
      <c r="A11679" s="39"/>
      <c r="E11679" s="40" t="s">
        <v>11404</v>
      </c>
      <c r="F11679" s="40" t="s">
        <v>11404</v>
      </c>
      <c r="G11679" s="40" t="s">
        <v>11404</v>
      </c>
      <c r="H11679" s="40" t="s">
        <v>11404</v>
      </c>
    </row>
    <row r="11680">
      <c r="A11680" s="39"/>
      <c r="E11680" s="40" t="s">
        <v>11404</v>
      </c>
      <c r="F11680" s="40" t="s">
        <v>11404</v>
      </c>
      <c r="G11680" s="40" t="s">
        <v>11404</v>
      </c>
      <c r="H11680" s="40" t="s">
        <v>11404</v>
      </c>
    </row>
    <row r="11681">
      <c r="A11681" s="39"/>
      <c r="E11681" s="40" t="s">
        <v>11404</v>
      </c>
      <c r="F11681" s="40" t="s">
        <v>11404</v>
      </c>
      <c r="G11681" s="40" t="s">
        <v>11404</v>
      </c>
      <c r="H11681" s="40" t="s">
        <v>11404</v>
      </c>
    </row>
    <row r="11682">
      <c r="A11682" s="39"/>
      <c r="E11682" s="40" t="s">
        <v>11404</v>
      </c>
      <c r="F11682" s="40" t="s">
        <v>11404</v>
      </c>
      <c r="G11682" s="40" t="s">
        <v>11404</v>
      </c>
      <c r="H11682" s="40" t="s">
        <v>11404</v>
      </c>
    </row>
    <row r="11683">
      <c r="A11683" s="39"/>
      <c r="E11683" s="40" t="s">
        <v>11404</v>
      </c>
      <c r="F11683" s="40" t="s">
        <v>11404</v>
      </c>
      <c r="G11683" s="40" t="s">
        <v>11404</v>
      </c>
      <c r="H11683" s="40" t="s">
        <v>11404</v>
      </c>
    </row>
    <row r="11684">
      <c r="A11684" s="39"/>
      <c r="E11684" s="40" t="s">
        <v>11404</v>
      </c>
      <c r="F11684" s="40" t="s">
        <v>11404</v>
      </c>
      <c r="G11684" s="40" t="s">
        <v>11404</v>
      </c>
      <c r="H11684" s="40" t="s">
        <v>11404</v>
      </c>
    </row>
    <row r="11685">
      <c r="A11685" s="39"/>
      <c r="E11685" s="40" t="s">
        <v>11404</v>
      </c>
      <c r="F11685" s="40" t="s">
        <v>11404</v>
      </c>
      <c r="G11685" s="40" t="s">
        <v>11404</v>
      </c>
      <c r="H11685" s="40" t="s">
        <v>11404</v>
      </c>
    </row>
    <row r="11686">
      <c r="A11686" s="39"/>
      <c r="E11686" s="40" t="s">
        <v>11404</v>
      </c>
      <c r="F11686" s="40" t="s">
        <v>11404</v>
      </c>
      <c r="G11686" s="40" t="s">
        <v>11404</v>
      </c>
      <c r="H11686" s="40" t="s">
        <v>11404</v>
      </c>
    </row>
    <row r="11687">
      <c r="A11687" s="39"/>
      <c r="E11687" s="40" t="s">
        <v>11404</v>
      </c>
      <c r="F11687" s="40" t="s">
        <v>11404</v>
      </c>
      <c r="G11687" s="40" t="s">
        <v>11404</v>
      </c>
      <c r="H11687" s="40" t="s">
        <v>11404</v>
      </c>
    </row>
    <row r="11688">
      <c r="A11688" s="39"/>
      <c r="E11688" s="40" t="s">
        <v>11404</v>
      </c>
      <c r="F11688" s="40" t="s">
        <v>11404</v>
      </c>
      <c r="G11688" s="40" t="s">
        <v>11404</v>
      </c>
      <c r="H11688" s="40" t="s">
        <v>11404</v>
      </c>
    </row>
    <row r="11689">
      <c r="A11689" s="39"/>
      <c r="E11689" s="40" t="s">
        <v>11404</v>
      </c>
      <c r="F11689" s="40" t="s">
        <v>11404</v>
      </c>
      <c r="G11689" s="40" t="s">
        <v>11404</v>
      </c>
      <c r="H11689" s="40" t="s">
        <v>11404</v>
      </c>
    </row>
    <row r="11690">
      <c r="A11690" s="39"/>
      <c r="E11690" s="40" t="s">
        <v>11404</v>
      </c>
      <c r="F11690" s="40" t="s">
        <v>11404</v>
      </c>
      <c r="G11690" s="40" t="s">
        <v>11404</v>
      </c>
      <c r="H11690" s="40" t="s">
        <v>11404</v>
      </c>
    </row>
    <row r="11691">
      <c r="A11691" s="39"/>
      <c r="E11691" s="40" t="s">
        <v>11404</v>
      </c>
      <c r="F11691" s="40" t="s">
        <v>11404</v>
      </c>
      <c r="G11691" s="40" t="s">
        <v>11404</v>
      </c>
      <c r="H11691" s="40" t="s">
        <v>11404</v>
      </c>
    </row>
    <row r="11692">
      <c r="A11692" s="39"/>
      <c r="E11692" s="40" t="s">
        <v>11404</v>
      </c>
      <c r="F11692" s="40" t="s">
        <v>11404</v>
      </c>
      <c r="G11692" s="40" t="s">
        <v>11404</v>
      </c>
      <c r="H11692" s="40" t="s">
        <v>11404</v>
      </c>
    </row>
    <row r="11693">
      <c r="A11693" s="39"/>
      <c r="E11693" s="40" t="s">
        <v>11404</v>
      </c>
      <c r="F11693" s="40" t="s">
        <v>11404</v>
      </c>
      <c r="G11693" s="40" t="s">
        <v>11404</v>
      </c>
      <c r="H11693" s="40" t="s">
        <v>11404</v>
      </c>
    </row>
    <row r="11694">
      <c r="A11694" s="39"/>
      <c r="E11694" s="40" t="s">
        <v>11404</v>
      </c>
      <c r="F11694" s="40" t="s">
        <v>11404</v>
      </c>
      <c r="G11694" s="40" t="s">
        <v>11404</v>
      </c>
      <c r="H11694" s="40" t="s">
        <v>11404</v>
      </c>
    </row>
    <row r="11695">
      <c r="A11695" s="39"/>
      <c r="E11695" s="40" t="s">
        <v>11404</v>
      </c>
      <c r="F11695" s="40" t="s">
        <v>11404</v>
      </c>
      <c r="G11695" s="40" t="s">
        <v>11404</v>
      </c>
      <c r="H11695" s="40" t="s">
        <v>11404</v>
      </c>
    </row>
    <row r="11696">
      <c r="A11696" s="39"/>
      <c r="E11696" s="40" t="s">
        <v>11404</v>
      </c>
      <c r="F11696" s="40" t="s">
        <v>11404</v>
      </c>
      <c r="G11696" s="40" t="s">
        <v>11404</v>
      </c>
      <c r="H11696" s="40" t="s">
        <v>11404</v>
      </c>
    </row>
    <row r="11697">
      <c r="A11697" s="39"/>
      <c r="E11697" s="40" t="s">
        <v>11404</v>
      </c>
      <c r="F11697" s="40" t="s">
        <v>11404</v>
      </c>
      <c r="G11697" s="40" t="s">
        <v>11404</v>
      </c>
      <c r="H11697" s="40" t="s">
        <v>11404</v>
      </c>
    </row>
    <row r="11698">
      <c r="A11698" s="39"/>
      <c r="E11698" s="40" t="s">
        <v>11404</v>
      </c>
      <c r="F11698" s="40" t="s">
        <v>11404</v>
      </c>
      <c r="G11698" s="40" t="s">
        <v>11404</v>
      </c>
      <c r="H11698" s="40" t="s">
        <v>11404</v>
      </c>
    </row>
    <row r="11699">
      <c r="A11699" s="39"/>
      <c r="E11699" s="40" t="s">
        <v>11404</v>
      </c>
      <c r="F11699" s="40" t="s">
        <v>11404</v>
      </c>
      <c r="G11699" s="40" t="s">
        <v>11404</v>
      </c>
      <c r="H11699" s="40" t="s">
        <v>11404</v>
      </c>
    </row>
    <row r="11700">
      <c r="A11700" s="39"/>
      <c r="E11700" s="40" t="s">
        <v>11404</v>
      </c>
      <c r="F11700" s="40" t="s">
        <v>11404</v>
      </c>
      <c r="G11700" s="40" t="s">
        <v>11404</v>
      </c>
      <c r="H11700" s="40" t="s">
        <v>11404</v>
      </c>
    </row>
    <row r="11701">
      <c r="A11701" s="39"/>
      <c r="E11701" s="40" t="s">
        <v>11404</v>
      </c>
      <c r="F11701" s="40" t="s">
        <v>11404</v>
      </c>
      <c r="G11701" s="40" t="s">
        <v>11404</v>
      </c>
      <c r="H11701" s="40" t="s">
        <v>11404</v>
      </c>
    </row>
    <row r="11702">
      <c r="A11702" s="39"/>
      <c r="E11702" s="40" t="s">
        <v>11404</v>
      </c>
      <c r="F11702" s="40" t="s">
        <v>11404</v>
      </c>
      <c r="G11702" s="40" t="s">
        <v>11404</v>
      </c>
      <c r="H11702" s="40" t="s">
        <v>11404</v>
      </c>
    </row>
    <row r="11703">
      <c r="A11703" s="39"/>
      <c r="E11703" s="40" t="s">
        <v>11404</v>
      </c>
      <c r="F11703" s="40" t="s">
        <v>11404</v>
      </c>
      <c r="G11703" s="40" t="s">
        <v>11404</v>
      </c>
      <c r="H11703" s="40" t="s">
        <v>11404</v>
      </c>
    </row>
    <row r="11704">
      <c r="A11704" s="39"/>
      <c r="E11704" s="40" t="s">
        <v>11404</v>
      </c>
      <c r="F11704" s="40" t="s">
        <v>11404</v>
      </c>
      <c r="G11704" s="40" t="s">
        <v>11404</v>
      </c>
      <c r="H11704" s="40" t="s">
        <v>11404</v>
      </c>
    </row>
    <row r="11705">
      <c r="A11705" s="39"/>
      <c r="E11705" s="40" t="s">
        <v>11404</v>
      </c>
      <c r="F11705" s="40" t="s">
        <v>11404</v>
      </c>
      <c r="G11705" s="40" t="s">
        <v>11404</v>
      </c>
      <c r="H11705" s="40" t="s">
        <v>11404</v>
      </c>
    </row>
    <row r="11706">
      <c r="A11706" s="39"/>
      <c r="E11706" s="40" t="s">
        <v>11404</v>
      </c>
      <c r="F11706" s="40" t="s">
        <v>11404</v>
      </c>
      <c r="G11706" s="40" t="s">
        <v>11404</v>
      </c>
      <c r="H11706" s="40" t="s">
        <v>11404</v>
      </c>
    </row>
    <row r="11707">
      <c r="A11707" s="39"/>
      <c r="E11707" s="40" t="s">
        <v>11404</v>
      </c>
      <c r="F11707" s="40" t="s">
        <v>11404</v>
      </c>
      <c r="G11707" s="40" t="s">
        <v>11404</v>
      </c>
      <c r="H11707" s="40" t="s">
        <v>11404</v>
      </c>
    </row>
    <row r="11708">
      <c r="A11708" s="39"/>
      <c r="E11708" s="40" t="s">
        <v>11404</v>
      </c>
      <c r="F11708" s="40" t="s">
        <v>11404</v>
      </c>
      <c r="G11708" s="40" t="s">
        <v>11404</v>
      </c>
      <c r="H11708" s="40" t="s">
        <v>11404</v>
      </c>
    </row>
    <row r="11709">
      <c r="A11709" s="39"/>
      <c r="E11709" s="40" t="s">
        <v>11404</v>
      </c>
      <c r="F11709" s="40" t="s">
        <v>11404</v>
      </c>
      <c r="G11709" s="40" t="s">
        <v>11404</v>
      </c>
      <c r="H11709" s="40" t="s">
        <v>11404</v>
      </c>
    </row>
    <row r="11710">
      <c r="A11710" s="39"/>
      <c r="E11710" s="40" t="s">
        <v>11404</v>
      </c>
      <c r="F11710" s="40" t="s">
        <v>11404</v>
      </c>
      <c r="G11710" s="40" t="s">
        <v>11404</v>
      </c>
      <c r="H11710" s="40" t="s">
        <v>11404</v>
      </c>
    </row>
    <row r="11711">
      <c r="A11711" s="39"/>
      <c r="E11711" s="40" t="s">
        <v>11404</v>
      </c>
      <c r="F11711" s="40" t="s">
        <v>11404</v>
      </c>
      <c r="G11711" s="40" t="s">
        <v>11404</v>
      </c>
      <c r="H11711" s="40" t="s">
        <v>11404</v>
      </c>
    </row>
    <row r="11712">
      <c r="A11712" s="39"/>
      <c r="E11712" s="40" t="s">
        <v>11404</v>
      </c>
      <c r="F11712" s="40" t="s">
        <v>11404</v>
      </c>
      <c r="G11712" s="40" t="s">
        <v>11404</v>
      </c>
      <c r="H11712" s="40" t="s">
        <v>11404</v>
      </c>
    </row>
    <row r="11713">
      <c r="A11713" s="39"/>
      <c r="E11713" s="40" t="s">
        <v>11404</v>
      </c>
      <c r="F11713" s="40" t="s">
        <v>11404</v>
      </c>
      <c r="G11713" s="40" t="s">
        <v>11404</v>
      </c>
      <c r="H11713" s="40" t="s">
        <v>11404</v>
      </c>
    </row>
    <row r="11714">
      <c r="A11714" s="39"/>
      <c r="E11714" s="40" t="s">
        <v>11404</v>
      </c>
      <c r="F11714" s="40" t="s">
        <v>11404</v>
      </c>
      <c r="G11714" s="40" t="s">
        <v>11404</v>
      </c>
      <c r="H11714" s="40" t="s">
        <v>11404</v>
      </c>
    </row>
    <row r="11715">
      <c r="A11715" s="39"/>
      <c r="E11715" s="40" t="s">
        <v>11404</v>
      </c>
      <c r="F11715" s="40" t="s">
        <v>11404</v>
      </c>
      <c r="G11715" s="40" t="s">
        <v>11404</v>
      </c>
      <c r="H11715" s="40" t="s">
        <v>11404</v>
      </c>
    </row>
    <row r="11716">
      <c r="A11716" s="39"/>
      <c r="E11716" s="40" t="s">
        <v>11404</v>
      </c>
      <c r="F11716" s="40" t="s">
        <v>11404</v>
      </c>
      <c r="G11716" s="40" t="s">
        <v>11404</v>
      </c>
      <c r="H11716" s="40" t="s">
        <v>11404</v>
      </c>
    </row>
    <row r="11717">
      <c r="A11717" s="39"/>
      <c r="E11717" s="40" t="s">
        <v>11404</v>
      </c>
      <c r="F11717" s="40" t="s">
        <v>11404</v>
      </c>
      <c r="G11717" s="40" t="s">
        <v>11404</v>
      </c>
      <c r="H11717" s="40" t="s">
        <v>11404</v>
      </c>
    </row>
    <row r="11718">
      <c r="A11718" s="39"/>
      <c r="E11718" s="40" t="s">
        <v>11404</v>
      </c>
      <c r="F11718" s="40" t="s">
        <v>11404</v>
      </c>
      <c r="G11718" s="40" t="s">
        <v>11404</v>
      </c>
      <c r="H11718" s="40" t="s">
        <v>11404</v>
      </c>
    </row>
    <row r="11719">
      <c r="A11719" s="39"/>
      <c r="E11719" s="40" t="s">
        <v>11404</v>
      </c>
      <c r="F11719" s="40" t="s">
        <v>11404</v>
      </c>
      <c r="G11719" s="40" t="s">
        <v>11404</v>
      </c>
      <c r="H11719" s="40" t="s">
        <v>11404</v>
      </c>
    </row>
    <row r="11720">
      <c r="A11720" s="39"/>
      <c r="E11720" s="40" t="s">
        <v>11404</v>
      </c>
      <c r="F11720" s="40" t="s">
        <v>11404</v>
      </c>
      <c r="G11720" s="40" t="s">
        <v>11404</v>
      </c>
      <c r="H11720" s="40" t="s">
        <v>11404</v>
      </c>
    </row>
    <row r="11721">
      <c r="A11721" s="39"/>
      <c r="E11721" s="40" t="s">
        <v>11404</v>
      </c>
      <c r="F11721" s="40" t="s">
        <v>11404</v>
      </c>
      <c r="G11721" s="40" t="s">
        <v>11404</v>
      </c>
      <c r="H11721" s="40" t="s">
        <v>11404</v>
      </c>
    </row>
    <row r="11722">
      <c r="A11722" s="39"/>
      <c r="E11722" s="40" t="s">
        <v>11404</v>
      </c>
      <c r="F11722" s="40" t="s">
        <v>11404</v>
      </c>
      <c r="G11722" s="40" t="s">
        <v>11404</v>
      </c>
      <c r="H11722" s="40" t="s">
        <v>11404</v>
      </c>
    </row>
    <row r="11723">
      <c r="A11723" s="39"/>
      <c r="E11723" s="40" t="s">
        <v>11404</v>
      </c>
      <c r="F11723" s="40" t="s">
        <v>11404</v>
      </c>
      <c r="G11723" s="40" t="s">
        <v>11404</v>
      </c>
      <c r="H11723" s="40" t="s">
        <v>11404</v>
      </c>
    </row>
    <row r="11724">
      <c r="A11724" s="39"/>
      <c r="E11724" s="40" t="s">
        <v>11404</v>
      </c>
      <c r="F11724" s="40" t="s">
        <v>11404</v>
      </c>
      <c r="G11724" s="40" t="s">
        <v>11404</v>
      </c>
      <c r="H11724" s="40" t="s">
        <v>11404</v>
      </c>
    </row>
    <row r="11725">
      <c r="A11725" s="39"/>
      <c r="E11725" s="40" t="s">
        <v>11404</v>
      </c>
      <c r="F11725" s="40" t="s">
        <v>11404</v>
      </c>
      <c r="G11725" s="40" t="s">
        <v>11404</v>
      </c>
      <c r="H11725" s="40" t="s">
        <v>11404</v>
      </c>
    </row>
    <row r="11726">
      <c r="A11726" s="39"/>
      <c r="E11726" s="40" t="s">
        <v>11404</v>
      </c>
      <c r="F11726" s="40" t="s">
        <v>11404</v>
      </c>
      <c r="G11726" s="40" t="s">
        <v>11404</v>
      </c>
      <c r="H11726" s="40" t="s">
        <v>11404</v>
      </c>
    </row>
    <row r="11727">
      <c r="A11727" s="39"/>
      <c r="E11727" s="40" t="s">
        <v>11404</v>
      </c>
      <c r="F11727" s="40" t="s">
        <v>11404</v>
      </c>
      <c r="G11727" s="40" t="s">
        <v>11404</v>
      </c>
      <c r="H11727" s="40" t="s">
        <v>11404</v>
      </c>
    </row>
    <row r="11728">
      <c r="A11728" s="39"/>
      <c r="E11728" s="40" t="s">
        <v>11404</v>
      </c>
      <c r="F11728" s="40" t="s">
        <v>11404</v>
      </c>
      <c r="G11728" s="40" t="s">
        <v>11404</v>
      </c>
      <c r="H11728" s="40" t="s">
        <v>11404</v>
      </c>
    </row>
    <row r="11729">
      <c r="A11729" s="39"/>
      <c r="E11729" s="40" t="s">
        <v>11404</v>
      </c>
      <c r="F11729" s="40" t="s">
        <v>11404</v>
      </c>
      <c r="G11729" s="40" t="s">
        <v>11404</v>
      </c>
      <c r="H11729" s="40" t="s">
        <v>11404</v>
      </c>
    </row>
    <row r="11730">
      <c r="A11730" s="39"/>
      <c r="E11730" s="40" t="s">
        <v>11404</v>
      </c>
      <c r="F11730" s="40" t="s">
        <v>11404</v>
      </c>
      <c r="G11730" s="40" t="s">
        <v>11404</v>
      </c>
      <c r="H11730" s="40" t="s">
        <v>11404</v>
      </c>
    </row>
    <row r="11731">
      <c r="A11731" s="39"/>
      <c r="E11731" s="40" t="s">
        <v>11404</v>
      </c>
      <c r="F11731" s="40" t="s">
        <v>11404</v>
      </c>
      <c r="G11731" s="40" t="s">
        <v>11404</v>
      </c>
      <c r="H11731" s="40" t="s">
        <v>11404</v>
      </c>
    </row>
    <row r="11732">
      <c r="A11732" s="39"/>
      <c r="E11732" s="40" t="s">
        <v>11404</v>
      </c>
      <c r="F11732" s="40" t="s">
        <v>11404</v>
      </c>
      <c r="G11732" s="40" t="s">
        <v>11404</v>
      </c>
      <c r="H11732" s="40" t="s">
        <v>11404</v>
      </c>
    </row>
    <row r="11733">
      <c r="A11733" s="39"/>
      <c r="E11733" s="40" t="s">
        <v>11404</v>
      </c>
      <c r="F11733" s="40" t="s">
        <v>11404</v>
      </c>
      <c r="G11733" s="40" t="s">
        <v>11404</v>
      </c>
      <c r="H11733" s="40" t="s">
        <v>11404</v>
      </c>
    </row>
    <row r="11734">
      <c r="A11734" s="39"/>
      <c r="E11734" s="40" t="s">
        <v>11404</v>
      </c>
      <c r="F11734" s="40" t="s">
        <v>11404</v>
      </c>
      <c r="G11734" s="40" t="s">
        <v>11404</v>
      </c>
      <c r="H11734" s="40" t="s">
        <v>11404</v>
      </c>
    </row>
    <row r="11735">
      <c r="A11735" s="39"/>
      <c r="E11735" s="40" t="s">
        <v>11404</v>
      </c>
      <c r="F11735" s="40" t="s">
        <v>11404</v>
      </c>
      <c r="G11735" s="40" t="s">
        <v>11404</v>
      </c>
      <c r="H11735" s="40" t="s">
        <v>11404</v>
      </c>
    </row>
    <row r="11736">
      <c r="A11736" s="39"/>
      <c r="E11736" s="40" t="s">
        <v>11404</v>
      </c>
      <c r="F11736" s="40" t="s">
        <v>11404</v>
      </c>
      <c r="G11736" s="40" t="s">
        <v>11404</v>
      </c>
      <c r="H11736" s="40" t="s">
        <v>11404</v>
      </c>
    </row>
    <row r="11737">
      <c r="A11737" s="39"/>
      <c r="E11737" s="40" t="s">
        <v>11404</v>
      </c>
      <c r="F11737" s="40" t="s">
        <v>11404</v>
      </c>
      <c r="G11737" s="40" t="s">
        <v>11404</v>
      </c>
      <c r="H11737" s="40" t="s">
        <v>11404</v>
      </c>
    </row>
    <row r="11738">
      <c r="A11738" s="39"/>
      <c r="E11738" s="40" t="s">
        <v>11404</v>
      </c>
      <c r="F11738" s="40" t="s">
        <v>11404</v>
      </c>
      <c r="G11738" s="40" t="s">
        <v>11404</v>
      </c>
      <c r="H11738" s="40" t="s">
        <v>11404</v>
      </c>
    </row>
    <row r="11739">
      <c r="A11739" s="39"/>
      <c r="E11739" s="40" t="s">
        <v>11404</v>
      </c>
      <c r="F11739" s="40" t="s">
        <v>11404</v>
      </c>
      <c r="G11739" s="40" t="s">
        <v>11404</v>
      </c>
      <c r="H11739" s="40" t="s">
        <v>11404</v>
      </c>
    </row>
    <row r="11740">
      <c r="A11740" s="39"/>
      <c r="E11740" s="40" t="s">
        <v>11404</v>
      </c>
      <c r="F11740" s="40" t="s">
        <v>11404</v>
      </c>
      <c r="G11740" s="40" t="s">
        <v>11404</v>
      </c>
      <c r="H11740" s="40" t="s">
        <v>11404</v>
      </c>
    </row>
    <row r="11741">
      <c r="A11741" s="39"/>
      <c r="E11741" s="40" t="s">
        <v>11404</v>
      </c>
      <c r="F11741" s="40" t="s">
        <v>11404</v>
      </c>
      <c r="G11741" s="40" t="s">
        <v>11404</v>
      </c>
      <c r="H11741" s="40" t="s">
        <v>11404</v>
      </c>
    </row>
    <row r="11742">
      <c r="A11742" s="39"/>
      <c r="E11742" s="40" t="s">
        <v>11404</v>
      </c>
      <c r="F11742" s="40" t="s">
        <v>11404</v>
      </c>
      <c r="G11742" s="40" t="s">
        <v>11404</v>
      </c>
      <c r="H11742" s="40" t="s">
        <v>11404</v>
      </c>
    </row>
    <row r="11743">
      <c r="A11743" s="39"/>
      <c r="E11743" s="40" t="s">
        <v>11404</v>
      </c>
      <c r="F11743" s="40" t="s">
        <v>11404</v>
      </c>
      <c r="G11743" s="40" t="s">
        <v>11404</v>
      </c>
      <c r="H11743" s="40" t="s">
        <v>11404</v>
      </c>
    </row>
    <row r="11744">
      <c r="A11744" s="39"/>
      <c r="E11744" s="40" t="s">
        <v>11404</v>
      </c>
      <c r="F11744" s="40" t="s">
        <v>11404</v>
      </c>
      <c r="G11744" s="40" t="s">
        <v>11404</v>
      </c>
      <c r="H11744" s="40" t="s">
        <v>11404</v>
      </c>
    </row>
    <row r="11745">
      <c r="A11745" s="39"/>
      <c r="E11745" s="40" t="s">
        <v>11404</v>
      </c>
      <c r="F11745" s="40" t="s">
        <v>11404</v>
      </c>
      <c r="G11745" s="40" t="s">
        <v>11404</v>
      </c>
      <c r="H11745" s="40" t="s">
        <v>11404</v>
      </c>
    </row>
    <row r="11746">
      <c r="A11746" s="39"/>
      <c r="E11746" s="40" t="s">
        <v>11404</v>
      </c>
      <c r="F11746" s="40" t="s">
        <v>11404</v>
      </c>
      <c r="G11746" s="40" t="s">
        <v>11404</v>
      </c>
      <c r="H11746" s="40" t="s">
        <v>11404</v>
      </c>
    </row>
    <row r="11747">
      <c r="A11747" s="39"/>
      <c r="E11747" s="40" t="s">
        <v>11404</v>
      </c>
      <c r="F11747" s="40" t="s">
        <v>11404</v>
      </c>
      <c r="G11747" s="40" t="s">
        <v>11404</v>
      </c>
      <c r="H11747" s="40" t="s">
        <v>11404</v>
      </c>
    </row>
    <row r="11748">
      <c r="A11748" s="39"/>
      <c r="E11748" s="40" t="s">
        <v>11404</v>
      </c>
      <c r="F11748" s="40" t="s">
        <v>11404</v>
      </c>
      <c r="G11748" s="40" t="s">
        <v>11404</v>
      </c>
      <c r="H11748" s="40" t="s">
        <v>11404</v>
      </c>
    </row>
    <row r="11749">
      <c r="A11749" s="39"/>
      <c r="E11749" s="40" t="s">
        <v>11404</v>
      </c>
      <c r="F11749" s="40" t="s">
        <v>11404</v>
      </c>
      <c r="G11749" s="40" t="s">
        <v>11404</v>
      </c>
      <c r="H11749" s="40" t="s">
        <v>11404</v>
      </c>
    </row>
    <row r="11750">
      <c r="A11750" s="39"/>
      <c r="E11750" s="40" t="s">
        <v>11404</v>
      </c>
      <c r="F11750" s="40" t="s">
        <v>11404</v>
      </c>
      <c r="G11750" s="40" t="s">
        <v>11404</v>
      </c>
      <c r="H11750" s="40" t="s">
        <v>11404</v>
      </c>
    </row>
    <row r="11751">
      <c r="A11751" s="39"/>
      <c r="E11751" s="40" t="s">
        <v>11404</v>
      </c>
      <c r="F11751" s="40" t="s">
        <v>11404</v>
      </c>
      <c r="G11751" s="40" t="s">
        <v>11404</v>
      </c>
      <c r="H11751" s="40" t="s">
        <v>11404</v>
      </c>
    </row>
    <row r="11752">
      <c r="A11752" s="39"/>
      <c r="E11752" s="40" t="s">
        <v>11404</v>
      </c>
      <c r="F11752" s="40" t="s">
        <v>11404</v>
      </c>
      <c r="G11752" s="40" t="s">
        <v>11404</v>
      </c>
      <c r="H11752" s="40" t="s">
        <v>11404</v>
      </c>
    </row>
    <row r="11753">
      <c r="A11753" s="39"/>
      <c r="E11753" s="40" t="s">
        <v>11404</v>
      </c>
      <c r="F11753" s="40" t="s">
        <v>11404</v>
      </c>
      <c r="G11753" s="40" t="s">
        <v>11404</v>
      </c>
      <c r="H11753" s="40" t="s">
        <v>11404</v>
      </c>
    </row>
    <row r="11754">
      <c r="A11754" s="39"/>
      <c r="E11754" s="40" t="s">
        <v>11404</v>
      </c>
      <c r="F11754" s="40" t="s">
        <v>11404</v>
      </c>
      <c r="G11754" s="40" t="s">
        <v>11404</v>
      </c>
      <c r="H11754" s="40" t="s">
        <v>11404</v>
      </c>
    </row>
    <row r="11755">
      <c r="A11755" s="39"/>
      <c r="E11755" s="40" t="s">
        <v>11404</v>
      </c>
      <c r="F11755" s="40" t="s">
        <v>11404</v>
      </c>
      <c r="G11755" s="40" t="s">
        <v>11404</v>
      </c>
      <c r="H11755" s="40" t="s">
        <v>11404</v>
      </c>
    </row>
    <row r="11756">
      <c r="A11756" s="39"/>
      <c r="E11756" s="40" t="s">
        <v>11404</v>
      </c>
      <c r="F11756" s="40" t="s">
        <v>11404</v>
      </c>
      <c r="G11756" s="40" t="s">
        <v>11404</v>
      </c>
      <c r="H11756" s="40" t="s">
        <v>11404</v>
      </c>
    </row>
    <row r="11757">
      <c r="A11757" s="39"/>
      <c r="E11757" s="40" t="s">
        <v>11404</v>
      </c>
      <c r="F11757" s="40" t="s">
        <v>11404</v>
      </c>
      <c r="G11757" s="40" t="s">
        <v>11404</v>
      </c>
      <c r="H11757" s="40" t="s">
        <v>11404</v>
      </c>
    </row>
    <row r="11758">
      <c r="A11758" s="39"/>
      <c r="E11758" s="40" t="s">
        <v>11404</v>
      </c>
      <c r="F11758" s="40" t="s">
        <v>11404</v>
      </c>
      <c r="G11758" s="40" t="s">
        <v>11404</v>
      </c>
      <c r="H11758" s="40" t="s">
        <v>11404</v>
      </c>
    </row>
    <row r="11759">
      <c r="A11759" s="39"/>
      <c r="E11759" s="40" t="s">
        <v>11404</v>
      </c>
      <c r="F11759" s="40" t="s">
        <v>11404</v>
      </c>
      <c r="G11759" s="40" t="s">
        <v>11404</v>
      </c>
      <c r="H11759" s="40" t="s">
        <v>11404</v>
      </c>
    </row>
    <row r="11760">
      <c r="A11760" s="39"/>
      <c r="E11760" s="40" t="s">
        <v>11404</v>
      </c>
      <c r="F11760" s="40" t="s">
        <v>11404</v>
      </c>
      <c r="G11760" s="40" t="s">
        <v>11404</v>
      </c>
      <c r="H11760" s="40" t="s">
        <v>11404</v>
      </c>
    </row>
    <row r="11761">
      <c r="A11761" s="39"/>
      <c r="E11761" s="40" t="s">
        <v>11404</v>
      </c>
      <c r="F11761" s="40" t="s">
        <v>11404</v>
      </c>
      <c r="G11761" s="40" t="s">
        <v>11404</v>
      </c>
      <c r="H11761" s="40" t="s">
        <v>11404</v>
      </c>
    </row>
    <row r="11762">
      <c r="A11762" s="39"/>
      <c r="E11762" s="40" t="s">
        <v>11404</v>
      </c>
      <c r="F11762" s="40" t="s">
        <v>11404</v>
      </c>
      <c r="G11762" s="40" t="s">
        <v>11404</v>
      </c>
      <c r="H11762" s="40" t="s">
        <v>11404</v>
      </c>
    </row>
    <row r="11763">
      <c r="A11763" s="39"/>
      <c r="E11763" s="40" t="s">
        <v>11404</v>
      </c>
      <c r="F11763" s="40" t="s">
        <v>11404</v>
      </c>
      <c r="G11763" s="40" t="s">
        <v>11404</v>
      </c>
      <c r="H11763" s="40" t="s">
        <v>11404</v>
      </c>
    </row>
    <row r="11764">
      <c r="A11764" s="39"/>
      <c r="E11764" s="40" t="s">
        <v>11404</v>
      </c>
      <c r="F11764" s="40" t="s">
        <v>11404</v>
      </c>
      <c r="G11764" s="40" t="s">
        <v>11404</v>
      </c>
      <c r="H11764" s="40" t="s">
        <v>11404</v>
      </c>
    </row>
    <row r="11765">
      <c r="A11765" s="39"/>
      <c r="E11765" s="40" t="s">
        <v>11404</v>
      </c>
      <c r="F11765" s="40" t="s">
        <v>11404</v>
      </c>
      <c r="G11765" s="40" t="s">
        <v>11404</v>
      </c>
      <c r="H11765" s="40" t="s">
        <v>11404</v>
      </c>
    </row>
    <row r="11766">
      <c r="A11766" s="39"/>
      <c r="E11766" s="40" t="s">
        <v>11404</v>
      </c>
      <c r="F11766" s="40" t="s">
        <v>11404</v>
      </c>
      <c r="G11766" s="40" t="s">
        <v>11404</v>
      </c>
      <c r="H11766" s="40" t="s">
        <v>11404</v>
      </c>
    </row>
    <row r="11767">
      <c r="A11767" s="39"/>
      <c r="E11767" s="40" t="s">
        <v>11404</v>
      </c>
      <c r="F11767" s="40" t="s">
        <v>11404</v>
      </c>
      <c r="G11767" s="40" t="s">
        <v>11404</v>
      </c>
      <c r="H11767" s="40" t="s">
        <v>11404</v>
      </c>
    </row>
    <row r="11768">
      <c r="A11768" s="39"/>
      <c r="E11768" s="40" t="s">
        <v>11404</v>
      </c>
      <c r="F11768" s="40" t="s">
        <v>11404</v>
      </c>
      <c r="G11768" s="40" t="s">
        <v>11404</v>
      </c>
      <c r="H11768" s="40" t="s">
        <v>11404</v>
      </c>
    </row>
    <row r="11769">
      <c r="A11769" s="39"/>
      <c r="E11769" s="40" t="s">
        <v>11404</v>
      </c>
      <c r="F11769" s="40" t="s">
        <v>11404</v>
      </c>
      <c r="G11769" s="40" t="s">
        <v>11404</v>
      </c>
      <c r="H11769" s="40" t="s">
        <v>11404</v>
      </c>
    </row>
    <row r="11770">
      <c r="A11770" s="39"/>
      <c r="E11770" s="40" t="s">
        <v>11404</v>
      </c>
      <c r="F11770" s="40" t="s">
        <v>11404</v>
      </c>
      <c r="G11770" s="40" t="s">
        <v>11404</v>
      </c>
      <c r="H11770" s="40" t="s">
        <v>11404</v>
      </c>
    </row>
    <row r="11771">
      <c r="A11771" s="39"/>
      <c r="E11771" s="40" t="s">
        <v>11404</v>
      </c>
      <c r="F11771" s="40" t="s">
        <v>11404</v>
      </c>
      <c r="G11771" s="40" t="s">
        <v>11404</v>
      </c>
      <c r="H11771" s="40" t="s">
        <v>11404</v>
      </c>
    </row>
    <row r="11772">
      <c r="A11772" s="39"/>
      <c r="E11772" s="40" t="s">
        <v>11404</v>
      </c>
      <c r="F11772" s="40" t="s">
        <v>11404</v>
      </c>
      <c r="G11772" s="40" t="s">
        <v>11404</v>
      </c>
      <c r="H11772" s="40" t="s">
        <v>11404</v>
      </c>
    </row>
    <row r="11773">
      <c r="A11773" s="39"/>
      <c r="E11773" s="40" t="s">
        <v>11404</v>
      </c>
      <c r="F11773" s="40" t="s">
        <v>11404</v>
      </c>
      <c r="G11773" s="40" t="s">
        <v>11404</v>
      </c>
      <c r="H11773" s="40" t="s">
        <v>11404</v>
      </c>
    </row>
    <row r="11774">
      <c r="A11774" s="39"/>
      <c r="E11774" s="40" t="s">
        <v>11404</v>
      </c>
      <c r="F11774" s="40" t="s">
        <v>11404</v>
      </c>
      <c r="G11774" s="40" t="s">
        <v>11404</v>
      </c>
      <c r="H11774" s="40" t="s">
        <v>11404</v>
      </c>
    </row>
    <row r="11775">
      <c r="A11775" s="39"/>
      <c r="E11775" s="40" t="s">
        <v>11404</v>
      </c>
      <c r="F11775" s="40" t="s">
        <v>11404</v>
      </c>
      <c r="G11775" s="40" t="s">
        <v>11404</v>
      </c>
      <c r="H11775" s="40" t="s">
        <v>11404</v>
      </c>
    </row>
    <row r="11776">
      <c r="A11776" s="39"/>
      <c r="E11776" s="40" t="s">
        <v>11404</v>
      </c>
      <c r="F11776" s="40" t="s">
        <v>11404</v>
      </c>
      <c r="G11776" s="40" t="s">
        <v>11404</v>
      </c>
      <c r="H11776" s="40" t="s">
        <v>11404</v>
      </c>
    </row>
    <row r="11777">
      <c r="A11777" s="39"/>
      <c r="E11777" s="40" t="s">
        <v>11404</v>
      </c>
      <c r="F11777" s="40" t="s">
        <v>11404</v>
      </c>
      <c r="G11777" s="40" t="s">
        <v>11404</v>
      </c>
      <c r="H11777" s="40" t="s">
        <v>11404</v>
      </c>
    </row>
    <row r="11778">
      <c r="A11778" s="39"/>
      <c r="E11778" s="40" t="s">
        <v>11404</v>
      </c>
      <c r="F11778" s="40" t="s">
        <v>11404</v>
      </c>
      <c r="G11778" s="40" t="s">
        <v>11404</v>
      </c>
      <c r="H11778" s="40" t="s">
        <v>11404</v>
      </c>
    </row>
    <row r="11779">
      <c r="A11779" s="39"/>
      <c r="E11779" s="40" t="s">
        <v>11404</v>
      </c>
      <c r="F11779" s="40" t="s">
        <v>11404</v>
      </c>
      <c r="G11779" s="40" t="s">
        <v>11404</v>
      </c>
      <c r="H11779" s="40" t="s">
        <v>11404</v>
      </c>
    </row>
    <row r="11780">
      <c r="A11780" s="39"/>
      <c r="E11780" s="40" t="s">
        <v>11404</v>
      </c>
      <c r="F11780" s="40" t="s">
        <v>11404</v>
      </c>
      <c r="G11780" s="40" t="s">
        <v>11404</v>
      </c>
      <c r="H11780" s="40" t="s">
        <v>11404</v>
      </c>
    </row>
    <row r="11781">
      <c r="A11781" s="39"/>
      <c r="E11781" s="40" t="s">
        <v>11404</v>
      </c>
      <c r="F11781" s="40" t="s">
        <v>11404</v>
      </c>
      <c r="G11781" s="40" t="s">
        <v>11404</v>
      </c>
      <c r="H11781" s="40" t="s">
        <v>11404</v>
      </c>
    </row>
    <row r="11782">
      <c r="A11782" s="39"/>
      <c r="E11782" s="40" t="s">
        <v>11404</v>
      </c>
      <c r="F11782" s="40" t="s">
        <v>11404</v>
      </c>
      <c r="G11782" s="40" t="s">
        <v>11404</v>
      </c>
      <c r="H11782" s="40" t="s">
        <v>11404</v>
      </c>
    </row>
    <row r="11783">
      <c r="A11783" s="39"/>
      <c r="E11783" s="40" t="s">
        <v>11404</v>
      </c>
      <c r="F11783" s="40" t="s">
        <v>11404</v>
      </c>
      <c r="G11783" s="40" t="s">
        <v>11404</v>
      </c>
      <c r="H11783" s="40" t="s">
        <v>11404</v>
      </c>
    </row>
    <row r="11784">
      <c r="A11784" s="39"/>
      <c r="E11784" s="40" t="s">
        <v>11404</v>
      </c>
      <c r="F11784" s="40" t="s">
        <v>11404</v>
      </c>
      <c r="G11784" s="40" t="s">
        <v>11404</v>
      </c>
      <c r="H11784" s="40" t="s">
        <v>11404</v>
      </c>
    </row>
    <row r="11785">
      <c r="A11785" s="39"/>
      <c r="E11785" s="40" t="s">
        <v>11404</v>
      </c>
      <c r="F11785" s="40" t="s">
        <v>11404</v>
      </c>
      <c r="G11785" s="40" t="s">
        <v>11404</v>
      </c>
      <c r="H11785" s="40" t="s">
        <v>11404</v>
      </c>
    </row>
    <row r="11786">
      <c r="A11786" s="39"/>
      <c r="E11786" s="40" t="s">
        <v>11404</v>
      </c>
      <c r="F11786" s="40" t="s">
        <v>11404</v>
      </c>
      <c r="G11786" s="40" t="s">
        <v>11404</v>
      </c>
      <c r="H11786" s="40" t="s">
        <v>11404</v>
      </c>
    </row>
    <row r="11787">
      <c r="A11787" s="39"/>
      <c r="E11787" s="40" t="s">
        <v>11404</v>
      </c>
      <c r="F11787" s="40" t="s">
        <v>11404</v>
      </c>
      <c r="G11787" s="40" t="s">
        <v>11404</v>
      </c>
      <c r="H11787" s="40" t="s">
        <v>11404</v>
      </c>
    </row>
    <row r="11788">
      <c r="A11788" s="39"/>
      <c r="E11788" s="40" t="s">
        <v>11404</v>
      </c>
      <c r="F11788" s="40" t="s">
        <v>11404</v>
      </c>
      <c r="G11788" s="40" t="s">
        <v>11404</v>
      </c>
      <c r="H11788" s="40" t="s">
        <v>11404</v>
      </c>
    </row>
    <row r="11789">
      <c r="A11789" s="39"/>
      <c r="E11789" s="40" t="s">
        <v>11404</v>
      </c>
      <c r="F11789" s="40" t="s">
        <v>11404</v>
      </c>
      <c r="G11789" s="40" t="s">
        <v>11404</v>
      </c>
      <c r="H11789" s="40" t="s">
        <v>11404</v>
      </c>
    </row>
    <row r="11790">
      <c r="A11790" s="39"/>
      <c r="E11790" s="40" t="s">
        <v>11404</v>
      </c>
      <c r="F11790" s="40" t="s">
        <v>11404</v>
      </c>
      <c r="G11790" s="40" t="s">
        <v>11404</v>
      </c>
      <c r="H11790" s="40" t="s">
        <v>11404</v>
      </c>
    </row>
    <row r="11791">
      <c r="A11791" s="39"/>
      <c r="E11791" s="40" t="s">
        <v>11404</v>
      </c>
      <c r="F11791" s="40" t="s">
        <v>11404</v>
      </c>
      <c r="G11791" s="40" t="s">
        <v>11404</v>
      </c>
      <c r="H11791" s="40" t="s">
        <v>11404</v>
      </c>
    </row>
    <row r="11792">
      <c r="A11792" s="39"/>
      <c r="E11792" s="40" t="s">
        <v>11404</v>
      </c>
      <c r="F11792" s="40" t="s">
        <v>11404</v>
      </c>
      <c r="G11792" s="40" t="s">
        <v>11404</v>
      </c>
      <c r="H11792" s="40" t="s">
        <v>11404</v>
      </c>
    </row>
    <row r="11793">
      <c r="A11793" s="39"/>
      <c r="E11793" s="40" t="s">
        <v>11404</v>
      </c>
      <c r="F11793" s="40" t="s">
        <v>11404</v>
      </c>
      <c r="G11793" s="40" t="s">
        <v>11404</v>
      </c>
      <c r="H11793" s="40" t="s">
        <v>11404</v>
      </c>
    </row>
    <row r="11794">
      <c r="A11794" s="39"/>
      <c r="E11794" s="40" t="s">
        <v>11404</v>
      </c>
      <c r="F11794" s="40" t="s">
        <v>11404</v>
      </c>
      <c r="G11794" s="40" t="s">
        <v>11404</v>
      </c>
      <c r="H11794" s="40" t="s">
        <v>11404</v>
      </c>
    </row>
    <row r="11795">
      <c r="A11795" s="39"/>
      <c r="E11795" s="40" t="s">
        <v>11404</v>
      </c>
      <c r="F11795" s="40" t="s">
        <v>11404</v>
      </c>
      <c r="G11795" s="40" t="s">
        <v>11404</v>
      </c>
      <c r="H11795" s="40" t="s">
        <v>11404</v>
      </c>
    </row>
    <row r="11796">
      <c r="A11796" s="39"/>
      <c r="E11796" s="40" t="s">
        <v>11404</v>
      </c>
      <c r="F11796" s="40" t="s">
        <v>11404</v>
      </c>
      <c r="G11796" s="40" t="s">
        <v>11404</v>
      </c>
      <c r="H11796" s="40" t="s">
        <v>11404</v>
      </c>
    </row>
    <row r="11797">
      <c r="A11797" s="39"/>
      <c r="E11797" s="40" t="s">
        <v>11404</v>
      </c>
      <c r="F11797" s="40" t="s">
        <v>11404</v>
      </c>
      <c r="G11797" s="40" t="s">
        <v>11404</v>
      </c>
      <c r="H11797" s="40" t="s">
        <v>11404</v>
      </c>
    </row>
    <row r="11798">
      <c r="A11798" s="39"/>
      <c r="E11798" s="40" t="s">
        <v>11404</v>
      </c>
      <c r="F11798" s="40" t="s">
        <v>11404</v>
      </c>
      <c r="G11798" s="40" t="s">
        <v>11404</v>
      </c>
      <c r="H11798" s="40" t="s">
        <v>11404</v>
      </c>
    </row>
    <row r="11799">
      <c r="A11799" s="39"/>
      <c r="E11799" s="40" t="s">
        <v>11404</v>
      </c>
      <c r="F11799" s="40" t="s">
        <v>11404</v>
      </c>
      <c r="G11799" s="40" t="s">
        <v>11404</v>
      </c>
      <c r="H11799" s="40" t="s">
        <v>11404</v>
      </c>
    </row>
    <row r="11800">
      <c r="A11800" s="39"/>
      <c r="E11800" s="40" t="s">
        <v>11404</v>
      </c>
      <c r="F11800" s="40" t="s">
        <v>11404</v>
      </c>
      <c r="G11800" s="40" t="s">
        <v>11404</v>
      </c>
      <c r="H11800" s="40" t="s">
        <v>11404</v>
      </c>
    </row>
    <row r="11801">
      <c r="A11801" s="39"/>
      <c r="E11801" s="40" t="s">
        <v>11404</v>
      </c>
      <c r="F11801" s="40" t="s">
        <v>11404</v>
      </c>
      <c r="G11801" s="40" t="s">
        <v>11404</v>
      </c>
      <c r="H11801" s="40" t="s">
        <v>11404</v>
      </c>
    </row>
    <row r="11802">
      <c r="A11802" s="39"/>
      <c r="E11802" s="40" t="s">
        <v>11404</v>
      </c>
      <c r="F11802" s="40" t="s">
        <v>11404</v>
      </c>
      <c r="G11802" s="40" t="s">
        <v>11404</v>
      </c>
      <c r="H11802" s="40" t="s">
        <v>11404</v>
      </c>
    </row>
    <row r="11803">
      <c r="A11803" s="39"/>
      <c r="E11803" s="40" t="s">
        <v>11404</v>
      </c>
      <c r="F11803" s="40" t="s">
        <v>11404</v>
      </c>
      <c r="G11803" s="40" t="s">
        <v>11404</v>
      </c>
      <c r="H11803" s="40" t="s">
        <v>11404</v>
      </c>
    </row>
    <row r="11804">
      <c r="A11804" s="39"/>
      <c r="E11804" s="40" t="s">
        <v>11404</v>
      </c>
      <c r="F11804" s="40" t="s">
        <v>11404</v>
      </c>
      <c r="G11804" s="40" t="s">
        <v>11404</v>
      </c>
      <c r="H11804" s="40" t="s">
        <v>11404</v>
      </c>
    </row>
    <row r="11805">
      <c r="A11805" s="39"/>
      <c r="E11805" s="40" t="s">
        <v>11404</v>
      </c>
      <c r="F11805" s="40" t="s">
        <v>11404</v>
      </c>
      <c r="G11805" s="40" t="s">
        <v>11404</v>
      </c>
      <c r="H11805" s="40" t="s">
        <v>11404</v>
      </c>
    </row>
    <row r="11806">
      <c r="A11806" s="39"/>
      <c r="E11806" s="40" t="s">
        <v>11404</v>
      </c>
      <c r="F11806" s="40" t="s">
        <v>11404</v>
      </c>
      <c r="G11806" s="40" t="s">
        <v>11404</v>
      </c>
      <c r="H11806" s="40" t="s">
        <v>11404</v>
      </c>
    </row>
    <row r="11807">
      <c r="A11807" s="39"/>
      <c r="E11807" s="40" t="s">
        <v>11404</v>
      </c>
      <c r="F11807" s="40" t="s">
        <v>11404</v>
      </c>
      <c r="G11807" s="40" t="s">
        <v>11404</v>
      </c>
      <c r="H11807" s="40" t="s">
        <v>11404</v>
      </c>
    </row>
    <row r="11808">
      <c r="A11808" s="39"/>
      <c r="E11808" s="40" t="s">
        <v>11404</v>
      </c>
      <c r="F11808" s="40" t="s">
        <v>11404</v>
      </c>
      <c r="G11808" s="40" t="s">
        <v>11404</v>
      </c>
      <c r="H11808" s="40" t="s">
        <v>11404</v>
      </c>
    </row>
    <row r="11809">
      <c r="A11809" s="39"/>
      <c r="E11809" s="40" t="s">
        <v>11404</v>
      </c>
      <c r="F11809" s="40" t="s">
        <v>11404</v>
      </c>
      <c r="G11809" s="40" t="s">
        <v>11404</v>
      </c>
      <c r="H11809" s="40" t="s">
        <v>11404</v>
      </c>
    </row>
    <row r="11810">
      <c r="A11810" s="39"/>
      <c r="E11810" s="40" t="s">
        <v>11404</v>
      </c>
      <c r="F11810" s="40" t="s">
        <v>11404</v>
      </c>
      <c r="G11810" s="40" t="s">
        <v>11404</v>
      </c>
      <c r="H11810" s="40" t="s">
        <v>11404</v>
      </c>
    </row>
    <row r="11811">
      <c r="A11811" s="39"/>
      <c r="E11811" s="40" t="s">
        <v>11404</v>
      </c>
      <c r="F11811" s="40" t="s">
        <v>11404</v>
      </c>
      <c r="G11811" s="40" t="s">
        <v>11404</v>
      </c>
      <c r="H11811" s="40" t="s">
        <v>11404</v>
      </c>
    </row>
    <row r="11812">
      <c r="A11812" s="39"/>
      <c r="E11812" s="40" t="s">
        <v>11404</v>
      </c>
      <c r="F11812" s="40" t="s">
        <v>11404</v>
      </c>
      <c r="G11812" s="40" t="s">
        <v>11404</v>
      </c>
      <c r="H11812" s="40" t="s">
        <v>11404</v>
      </c>
    </row>
    <row r="11813">
      <c r="A11813" s="39"/>
      <c r="E11813" s="40" t="s">
        <v>11404</v>
      </c>
      <c r="F11813" s="40" t="s">
        <v>11404</v>
      </c>
      <c r="G11813" s="40" t="s">
        <v>11404</v>
      </c>
      <c r="H11813" s="40" t="s">
        <v>11404</v>
      </c>
    </row>
    <row r="11814">
      <c r="A11814" s="39"/>
      <c r="E11814" s="40" t="s">
        <v>11404</v>
      </c>
      <c r="F11814" s="40" t="s">
        <v>11404</v>
      </c>
      <c r="G11814" s="40" t="s">
        <v>11404</v>
      </c>
      <c r="H11814" s="40" t="s">
        <v>11404</v>
      </c>
    </row>
    <row r="11815">
      <c r="A11815" s="39"/>
      <c r="E11815" s="40" t="s">
        <v>11404</v>
      </c>
      <c r="F11815" s="40" t="s">
        <v>11404</v>
      </c>
      <c r="G11815" s="40" t="s">
        <v>11404</v>
      </c>
      <c r="H11815" s="40" t="s">
        <v>11404</v>
      </c>
    </row>
    <row r="11816">
      <c r="A11816" s="39"/>
      <c r="E11816" s="40" t="s">
        <v>11404</v>
      </c>
      <c r="F11816" s="40" t="s">
        <v>11404</v>
      </c>
      <c r="G11816" s="40" t="s">
        <v>11404</v>
      </c>
      <c r="H11816" s="40" t="s">
        <v>11404</v>
      </c>
    </row>
    <row r="11817">
      <c r="A11817" s="39"/>
      <c r="E11817" s="40" t="s">
        <v>11404</v>
      </c>
      <c r="F11817" s="40" t="s">
        <v>11404</v>
      </c>
      <c r="G11817" s="40" t="s">
        <v>11404</v>
      </c>
      <c r="H11817" s="40" t="s">
        <v>11404</v>
      </c>
    </row>
    <row r="11818">
      <c r="A11818" s="39"/>
      <c r="E11818" s="40" t="s">
        <v>11404</v>
      </c>
      <c r="F11818" s="40" t="s">
        <v>11404</v>
      </c>
      <c r="G11818" s="40" t="s">
        <v>11404</v>
      </c>
      <c r="H11818" s="40" t="s">
        <v>11404</v>
      </c>
    </row>
    <row r="11819">
      <c r="A11819" s="39"/>
      <c r="E11819" s="40" t="s">
        <v>11404</v>
      </c>
      <c r="F11819" s="40" t="s">
        <v>11404</v>
      </c>
      <c r="G11819" s="40" t="s">
        <v>11404</v>
      </c>
      <c r="H11819" s="40" t="s">
        <v>11404</v>
      </c>
    </row>
    <row r="11820">
      <c r="A11820" s="39"/>
      <c r="E11820" s="40" t="s">
        <v>11404</v>
      </c>
      <c r="F11820" s="40" t="s">
        <v>11404</v>
      </c>
      <c r="G11820" s="40" t="s">
        <v>11404</v>
      </c>
      <c r="H11820" s="40" t="s">
        <v>11404</v>
      </c>
    </row>
    <row r="11821">
      <c r="A11821" s="39"/>
      <c r="E11821" s="40" t="s">
        <v>11404</v>
      </c>
      <c r="F11821" s="40" t="s">
        <v>11404</v>
      </c>
      <c r="G11821" s="40" t="s">
        <v>11404</v>
      </c>
      <c r="H11821" s="40" t="s">
        <v>11404</v>
      </c>
    </row>
    <row r="11822">
      <c r="A11822" s="39"/>
      <c r="E11822" s="40" t="s">
        <v>11404</v>
      </c>
      <c r="F11822" s="40" t="s">
        <v>11404</v>
      </c>
      <c r="G11822" s="40" t="s">
        <v>11404</v>
      </c>
      <c r="H11822" s="40" t="s">
        <v>11404</v>
      </c>
    </row>
    <row r="11823">
      <c r="A11823" s="39"/>
      <c r="E11823" s="40" t="s">
        <v>11404</v>
      </c>
      <c r="F11823" s="40" t="s">
        <v>11404</v>
      </c>
      <c r="G11823" s="40" t="s">
        <v>11404</v>
      </c>
      <c r="H11823" s="40" t="s">
        <v>11404</v>
      </c>
    </row>
    <row r="11824">
      <c r="A11824" s="39"/>
      <c r="E11824" s="40" t="s">
        <v>11404</v>
      </c>
      <c r="F11824" s="40" t="s">
        <v>11404</v>
      </c>
      <c r="G11824" s="40" t="s">
        <v>11404</v>
      </c>
      <c r="H11824" s="40" t="s">
        <v>11404</v>
      </c>
    </row>
    <row r="11825">
      <c r="A11825" s="39"/>
      <c r="E11825" s="40" t="s">
        <v>11404</v>
      </c>
      <c r="F11825" s="40" t="s">
        <v>11404</v>
      </c>
      <c r="G11825" s="40" t="s">
        <v>11404</v>
      </c>
      <c r="H11825" s="40" t="s">
        <v>11404</v>
      </c>
    </row>
    <row r="11826">
      <c r="A11826" s="39"/>
      <c r="E11826" s="40" t="s">
        <v>11404</v>
      </c>
      <c r="F11826" s="40" t="s">
        <v>11404</v>
      </c>
      <c r="G11826" s="40" t="s">
        <v>11404</v>
      </c>
      <c r="H11826" s="40" t="s">
        <v>11404</v>
      </c>
    </row>
    <row r="11827">
      <c r="A11827" s="39"/>
      <c r="E11827" s="40" t="s">
        <v>11404</v>
      </c>
      <c r="F11827" s="40" t="s">
        <v>11404</v>
      </c>
      <c r="G11827" s="40" t="s">
        <v>11404</v>
      </c>
      <c r="H11827" s="40" t="s">
        <v>11404</v>
      </c>
    </row>
    <row r="11828">
      <c r="A11828" s="39"/>
      <c r="E11828" s="40" t="s">
        <v>11404</v>
      </c>
      <c r="F11828" s="40" t="s">
        <v>11404</v>
      </c>
      <c r="G11828" s="40" t="s">
        <v>11404</v>
      </c>
      <c r="H11828" s="40" t="s">
        <v>11404</v>
      </c>
    </row>
    <row r="11829">
      <c r="A11829" s="39"/>
      <c r="E11829" s="40" t="s">
        <v>11404</v>
      </c>
      <c r="F11829" s="40" t="s">
        <v>11404</v>
      </c>
      <c r="G11829" s="40" t="s">
        <v>11404</v>
      </c>
      <c r="H11829" s="40" t="s">
        <v>11404</v>
      </c>
    </row>
    <row r="11830">
      <c r="A11830" s="39"/>
      <c r="E11830" s="40" t="s">
        <v>11404</v>
      </c>
      <c r="F11830" s="40" t="s">
        <v>11404</v>
      </c>
      <c r="G11830" s="40" t="s">
        <v>11404</v>
      </c>
      <c r="H11830" s="40" t="s">
        <v>11404</v>
      </c>
    </row>
    <row r="11831">
      <c r="A11831" s="39"/>
      <c r="E11831" s="40" t="s">
        <v>11404</v>
      </c>
      <c r="F11831" s="40" t="s">
        <v>11404</v>
      </c>
      <c r="G11831" s="40" t="s">
        <v>11404</v>
      </c>
      <c r="H11831" s="40" t="s">
        <v>11404</v>
      </c>
    </row>
    <row r="11832">
      <c r="A11832" s="39"/>
      <c r="E11832" s="40" t="s">
        <v>11404</v>
      </c>
      <c r="F11832" s="40" t="s">
        <v>11404</v>
      </c>
      <c r="G11832" s="40" t="s">
        <v>11404</v>
      </c>
      <c r="H11832" s="40" t="s">
        <v>11404</v>
      </c>
    </row>
    <row r="11833">
      <c r="A11833" s="39"/>
      <c r="E11833" s="40" t="s">
        <v>11404</v>
      </c>
      <c r="F11833" s="40" t="s">
        <v>11404</v>
      </c>
      <c r="G11833" s="40" t="s">
        <v>11404</v>
      </c>
      <c r="H11833" s="40" t="s">
        <v>11404</v>
      </c>
    </row>
    <row r="11834">
      <c r="A11834" s="39"/>
      <c r="E11834" s="40" t="s">
        <v>11404</v>
      </c>
      <c r="F11834" s="40" t="s">
        <v>11404</v>
      </c>
      <c r="G11834" s="40" t="s">
        <v>11404</v>
      </c>
      <c r="H11834" s="40" t="s">
        <v>11404</v>
      </c>
    </row>
    <row r="11835">
      <c r="A11835" s="39"/>
      <c r="E11835" s="40" t="s">
        <v>11404</v>
      </c>
      <c r="F11835" s="40" t="s">
        <v>11404</v>
      </c>
      <c r="G11835" s="40" t="s">
        <v>11404</v>
      </c>
      <c r="H11835" s="40" t="s">
        <v>11404</v>
      </c>
    </row>
    <row r="11836">
      <c r="A11836" s="39"/>
      <c r="E11836" s="40" t="s">
        <v>11404</v>
      </c>
      <c r="F11836" s="40" t="s">
        <v>11404</v>
      </c>
      <c r="G11836" s="40" t="s">
        <v>11404</v>
      </c>
      <c r="H11836" s="40" t="s">
        <v>11404</v>
      </c>
    </row>
    <row r="11837">
      <c r="A11837" s="39"/>
      <c r="E11837" s="40" t="s">
        <v>11404</v>
      </c>
      <c r="F11837" s="40" t="s">
        <v>11404</v>
      </c>
      <c r="G11837" s="40" t="s">
        <v>11404</v>
      </c>
      <c r="H11837" s="40" t="s">
        <v>11404</v>
      </c>
    </row>
    <row r="11838">
      <c r="A11838" s="39"/>
      <c r="E11838" s="40" t="s">
        <v>11404</v>
      </c>
      <c r="F11838" s="40" t="s">
        <v>11404</v>
      </c>
      <c r="G11838" s="40" t="s">
        <v>11404</v>
      </c>
      <c r="H11838" s="40" t="s">
        <v>11404</v>
      </c>
    </row>
    <row r="11839">
      <c r="A11839" s="39"/>
      <c r="E11839" s="40" t="s">
        <v>11404</v>
      </c>
      <c r="F11839" s="40" t="s">
        <v>11404</v>
      </c>
      <c r="G11839" s="40" t="s">
        <v>11404</v>
      </c>
      <c r="H11839" s="40" t="s">
        <v>11404</v>
      </c>
    </row>
    <row r="11840">
      <c r="A11840" s="39"/>
      <c r="E11840" s="40" t="s">
        <v>11404</v>
      </c>
      <c r="F11840" s="40" t="s">
        <v>11404</v>
      </c>
      <c r="G11840" s="40" t="s">
        <v>11404</v>
      </c>
      <c r="H11840" s="40" t="s">
        <v>11404</v>
      </c>
    </row>
    <row r="11841">
      <c r="A11841" s="39"/>
      <c r="E11841" s="40" t="s">
        <v>11404</v>
      </c>
      <c r="F11841" s="40" t="s">
        <v>11404</v>
      </c>
      <c r="G11841" s="40" t="s">
        <v>11404</v>
      </c>
      <c r="H11841" s="40" t="s">
        <v>11404</v>
      </c>
    </row>
    <row r="11842">
      <c r="A11842" s="39"/>
      <c r="E11842" s="40" t="s">
        <v>11404</v>
      </c>
      <c r="F11842" s="40" t="s">
        <v>11404</v>
      </c>
      <c r="G11842" s="40" t="s">
        <v>11404</v>
      </c>
      <c r="H11842" s="40" t="s">
        <v>11404</v>
      </c>
    </row>
    <row r="11843">
      <c r="A11843" s="39"/>
      <c r="E11843" s="40" t="s">
        <v>11404</v>
      </c>
      <c r="F11843" s="40" t="s">
        <v>11404</v>
      </c>
      <c r="G11843" s="40" t="s">
        <v>11404</v>
      </c>
      <c r="H11843" s="40" t="s">
        <v>11404</v>
      </c>
    </row>
    <row r="11844">
      <c r="A11844" s="39"/>
      <c r="E11844" s="40" t="s">
        <v>11404</v>
      </c>
      <c r="F11844" s="40" t="s">
        <v>11404</v>
      </c>
      <c r="G11844" s="40" t="s">
        <v>11404</v>
      </c>
      <c r="H11844" s="40" t="s">
        <v>11404</v>
      </c>
    </row>
    <row r="11845">
      <c r="A11845" s="39"/>
      <c r="E11845" s="40" t="s">
        <v>11404</v>
      </c>
      <c r="F11845" s="40" t="s">
        <v>11404</v>
      </c>
      <c r="G11845" s="40" t="s">
        <v>11404</v>
      </c>
      <c r="H11845" s="40" t="s">
        <v>11404</v>
      </c>
    </row>
    <row r="11846">
      <c r="A11846" s="39"/>
      <c r="E11846" s="40" t="s">
        <v>11404</v>
      </c>
      <c r="F11846" s="40" t="s">
        <v>11404</v>
      </c>
      <c r="G11846" s="40" t="s">
        <v>11404</v>
      </c>
      <c r="H11846" s="40" t="s">
        <v>11404</v>
      </c>
    </row>
    <row r="11847">
      <c r="A11847" s="39"/>
      <c r="E11847" s="40" t="s">
        <v>11404</v>
      </c>
      <c r="F11847" s="40" t="s">
        <v>11404</v>
      </c>
      <c r="G11847" s="40" t="s">
        <v>11404</v>
      </c>
      <c r="H11847" s="40" t="s">
        <v>11404</v>
      </c>
    </row>
    <row r="11848">
      <c r="A11848" s="39"/>
      <c r="E11848" s="40" t="s">
        <v>11404</v>
      </c>
      <c r="F11848" s="40" t="s">
        <v>11404</v>
      </c>
      <c r="G11848" s="40" t="s">
        <v>11404</v>
      </c>
      <c r="H11848" s="40" t="s">
        <v>11404</v>
      </c>
    </row>
    <row r="11849">
      <c r="A11849" s="39"/>
      <c r="E11849" s="40" t="s">
        <v>11404</v>
      </c>
      <c r="F11849" s="40" t="s">
        <v>11404</v>
      </c>
      <c r="G11849" s="40" t="s">
        <v>11404</v>
      </c>
      <c r="H11849" s="40" t="s">
        <v>11404</v>
      </c>
    </row>
    <row r="11850">
      <c r="A11850" s="39"/>
      <c r="E11850" s="40" t="s">
        <v>11404</v>
      </c>
      <c r="F11850" s="40" t="s">
        <v>11404</v>
      </c>
      <c r="G11850" s="40" t="s">
        <v>11404</v>
      </c>
      <c r="H11850" s="40" t="s">
        <v>11404</v>
      </c>
    </row>
    <row r="11851">
      <c r="A11851" s="39"/>
      <c r="E11851" s="40" t="s">
        <v>11404</v>
      </c>
      <c r="F11851" s="40" t="s">
        <v>11404</v>
      </c>
      <c r="G11851" s="40" t="s">
        <v>11404</v>
      </c>
      <c r="H11851" s="40" t="s">
        <v>11404</v>
      </c>
    </row>
    <row r="11852">
      <c r="A11852" s="39"/>
      <c r="E11852" s="40" t="s">
        <v>11404</v>
      </c>
      <c r="F11852" s="40" t="s">
        <v>11404</v>
      </c>
      <c r="G11852" s="40" t="s">
        <v>11404</v>
      </c>
      <c r="H11852" s="40" t="s">
        <v>11404</v>
      </c>
    </row>
    <row r="11853">
      <c r="A11853" s="39"/>
      <c r="E11853" s="40" t="s">
        <v>11404</v>
      </c>
      <c r="F11853" s="40" t="s">
        <v>11404</v>
      </c>
      <c r="G11853" s="40" t="s">
        <v>11404</v>
      </c>
      <c r="H11853" s="40" t="s">
        <v>11404</v>
      </c>
    </row>
    <row r="11854">
      <c r="A11854" s="39"/>
      <c r="E11854" s="40" t="s">
        <v>11404</v>
      </c>
      <c r="F11854" s="40" t="s">
        <v>11404</v>
      </c>
      <c r="G11854" s="40" t="s">
        <v>11404</v>
      </c>
      <c r="H11854" s="40" t="s">
        <v>11404</v>
      </c>
    </row>
    <row r="11855">
      <c r="A11855" s="39"/>
      <c r="E11855" s="40" t="s">
        <v>11404</v>
      </c>
      <c r="F11855" s="40" t="s">
        <v>11404</v>
      </c>
      <c r="G11855" s="40" t="s">
        <v>11404</v>
      </c>
      <c r="H11855" s="40" t="s">
        <v>11404</v>
      </c>
    </row>
    <row r="11856">
      <c r="A11856" s="39"/>
      <c r="E11856" s="40" t="s">
        <v>11404</v>
      </c>
      <c r="F11856" s="40" t="s">
        <v>11404</v>
      </c>
      <c r="G11856" s="40" t="s">
        <v>11404</v>
      </c>
      <c r="H11856" s="40" t="s">
        <v>11404</v>
      </c>
    </row>
    <row r="11857">
      <c r="A11857" s="39"/>
      <c r="E11857" s="40" t="s">
        <v>11404</v>
      </c>
      <c r="F11857" s="40" t="s">
        <v>11404</v>
      </c>
      <c r="G11857" s="40" t="s">
        <v>11404</v>
      </c>
      <c r="H11857" s="40" t="s">
        <v>11404</v>
      </c>
    </row>
    <row r="11858">
      <c r="A11858" s="39"/>
      <c r="E11858" s="40" t="s">
        <v>11404</v>
      </c>
      <c r="F11858" s="40" t="s">
        <v>11404</v>
      </c>
      <c r="G11858" s="40" t="s">
        <v>11404</v>
      </c>
      <c r="H11858" s="40" t="s">
        <v>11404</v>
      </c>
    </row>
    <row r="11859">
      <c r="A11859" s="39"/>
      <c r="E11859" s="40" t="s">
        <v>11404</v>
      </c>
      <c r="F11859" s="40" t="s">
        <v>11404</v>
      </c>
      <c r="G11859" s="40" t="s">
        <v>11404</v>
      </c>
      <c r="H11859" s="40" t="s">
        <v>11404</v>
      </c>
    </row>
    <row r="11860">
      <c r="A11860" s="39"/>
      <c r="E11860" s="40" t="s">
        <v>11404</v>
      </c>
      <c r="F11860" s="40" t="s">
        <v>11404</v>
      </c>
      <c r="G11860" s="40" t="s">
        <v>11404</v>
      </c>
      <c r="H11860" s="40" t="s">
        <v>11404</v>
      </c>
    </row>
    <row r="11861">
      <c r="A11861" s="39"/>
      <c r="E11861" s="40" t="s">
        <v>11404</v>
      </c>
      <c r="F11861" s="40" t="s">
        <v>11404</v>
      </c>
      <c r="G11861" s="40" t="s">
        <v>11404</v>
      </c>
      <c r="H11861" s="40" t="s">
        <v>11404</v>
      </c>
    </row>
    <row r="11862">
      <c r="A11862" s="39"/>
      <c r="E11862" s="40" t="s">
        <v>11404</v>
      </c>
      <c r="F11862" s="40" t="s">
        <v>11404</v>
      </c>
      <c r="G11862" s="40" t="s">
        <v>11404</v>
      </c>
      <c r="H11862" s="40" t="s">
        <v>11404</v>
      </c>
    </row>
    <row r="11863">
      <c r="A11863" s="39"/>
      <c r="E11863" s="40" t="s">
        <v>11404</v>
      </c>
      <c r="F11863" s="40" t="s">
        <v>11404</v>
      </c>
      <c r="G11863" s="40" t="s">
        <v>11404</v>
      </c>
      <c r="H11863" s="40" t="s">
        <v>11404</v>
      </c>
    </row>
    <row r="11864">
      <c r="A11864" s="39"/>
      <c r="E11864" s="40" t="s">
        <v>11404</v>
      </c>
      <c r="F11864" s="40" t="s">
        <v>11404</v>
      </c>
      <c r="G11864" s="40" t="s">
        <v>11404</v>
      </c>
      <c r="H11864" s="40" t="s">
        <v>11404</v>
      </c>
    </row>
    <row r="11865">
      <c r="A11865" s="39"/>
      <c r="E11865" s="40" t="s">
        <v>11404</v>
      </c>
      <c r="F11865" s="40" t="s">
        <v>11404</v>
      </c>
      <c r="G11865" s="40" t="s">
        <v>11404</v>
      </c>
      <c r="H11865" s="40" t="s">
        <v>11404</v>
      </c>
    </row>
    <row r="11866">
      <c r="A11866" s="39"/>
      <c r="E11866" s="40" t="s">
        <v>11404</v>
      </c>
      <c r="F11866" s="40" t="s">
        <v>11404</v>
      </c>
      <c r="G11866" s="40" t="s">
        <v>11404</v>
      </c>
      <c r="H11866" s="40" t="s">
        <v>11404</v>
      </c>
    </row>
    <row r="11867">
      <c r="A11867" s="39"/>
      <c r="E11867" s="40" t="s">
        <v>11404</v>
      </c>
      <c r="F11867" s="40" t="s">
        <v>11404</v>
      </c>
      <c r="G11867" s="40" t="s">
        <v>11404</v>
      </c>
      <c r="H11867" s="40" t="s">
        <v>11404</v>
      </c>
    </row>
    <row r="11868">
      <c r="A11868" s="39"/>
      <c r="E11868" s="40" t="s">
        <v>11404</v>
      </c>
      <c r="F11868" s="40" t="s">
        <v>11404</v>
      </c>
      <c r="G11868" s="40" t="s">
        <v>11404</v>
      </c>
      <c r="H11868" s="40" t="s">
        <v>11404</v>
      </c>
    </row>
    <row r="11869">
      <c r="A11869" s="39"/>
      <c r="E11869" s="40" t="s">
        <v>11404</v>
      </c>
      <c r="F11869" s="40" t="s">
        <v>11404</v>
      </c>
      <c r="G11869" s="40" t="s">
        <v>11404</v>
      </c>
      <c r="H11869" s="40" t="s">
        <v>11404</v>
      </c>
    </row>
    <row r="11870">
      <c r="A11870" s="39"/>
      <c r="E11870" s="40" t="s">
        <v>11404</v>
      </c>
      <c r="F11870" s="40" t="s">
        <v>11404</v>
      </c>
      <c r="G11870" s="40" t="s">
        <v>11404</v>
      </c>
      <c r="H11870" s="40" t="s">
        <v>11404</v>
      </c>
    </row>
    <row r="11871">
      <c r="A11871" s="39"/>
      <c r="E11871" s="40" t="s">
        <v>11404</v>
      </c>
      <c r="F11871" s="40" t="s">
        <v>11404</v>
      </c>
      <c r="G11871" s="40" t="s">
        <v>11404</v>
      </c>
      <c r="H11871" s="40" t="s">
        <v>11404</v>
      </c>
    </row>
    <row r="11872">
      <c r="A11872" s="39"/>
      <c r="E11872" s="40" t="s">
        <v>11404</v>
      </c>
      <c r="F11872" s="40" t="s">
        <v>11404</v>
      </c>
      <c r="G11872" s="40" t="s">
        <v>11404</v>
      </c>
      <c r="H11872" s="40" t="s">
        <v>11404</v>
      </c>
    </row>
    <row r="11873">
      <c r="A11873" s="39"/>
      <c r="E11873" s="40" t="s">
        <v>11404</v>
      </c>
      <c r="F11873" s="40" t="s">
        <v>11404</v>
      </c>
      <c r="G11873" s="40" t="s">
        <v>11404</v>
      </c>
      <c r="H11873" s="40" t="s">
        <v>11404</v>
      </c>
    </row>
    <row r="11874">
      <c r="A11874" s="39"/>
      <c r="E11874" s="40" t="s">
        <v>11404</v>
      </c>
      <c r="F11874" s="40" t="s">
        <v>11404</v>
      </c>
      <c r="G11874" s="40" t="s">
        <v>11404</v>
      </c>
      <c r="H11874" s="40" t="s">
        <v>11404</v>
      </c>
    </row>
    <row r="11875">
      <c r="A11875" s="39"/>
      <c r="E11875" s="40" t="s">
        <v>11404</v>
      </c>
      <c r="F11875" s="40" t="s">
        <v>11404</v>
      </c>
      <c r="G11875" s="40" t="s">
        <v>11404</v>
      </c>
      <c r="H11875" s="40" t="s">
        <v>11404</v>
      </c>
    </row>
    <row r="11876">
      <c r="A11876" s="39"/>
      <c r="E11876" s="40" t="s">
        <v>11404</v>
      </c>
      <c r="F11876" s="40" t="s">
        <v>11404</v>
      </c>
      <c r="G11876" s="40" t="s">
        <v>11404</v>
      </c>
      <c r="H11876" s="40" t="s">
        <v>11404</v>
      </c>
    </row>
    <row r="11877">
      <c r="A11877" s="39"/>
      <c r="E11877" s="40" t="s">
        <v>11404</v>
      </c>
      <c r="F11877" s="40" t="s">
        <v>11404</v>
      </c>
      <c r="G11877" s="40" t="s">
        <v>11404</v>
      </c>
      <c r="H11877" s="40" t="s">
        <v>11404</v>
      </c>
    </row>
    <row r="11878">
      <c r="A11878" s="39"/>
      <c r="E11878" s="40" t="s">
        <v>11404</v>
      </c>
      <c r="F11878" s="40" t="s">
        <v>11404</v>
      </c>
      <c r="G11878" s="40" t="s">
        <v>11404</v>
      </c>
      <c r="H11878" s="40" t="s">
        <v>11404</v>
      </c>
    </row>
    <row r="11879">
      <c r="A11879" s="39"/>
      <c r="E11879" s="40" t="s">
        <v>11404</v>
      </c>
      <c r="F11879" s="40" t="s">
        <v>11404</v>
      </c>
      <c r="G11879" s="40" t="s">
        <v>11404</v>
      </c>
      <c r="H11879" s="40" t="s">
        <v>11404</v>
      </c>
    </row>
    <row r="11880">
      <c r="A11880" s="39"/>
      <c r="E11880" s="40" t="s">
        <v>11404</v>
      </c>
      <c r="F11880" s="40" t="s">
        <v>11404</v>
      </c>
      <c r="G11880" s="40" t="s">
        <v>11404</v>
      </c>
      <c r="H11880" s="40" t="s">
        <v>11404</v>
      </c>
    </row>
    <row r="11881">
      <c r="A11881" s="39"/>
      <c r="E11881" s="40" t="s">
        <v>11404</v>
      </c>
      <c r="F11881" s="40" t="s">
        <v>11404</v>
      </c>
      <c r="G11881" s="40" t="s">
        <v>11404</v>
      </c>
      <c r="H11881" s="40" t="s">
        <v>11404</v>
      </c>
    </row>
    <row r="11882">
      <c r="A11882" s="39"/>
      <c r="E11882" s="40" t="s">
        <v>11404</v>
      </c>
      <c r="F11882" s="40" t="s">
        <v>11404</v>
      </c>
      <c r="G11882" s="40" t="s">
        <v>11404</v>
      </c>
      <c r="H11882" s="40" t="s">
        <v>11404</v>
      </c>
    </row>
    <row r="11883">
      <c r="A11883" s="39"/>
      <c r="E11883" s="40" t="s">
        <v>11404</v>
      </c>
      <c r="F11883" s="40" t="s">
        <v>11404</v>
      </c>
      <c r="G11883" s="40" t="s">
        <v>11404</v>
      </c>
      <c r="H11883" s="40" t="s">
        <v>11404</v>
      </c>
    </row>
    <row r="11884">
      <c r="A11884" s="39"/>
      <c r="E11884" s="40" t="s">
        <v>11404</v>
      </c>
      <c r="F11884" s="40" t="s">
        <v>11404</v>
      </c>
      <c r="G11884" s="40" t="s">
        <v>11404</v>
      </c>
      <c r="H11884" s="40" t="s">
        <v>11404</v>
      </c>
    </row>
    <row r="11885">
      <c r="A11885" s="39"/>
      <c r="E11885" s="40" t="s">
        <v>11404</v>
      </c>
      <c r="F11885" s="40" t="s">
        <v>11404</v>
      </c>
      <c r="G11885" s="40" t="s">
        <v>11404</v>
      </c>
      <c r="H11885" s="40" t="s">
        <v>11404</v>
      </c>
    </row>
    <row r="11886">
      <c r="A11886" s="39"/>
      <c r="E11886" s="40" t="s">
        <v>11404</v>
      </c>
      <c r="F11886" s="40" t="s">
        <v>11404</v>
      </c>
      <c r="G11886" s="40" t="s">
        <v>11404</v>
      </c>
      <c r="H11886" s="40" t="s">
        <v>11404</v>
      </c>
    </row>
    <row r="11887">
      <c r="A11887" s="39"/>
      <c r="E11887" s="40" t="s">
        <v>11404</v>
      </c>
      <c r="F11887" s="40" t="s">
        <v>11404</v>
      </c>
      <c r="G11887" s="40" t="s">
        <v>11404</v>
      </c>
      <c r="H11887" s="40" t="s">
        <v>11404</v>
      </c>
    </row>
    <row r="11888">
      <c r="A11888" s="39"/>
      <c r="E11888" s="40" t="s">
        <v>11404</v>
      </c>
      <c r="F11888" s="40" t="s">
        <v>11404</v>
      </c>
      <c r="G11888" s="40" t="s">
        <v>11404</v>
      </c>
      <c r="H11888" s="40" t="s">
        <v>11404</v>
      </c>
    </row>
    <row r="11889">
      <c r="A11889" s="39"/>
      <c r="E11889" s="40" t="s">
        <v>11404</v>
      </c>
      <c r="F11889" s="40" t="s">
        <v>11404</v>
      </c>
      <c r="G11889" s="40" t="s">
        <v>11404</v>
      </c>
      <c r="H11889" s="40" t="s">
        <v>11404</v>
      </c>
    </row>
    <row r="11890">
      <c r="A11890" s="39"/>
      <c r="E11890" s="40" t="s">
        <v>11404</v>
      </c>
      <c r="F11890" s="40" t="s">
        <v>11404</v>
      </c>
      <c r="G11890" s="40" t="s">
        <v>11404</v>
      </c>
      <c r="H11890" s="40" t="s">
        <v>11404</v>
      </c>
    </row>
    <row r="11891">
      <c r="A11891" s="39"/>
      <c r="E11891" s="40" t="s">
        <v>11404</v>
      </c>
      <c r="F11891" s="40" t="s">
        <v>11404</v>
      </c>
      <c r="G11891" s="40" t="s">
        <v>11404</v>
      </c>
      <c r="H11891" s="40" t="s">
        <v>11404</v>
      </c>
    </row>
    <row r="11892">
      <c r="A11892" s="39"/>
      <c r="E11892" s="40" t="s">
        <v>11404</v>
      </c>
      <c r="F11892" s="40" t="s">
        <v>11404</v>
      </c>
      <c r="G11892" s="40" t="s">
        <v>11404</v>
      </c>
      <c r="H11892" s="40" t="s">
        <v>11404</v>
      </c>
    </row>
    <row r="11893">
      <c r="A11893" s="39"/>
      <c r="E11893" s="40" t="s">
        <v>11404</v>
      </c>
      <c r="F11893" s="40" t="s">
        <v>11404</v>
      </c>
      <c r="G11893" s="40" t="s">
        <v>11404</v>
      </c>
      <c r="H11893" s="40" t="s">
        <v>11404</v>
      </c>
    </row>
    <row r="11894">
      <c r="A11894" s="39"/>
      <c r="E11894" s="40" t="s">
        <v>11404</v>
      </c>
      <c r="F11894" s="40" t="s">
        <v>11404</v>
      </c>
      <c r="G11894" s="40" t="s">
        <v>11404</v>
      </c>
      <c r="H11894" s="40" t="s">
        <v>11404</v>
      </c>
    </row>
    <row r="11895">
      <c r="A11895" s="39"/>
      <c r="E11895" s="40" t="s">
        <v>11404</v>
      </c>
      <c r="F11895" s="40" t="s">
        <v>11404</v>
      </c>
      <c r="G11895" s="40" t="s">
        <v>11404</v>
      </c>
      <c r="H11895" s="40" t="s">
        <v>11404</v>
      </c>
    </row>
    <row r="11896">
      <c r="A11896" s="39"/>
      <c r="E11896" s="40" t="s">
        <v>11404</v>
      </c>
      <c r="F11896" s="40" t="s">
        <v>11404</v>
      </c>
      <c r="G11896" s="40" t="s">
        <v>11404</v>
      </c>
      <c r="H11896" s="40" t="s">
        <v>11404</v>
      </c>
    </row>
    <row r="11897">
      <c r="A11897" s="39"/>
      <c r="E11897" s="40" t="s">
        <v>11404</v>
      </c>
      <c r="F11897" s="40" t="s">
        <v>11404</v>
      </c>
      <c r="G11897" s="40" t="s">
        <v>11404</v>
      </c>
      <c r="H11897" s="40" t="s">
        <v>11404</v>
      </c>
    </row>
    <row r="11898">
      <c r="A11898" s="39"/>
      <c r="E11898" s="40" t="s">
        <v>11404</v>
      </c>
      <c r="F11898" s="40" t="s">
        <v>11404</v>
      </c>
      <c r="G11898" s="40" t="s">
        <v>11404</v>
      </c>
      <c r="H11898" s="40" t="s">
        <v>11404</v>
      </c>
    </row>
    <row r="11899">
      <c r="A11899" s="39"/>
      <c r="E11899" s="40" t="s">
        <v>11404</v>
      </c>
      <c r="F11899" s="40" t="s">
        <v>11404</v>
      </c>
      <c r="G11899" s="40" t="s">
        <v>11404</v>
      </c>
      <c r="H11899" s="40" t="s">
        <v>11404</v>
      </c>
    </row>
    <row r="11900">
      <c r="A11900" s="39"/>
      <c r="E11900" s="40" t="s">
        <v>11404</v>
      </c>
      <c r="F11900" s="40" t="s">
        <v>11404</v>
      </c>
      <c r="G11900" s="40" t="s">
        <v>11404</v>
      </c>
      <c r="H11900" s="40" t="s">
        <v>11404</v>
      </c>
    </row>
    <row r="11901">
      <c r="A11901" s="39"/>
      <c r="E11901" s="40" t="s">
        <v>11404</v>
      </c>
      <c r="F11901" s="40" t="s">
        <v>11404</v>
      </c>
      <c r="G11901" s="40" t="s">
        <v>11404</v>
      </c>
      <c r="H11901" s="40" t="s">
        <v>11404</v>
      </c>
    </row>
    <row r="11902">
      <c r="A11902" s="39"/>
      <c r="E11902" s="40" t="s">
        <v>11404</v>
      </c>
      <c r="F11902" s="40" t="s">
        <v>11404</v>
      </c>
      <c r="G11902" s="40" t="s">
        <v>11404</v>
      </c>
      <c r="H11902" s="40" t="s">
        <v>11404</v>
      </c>
    </row>
    <row r="11903">
      <c r="A11903" s="39"/>
      <c r="E11903" s="40" t="s">
        <v>11404</v>
      </c>
      <c r="F11903" s="40" t="s">
        <v>11404</v>
      </c>
      <c r="G11903" s="40" t="s">
        <v>11404</v>
      </c>
      <c r="H11903" s="40" t="s">
        <v>11404</v>
      </c>
    </row>
    <row r="11904">
      <c r="A11904" s="39"/>
      <c r="E11904" s="40" t="s">
        <v>11404</v>
      </c>
      <c r="F11904" s="40" t="s">
        <v>11404</v>
      </c>
      <c r="G11904" s="40" t="s">
        <v>11404</v>
      </c>
      <c r="H11904" s="40" t="s">
        <v>11404</v>
      </c>
    </row>
    <row r="11905">
      <c r="A11905" s="39"/>
      <c r="E11905" s="40" t="s">
        <v>11404</v>
      </c>
      <c r="F11905" s="40" t="s">
        <v>11404</v>
      </c>
      <c r="G11905" s="40" t="s">
        <v>11404</v>
      </c>
      <c r="H11905" s="40" t="s">
        <v>11404</v>
      </c>
    </row>
    <row r="11906">
      <c r="A11906" s="39"/>
      <c r="E11906" s="40" t="s">
        <v>11404</v>
      </c>
      <c r="F11906" s="40" t="s">
        <v>11404</v>
      </c>
      <c r="G11906" s="40" t="s">
        <v>11404</v>
      </c>
      <c r="H11906" s="40" t="s">
        <v>11404</v>
      </c>
    </row>
    <row r="11907">
      <c r="A11907" s="39"/>
      <c r="E11907" s="40" t="s">
        <v>11404</v>
      </c>
      <c r="F11907" s="40" t="s">
        <v>11404</v>
      </c>
      <c r="G11907" s="40" t="s">
        <v>11404</v>
      </c>
      <c r="H11907" s="40" t="s">
        <v>11404</v>
      </c>
    </row>
    <row r="11908">
      <c r="A11908" s="39"/>
      <c r="E11908" s="40" t="s">
        <v>11404</v>
      </c>
      <c r="F11908" s="40" t="s">
        <v>11404</v>
      </c>
      <c r="G11908" s="40" t="s">
        <v>11404</v>
      </c>
      <c r="H11908" s="40" t="s">
        <v>11404</v>
      </c>
    </row>
    <row r="11909">
      <c r="A11909" s="39"/>
      <c r="E11909" s="40" t="s">
        <v>11404</v>
      </c>
      <c r="F11909" s="40" t="s">
        <v>11404</v>
      </c>
      <c r="G11909" s="40" t="s">
        <v>11404</v>
      </c>
      <c r="H11909" s="40" t="s">
        <v>11404</v>
      </c>
    </row>
    <row r="11910">
      <c r="A11910" s="39"/>
      <c r="E11910" s="40" t="s">
        <v>11404</v>
      </c>
      <c r="F11910" s="40" t="s">
        <v>11404</v>
      </c>
      <c r="G11910" s="40" t="s">
        <v>11404</v>
      </c>
      <c r="H11910" s="40" t="s">
        <v>11404</v>
      </c>
    </row>
    <row r="11911">
      <c r="A11911" s="39"/>
      <c r="E11911" s="40" t="s">
        <v>11404</v>
      </c>
      <c r="F11911" s="40" t="s">
        <v>11404</v>
      </c>
      <c r="G11911" s="40" t="s">
        <v>11404</v>
      </c>
      <c r="H11911" s="40" t="s">
        <v>11404</v>
      </c>
    </row>
    <row r="11912">
      <c r="A11912" s="39"/>
      <c r="E11912" s="40" t="s">
        <v>11404</v>
      </c>
      <c r="F11912" s="40" t="s">
        <v>11404</v>
      </c>
      <c r="G11912" s="40" t="s">
        <v>11404</v>
      </c>
      <c r="H11912" s="40" t="s">
        <v>11404</v>
      </c>
    </row>
    <row r="11913">
      <c r="A11913" s="39"/>
      <c r="E11913" s="40" t="s">
        <v>11404</v>
      </c>
      <c r="F11913" s="40" t="s">
        <v>11404</v>
      </c>
      <c r="G11913" s="40" t="s">
        <v>11404</v>
      </c>
      <c r="H11913" s="40" t="s">
        <v>11404</v>
      </c>
    </row>
    <row r="11914">
      <c r="A11914" s="39"/>
      <c r="E11914" s="40" t="s">
        <v>11404</v>
      </c>
      <c r="F11914" s="40" t="s">
        <v>11404</v>
      </c>
      <c r="G11914" s="40" t="s">
        <v>11404</v>
      </c>
      <c r="H11914" s="40" t="s">
        <v>11404</v>
      </c>
    </row>
    <row r="11915">
      <c r="A11915" s="39"/>
      <c r="E11915" s="40" t="s">
        <v>11404</v>
      </c>
      <c r="F11915" s="40" t="s">
        <v>11404</v>
      </c>
      <c r="G11915" s="40" t="s">
        <v>11404</v>
      </c>
      <c r="H11915" s="40" t="s">
        <v>11404</v>
      </c>
    </row>
    <row r="11916">
      <c r="A11916" s="39"/>
      <c r="E11916" s="40" t="s">
        <v>11404</v>
      </c>
      <c r="F11916" s="40" t="s">
        <v>11404</v>
      </c>
      <c r="G11916" s="40" t="s">
        <v>11404</v>
      </c>
      <c r="H11916" s="40" t="s">
        <v>11404</v>
      </c>
    </row>
    <row r="11917">
      <c r="A11917" s="39"/>
      <c r="E11917" s="40" t="s">
        <v>11404</v>
      </c>
      <c r="F11917" s="40" t="s">
        <v>11404</v>
      </c>
      <c r="G11917" s="40" t="s">
        <v>11404</v>
      </c>
      <c r="H11917" s="40" t="s">
        <v>11404</v>
      </c>
    </row>
    <row r="11918">
      <c r="A11918" s="39"/>
      <c r="E11918" s="40" t="s">
        <v>11404</v>
      </c>
      <c r="F11918" s="40" t="s">
        <v>11404</v>
      </c>
      <c r="G11918" s="40" t="s">
        <v>11404</v>
      </c>
      <c r="H11918" s="40" t="s">
        <v>11404</v>
      </c>
    </row>
    <row r="11919">
      <c r="A11919" s="39"/>
      <c r="E11919" s="40" t="s">
        <v>11404</v>
      </c>
      <c r="F11919" s="40" t="s">
        <v>11404</v>
      </c>
      <c r="G11919" s="40" t="s">
        <v>11404</v>
      </c>
      <c r="H11919" s="40" t="s">
        <v>11404</v>
      </c>
    </row>
    <row r="11920">
      <c r="A11920" s="39"/>
      <c r="E11920" s="40" t="s">
        <v>11404</v>
      </c>
      <c r="F11920" s="40" t="s">
        <v>11404</v>
      </c>
      <c r="G11920" s="40" t="s">
        <v>11404</v>
      </c>
      <c r="H11920" s="40" t="s">
        <v>11404</v>
      </c>
    </row>
    <row r="11921">
      <c r="A11921" s="39"/>
      <c r="E11921" s="40" t="s">
        <v>11404</v>
      </c>
      <c r="F11921" s="40" t="s">
        <v>11404</v>
      </c>
      <c r="G11921" s="40" t="s">
        <v>11404</v>
      </c>
      <c r="H11921" s="40" t="s">
        <v>11404</v>
      </c>
    </row>
    <row r="11922">
      <c r="A11922" s="39"/>
      <c r="E11922" s="40" t="s">
        <v>11404</v>
      </c>
      <c r="F11922" s="40" t="s">
        <v>11404</v>
      </c>
      <c r="G11922" s="40" t="s">
        <v>11404</v>
      </c>
      <c r="H11922" s="40" t="s">
        <v>11404</v>
      </c>
    </row>
    <row r="11923">
      <c r="A11923" s="39"/>
      <c r="E11923" s="40" t="s">
        <v>11404</v>
      </c>
      <c r="F11923" s="40" t="s">
        <v>11404</v>
      </c>
      <c r="G11923" s="40" t="s">
        <v>11404</v>
      </c>
      <c r="H11923" s="40" t="s">
        <v>11404</v>
      </c>
    </row>
    <row r="11924">
      <c r="A11924" s="39"/>
      <c r="E11924" s="40" t="s">
        <v>11404</v>
      </c>
      <c r="F11924" s="40" t="s">
        <v>11404</v>
      </c>
      <c r="G11924" s="40" t="s">
        <v>11404</v>
      </c>
      <c r="H11924" s="40" t="s">
        <v>11404</v>
      </c>
    </row>
    <row r="11925">
      <c r="A11925" s="39"/>
      <c r="E11925" s="40" t="s">
        <v>11404</v>
      </c>
      <c r="F11925" s="40" t="s">
        <v>11404</v>
      </c>
      <c r="G11925" s="40" t="s">
        <v>11404</v>
      </c>
      <c r="H11925" s="40" t="s">
        <v>11404</v>
      </c>
    </row>
    <row r="11926">
      <c r="A11926" s="39"/>
      <c r="E11926" s="40" t="s">
        <v>11404</v>
      </c>
      <c r="F11926" s="40" t="s">
        <v>11404</v>
      </c>
      <c r="G11926" s="40" t="s">
        <v>11404</v>
      </c>
      <c r="H11926" s="40" t="s">
        <v>11404</v>
      </c>
    </row>
    <row r="11927">
      <c r="A11927" s="39"/>
      <c r="E11927" s="40" t="s">
        <v>11404</v>
      </c>
      <c r="F11927" s="40" t="s">
        <v>11404</v>
      </c>
      <c r="G11927" s="40" t="s">
        <v>11404</v>
      </c>
      <c r="H11927" s="40" t="s">
        <v>11404</v>
      </c>
    </row>
    <row r="11928">
      <c r="A11928" s="39"/>
      <c r="E11928" s="40" t="s">
        <v>11404</v>
      </c>
      <c r="F11928" s="40" t="s">
        <v>11404</v>
      </c>
      <c r="G11928" s="40" t="s">
        <v>11404</v>
      </c>
      <c r="H11928" s="40" t="s">
        <v>11404</v>
      </c>
    </row>
    <row r="11929">
      <c r="A11929" s="39"/>
      <c r="E11929" s="40" t="s">
        <v>11404</v>
      </c>
      <c r="F11929" s="40" t="s">
        <v>11404</v>
      </c>
      <c r="G11929" s="40" t="s">
        <v>11404</v>
      </c>
      <c r="H11929" s="40" t="s">
        <v>11404</v>
      </c>
    </row>
    <row r="11930">
      <c r="A11930" s="39"/>
      <c r="E11930" s="40" t="s">
        <v>11404</v>
      </c>
      <c r="F11930" s="40" t="s">
        <v>11404</v>
      </c>
      <c r="G11930" s="40" t="s">
        <v>11404</v>
      </c>
      <c r="H11930" s="40" t="s">
        <v>11404</v>
      </c>
    </row>
    <row r="11931">
      <c r="A11931" s="39"/>
      <c r="E11931" s="40" t="s">
        <v>11404</v>
      </c>
      <c r="F11931" s="40" t="s">
        <v>11404</v>
      </c>
      <c r="G11931" s="40" t="s">
        <v>11404</v>
      </c>
      <c r="H11931" s="40" t="s">
        <v>11404</v>
      </c>
    </row>
    <row r="11932">
      <c r="A11932" s="39"/>
      <c r="E11932" s="40" t="s">
        <v>11404</v>
      </c>
      <c r="F11932" s="40" t="s">
        <v>11404</v>
      </c>
      <c r="G11932" s="40" t="s">
        <v>11404</v>
      </c>
      <c r="H11932" s="40" t="s">
        <v>11404</v>
      </c>
    </row>
    <row r="11933">
      <c r="A11933" s="39"/>
      <c r="E11933" s="40" t="s">
        <v>11404</v>
      </c>
      <c r="F11933" s="40" t="s">
        <v>11404</v>
      </c>
      <c r="G11933" s="40" t="s">
        <v>11404</v>
      </c>
      <c r="H11933" s="40" t="s">
        <v>11404</v>
      </c>
    </row>
    <row r="11934">
      <c r="A11934" s="39"/>
      <c r="E11934" s="40" t="s">
        <v>11404</v>
      </c>
      <c r="F11934" s="40" t="s">
        <v>11404</v>
      </c>
      <c r="G11934" s="40" t="s">
        <v>11404</v>
      </c>
      <c r="H11934" s="40" t="s">
        <v>11404</v>
      </c>
    </row>
    <row r="11935">
      <c r="A11935" s="39"/>
      <c r="E11935" s="40" t="s">
        <v>11404</v>
      </c>
      <c r="F11935" s="40" t="s">
        <v>11404</v>
      </c>
      <c r="G11935" s="40" t="s">
        <v>11404</v>
      </c>
      <c r="H11935" s="40" t="s">
        <v>11404</v>
      </c>
    </row>
    <row r="11936">
      <c r="A11936" s="39"/>
      <c r="E11936" s="40" t="s">
        <v>11404</v>
      </c>
      <c r="F11936" s="40" t="s">
        <v>11404</v>
      </c>
      <c r="G11936" s="40" t="s">
        <v>11404</v>
      </c>
      <c r="H11936" s="40" t="s">
        <v>11404</v>
      </c>
    </row>
    <row r="11937">
      <c r="A11937" s="39"/>
      <c r="E11937" s="40" t="s">
        <v>11404</v>
      </c>
      <c r="F11937" s="40" t="s">
        <v>11404</v>
      </c>
      <c r="G11937" s="40" t="s">
        <v>11404</v>
      </c>
      <c r="H11937" s="40" t="s">
        <v>11404</v>
      </c>
    </row>
    <row r="11938">
      <c r="A11938" s="39"/>
      <c r="E11938" s="40" t="s">
        <v>11404</v>
      </c>
      <c r="F11938" s="40" t="s">
        <v>11404</v>
      </c>
      <c r="G11938" s="40" t="s">
        <v>11404</v>
      </c>
      <c r="H11938" s="40" t="s">
        <v>11404</v>
      </c>
    </row>
    <row r="11939">
      <c r="A11939" s="39"/>
      <c r="E11939" s="40" t="s">
        <v>11404</v>
      </c>
      <c r="F11939" s="40" t="s">
        <v>11404</v>
      </c>
      <c r="G11939" s="40" t="s">
        <v>11404</v>
      </c>
      <c r="H11939" s="40" t="s">
        <v>11404</v>
      </c>
    </row>
    <row r="11940">
      <c r="A11940" s="39"/>
      <c r="E11940" s="40" t="s">
        <v>11404</v>
      </c>
      <c r="F11940" s="40" t="s">
        <v>11404</v>
      </c>
      <c r="G11940" s="40" t="s">
        <v>11404</v>
      </c>
      <c r="H11940" s="40" t="s">
        <v>11404</v>
      </c>
    </row>
    <row r="11941">
      <c r="A11941" s="39"/>
      <c r="E11941" s="40" t="s">
        <v>11404</v>
      </c>
      <c r="F11941" s="40" t="s">
        <v>11404</v>
      </c>
      <c r="G11941" s="40" t="s">
        <v>11404</v>
      </c>
      <c r="H11941" s="40" t="s">
        <v>11404</v>
      </c>
    </row>
    <row r="11942">
      <c r="A11942" s="39"/>
      <c r="E11942" s="40" t="s">
        <v>11404</v>
      </c>
      <c r="F11942" s="40" t="s">
        <v>11404</v>
      </c>
      <c r="G11942" s="40" t="s">
        <v>11404</v>
      </c>
      <c r="H11942" s="40" t="s">
        <v>11404</v>
      </c>
    </row>
    <row r="11943">
      <c r="A11943" s="39"/>
      <c r="E11943" s="40" t="s">
        <v>11404</v>
      </c>
      <c r="F11943" s="40" t="s">
        <v>11404</v>
      </c>
      <c r="G11943" s="40" t="s">
        <v>11404</v>
      </c>
      <c r="H11943" s="40" t="s">
        <v>11404</v>
      </c>
    </row>
    <row r="11944">
      <c r="A11944" s="39"/>
      <c r="E11944" s="40" t="s">
        <v>11404</v>
      </c>
      <c r="F11944" s="40" t="s">
        <v>11404</v>
      </c>
      <c r="G11944" s="40" t="s">
        <v>11404</v>
      </c>
      <c r="H11944" s="40" t="s">
        <v>11404</v>
      </c>
    </row>
    <row r="11945">
      <c r="A11945" s="39"/>
      <c r="E11945" s="40" t="s">
        <v>11404</v>
      </c>
      <c r="F11945" s="40" t="s">
        <v>11404</v>
      </c>
      <c r="G11945" s="40" t="s">
        <v>11404</v>
      </c>
      <c r="H11945" s="40" t="s">
        <v>11404</v>
      </c>
    </row>
    <row r="11946">
      <c r="A11946" s="39"/>
      <c r="E11946" s="40" t="s">
        <v>11404</v>
      </c>
      <c r="F11946" s="40" t="s">
        <v>11404</v>
      </c>
      <c r="G11946" s="40" t="s">
        <v>11404</v>
      </c>
      <c r="H11946" s="40" t="s">
        <v>11404</v>
      </c>
    </row>
    <row r="11947">
      <c r="A11947" s="39"/>
      <c r="E11947" s="40" t="s">
        <v>11404</v>
      </c>
      <c r="F11947" s="40" t="s">
        <v>11404</v>
      </c>
      <c r="G11947" s="40" t="s">
        <v>11404</v>
      </c>
      <c r="H11947" s="40" t="s">
        <v>11404</v>
      </c>
    </row>
    <row r="11948">
      <c r="A11948" s="39"/>
      <c r="E11948" s="40" t="s">
        <v>11404</v>
      </c>
      <c r="F11948" s="40" t="s">
        <v>11404</v>
      </c>
      <c r="G11948" s="40" t="s">
        <v>11404</v>
      </c>
      <c r="H11948" s="40" t="s">
        <v>11404</v>
      </c>
    </row>
    <row r="11949">
      <c r="A11949" s="39"/>
      <c r="E11949" s="40" t="s">
        <v>11404</v>
      </c>
      <c r="F11949" s="40" t="s">
        <v>11404</v>
      </c>
      <c r="G11949" s="40" t="s">
        <v>11404</v>
      </c>
      <c r="H11949" s="40" t="s">
        <v>11404</v>
      </c>
    </row>
    <row r="11950">
      <c r="A11950" s="39"/>
      <c r="E11950" s="40" t="s">
        <v>11404</v>
      </c>
      <c r="F11950" s="40" t="s">
        <v>11404</v>
      </c>
      <c r="G11950" s="40" t="s">
        <v>11404</v>
      </c>
      <c r="H11950" s="40" t="s">
        <v>11404</v>
      </c>
    </row>
    <row r="11951">
      <c r="A11951" s="39"/>
      <c r="E11951" s="40" t="s">
        <v>11404</v>
      </c>
      <c r="F11951" s="40" t="s">
        <v>11404</v>
      </c>
      <c r="G11951" s="40" t="s">
        <v>11404</v>
      </c>
      <c r="H11951" s="40" t="s">
        <v>11404</v>
      </c>
    </row>
    <row r="11952">
      <c r="A11952" s="39"/>
      <c r="E11952" s="40" t="s">
        <v>11404</v>
      </c>
      <c r="F11952" s="40" t="s">
        <v>11404</v>
      </c>
      <c r="G11952" s="40" t="s">
        <v>11404</v>
      </c>
      <c r="H11952" s="40" t="s">
        <v>11404</v>
      </c>
    </row>
    <row r="11953">
      <c r="A11953" s="39"/>
      <c r="E11953" s="40" t="s">
        <v>11404</v>
      </c>
      <c r="F11953" s="40" t="s">
        <v>11404</v>
      </c>
      <c r="G11953" s="40" t="s">
        <v>11404</v>
      </c>
      <c r="H11953" s="40" t="s">
        <v>11404</v>
      </c>
    </row>
    <row r="11954">
      <c r="A11954" s="39"/>
      <c r="E11954" s="40" t="s">
        <v>11404</v>
      </c>
      <c r="F11954" s="40" t="s">
        <v>11404</v>
      </c>
      <c r="G11954" s="40" t="s">
        <v>11404</v>
      </c>
      <c r="H11954" s="40" t="s">
        <v>11404</v>
      </c>
    </row>
    <row r="11955">
      <c r="A11955" s="39"/>
      <c r="E11955" s="40" t="s">
        <v>11404</v>
      </c>
      <c r="F11955" s="40" t="s">
        <v>11404</v>
      </c>
      <c r="G11955" s="40" t="s">
        <v>11404</v>
      </c>
      <c r="H11955" s="40" t="s">
        <v>11404</v>
      </c>
    </row>
    <row r="11956">
      <c r="A11956" s="39"/>
      <c r="E11956" s="40" t="s">
        <v>11404</v>
      </c>
      <c r="F11956" s="40" t="s">
        <v>11404</v>
      </c>
      <c r="G11956" s="40" t="s">
        <v>11404</v>
      </c>
      <c r="H11956" s="40" t="s">
        <v>11404</v>
      </c>
    </row>
    <row r="11957">
      <c r="A11957" s="39"/>
      <c r="E11957" s="40" t="s">
        <v>11404</v>
      </c>
      <c r="F11957" s="40" t="s">
        <v>11404</v>
      </c>
      <c r="G11957" s="40" t="s">
        <v>11404</v>
      </c>
      <c r="H11957" s="40" t="s">
        <v>11404</v>
      </c>
    </row>
    <row r="11958">
      <c r="A11958" s="39"/>
      <c r="E11958" s="40" t="s">
        <v>11404</v>
      </c>
      <c r="F11958" s="40" t="s">
        <v>11404</v>
      </c>
      <c r="G11958" s="40" t="s">
        <v>11404</v>
      </c>
      <c r="H11958" s="40" t="s">
        <v>11404</v>
      </c>
    </row>
    <row r="11959">
      <c r="A11959" s="39"/>
      <c r="E11959" s="40" t="s">
        <v>11404</v>
      </c>
      <c r="F11959" s="40" t="s">
        <v>11404</v>
      </c>
      <c r="G11959" s="40" t="s">
        <v>11404</v>
      </c>
      <c r="H11959" s="40" t="s">
        <v>11404</v>
      </c>
    </row>
    <row r="11960">
      <c r="A11960" s="39"/>
      <c r="E11960" s="40" t="s">
        <v>11404</v>
      </c>
      <c r="F11960" s="40" t="s">
        <v>11404</v>
      </c>
      <c r="G11960" s="40" t="s">
        <v>11404</v>
      </c>
      <c r="H11960" s="40" t="s">
        <v>11404</v>
      </c>
    </row>
    <row r="11961">
      <c r="A11961" s="39"/>
      <c r="E11961" s="40" t="s">
        <v>11404</v>
      </c>
      <c r="F11961" s="40" t="s">
        <v>11404</v>
      </c>
      <c r="G11961" s="40" t="s">
        <v>11404</v>
      </c>
      <c r="H11961" s="40" t="s">
        <v>11404</v>
      </c>
    </row>
    <row r="11962">
      <c r="A11962" s="39"/>
      <c r="E11962" s="40" t="s">
        <v>11404</v>
      </c>
      <c r="F11962" s="40" t="s">
        <v>11404</v>
      </c>
      <c r="G11962" s="40" t="s">
        <v>11404</v>
      </c>
      <c r="H11962" s="40" t="s">
        <v>11404</v>
      </c>
    </row>
    <row r="11963">
      <c r="A11963" s="39"/>
      <c r="E11963" s="40" t="s">
        <v>11404</v>
      </c>
      <c r="F11963" s="40" t="s">
        <v>11404</v>
      </c>
      <c r="G11963" s="40" t="s">
        <v>11404</v>
      </c>
      <c r="H11963" s="40" t="s">
        <v>11404</v>
      </c>
    </row>
    <row r="11964">
      <c r="A11964" s="39"/>
      <c r="E11964" s="40" t="s">
        <v>11404</v>
      </c>
      <c r="F11964" s="40" t="s">
        <v>11404</v>
      </c>
      <c r="G11964" s="40" t="s">
        <v>11404</v>
      </c>
      <c r="H11964" s="40" t="s">
        <v>11404</v>
      </c>
    </row>
    <row r="11965">
      <c r="A11965" s="39"/>
      <c r="E11965" s="40" t="s">
        <v>11404</v>
      </c>
      <c r="F11965" s="40" t="s">
        <v>11404</v>
      </c>
      <c r="G11965" s="40" t="s">
        <v>11404</v>
      </c>
      <c r="H11965" s="40" t="s">
        <v>11404</v>
      </c>
    </row>
    <row r="11966">
      <c r="A11966" s="39"/>
      <c r="E11966" s="40" t="s">
        <v>11404</v>
      </c>
      <c r="F11966" s="40" t="s">
        <v>11404</v>
      </c>
      <c r="G11966" s="40" t="s">
        <v>11404</v>
      </c>
      <c r="H11966" s="40" t="s">
        <v>11404</v>
      </c>
    </row>
    <row r="11967">
      <c r="A11967" s="39"/>
      <c r="E11967" s="40" t="s">
        <v>11404</v>
      </c>
      <c r="F11967" s="40" t="s">
        <v>11404</v>
      </c>
      <c r="G11967" s="40" t="s">
        <v>11404</v>
      </c>
      <c r="H11967" s="40" t="s">
        <v>11404</v>
      </c>
    </row>
    <row r="11968">
      <c r="A11968" s="39"/>
      <c r="E11968" s="40" t="s">
        <v>11404</v>
      </c>
      <c r="F11968" s="40" t="s">
        <v>11404</v>
      </c>
      <c r="G11968" s="40" t="s">
        <v>11404</v>
      </c>
      <c r="H11968" s="40" t="s">
        <v>11404</v>
      </c>
    </row>
    <row r="11969">
      <c r="A11969" s="39"/>
      <c r="E11969" s="40" t="s">
        <v>11404</v>
      </c>
      <c r="F11969" s="40" t="s">
        <v>11404</v>
      </c>
      <c r="G11969" s="40" t="s">
        <v>11404</v>
      </c>
      <c r="H11969" s="40" t="s">
        <v>11404</v>
      </c>
    </row>
    <row r="11970">
      <c r="A11970" s="39"/>
      <c r="E11970" s="40" t="s">
        <v>11404</v>
      </c>
      <c r="F11970" s="40" t="s">
        <v>11404</v>
      </c>
      <c r="G11970" s="40" t="s">
        <v>11404</v>
      </c>
      <c r="H11970" s="40" t="s">
        <v>11404</v>
      </c>
    </row>
    <row r="11971">
      <c r="A11971" s="39"/>
      <c r="E11971" s="40" t="s">
        <v>11404</v>
      </c>
      <c r="F11971" s="40" t="s">
        <v>11404</v>
      </c>
      <c r="G11971" s="40" t="s">
        <v>11404</v>
      </c>
      <c r="H11971" s="40" t="s">
        <v>11404</v>
      </c>
    </row>
    <row r="11972">
      <c r="A11972" s="39"/>
      <c r="E11972" s="40" t="s">
        <v>11404</v>
      </c>
      <c r="F11972" s="40" t="s">
        <v>11404</v>
      </c>
      <c r="G11972" s="40" t="s">
        <v>11404</v>
      </c>
      <c r="H11972" s="40" t="s">
        <v>11404</v>
      </c>
    </row>
    <row r="11973">
      <c r="A11973" s="39"/>
      <c r="E11973" s="40" t="s">
        <v>11404</v>
      </c>
      <c r="F11973" s="40" t="s">
        <v>11404</v>
      </c>
      <c r="G11973" s="40" t="s">
        <v>11404</v>
      </c>
      <c r="H11973" s="40" t="s">
        <v>11404</v>
      </c>
    </row>
    <row r="11974">
      <c r="A11974" s="39"/>
      <c r="E11974" s="40" t="s">
        <v>11404</v>
      </c>
      <c r="F11974" s="40" t="s">
        <v>11404</v>
      </c>
      <c r="G11974" s="40" t="s">
        <v>11404</v>
      </c>
      <c r="H11974" s="40" t="s">
        <v>11404</v>
      </c>
    </row>
    <row r="11975">
      <c r="A11975" s="39"/>
      <c r="E11975" s="40" t="s">
        <v>11404</v>
      </c>
      <c r="F11975" s="40" t="s">
        <v>11404</v>
      </c>
      <c r="G11975" s="40" t="s">
        <v>11404</v>
      </c>
      <c r="H11975" s="40" t="s">
        <v>11404</v>
      </c>
    </row>
    <row r="11976">
      <c r="A11976" s="39"/>
      <c r="E11976" s="40" t="s">
        <v>11404</v>
      </c>
      <c r="F11976" s="40" t="s">
        <v>11404</v>
      </c>
      <c r="G11976" s="40" t="s">
        <v>11404</v>
      </c>
      <c r="H11976" s="40" t="s">
        <v>11404</v>
      </c>
    </row>
    <row r="11977">
      <c r="A11977" s="39"/>
      <c r="E11977" s="40" t="s">
        <v>11404</v>
      </c>
      <c r="F11977" s="40" t="s">
        <v>11404</v>
      </c>
      <c r="G11977" s="40" t="s">
        <v>11404</v>
      </c>
      <c r="H11977" s="40" t="s">
        <v>11404</v>
      </c>
    </row>
    <row r="11978">
      <c r="A11978" s="39"/>
      <c r="E11978" s="40" t="s">
        <v>11404</v>
      </c>
      <c r="F11978" s="40" t="s">
        <v>11404</v>
      </c>
      <c r="G11978" s="40" t="s">
        <v>11404</v>
      </c>
      <c r="H11978" s="40" t="s">
        <v>11404</v>
      </c>
    </row>
    <row r="11979">
      <c r="A11979" s="39"/>
      <c r="E11979" s="40" t="s">
        <v>11404</v>
      </c>
      <c r="F11979" s="40" t="s">
        <v>11404</v>
      </c>
      <c r="G11979" s="40" t="s">
        <v>11404</v>
      </c>
      <c r="H11979" s="40" t="s">
        <v>11404</v>
      </c>
    </row>
    <row r="11980">
      <c r="A11980" s="39"/>
      <c r="E11980" s="40" t="s">
        <v>11404</v>
      </c>
      <c r="F11980" s="40" t="s">
        <v>11404</v>
      </c>
      <c r="G11980" s="40" t="s">
        <v>11404</v>
      </c>
      <c r="H11980" s="40" t="s">
        <v>11404</v>
      </c>
    </row>
    <row r="11981">
      <c r="A11981" s="39"/>
      <c r="E11981" s="40" t="s">
        <v>11404</v>
      </c>
      <c r="F11981" s="40" t="s">
        <v>11404</v>
      </c>
      <c r="G11981" s="40" t="s">
        <v>11404</v>
      </c>
      <c r="H11981" s="40" t="s">
        <v>11404</v>
      </c>
    </row>
    <row r="11982">
      <c r="A11982" s="39"/>
      <c r="E11982" s="40" t="s">
        <v>11404</v>
      </c>
      <c r="F11982" s="40" t="s">
        <v>11404</v>
      </c>
      <c r="G11982" s="40" t="s">
        <v>11404</v>
      </c>
      <c r="H11982" s="40" t="s">
        <v>11404</v>
      </c>
    </row>
    <row r="11983">
      <c r="A11983" s="39"/>
      <c r="E11983" s="40" t="s">
        <v>11404</v>
      </c>
      <c r="F11983" s="40" t="s">
        <v>11404</v>
      </c>
      <c r="G11983" s="40" t="s">
        <v>11404</v>
      </c>
      <c r="H11983" s="40" t="s">
        <v>11404</v>
      </c>
    </row>
    <row r="11984">
      <c r="A11984" s="39"/>
      <c r="E11984" s="40" t="s">
        <v>11404</v>
      </c>
      <c r="F11984" s="40" t="s">
        <v>11404</v>
      </c>
      <c r="G11984" s="40" t="s">
        <v>11404</v>
      </c>
      <c r="H11984" s="40" t="s">
        <v>11404</v>
      </c>
    </row>
    <row r="11985">
      <c r="A11985" s="39"/>
      <c r="E11985" s="40" t="s">
        <v>11404</v>
      </c>
      <c r="F11985" s="40" t="s">
        <v>11404</v>
      </c>
      <c r="G11985" s="40" t="s">
        <v>11404</v>
      </c>
      <c r="H11985" s="40" t="s">
        <v>11404</v>
      </c>
    </row>
    <row r="11986">
      <c r="A11986" s="39"/>
      <c r="E11986" s="40" t="s">
        <v>11404</v>
      </c>
      <c r="F11986" s="40" t="s">
        <v>11404</v>
      </c>
      <c r="G11986" s="40" t="s">
        <v>11404</v>
      </c>
      <c r="H11986" s="40" t="s">
        <v>11404</v>
      </c>
    </row>
    <row r="11987">
      <c r="A11987" s="39"/>
      <c r="E11987" s="40" t="s">
        <v>11404</v>
      </c>
      <c r="F11987" s="40" t="s">
        <v>11404</v>
      </c>
      <c r="G11987" s="40" t="s">
        <v>11404</v>
      </c>
      <c r="H11987" s="40" t="s">
        <v>11404</v>
      </c>
    </row>
    <row r="11988">
      <c r="A11988" s="39"/>
      <c r="E11988" s="40" t="s">
        <v>11404</v>
      </c>
      <c r="F11988" s="40" t="s">
        <v>11404</v>
      </c>
      <c r="G11988" s="40" t="s">
        <v>11404</v>
      </c>
      <c r="H11988" s="40" t="s">
        <v>11404</v>
      </c>
    </row>
    <row r="11989">
      <c r="A11989" s="39"/>
      <c r="E11989" s="40" t="s">
        <v>11404</v>
      </c>
      <c r="F11989" s="40" t="s">
        <v>11404</v>
      </c>
      <c r="G11989" s="40" t="s">
        <v>11404</v>
      </c>
      <c r="H11989" s="40" t="s">
        <v>11404</v>
      </c>
    </row>
    <row r="11990">
      <c r="A11990" s="39"/>
      <c r="E11990" s="40" t="s">
        <v>11404</v>
      </c>
      <c r="F11990" s="40" t="s">
        <v>11404</v>
      </c>
      <c r="G11990" s="40" t="s">
        <v>11404</v>
      </c>
      <c r="H11990" s="40" t="s">
        <v>11404</v>
      </c>
    </row>
    <row r="11991">
      <c r="A11991" s="39"/>
      <c r="E11991" s="40" t="s">
        <v>11404</v>
      </c>
      <c r="F11991" s="40" t="s">
        <v>11404</v>
      </c>
      <c r="G11991" s="40" t="s">
        <v>11404</v>
      </c>
      <c r="H11991" s="40" t="s">
        <v>11404</v>
      </c>
    </row>
    <row r="11992">
      <c r="A11992" s="39"/>
      <c r="E11992" s="40" t="s">
        <v>11404</v>
      </c>
      <c r="F11992" s="40" t="s">
        <v>11404</v>
      </c>
      <c r="G11992" s="40" t="s">
        <v>11404</v>
      </c>
      <c r="H11992" s="40" t="s">
        <v>11404</v>
      </c>
    </row>
    <row r="11993">
      <c r="A11993" s="39"/>
      <c r="E11993" s="40" t="s">
        <v>11404</v>
      </c>
      <c r="F11993" s="40" t="s">
        <v>11404</v>
      </c>
      <c r="G11993" s="40" t="s">
        <v>11404</v>
      </c>
      <c r="H11993" s="40" t="s">
        <v>11404</v>
      </c>
    </row>
    <row r="11994">
      <c r="A11994" s="39"/>
      <c r="E11994" s="40" t="s">
        <v>11404</v>
      </c>
      <c r="F11994" s="40" t="s">
        <v>11404</v>
      </c>
      <c r="G11994" s="40" t="s">
        <v>11404</v>
      </c>
      <c r="H11994" s="40" t="s">
        <v>11404</v>
      </c>
    </row>
    <row r="11995">
      <c r="A11995" s="39"/>
      <c r="E11995" s="40" t="s">
        <v>11404</v>
      </c>
      <c r="F11995" s="40" t="s">
        <v>11404</v>
      </c>
      <c r="G11995" s="40" t="s">
        <v>11404</v>
      </c>
      <c r="H11995" s="40" t="s">
        <v>11404</v>
      </c>
    </row>
    <row r="11996">
      <c r="A11996" s="39"/>
      <c r="E11996" s="40" t="s">
        <v>11404</v>
      </c>
      <c r="F11996" s="40" t="s">
        <v>11404</v>
      </c>
      <c r="G11996" s="40" t="s">
        <v>11404</v>
      </c>
      <c r="H11996" s="40" t="s">
        <v>11404</v>
      </c>
    </row>
    <row r="11997">
      <c r="A11997" s="39"/>
      <c r="E11997" s="40" t="s">
        <v>11404</v>
      </c>
      <c r="F11997" s="40" t="s">
        <v>11404</v>
      </c>
      <c r="G11997" s="40" t="s">
        <v>11404</v>
      </c>
      <c r="H11997" s="40" t="s">
        <v>11404</v>
      </c>
    </row>
    <row r="11998">
      <c r="A11998" s="39"/>
      <c r="E11998" s="40" t="s">
        <v>11404</v>
      </c>
      <c r="F11998" s="40" t="s">
        <v>11404</v>
      </c>
      <c r="G11998" s="40" t="s">
        <v>11404</v>
      </c>
      <c r="H11998" s="40" t="s">
        <v>11404</v>
      </c>
    </row>
    <row r="11999">
      <c r="A11999" s="39"/>
      <c r="E11999" s="40" t="s">
        <v>11404</v>
      </c>
      <c r="F11999" s="40" t="s">
        <v>11404</v>
      </c>
      <c r="G11999" s="40" t="s">
        <v>11404</v>
      </c>
      <c r="H11999" s="40" t="s">
        <v>11404</v>
      </c>
    </row>
    <row r="12000">
      <c r="A12000" s="39"/>
      <c r="E12000" s="40" t="s">
        <v>11404</v>
      </c>
      <c r="F12000" s="40" t="s">
        <v>11404</v>
      </c>
      <c r="G12000" s="40" t="s">
        <v>11404</v>
      </c>
      <c r="H12000" s="40" t="s">
        <v>11404</v>
      </c>
    </row>
    <row r="12001">
      <c r="A12001" s="39"/>
      <c r="E12001" s="40" t="s">
        <v>11404</v>
      </c>
      <c r="F12001" s="40" t="s">
        <v>11404</v>
      </c>
      <c r="G12001" s="40" t="s">
        <v>11404</v>
      </c>
      <c r="H12001" s="40" t="s">
        <v>11404</v>
      </c>
    </row>
    <row r="12002">
      <c r="A12002" s="39"/>
      <c r="E12002" s="40" t="s">
        <v>11404</v>
      </c>
      <c r="F12002" s="40" t="s">
        <v>11404</v>
      </c>
      <c r="G12002" s="40" t="s">
        <v>11404</v>
      </c>
      <c r="H12002" s="40" t="s">
        <v>11404</v>
      </c>
    </row>
    <row r="12003">
      <c r="A12003" s="39"/>
      <c r="E12003" s="40" t="s">
        <v>11404</v>
      </c>
      <c r="F12003" s="40" t="s">
        <v>11404</v>
      </c>
      <c r="G12003" s="40" t="s">
        <v>11404</v>
      </c>
      <c r="H12003" s="40" t="s">
        <v>11404</v>
      </c>
    </row>
    <row r="12004">
      <c r="A12004" s="39"/>
      <c r="E12004" s="40" t="s">
        <v>11404</v>
      </c>
      <c r="F12004" s="40" t="s">
        <v>11404</v>
      </c>
      <c r="G12004" s="40" t="s">
        <v>11404</v>
      </c>
      <c r="H12004" s="40" t="s">
        <v>11404</v>
      </c>
    </row>
    <row r="12005">
      <c r="A12005" s="39"/>
      <c r="E12005" s="40" t="s">
        <v>11404</v>
      </c>
      <c r="F12005" s="40" t="s">
        <v>11404</v>
      </c>
      <c r="G12005" s="40" t="s">
        <v>11404</v>
      </c>
      <c r="H12005" s="40" t="s">
        <v>11404</v>
      </c>
    </row>
    <row r="12006">
      <c r="A12006" s="39"/>
      <c r="E12006" s="40" t="s">
        <v>11404</v>
      </c>
      <c r="F12006" s="40" t="s">
        <v>11404</v>
      </c>
      <c r="G12006" s="40" t="s">
        <v>11404</v>
      </c>
      <c r="H12006" s="40" t="s">
        <v>11404</v>
      </c>
    </row>
    <row r="12007">
      <c r="A12007" s="39"/>
      <c r="E12007" s="40" t="s">
        <v>11404</v>
      </c>
      <c r="F12007" s="40" t="s">
        <v>11404</v>
      </c>
      <c r="G12007" s="40" t="s">
        <v>11404</v>
      </c>
      <c r="H12007" s="40" t="s">
        <v>11404</v>
      </c>
    </row>
    <row r="12008">
      <c r="A12008" s="39"/>
      <c r="E12008" s="40" t="s">
        <v>11404</v>
      </c>
      <c r="F12008" s="40" t="s">
        <v>11404</v>
      </c>
      <c r="G12008" s="40" t="s">
        <v>11404</v>
      </c>
      <c r="H12008" s="40" t="s">
        <v>11404</v>
      </c>
    </row>
    <row r="12009">
      <c r="A12009" s="39"/>
      <c r="E12009" s="40" t="s">
        <v>11404</v>
      </c>
      <c r="F12009" s="40" t="s">
        <v>11404</v>
      </c>
      <c r="G12009" s="40" t="s">
        <v>11404</v>
      </c>
      <c r="H12009" s="40" t="s">
        <v>11404</v>
      </c>
    </row>
    <row r="12010">
      <c r="A12010" s="39"/>
      <c r="E12010" s="40" t="s">
        <v>11404</v>
      </c>
      <c r="F12010" s="40" t="s">
        <v>11404</v>
      </c>
      <c r="G12010" s="40" t="s">
        <v>11404</v>
      </c>
      <c r="H12010" s="40" t="s">
        <v>11404</v>
      </c>
    </row>
    <row r="12011">
      <c r="A12011" s="39"/>
      <c r="E12011" s="40" t="s">
        <v>11404</v>
      </c>
      <c r="F12011" s="40" t="s">
        <v>11404</v>
      </c>
      <c r="G12011" s="40" t="s">
        <v>11404</v>
      </c>
      <c r="H12011" s="40" t="s">
        <v>11404</v>
      </c>
    </row>
    <row r="12012">
      <c r="A12012" s="39"/>
      <c r="E12012" s="40" t="s">
        <v>11404</v>
      </c>
      <c r="F12012" s="40" t="s">
        <v>11404</v>
      </c>
      <c r="G12012" s="40" t="s">
        <v>11404</v>
      </c>
      <c r="H12012" s="40" t="s">
        <v>11404</v>
      </c>
    </row>
    <row r="12013">
      <c r="A12013" s="39"/>
      <c r="E12013" s="40" t="s">
        <v>11404</v>
      </c>
      <c r="F12013" s="40" t="s">
        <v>11404</v>
      </c>
      <c r="G12013" s="40" t="s">
        <v>11404</v>
      </c>
      <c r="H12013" s="40" t="s">
        <v>11404</v>
      </c>
    </row>
    <row r="12014">
      <c r="A12014" s="39"/>
      <c r="E12014" s="40" t="s">
        <v>11404</v>
      </c>
      <c r="F12014" s="40" t="s">
        <v>11404</v>
      </c>
      <c r="G12014" s="40" t="s">
        <v>11404</v>
      </c>
      <c r="H12014" s="40" t="s">
        <v>11404</v>
      </c>
    </row>
    <row r="12015">
      <c r="A12015" s="39"/>
      <c r="E12015" s="40" t="s">
        <v>11404</v>
      </c>
      <c r="F12015" s="40" t="s">
        <v>11404</v>
      </c>
      <c r="G12015" s="40" t="s">
        <v>11404</v>
      </c>
      <c r="H12015" s="40" t="s">
        <v>11404</v>
      </c>
    </row>
    <row r="12016">
      <c r="A12016" s="39"/>
      <c r="E12016" s="40" t="s">
        <v>11404</v>
      </c>
      <c r="F12016" s="40" t="s">
        <v>11404</v>
      </c>
      <c r="G12016" s="40" t="s">
        <v>11404</v>
      </c>
      <c r="H12016" s="40" t="s">
        <v>11404</v>
      </c>
    </row>
    <row r="12017">
      <c r="A12017" s="39"/>
      <c r="E12017" s="40" t="s">
        <v>11404</v>
      </c>
      <c r="F12017" s="40" t="s">
        <v>11404</v>
      </c>
      <c r="G12017" s="40" t="s">
        <v>11404</v>
      </c>
      <c r="H12017" s="40" t="s">
        <v>11404</v>
      </c>
    </row>
    <row r="12018">
      <c r="A12018" s="39"/>
      <c r="E12018" s="40" t="s">
        <v>11404</v>
      </c>
      <c r="F12018" s="40" t="s">
        <v>11404</v>
      </c>
      <c r="G12018" s="40" t="s">
        <v>11404</v>
      </c>
      <c r="H12018" s="40" t="s">
        <v>11404</v>
      </c>
    </row>
    <row r="12019">
      <c r="A12019" s="39"/>
      <c r="E12019" s="40" t="s">
        <v>11404</v>
      </c>
      <c r="F12019" s="40" t="s">
        <v>11404</v>
      </c>
      <c r="G12019" s="40" t="s">
        <v>11404</v>
      </c>
      <c r="H12019" s="40" t="s">
        <v>11404</v>
      </c>
    </row>
    <row r="12020">
      <c r="A12020" s="39"/>
      <c r="E12020" s="40" t="s">
        <v>11404</v>
      </c>
      <c r="F12020" s="40" t="s">
        <v>11404</v>
      </c>
      <c r="G12020" s="40" t="s">
        <v>11404</v>
      </c>
      <c r="H12020" s="40" t="s">
        <v>11404</v>
      </c>
    </row>
    <row r="12021">
      <c r="A12021" s="39"/>
      <c r="E12021" s="40" t="s">
        <v>11404</v>
      </c>
      <c r="F12021" s="40" t="s">
        <v>11404</v>
      </c>
      <c r="G12021" s="40" t="s">
        <v>11404</v>
      </c>
      <c r="H12021" s="40" t="s">
        <v>11404</v>
      </c>
    </row>
    <row r="12022">
      <c r="A12022" s="39"/>
      <c r="E12022" s="40" t="s">
        <v>11404</v>
      </c>
      <c r="F12022" s="40" t="s">
        <v>11404</v>
      </c>
      <c r="G12022" s="40" t="s">
        <v>11404</v>
      </c>
      <c r="H12022" s="40" t="s">
        <v>11404</v>
      </c>
    </row>
    <row r="12023">
      <c r="A12023" s="39"/>
      <c r="E12023" s="40" t="s">
        <v>11404</v>
      </c>
      <c r="F12023" s="40" t="s">
        <v>11404</v>
      </c>
      <c r="G12023" s="40" t="s">
        <v>11404</v>
      </c>
      <c r="H12023" s="40" t="s">
        <v>11404</v>
      </c>
    </row>
    <row r="12024">
      <c r="A12024" s="39"/>
      <c r="E12024" s="40" t="s">
        <v>11404</v>
      </c>
      <c r="F12024" s="40" t="s">
        <v>11404</v>
      </c>
      <c r="G12024" s="40" t="s">
        <v>11404</v>
      </c>
      <c r="H12024" s="40" t="s">
        <v>11404</v>
      </c>
    </row>
    <row r="12025">
      <c r="A12025" s="39"/>
      <c r="E12025" s="40" t="s">
        <v>11404</v>
      </c>
      <c r="F12025" s="40" t="s">
        <v>11404</v>
      </c>
      <c r="G12025" s="40" t="s">
        <v>11404</v>
      </c>
      <c r="H12025" s="40" t="s">
        <v>11404</v>
      </c>
    </row>
    <row r="12026">
      <c r="A12026" s="39"/>
      <c r="E12026" s="40" t="s">
        <v>11404</v>
      </c>
      <c r="F12026" s="40" t="s">
        <v>11404</v>
      </c>
      <c r="G12026" s="40" t="s">
        <v>11404</v>
      </c>
      <c r="H12026" s="40" t="s">
        <v>11404</v>
      </c>
    </row>
    <row r="12027">
      <c r="A12027" s="39"/>
      <c r="E12027" s="40" t="s">
        <v>11404</v>
      </c>
      <c r="F12027" s="40" t="s">
        <v>11404</v>
      </c>
      <c r="G12027" s="40" t="s">
        <v>11404</v>
      </c>
      <c r="H12027" s="40" t="s">
        <v>11404</v>
      </c>
    </row>
    <row r="12028">
      <c r="A12028" s="39"/>
      <c r="E12028" s="40" t="s">
        <v>11404</v>
      </c>
      <c r="F12028" s="40" t="s">
        <v>11404</v>
      </c>
      <c r="G12028" s="40" t="s">
        <v>11404</v>
      </c>
      <c r="H12028" s="40" t="s">
        <v>11404</v>
      </c>
    </row>
    <row r="12029">
      <c r="A12029" s="39"/>
      <c r="E12029" s="40" t="s">
        <v>11404</v>
      </c>
      <c r="F12029" s="40" t="s">
        <v>11404</v>
      </c>
      <c r="G12029" s="40" t="s">
        <v>11404</v>
      </c>
      <c r="H12029" s="40" t="s">
        <v>11404</v>
      </c>
    </row>
    <row r="12030">
      <c r="A12030" s="39"/>
      <c r="E12030" s="40" t="s">
        <v>11404</v>
      </c>
      <c r="F12030" s="40" t="s">
        <v>11404</v>
      </c>
      <c r="G12030" s="40" t="s">
        <v>11404</v>
      </c>
      <c r="H12030" s="40" t="s">
        <v>11404</v>
      </c>
    </row>
    <row r="12031">
      <c r="A12031" s="39"/>
      <c r="E12031" s="40" t="s">
        <v>11404</v>
      </c>
      <c r="F12031" s="40" t="s">
        <v>11404</v>
      </c>
      <c r="G12031" s="40" t="s">
        <v>11404</v>
      </c>
      <c r="H12031" s="40" t="s">
        <v>11404</v>
      </c>
    </row>
    <row r="12032">
      <c r="A12032" s="39"/>
      <c r="E12032" s="40" t="s">
        <v>11404</v>
      </c>
      <c r="F12032" s="40" t="s">
        <v>11404</v>
      </c>
      <c r="G12032" s="40" t="s">
        <v>11404</v>
      </c>
      <c r="H12032" s="40" t="s">
        <v>11404</v>
      </c>
    </row>
    <row r="12033">
      <c r="A12033" s="39"/>
      <c r="E12033" s="40" t="s">
        <v>11404</v>
      </c>
      <c r="F12033" s="40" t="s">
        <v>11404</v>
      </c>
      <c r="G12033" s="40" t="s">
        <v>11404</v>
      </c>
      <c r="H12033" s="40" t="s">
        <v>11404</v>
      </c>
    </row>
    <row r="12034">
      <c r="A12034" s="39"/>
      <c r="E12034" s="40" t="s">
        <v>11404</v>
      </c>
      <c r="F12034" s="40" t="s">
        <v>11404</v>
      </c>
      <c r="G12034" s="40" t="s">
        <v>11404</v>
      </c>
      <c r="H12034" s="40" t="s">
        <v>11404</v>
      </c>
    </row>
    <row r="12035">
      <c r="A12035" s="39"/>
      <c r="E12035" s="40" t="s">
        <v>11404</v>
      </c>
      <c r="F12035" s="40" t="s">
        <v>11404</v>
      </c>
      <c r="G12035" s="40" t="s">
        <v>11404</v>
      </c>
      <c r="H12035" s="40" t="s">
        <v>11404</v>
      </c>
    </row>
    <row r="12036">
      <c r="A12036" s="39"/>
      <c r="E12036" s="40" t="s">
        <v>11404</v>
      </c>
      <c r="F12036" s="40" t="s">
        <v>11404</v>
      </c>
      <c r="G12036" s="40" t="s">
        <v>11404</v>
      </c>
      <c r="H12036" s="40" t="s">
        <v>11404</v>
      </c>
    </row>
    <row r="12037">
      <c r="A12037" s="39"/>
      <c r="E12037" s="40" t="s">
        <v>11404</v>
      </c>
      <c r="F12037" s="40" t="s">
        <v>11404</v>
      </c>
      <c r="G12037" s="40" t="s">
        <v>11404</v>
      </c>
      <c r="H12037" s="40" t="s">
        <v>11404</v>
      </c>
    </row>
    <row r="12038">
      <c r="A12038" s="39"/>
      <c r="E12038" s="40" t="s">
        <v>11404</v>
      </c>
      <c r="F12038" s="40" t="s">
        <v>11404</v>
      </c>
      <c r="G12038" s="40" t="s">
        <v>11404</v>
      </c>
      <c r="H12038" s="40" t="s">
        <v>11404</v>
      </c>
    </row>
    <row r="12039">
      <c r="A12039" s="39"/>
      <c r="E12039" s="40" t="s">
        <v>11404</v>
      </c>
      <c r="F12039" s="40" t="s">
        <v>11404</v>
      </c>
      <c r="G12039" s="40" t="s">
        <v>11404</v>
      </c>
      <c r="H12039" s="40" t="s">
        <v>11404</v>
      </c>
    </row>
    <row r="12040">
      <c r="A12040" s="39"/>
      <c r="E12040" s="40" t="s">
        <v>11404</v>
      </c>
      <c r="F12040" s="40" t="s">
        <v>11404</v>
      </c>
      <c r="G12040" s="40" t="s">
        <v>11404</v>
      </c>
      <c r="H12040" s="40" t="s">
        <v>11404</v>
      </c>
    </row>
    <row r="12041">
      <c r="A12041" s="39"/>
      <c r="E12041" s="40" t="s">
        <v>11404</v>
      </c>
      <c r="F12041" s="40" t="s">
        <v>11404</v>
      </c>
      <c r="G12041" s="40" t="s">
        <v>11404</v>
      </c>
      <c r="H12041" s="40" t="s">
        <v>11404</v>
      </c>
    </row>
    <row r="12042">
      <c r="A12042" s="39"/>
      <c r="E12042" s="40" t="s">
        <v>11404</v>
      </c>
      <c r="F12042" s="40" t="s">
        <v>11404</v>
      </c>
      <c r="G12042" s="40" t="s">
        <v>11404</v>
      </c>
      <c r="H12042" s="40" t="s">
        <v>11404</v>
      </c>
    </row>
    <row r="12043">
      <c r="A12043" s="39"/>
      <c r="E12043" s="40" t="s">
        <v>11404</v>
      </c>
      <c r="F12043" s="40" t="s">
        <v>11404</v>
      </c>
      <c r="G12043" s="40" t="s">
        <v>11404</v>
      </c>
      <c r="H12043" s="40" t="s">
        <v>11404</v>
      </c>
    </row>
    <row r="12044">
      <c r="A12044" s="39"/>
      <c r="E12044" s="40" t="s">
        <v>11404</v>
      </c>
      <c r="F12044" s="40" t="s">
        <v>11404</v>
      </c>
      <c r="G12044" s="40" t="s">
        <v>11404</v>
      </c>
      <c r="H12044" s="40" t="s">
        <v>11404</v>
      </c>
    </row>
    <row r="12045">
      <c r="A12045" s="39"/>
      <c r="E12045" s="40" t="s">
        <v>11404</v>
      </c>
      <c r="F12045" s="40" t="s">
        <v>11404</v>
      </c>
      <c r="G12045" s="40" t="s">
        <v>11404</v>
      </c>
      <c r="H12045" s="40" t="s">
        <v>11404</v>
      </c>
    </row>
    <row r="12046">
      <c r="A12046" s="39"/>
      <c r="E12046" s="40" t="s">
        <v>11404</v>
      </c>
      <c r="F12046" s="40" t="s">
        <v>11404</v>
      </c>
      <c r="G12046" s="40" t="s">
        <v>11404</v>
      </c>
      <c r="H12046" s="40" t="s">
        <v>11404</v>
      </c>
    </row>
    <row r="12047">
      <c r="A12047" s="39"/>
      <c r="E12047" s="40" t="s">
        <v>11404</v>
      </c>
      <c r="F12047" s="40" t="s">
        <v>11404</v>
      </c>
      <c r="G12047" s="40" t="s">
        <v>11404</v>
      </c>
      <c r="H12047" s="40" t="s">
        <v>11404</v>
      </c>
    </row>
    <row r="12048">
      <c r="A12048" s="39"/>
      <c r="E12048" s="40" t="s">
        <v>11404</v>
      </c>
      <c r="F12048" s="40" t="s">
        <v>11404</v>
      </c>
      <c r="G12048" s="40" t="s">
        <v>11404</v>
      </c>
      <c r="H12048" s="40" t="s">
        <v>11404</v>
      </c>
    </row>
    <row r="12049">
      <c r="A12049" s="39"/>
      <c r="E12049" s="40" t="s">
        <v>11404</v>
      </c>
      <c r="F12049" s="40" t="s">
        <v>11404</v>
      </c>
      <c r="G12049" s="40" t="s">
        <v>11404</v>
      </c>
      <c r="H12049" s="40" t="s">
        <v>11404</v>
      </c>
    </row>
    <row r="12050">
      <c r="A12050" s="39"/>
      <c r="E12050" s="40" t="s">
        <v>11404</v>
      </c>
      <c r="F12050" s="40" t="s">
        <v>11404</v>
      </c>
      <c r="G12050" s="40" t="s">
        <v>11404</v>
      </c>
      <c r="H12050" s="40" t="s">
        <v>11404</v>
      </c>
    </row>
    <row r="12051">
      <c r="A12051" s="39"/>
      <c r="E12051" s="40" t="s">
        <v>11404</v>
      </c>
      <c r="F12051" s="40" t="s">
        <v>11404</v>
      </c>
      <c r="G12051" s="40" t="s">
        <v>11404</v>
      </c>
      <c r="H12051" s="40" t="s">
        <v>11404</v>
      </c>
    </row>
    <row r="12052">
      <c r="A12052" s="39"/>
      <c r="E12052" s="40" t="s">
        <v>11404</v>
      </c>
      <c r="F12052" s="40" t="s">
        <v>11404</v>
      </c>
      <c r="G12052" s="40" t="s">
        <v>11404</v>
      </c>
      <c r="H12052" s="40" t="s">
        <v>11404</v>
      </c>
    </row>
    <row r="12053">
      <c r="A12053" s="39"/>
      <c r="E12053" s="40" t="s">
        <v>11404</v>
      </c>
      <c r="F12053" s="40" t="s">
        <v>11404</v>
      </c>
      <c r="G12053" s="40" t="s">
        <v>11404</v>
      </c>
      <c r="H12053" s="40" t="s">
        <v>11404</v>
      </c>
    </row>
    <row r="12054">
      <c r="A12054" s="39"/>
      <c r="E12054" s="40" t="s">
        <v>11404</v>
      </c>
      <c r="F12054" s="40" t="s">
        <v>11404</v>
      </c>
      <c r="G12054" s="40" t="s">
        <v>11404</v>
      </c>
      <c r="H12054" s="40" t="s">
        <v>11404</v>
      </c>
    </row>
    <row r="12055">
      <c r="A12055" s="39"/>
      <c r="E12055" s="40" t="s">
        <v>11404</v>
      </c>
      <c r="F12055" s="40" t="s">
        <v>11404</v>
      </c>
      <c r="G12055" s="40" t="s">
        <v>11404</v>
      </c>
      <c r="H12055" s="40" t="s">
        <v>11404</v>
      </c>
    </row>
    <row r="12056">
      <c r="A12056" s="39"/>
      <c r="E12056" s="40" t="s">
        <v>11404</v>
      </c>
      <c r="F12056" s="40" t="s">
        <v>11404</v>
      </c>
      <c r="G12056" s="40" t="s">
        <v>11404</v>
      </c>
      <c r="H12056" s="40" t="s">
        <v>11404</v>
      </c>
    </row>
    <row r="12057">
      <c r="A12057" s="39"/>
      <c r="E12057" s="40" t="s">
        <v>11404</v>
      </c>
      <c r="F12057" s="40" t="s">
        <v>11404</v>
      </c>
      <c r="G12057" s="40" t="s">
        <v>11404</v>
      </c>
      <c r="H12057" s="40" t="s">
        <v>11404</v>
      </c>
    </row>
    <row r="12058">
      <c r="A12058" s="39"/>
      <c r="E12058" s="40" t="s">
        <v>11404</v>
      </c>
      <c r="F12058" s="40" t="s">
        <v>11404</v>
      </c>
      <c r="G12058" s="40" t="s">
        <v>11404</v>
      </c>
      <c r="H12058" s="40" t="s">
        <v>11404</v>
      </c>
    </row>
    <row r="12059">
      <c r="A12059" s="39"/>
      <c r="E12059" s="40" t="s">
        <v>11404</v>
      </c>
      <c r="F12059" s="40" t="s">
        <v>11404</v>
      </c>
      <c r="G12059" s="40" t="s">
        <v>11404</v>
      </c>
      <c r="H12059" s="40" t="s">
        <v>11404</v>
      </c>
    </row>
    <row r="12060">
      <c r="A12060" s="39"/>
      <c r="E12060" s="40" t="s">
        <v>11404</v>
      </c>
      <c r="F12060" s="40" t="s">
        <v>11404</v>
      </c>
      <c r="G12060" s="40" t="s">
        <v>11404</v>
      </c>
      <c r="H12060" s="40" t="s">
        <v>11404</v>
      </c>
    </row>
    <row r="12061">
      <c r="A12061" s="39"/>
      <c r="E12061" s="40" t="s">
        <v>11404</v>
      </c>
      <c r="F12061" s="40" t="s">
        <v>11404</v>
      </c>
      <c r="G12061" s="40" t="s">
        <v>11404</v>
      </c>
      <c r="H12061" s="40" t="s">
        <v>11404</v>
      </c>
    </row>
    <row r="12062">
      <c r="A12062" s="39"/>
      <c r="E12062" s="40" t="s">
        <v>11404</v>
      </c>
      <c r="F12062" s="40" t="s">
        <v>11404</v>
      </c>
      <c r="G12062" s="40" t="s">
        <v>11404</v>
      </c>
      <c r="H12062" s="40" t="s">
        <v>11404</v>
      </c>
    </row>
    <row r="12063">
      <c r="A12063" s="39"/>
      <c r="E12063" s="40" t="s">
        <v>11404</v>
      </c>
      <c r="F12063" s="40" t="s">
        <v>11404</v>
      </c>
      <c r="G12063" s="40" t="s">
        <v>11404</v>
      </c>
      <c r="H12063" s="40" t="s">
        <v>11404</v>
      </c>
    </row>
    <row r="12064">
      <c r="A12064" s="39"/>
      <c r="E12064" s="40" t="s">
        <v>11404</v>
      </c>
      <c r="F12064" s="40" t="s">
        <v>11404</v>
      </c>
      <c r="G12064" s="40" t="s">
        <v>11404</v>
      </c>
      <c r="H12064" s="40" t="s">
        <v>11404</v>
      </c>
    </row>
    <row r="12065">
      <c r="A12065" s="39"/>
      <c r="E12065" s="40" t="s">
        <v>11404</v>
      </c>
      <c r="F12065" s="40" t="s">
        <v>11404</v>
      </c>
      <c r="G12065" s="40" t="s">
        <v>11404</v>
      </c>
      <c r="H12065" s="40" t="s">
        <v>11404</v>
      </c>
    </row>
    <row r="12066">
      <c r="A12066" s="39"/>
      <c r="E12066" s="40" t="s">
        <v>11404</v>
      </c>
      <c r="F12066" s="40" t="s">
        <v>11404</v>
      </c>
      <c r="G12066" s="40" t="s">
        <v>11404</v>
      </c>
      <c r="H12066" s="40" t="s">
        <v>11404</v>
      </c>
    </row>
    <row r="12067">
      <c r="A12067" s="39"/>
      <c r="E12067" s="40" t="s">
        <v>11404</v>
      </c>
      <c r="F12067" s="40" t="s">
        <v>11404</v>
      </c>
      <c r="G12067" s="40" t="s">
        <v>11404</v>
      </c>
      <c r="H12067" s="40" t="s">
        <v>11404</v>
      </c>
    </row>
    <row r="12068">
      <c r="A12068" s="39"/>
      <c r="E12068" s="40" t="s">
        <v>11404</v>
      </c>
      <c r="F12068" s="40" t="s">
        <v>11404</v>
      </c>
      <c r="G12068" s="40" t="s">
        <v>11404</v>
      </c>
      <c r="H12068" s="40" t="s">
        <v>11404</v>
      </c>
    </row>
    <row r="12069">
      <c r="A12069" s="39"/>
      <c r="E12069" s="40" t="s">
        <v>11404</v>
      </c>
      <c r="F12069" s="40" t="s">
        <v>11404</v>
      </c>
      <c r="G12069" s="40" t="s">
        <v>11404</v>
      </c>
      <c r="H12069" s="40" t="s">
        <v>11404</v>
      </c>
    </row>
    <row r="12070">
      <c r="A12070" s="39"/>
      <c r="E12070" s="40" t="s">
        <v>11404</v>
      </c>
      <c r="F12070" s="40" t="s">
        <v>11404</v>
      </c>
      <c r="G12070" s="40" t="s">
        <v>11404</v>
      </c>
      <c r="H12070" s="40" t="s">
        <v>11404</v>
      </c>
    </row>
    <row r="12071">
      <c r="A12071" s="39"/>
      <c r="E12071" s="40" t="s">
        <v>11404</v>
      </c>
      <c r="F12071" s="40" t="s">
        <v>11404</v>
      </c>
      <c r="G12071" s="40" t="s">
        <v>11404</v>
      </c>
      <c r="H12071" s="40" t="s">
        <v>11404</v>
      </c>
    </row>
    <row r="12072">
      <c r="A12072" s="39"/>
      <c r="E12072" s="40" t="s">
        <v>11404</v>
      </c>
      <c r="F12072" s="40" t="s">
        <v>11404</v>
      </c>
      <c r="G12072" s="40" t="s">
        <v>11404</v>
      </c>
      <c r="H12072" s="40" t="s">
        <v>11404</v>
      </c>
    </row>
    <row r="12073">
      <c r="A12073" s="39"/>
      <c r="E12073" s="40" t="s">
        <v>11404</v>
      </c>
      <c r="F12073" s="40" t="s">
        <v>11404</v>
      </c>
      <c r="G12073" s="40" t="s">
        <v>11404</v>
      </c>
      <c r="H12073" s="40" t="s">
        <v>11404</v>
      </c>
    </row>
    <row r="12074">
      <c r="A12074" s="39"/>
      <c r="E12074" s="40" t="s">
        <v>11404</v>
      </c>
      <c r="F12074" s="40" t="s">
        <v>11404</v>
      </c>
      <c r="G12074" s="40" t="s">
        <v>11404</v>
      </c>
      <c r="H12074" s="40" t="s">
        <v>11404</v>
      </c>
    </row>
    <row r="12075">
      <c r="A12075" s="39"/>
      <c r="E12075" s="40" t="s">
        <v>11404</v>
      </c>
      <c r="F12075" s="40" t="s">
        <v>11404</v>
      </c>
      <c r="G12075" s="40" t="s">
        <v>11404</v>
      </c>
      <c r="H12075" s="40" t="s">
        <v>11404</v>
      </c>
    </row>
    <row r="12076">
      <c r="A12076" s="39"/>
      <c r="E12076" s="40" t="s">
        <v>11404</v>
      </c>
      <c r="F12076" s="40" t="s">
        <v>11404</v>
      </c>
      <c r="G12076" s="40" t="s">
        <v>11404</v>
      </c>
      <c r="H12076" s="40" t="s">
        <v>11404</v>
      </c>
    </row>
    <row r="12077">
      <c r="A12077" s="39"/>
      <c r="E12077" s="40" t="s">
        <v>11404</v>
      </c>
      <c r="F12077" s="40" t="s">
        <v>11404</v>
      </c>
      <c r="G12077" s="40" t="s">
        <v>11404</v>
      </c>
      <c r="H12077" s="40" t="s">
        <v>11404</v>
      </c>
    </row>
    <row r="12078">
      <c r="A12078" s="39"/>
      <c r="E12078" s="40" t="s">
        <v>11404</v>
      </c>
      <c r="F12078" s="40" t="s">
        <v>11404</v>
      </c>
      <c r="G12078" s="40" t="s">
        <v>11404</v>
      </c>
      <c r="H12078" s="40" t="s">
        <v>11404</v>
      </c>
    </row>
    <row r="12079">
      <c r="A12079" s="39"/>
      <c r="E12079" s="40" t="s">
        <v>11404</v>
      </c>
      <c r="F12079" s="40" t="s">
        <v>11404</v>
      </c>
      <c r="G12079" s="40" t="s">
        <v>11404</v>
      </c>
      <c r="H12079" s="40" t="s">
        <v>11404</v>
      </c>
    </row>
    <row r="12080">
      <c r="A12080" s="39"/>
      <c r="E12080" s="40" t="s">
        <v>11404</v>
      </c>
      <c r="F12080" s="40" t="s">
        <v>11404</v>
      </c>
      <c r="G12080" s="40" t="s">
        <v>11404</v>
      </c>
      <c r="H12080" s="40" t="s">
        <v>11404</v>
      </c>
    </row>
    <row r="12081">
      <c r="A12081" s="39"/>
      <c r="E12081" s="40" t="s">
        <v>11404</v>
      </c>
      <c r="F12081" s="40" t="s">
        <v>11404</v>
      </c>
      <c r="G12081" s="40" t="s">
        <v>11404</v>
      </c>
      <c r="H12081" s="40" t="s">
        <v>11404</v>
      </c>
    </row>
    <row r="12082">
      <c r="A12082" s="39"/>
      <c r="E12082" s="40" t="s">
        <v>11404</v>
      </c>
      <c r="F12082" s="40" t="s">
        <v>11404</v>
      </c>
      <c r="G12082" s="40" t="s">
        <v>11404</v>
      </c>
      <c r="H12082" s="40" t="s">
        <v>11404</v>
      </c>
    </row>
    <row r="12083">
      <c r="A12083" s="39"/>
      <c r="E12083" s="40" t="s">
        <v>11404</v>
      </c>
      <c r="F12083" s="40" t="s">
        <v>11404</v>
      </c>
      <c r="G12083" s="40" t="s">
        <v>11404</v>
      </c>
      <c r="H12083" s="40" t="s">
        <v>11404</v>
      </c>
    </row>
    <row r="12084">
      <c r="A12084" s="39"/>
      <c r="E12084" s="40" t="s">
        <v>11404</v>
      </c>
      <c r="F12084" s="40" t="s">
        <v>11404</v>
      </c>
      <c r="G12084" s="40" t="s">
        <v>11404</v>
      </c>
      <c r="H12084" s="40" t="s">
        <v>11404</v>
      </c>
    </row>
    <row r="12085">
      <c r="A12085" s="39"/>
      <c r="E12085" s="40" t="s">
        <v>11404</v>
      </c>
      <c r="F12085" s="40" t="s">
        <v>11404</v>
      </c>
      <c r="G12085" s="40" t="s">
        <v>11404</v>
      </c>
      <c r="H12085" s="40" t="s">
        <v>11404</v>
      </c>
    </row>
    <row r="12086">
      <c r="A12086" s="39"/>
      <c r="E12086" s="40" t="s">
        <v>11404</v>
      </c>
      <c r="F12086" s="40" t="s">
        <v>11404</v>
      </c>
      <c r="G12086" s="40" t="s">
        <v>11404</v>
      </c>
      <c r="H12086" s="40" t="s">
        <v>11404</v>
      </c>
    </row>
    <row r="12087">
      <c r="A12087" s="39"/>
      <c r="E12087" s="40" t="s">
        <v>11404</v>
      </c>
      <c r="F12087" s="40" t="s">
        <v>11404</v>
      </c>
      <c r="G12087" s="40" t="s">
        <v>11404</v>
      </c>
      <c r="H12087" s="40" t="s">
        <v>11404</v>
      </c>
    </row>
    <row r="12088">
      <c r="A12088" s="39"/>
      <c r="E12088" s="40" t="s">
        <v>11404</v>
      </c>
      <c r="F12088" s="40" t="s">
        <v>11404</v>
      </c>
      <c r="G12088" s="40" t="s">
        <v>11404</v>
      </c>
      <c r="H12088" s="40" t="s">
        <v>11404</v>
      </c>
    </row>
    <row r="12089">
      <c r="A12089" s="39"/>
      <c r="E12089" s="40" t="s">
        <v>11404</v>
      </c>
      <c r="F12089" s="40" t="s">
        <v>11404</v>
      </c>
      <c r="G12089" s="40" t="s">
        <v>11404</v>
      </c>
      <c r="H12089" s="40" t="s">
        <v>11404</v>
      </c>
    </row>
    <row r="12090">
      <c r="A12090" s="39"/>
      <c r="E12090" s="40" t="s">
        <v>11404</v>
      </c>
      <c r="F12090" s="40" t="s">
        <v>11404</v>
      </c>
      <c r="G12090" s="40" t="s">
        <v>11404</v>
      </c>
      <c r="H12090" s="40" t="s">
        <v>11404</v>
      </c>
    </row>
    <row r="12091">
      <c r="A12091" s="39"/>
      <c r="E12091" s="40" t="s">
        <v>11404</v>
      </c>
      <c r="F12091" s="40" t="s">
        <v>11404</v>
      </c>
      <c r="G12091" s="40" t="s">
        <v>11404</v>
      </c>
      <c r="H12091" s="40" t="s">
        <v>11404</v>
      </c>
    </row>
    <row r="12092">
      <c r="A12092" s="39"/>
      <c r="E12092" s="40" t="s">
        <v>11404</v>
      </c>
      <c r="F12092" s="40" t="s">
        <v>11404</v>
      </c>
      <c r="G12092" s="40" t="s">
        <v>11404</v>
      </c>
      <c r="H12092" s="40" t="s">
        <v>11404</v>
      </c>
    </row>
    <row r="12093">
      <c r="A12093" s="39"/>
      <c r="E12093" s="40" t="s">
        <v>11404</v>
      </c>
      <c r="F12093" s="40" t="s">
        <v>11404</v>
      </c>
      <c r="G12093" s="40" t="s">
        <v>11404</v>
      </c>
      <c r="H12093" s="40" t="s">
        <v>11404</v>
      </c>
    </row>
    <row r="12094">
      <c r="A12094" s="39"/>
      <c r="E12094" s="40" t="s">
        <v>11404</v>
      </c>
      <c r="F12094" s="40" t="s">
        <v>11404</v>
      </c>
      <c r="G12094" s="40" t="s">
        <v>11404</v>
      </c>
      <c r="H12094" s="40" t="s">
        <v>11404</v>
      </c>
    </row>
    <row r="12095">
      <c r="A12095" s="39"/>
      <c r="E12095" s="40" t="s">
        <v>11404</v>
      </c>
      <c r="F12095" s="40" t="s">
        <v>11404</v>
      </c>
      <c r="G12095" s="40" t="s">
        <v>11404</v>
      </c>
      <c r="H12095" s="40" t="s">
        <v>11404</v>
      </c>
    </row>
    <row r="12096">
      <c r="A12096" s="39"/>
      <c r="E12096" s="40" t="s">
        <v>11404</v>
      </c>
      <c r="F12096" s="40" t="s">
        <v>11404</v>
      </c>
      <c r="G12096" s="40" t="s">
        <v>11404</v>
      </c>
      <c r="H12096" s="40" t="s">
        <v>11404</v>
      </c>
    </row>
    <row r="12097">
      <c r="A12097" s="39"/>
      <c r="E12097" s="40" t="s">
        <v>11404</v>
      </c>
      <c r="F12097" s="40" t="s">
        <v>11404</v>
      </c>
      <c r="G12097" s="40" t="s">
        <v>11404</v>
      </c>
      <c r="H12097" s="40" t="s">
        <v>11404</v>
      </c>
    </row>
    <row r="12098">
      <c r="A12098" s="39"/>
      <c r="E12098" s="40" t="s">
        <v>11404</v>
      </c>
      <c r="F12098" s="40" t="s">
        <v>11404</v>
      </c>
      <c r="G12098" s="40" t="s">
        <v>11404</v>
      </c>
      <c r="H12098" s="40" t="s">
        <v>11404</v>
      </c>
    </row>
    <row r="12099">
      <c r="A12099" s="39"/>
      <c r="E12099" s="40" t="s">
        <v>11404</v>
      </c>
      <c r="F12099" s="40" t="s">
        <v>11404</v>
      </c>
      <c r="G12099" s="40" t="s">
        <v>11404</v>
      </c>
      <c r="H12099" s="40" t="s">
        <v>11404</v>
      </c>
    </row>
    <row r="12100">
      <c r="A12100" s="39"/>
      <c r="E12100" s="40" t="s">
        <v>11404</v>
      </c>
      <c r="F12100" s="40" t="s">
        <v>11404</v>
      </c>
      <c r="G12100" s="40" t="s">
        <v>11404</v>
      </c>
      <c r="H12100" s="40" t="s">
        <v>11404</v>
      </c>
    </row>
    <row r="12101">
      <c r="A12101" s="39"/>
      <c r="E12101" s="40" t="s">
        <v>11404</v>
      </c>
      <c r="F12101" s="40" t="s">
        <v>11404</v>
      </c>
      <c r="G12101" s="40" t="s">
        <v>11404</v>
      </c>
      <c r="H12101" s="40" t="s">
        <v>11404</v>
      </c>
    </row>
    <row r="12102">
      <c r="A12102" s="39"/>
      <c r="E12102" s="40" t="s">
        <v>11404</v>
      </c>
      <c r="F12102" s="40" t="s">
        <v>11404</v>
      </c>
      <c r="G12102" s="40" t="s">
        <v>11404</v>
      </c>
      <c r="H12102" s="40" t="s">
        <v>11404</v>
      </c>
    </row>
    <row r="12103">
      <c r="A12103" s="39"/>
      <c r="E12103" s="40" t="s">
        <v>11404</v>
      </c>
      <c r="F12103" s="40" t="s">
        <v>11404</v>
      </c>
      <c r="G12103" s="40" t="s">
        <v>11404</v>
      </c>
      <c r="H12103" s="40" t="s">
        <v>11404</v>
      </c>
    </row>
    <row r="12104">
      <c r="A12104" s="39"/>
      <c r="E12104" s="40" t="s">
        <v>11404</v>
      </c>
      <c r="F12104" s="40" t="s">
        <v>11404</v>
      </c>
      <c r="G12104" s="40" t="s">
        <v>11404</v>
      </c>
      <c r="H12104" s="40" t="s">
        <v>11404</v>
      </c>
    </row>
    <row r="12105">
      <c r="A12105" s="39"/>
      <c r="E12105" s="40" t="s">
        <v>11404</v>
      </c>
      <c r="F12105" s="40" t="s">
        <v>11404</v>
      </c>
      <c r="G12105" s="40" t="s">
        <v>11404</v>
      </c>
      <c r="H12105" s="40" t="s">
        <v>11404</v>
      </c>
    </row>
    <row r="12106">
      <c r="A12106" s="39"/>
      <c r="E12106" s="40" t="s">
        <v>11404</v>
      </c>
      <c r="F12106" s="40" t="s">
        <v>11404</v>
      </c>
      <c r="G12106" s="40" t="s">
        <v>11404</v>
      </c>
      <c r="H12106" s="40" t="s">
        <v>11404</v>
      </c>
    </row>
    <row r="12107">
      <c r="A12107" s="39"/>
      <c r="E12107" s="40" t="s">
        <v>11404</v>
      </c>
      <c r="F12107" s="40" t="s">
        <v>11404</v>
      </c>
      <c r="G12107" s="40" t="s">
        <v>11404</v>
      </c>
      <c r="H12107" s="40" t="s">
        <v>11404</v>
      </c>
    </row>
    <row r="12108">
      <c r="A12108" s="39"/>
      <c r="E12108" s="40" t="s">
        <v>11404</v>
      </c>
      <c r="F12108" s="40" t="s">
        <v>11404</v>
      </c>
      <c r="G12108" s="40" t="s">
        <v>11404</v>
      </c>
      <c r="H12108" s="40" t="s">
        <v>11404</v>
      </c>
    </row>
    <row r="12109">
      <c r="A12109" s="39"/>
      <c r="E12109" s="40" t="s">
        <v>11404</v>
      </c>
      <c r="F12109" s="40" t="s">
        <v>11404</v>
      </c>
      <c r="G12109" s="40" t="s">
        <v>11404</v>
      </c>
      <c r="H12109" s="40" t="s">
        <v>11404</v>
      </c>
    </row>
    <row r="12110">
      <c r="A12110" s="39"/>
      <c r="E12110" s="40" t="s">
        <v>11404</v>
      </c>
      <c r="F12110" s="40" t="s">
        <v>11404</v>
      </c>
      <c r="G12110" s="40" t="s">
        <v>11404</v>
      </c>
      <c r="H12110" s="40" t="s">
        <v>11404</v>
      </c>
    </row>
    <row r="12111">
      <c r="A12111" s="39"/>
      <c r="E12111" s="40" t="s">
        <v>11404</v>
      </c>
      <c r="F12111" s="40" t="s">
        <v>11404</v>
      </c>
      <c r="G12111" s="40" t="s">
        <v>11404</v>
      </c>
      <c r="H12111" s="40" t="s">
        <v>11404</v>
      </c>
    </row>
    <row r="12112">
      <c r="A12112" s="39"/>
      <c r="E12112" s="40" t="s">
        <v>11404</v>
      </c>
      <c r="F12112" s="40" t="s">
        <v>11404</v>
      </c>
      <c r="G12112" s="40" t="s">
        <v>11404</v>
      </c>
      <c r="H12112" s="40" t="s">
        <v>11404</v>
      </c>
    </row>
    <row r="12113">
      <c r="A12113" s="39"/>
      <c r="E12113" s="40" t="s">
        <v>11404</v>
      </c>
      <c r="F12113" s="40" t="s">
        <v>11404</v>
      </c>
      <c r="G12113" s="40" t="s">
        <v>11404</v>
      </c>
      <c r="H12113" s="40" t="s">
        <v>11404</v>
      </c>
    </row>
    <row r="12114">
      <c r="A12114" s="39"/>
      <c r="E12114" s="40" t="s">
        <v>11404</v>
      </c>
      <c r="F12114" s="40" t="s">
        <v>11404</v>
      </c>
      <c r="G12114" s="40" t="s">
        <v>11404</v>
      </c>
      <c r="H12114" s="40" t="s">
        <v>11404</v>
      </c>
    </row>
    <row r="12115">
      <c r="A12115" s="39"/>
      <c r="E12115" s="40" t="s">
        <v>11404</v>
      </c>
      <c r="F12115" s="40" t="s">
        <v>11404</v>
      </c>
      <c r="G12115" s="40" t="s">
        <v>11404</v>
      </c>
      <c r="H12115" s="40" t="s">
        <v>11404</v>
      </c>
    </row>
    <row r="12116">
      <c r="A12116" s="39"/>
      <c r="E12116" s="40" t="s">
        <v>11404</v>
      </c>
      <c r="F12116" s="40" t="s">
        <v>11404</v>
      </c>
      <c r="G12116" s="40" t="s">
        <v>11404</v>
      </c>
      <c r="H12116" s="40" t="s">
        <v>11404</v>
      </c>
    </row>
    <row r="12117">
      <c r="A12117" s="39"/>
      <c r="E12117" s="40" t="s">
        <v>11404</v>
      </c>
      <c r="F12117" s="40" t="s">
        <v>11404</v>
      </c>
      <c r="G12117" s="40" t="s">
        <v>11404</v>
      </c>
      <c r="H12117" s="40" t="s">
        <v>11404</v>
      </c>
    </row>
    <row r="12118">
      <c r="A12118" s="39"/>
      <c r="E12118" s="40" t="s">
        <v>11404</v>
      </c>
      <c r="F12118" s="40" t="s">
        <v>11404</v>
      </c>
      <c r="G12118" s="40" t="s">
        <v>11404</v>
      </c>
      <c r="H12118" s="40" t="s">
        <v>11404</v>
      </c>
    </row>
    <row r="12119">
      <c r="A12119" s="39"/>
      <c r="E12119" s="40" t="s">
        <v>11404</v>
      </c>
      <c r="F12119" s="40" t="s">
        <v>11404</v>
      </c>
      <c r="G12119" s="40" t="s">
        <v>11404</v>
      </c>
      <c r="H12119" s="40" t="s">
        <v>11404</v>
      </c>
    </row>
    <row r="12120">
      <c r="A12120" s="39"/>
      <c r="E12120" s="40" t="s">
        <v>11404</v>
      </c>
      <c r="F12120" s="40" t="s">
        <v>11404</v>
      </c>
      <c r="G12120" s="40" t="s">
        <v>11404</v>
      </c>
      <c r="H12120" s="40" t="s">
        <v>11404</v>
      </c>
    </row>
    <row r="12121">
      <c r="A12121" s="39"/>
      <c r="E12121" s="40" t="s">
        <v>11404</v>
      </c>
      <c r="F12121" s="40" t="s">
        <v>11404</v>
      </c>
      <c r="G12121" s="40" t="s">
        <v>11404</v>
      </c>
      <c r="H12121" s="40" t="s">
        <v>11404</v>
      </c>
    </row>
    <row r="12122">
      <c r="A12122" s="39"/>
      <c r="E12122" s="40" t="s">
        <v>11404</v>
      </c>
      <c r="F12122" s="40" t="s">
        <v>11404</v>
      </c>
      <c r="G12122" s="40" t="s">
        <v>11404</v>
      </c>
      <c r="H12122" s="40" t="s">
        <v>11404</v>
      </c>
    </row>
    <row r="12123">
      <c r="A12123" s="39"/>
      <c r="E12123" s="40" t="s">
        <v>11404</v>
      </c>
      <c r="F12123" s="40" t="s">
        <v>11404</v>
      </c>
      <c r="G12123" s="40" t="s">
        <v>11404</v>
      </c>
      <c r="H12123" s="40" t="s">
        <v>11404</v>
      </c>
    </row>
    <row r="12124">
      <c r="A12124" s="39"/>
      <c r="E12124" s="40" t="s">
        <v>11404</v>
      </c>
      <c r="F12124" s="40" t="s">
        <v>11404</v>
      </c>
      <c r="G12124" s="40" t="s">
        <v>11404</v>
      </c>
      <c r="H12124" s="40" t="s">
        <v>11404</v>
      </c>
    </row>
    <row r="12125">
      <c r="A12125" s="39"/>
      <c r="E12125" s="40" t="s">
        <v>11404</v>
      </c>
      <c r="F12125" s="40" t="s">
        <v>11404</v>
      </c>
      <c r="G12125" s="40" t="s">
        <v>11404</v>
      </c>
      <c r="H12125" s="40" t="s">
        <v>11404</v>
      </c>
    </row>
    <row r="12126">
      <c r="A12126" s="39"/>
      <c r="E12126" s="40" t="s">
        <v>11404</v>
      </c>
      <c r="F12126" s="40" t="s">
        <v>11404</v>
      </c>
      <c r="G12126" s="40" t="s">
        <v>11404</v>
      </c>
      <c r="H12126" s="40" t="s">
        <v>11404</v>
      </c>
    </row>
    <row r="12127">
      <c r="A12127" s="39"/>
      <c r="E12127" s="40" t="s">
        <v>11404</v>
      </c>
      <c r="F12127" s="40" t="s">
        <v>11404</v>
      </c>
      <c r="G12127" s="40" t="s">
        <v>11404</v>
      </c>
      <c r="H12127" s="40" t="s">
        <v>11404</v>
      </c>
    </row>
    <row r="12128">
      <c r="A12128" s="39"/>
      <c r="E12128" s="40" t="s">
        <v>11404</v>
      </c>
      <c r="F12128" s="40" t="s">
        <v>11404</v>
      </c>
      <c r="G12128" s="40" t="s">
        <v>11404</v>
      </c>
      <c r="H12128" s="40" t="s">
        <v>11404</v>
      </c>
    </row>
    <row r="12129">
      <c r="A12129" s="39"/>
      <c r="E12129" s="40" t="s">
        <v>11404</v>
      </c>
      <c r="F12129" s="40" t="s">
        <v>11404</v>
      </c>
      <c r="G12129" s="40" t="s">
        <v>11404</v>
      </c>
      <c r="H12129" s="40" t="s">
        <v>11404</v>
      </c>
    </row>
    <row r="12130">
      <c r="A12130" s="39"/>
      <c r="E12130" s="40" t="s">
        <v>11404</v>
      </c>
      <c r="F12130" s="40" t="s">
        <v>11404</v>
      </c>
      <c r="G12130" s="40" t="s">
        <v>11404</v>
      </c>
      <c r="H12130" s="40" t="s">
        <v>11404</v>
      </c>
    </row>
    <row r="12131">
      <c r="A12131" s="39"/>
      <c r="E12131" s="40" t="s">
        <v>11404</v>
      </c>
      <c r="F12131" s="40" t="s">
        <v>11404</v>
      </c>
      <c r="G12131" s="40" t="s">
        <v>11404</v>
      </c>
      <c r="H12131" s="40" t="s">
        <v>11404</v>
      </c>
    </row>
    <row r="12132">
      <c r="A12132" s="39"/>
      <c r="E12132" s="40" t="s">
        <v>11404</v>
      </c>
      <c r="F12132" s="40" t="s">
        <v>11404</v>
      </c>
      <c r="G12132" s="40" t="s">
        <v>11404</v>
      </c>
      <c r="H12132" s="40" t="s">
        <v>11404</v>
      </c>
    </row>
    <row r="12133">
      <c r="A12133" s="39"/>
      <c r="E12133" s="40" t="s">
        <v>11404</v>
      </c>
      <c r="F12133" s="40" t="s">
        <v>11404</v>
      </c>
      <c r="G12133" s="40" t="s">
        <v>11404</v>
      </c>
      <c r="H12133" s="40" t="s">
        <v>11404</v>
      </c>
    </row>
    <row r="12134">
      <c r="A12134" s="39"/>
      <c r="E12134" s="40" t="s">
        <v>11404</v>
      </c>
      <c r="F12134" s="40" t="s">
        <v>11404</v>
      </c>
      <c r="G12134" s="40" t="s">
        <v>11404</v>
      </c>
      <c r="H12134" s="40" t="s">
        <v>11404</v>
      </c>
    </row>
    <row r="12135">
      <c r="A12135" s="39"/>
      <c r="E12135" s="40" t="s">
        <v>11404</v>
      </c>
      <c r="F12135" s="40" t="s">
        <v>11404</v>
      </c>
      <c r="G12135" s="40" t="s">
        <v>11404</v>
      </c>
      <c r="H12135" s="40" t="s">
        <v>11404</v>
      </c>
    </row>
    <row r="12136">
      <c r="A12136" s="39"/>
      <c r="E12136" s="40" t="s">
        <v>11404</v>
      </c>
      <c r="F12136" s="40" t="s">
        <v>11404</v>
      </c>
      <c r="G12136" s="40" t="s">
        <v>11404</v>
      </c>
      <c r="H12136" s="40" t="s">
        <v>11404</v>
      </c>
    </row>
    <row r="12137">
      <c r="A12137" s="39"/>
      <c r="E12137" s="40" t="s">
        <v>11404</v>
      </c>
      <c r="F12137" s="40" t="s">
        <v>11404</v>
      </c>
      <c r="G12137" s="40" t="s">
        <v>11404</v>
      </c>
      <c r="H12137" s="40" t="s">
        <v>11404</v>
      </c>
    </row>
    <row r="12138">
      <c r="A12138" s="39"/>
      <c r="E12138" s="40" t="s">
        <v>11404</v>
      </c>
      <c r="F12138" s="40" t="s">
        <v>11404</v>
      </c>
      <c r="G12138" s="40" t="s">
        <v>11404</v>
      </c>
      <c r="H12138" s="40" t="s">
        <v>11404</v>
      </c>
    </row>
    <row r="12139">
      <c r="A12139" s="39"/>
      <c r="E12139" s="40" t="s">
        <v>11404</v>
      </c>
      <c r="F12139" s="40" t="s">
        <v>11404</v>
      </c>
      <c r="G12139" s="40" t="s">
        <v>11404</v>
      </c>
      <c r="H12139" s="40" t="s">
        <v>11404</v>
      </c>
    </row>
    <row r="12140">
      <c r="A12140" s="39"/>
      <c r="E12140" s="40" t="s">
        <v>11404</v>
      </c>
      <c r="F12140" s="40" t="s">
        <v>11404</v>
      </c>
      <c r="G12140" s="40" t="s">
        <v>11404</v>
      </c>
      <c r="H12140" s="40" t="s">
        <v>11404</v>
      </c>
    </row>
    <row r="12141">
      <c r="A12141" s="39"/>
      <c r="E12141" s="40" t="s">
        <v>11404</v>
      </c>
      <c r="F12141" s="40" t="s">
        <v>11404</v>
      </c>
      <c r="G12141" s="40" t="s">
        <v>11404</v>
      </c>
      <c r="H12141" s="40" t="s">
        <v>11404</v>
      </c>
    </row>
    <row r="12142">
      <c r="A12142" s="39"/>
      <c r="E12142" s="40" t="s">
        <v>11404</v>
      </c>
      <c r="F12142" s="40" t="s">
        <v>11404</v>
      </c>
      <c r="G12142" s="40" t="s">
        <v>11404</v>
      </c>
      <c r="H12142" s="40" t="s">
        <v>11404</v>
      </c>
    </row>
    <row r="12143">
      <c r="A12143" s="39"/>
      <c r="E12143" s="40" t="s">
        <v>11404</v>
      </c>
      <c r="F12143" s="40" t="s">
        <v>11404</v>
      </c>
      <c r="G12143" s="40" t="s">
        <v>11404</v>
      </c>
      <c r="H12143" s="40" t="s">
        <v>11404</v>
      </c>
    </row>
    <row r="12144">
      <c r="A12144" s="39"/>
      <c r="E12144" s="40" t="s">
        <v>11404</v>
      </c>
      <c r="F12144" s="40" t="s">
        <v>11404</v>
      </c>
      <c r="G12144" s="40" t="s">
        <v>11404</v>
      </c>
      <c r="H12144" s="40" t="s">
        <v>11404</v>
      </c>
    </row>
    <row r="12145">
      <c r="A12145" s="39"/>
      <c r="E12145" s="40" t="s">
        <v>11404</v>
      </c>
      <c r="F12145" s="40" t="s">
        <v>11404</v>
      </c>
      <c r="G12145" s="40" t="s">
        <v>11404</v>
      </c>
      <c r="H12145" s="40" t="s">
        <v>11404</v>
      </c>
    </row>
    <row r="12146">
      <c r="A12146" s="39"/>
      <c r="E12146" s="40" t="s">
        <v>11404</v>
      </c>
      <c r="F12146" s="40" t="s">
        <v>11404</v>
      </c>
      <c r="G12146" s="40" t="s">
        <v>11404</v>
      </c>
      <c r="H12146" s="40" t="s">
        <v>11404</v>
      </c>
    </row>
    <row r="12147">
      <c r="A12147" s="39"/>
      <c r="E12147" s="40" t="s">
        <v>11404</v>
      </c>
      <c r="F12147" s="40" t="s">
        <v>11404</v>
      </c>
      <c r="G12147" s="40" t="s">
        <v>11404</v>
      </c>
      <c r="H12147" s="40" t="s">
        <v>11404</v>
      </c>
    </row>
    <row r="12148">
      <c r="A12148" s="39"/>
      <c r="E12148" s="40" t="s">
        <v>11404</v>
      </c>
      <c r="F12148" s="40" t="s">
        <v>11404</v>
      </c>
      <c r="G12148" s="40" t="s">
        <v>11404</v>
      </c>
      <c r="H12148" s="40" t="s">
        <v>11404</v>
      </c>
    </row>
    <row r="12149">
      <c r="A12149" s="39"/>
      <c r="E12149" s="40" t="s">
        <v>11404</v>
      </c>
      <c r="F12149" s="40" t="s">
        <v>11404</v>
      </c>
      <c r="G12149" s="40" t="s">
        <v>11404</v>
      </c>
      <c r="H12149" s="40" t="s">
        <v>11404</v>
      </c>
    </row>
    <row r="12150">
      <c r="A12150" s="39"/>
      <c r="E12150" s="40" t="s">
        <v>11404</v>
      </c>
      <c r="F12150" s="40" t="s">
        <v>11404</v>
      </c>
      <c r="G12150" s="40" t="s">
        <v>11404</v>
      </c>
      <c r="H12150" s="40" t="s">
        <v>11404</v>
      </c>
    </row>
    <row r="12151">
      <c r="A12151" s="39"/>
      <c r="E12151" s="40" t="s">
        <v>11404</v>
      </c>
      <c r="F12151" s="40" t="s">
        <v>11404</v>
      </c>
      <c r="G12151" s="40" t="s">
        <v>11404</v>
      </c>
      <c r="H12151" s="40" t="s">
        <v>11404</v>
      </c>
    </row>
    <row r="12152">
      <c r="A12152" s="39"/>
      <c r="E12152" s="40" t="s">
        <v>11404</v>
      </c>
      <c r="F12152" s="40" t="s">
        <v>11404</v>
      </c>
      <c r="G12152" s="40" t="s">
        <v>11404</v>
      </c>
      <c r="H12152" s="40" t="s">
        <v>11404</v>
      </c>
    </row>
    <row r="12153">
      <c r="A12153" s="39"/>
      <c r="E12153" s="40" t="s">
        <v>11404</v>
      </c>
      <c r="F12153" s="40" t="s">
        <v>11404</v>
      </c>
      <c r="G12153" s="40" t="s">
        <v>11404</v>
      </c>
      <c r="H12153" s="40" t="s">
        <v>11404</v>
      </c>
    </row>
    <row r="12154">
      <c r="A12154" s="39"/>
      <c r="E12154" s="40" t="s">
        <v>11404</v>
      </c>
      <c r="F12154" s="40" t="s">
        <v>11404</v>
      </c>
      <c r="G12154" s="40" t="s">
        <v>11404</v>
      </c>
      <c r="H12154" s="40" t="s">
        <v>11404</v>
      </c>
    </row>
    <row r="12155">
      <c r="A12155" s="39"/>
      <c r="E12155" s="40" t="s">
        <v>11404</v>
      </c>
      <c r="F12155" s="40" t="s">
        <v>11404</v>
      </c>
      <c r="G12155" s="40" t="s">
        <v>11404</v>
      </c>
      <c r="H12155" s="40" t="s">
        <v>11404</v>
      </c>
    </row>
    <row r="12156">
      <c r="A12156" s="39"/>
      <c r="E12156" s="40" t="s">
        <v>11404</v>
      </c>
      <c r="F12156" s="40" t="s">
        <v>11404</v>
      </c>
      <c r="G12156" s="40" t="s">
        <v>11404</v>
      </c>
      <c r="H12156" s="40" t="s">
        <v>11404</v>
      </c>
    </row>
    <row r="12157">
      <c r="A12157" s="39"/>
      <c r="E12157" s="40" t="s">
        <v>11404</v>
      </c>
      <c r="F12157" s="40" t="s">
        <v>11404</v>
      </c>
      <c r="G12157" s="40" t="s">
        <v>11404</v>
      </c>
      <c r="H12157" s="40" t="s">
        <v>11404</v>
      </c>
    </row>
    <row r="12158">
      <c r="A12158" s="39"/>
      <c r="E12158" s="40" t="s">
        <v>11404</v>
      </c>
      <c r="F12158" s="40" t="s">
        <v>11404</v>
      </c>
      <c r="G12158" s="40" t="s">
        <v>11404</v>
      </c>
      <c r="H12158" s="40" t="s">
        <v>11404</v>
      </c>
    </row>
    <row r="12159">
      <c r="A12159" s="39"/>
      <c r="E12159" s="40" t="s">
        <v>11404</v>
      </c>
      <c r="F12159" s="40" t="s">
        <v>11404</v>
      </c>
      <c r="G12159" s="40" t="s">
        <v>11404</v>
      </c>
      <c r="H12159" s="40" t="s">
        <v>11404</v>
      </c>
    </row>
    <row r="12160">
      <c r="A12160" s="39"/>
      <c r="E12160" s="40" t="s">
        <v>11404</v>
      </c>
      <c r="F12160" s="40" t="s">
        <v>11404</v>
      </c>
      <c r="G12160" s="40" t="s">
        <v>11404</v>
      </c>
      <c r="H12160" s="40" t="s">
        <v>11404</v>
      </c>
    </row>
    <row r="12161">
      <c r="A12161" s="39"/>
      <c r="E12161" s="40" t="s">
        <v>11404</v>
      </c>
      <c r="F12161" s="40" t="s">
        <v>11404</v>
      </c>
      <c r="G12161" s="40" t="s">
        <v>11404</v>
      </c>
      <c r="H12161" s="40" t="s">
        <v>11404</v>
      </c>
    </row>
    <row r="12162">
      <c r="A12162" s="39"/>
      <c r="E12162" s="40" t="s">
        <v>11404</v>
      </c>
      <c r="F12162" s="40" t="s">
        <v>11404</v>
      </c>
      <c r="G12162" s="40" t="s">
        <v>11404</v>
      </c>
      <c r="H12162" s="40" t="s">
        <v>11404</v>
      </c>
    </row>
    <row r="12163">
      <c r="A12163" s="39"/>
      <c r="E12163" s="40" t="s">
        <v>11404</v>
      </c>
      <c r="F12163" s="40" t="s">
        <v>11404</v>
      </c>
      <c r="G12163" s="40" t="s">
        <v>11404</v>
      </c>
      <c r="H12163" s="40" t="s">
        <v>11404</v>
      </c>
    </row>
    <row r="12164">
      <c r="A12164" s="39"/>
      <c r="E12164" s="40" t="s">
        <v>11404</v>
      </c>
      <c r="F12164" s="40" t="s">
        <v>11404</v>
      </c>
      <c r="G12164" s="40" t="s">
        <v>11404</v>
      </c>
      <c r="H12164" s="40" t="s">
        <v>11404</v>
      </c>
    </row>
    <row r="12165">
      <c r="A12165" s="39"/>
      <c r="E12165" s="40" t="s">
        <v>11404</v>
      </c>
      <c r="F12165" s="40" t="s">
        <v>11404</v>
      </c>
      <c r="G12165" s="40" t="s">
        <v>11404</v>
      </c>
      <c r="H12165" s="40" t="s">
        <v>11404</v>
      </c>
    </row>
    <row r="12166">
      <c r="A12166" s="39"/>
      <c r="E12166" s="40" t="s">
        <v>11404</v>
      </c>
      <c r="F12166" s="40" t="s">
        <v>11404</v>
      </c>
      <c r="G12166" s="40" t="s">
        <v>11404</v>
      </c>
      <c r="H12166" s="40" t="s">
        <v>11404</v>
      </c>
    </row>
    <row r="12167">
      <c r="A12167" s="39"/>
      <c r="E12167" s="40" t="s">
        <v>11404</v>
      </c>
      <c r="F12167" s="40" t="s">
        <v>11404</v>
      </c>
      <c r="G12167" s="40" t="s">
        <v>11404</v>
      </c>
      <c r="H12167" s="40" t="s">
        <v>11404</v>
      </c>
    </row>
    <row r="12168">
      <c r="A12168" s="39"/>
      <c r="E12168" s="40" t="s">
        <v>11404</v>
      </c>
      <c r="F12168" s="40" t="s">
        <v>11404</v>
      </c>
      <c r="G12168" s="40" t="s">
        <v>11404</v>
      </c>
      <c r="H12168" s="40" t="s">
        <v>11404</v>
      </c>
    </row>
    <row r="12169">
      <c r="A12169" s="39"/>
      <c r="E12169" s="40" t="s">
        <v>11404</v>
      </c>
      <c r="F12169" s="40" t="s">
        <v>11404</v>
      </c>
      <c r="G12169" s="40" t="s">
        <v>11404</v>
      </c>
      <c r="H12169" s="40" t="s">
        <v>11404</v>
      </c>
    </row>
    <row r="12170">
      <c r="A12170" s="39"/>
      <c r="E12170" s="40" t="s">
        <v>11404</v>
      </c>
      <c r="F12170" s="40" t="s">
        <v>11404</v>
      </c>
      <c r="G12170" s="40" t="s">
        <v>11404</v>
      </c>
      <c r="H12170" s="40" t="s">
        <v>11404</v>
      </c>
    </row>
    <row r="12171">
      <c r="A12171" s="39"/>
      <c r="E12171" s="40" t="s">
        <v>11404</v>
      </c>
      <c r="F12171" s="40" t="s">
        <v>11404</v>
      </c>
      <c r="G12171" s="40" t="s">
        <v>11404</v>
      </c>
      <c r="H12171" s="40" t="s">
        <v>11404</v>
      </c>
    </row>
    <row r="12172">
      <c r="A12172" s="39"/>
      <c r="E12172" s="40" t="s">
        <v>11404</v>
      </c>
      <c r="F12172" s="40" t="s">
        <v>11404</v>
      </c>
      <c r="G12172" s="40" t="s">
        <v>11404</v>
      </c>
      <c r="H12172" s="40" t="s">
        <v>11404</v>
      </c>
    </row>
    <row r="12173">
      <c r="A12173" s="39"/>
      <c r="E12173" s="40" t="s">
        <v>11404</v>
      </c>
      <c r="F12173" s="40" t="s">
        <v>11404</v>
      </c>
      <c r="G12173" s="40" t="s">
        <v>11404</v>
      </c>
      <c r="H12173" s="40" t="s">
        <v>11404</v>
      </c>
    </row>
    <row r="12174">
      <c r="A12174" s="39"/>
      <c r="E12174" s="40" t="s">
        <v>11404</v>
      </c>
      <c r="F12174" s="40" t="s">
        <v>11404</v>
      </c>
      <c r="G12174" s="40" t="s">
        <v>11404</v>
      </c>
      <c r="H12174" s="40" t="s">
        <v>11404</v>
      </c>
    </row>
    <row r="12175">
      <c r="A12175" s="39"/>
      <c r="E12175" s="40" t="s">
        <v>11404</v>
      </c>
      <c r="F12175" s="40" t="s">
        <v>11404</v>
      </c>
      <c r="G12175" s="40" t="s">
        <v>11404</v>
      </c>
      <c r="H12175" s="40" t="s">
        <v>11404</v>
      </c>
    </row>
    <row r="12176">
      <c r="A12176" s="39"/>
      <c r="E12176" s="40" t="s">
        <v>11404</v>
      </c>
      <c r="F12176" s="40" t="s">
        <v>11404</v>
      </c>
      <c r="G12176" s="40" t="s">
        <v>11404</v>
      </c>
      <c r="H12176" s="40" t="s">
        <v>11404</v>
      </c>
    </row>
    <row r="12177">
      <c r="A12177" s="39"/>
      <c r="E12177" s="40" t="s">
        <v>11404</v>
      </c>
      <c r="F12177" s="40" t="s">
        <v>11404</v>
      </c>
      <c r="G12177" s="40" t="s">
        <v>11404</v>
      </c>
      <c r="H12177" s="40" t="s">
        <v>11404</v>
      </c>
    </row>
    <row r="12178">
      <c r="A12178" s="39"/>
      <c r="E12178" s="40" t="s">
        <v>11404</v>
      </c>
      <c r="F12178" s="40" t="s">
        <v>11404</v>
      </c>
      <c r="G12178" s="40" t="s">
        <v>11404</v>
      </c>
      <c r="H12178" s="40" t="s">
        <v>11404</v>
      </c>
    </row>
    <row r="12179">
      <c r="A12179" s="39"/>
      <c r="E12179" s="40" t="s">
        <v>11404</v>
      </c>
      <c r="F12179" s="40" t="s">
        <v>11404</v>
      </c>
      <c r="G12179" s="40" t="s">
        <v>11404</v>
      </c>
      <c r="H12179" s="40" t="s">
        <v>11404</v>
      </c>
    </row>
    <row r="12180">
      <c r="A12180" s="39"/>
      <c r="E12180" s="40" t="s">
        <v>11404</v>
      </c>
      <c r="F12180" s="40" t="s">
        <v>11404</v>
      </c>
      <c r="G12180" s="40" t="s">
        <v>11404</v>
      </c>
      <c r="H12180" s="40" t="s">
        <v>11404</v>
      </c>
    </row>
    <row r="12181">
      <c r="A12181" s="39"/>
      <c r="E12181" s="40" t="s">
        <v>11404</v>
      </c>
      <c r="F12181" s="40" t="s">
        <v>11404</v>
      </c>
      <c r="G12181" s="40" t="s">
        <v>11404</v>
      </c>
      <c r="H12181" s="40" t="s">
        <v>11404</v>
      </c>
    </row>
    <row r="12182">
      <c r="A12182" s="39"/>
      <c r="E12182" s="40" t="s">
        <v>11404</v>
      </c>
      <c r="F12182" s="40" t="s">
        <v>11404</v>
      </c>
      <c r="G12182" s="40" t="s">
        <v>11404</v>
      </c>
      <c r="H12182" s="40" t="s">
        <v>11404</v>
      </c>
    </row>
    <row r="12183">
      <c r="A12183" s="39"/>
      <c r="E12183" s="40" t="s">
        <v>11404</v>
      </c>
      <c r="F12183" s="40" t="s">
        <v>11404</v>
      </c>
      <c r="G12183" s="40" t="s">
        <v>11404</v>
      </c>
      <c r="H12183" s="40" t="s">
        <v>11404</v>
      </c>
    </row>
    <row r="12184">
      <c r="A12184" s="39"/>
      <c r="E12184" s="40" t="s">
        <v>11404</v>
      </c>
      <c r="F12184" s="40" t="s">
        <v>11404</v>
      </c>
      <c r="G12184" s="40" t="s">
        <v>11404</v>
      </c>
      <c r="H12184" s="40" t="s">
        <v>11404</v>
      </c>
    </row>
    <row r="12185">
      <c r="A12185" s="39"/>
      <c r="E12185" s="40" t="s">
        <v>11404</v>
      </c>
      <c r="F12185" s="40" t="s">
        <v>11404</v>
      </c>
      <c r="G12185" s="40" t="s">
        <v>11404</v>
      </c>
      <c r="H12185" s="40" t="s">
        <v>11404</v>
      </c>
    </row>
    <row r="12186">
      <c r="A12186" s="39"/>
      <c r="E12186" s="40" t="s">
        <v>11404</v>
      </c>
      <c r="F12186" s="40" t="s">
        <v>11404</v>
      </c>
      <c r="G12186" s="40" t="s">
        <v>11404</v>
      </c>
      <c r="H12186" s="40" t="s">
        <v>11404</v>
      </c>
    </row>
    <row r="12187">
      <c r="A12187" s="39"/>
      <c r="E12187" s="40" t="s">
        <v>11404</v>
      </c>
      <c r="F12187" s="40" t="s">
        <v>11404</v>
      </c>
      <c r="G12187" s="40" t="s">
        <v>11404</v>
      </c>
      <c r="H12187" s="40" t="s">
        <v>11404</v>
      </c>
    </row>
    <row r="12188">
      <c r="A12188" s="39"/>
      <c r="E12188" s="40" t="s">
        <v>11404</v>
      </c>
      <c r="F12188" s="40" t="s">
        <v>11404</v>
      </c>
      <c r="G12188" s="40" t="s">
        <v>11404</v>
      </c>
      <c r="H12188" s="40" t="s">
        <v>11404</v>
      </c>
    </row>
    <row r="12189">
      <c r="A12189" s="39"/>
      <c r="E12189" s="40" t="s">
        <v>11404</v>
      </c>
      <c r="F12189" s="40" t="s">
        <v>11404</v>
      </c>
      <c r="G12189" s="40" t="s">
        <v>11404</v>
      </c>
      <c r="H12189" s="40" t="s">
        <v>11404</v>
      </c>
    </row>
    <row r="12190">
      <c r="A12190" s="39"/>
      <c r="E12190" s="40" t="s">
        <v>11404</v>
      </c>
      <c r="F12190" s="40" t="s">
        <v>11404</v>
      </c>
      <c r="G12190" s="40" t="s">
        <v>11404</v>
      </c>
      <c r="H12190" s="40" t="s">
        <v>11404</v>
      </c>
    </row>
    <row r="12191">
      <c r="A12191" s="39"/>
      <c r="E12191" s="40" t="s">
        <v>11404</v>
      </c>
      <c r="F12191" s="40" t="s">
        <v>11404</v>
      </c>
      <c r="G12191" s="40" t="s">
        <v>11404</v>
      </c>
      <c r="H12191" s="40" t="s">
        <v>11404</v>
      </c>
    </row>
    <row r="12192">
      <c r="A12192" s="39"/>
      <c r="E12192" s="40" t="s">
        <v>11404</v>
      </c>
      <c r="F12192" s="40" t="s">
        <v>11404</v>
      </c>
      <c r="G12192" s="40" t="s">
        <v>11404</v>
      </c>
      <c r="H12192" s="40" t="s">
        <v>11404</v>
      </c>
    </row>
    <row r="12193">
      <c r="A12193" s="39"/>
      <c r="E12193" s="40" t="s">
        <v>11404</v>
      </c>
      <c r="F12193" s="40" t="s">
        <v>11404</v>
      </c>
      <c r="G12193" s="40" t="s">
        <v>11404</v>
      </c>
      <c r="H12193" s="40" t="s">
        <v>11404</v>
      </c>
    </row>
    <row r="12194">
      <c r="A12194" s="39"/>
      <c r="E12194" s="40" t="s">
        <v>11404</v>
      </c>
      <c r="F12194" s="40" t="s">
        <v>11404</v>
      </c>
      <c r="G12194" s="40" t="s">
        <v>11404</v>
      </c>
      <c r="H12194" s="40" t="s">
        <v>11404</v>
      </c>
    </row>
    <row r="12195">
      <c r="A12195" s="39"/>
      <c r="E12195" s="40" t="s">
        <v>11404</v>
      </c>
      <c r="F12195" s="40" t="s">
        <v>11404</v>
      </c>
      <c r="G12195" s="40" t="s">
        <v>11404</v>
      </c>
      <c r="H12195" s="40" t="s">
        <v>11404</v>
      </c>
    </row>
    <row r="12196">
      <c r="A12196" s="39"/>
      <c r="E12196" s="40" t="s">
        <v>11404</v>
      </c>
      <c r="F12196" s="40" t="s">
        <v>11404</v>
      </c>
      <c r="G12196" s="40" t="s">
        <v>11404</v>
      </c>
      <c r="H12196" s="40" t="s">
        <v>11404</v>
      </c>
    </row>
    <row r="12197">
      <c r="A12197" s="39"/>
      <c r="E12197" s="40" t="s">
        <v>11404</v>
      </c>
      <c r="F12197" s="40" t="s">
        <v>11404</v>
      </c>
      <c r="G12197" s="40" t="s">
        <v>11404</v>
      </c>
      <c r="H12197" s="40" t="s">
        <v>11404</v>
      </c>
    </row>
    <row r="12198">
      <c r="A12198" s="39"/>
      <c r="E12198" s="40" t="s">
        <v>11404</v>
      </c>
      <c r="F12198" s="40" t="s">
        <v>11404</v>
      </c>
      <c r="G12198" s="40" t="s">
        <v>11404</v>
      </c>
      <c r="H12198" s="40" t="s">
        <v>11404</v>
      </c>
    </row>
    <row r="12199">
      <c r="A12199" s="39"/>
      <c r="E12199" s="40" t="s">
        <v>11404</v>
      </c>
      <c r="F12199" s="40" t="s">
        <v>11404</v>
      </c>
      <c r="G12199" s="40" t="s">
        <v>11404</v>
      </c>
      <c r="H12199" s="40" t="s">
        <v>11404</v>
      </c>
    </row>
    <row r="12200">
      <c r="A12200" s="39"/>
      <c r="E12200" s="40" t="s">
        <v>11404</v>
      </c>
      <c r="F12200" s="40" t="s">
        <v>11404</v>
      </c>
      <c r="G12200" s="40" t="s">
        <v>11404</v>
      </c>
      <c r="H12200" s="40" t="s">
        <v>11404</v>
      </c>
    </row>
    <row r="12201">
      <c r="A12201" s="39"/>
      <c r="E12201" s="40" t="s">
        <v>11404</v>
      </c>
      <c r="F12201" s="40" t="s">
        <v>11404</v>
      </c>
      <c r="G12201" s="40" t="s">
        <v>11404</v>
      </c>
      <c r="H12201" s="40" t="s">
        <v>11404</v>
      </c>
    </row>
    <row r="12202">
      <c r="A12202" s="39"/>
      <c r="E12202" s="40" t="s">
        <v>11404</v>
      </c>
      <c r="F12202" s="40" t="s">
        <v>11404</v>
      </c>
      <c r="G12202" s="40" t="s">
        <v>11404</v>
      </c>
      <c r="H12202" s="40" t="s">
        <v>11404</v>
      </c>
    </row>
    <row r="12203">
      <c r="A12203" s="39"/>
      <c r="E12203" s="40" t="s">
        <v>11404</v>
      </c>
      <c r="F12203" s="40" t="s">
        <v>11404</v>
      </c>
      <c r="G12203" s="40" t="s">
        <v>11404</v>
      </c>
      <c r="H12203" s="40" t="s">
        <v>11404</v>
      </c>
    </row>
    <row r="12204">
      <c r="A12204" s="39"/>
      <c r="E12204" s="40" t="s">
        <v>11404</v>
      </c>
      <c r="F12204" s="40" t="s">
        <v>11404</v>
      </c>
      <c r="G12204" s="40" t="s">
        <v>11404</v>
      </c>
      <c r="H12204" s="40" t="s">
        <v>11404</v>
      </c>
    </row>
    <row r="12205">
      <c r="A12205" s="39"/>
      <c r="E12205" s="40" t="s">
        <v>11404</v>
      </c>
      <c r="F12205" s="40" t="s">
        <v>11404</v>
      </c>
      <c r="G12205" s="40" t="s">
        <v>11404</v>
      </c>
      <c r="H12205" s="40" t="s">
        <v>11404</v>
      </c>
    </row>
    <row r="12206">
      <c r="A12206" s="39"/>
      <c r="E12206" s="40" t="s">
        <v>11404</v>
      </c>
      <c r="F12206" s="40" t="s">
        <v>11404</v>
      </c>
      <c r="G12206" s="40" t="s">
        <v>11404</v>
      </c>
      <c r="H12206" s="40" t="s">
        <v>11404</v>
      </c>
    </row>
    <row r="12207">
      <c r="A12207" s="39"/>
      <c r="E12207" s="40" t="s">
        <v>11404</v>
      </c>
      <c r="F12207" s="40" t="s">
        <v>11404</v>
      </c>
      <c r="G12207" s="40" t="s">
        <v>11404</v>
      </c>
      <c r="H12207" s="40" t="s">
        <v>11404</v>
      </c>
    </row>
    <row r="12208">
      <c r="A12208" s="39"/>
      <c r="E12208" s="40" t="s">
        <v>11404</v>
      </c>
      <c r="F12208" s="40" t="s">
        <v>11404</v>
      </c>
      <c r="G12208" s="40" t="s">
        <v>11404</v>
      </c>
      <c r="H12208" s="40" t="s">
        <v>11404</v>
      </c>
    </row>
    <row r="12209">
      <c r="A12209" s="39"/>
      <c r="E12209" s="40" t="s">
        <v>11404</v>
      </c>
      <c r="F12209" s="40" t="s">
        <v>11404</v>
      </c>
      <c r="G12209" s="40" t="s">
        <v>11404</v>
      </c>
      <c r="H12209" s="40" t="s">
        <v>11404</v>
      </c>
    </row>
    <row r="12210">
      <c r="A12210" s="39"/>
      <c r="E12210" s="40" t="s">
        <v>11404</v>
      </c>
      <c r="F12210" s="40" t="s">
        <v>11404</v>
      </c>
      <c r="G12210" s="40" t="s">
        <v>11404</v>
      </c>
      <c r="H12210" s="40" t="s">
        <v>11404</v>
      </c>
    </row>
    <row r="12211">
      <c r="A12211" s="39"/>
      <c r="E12211" s="40" t="s">
        <v>11404</v>
      </c>
      <c r="F12211" s="40" t="s">
        <v>11404</v>
      </c>
      <c r="G12211" s="40" t="s">
        <v>11404</v>
      </c>
      <c r="H12211" s="40" t="s">
        <v>11404</v>
      </c>
    </row>
    <row r="12212">
      <c r="A12212" s="39"/>
      <c r="E12212" s="40" t="s">
        <v>11404</v>
      </c>
      <c r="F12212" s="40" t="s">
        <v>11404</v>
      </c>
      <c r="G12212" s="40" t="s">
        <v>11404</v>
      </c>
      <c r="H12212" s="40" t="s">
        <v>11404</v>
      </c>
    </row>
    <row r="12213">
      <c r="A12213" s="39"/>
      <c r="E12213" s="40" t="s">
        <v>11404</v>
      </c>
      <c r="F12213" s="40" t="s">
        <v>11404</v>
      </c>
      <c r="G12213" s="40" t="s">
        <v>11404</v>
      </c>
      <c r="H12213" s="40" t="s">
        <v>11404</v>
      </c>
    </row>
    <row r="12214">
      <c r="A12214" s="39"/>
      <c r="E12214" s="40" t="s">
        <v>11404</v>
      </c>
      <c r="F12214" s="40" t="s">
        <v>11404</v>
      </c>
      <c r="G12214" s="40" t="s">
        <v>11404</v>
      </c>
      <c r="H12214" s="40" t="s">
        <v>11404</v>
      </c>
    </row>
    <row r="12215">
      <c r="A12215" s="39"/>
      <c r="E12215" s="40" t="s">
        <v>11404</v>
      </c>
      <c r="F12215" s="40" t="s">
        <v>11404</v>
      </c>
      <c r="G12215" s="40" t="s">
        <v>11404</v>
      </c>
      <c r="H12215" s="40" t="s">
        <v>11404</v>
      </c>
    </row>
    <row r="12216">
      <c r="A12216" s="39"/>
      <c r="E12216" s="40" t="s">
        <v>11404</v>
      </c>
      <c r="F12216" s="40" t="s">
        <v>11404</v>
      </c>
      <c r="G12216" s="40" t="s">
        <v>11404</v>
      </c>
      <c r="H12216" s="40" t="s">
        <v>11404</v>
      </c>
    </row>
    <row r="12217">
      <c r="A12217" s="39"/>
      <c r="E12217" s="40" t="s">
        <v>11404</v>
      </c>
      <c r="F12217" s="40" t="s">
        <v>11404</v>
      </c>
      <c r="G12217" s="40" t="s">
        <v>11404</v>
      </c>
      <c r="H12217" s="40" t="s">
        <v>11404</v>
      </c>
    </row>
    <row r="12218">
      <c r="A12218" s="39"/>
      <c r="E12218" s="40" t="s">
        <v>11404</v>
      </c>
      <c r="F12218" s="40" t="s">
        <v>11404</v>
      </c>
      <c r="G12218" s="40" t="s">
        <v>11404</v>
      </c>
      <c r="H12218" s="40" t="s">
        <v>11404</v>
      </c>
    </row>
    <row r="12219">
      <c r="A12219" s="39"/>
      <c r="E12219" s="40" t="s">
        <v>11404</v>
      </c>
      <c r="F12219" s="40" t="s">
        <v>11404</v>
      </c>
      <c r="G12219" s="40" t="s">
        <v>11404</v>
      </c>
      <c r="H12219" s="40" t="s">
        <v>11404</v>
      </c>
    </row>
    <row r="12220">
      <c r="A12220" s="39"/>
      <c r="E12220" s="40" t="s">
        <v>11404</v>
      </c>
      <c r="F12220" s="40" t="s">
        <v>11404</v>
      </c>
      <c r="G12220" s="40" t="s">
        <v>11404</v>
      </c>
      <c r="H12220" s="40" t="s">
        <v>11404</v>
      </c>
    </row>
    <row r="12221">
      <c r="A12221" s="39"/>
      <c r="E12221" s="40" t="s">
        <v>11404</v>
      </c>
      <c r="F12221" s="40" t="s">
        <v>11404</v>
      </c>
      <c r="G12221" s="40" t="s">
        <v>11404</v>
      </c>
      <c r="H12221" s="40" t="s">
        <v>11404</v>
      </c>
    </row>
    <row r="12222">
      <c r="A12222" s="39"/>
      <c r="E12222" s="40" t="s">
        <v>11404</v>
      </c>
      <c r="F12222" s="40" t="s">
        <v>11404</v>
      </c>
      <c r="G12222" s="40" t="s">
        <v>11404</v>
      </c>
      <c r="H12222" s="40" t="s">
        <v>11404</v>
      </c>
    </row>
    <row r="12223">
      <c r="A12223" s="39"/>
      <c r="E12223" s="40" t="s">
        <v>11404</v>
      </c>
      <c r="F12223" s="40" t="s">
        <v>11404</v>
      </c>
      <c r="G12223" s="40" t="s">
        <v>11404</v>
      </c>
      <c r="H12223" s="40" t="s">
        <v>11404</v>
      </c>
    </row>
    <row r="12224">
      <c r="A12224" s="39"/>
      <c r="E12224" s="40" t="s">
        <v>11404</v>
      </c>
      <c r="F12224" s="40" t="s">
        <v>11404</v>
      </c>
      <c r="G12224" s="40" t="s">
        <v>11404</v>
      </c>
      <c r="H12224" s="40" t="s">
        <v>11404</v>
      </c>
    </row>
    <row r="12225">
      <c r="A12225" s="39"/>
      <c r="E12225" s="40" t="s">
        <v>11404</v>
      </c>
      <c r="F12225" s="40" t="s">
        <v>11404</v>
      </c>
      <c r="G12225" s="40" t="s">
        <v>11404</v>
      </c>
      <c r="H12225" s="40" t="s">
        <v>11404</v>
      </c>
    </row>
    <row r="12226">
      <c r="A12226" s="39"/>
      <c r="E12226" s="40" t="s">
        <v>11404</v>
      </c>
      <c r="F12226" s="40" t="s">
        <v>11404</v>
      </c>
      <c r="G12226" s="40" t="s">
        <v>11404</v>
      </c>
      <c r="H12226" s="40" t="s">
        <v>11404</v>
      </c>
    </row>
    <row r="12227">
      <c r="A12227" s="39"/>
      <c r="E12227" s="40" t="s">
        <v>11404</v>
      </c>
      <c r="F12227" s="40" t="s">
        <v>11404</v>
      </c>
      <c r="G12227" s="40" t="s">
        <v>11404</v>
      </c>
      <c r="H12227" s="40" t="s">
        <v>11404</v>
      </c>
    </row>
    <row r="12228">
      <c r="A12228" s="39"/>
      <c r="E12228" s="40" t="s">
        <v>11404</v>
      </c>
      <c r="F12228" s="40" t="s">
        <v>11404</v>
      </c>
      <c r="G12228" s="40" t="s">
        <v>11404</v>
      </c>
      <c r="H12228" s="40" t="s">
        <v>11404</v>
      </c>
    </row>
    <row r="12229">
      <c r="A12229" s="39"/>
      <c r="E12229" s="40" t="s">
        <v>11404</v>
      </c>
      <c r="F12229" s="40" t="s">
        <v>11404</v>
      </c>
      <c r="G12229" s="40" t="s">
        <v>11404</v>
      </c>
      <c r="H12229" s="40" t="s">
        <v>11404</v>
      </c>
    </row>
    <row r="12230">
      <c r="A12230" s="39"/>
      <c r="E12230" s="40" t="s">
        <v>11404</v>
      </c>
      <c r="F12230" s="40" t="s">
        <v>11404</v>
      </c>
      <c r="G12230" s="40" t="s">
        <v>11404</v>
      </c>
      <c r="H12230" s="40" t="s">
        <v>11404</v>
      </c>
    </row>
    <row r="12231">
      <c r="A12231" s="39"/>
      <c r="E12231" s="40" t="s">
        <v>11404</v>
      </c>
      <c r="F12231" s="40" t="s">
        <v>11404</v>
      </c>
      <c r="G12231" s="40" t="s">
        <v>11404</v>
      </c>
      <c r="H12231" s="40" t="s">
        <v>11404</v>
      </c>
    </row>
    <row r="12232">
      <c r="A12232" s="39"/>
      <c r="E12232" s="40" t="s">
        <v>11404</v>
      </c>
      <c r="F12232" s="40" t="s">
        <v>11404</v>
      </c>
      <c r="G12232" s="40" t="s">
        <v>11404</v>
      </c>
      <c r="H12232" s="40" t="s">
        <v>11404</v>
      </c>
    </row>
    <row r="12233">
      <c r="A12233" s="39"/>
      <c r="E12233" s="40" t="s">
        <v>11404</v>
      </c>
      <c r="F12233" s="40" t="s">
        <v>11404</v>
      </c>
      <c r="G12233" s="40" t="s">
        <v>11404</v>
      </c>
      <c r="H12233" s="40" t="s">
        <v>11404</v>
      </c>
    </row>
    <row r="12234">
      <c r="A12234" s="39"/>
      <c r="E12234" s="40" t="s">
        <v>11404</v>
      </c>
      <c r="F12234" s="40" t="s">
        <v>11404</v>
      </c>
      <c r="G12234" s="40" t="s">
        <v>11404</v>
      </c>
      <c r="H12234" s="40" t="s">
        <v>11404</v>
      </c>
    </row>
    <row r="12235">
      <c r="A12235" s="39"/>
      <c r="E12235" s="40" t="s">
        <v>11404</v>
      </c>
      <c r="F12235" s="40" t="s">
        <v>11404</v>
      </c>
      <c r="G12235" s="40" t="s">
        <v>11404</v>
      </c>
      <c r="H12235" s="40" t="s">
        <v>11404</v>
      </c>
    </row>
    <row r="12236">
      <c r="A12236" s="39"/>
      <c r="E12236" s="40" t="s">
        <v>11404</v>
      </c>
      <c r="F12236" s="40" t="s">
        <v>11404</v>
      </c>
      <c r="G12236" s="40" t="s">
        <v>11404</v>
      </c>
      <c r="H12236" s="40" t="s">
        <v>11404</v>
      </c>
    </row>
    <row r="12237">
      <c r="A12237" s="39"/>
      <c r="E12237" s="40" t="s">
        <v>11404</v>
      </c>
      <c r="F12237" s="40" t="s">
        <v>11404</v>
      </c>
      <c r="G12237" s="40" t="s">
        <v>11404</v>
      </c>
      <c r="H12237" s="40" t="s">
        <v>11404</v>
      </c>
    </row>
    <row r="12238">
      <c r="A12238" s="39"/>
      <c r="E12238" s="40" t="s">
        <v>11404</v>
      </c>
      <c r="F12238" s="40" t="s">
        <v>11404</v>
      </c>
      <c r="G12238" s="40" t="s">
        <v>11404</v>
      </c>
      <c r="H12238" s="40" t="s">
        <v>11404</v>
      </c>
    </row>
    <row r="12239">
      <c r="A12239" s="39"/>
      <c r="E12239" s="40" t="s">
        <v>11404</v>
      </c>
      <c r="F12239" s="40" t="s">
        <v>11404</v>
      </c>
      <c r="G12239" s="40" t="s">
        <v>11404</v>
      </c>
      <c r="H12239" s="40" t="s">
        <v>11404</v>
      </c>
    </row>
    <row r="12240">
      <c r="A12240" s="39"/>
      <c r="E12240" s="40" t="s">
        <v>11404</v>
      </c>
      <c r="F12240" s="40" t="s">
        <v>11404</v>
      </c>
      <c r="G12240" s="40" t="s">
        <v>11404</v>
      </c>
      <c r="H12240" s="40" t="s">
        <v>11404</v>
      </c>
    </row>
    <row r="12241">
      <c r="A12241" s="39"/>
      <c r="E12241" s="40" t="s">
        <v>11404</v>
      </c>
      <c r="F12241" s="40" t="s">
        <v>11404</v>
      </c>
      <c r="G12241" s="40" t="s">
        <v>11404</v>
      </c>
      <c r="H12241" s="40" t="s">
        <v>11404</v>
      </c>
    </row>
    <row r="12242">
      <c r="A12242" s="39"/>
      <c r="E12242" s="40" t="s">
        <v>11404</v>
      </c>
      <c r="F12242" s="40" t="s">
        <v>11404</v>
      </c>
      <c r="G12242" s="40" t="s">
        <v>11404</v>
      </c>
      <c r="H12242" s="40" t="s">
        <v>11404</v>
      </c>
    </row>
    <row r="12243">
      <c r="A12243" s="39"/>
      <c r="E12243" s="40" t="s">
        <v>11404</v>
      </c>
      <c r="F12243" s="40" t="s">
        <v>11404</v>
      </c>
      <c r="G12243" s="40" t="s">
        <v>11404</v>
      </c>
      <c r="H12243" s="40" t="s">
        <v>11404</v>
      </c>
    </row>
    <row r="12244">
      <c r="A12244" s="39"/>
      <c r="E12244" s="40" t="s">
        <v>11404</v>
      </c>
      <c r="F12244" s="40" t="s">
        <v>11404</v>
      </c>
      <c r="G12244" s="40" t="s">
        <v>11404</v>
      </c>
      <c r="H12244" s="40" t="s">
        <v>11404</v>
      </c>
    </row>
    <row r="12245">
      <c r="A12245" s="39"/>
      <c r="E12245" s="40" t="s">
        <v>11404</v>
      </c>
      <c r="F12245" s="40" t="s">
        <v>11404</v>
      </c>
      <c r="G12245" s="40" t="s">
        <v>11404</v>
      </c>
      <c r="H12245" s="40" t="s">
        <v>11404</v>
      </c>
    </row>
    <row r="12246">
      <c r="A12246" s="39"/>
      <c r="E12246" s="40" t="s">
        <v>11404</v>
      </c>
      <c r="F12246" s="40" t="s">
        <v>11404</v>
      </c>
      <c r="G12246" s="40" t="s">
        <v>11404</v>
      </c>
      <c r="H12246" s="40" t="s">
        <v>11404</v>
      </c>
    </row>
    <row r="12247">
      <c r="A12247" s="39"/>
      <c r="E12247" s="40" t="s">
        <v>11404</v>
      </c>
      <c r="F12247" s="40" t="s">
        <v>11404</v>
      </c>
      <c r="G12247" s="40" t="s">
        <v>11404</v>
      </c>
      <c r="H12247" s="40" t="s">
        <v>11404</v>
      </c>
    </row>
    <row r="12248">
      <c r="A12248" s="39"/>
      <c r="E12248" s="40" t="s">
        <v>11404</v>
      </c>
      <c r="F12248" s="40" t="s">
        <v>11404</v>
      </c>
      <c r="G12248" s="40" t="s">
        <v>11404</v>
      </c>
      <c r="H12248" s="40" t="s">
        <v>11404</v>
      </c>
    </row>
    <row r="12249">
      <c r="A12249" s="39"/>
      <c r="E12249" s="40" t="s">
        <v>11404</v>
      </c>
      <c r="F12249" s="40" t="s">
        <v>11404</v>
      </c>
      <c r="G12249" s="40" t="s">
        <v>11404</v>
      </c>
      <c r="H12249" s="40" t="s">
        <v>11404</v>
      </c>
    </row>
    <row r="12250">
      <c r="A12250" s="39"/>
      <c r="E12250" s="40" t="s">
        <v>11404</v>
      </c>
      <c r="F12250" s="40" t="s">
        <v>11404</v>
      </c>
      <c r="G12250" s="40" t="s">
        <v>11404</v>
      </c>
      <c r="H12250" s="40" t="s">
        <v>11404</v>
      </c>
    </row>
    <row r="12251">
      <c r="A12251" s="39"/>
      <c r="E12251" s="40" t="s">
        <v>11404</v>
      </c>
      <c r="F12251" s="40" t="s">
        <v>11404</v>
      </c>
      <c r="G12251" s="40" t="s">
        <v>11404</v>
      </c>
      <c r="H12251" s="40" t="s">
        <v>11404</v>
      </c>
    </row>
    <row r="12252">
      <c r="A12252" s="39"/>
      <c r="E12252" s="40" t="s">
        <v>11404</v>
      </c>
      <c r="F12252" s="40" t="s">
        <v>11404</v>
      </c>
      <c r="G12252" s="40" t="s">
        <v>11404</v>
      </c>
      <c r="H12252" s="40" t="s">
        <v>11404</v>
      </c>
    </row>
    <row r="12253">
      <c r="A12253" s="39"/>
      <c r="E12253" s="40" t="s">
        <v>11404</v>
      </c>
      <c r="F12253" s="40" t="s">
        <v>11404</v>
      </c>
      <c r="G12253" s="40" t="s">
        <v>11404</v>
      </c>
      <c r="H12253" s="40" t="s">
        <v>11404</v>
      </c>
    </row>
    <row r="12254">
      <c r="A12254" s="39"/>
      <c r="E12254" s="40" t="s">
        <v>11404</v>
      </c>
      <c r="F12254" s="40" t="s">
        <v>11404</v>
      </c>
      <c r="G12254" s="40" t="s">
        <v>11404</v>
      </c>
      <c r="H12254" s="40" t="s">
        <v>11404</v>
      </c>
    </row>
    <row r="12255">
      <c r="A12255" s="39"/>
      <c r="E12255" s="40" t="s">
        <v>11404</v>
      </c>
      <c r="F12255" s="40" t="s">
        <v>11404</v>
      </c>
      <c r="G12255" s="40" t="s">
        <v>11404</v>
      </c>
      <c r="H12255" s="40" t="s">
        <v>11404</v>
      </c>
    </row>
    <row r="12256">
      <c r="A12256" s="39"/>
      <c r="E12256" s="40" t="s">
        <v>11404</v>
      </c>
      <c r="F12256" s="40" t="s">
        <v>11404</v>
      </c>
      <c r="G12256" s="40" t="s">
        <v>11404</v>
      </c>
      <c r="H12256" s="40" t="s">
        <v>11404</v>
      </c>
    </row>
    <row r="12257">
      <c r="A12257" s="39"/>
      <c r="E12257" s="40" t="s">
        <v>11404</v>
      </c>
      <c r="F12257" s="40" t="s">
        <v>11404</v>
      </c>
      <c r="G12257" s="40" t="s">
        <v>11404</v>
      </c>
      <c r="H12257" s="40" t="s">
        <v>11404</v>
      </c>
    </row>
    <row r="12258">
      <c r="A12258" s="39"/>
      <c r="E12258" s="40" t="s">
        <v>11404</v>
      </c>
      <c r="F12258" s="40" t="s">
        <v>11404</v>
      </c>
      <c r="G12258" s="40" t="s">
        <v>11404</v>
      </c>
      <c r="H12258" s="40" t="s">
        <v>11404</v>
      </c>
    </row>
    <row r="12259">
      <c r="A12259" s="39"/>
      <c r="E12259" s="40" t="s">
        <v>11404</v>
      </c>
      <c r="F12259" s="40" t="s">
        <v>11404</v>
      </c>
      <c r="G12259" s="40" t="s">
        <v>11404</v>
      </c>
      <c r="H12259" s="40" t="s">
        <v>11404</v>
      </c>
    </row>
    <row r="12260">
      <c r="A12260" s="39"/>
      <c r="E12260" s="40" t="s">
        <v>11404</v>
      </c>
      <c r="F12260" s="40" t="s">
        <v>11404</v>
      </c>
      <c r="G12260" s="40" t="s">
        <v>11404</v>
      </c>
      <c r="H12260" s="40" t="s">
        <v>11404</v>
      </c>
    </row>
    <row r="12261">
      <c r="A12261" s="39"/>
      <c r="E12261" s="40" t="s">
        <v>11404</v>
      </c>
      <c r="F12261" s="40" t="s">
        <v>11404</v>
      </c>
      <c r="G12261" s="40" t="s">
        <v>11404</v>
      </c>
      <c r="H12261" s="40" t="s">
        <v>11404</v>
      </c>
    </row>
    <row r="12262">
      <c r="A12262" s="39"/>
      <c r="E12262" s="40" t="s">
        <v>11404</v>
      </c>
      <c r="F12262" s="40" t="s">
        <v>11404</v>
      </c>
      <c r="G12262" s="40" t="s">
        <v>11404</v>
      </c>
      <c r="H12262" s="40" t="s">
        <v>11404</v>
      </c>
    </row>
    <row r="12263">
      <c r="A12263" s="39"/>
      <c r="E12263" s="40" t="s">
        <v>11404</v>
      </c>
      <c r="F12263" s="40" t="s">
        <v>11404</v>
      </c>
      <c r="G12263" s="40" t="s">
        <v>11404</v>
      </c>
      <c r="H12263" s="40" t="s">
        <v>11404</v>
      </c>
    </row>
    <row r="12264">
      <c r="A12264" s="39"/>
      <c r="E12264" s="40" t="s">
        <v>11404</v>
      </c>
      <c r="F12264" s="40" t="s">
        <v>11404</v>
      </c>
      <c r="G12264" s="40" t="s">
        <v>11404</v>
      </c>
      <c r="H12264" s="40" t="s">
        <v>11404</v>
      </c>
    </row>
    <row r="12265">
      <c r="A12265" s="39"/>
      <c r="E12265" s="40" t="s">
        <v>11404</v>
      </c>
      <c r="F12265" s="40" t="s">
        <v>11404</v>
      </c>
      <c r="G12265" s="40" t="s">
        <v>11404</v>
      </c>
      <c r="H12265" s="40" t="s">
        <v>11404</v>
      </c>
    </row>
    <row r="12266">
      <c r="A12266" s="39"/>
      <c r="E12266" s="40" t="s">
        <v>11404</v>
      </c>
      <c r="F12266" s="40" t="s">
        <v>11404</v>
      </c>
      <c r="G12266" s="40" t="s">
        <v>11404</v>
      </c>
      <c r="H12266" s="40" t="s">
        <v>11404</v>
      </c>
    </row>
    <row r="12267">
      <c r="A12267" s="39"/>
      <c r="E12267" s="40" t="s">
        <v>11404</v>
      </c>
      <c r="F12267" s="40" t="s">
        <v>11404</v>
      </c>
      <c r="G12267" s="40" t="s">
        <v>11404</v>
      </c>
      <c r="H12267" s="40" t="s">
        <v>11404</v>
      </c>
    </row>
    <row r="12268">
      <c r="A12268" s="39"/>
      <c r="E12268" s="40" t="s">
        <v>11404</v>
      </c>
      <c r="F12268" s="40" t="s">
        <v>11404</v>
      </c>
      <c r="G12268" s="40" t="s">
        <v>11404</v>
      </c>
      <c r="H12268" s="40" t="s">
        <v>11404</v>
      </c>
    </row>
    <row r="12269">
      <c r="A12269" s="39"/>
      <c r="E12269" s="40" t="s">
        <v>11404</v>
      </c>
      <c r="F12269" s="40" t="s">
        <v>11404</v>
      </c>
      <c r="G12269" s="40" t="s">
        <v>11404</v>
      </c>
      <c r="H12269" s="40" t="s">
        <v>11404</v>
      </c>
    </row>
    <row r="12270">
      <c r="A12270" s="39"/>
      <c r="E12270" s="40" t="s">
        <v>11404</v>
      </c>
      <c r="F12270" s="40" t="s">
        <v>11404</v>
      </c>
      <c r="G12270" s="40" t="s">
        <v>11404</v>
      </c>
      <c r="H12270" s="40" t="s">
        <v>11404</v>
      </c>
    </row>
    <row r="12271">
      <c r="A12271" s="39"/>
      <c r="E12271" s="40" t="s">
        <v>11404</v>
      </c>
      <c r="F12271" s="40" t="s">
        <v>11404</v>
      </c>
      <c r="G12271" s="40" t="s">
        <v>11404</v>
      </c>
      <c r="H12271" s="40" t="s">
        <v>11404</v>
      </c>
    </row>
    <row r="12272">
      <c r="A12272" s="39"/>
      <c r="E12272" s="40" t="s">
        <v>11404</v>
      </c>
      <c r="F12272" s="40" t="s">
        <v>11404</v>
      </c>
      <c r="G12272" s="40" t="s">
        <v>11404</v>
      </c>
      <c r="H12272" s="40" t="s">
        <v>11404</v>
      </c>
    </row>
    <row r="12273">
      <c r="A12273" s="39"/>
      <c r="E12273" s="40" t="s">
        <v>11404</v>
      </c>
      <c r="F12273" s="40" t="s">
        <v>11404</v>
      </c>
      <c r="G12273" s="40" t="s">
        <v>11404</v>
      </c>
      <c r="H12273" s="40" t="s">
        <v>11404</v>
      </c>
    </row>
    <row r="12274">
      <c r="A12274" s="39"/>
      <c r="E12274" s="40" t="s">
        <v>11404</v>
      </c>
      <c r="F12274" s="40" t="s">
        <v>11404</v>
      </c>
      <c r="G12274" s="40" t="s">
        <v>11404</v>
      </c>
      <c r="H12274" s="40" t="s">
        <v>11404</v>
      </c>
    </row>
    <row r="12275">
      <c r="A12275" s="39"/>
      <c r="E12275" s="40" t="s">
        <v>11404</v>
      </c>
      <c r="F12275" s="40" t="s">
        <v>11404</v>
      </c>
      <c r="G12275" s="40" t="s">
        <v>11404</v>
      </c>
      <c r="H12275" s="40" t="s">
        <v>11404</v>
      </c>
    </row>
    <row r="12276">
      <c r="A12276" s="39"/>
      <c r="E12276" s="40" t="s">
        <v>11404</v>
      </c>
      <c r="F12276" s="40" t="s">
        <v>11404</v>
      </c>
      <c r="G12276" s="40" t="s">
        <v>11404</v>
      </c>
      <c r="H12276" s="40" t="s">
        <v>11404</v>
      </c>
    </row>
    <row r="12277">
      <c r="A12277" s="39"/>
      <c r="E12277" s="40" t="s">
        <v>11404</v>
      </c>
      <c r="F12277" s="40" t="s">
        <v>11404</v>
      </c>
      <c r="G12277" s="40" t="s">
        <v>11404</v>
      </c>
      <c r="H12277" s="40" t="s">
        <v>11404</v>
      </c>
    </row>
    <row r="12278">
      <c r="A12278" s="39"/>
      <c r="E12278" s="40" t="s">
        <v>11404</v>
      </c>
      <c r="F12278" s="40" t="s">
        <v>11404</v>
      </c>
      <c r="G12278" s="40" t="s">
        <v>11404</v>
      </c>
      <c r="H12278" s="40" t="s">
        <v>11404</v>
      </c>
    </row>
    <row r="12279">
      <c r="A12279" s="39"/>
      <c r="E12279" s="40" t="s">
        <v>11404</v>
      </c>
      <c r="F12279" s="40" t="s">
        <v>11404</v>
      </c>
      <c r="G12279" s="40" t="s">
        <v>11404</v>
      </c>
      <c r="H12279" s="40" t="s">
        <v>11404</v>
      </c>
    </row>
    <row r="12280">
      <c r="A12280" s="39"/>
      <c r="E12280" s="40" t="s">
        <v>11404</v>
      </c>
      <c r="F12280" s="40" t="s">
        <v>11404</v>
      </c>
      <c r="G12280" s="40" t="s">
        <v>11404</v>
      </c>
      <c r="H12280" s="40" t="s">
        <v>11404</v>
      </c>
    </row>
    <row r="12281">
      <c r="A12281" s="39"/>
      <c r="E12281" s="40" t="s">
        <v>11404</v>
      </c>
      <c r="F12281" s="40" t="s">
        <v>11404</v>
      </c>
      <c r="G12281" s="40" t="s">
        <v>11404</v>
      </c>
      <c r="H12281" s="40" t="s">
        <v>11404</v>
      </c>
    </row>
    <row r="12282">
      <c r="A12282" s="39"/>
      <c r="E12282" s="40" t="s">
        <v>11404</v>
      </c>
      <c r="F12282" s="40" t="s">
        <v>11404</v>
      </c>
      <c r="G12282" s="40" t="s">
        <v>11404</v>
      </c>
      <c r="H12282" s="40" t="s">
        <v>11404</v>
      </c>
    </row>
    <row r="12283">
      <c r="A12283" s="39"/>
      <c r="E12283" s="40" t="s">
        <v>11404</v>
      </c>
      <c r="F12283" s="40" t="s">
        <v>11404</v>
      </c>
      <c r="G12283" s="40" t="s">
        <v>11404</v>
      </c>
      <c r="H12283" s="40" t="s">
        <v>11404</v>
      </c>
    </row>
    <row r="12284">
      <c r="A12284" s="39"/>
      <c r="E12284" s="40" t="s">
        <v>11404</v>
      </c>
      <c r="F12284" s="40" t="s">
        <v>11404</v>
      </c>
      <c r="G12284" s="40" t="s">
        <v>11404</v>
      </c>
      <c r="H12284" s="40" t="s">
        <v>11404</v>
      </c>
    </row>
    <row r="12285">
      <c r="A12285" s="39"/>
      <c r="E12285" s="40" t="s">
        <v>11404</v>
      </c>
      <c r="F12285" s="40" t="s">
        <v>11404</v>
      </c>
      <c r="G12285" s="40" t="s">
        <v>11404</v>
      </c>
      <c r="H12285" s="40" t="s">
        <v>11404</v>
      </c>
    </row>
    <row r="12286">
      <c r="A12286" s="39"/>
      <c r="E12286" s="40" t="s">
        <v>11404</v>
      </c>
      <c r="F12286" s="40" t="s">
        <v>11404</v>
      </c>
      <c r="G12286" s="40" t="s">
        <v>11404</v>
      </c>
      <c r="H12286" s="40" t="s">
        <v>11404</v>
      </c>
    </row>
    <row r="12287">
      <c r="A12287" s="39"/>
      <c r="E12287" s="40" t="s">
        <v>11404</v>
      </c>
      <c r="F12287" s="40" t="s">
        <v>11404</v>
      </c>
      <c r="G12287" s="40" t="s">
        <v>11404</v>
      </c>
      <c r="H12287" s="40" t="s">
        <v>11404</v>
      </c>
    </row>
    <row r="12288">
      <c r="A12288" s="39"/>
      <c r="E12288" s="40" t="s">
        <v>11404</v>
      </c>
      <c r="F12288" s="40" t="s">
        <v>11404</v>
      </c>
      <c r="G12288" s="40" t="s">
        <v>11404</v>
      </c>
      <c r="H12288" s="40" t="s">
        <v>11404</v>
      </c>
    </row>
    <row r="12289">
      <c r="A12289" s="39"/>
      <c r="E12289" s="40" t="s">
        <v>11404</v>
      </c>
      <c r="F12289" s="40" t="s">
        <v>11404</v>
      </c>
      <c r="G12289" s="40" t="s">
        <v>11404</v>
      </c>
      <c r="H12289" s="40" t="s">
        <v>11404</v>
      </c>
    </row>
    <row r="12290">
      <c r="A12290" s="39"/>
      <c r="E12290" s="40" t="s">
        <v>11404</v>
      </c>
      <c r="F12290" s="40" t="s">
        <v>11404</v>
      </c>
      <c r="G12290" s="40" t="s">
        <v>11404</v>
      </c>
      <c r="H12290" s="40" t="s">
        <v>11404</v>
      </c>
    </row>
    <row r="12291">
      <c r="A12291" s="39"/>
      <c r="E12291" s="40" t="s">
        <v>11404</v>
      </c>
      <c r="F12291" s="40" t="s">
        <v>11404</v>
      </c>
      <c r="G12291" s="40" t="s">
        <v>11404</v>
      </c>
      <c r="H12291" s="40" t="s">
        <v>11404</v>
      </c>
    </row>
    <row r="12292">
      <c r="A12292" s="39"/>
      <c r="E12292" s="40" t="s">
        <v>11404</v>
      </c>
      <c r="F12292" s="40" t="s">
        <v>11404</v>
      </c>
      <c r="G12292" s="40" t="s">
        <v>11404</v>
      </c>
      <c r="H12292" s="40" t="s">
        <v>11404</v>
      </c>
    </row>
    <row r="12293">
      <c r="A12293" s="39"/>
      <c r="E12293" s="40" t="s">
        <v>11404</v>
      </c>
      <c r="F12293" s="40" t="s">
        <v>11404</v>
      </c>
      <c r="G12293" s="40" t="s">
        <v>11404</v>
      </c>
      <c r="H12293" s="40" t="s">
        <v>11404</v>
      </c>
    </row>
    <row r="12294">
      <c r="A12294" s="39"/>
      <c r="E12294" s="40" t="s">
        <v>11404</v>
      </c>
      <c r="F12294" s="40" t="s">
        <v>11404</v>
      </c>
      <c r="G12294" s="40" t="s">
        <v>11404</v>
      </c>
      <c r="H12294" s="40" t="s">
        <v>11404</v>
      </c>
    </row>
    <row r="12295">
      <c r="A12295" s="39"/>
      <c r="E12295" s="40" t="s">
        <v>11404</v>
      </c>
      <c r="F12295" s="40" t="s">
        <v>11404</v>
      </c>
      <c r="G12295" s="40" t="s">
        <v>11404</v>
      </c>
      <c r="H12295" s="40" t="s">
        <v>11404</v>
      </c>
    </row>
    <row r="12296">
      <c r="A12296" s="39"/>
      <c r="E12296" s="40" t="s">
        <v>11404</v>
      </c>
      <c r="F12296" s="40" t="s">
        <v>11404</v>
      </c>
      <c r="G12296" s="40" t="s">
        <v>11404</v>
      </c>
      <c r="H12296" s="40" t="s">
        <v>11404</v>
      </c>
    </row>
    <row r="12297">
      <c r="A12297" s="39"/>
      <c r="E12297" s="40" t="s">
        <v>11404</v>
      </c>
      <c r="F12297" s="40" t="s">
        <v>11404</v>
      </c>
      <c r="G12297" s="40" t="s">
        <v>11404</v>
      </c>
      <c r="H12297" s="40" t="s">
        <v>11404</v>
      </c>
    </row>
    <row r="12298">
      <c r="A12298" s="39"/>
      <c r="E12298" s="40" t="s">
        <v>11404</v>
      </c>
      <c r="F12298" s="40" t="s">
        <v>11404</v>
      </c>
      <c r="G12298" s="40" t="s">
        <v>11404</v>
      </c>
      <c r="H12298" s="40" t="s">
        <v>11404</v>
      </c>
    </row>
    <row r="12299">
      <c r="A12299" s="39"/>
      <c r="E12299" s="40" t="s">
        <v>11404</v>
      </c>
      <c r="F12299" s="40" t="s">
        <v>11404</v>
      </c>
      <c r="G12299" s="40" t="s">
        <v>11404</v>
      </c>
      <c r="H12299" s="40" t="s">
        <v>11404</v>
      </c>
    </row>
    <row r="12300">
      <c r="A12300" s="39"/>
      <c r="E12300" s="40" t="s">
        <v>11404</v>
      </c>
      <c r="F12300" s="40" t="s">
        <v>11404</v>
      </c>
      <c r="G12300" s="40" t="s">
        <v>11404</v>
      </c>
      <c r="H12300" s="40" t="s">
        <v>11404</v>
      </c>
    </row>
    <row r="12301">
      <c r="A12301" s="39"/>
      <c r="E12301" s="40" t="s">
        <v>11404</v>
      </c>
      <c r="F12301" s="40" t="s">
        <v>11404</v>
      </c>
      <c r="G12301" s="40" t="s">
        <v>11404</v>
      </c>
      <c r="H12301" s="40" t="s">
        <v>11404</v>
      </c>
    </row>
    <row r="12302">
      <c r="A12302" s="39"/>
      <c r="E12302" s="40" t="s">
        <v>11404</v>
      </c>
      <c r="F12302" s="40" t="s">
        <v>11404</v>
      </c>
      <c r="G12302" s="40" t="s">
        <v>11404</v>
      </c>
      <c r="H12302" s="40" t="s">
        <v>11404</v>
      </c>
    </row>
    <row r="12303">
      <c r="A12303" s="39"/>
      <c r="E12303" s="40" t="s">
        <v>11404</v>
      </c>
      <c r="F12303" s="40" t="s">
        <v>11404</v>
      </c>
      <c r="G12303" s="40" t="s">
        <v>11404</v>
      </c>
      <c r="H12303" s="40" t="s">
        <v>11404</v>
      </c>
    </row>
    <row r="12304">
      <c r="A12304" s="39"/>
      <c r="E12304" s="40" t="s">
        <v>11404</v>
      </c>
      <c r="F12304" s="40" t="s">
        <v>11404</v>
      </c>
      <c r="G12304" s="40" t="s">
        <v>11404</v>
      </c>
      <c r="H12304" s="40" t="s">
        <v>11404</v>
      </c>
    </row>
    <row r="12305">
      <c r="A12305" s="39"/>
      <c r="E12305" s="40" t="s">
        <v>11404</v>
      </c>
      <c r="F12305" s="40" t="s">
        <v>11404</v>
      </c>
      <c r="G12305" s="40" t="s">
        <v>11404</v>
      </c>
      <c r="H12305" s="40" t="s">
        <v>11404</v>
      </c>
    </row>
    <row r="12306">
      <c r="A12306" s="39"/>
      <c r="E12306" s="40" t="s">
        <v>11404</v>
      </c>
      <c r="F12306" s="40" t="s">
        <v>11404</v>
      </c>
      <c r="G12306" s="40" t="s">
        <v>11404</v>
      </c>
      <c r="H12306" s="40" t="s">
        <v>11404</v>
      </c>
    </row>
    <row r="12307">
      <c r="A12307" s="39"/>
      <c r="E12307" s="40" t="s">
        <v>11404</v>
      </c>
      <c r="F12307" s="40" t="s">
        <v>11404</v>
      </c>
      <c r="G12307" s="40" t="s">
        <v>11404</v>
      </c>
      <c r="H12307" s="40" t="s">
        <v>11404</v>
      </c>
    </row>
    <row r="12308">
      <c r="A12308" s="39"/>
      <c r="E12308" s="40" t="s">
        <v>11404</v>
      </c>
      <c r="F12308" s="40" t="s">
        <v>11404</v>
      </c>
      <c r="G12308" s="40" t="s">
        <v>11404</v>
      </c>
      <c r="H12308" s="40" t="s">
        <v>11404</v>
      </c>
    </row>
    <row r="12309">
      <c r="A12309" s="39"/>
      <c r="E12309" s="40" t="s">
        <v>11404</v>
      </c>
      <c r="F12309" s="40" t="s">
        <v>11404</v>
      </c>
      <c r="G12309" s="40" t="s">
        <v>11404</v>
      </c>
      <c r="H12309" s="40" t="s">
        <v>11404</v>
      </c>
    </row>
    <row r="12310">
      <c r="A12310" s="39"/>
      <c r="E12310" s="40" t="s">
        <v>11404</v>
      </c>
      <c r="F12310" s="40" t="s">
        <v>11404</v>
      </c>
      <c r="G12310" s="40" t="s">
        <v>11404</v>
      </c>
      <c r="H12310" s="40" t="s">
        <v>11404</v>
      </c>
    </row>
    <row r="12311">
      <c r="A12311" s="39"/>
      <c r="E12311" s="40" t="s">
        <v>11404</v>
      </c>
      <c r="F12311" s="40" t="s">
        <v>11404</v>
      </c>
      <c r="G12311" s="40" t="s">
        <v>11404</v>
      </c>
      <c r="H12311" s="40" t="s">
        <v>11404</v>
      </c>
    </row>
    <row r="12312">
      <c r="A12312" s="39"/>
      <c r="E12312" s="40" t="s">
        <v>11404</v>
      </c>
      <c r="F12312" s="40" t="s">
        <v>11404</v>
      </c>
      <c r="G12312" s="40" t="s">
        <v>11404</v>
      </c>
      <c r="H12312" s="40" t="s">
        <v>11404</v>
      </c>
    </row>
    <row r="12313">
      <c r="A12313" s="39"/>
      <c r="E12313" s="40" t="s">
        <v>11404</v>
      </c>
      <c r="F12313" s="40" t="s">
        <v>11404</v>
      </c>
      <c r="G12313" s="40" t="s">
        <v>11404</v>
      </c>
      <c r="H12313" s="40" t="s">
        <v>11404</v>
      </c>
    </row>
    <row r="12314">
      <c r="A12314" s="39"/>
      <c r="E12314" s="40" t="s">
        <v>11404</v>
      </c>
      <c r="F12314" s="40" t="s">
        <v>11404</v>
      </c>
      <c r="G12314" s="40" t="s">
        <v>11404</v>
      </c>
      <c r="H12314" s="40" t="s">
        <v>11404</v>
      </c>
    </row>
    <row r="12315">
      <c r="A12315" s="39"/>
      <c r="E12315" s="40" t="s">
        <v>11404</v>
      </c>
      <c r="F12315" s="40" t="s">
        <v>11404</v>
      </c>
      <c r="G12315" s="40" t="s">
        <v>11404</v>
      </c>
      <c r="H12315" s="40" t="s">
        <v>11404</v>
      </c>
    </row>
    <row r="12316">
      <c r="A12316" s="39"/>
      <c r="E12316" s="40" t="s">
        <v>11404</v>
      </c>
      <c r="F12316" s="40" t="s">
        <v>11404</v>
      </c>
      <c r="G12316" s="40" t="s">
        <v>11404</v>
      </c>
      <c r="H12316" s="40" t="s">
        <v>11404</v>
      </c>
    </row>
    <row r="12317">
      <c r="A12317" s="39"/>
      <c r="E12317" s="40" t="s">
        <v>11404</v>
      </c>
      <c r="F12317" s="40" t="s">
        <v>11404</v>
      </c>
      <c r="G12317" s="40" t="s">
        <v>11404</v>
      </c>
      <c r="H12317" s="40" t="s">
        <v>11404</v>
      </c>
    </row>
    <row r="12318">
      <c r="A12318" s="39"/>
      <c r="E12318" s="40" t="s">
        <v>11404</v>
      </c>
      <c r="F12318" s="40" t="s">
        <v>11404</v>
      </c>
      <c r="G12318" s="40" t="s">
        <v>11404</v>
      </c>
      <c r="H12318" s="40" t="s">
        <v>11404</v>
      </c>
    </row>
    <row r="12319">
      <c r="A12319" s="39"/>
      <c r="E12319" s="40" t="s">
        <v>11404</v>
      </c>
      <c r="F12319" s="40" t="s">
        <v>11404</v>
      </c>
      <c r="G12319" s="40" t="s">
        <v>11404</v>
      </c>
      <c r="H12319" s="40" t="s">
        <v>11404</v>
      </c>
    </row>
    <row r="12320">
      <c r="A12320" s="39"/>
      <c r="E12320" s="40" t="s">
        <v>11404</v>
      </c>
      <c r="F12320" s="40" t="s">
        <v>11404</v>
      </c>
      <c r="G12320" s="40" t="s">
        <v>11404</v>
      </c>
      <c r="H12320" s="40" t="s">
        <v>11404</v>
      </c>
    </row>
    <row r="12321">
      <c r="A12321" s="39"/>
      <c r="E12321" s="40" t="s">
        <v>11404</v>
      </c>
      <c r="F12321" s="40" t="s">
        <v>11404</v>
      </c>
      <c r="G12321" s="40" t="s">
        <v>11404</v>
      </c>
      <c r="H12321" s="40" t="s">
        <v>11404</v>
      </c>
    </row>
    <row r="12322">
      <c r="A12322" s="39"/>
      <c r="E12322" s="40" t="s">
        <v>11404</v>
      </c>
      <c r="F12322" s="40" t="s">
        <v>11404</v>
      </c>
      <c r="G12322" s="40" t="s">
        <v>11404</v>
      </c>
      <c r="H12322" s="40" t="s">
        <v>11404</v>
      </c>
    </row>
    <row r="12323">
      <c r="A12323" s="39"/>
      <c r="E12323" s="40" t="s">
        <v>11404</v>
      </c>
      <c r="F12323" s="40" t="s">
        <v>11404</v>
      </c>
      <c r="G12323" s="40" t="s">
        <v>11404</v>
      </c>
      <c r="H12323" s="40" t="s">
        <v>11404</v>
      </c>
    </row>
    <row r="12324">
      <c r="A12324" s="39"/>
      <c r="E12324" s="40" t="s">
        <v>11404</v>
      </c>
      <c r="F12324" s="40" t="s">
        <v>11404</v>
      </c>
      <c r="G12324" s="40" t="s">
        <v>11404</v>
      </c>
      <c r="H12324" s="40" t="s">
        <v>11404</v>
      </c>
    </row>
    <row r="12325">
      <c r="A12325" s="39"/>
      <c r="E12325" s="40" t="s">
        <v>11404</v>
      </c>
      <c r="F12325" s="40" t="s">
        <v>11404</v>
      </c>
      <c r="G12325" s="40" t="s">
        <v>11404</v>
      </c>
      <c r="H12325" s="40" t="s">
        <v>11404</v>
      </c>
    </row>
    <row r="12326">
      <c r="A12326" s="39"/>
      <c r="E12326" s="40" t="s">
        <v>11404</v>
      </c>
      <c r="F12326" s="40" t="s">
        <v>11404</v>
      </c>
      <c r="G12326" s="40" t="s">
        <v>11404</v>
      </c>
      <c r="H12326" s="40" t="s">
        <v>11404</v>
      </c>
    </row>
    <row r="12327">
      <c r="A12327" s="39"/>
      <c r="E12327" s="40" t="s">
        <v>11404</v>
      </c>
      <c r="F12327" s="40" t="s">
        <v>11404</v>
      </c>
      <c r="G12327" s="40" t="s">
        <v>11404</v>
      </c>
      <c r="H12327" s="40" t="s">
        <v>11404</v>
      </c>
    </row>
    <row r="12328">
      <c r="A12328" s="39"/>
      <c r="E12328" s="40" t="s">
        <v>11404</v>
      </c>
      <c r="F12328" s="40" t="s">
        <v>11404</v>
      </c>
      <c r="G12328" s="40" t="s">
        <v>11404</v>
      </c>
      <c r="H12328" s="40" t="s">
        <v>11404</v>
      </c>
    </row>
    <row r="12329">
      <c r="A12329" s="39"/>
      <c r="E12329" s="40" t="s">
        <v>11404</v>
      </c>
      <c r="F12329" s="40" t="s">
        <v>11404</v>
      </c>
      <c r="G12329" s="40" t="s">
        <v>11404</v>
      </c>
      <c r="H12329" s="40" t="s">
        <v>11404</v>
      </c>
    </row>
    <row r="12330">
      <c r="A12330" s="39"/>
      <c r="E12330" s="40" t="s">
        <v>11404</v>
      </c>
      <c r="F12330" s="40" t="s">
        <v>11404</v>
      </c>
      <c r="G12330" s="40" t="s">
        <v>11404</v>
      </c>
      <c r="H12330" s="40" t="s">
        <v>11404</v>
      </c>
    </row>
    <row r="12331">
      <c r="A12331" s="39"/>
      <c r="E12331" s="40" t="s">
        <v>11404</v>
      </c>
      <c r="F12331" s="40" t="s">
        <v>11404</v>
      </c>
      <c r="G12331" s="40" t="s">
        <v>11404</v>
      </c>
      <c r="H12331" s="40" t="s">
        <v>11404</v>
      </c>
    </row>
    <row r="12332">
      <c r="A12332" s="39"/>
      <c r="E12332" s="40" t="s">
        <v>11404</v>
      </c>
      <c r="F12332" s="40" t="s">
        <v>11404</v>
      </c>
      <c r="G12332" s="40" t="s">
        <v>11404</v>
      </c>
      <c r="H12332" s="40" t="s">
        <v>11404</v>
      </c>
    </row>
    <row r="12333">
      <c r="A12333" s="39"/>
      <c r="E12333" s="40" t="s">
        <v>11404</v>
      </c>
      <c r="F12333" s="40" t="s">
        <v>11404</v>
      </c>
      <c r="G12333" s="40" t="s">
        <v>11404</v>
      </c>
      <c r="H12333" s="40" t="s">
        <v>11404</v>
      </c>
    </row>
    <row r="12334">
      <c r="A12334" s="39"/>
      <c r="E12334" s="40" t="s">
        <v>11404</v>
      </c>
      <c r="F12334" s="40" t="s">
        <v>11404</v>
      </c>
      <c r="G12334" s="40" t="s">
        <v>11404</v>
      </c>
      <c r="H12334" s="40" t="s">
        <v>11404</v>
      </c>
    </row>
    <row r="12335">
      <c r="A12335" s="39"/>
      <c r="E12335" s="40" t="s">
        <v>11404</v>
      </c>
      <c r="F12335" s="40" t="s">
        <v>11404</v>
      </c>
      <c r="G12335" s="40" t="s">
        <v>11404</v>
      </c>
      <c r="H12335" s="40" t="s">
        <v>11404</v>
      </c>
    </row>
    <row r="12336">
      <c r="A12336" s="39"/>
      <c r="E12336" s="40" t="s">
        <v>11404</v>
      </c>
      <c r="F12336" s="40" t="s">
        <v>11404</v>
      </c>
      <c r="G12336" s="40" t="s">
        <v>11404</v>
      </c>
      <c r="H12336" s="40" t="s">
        <v>11404</v>
      </c>
    </row>
    <row r="12337">
      <c r="A12337" s="39"/>
      <c r="E12337" s="40" t="s">
        <v>11404</v>
      </c>
      <c r="F12337" s="40" t="s">
        <v>11404</v>
      </c>
      <c r="G12337" s="40" t="s">
        <v>11404</v>
      </c>
      <c r="H12337" s="40" t="s">
        <v>11404</v>
      </c>
    </row>
    <row r="12338">
      <c r="A12338" s="39"/>
      <c r="E12338" s="40" t="s">
        <v>11404</v>
      </c>
      <c r="F12338" s="40" t="s">
        <v>11404</v>
      </c>
      <c r="G12338" s="40" t="s">
        <v>11404</v>
      </c>
      <c r="H12338" s="40" t="s">
        <v>11404</v>
      </c>
    </row>
    <row r="12339">
      <c r="A12339" s="39"/>
      <c r="E12339" s="40" t="s">
        <v>11404</v>
      </c>
      <c r="F12339" s="40" t="s">
        <v>11404</v>
      </c>
      <c r="G12339" s="40" t="s">
        <v>11404</v>
      </c>
      <c r="H12339" s="40" t="s">
        <v>11404</v>
      </c>
    </row>
    <row r="12340">
      <c r="A12340" s="39"/>
      <c r="E12340" s="40" t="s">
        <v>11404</v>
      </c>
      <c r="F12340" s="40" t="s">
        <v>11404</v>
      </c>
      <c r="G12340" s="40" t="s">
        <v>11404</v>
      </c>
      <c r="H12340" s="40" t="s">
        <v>11404</v>
      </c>
    </row>
    <row r="12341">
      <c r="A12341" s="39"/>
      <c r="E12341" s="40" t="s">
        <v>11404</v>
      </c>
      <c r="F12341" s="40" t="s">
        <v>11404</v>
      </c>
      <c r="G12341" s="40" t="s">
        <v>11404</v>
      </c>
      <c r="H12341" s="40" t="s">
        <v>11404</v>
      </c>
    </row>
    <row r="12342">
      <c r="A12342" s="39"/>
      <c r="E12342" s="40" t="s">
        <v>11404</v>
      </c>
      <c r="F12342" s="40" t="s">
        <v>11404</v>
      </c>
      <c r="G12342" s="40" t="s">
        <v>11404</v>
      </c>
      <c r="H12342" s="40" t="s">
        <v>11404</v>
      </c>
    </row>
    <row r="12343">
      <c r="A12343" s="39"/>
      <c r="E12343" s="40" t="s">
        <v>11404</v>
      </c>
      <c r="F12343" s="40" t="s">
        <v>11404</v>
      </c>
      <c r="G12343" s="40" t="s">
        <v>11404</v>
      </c>
      <c r="H12343" s="40" t="s">
        <v>11404</v>
      </c>
    </row>
    <row r="12344">
      <c r="A12344" s="39"/>
      <c r="E12344" s="40" t="s">
        <v>11404</v>
      </c>
      <c r="F12344" s="40" t="s">
        <v>11404</v>
      </c>
      <c r="G12344" s="40" t="s">
        <v>11404</v>
      </c>
      <c r="H12344" s="40" t="s">
        <v>11404</v>
      </c>
    </row>
    <row r="12345">
      <c r="A12345" s="39"/>
      <c r="E12345" s="40" t="s">
        <v>11404</v>
      </c>
      <c r="F12345" s="40" t="s">
        <v>11404</v>
      </c>
      <c r="G12345" s="40" t="s">
        <v>11404</v>
      </c>
      <c r="H12345" s="40" t="s">
        <v>11404</v>
      </c>
    </row>
    <row r="12346">
      <c r="A12346" s="39"/>
      <c r="E12346" s="40" t="s">
        <v>11404</v>
      </c>
      <c r="F12346" s="40" t="s">
        <v>11404</v>
      </c>
      <c r="G12346" s="40" t="s">
        <v>11404</v>
      </c>
      <c r="H12346" s="40" t="s">
        <v>11404</v>
      </c>
    </row>
    <row r="12347">
      <c r="A12347" s="39"/>
      <c r="E12347" s="40" t="s">
        <v>11404</v>
      </c>
      <c r="F12347" s="40" t="s">
        <v>11404</v>
      </c>
      <c r="G12347" s="40" t="s">
        <v>11404</v>
      </c>
      <c r="H12347" s="40" t="s">
        <v>11404</v>
      </c>
    </row>
    <row r="12348">
      <c r="A12348" s="39"/>
      <c r="E12348" s="40" t="s">
        <v>11404</v>
      </c>
      <c r="F12348" s="40" t="s">
        <v>11404</v>
      </c>
      <c r="G12348" s="40" t="s">
        <v>11404</v>
      </c>
      <c r="H12348" s="40" t="s">
        <v>11404</v>
      </c>
    </row>
    <row r="12349">
      <c r="A12349" s="39"/>
      <c r="E12349" s="40" t="s">
        <v>11404</v>
      </c>
      <c r="F12349" s="40" t="s">
        <v>11404</v>
      </c>
      <c r="G12349" s="40" t="s">
        <v>11404</v>
      </c>
      <c r="H12349" s="40" t="s">
        <v>11404</v>
      </c>
    </row>
    <row r="12350">
      <c r="A12350" s="39"/>
      <c r="E12350" s="40" t="s">
        <v>11404</v>
      </c>
      <c r="F12350" s="40" t="s">
        <v>11404</v>
      </c>
      <c r="G12350" s="40" t="s">
        <v>11404</v>
      </c>
      <c r="H12350" s="40" t="s">
        <v>11404</v>
      </c>
    </row>
    <row r="12351">
      <c r="A12351" s="39"/>
      <c r="E12351" s="40" t="s">
        <v>11404</v>
      </c>
      <c r="F12351" s="40" t="s">
        <v>11404</v>
      </c>
      <c r="G12351" s="40" t="s">
        <v>11404</v>
      </c>
      <c r="H12351" s="40" t="s">
        <v>11404</v>
      </c>
    </row>
    <row r="12352">
      <c r="A12352" s="39"/>
      <c r="E12352" s="40" t="s">
        <v>11404</v>
      </c>
      <c r="F12352" s="40" t="s">
        <v>11404</v>
      </c>
      <c r="G12352" s="40" t="s">
        <v>11404</v>
      </c>
      <c r="H12352" s="40" t="s">
        <v>11404</v>
      </c>
    </row>
    <row r="12353">
      <c r="A12353" s="39"/>
      <c r="E12353" s="40" t="s">
        <v>11404</v>
      </c>
      <c r="F12353" s="40" t="s">
        <v>11404</v>
      </c>
      <c r="G12353" s="40" t="s">
        <v>11404</v>
      </c>
      <c r="H12353" s="40" t="s">
        <v>11404</v>
      </c>
    </row>
    <row r="12354">
      <c r="A12354" s="39"/>
      <c r="E12354" s="40" t="s">
        <v>11404</v>
      </c>
      <c r="F12354" s="40" t="s">
        <v>11404</v>
      </c>
      <c r="G12354" s="40" t="s">
        <v>11404</v>
      </c>
      <c r="H12354" s="40" t="s">
        <v>11404</v>
      </c>
    </row>
    <row r="12355">
      <c r="A12355" s="39"/>
      <c r="E12355" s="40" t="s">
        <v>11404</v>
      </c>
      <c r="F12355" s="40" t="s">
        <v>11404</v>
      </c>
      <c r="G12355" s="40" t="s">
        <v>11404</v>
      </c>
      <c r="H12355" s="40" t="s">
        <v>11404</v>
      </c>
    </row>
    <row r="12356">
      <c r="A12356" s="39"/>
      <c r="E12356" s="40" t="s">
        <v>11404</v>
      </c>
      <c r="F12356" s="40" t="s">
        <v>11404</v>
      </c>
      <c r="G12356" s="40" t="s">
        <v>11404</v>
      </c>
      <c r="H12356" s="40" t="s">
        <v>11404</v>
      </c>
    </row>
    <row r="12357">
      <c r="A12357" s="39"/>
      <c r="E12357" s="40" t="s">
        <v>11404</v>
      </c>
      <c r="F12357" s="40" t="s">
        <v>11404</v>
      </c>
      <c r="G12357" s="40" t="s">
        <v>11404</v>
      </c>
      <c r="H12357" s="40" t="s">
        <v>11404</v>
      </c>
    </row>
    <row r="12358">
      <c r="A12358" s="39"/>
      <c r="E12358" s="40" t="s">
        <v>11404</v>
      </c>
      <c r="F12358" s="40" t="s">
        <v>11404</v>
      </c>
      <c r="G12358" s="40" t="s">
        <v>11404</v>
      </c>
      <c r="H12358" s="40" t="s">
        <v>11404</v>
      </c>
    </row>
    <row r="12359">
      <c r="A12359" s="39"/>
      <c r="E12359" s="40" t="s">
        <v>11404</v>
      </c>
      <c r="F12359" s="40" t="s">
        <v>11404</v>
      </c>
      <c r="G12359" s="40" t="s">
        <v>11404</v>
      </c>
      <c r="H12359" s="40" t="s">
        <v>11404</v>
      </c>
    </row>
    <row r="12360">
      <c r="A12360" s="39"/>
      <c r="E12360" s="40" t="s">
        <v>11404</v>
      </c>
      <c r="F12360" s="40" t="s">
        <v>11404</v>
      </c>
      <c r="G12360" s="40" t="s">
        <v>11404</v>
      </c>
      <c r="H12360" s="40" t="s">
        <v>11404</v>
      </c>
    </row>
    <row r="12361">
      <c r="A12361" s="39"/>
      <c r="E12361" s="40" t="s">
        <v>11404</v>
      </c>
      <c r="F12361" s="40" t="s">
        <v>11404</v>
      </c>
      <c r="G12361" s="40" t="s">
        <v>11404</v>
      </c>
      <c r="H12361" s="40" t="s">
        <v>11404</v>
      </c>
    </row>
    <row r="12362">
      <c r="A12362" s="39"/>
      <c r="E12362" s="40" t="s">
        <v>11404</v>
      </c>
      <c r="F12362" s="40" t="s">
        <v>11404</v>
      </c>
      <c r="G12362" s="40" t="s">
        <v>11404</v>
      </c>
      <c r="H12362" s="40" t="s">
        <v>11404</v>
      </c>
    </row>
    <row r="12363">
      <c r="A12363" s="39"/>
      <c r="E12363" s="40" t="s">
        <v>11404</v>
      </c>
      <c r="F12363" s="40" t="s">
        <v>11404</v>
      </c>
      <c r="G12363" s="40" t="s">
        <v>11404</v>
      </c>
      <c r="H12363" s="40" t="s">
        <v>11404</v>
      </c>
    </row>
    <row r="12364">
      <c r="A12364" s="39"/>
      <c r="E12364" s="40" t="s">
        <v>11404</v>
      </c>
      <c r="F12364" s="40" t="s">
        <v>11404</v>
      </c>
      <c r="G12364" s="40" t="s">
        <v>11404</v>
      </c>
      <c r="H12364" s="40" t="s">
        <v>11404</v>
      </c>
    </row>
    <row r="12365">
      <c r="A12365" s="39"/>
      <c r="E12365" s="40" t="s">
        <v>11404</v>
      </c>
      <c r="F12365" s="40" t="s">
        <v>11404</v>
      </c>
      <c r="G12365" s="40" t="s">
        <v>11404</v>
      </c>
      <c r="H12365" s="40" t="s">
        <v>11404</v>
      </c>
    </row>
    <row r="12366">
      <c r="A12366" s="39"/>
      <c r="E12366" s="40" t="s">
        <v>11404</v>
      </c>
      <c r="F12366" s="40" t="s">
        <v>11404</v>
      </c>
      <c r="G12366" s="40" t="s">
        <v>11404</v>
      </c>
      <c r="H12366" s="40" t="s">
        <v>11404</v>
      </c>
    </row>
    <row r="12367">
      <c r="A12367" s="39"/>
      <c r="E12367" s="40" t="s">
        <v>11404</v>
      </c>
      <c r="F12367" s="40" t="s">
        <v>11404</v>
      </c>
      <c r="G12367" s="40" t="s">
        <v>11404</v>
      </c>
      <c r="H12367" s="40" t="s">
        <v>11404</v>
      </c>
    </row>
    <row r="12368">
      <c r="A12368" s="39"/>
      <c r="E12368" s="40" t="s">
        <v>11404</v>
      </c>
      <c r="F12368" s="40" t="s">
        <v>11404</v>
      </c>
      <c r="G12368" s="40" t="s">
        <v>11404</v>
      </c>
      <c r="H12368" s="40" t="s">
        <v>11404</v>
      </c>
    </row>
    <row r="12369">
      <c r="A12369" s="39"/>
      <c r="E12369" s="40" t="s">
        <v>11404</v>
      </c>
      <c r="F12369" s="40" t="s">
        <v>11404</v>
      </c>
      <c r="G12369" s="40" t="s">
        <v>11404</v>
      </c>
      <c r="H12369" s="40" t="s">
        <v>11404</v>
      </c>
    </row>
    <row r="12370">
      <c r="A12370" s="39"/>
      <c r="E12370" s="40" t="s">
        <v>11404</v>
      </c>
      <c r="F12370" s="40" t="s">
        <v>11404</v>
      </c>
      <c r="G12370" s="40" t="s">
        <v>11404</v>
      </c>
      <c r="H12370" s="40" t="s">
        <v>11404</v>
      </c>
    </row>
    <row r="12371">
      <c r="A12371" s="39"/>
      <c r="E12371" s="40" t="s">
        <v>11404</v>
      </c>
      <c r="F12371" s="40" t="s">
        <v>11404</v>
      </c>
      <c r="G12371" s="40" t="s">
        <v>11404</v>
      </c>
      <c r="H12371" s="40" t="s">
        <v>11404</v>
      </c>
    </row>
    <row r="12372">
      <c r="A12372" s="39"/>
      <c r="E12372" s="40" t="s">
        <v>11404</v>
      </c>
      <c r="F12372" s="40" t="s">
        <v>11404</v>
      </c>
      <c r="G12372" s="40" t="s">
        <v>11404</v>
      </c>
      <c r="H12372" s="40" t="s">
        <v>11404</v>
      </c>
    </row>
    <row r="12373">
      <c r="A12373" s="39"/>
      <c r="E12373" s="40" t="s">
        <v>11404</v>
      </c>
      <c r="F12373" s="40" t="s">
        <v>11404</v>
      </c>
      <c r="G12373" s="40" t="s">
        <v>11404</v>
      </c>
      <c r="H12373" s="40" t="s">
        <v>11404</v>
      </c>
    </row>
    <row r="12374">
      <c r="A12374" s="39"/>
      <c r="E12374" s="40" t="s">
        <v>11404</v>
      </c>
      <c r="F12374" s="40" t="s">
        <v>11404</v>
      </c>
      <c r="G12374" s="40" t="s">
        <v>11404</v>
      </c>
      <c r="H12374" s="40" t="s">
        <v>11404</v>
      </c>
    </row>
    <row r="12375">
      <c r="A12375" s="39"/>
      <c r="E12375" s="40" t="s">
        <v>11404</v>
      </c>
      <c r="F12375" s="40" t="s">
        <v>11404</v>
      </c>
      <c r="G12375" s="40" t="s">
        <v>11404</v>
      </c>
      <c r="H12375" s="40" t="s">
        <v>11404</v>
      </c>
    </row>
    <row r="12376">
      <c r="A12376" s="39"/>
      <c r="E12376" s="40" t="s">
        <v>11404</v>
      </c>
      <c r="F12376" s="40" t="s">
        <v>11404</v>
      </c>
      <c r="G12376" s="40" t="s">
        <v>11404</v>
      </c>
      <c r="H12376" s="40" t="s">
        <v>11404</v>
      </c>
    </row>
    <row r="12377">
      <c r="A12377" s="39"/>
      <c r="E12377" s="40" t="s">
        <v>11404</v>
      </c>
      <c r="F12377" s="40" t="s">
        <v>11404</v>
      </c>
      <c r="G12377" s="40" t="s">
        <v>11404</v>
      </c>
      <c r="H12377" s="40" t="s">
        <v>11404</v>
      </c>
    </row>
    <row r="12378">
      <c r="A12378" s="39"/>
      <c r="E12378" s="40" t="s">
        <v>11404</v>
      </c>
      <c r="F12378" s="40" t="s">
        <v>11404</v>
      </c>
      <c r="G12378" s="40" t="s">
        <v>11404</v>
      </c>
      <c r="H12378" s="40" t="s">
        <v>11404</v>
      </c>
    </row>
    <row r="12379">
      <c r="A12379" s="39"/>
      <c r="E12379" s="40" t="s">
        <v>11404</v>
      </c>
      <c r="F12379" s="40" t="s">
        <v>11404</v>
      </c>
      <c r="G12379" s="40" t="s">
        <v>11404</v>
      </c>
      <c r="H12379" s="40" t="s">
        <v>11404</v>
      </c>
    </row>
    <row r="12380">
      <c r="A12380" s="39"/>
      <c r="E12380" s="40" t="s">
        <v>11404</v>
      </c>
      <c r="F12380" s="40" t="s">
        <v>11404</v>
      </c>
      <c r="G12380" s="40" t="s">
        <v>11404</v>
      </c>
      <c r="H12380" s="40" t="s">
        <v>11404</v>
      </c>
    </row>
    <row r="12381">
      <c r="A12381" s="39"/>
      <c r="E12381" s="40" t="s">
        <v>11404</v>
      </c>
      <c r="F12381" s="40" t="s">
        <v>11404</v>
      </c>
      <c r="G12381" s="40" t="s">
        <v>11404</v>
      </c>
      <c r="H12381" s="40" t="s">
        <v>11404</v>
      </c>
    </row>
    <row r="12382">
      <c r="A12382" s="39"/>
      <c r="E12382" s="40" t="s">
        <v>11404</v>
      </c>
      <c r="F12382" s="40" t="s">
        <v>11404</v>
      </c>
      <c r="G12382" s="40" t="s">
        <v>11404</v>
      </c>
      <c r="H12382" s="40" t="s">
        <v>11404</v>
      </c>
    </row>
    <row r="12383">
      <c r="A12383" s="39"/>
      <c r="E12383" s="40" t="s">
        <v>11404</v>
      </c>
      <c r="F12383" s="40" t="s">
        <v>11404</v>
      </c>
      <c r="G12383" s="40" t="s">
        <v>11404</v>
      </c>
      <c r="H12383" s="40" t="s">
        <v>11404</v>
      </c>
    </row>
    <row r="12384">
      <c r="A12384" s="39"/>
      <c r="E12384" s="40" t="s">
        <v>11404</v>
      </c>
      <c r="F12384" s="40" t="s">
        <v>11404</v>
      </c>
      <c r="G12384" s="40" t="s">
        <v>11404</v>
      </c>
      <c r="H12384" s="40" t="s">
        <v>11404</v>
      </c>
    </row>
    <row r="12385">
      <c r="A12385" s="39"/>
      <c r="E12385" s="40" t="s">
        <v>11404</v>
      </c>
      <c r="F12385" s="40" t="s">
        <v>11404</v>
      </c>
      <c r="G12385" s="40" t="s">
        <v>11404</v>
      </c>
      <c r="H12385" s="40" t="s">
        <v>11404</v>
      </c>
    </row>
    <row r="12386">
      <c r="A12386" s="39"/>
      <c r="E12386" s="40" t="s">
        <v>11404</v>
      </c>
      <c r="F12386" s="40" t="s">
        <v>11404</v>
      </c>
      <c r="G12386" s="40" t="s">
        <v>11404</v>
      </c>
      <c r="H12386" s="40" t="s">
        <v>11404</v>
      </c>
    </row>
    <row r="12387">
      <c r="A12387" s="39"/>
      <c r="E12387" s="40" t="s">
        <v>11404</v>
      </c>
      <c r="F12387" s="40" t="s">
        <v>11404</v>
      </c>
      <c r="G12387" s="40" t="s">
        <v>11404</v>
      </c>
      <c r="H12387" s="40" t="s">
        <v>11404</v>
      </c>
    </row>
    <row r="12388">
      <c r="A12388" s="39"/>
      <c r="E12388" s="40" t="s">
        <v>11404</v>
      </c>
      <c r="F12388" s="40" t="s">
        <v>11404</v>
      </c>
      <c r="G12388" s="40" t="s">
        <v>11404</v>
      </c>
      <c r="H12388" s="40" t="s">
        <v>11404</v>
      </c>
    </row>
    <row r="12389">
      <c r="A12389" s="39"/>
      <c r="E12389" s="40" t="s">
        <v>11404</v>
      </c>
      <c r="F12389" s="40" t="s">
        <v>11404</v>
      </c>
      <c r="G12389" s="40" t="s">
        <v>11404</v>
      </c>
      <c r="H12389" s="40" t="s">
        <v>11404</v>
      </c>
    </row>
    <row r="12390">
      <c r="A12390" s="39"/>
      <c r="E12390" s="40" t="s">
        <v>11404</v>
      </c>
      <c r="F12390" s="40" t="s">
        <v>11404</v>
      </c>
      <c r="G12390" s="40" t="s">
        <v>11404</v>
      </c>
      <c r="H12390" s="40" t="s">
        <v>11404</v>
      </c>
    </row>
    <row r="12391">
      <c r="A12391" s="39"/>
      <c r="E12391" s="40" t="s">
        <v>11404</v>
      </c>
      <c r="F12391" s="40" t="s">
        <v>11404</v>
      </c>
      <c r="G12391" s="40" t="s">
        <v>11404</v>
      </c>
      <c r="H12391" s="40" t="s">
        <v>11404</v>
      </c>
    </row>
    <row r="12392">
      <c r="A12392" s="39"/>
      <c r="E12392" s="40" t="s">
        <v>11404</v>
      </c>
      <c r="F12392" s="40" t="s">
        <v>11404</v>
      </c>
      <c r="G12392" s="40" t="s">
        <v>11404</v>
      </c>
      <c r="H12392" s="40" t="s">
        <v>11404</v>
      </c>
    </row>
    <row r="12393">
      <c r="A12393" s="39"/>
      <c r="E12393" s="40" t="s">
        <v>11404</v>
      </c>
      <c r="F12393" s="40" t="s">
        <v>11404</v>
      </c>
      <c r="G12393" s="40" t="s">
        <v>11404</v>
      </c>
      <c r="H12393" s="40" t="s">
        <v>11404</v>
      </c>
    </row>
    <row r="12394">
      <c r="A12394" s="39"/>
      <c r="E12394" s="40" t="s">
        <v>11404</v>
      </c>
      <c r="F12394" s="40" t="s">
        <v>11404</v>
      </c>
      <c r="G12394" s="40" t="s">
        <v>11404</v>
      </c>
      <c r="H12394" s="40" t="s">
        <v>11404</v>
      </c>
    </row>
    <row r="12395">
      <c r="A12395" s="39"/>
      <c r="E12395" s="40" t="s">
        <v>11404</v>
      </c>
      <c r="F12395" s="40" t="s">
        <v>11404</v>
      </c>
      <c r="G12395" s="40" t="s">
        <v>11404</v>
      </c>
      <c r="H12395" s="40" t="s">
        <v>11404</v>
      </c>
    </row>
    <row r="12396">
      <c r="A12396" s="39"/>
      <c r="E12396" s="40" t="s">
        <v>11404</v>
      </c>
      <c r="F12396" s="40" t="s">
        <v>11404</v>
      </c>
      <c r="G12396" s="40" t="s">
        <v>11404</v>
      </c>
      <c r="H12396" s="40" t="s">
        <v>11404</v>
      </c>
    </row>
    <row r="12397">
      <c r="A12397" s="39"/>
      <c r="E12397" s="40" t="s">
        <v>11404</v>
      </c>
      <c r="F12397" s="40" t="s">
        <v>11404</v>
      </c>
      <c r="G12397" s="40" t="s">
        <v>11404</v>
      </c>
      <c r="H12397" s="40" t="s">
        <v>11404</v>
      </c>
    </row>
    <row r="12398">
      <c r="A12398" s="39"/>
      <c r="E12398" s="40" t="s">
        <v>11404</v>
      </c>
      <c r="F12398" s="40" t="s">
        <v>11404</v>
      </c>
      <c r="G12398" s="40" t="s">
        <v>11404</v>
      </c>
      <c r="H12398" s="40" t="s">
        <v>11404</v>
      </c>
    </row>
    <row r="12399">
      <c r="A12399" s="39"/>
      <c r="E12399" s="40" t="s">
        <v>11404</v>
      </c>
      <c r="F12399" s="40" t="s">
        <v>11404</v>
      </c>
      <c r="G12399" s="40" t="s">
        <v>11404</v>
      </c>
      <c r="H12399" s="40" t="s">
        <v>11404</v>
      </c>
    </row>
    <row r="12400">
      <c r="A12400" s="39"/>
      <c r="E12400" s="40" t="s">
        <v>11404</v>
      </c>
      <c r="F12400" s="40" t="s">
        <v>11404</v>
      </c>
      <c r="G12400" s="40" t="s">
        <v>11404</v>
      </c>
      <c r="H12400" s="40" t="s">
        <v>11404</v>
      </c>
    </row>
    <row r="12401">
      <c r="A12401" s="39"/>
      <c r="E12401" s="40" t="s">
        <v>11404</v>
      </c>
      <c r="F12401" s="40" t="s">
        <v>11404</v>
      </c>
      <c r="G12401" s="40" t="s">
        <v>11404</v>
      </c>
      <c r="H12401" s="40" t="s">
        <v>11404</v>
      </c>
    </row>
    <row r="12402">
      <c r="A12402" s="39"/>
      <c r="E12402" s="40" t="s">
        <v>11404</v>
      </c>
      <c r="F12402" s="40" t="s">
        <v>11404</v>
      </c>
      <c r="G12402" s="40" t="s">
        <v>11404</v>
      </c>
      <c r="H12402" s="40" t="s">
        <v>11404</v>
      </c>
    </row>
    <row r="12403">
      <c r="A12403" s="39"/>
      <c r="E12403" s="40" t="s">
        <v>11404</v>
      </c>
      <c r="F12403" s="40" t="s">
        <v>11404</v>
      </c>
      <c r="G12403" s="40" t="s">
        <v>11404</v>
      </c>
      <c r="H12403" s="40" t="s">
        <v>11404</v>
      </c>
    </row>
    <row r="12404">
      <c r="A12404" s="39"/>
      <c r="E12404" s="40" t="s">
        <v>11404</v>
      </c>
      <c r="F12404" s="40" t="s">
        <v>11404</v>
      </c>
      <c r="G12404" s="40" t="s">
        <v>11404</v>
      </c>
      <c r="H12404" s="40" t="s">
        <v>11404</v>
      </c>
    </row>
    <row r="12405">
      <c r="A12405" s="39"/>
      <c r="E12405" s="40" t="s">
        <v>11404</v>
      </c>
      <c r="F12405" s="40" t="s">
        <v>11404</v>
      </c>
      <c r="G12405" s="40" t="s">
        <v>11404</v>
      </c>
      <c r="H12405" s="40" t="s">
        <v>11404</v>
      </c>
    </row>
    <row r="12406">
      <c r="A12406" s="39"/>
      <c r="E12406" s="40" t="s">
        <v>11404</v>
      </c>
      <c r="F12406" s="40" t="s">
        <v>11404</v>
      </c>
      <c r="G12406" s="40" t="s">
        <v>11404</v>
      </c>
      <c r="H12406" s="40" t="s">
        <v>11404</v>
      </c>
    </row>
    <row r="12407">
      <c r="A12407" s="39"/>
      <c r="E12407" s="40" t="s">
        <v>11404</v>
      </c>
      <c r="F12407" s="40" t="s">
        <v>11404</v>
      </c>
      <c r="G12407" s="40" t="s">
        <v>11404</v>
      </c>
      <c r="H12407" s="40" t="s">
        <v>11404</v>
      </c>
    </row>
    <row r="12408">
      <c r="A12408" s="39"/>
      <c r="E12408" s="40" t="s">
        <v>11404</v>
      </c>
      <c r="F12408" s="40" t="s">
        <v>11404</v>
      </c>
      <c r="G12408" s="40" t="s">
        <v>11404</v>
      </c>
      <c r="H12408" s="40" t="s">
        <v>11404</v>
      </c>
    </row>
    <row r="12409">
      <c r="A12409" s="39"/>
      <c r="E12409" s="40" t="s">
        <v>11404</v>
      </c>
      <c r="F12409" s="40" t="s">
        <v>11404</v>
      </c>
      <c r="G12409" s="40" t="s">
        <v>11404</v>
      </c>
      <c r="H12409" s="40" t="s">
        <v>11404</v>
      </c>
    </row>
    <row r="12410">
      <c r="A12410" s="39"/>
      <c r="E12410" s="40" t="s">
        <v>11404</v>
      </c>
      <c r="F12410" s="40" t="s">
        <v>11404</v>
      </c>
      <c r="G12410" s="40" t="s">
        <v>11404</v>
      </c>
      <c r="H12410" s="40" t="s">
        <v>11404</v>
      </c>
    </row>
    <row r="12411">
      <c r="A12411" s="39"/>
      <c r="E12411" s="40" t="s">
        <v>11404</v>
      </c>
      <c r="F12411" s="40" t="s">
        <v>11404</v>
      </c>
      <c r="G12411" s="40" t="s">
        <v>11404</v>
      </c>
      <c r="H12411" s="40" t="s">
        <v>11404</v>
      </c>
    </row>
    <row r="12412">
      <c r="A12412" s="39"/>
      <c r="E12412" s="40" t="s">
        <v>11404</v>
      </c>
      <c r="F12412" s="40" t="s">
        <v>11404</v>
      </c>
      <c r="G12412" s="40" t="s">
        <v>11404</v>
      </c>
      <c r="H12412" s="40" t="s">
        <v>11404</v>
      </c>
    </row>
    <row r="12413">
      <c r="A12413" s="39"/>
      <c r="E12413" s="40" t="s">
        <v>11404</v>
      </c>
      <c r="F12413" s="40" t="s">
        <v>11404</v>
      </c>
      <c r="G12413" s="40" t="s">
        <v>11404</v>
      </c>
      <c r="H12413" s="40" t="s">
        <v>11404</v>
      </c>
    </row>
    <row r="12414">
      <c r="A12414" s="39"/>
      <c r="E12414" s="40" t="s">
        <v>11404</v>
      </c>
      <c r="F12414" s="40" t="s">
        <v>11404</v>
      </c>
      <c r="G12414" s="40" t="s">
        <v>11404</v>
      </c>
      <c r="H12414" s="40" t="s">
        <v>11404</v>
      </c>
    </row>
    <row r="12415">
      <c r="A12415" s="39"/>
      <c r="E12415" s="40" t="s">
        <v>11404</v>
      </c>
      <c r="F12415" s="40" t="s">
        <v>11404</v>
      </c>
      <c r="G12415" s="40" t="s">
        <v>11404</v>
      </c>
      <c r="H12415" s="40" t="s">
        <v>11404</v>
      </c>
    </row>
    <row r="12416">
      <c r="A12416" s="39"/>
      <c r="E12416" s="40" t="s">
        <v>11404</v>
      </c>
      <c r="F12416" s="40" t="s">
        <v>11404</v>
      </c>
      <c r="G12416" s="40" t="s">
        <v>11404</v>
      </c>
      <c r="H12416" s="40" t="s">
        <v>11404</v>
      </c>
    </row>
    <row r="12417">
      <c r="A12417" s="39"/>
      <c r="E12417" s="40" t="s">
        <v>11404</v>
      </c>
      <c r="F12417" s="40" t="s">
        <v>11404</v>
      </c>
      <c r="G12417" s="40" t="s">
        <v>11404</v>
      </c>
      <c r="H12417" s="40" t="s">
        <v>11404</v>
      </c>
    </row>
    <row r="12418">
      <c r="A12418" s="39"/>
      <c r="E12418" s="40" t="s">
        <v>11404</v>
      </c>
      <c r="F12418" s="40" t="s">
        <v>11404</v>
      </c>
      <c r="G12418" s="40" t="s">
        <v>11404</v>
      </c>
      <c r="H12418" s="40" t="s">
        <v>11404</v>
      </c>
    </row>
    <row r="12419">
      <c r="A12419" s="39"/>
      <c r="E12419" s="40" t="s">
        <v>11404</v>
      </c>
      <c r="F12419" s="40" t="s">
        <v>11404</v>
      </c>
      <c r="G12419" s="40" t="s">
        <v>11404</v>
      </c>
      <c r="H12419" s="40" t="s">
        <v>11404</v>
      </c>
    </row>
    <row r="12420">
      <c r="A12420" s="39"/>
      <c r="E12420" s="40" t="s">
        <v>11404</v>
      </c>
      <c r="F12420" s="40" t="s">
        <v>11404</v>
      </c>
      <c r="G12420" s="40" t="s">
        <v>11404</v>
      </c>
      <c r="H12420" s="40" t="s">
        <v>11404</v>
      </c>
    </row>
    <row r="12421">
      <c r="A12421" s="39"/>
      <c r="E12421" s="40" t="s">
        <v>11404</v>
      </c>
      <c r="F12421" s="40" t="s">
        <v>11404</v>
      </c>
      <c r="G12421" s="40" t="s">
        <v>11404</v>
      </c>
      <c r="H12421" s="40" t="s">
        <v>11404</v>
      </c>
    </row>
    <row r="12422">
      <c r="A12422" s="39"/>
      <c r="E12422" s="40" t="s">
        <v>11404</v>
      </c>
      <c r="F12422" s="40" t="s">
        <v>11404</v>
      </c>
      <c r="G12422" s="40" t="s">
        <v>11404</v>
      </c>
      <c r="H12422" s="40" t="s">
        <v>11404</v>
      </c>
    </row>
    <row r="12423">
      <c r="A12423" s="39"/>
      <c r="E12423" s="40" t="s">
        <v>11404</v>
      </c>
      <c r="F12423" s="40" t="s">
        <v>11404</v>
      </c>
      <c r="G12423" s="40" t="s">
        <v>11404</v>
      </c>
      <c r="H12423" s="40" t="s">
        <v>11404</v>
      </c>
    </row>
    <row r="12424">
      <c r="A12424" s="39"/>
      <c r="E12424" s="40" t="s">
        <v>11404</v>
      </c>
      <c r="F12424" s="40" t="s">
        <v>11404</v>
      </c>
      <c r="G12424" s="40" t="s">
        <v>11404</v>
      </c>
      <c r="H12424" s="40" t="s">
        <v>11404</v>
      </c>
    </row>
    <row r="12425">
      <c r="A12425" s="39"/>
      <c r="E12425" s="40" t="s">
        <v>11404</v>
      </c>
      <c r="F12425" s="40" t="s">
        <v>11404</v>
      </c>
      <c r="G12425" s="40" t="s">
        <v>11404</v>
      </c>
      <c r="H12425" s="40" t="s">
        <v>11404</v>
      </c>
    </row>
    <row r="12426">
      <c r="A12426" s="39"/>
      <c r="E12426" s="40" t="s">
        <v>11404</v>
      </c>
      <c r="F12426" s="40" t="s">
        <v>11404</v>
      </c>
      <c r="G12426" s="40" t="s">
        <v>11404</v>
      </c>
      <c r="H12426" s="40" t="s">
        <v>11404</v>
      </c>
    </row>
    <row r="12427">
      <c r="A12427" s="39"/>
      <c r="E12427" s="40" t="s">
        <v>11404</v>
      </c>
      <c r="F12427" s="40" t="s">
        <v>11404</v>
      </c>
      <c r="G12427" s="40" t="s">
        <v>11404</v>
      </c>
      <c r="H12427" s="40" t="s">
        <v>11404</v>
      </c>
    </row>
    <row r="12428">
      <c r="A12428" s="39"/>
      <c r="E12428" s="40" t="s">
        <v>11404</v>
      </c>
      <c r="F12428" s="40" t="s">
        <v>11404</v>
      </c>
      <c r="G12428" s="40" t="s">
        <v>11404</v>
      </c>
      <c r="H12428" s="40" t="s">
        <v>11404</v>
      </c>
    </row>
    <row r="12429">
      <c r="A12429" s="39"/>
      <c r="E12429" s="40" t="s">
        <v>11404</v>
      </c>
      <c r="F12429" s="40" t="s">
        <v>11404</v>
      </c>
      <c r="G12429" s="40" t="s">
        <v>11404</v>
      </c>
      <c r="H12429" s="40" t="s">
        <v>11404</v>
      </c>
    </row>
    <row r="12430">
      <c r="A12430" s="39"/>
      <c r="E12430" s="40" t="s">
        <v>11404</v>
      </c>
      <c r="F12430" s="40" t="s">
        <v>11404</v>
      </c>
      <c r="G12430" s="40" t="s">
        <v>11404</v>
      </c>
      <c r="H12430" s="40" t="s">
        <v>11404</v>
      </c>
    </row>
    <row r="12431">
      <c r="A12431" s="39"/>
      <c r="E12431" s="40" t="s">
        <v>11404</v>
      </c>
      <c r="F12431" s="40" t="s">
        <v>11404</v>
      </c>
      <c r="G12431" s="40" t="s">
        <v>11404</v>
      </c>
      <c r="H12431" s="40" t="s">
        <v>11404</v>
      </c>
    </row>
    <row r="12432">
      <c r="A12432" s="39"/>
      <c r="E12432" s="40" t="s">
        <v>11404</v>
      </c>
      <c r="F12432" s="40" t="s">
        <v>11404</v>
      </c>
      <c r="G12432" s="40" t="s">
        <v>11404</v>
      </c>
      <c r="H12432" s="40" t="s">
        <v>11404</v>
      </c>
    </row>
    <row r="12433">
      <c r="A12433" s="39"/>
      <c r="E12433" s="40" t="s">
        <v>11404</v>
      </c>
      <c r="F12433" s="40" t="s">
        <v>11404</v>
      </c>
      <c r="G12433" s="40" t="s">
        <v>11404</v>
      </c>
      <c r="H12433" s="40" t="s">
        <v>11404</v>
      </c>
    </row>
    <row r="12434">
      <c r="A12434" s="39"/>
      <c r="E12434" s="40" t="s">
        <v>11404</v>
      </c>
      <c r="F12434" s="40" t="s">
        <v>11404</v>
      </c>
      <c r="G12434" s="40" t="s">
        <v>11404</v>
      </c>
      <c r="H12434" s="40" t="s">
        <v>11404</v>
      </c>
    </row>
    <row r="12435">
      <c r="A12435" s="39"/>
      <c r="E12435" s="40" t="s">
        <v>11404</v>
      </c>
      <c r="F12435" s="40" t="s">
        <v>11404</v>
      </c>
      <c r="G12435" s="40" t="s">
        <v>11404</v>
      </c>
      <c r="H12435" s="40" t="s">
        <v>11404</v>
      </c>
    </row>
    <row r="12436">
      <c r="A12436" s="39"/>
      <c r="E12436" s="40" t="s">
        <v>11404</v>
      </c>
      <c r="F12436" s="40" t="s">
        <v>11404</v>
      </c>
      <c r="G12436" s="40" t="s">
        <v>11404</v>
      </c>
      <c r="H12436" s="40" t="s">
        <v>11404</v>
      </c>
    </row>
    <row r="12437">
      <c r="A12437" s="39"/>
      <c r="E12437" s="40" t="s">
        <v>11404</v>
      </c>
      <c r="F12437" s="40" t="s">
        <v>11404</v>
      </c>
      <c r="G12437" s="40" t="s">
        <v>11404</v>
      </c>
      <c r="H12437" s="40" t="s">
        <v>11404</v>
      </c>
    </row>
    <row r="12438">
      <c r="A12438" s="39"/>
      <c r="E12438" s="40" t="s">
        <v>11404</v>
      </c>
      <c r="F12438" s="40" t="s">
        <v>11404</v>
      </c>
      <c r="G12438" s="40" t="s">
        <v>11404</v>
      </c>
      <c r="H12438" s="40" t="s">
        <v>11404</v>
      </c>
    </row>
    <row r="12439">
      <c r="A12439" s="39"/>
      <c r="E12439" s="40" t="s">
        <v>11404</v>
      </c>
      <c r="F12439" s="40" t="s">
        <v>11404</v>
      </c>
      <c r="G12439" s="40" t="s">
        <v>11404</v>
      </c>
      <c r="H12439" s="40" t="s">
        <v>11404</v>
      </c>
    </row>
    <row r="12440">
      <c r="A12440" s="39"/>
      <c r="E12440" s="40" t="s">
        <v>11404</v>
      </c>
      <c r="F12440" s="40" t="s">
        <v>11404</v>
      </c>
      <c r="G12440" s="40" t="s">
        <v>11404</v>
      </c>
      <c r="H12440" s="40" t="s">
        <v>11404</v>
      </c>
    </row>
    <row r="12441">
      <c r="A12441" s="39"/>
      <c r="E12441" s="40" t="s">
        <v>11404</v>
      </c>
      <c r="F12441" s="40" t="s">
        <v>11404</v>
      </c>
      <c r="G12441" s="40" t="s">
        <v>11404</v>
      </c>
      <c r="H12441" s="40" t="s">
        <v>11404</v>
      </c>
    </row>
    <row r="12442">
      <c r="A12442" s="39"/>
      <c r="E12442" s="40" t="s">
        <v>11404</v>
      </c>
      <c r="F12442" s="40" t="s">
        <v>11404</v>
      </c>
      <c r="G12442" s="40" t="s">
        <v>11404</v>
      </c>
      <c r="H12442" s="40" t="s">
        <v>11404</v>
      </c>
    </row>
    <row r="12443">
      <c r="A12443" s="39"/>
      <c r="E12443" s="40" t="s">
        <v>11404</v>
      </c>
      <c r="F12443" s="40" t="s">
        <v>11404</v>
      </c>
      <c r="G12443" s="40" t="s">
        <v>11404</v>
      </c>
      <c r="H12443" s="40" t="s">
        <v>11404</v>
      </c>
    </row>
    <row r="12444">
      <c r="A12444" s="39"/>
      <c r="E12444" s="40" t="s">
        <v>11404</v>
      </c>
      <c r="F12444" s="40" t="s">
        <v>11404</v>
      </c>
      <c r="G12444" s="40" t="s">
        <v>11404</v>
      </c>
      <c r="H12444" s="40" t="s">
        <v>11404</v>
      </c>
    </row>
    <row r="12445">
      <c r="A12445" s="39"/>
      <c r="E12445" s="40" t="s">
        <v>11404</v>
      </c>
      <c r="F12445" s="40" t="s">
        <v>11404</v>
      </c>
      <c r="G12445" s="40" t="s">
        <v>11404</v>
      </c>
      <c r="H12445" s="40" t="s">
        <v>11404</v>
      </c>
    </row>
    <row r="12446">
      <c r="A12446" s="39"/>
      <c r="E12446" s="40" t="s">
        <v>11404</v>
      </c>
      <c r="F12446" s="40" t="s">
        <v>11404</v>
      </c>
      <c r="G12446" s="40" t="s">
        <v>11404</v>
      </c>
      <c r="H12446" s="40" t="s">
        <v>11404</v>
      </c>
    </row>
    <row r="12447">
      <c r="A12447" s="39"/>
      <c r="E12447" s="40" t="s">
        <v>11404</v>
      </c>
      <c r="F12447" s="40" t="s">
        <v>11404</v>
      </c>
      <c r="G12447" s="40" t="s">
        <v>11404</v>
      </c>
      <c r="H12447" s="40" t="s">
        <v>11404</v>
      </c>
    </row>
    <row r="12448">
      <c r="A12448" s="39"/>
      <c r="E12448" s="40" t="s">
        <v>11404</v>
      </c>
      <c r="F12448" s="40" t="s">
        <v>11404</v>
      </c>
      <c r="G12448" s="40" t="s">
        <v>11404</v>
      </c>
      <c r="H12448" s="40" t="s">
        <v>11404</v>
      </c>
    </row>
    <row r="12449">
      <c r="A12449" s="39"/>
      <c r="E12449" s="40" t="s">
        <v>11404</v>
      </c>
      <c r="F12449" s="40" t="s">
        <v>11404</v>
      </c>
      <c r="G12449" s="40" t="s">
        <v>11404</v>
      </c>
      <c r="H12449" s="40" t="s">
        <v>11404</v>
      </c>
    </row>
    <row r="12450">
      <c r="A12450" s="39"/>
      <c r="E12450" s="40" t="s">
        <v>11404</v>
      </c>
      <c r="F12450" s="40" t="s">
        <v>11404</v>
      </c>
      <c r="G12450" s="40" t="s">
        <v>11404</v>
      </c>
      <c r="H12450" s="40" t="s">
        <v>11404</v>
      </c>
    </row>
    <row r="12451">
      <c r="A12451" s="39"/>
      <c r="E12451" s="40" t="s">
        <v>11404</v>
      </c>
      <c r="F12451" s="40" t="s">
        <v>11404</v>
      </c>
      <c r="G12451" s="40" t="s">
        <v>11404</v>
      </c>
      <c r="H12451" s="40" t="s">
        <v>11404</v>
      </c>
    </row>
    <row r="12452">
      <c r="A12452" s="39"/>
      <c r="E12452" s="40" t="s">
        <v>11404</v>
      </c>
      <c r="F12452" s="40" t="s">
        <v>11404</v>
      </c>
      <c r="G12452" s="40" t="s">
        <v>11404</v>
      </c>
      <c r="H12452" s="40" t="s">
        <v>11404</v>
      </c>
    </row>
    <row r="12453">
      <c r="A12453" s="39"/>
      <c r="E12453" s="40" t="s">
        <v>11404</v>
      </c>
      <c r="F12453" s="40" t="s">
        <v>11404</v>
      </c>
      <c r="G12453" s="40" t="s">
        <v>11404</v>
      </c>
      <c r="H12453" s="40" t="s">
        <v>11404</v>
      </c>
    </row>
    <row r="12454">
      <c r="A12454" s="39"/>
      <c r="E12454" s="40" t="s">
        <v>11404</v>
      </c>
      <c r="F12454" s="40" t="s">
        <v>11404</v>
      </c>
      <c r="G12454" s="40" t="s">
        <v>11404</v>
      </c>
      <c r="H12454" s="40" t="s">
        <v>11404</v>
      </c>
    </row>
    <row r="12455">
      <c r="A12455" s="39"/>
      <c r="E12455" s="40" t="s">
        <v>11404</v>
      </c>
      <c r="F12455" s="40" t="s">
        <v>11404</v>
      </c>
      <c r="G12455" s="40" t="s">
        <v>11404</v>
      </c>
      <c r="H12455" s="40" t="s">
        <v>11404</v>
      </c>
    </row>
    <row r="12456">
      <c r="A12456" s="39"/>
      <c r="E12456" s="40" t="s">
        <v>11404</v>
      </c>
      <c r="F12456" s="40" t="s">
        <v>11404</v>
      </c>
      <c r="G12456" s="40" t="s">
        <v>11404</v>
      </c>
      <c r="H12456" s="40" t="s">
        <v>11404</v>
      </c>
    </row>
    <row r="12457">
      <c r="A12457" s="39"/>
      <c r="E12457" s="40" t="s">
        <v>11404</v>
      </c>
      <c r="F12457" s="40" t="s">
        <v>11404</v>
      </c>
      <c r="G12457" s="40" t="s">
        <v>11404</v>
      </c>
      <c r="H12457" s="40" t="s">
        <v>11404</v>
      </c>
    </row>
    <row r="12458">
      <c r="A12458" s="39"/>
      <c r="E12458" s="40" t="s">
        <v>11404</v>
      </c>
      <c r="F12458" s="40" t="s">
        <v>11404</v>
      </c>
      <c r="G12458" s="40" t="s">
        <v>11404</v>
      </c>
      <c r="H12458" s="40" t="s">
        <v>11404</v>
      </c>
    </row>
    <row r="12459">
      <c r="A12459" s="39"/>
      <c r="E12459" s="40" t="s">
        <v>11404</v>
      </c>
      <c r="F12459" s="40" t="s">
        <v>11404</v>
      </c>
      <c r="G12459" s="40" t="s">
        <v>11404</v>
      </c>
      <c r="H12459" s="40" t="s">
        <v>11404</v>
      </c>
    </row>
    <row r="12460">
      <c r="A12460" s="39"/>
      <c r="E12460" s="40" t="s">
        <v>11404</v>
      </c>
      <c r="F12460" s="40" t="s">
        <v>11404</v>
      </c>
      <c r="G12460" s="40" t="s">
        <v>11404</v>
      </c>
      <c r="H12460" s="40" t="s">
        <v>11404</v>
      </c>
    </row>
    <row r="12461">
      <c r="A12461" s="39"/>
      <c r="E12461" s="40" t="s">
        <v>11404</v>
      </c>
      <c r="F12461" s="40" t="s">
        <v>11404</v>
      </c>
      <c r="G12461" s="40" t="s">
        <v>11404</v>
      </c>
      <c r="H12461" s="40" t="s">
        <v>11404</v>
      </c>
    </row>
    <row r="12462">
      <c r="A12462" s="39"/>
      <c r="E12462" s="40" t="s">
        <v>11404</v>
      </c>
      <c r="F12462" s="40" t="s">
        <v>11404</v>
      </c>
      <c r="G12462" s="40" t="s">
        <v>11404</v>
      </c>
      <c r="H12462" s="40" t="s">
        <v>11404</v>
      </c>
    </row>
    <row r="12463">
      <c r="A12463" s="39"/>
      <c r="E12463" s="40" t="s">
        <v>11404</v>
      </c>
      <c r="F12463" s="40" t="s">
        <v>11404</v>
      </c>
      <c r="G12463" s="40" t="s">
        <v>11404</v>
      </c>
      <c r="H12463" s="40" t="s">
        <v>11404</v>
      </c>
    </row>
    <row r="12464">
      <c r="A12464" s="39"/>
      <c r="E12464" s="40" t="s">
        <v>11404</v>
      </c>
      <c r="F12464" s="40" t="s">
        <v>11404</v>
      </c>
      <c r="G12464" s="40" t="s">
        <v>11404</v>
      </c>
      <c r="H12464" s="40" t="s">
        <v>11404</v>
      </c>
    </row>
    <row r="12465">
      <c r="A12465" s="39"/>
      <c r="E12465" s="40" t="s">
        <v>11404</v>
      </c>
      <c r="F12465" s="40" t="s">
        <v>11404</v>
      </c>
      <c r="G12465" s="40" t="s">
        <v>11404</v>
      </c>
      <c r="H12465" s="40" t="s">
        <v>11404</v>
      </c>
    </row>
    <row r="12466">
      <c r="A12466" s="39"/>
      <c r="E12466" s="40" t="s">
        <v>11404</v>
      </c>
      <c r="F12466" s="40" t="s">
        <v>11404</v>
      </c>
      <c r="G12466" s="40" t="s">
        <v>11404</v>
      </c>
      <c r="H12466" s="40" t="s">
        <v>11404</v>
      </c>
    </row>
    <row r="12467">
      <c r="A12467" s="39"/>
      <c r="E12467" s="40" t="s">
        <v>11404</v>
      </c>
      <c r="F12467" s="40" t="s">
        <v>11404</v>
      </c>
      <c r="G12467" s="40" t="s">
        <v>11404</v>
      </c>
      <c r="H12467" s="40" t="s">
        <v>11404</v>
      </c>
    </row>
    <row r="12468">
      <c r="A12468" s="39"/>
      <c r="E12468" s="40" t="s">
        <v>11404</v>
      </c>
      <c r="F12468" s="40" t="s">
        <v>11404</v>
      </c>
      <c r="G12468" s="40" t="s">
        <v>11404</v>
      </c>
      <c r="H12468" s="40" t="s">
        <v>11404</v>
      </c>
    </row>
    <row r="12469">
      <c r="A12469" s="39"/>
      <c r="E12469" s="40" t="s">
        <v>11404</v>
      </c>
      <c r="F12469" s="40" t="s">
        <v>11404</v>
      </c>
      <c r="G12469" s="40" t="s">
        <v>11404</v>
      </c>
      <c r="H12469" s="40" t="s">
        <v>11404</v>
      </c>
    </row>
    <row r="12470">
      <c r="A12470" s="39"/>
      <c r="E12470" s="40" t="s">
        <v>11404</v>
      </c>
      <c r="F12470" s="40" t="s">
        <v>11404</v>
      </c>
      <c r="G12470" s="40" t="s">
        <v>11404</v>
      </c>
      <c r="H12470" s="40" t="s">
        <v>11404</v>
      </c>
    </row>
    <row r="12471">
      <c r="A12471" s="39"/>
      <c r="E12471" s="40" t="s">
        <v>11404</v>
      </c>
      <c r="F12471" s="40" t="s">
        <v>11404</v>
      </c>
      <c r="G12471" s="40" t="s">
        <v>11404</v>
      </c>
      <c r="H12471" s="40" t="s">
        <v>11404</v>
      </c>
    </row>
    <row r="12472">
      <c r="A12472" s="39"/>
      <c r="E12472" s="40" t="s">
        <v>11404</v>
      </c>
      <c r="F12472" s="40" t="s">
        <v>11404</v>
      </c>
      <c r="G12472" s="40" t="s">
        <v>11404</v>
      </c>
      <c r="H12472" s="40" t="s">
        <v>11404</v>
      </c>
    </row>
    <row r="12473">
      <c r="A12473" s="39"/>
      <c r="E12473" s="40" t="s">
        <v>11404</v>
      </c>
      <c r="F12473" s="40" t="s">
        <v>11404</v>
      </c>
      <c r="G12473" s="40" t="s">
        <v>11404</v>
      </c>
      <c r="H12473" s="40" t="s">
        <v>11404</v>
      </c>
    </row>
    <row r="12474">
      <c r="A12474" s="39"/>
      <c r="E12474" s="40" t="s">
        <v>11404</v>
      </c>
      <c r="F12474" s="40" t="s">
        <v>11404</v>
      </c>
      <c r="G12474" s="40" t="s">
        <v>11404</v>
      </c>
      <c r="H12474" s="40" t="s">
        <v>11404</v>
      </c>
    </row>
    <row r="12475">
      <c r="A12475" s="39"/>
      <c r="E12475" s="40" t="s">
        <v>11404</v>
      </c>
      <c r="F12475" s="40" t="s">
        <v>11404</v>
      </c>
      <c r="G12475" s="40" t="s">
        <v>11404</v>
      </c>
      <c r="H12475" s="40" t="s">
        <v>11404</v>
      </c>
    </row>
    <row r="12476">
      <c r="A12476" s="39"/>
      <c r="E12476" s="40" t="s">
        <v>11404</v>
      </c>
      <c r="F12476" s="40" t="s">
        <v>11404</v>
      </c>
      <c r="G12476" s="40" t="s">
        <v>11404</v>
      </c>
      <c r="H12476" s="40" t="s">
        <v>11404</v>
      </c>
    </row>
    <row r="12477">
      <c r="A12477" s="39"/>
      <c r="E12477" s="40" t="s">
        <v>11404</v>
      </c>
      <c r="F12477" s="40" t="s">
        <v>11404</v>
      </c>
      <c r="G12477" s="40" t="s">
        <v>11404</v>
      </c>
      <c r="H12477" s="40" t="s">
        <v>11404</v>
      </c>
    </row>
    <row r="12478">
      <c r="A12478" s="39"/>
      <c r="E12478" s="40" t="s">
        <v>11404</v>
      </c>
      <c r="F12478" s="40" t="s">
        <v>11404</v>
      </c>
      <c r="G12478" s="40" t="s">
        <v>11404</v>
      </c>
      <c r="H12478" s="40" t="s">
        <v>11404</v>
      </c>
    </row>
    <row r="12479">
      <c r="A12479" s="39"/>
      <c r="E12479" s="40" t="s">
        <v>11404</v>
      </c>
      <c r="F12479" s="40" t="s">
        <v>11404</v>
      </c>
      <c r="G12479" s="40" t="s">
        <v>11404</v>
      </c>
      <c r="H12479" s="40" t="s">
        <v>11404</v>
      </c>
    </row>
    <row r="12480">
      <c r="A12480" s="39"/>
      <c r="E12480" s="40" t="s">
        <v>11404</v>
      </c>
      <c r="F12480" s="40" t="s">
        <v>11404</v>
      </c>
      <c r="G12480" s="40" t="s">
        <v>11404</v>
      </c>
      <c r="H12480" s="40" t="s">
        <v>11404</v>
      </c>
    </row>
    <row r="12481">
      <c r="A12481" s="39"/>
      <c r="E12481" s="40" t="s">
        <v>11404</v>
      </c>
      <c r="F12481" s="40" t="s">
        <v>11404</v>
      </c>
      <c r="G12481" s="40" t="s">
        <v>11404</v>
      </c>
      <c r="H12481" s="40" t="s">
        <v>11404</v>
      </c>
    </row>
    <row r="12482">
      <c r="A12482" s="39"/>
      <c r="E12482" s="40" t="s">
        <v>11404</v>
      </c>
      <c r="F12482" s="40" t="s">
        <v>11404</v>
      </c>
      <c r="G12482" s="40" t="s">
        <v>11404</v>
      </c>
      <c r="H12482" s="40" t="s">
        <v>11404</v>
      </c>
    </row>
    <row r="12483">
      <c r="A12483" s="39"/>
      <c r="E12483" s="40" t="s">
        <v>11404</v>
      </c>
      <c r="F12483" s="40" t="s">
        <v>11404</v>
      </c>
      <c r="G12483" s="40" t="s">
        <v>11404</v>
      </c>
      <c r="H12483" s="40" t="s">
        <v>11404</v>
      </c>
    </row>
    <row r="12484">
      <c r="A12484" s="39"/>
      <c r="E12484" s="40" t="s">
        <v>11404</v>
      </c>
      <c r="F12484" s="40" t="s">
        <v>11404</v>
      </c>
      <c r="G12484" s="40" t="s">
        <v>11404</v>
      </c>
      <c r="H12484" s="40" t="s">
        <v>11404</v>
      </c>
    </row>
    <row r="12485">
      <c r="A12485" s="39"/>
      <c r="E12485" s="40" t="s">
        <v>11404</v>
      </c>
      <c r="F12485" s="40" t="s">
        <v>11404</v>
      </c>
      <c r="G12485" s="40" t="s">
        <v>11404</v>
      </c>
      <c r="H12485" s="40" t="s">
        <v>11404</v>
      </c>
    </row>
    <row r="12486">
      <c r="A12486" s="39"/>
      <c r="E12486" s="40" t="s">
        <v>11404</v>
      </c>
      <c r="F12486" s="40" t="s">
        <v>11404</v>
      </c>
      <c r="G12486" s="40" t="s">
        <v>11404</v>
      </c>
      <c r="H12486" s="40" t="s">
        <v>11404</v>
      </c>
    </row>
    <row r="12487">
      <c r="A12487" s="39"/>
      <c r="E12487" s="40" t="s">
        <v>11404</v>
      </c>
      <c r="F12487" s="40" t="s">
        <v>11404</v>
      </c>
      <c r="G12487" s="40" t="s">
        <v>11404</v>
      </c>
      <c r="H12487" s="40" t="s">
        <v>11404</v>
      </c>
    </row>
    <row r="12488">
      <c r="A12488" s="39"/>
      <c r="E12488" s="40" t="s">
        <v>11404</v>
      </c>
      <c r="F12488" s="40" t="s">
        <v>11404</v>
      </c>
      <c r="G12488" s="40" t="s">
        <v>11404</v>
      </c>
      <c r="H12488" s="40" t="s">
        <v>11404</v>
      </c>
    </row>
    <row r="12489">
      <c r="A12489" s="39"/>
      <c r="E12489" s="40" t="s">
        <v>11404</v>
      </c>
      <c r="F12489" s="40" t="s">
        <v>11404</v>
      </c>
      <c r="G12489" s="40" t="s">
        <v>11404</v>
      </c>
      <c r="H12489" s="40" t="s">
        <v>11404</v>
      </c>
    </row>
    <row r="12490">
      <c r="A12490" s="39"/>
      <c r="E12490" s="40" t="s">
        <v>11404</v>
      </c>
      <c r="F12490" s="40" t="s">
        <v>11404</v>
      </c>
      <c r="G12490" s="40" t="s">
        <v>11404</v>
      </c>
      <c r="H12490" s="40" t="s">
        <v>11404</v>
      </c>
    </row>
    <row r="12491">
      <c r="A12491" s="39"/>
      <c r="E12491" s="40" t="s">
        <v>11404</v>
      </c>
      <c r="F12491" s="40" t="s">
        <v>11404</v>
      </c>
      <c r="G12491" s="40" t="s">
        <v>11404</v>
      </c>
      <c r="H12491" s="40" t="s">
        <v>11404</v>
      </c>
    </row>
    <row r="12492">
      <c r="A12492" s="39"/>
      <c r="E12492" s="40" t="s">
        <v>11404</v>
      </c>
      <c r="F12492" s="40" t="s">
        <v>11404</v>
      </c>
      <c r="G12492" s="40" t="s">
        <v>11404</v>
      </c>
      <c r="H12492" s="40" t="s">
        <v>11404</v>
      </c>
    </row>
    <row r="12493">
      <c r="A12493" s="39"/>
      <c r="E12493" s="40" t="s">
        <v>11404</v>
      </c>
      <c r="F12493" s="40" t="s">
        <v>11404</v>
      </c>
      <c r="G12493" s="40" t="s">
        <v>11404</v>
      </c>
      <c r="H12493" s="40" t="s">
        <v>11404</v>
      </c>
    </row>
    <row r="12494">
      <c r="A12494" s="39"/>
      <c r="E12494" s="40" t="s">
        <v>11404</v>
      </c>
      <c r="F12494" s="40" t="s">
        <v>11404</v>
      </c>
      <c r="G12494" s="40" t="s">
        <v>11404</v>
      </c>
      <c r="H12494" s="40" t="s">
        <v>11404</v>
      </c>
    </row>
    <row r="12495">
      <c r="A12495" s="39"/>
      <c r="E12495" s="40" t="s">
        <v>11404</v>
      </c>
      <c r="F12495" s="40" t="s">
        <v>11404</v>
      </c>
      <c r="G12495" s="40" t="s">
        <v>11404</v>
      </c>
      <c r="H12495" s="40" t="s">
        <v>11404</v>
      </c>
    </row>
    <row r="12496">
      <c r="A12496" s="39"/>
      <c r="E12496" s="40" t="s">
        <v>11404</v>
      </c>
      <c r="F12496" s="40" t="s">
        <v>11404</v>
      </c>
      <c r="G12496" s="40" t="s">
        <v>11404</v>
      </c>
      <c r="H12496" s="40" t="s">
        <v>11404</v>
      </c>
    </row>
    <row r="12497">
      <c r="A12497" s="39"/>
      <c r="E12497" s="40" t="s">
        <v>11404</v>
      </c>
      <c r="F12497" s="40" t="s">
        <v>11404</v>
      </c>
      <c r="G12497" s="40" t="s">
        <v>11404</v>
      </c>
      <c r="H12497" s="40" t="s">
        <v>11404</v>
      </c>
    </row>
    <row r="12498">
      <c r="A12498" s="39"/>
      <c r="E12498" s="40" t="s">
        <v>11404</v>
      </c>
      <c r="F12498" s="40" t="s">
        <v>11404</v>
      </c>
      <c r="G12498" s="40" t="s">
        <v>11404</v>
      </c>
      <c r="H12498" s="40" t="s">
        <v>11404</v>
      </c>
    </row>
    <row r="12499">
      <c r="A12499" s="39"/>
      <c r="E12499" s="40" t="s">
        <v>11404</v>
      </c>
      <c r="F12499" s="40" t="s">
        <v>11404</v>
      </c>
      <c r="G12499" s="40" t="s">
        <v>11404</v>
      </c>
      <c r="H12499" s="40" t="s">
        <v>11404</v>
      </c>
    </row>
    <row r="12500">
      <c r="A12500" s="39"/>
      <c r="E12500" s="40" t="s">
        <v>11404</v>
      </c>
      <c r="F12500" s="40" t="s">
        <v>11404</v>
      </c>
      <c r="G12500" s="40" t="s">
        <v>11404</v>
      </c>
      <c r="H12500" s="40" t="s">
        <v>11404</v>
      </c>
    </row>
    <row r="12501">
      <c r="A12501" s="39"/>
      <c r="E12501" s="40" t="s">
        <v>11404</v>
      </c>
      <c r="F12501" s="40" t="s">
        <v>11404</v>
      </c>
      <c r="G12501" s="40" t="s">
        <v>11404</v>
      </c>
      <c r="H12501" s="40" t="s">
        <v>11404</v>
      </c>
    </row>
    <row r="12502">
      <c r="A12502" s="39"/>
      <c r="E12502" s="40" t="s">
        <v>11404</v>
      </c>
      <c r="F12502" s="40" t="s">
        <v>11404</v>
      </c>
      <c r="G12502" s="40" t="s">
        <v>11404</v>
      </c>
      <c r="H12502" s="40" t="s">
        <v>11404</v>
      </c>
    </row>
    <row r="12503">
      <c r="A12503" s="39"/>
      <c r="E12503" s="40" t="s">
        <v>11404</v>
      </c>
      <c r="F12503" s="40" t="s">
        <v>11404</v>
      </c>
      <c r="G12503" s="40" t="s">
        <v>11404</v>
      </c>
      <c r="H12503" s="40" t="s">
        <v>11404</v>
      </c>
    </row>
    <row r="12504">
      <c r="A12504" s="39"/>
      <c r="E12504" s="40" t="s">
        <v>11404</v>
      </c>
      <c r="F12504" s="40" t="s">
        <v>11404</v>
      </c>
      <c r="G12504" s="40" t="s">
        <v>11404</v>
      </c>
      <c r="H12504" s="40" t="s">
        <v>11404</v>
      </c>
    </row>
    <row r="12505">
      <c r="A12505" s="39"/>
      <c r="E12505" s="40" t="s">
        <v>11404</v>
      </c>
      <c r="F12505" s="40" t="s">
        <v>11404</v>
      </c>
      <c r="G12505" s="40" t="s">
        <v>11404</v>
      </c>
      <c r="H12505" s="40" t="s">
        <v>11404</v>
      </c>
    </row>
    <row r="12506">
      <c r="A12506" s="39"/>
      <c r="E12506" s="40" t="s">
        <v>11404</v>
      </c>
      <c r="F12506" s="40" t="s">
        <v>11404</v>
      </c>
      <c r="G12506" s="40" t="s">
        <v>11404</v>
      </c>
      <c r="H12506" s="40" t="s">
        <v>11404</v>
      </c>
    </row>
    <row r="12507">
      <c r="A12507" s="39"/>
      <c r="E12507" s="40" t="s">
        <v>11404</v>
      </c>
      <c r="F12507" s="40" t="s">
        <v>11404</v>
      </c>
      <c r="G12507" s="40" t="s">
        <v>11404</v>
      </c>
      <c r="H12507" s="40" t="s">
        <v>11404</v>
      </c>
    </row>
    <row r="12508">
      <c r="A12508" s="39"/>
      <c r="E12508" s="40" t="s">
        <v>11404</v>
      </c>
      <c r="F12508" s="40" t="s">
        <v>11404</v>
      </c>
      <c r="G12508" s="40" t="s">
        <v>11404</v>
      </c>
      <c r="H12508" s="40" t="s">
        <v>11404</v>
      </c>
    </row>
    <row r="12509">
      <c r="A12509" s="39"/>
      <c r="E12509" s="40" t="s">
        <v>11404</v>
      </c>
      <c r="F12509" s="40" t="s">
        <v>11404</v>
      </c>
      <c r="G12509" s="40" t="s">
        <v>11404</v>
      </c>
      <c r="H12509" s="40" t="s">
        <v>11404</v>
      </c>
    </row>
    <row r="12510">
      <c r="A12510" s="39"/>
      <c r="E12510" s="40" t="s">
        <v>11404</v>
      </c>
      <c r="F12510" s="40" t="s">
        <v>11404</v>
      </c>
      <c r="G12510" s="40" t="s">
        <v>11404</v>
      </c>
      <c r="H12510" s="40" t="s">
        <v>11404</v>
      </c>
    </row>
    <row r="12511">
      <c r="A12511" s="39"/>
      <c r="E12511" s="40" t="s">
        <v>11404</v>
      </c>
      <c r="F12511" s="40" t="s">
        <v>11404</v>
      </c>
      <c r="G12511" s="40" t="s">
        <v>11404</v>
      </c>
      <c r="H12511" s="40" t="s">
        <v>11404</v>
      </c>
    </row>
    <row r="12512">
      <c r="A12512" s="39"/>
      <c r="E12512" s="40" t="s">
        <v>11404</v>
      </c>
      <c r="F12512" s="40" t="s">
        <v>11404</v>
      </c>
      <c r="G12512" s="40" t="s">
        <v>11404</v>
      </c>
      <c r="H12512" s="40" t="s">
        <v>11404</v>
      </c>
    </row>
    <row r="12513">
      <c r="A12513" s="39"/>
      <c r="E12513" s="40" t="s">
        <v>11404</v>
      </c>
      <c r="F12513" s="40" t="s">
        <v>11404</v>
      </c>
      <c r="G12513" s="40" t="s">
        <v>11404</v>
      </c>
      <c r="H12513" s="40" t="s">
        <v>11404</v>
      </c>
    </row>
    <row r="12514">
      <c r="A12514" s="39"/>
      <c r="E12514" s="40" t="s">
        <v>11404</v>
      </c>
      <c r="F12514" s="40" t="s">
        <v>11404</v>
      </c>
      <c r="G12514" s="40" t="s">
        <v>11404</v>
      </c>
      <c r="H12514" s="40" t="s">
        <v>11404</v>
      </c>
    </row>
    <row r="12515">
      <c r="A12515" s="39"/>
      <c r="E12515" s="40" t="s">
        <v>11404</v>
      </c>
      <c r="F12515" s="40" t="s">
        <v>11404</v>
      </c>
      <c r="G12515" s="40" t="s">
        <v>11404</v>
      </c>
      <c r="H12515" s="40" t="s">
        <v>11404</v>
      </c>
    </row>
    <row r="12516">
      <c r="A12516" s="39"/>
      <c r="E12516" s="40" t="s">
        <v>11404</v>
      </c>
      <c r="F12516" s="40" t="s">
        <v>11404</v>
      </c>
      <c r="G12516" s="40" t="s">
        <v>11404</v>
      </c>
      <c r="H12516" s="40" t="s">
        <v>11404</v>
      </c>
    </row>
    <row r="12517">
      <c r="A12517" s="39"/>
      <c r="E12517" s="40" t="s">
        <v>11404</v>
      </c>
      <c r="F12517" s="40" t="s">
        <v>11404</v>
      </c>
      <c r="G12517" s="40" t="s">
        <v>11404</v>
      </c>
      <c r="H12517" s="40" t="s">
        <v>11404</v>
      </c>
    </row>
    <row r="12518">
      <c r="A12518" s="39"/>
      <c r="E12518" s="40" t="s">
        <v>11404</v>
      </c>
      <c r="F12518" s="40" t="s">
        <v>11404</v>
      </c>
      <c r="G12518" s="40" t="s">
        <v>11404</v>
      </c>
      <c r="H12518" s="40" t="s">
        <v>11404</v>
      </c>
    </row>
    <row r="12519">
      <c r="A12519" s="39"/>
      <c r="E12519" s="40" t="s">
        <v>11404</v>
      </c>
      <c r="F12519" s="40" t="s">
        <v>11404</v>
      </c>
      <c r="G12519" s="40" t="s">
        <v>11404</v>
      </c>
      <c r="H12519" s="40" t="s">
        <v>11404</v>
      </c>
    </row>
    <row r="12520">
      <c r="A12520" s="39"/>
      <c r="E12520" s="40" t="s">
        <v>11404</v>
      </c>
      <c r="F12520" s="40" t="s">
        <v>11404</v>
      </c>
      <c r="G12520" s="40" t="s">
        <v>11404</v>
      </c>
      <c r="H12520" s="40" t="s">
        <v>11404</v>
      </c>
    </row>
    <row r="12521">
      <c r="A12521" s="39"/>
      <c r="E12521" s="40" t="s">
        <v>11404</v>
      </c>
      <c r="F12521" s="40" t="s">
        <v>11404</v>
      </c>
      <c r="G12521" s="40" t="s">
        <v>11404</v>
      </c>
      <c r="H12521" s="40" t="s">
        <v>11404</v>
      </c>
    </row>
    <row r="12522">
      <c r="A12522" s="39"/>
      <c r="E12522" s="40" t="s">
        <v>11404</v>
      </c>
      <c r="F12522" s="40" t="s">
        <v>11404</v>
      </c>
      <c r="G12522" s="40" t="s">
        <v>11404</v>
      </c>
      <c r="H12522" s="40" t="s">
        <v>11404</v>
      </c>
    </row>
    <row r="12523">
      <c r="A12523" s="39"/>
      <c r="E12523" s="40" t="s">
        <v>11404</v>
      </c>
      <c r="F12523" s="40" t="s">
        <v>11404</v>
      </c>
      <c r="G12523" s="40" t="s">
        <v>11404</v>
      </c>
      <c r="H12523" s="40" t="s">
        <v>11404</v>
      </c>
    </row>
    <row r="12524">
      <c r="A12524" s="39"/>
      <c r="E12524" s="40" t="s">
        <v>11404</v>
      </c>
      <c r="F12524" s="40" t="s">
        <v>11404</v>
      </c>
      <c r="G12524" s="40" t="s">
        <v>11404</v>
      </c>
      <c r="H12524" s="40" t="s">
        <v>11404</v>
      </c>
    </row>
    <row r="12525">
      <c r="A12525" s="39"/>
      <c r="E12525" s="40" t="s">
        <v>11404</v>
      </c>
      <c r="F12525" s="40" t="s">
        <v>11404</v>
      </c>
      <c r="G12525" s="40" t="s">
        <v>11404</v>
      </c>
      <c r="H12525" s="40" t="s">
        <v>11404</v>
      </c>
    </row>
    <row r="12526">
      <c r="A12526" s="39"/>
      <c r="E12526" s="40" t="s">
        <v>11404</v>
      </c>
      <c r="F12526" s="40" t="s">
        <v>11404</v>
      </c>
      <c r="G12526" s="40" t="s">
        <v>11404</v>
      </c>
      <c r="H12526" s="40" t="s">
        <v>11404</v>
      </c>
    </row>
    <row r="12527">
      <c r="A12527" s="39"/>
      <c r="E12527" s="40" t="s">
        <v>11404</v>
      </c>
      <c r="F12527" s="40" t="s">
        <v>11404</v>
      </c>
      <c r="G12527" s="40" t="s">
        <v>11404</v>
      </c>
      <c r="H12527" s="40" t="s">
        <v>11404</v>
      </c>
    </row>
    <row r="12528">
      <c r="A12528" s="39"/>
      <c r="E12528" s="40" t="s">
        <v>11404</v>
      </c>
      <c r="F12528" s="40" t="s">
        <v>11404</v>
      </c>
      <c r="G12528" s="40" t="s">
        <v>11404</v>
      </c>
      <c r="H12528" s="40" t="s">
        <v>11404</v>
      </c>
    </row>
    <row r="12529">
      <c r="A12529" s="39"/>
      <c r="E12529" s="40" t="s">
        <v>11404</v>
      </c>
      <c r="F12529" s="40" t="s">
        <v>11404</v>
      </c>
      <c r="G12529" s="40" t="s">
        <v>11404</v>
      </c>
      <c r="H12529" s="40" t="s">
        <v>11404</v>
      </c>
    </row>
    <row r="12530">
      <c r="A12530" s="39"/>
      <c r="E12530" s="40" t="s">
        <v>11404</v>
      </c>
      <c r="F12530" s="40" t="s">
        <v>11404</v>
      </c>
      <c r="G12530" s="40" t="s">
        <v>11404</v>
      </c>
      <c r="H12530" s="40" t="s">
        <v>11404</v>
      </c>
    </row>
    <row r="12531">
      <c r="A12531" s="39"/>
      <c r="E12531" s="40" t="s">
        <v>11404</v>
      </c>
      <c r="F12531" s="40" t="s">
        <v>11404</v>
      </c>
      <c r="G12531" s="40" t="s">
        <v>11404</v>
      </c>
      <c r="H12531" s="40" t="s">
        <v>11404</v>
      </c>
    </row>
    <row r="12532">
      <c r="A12532" s="39"/>
      <c r="E12532" s="40" t="s">
        <v>11404</v>
      </c>
      <c r="F12532" s="40" t="s">
        <v>11404</v>
      </c>
      <c r="G12532" s="40" t="s">
        <v>11404</v>
      </c>
      <c r="H12532" s="40" t="s">
        <v>11404</v>
      </c>
    </row>
    <row r="12533">
      <c r="A12533" s="39"/>
      <c r="E12533" s="40" t="s">
        <v>11404</v>
      </c>
      <c r="F12533" s="40" t="s">
        <v>11404</v>
      </c>
      <c r="G12533" s="40" t="s">
        <v>11404</v>
      </c>
      <c r="H12533" s="40" t="s">
        <v>11404</v>
      </c>
    </row>
    <row r="12534">
      <c r="A12534" s="39"/>
      <c r="E12534" s="40" t="s">
        <v>11404</v>
      </c>
      <c r="F12534" s="40" t="s">
        <v>11404</v>
      </c>
      <c r="G12534" s="40" t="s">
        <v>11404</v>
      </c>
      <c r="H12534" s="40" t="s">
        <v>11404</v>
      </c>
    </row>
    <row r="12535">
      <c r="A12535" s="39"/>
      <c r="E12535" s="40" t="s">
        <v>11404</v>
      </c>
      <c r="F12535" s="40" t="s">
        <v>11404</v>
      </c>
      <c r="G12535" s="40" t="s">
        <v>11404</v>
      </c>
      <c r="H12535" s="40" t="s">
        <v>11404</v>
      </c>
    </row>
    <row r="12536">
      <c r="A12536" s="39"/>
      <c r="E12536" s="40" t="s">
        <v>11404</v>
      </c>
      <c r="F12536" s="40" t="s">
        <v>11404</v>
      </c>
      <c r="G12536" s="40" t="s">
        <v>11404</v>
      </c>
      <c r="H12536" s="40" t="s">
        <v>11404</v>
      </c>
    </row>
    <row r="12537">
      <c r="A12537" s="39"/>
      <c r="E12537" s="40" t="s">
        <v>11404</v>
      </c>
      <c r="F12537" s="40" t="s">
        <v>11404</v>
      </c>
      <c r="G12537" s="40" t="s">
        <v>11404</v>
      </c>
      <c r="H12537" s="40" t="s">
        <v>11404</v>
      </c>
    </row>
    <row r="12538">
      <c r="A12538" s="39"/>
      <c r="E12538" s="40" t="s">
        <v>11404</v>
      </c>
      <c r="F12538" s="40" t="s">
        <v>11404</v>
      </c>
      <c r="G12538" s="40" t="s">
        <v>11404</v>
      </c>
      <c r="H12538" s="40" t="s">
        <v>11404</v>
      </c>
    </row>
    <row r="12539">
      <c r="A12539" s="39"/>
      <c r="E12539" s="40" t="s">
        <v>11404</v>
      </c>
      <c r="F12539" s="40" t="s">
        <v>11404</v>
      </c>
      <c r="G12539" s="40" t="s">
        <v>11404</v>
      </c>
      <c r="H12539" s="40" t="s">
        <v>11404</v>
      </c>
    </row>
    <row r="12540">
      <c r="A12540" s="39"/>
      <c r="E12540" s="40" t="s">
        <v>11404</v>
      </c>
      <c r="F12540" s="40" t="s">
        <v>11404</v>
      </c>
      <c r="G12540" s="40" t="s">
        <v>11404</v>
      </c>
      <c r="H12540" s="40" t="s">
        <v>11404</v>
      </c>
    </row>
    <row r="12541">
      <c r="A12541" s="39"/>
      <c r="E12541" s="40" t="s">
        <v>11404</v>
      </c>
      <c r="F12541" s="40" t="s">
        <v>11404</v>
      </c>
      <c r="G12541" s="40" t="s">
        <v>11404</v>
      </c>
      <c r="H12541" s="40" t="s">
        <v>11404</v>
      </c>
    </row>
    <row r="12542">
      <c r="A12542" s="39"/>
      <c r="E12542" s="40" t="s">
        <v>11404</v>
      </c>
      <c r="F12542" s="40" t="s">
        <v>11404</v>
      </c>
      <c r="G12542" s="40" t="s">
        <v>11404</v>
      </c>
      <c r="H12542" s="40" t="s">
        <v>11404</v>
      </c>
    </row>
    <row r="12543">
      <c r="A12543" s="39"/>
      <c r="E12543" s="40" t="s">
        <v>11404</v>
      </c>
      <c r="F12543" s="40" t="s">
        <v>11404</v>
      </c>
      <c r="G12543" s="40" t="s">
        <v>11404</v>
      </c>
      <c r="H12543" s="40" t="s">
        <v>11404</v>
      </c>
    </row>
    <row r="12544">
      <c r="A12544" s="39"/>
      <c r="E12544" s="40" t="s">
        <v>11404</v>
      </c>
      <c r="F12544" s="40" t="s">
        <v>11404</v>
      </c>
      <c r="G12544" s="40" t="s">
        <v>11404</v>
      </c>
      <c r="H12544" s="40" t="s">
        <v>11404</v>
      </c>
    </row>
    <row r="12545">
      <c r="A12545" s="39"/>
      <c r="E12545" s="40" t="s">
        <v>11404</v>
      </c>
      <c r="F12545" s="40" t="s">
        <v>11404</v>
      </c>
      <c r="G12545" s="40" t="s">
        <v>11404</v>
      </c>
      <c r="H12545" s="40" t="s">
        <v>11404</v>
      </c>
    </row>
    <row r="12546">
      <c r="A12546" s="39"/>
      <c r="E12546" s="40" t="s">
        <v>11404</v>
      </c>
      <c r="F12546" s="40" t="s">
        <v>11404</v>
      </c>
      <c r="G12546" s="40" t="s">
        <v>11404</v>
      </c>
      <c r="H12546" s="40" t="s">
        <v>11404</v>
      </c>
    </row>
    <row r="12547">
      <c r="A12547" s="39"/>
      <c r="E12547" s="40" t="s">
        <v>11404</v>
      </c>
      <c r="F12547" s="40" t="s">
        <v>11404</v>
      </c>
      <c r="G12547" s="40" t="s">
        <v>11404</v>
      </c>
      <c r="H12547" s="40" t="s">
        <v>11404</v>
      </c>
    </row>
    <row r="12548">
      <c r="A12548" s="39"/>
      <c r="E12548" s="40" t="s">
        <v>11404</v>
      </c>
      <c r="F12548" s="40" t="s">
        <v>11404</v>
      </c>
      <c r="G12548" s="40" t="s">
        <v>11404</v>
      </c>
      <c r="H12548" s="40" t="s">
        <v>11404</v>
      </c>
    </row>
    <row r="12549">
      <c r="A12549" s="39"/>
      <c r="E12549" s="40" t="s">
        <v>11404</v>
      </c>
      <c r="F12549" s="40" t="s">
        <v>11404</v>
      </c>
      <c r="G12549" s="40" t="s">
        <v>11404</v>
      </c>
      <c r="H12549" s="40" t="s">
        <v>11404</v>
      </c>
    </row>
    <row r="12550">
      <c r="A12550" s="39"/>
      <c r="E12550" s="40" t="s">
        <v>11404</v>
      </c>
      <c r="F12550" s="40" t="s">
        <v>11404</v>
      </c>
      <c r="G12550" s="40" t="s">
        <v>11404</v>
      </c>
      <c r="H12550" s="40" t="s">
        <v>11404</v>
      </c>
    </row>
    <row r="12551">
      <c r="A12551" s="39"/>
      <c r="E12551" s="40" t="s">
        <v>11404</v>
      </c>
      <c r="F12551" s="40" t="s">
        <v>11404</v>
      </c>
      <c r="G12551" s="40" t="s">
        <v>11404</v>
      </c>
      <c r="H12551" s="40" t="s">
        <v>11404</v>
      </c>
    </row>
    <row r="12552">
      <c r="A12552" s="39"/>
      <c r="E12552" s="40" t="s">
        <v>11404</v>
      </c>
      <c r="F12552" s="40" t="s">
        <v>11404</v>
      </c>
      <c r="G12552" s="40" t="s">
        <v>11404</v>
      </c>
      <c r="H12552" s="40" t="s">
        <v>11404</v>
      </c>
    </row>
    <row r="12553">
      <c r="A12553" s="39"/>
      <c r="E12553" s="40" t="s">
        <v>11404</v>
      </c>
      <c r="F12553" s="40" t="s">
        <v>11404</v>
      </c>
      <c r="G12553" s="40" t="s">
        <v>11404</v>
      </c>
      <c r="H12553" s="40" t="s">
        <v>11404</v>
      </c>
    </row>
    <row r="12554">
      <c r="A12554" s="39"/>
      <c r="E12554" s="40" t="s">
        <v>11404</v>
      </c>
      <c r="F12554" s="40" t="s">
        <v>11404</v>
      </c>
      <c r="G12554" s="40" t="s">
        <v>11404</v>
      </c>
      <c r="H12554" s="40" t="s">
        <v>11404</v>
      </c>
    </row>
    <row r="12555">
      <c r="A12555" s="39"/>
      <c r="E12555" s="40" t="s">
        <v>11404</v>
      </c>
      <c r="F12555" s="40" t="s">
        <v>11404</v>
      </c>
      <c r="G12555" s="40" t="s">
        <v>11404</v>
      </c>
      <c r="H12555" s="40" t="s">
        <v>11404</v>
      </c>
    </row>
    <row r="12556">
      <c r="A12556" s="39"/>
      <c r="E12556" s="40" t="s">
        <v>11404</v>
      </c>
      <c r="F12556" s="40" t="s">
        <v>11404</v>
      </c>
      <c r="G12556" s="40" t="s">
        <v>11404</v>
      </c>
      <c r="H12556" s="40" t="s">
        <v>11404</v>
      </c>
    </row>
    <row r="12557">
      <c r="A12557" s="39"/>
      <c r="E12557" s="40" t="s">
        <v>11404</v>
      </c>
      <c r="F12557" s="40" t="s">
        <v>11404</v>
      </c>
      <c r="G12557" s="40" t="s">
        <v>11404</v>
      </c>
      <c r="H12557" s="40" t="s">
        <v>11404</v>
      </c>
    </row>
    <row r="12558">
      <c r="A12558" s="39"/>
      <c r="E12558" s="40" t="s">
        <v>11404</v>
      </c>
      <c r="F12558" s="40" t="s">
        <v>11404</v>
      </c>
      <c r="G12558" s="40" t="s">
        <v>11404</v>
      </c>
      <c r="H12558" s="40" t="s">
        <v>11404</v>
      </c>
    </row>
    <row r="12559">
      <c r="A12559" s="39"/>
      <c r="E12559" s="40" t="s">
        <v>11404</v>
      </c>
      <c r="F12559" s="40" t="s">
        <v>11404</v>
      </c>
      <c r="G12559" s="40" t="s">
        <v>11404</v>
      </c>
      <c r="H12559" s="40" t="s">
        <v>11404</v>
      </c>
    </row>
    <row r="12560">
      <c r="A12560" s="39"/>
      <c r="E12560" s="40" t="s">
        <v>11404</v>
      </c>
      <c r="F12560" s="40" t="s">
        <v>11404</v>
      </c>
      <c r="G12560" s="40" t="s">
        <v>11404</v>
      </c>
      <c r="H12560" s="40" t="s">
        <v>11404</v>
      </c>
    </row>
    <row r="12561">
      <c r="A12561" s="39"/>
      <c r="E12561" s="40" t="s">
        <v>11404</v>
      </c>
      <c r="F12561" s="40" t="s">
        <v>11404</v>
      </c>
      <c r="G12561" s="40" t="s">
        <v>11404</v>
      </c>
      <c r="H12561" s="40" t="s">
        <v>11404</v>
      </c>
    </row>
    <row r="12562">
      <c r="A12562" s="39"/>
      <c r="E12562" s="40" t="s">
        <v>11404</v>
      </c>
      <c r="F12562" s="40" t="s">
        <v>11404</v>
      </c>
      <c r="G12562" s="40" t="s">
        <v>11404</v>
      </c>
      <c r="H12562" s="40" t="s">
        <v>11404</v>
      </c>
    </row>
    <row r="12563">
      <c r="A12563" s="39"/>
      <c r="E12563" s="40" t="s">
        <v>11404</v>
      </c>
      <c r="F12563" s="40" t="s">
        <v>11404</v>
      </c>
      <c r="G12563" s="40" t="s">
        <v>11404</v>
      </c>
      <c r="H12563" s="40" t="s">
        <v>11404</v>
      </c>
    </row>
    <row r="12564">
      <c r="A12564" s="39"/>
      <c r="E12564" s="40" t="s">
        <v>11404</v>
      </c>
      <c r="F12564" s="40" t="s">
        <v>11404</v>
      </c>
      <c r="G12564" s="40" t="s">
        <v>11404</v>
      </c>
      <c r="H12564" s="40" t="s">
        <v>11404</v>
      </c>
    </row>
    <row r="12565">
      <c r="A12565" s="39"/>
      <c r="E12565" s="40" t="s">
        <v>11404</v>
      </c>
      <c r="F12565" s="40" t="s">
        <v>11404</v>
      </c>
      <c r="G12565" s="40" t="s">
        <v>11404</v>
      </c>
      <c r="H12565" s="40" t="s">
        <v>11404</v>
      </c>
    </row>
    <row r="12566">
      <c r="A12566" s="39"/>
      <c r="E12566" s="40" t="s">
        <v>11404</v>
      </c>
      <c r="F12566" s="40" t="s">
        <v>11404</v>
      </c>
      <c r="G12566" s="40" t="s">
        <v>11404</v>
      </c>
      <c r="H12566" s="40" t="s">
        <v>11404</v>
      </c>
    </row>
    <row r="12567">
      <c r="A12567" s="39"/>
      <c r="E12567" s="40" t="s">
        <v>11404</v>
      </c>
      <c r="F12567" s="40" t="s">
        <v>11404</v>
      </c>
      <c r="G12567" s="40" t="s">
        <v>11404</v>
      </c>
      <c r="H12567" s="40" t="s">
        <v>11404</v>
      </c>
    </row>
    <row r="12568">
      <c r="A12568" s="39"/>
      <c r="E12568" s="40" t="s">
        <v>11404</v>
      </c>
      <c r="F12568" s="40" t="s">
        <v>11404</v>
      </c>
      <c r="G12568" s="40" t="s">
        <v>11404</v>
      </c>
      <c r="H12568" s="40" t="s">
        <v>11404</v>
      </c>
    </row>
    <row r="12569">
      <c r="A12569" s="39"/>
      <c r="E12569" s="40" t="s">
        <v>11404</v>
      </c>
      <c r="F12569" s="40" t="s">
        <v>11404</v>
      </c>
      <c r="G12569" s="40" t="s">
        <v>11404</v>
      </c>
      <c r="H12569" s="40" t="s">
        <v>11404</v>
      </c>
    </row>
    <row r="12570">
      <c r="A12570" s="39"/>
      <c r="E12570" s="40" t="s">
        <v>11404</v>
      </c>
      <c r="F12570" s="40" t="s">
        <v>11404</v>
      </c>
      <c r="G12570" s="40" t="s">
        <v>11404</v>
      </c>
      <c r="H12570" s="40" t="s">
        <v>11404</v>
      </c>
    </row>
    <row r="12571">
      <c r="A12571" s="39"/>
      <c r="E12571" s="40" t="s">
        <v>11404</v>
      </c>
      <c r="F12571" s="40" t="s">
        <v>11404</v>
      </c>
      <c r="G12571" s="40" t="s">
        <v>11404</v>
      </c>
      <c r="H12571" s="40" t="s">
        <v>11404</v>
      </c>
    </row>
    <row r="12572">
      <c r="A12572" s="39"/>
      <c r="E12572" s="40" t="s">
        <v>11404</v>
      </c>
      <c r="F12572" s="40" t="s">
        <v>11404</v>
      </c>
      <c r="G12572" s="40" t="s">
        <v>11404</v>
      </c>
      <c r="H12572" s="40" t="s">
        <v>11404</v>
      </c>
    </row>
    <row r="12573">
      <c r="A12573" s="39"/>
      <c r="E12573" s="40" t="s">
        <v>11404</v>
      </c>
      <c r="F12573" s="40" t="s">
        <v>11404</v>
      </c>
      <c r="G12573" s="40" t="s">
        <v>11404</v>
      </c>
      <c r="H12573" s="40" t="s">
        <v>11404</v>
      </c>
    </row>
    <row r="12574">
      <c r="A12574" s="39"/>
      <c r="E12574" s="40" t="s">
        <v>11404</v>
      </c>
      <c r="F12574" s="40" t="s">
        <v>11404</v>
      </c>
      <c r="G12574" s="40" t="s">
        <v>11404</v>
      </c>
      <c r="H12574" s="40" t="s">
        <v>11404</v>
      </c>
    </row>
    <row r="12575">
      <c r="A12575" s="39"/>
      <c r="E12575" s="40" t="s">
        <v>11404</v>
      </c>
      <c r="F12575" s="40" t="s">
        <v>11404</v>
      </c>
      <c r="G12575" s="40" t="s">
        <v>11404</v>
      </c>
      <c r="H12575" s="40" t="s">
        <v>11404</v>
      </c>
    </row>
    <row r="12576">
      <c r="A12576" s="39"/>
      <c r="E12576" s="40" t="s">
        <v>11404</v>
      </c>
      <c r="F12576" s="40" t="s">
        <v>11404</v>
      </c>
      <c r="G12576" s="40" t="s">
        <v>11404</v>
      </c>
      <c r="H12576" s="40" t="s">
        <v>11404</v>
      </c>
    </row>
    <row r="12577">
      <c r="A12577" s="39"/>
      <c r="E12577" s="40" t="s">
        <v>11404</v>
      </c>
      <c r="F12577" s="40" t="s">
        <v>11404</v>
      </c>
      <c r="G12577" s="40" t="s">
        <v>11404</v>
      </c>
      <c r="H12577" s="40" t="s">
        <v>11404</v>
      </c>
    </row>
    <row r="12578">
      <c r="A12578" s="39"/>
      <c r="E12578" s="40" t="s">
        <v>11404</v>
      </c>
      <c r="F12578" s="40" t="s">
        <v>11404</v>
      </c>
      <c r="G12578" s="40" t="s">
        <v>11404</v>
      </c>
      <c r="H12578" s="40" t="s">
        <v>11404</v>
      </c>
    </row>
    <row r="12579">
      <c r="A12579" s="39"/>
      <c r="E12579" s="40" t="s">
        <v>11404</v>
      </c>
      <c r="F12579" s="40" t="s">
        <v>11404</v>
      </c>
      <c r="G12579" s="40" t="s">
        <v>11404</v>
      </c>
      <c r="H12579" s="40" t="s">
        <v>11404</v>
      </c>
    </row>
    <row r="12580">
      <c r="A12580" s="39"/>
      <c r="E12580" s="40" t="s">
        <v>11404</v>
      </c>
      <c r="F12580" s="40" t="s">
        <v>11404</v>
      </c>
      <c r="G12580" s="40" t="s">
        <v>11404</v>
      </c>
      <c r="H12580" s="40" t="s">
        <v>11404</v>
      </c>
    </row>
    <row r="12581">
      <c r="A12581" s="39"/>
      <c r="E12581" s="40" t="s">
        <v>11404</v>
      </c>
      <c r="F12581" s="40" t="s">
        <v>11404</v>
      </c>
      <c r="G12581" s="40" t="s">
        <v>11404</v>
      </c>
      <c r="H12581" s="40" t="s">
        <v>11404</v>
      </c>
    </row>
    <row r="12582">
      <c r="A12582" s="39"/>
      <c r="E12582" s="40" t="s">
        <v>11404</v>
      </c>
      <c r="F12582" s="40" t="s">
        <v>11404</v>
      </c>
      <c r="G12582" s="40" t="s">
        <v>11404</v>
      </c>
      <c r="H12582" s="40" t="s">
        <v>11404</v>
      </c>
    </row>
    <row r="12583">
      <c r="A12583" s="39"/>
      <c r="E12583" s="40" t="s">
        <v>11404</v>
      </c>
      <c r="F12583" s="40" t="s">
        <v>11404</v>
      </c>
      <c r="G12583" s="40" t="s">
        <v>11404</v>
      </c>
      <c r="H12583" s="40" t="s">
        <v>11404</v>
      </c>
    </row>
    <row r="12584">
      <c r="A12584" s="39"/>
      <c r="E12584" s="40" t="s">
        <v>11404</v>
      </c>
      <c r="F12584" s="40" t="s">
        <v>11404</v>
      </c>
      <c r="G12584" s="40" t="s">
        <v>11404</v>
      </c>
      <c r="H12584" s="40" t="s">
        <v>11404</v>
      </c>
    </row>
    <row r="12585">
      <c r="A12585" s="39"/>
      <c r="E12585" s="40" t="s">
        <v>11404</v>
      </c>
      <c r="F12585" s="40" t="s">
        <v>11404</v>
      </c>
      <c r="G12585" s="40" t="s">
        <v>11404</v>
      </c>
      <c r="H12585" s="40" t="s">
        <v>11404</v>
      </c>
    </row>
    <row r="12586">
      <c r="A12586" s="39"/>
      <c r="E12586" s="40" t="s">
        <v>11404</v>
      </c>
      <c r="F12586" s="40" t="s">
        <v>11404</v>
      </c>
      <c r="G12586" s="40" t="s">
        <v>11404</v>
      </c>
      <c r="H12586" s="40" t="s">
        <v>11404</v>
      </c>
    </row>
    <row r="12587">
      <c r="A12587" s="39"/>
      <c r="E12587" s="40" t="s">
        <v>11404</v>
      </c>
      <c r="F12587" s="40" t="s">
        <v>11404</v>
      </c>
      <c r="G12587" s="40" t="s">
        <v>11404</v>
      </c>
      <c r="H12587" s="40" t="s">
        <v>11404</v>
      </c>
    </row>
    <row r="12588">
      <c r="A12588" s="39"/>
      <c r="E12588" s="40" t="s">
        <v>11404</v>
      </c>
      <c r="F12588" s="40" t="s">
        <v>11404</v>
      </c>
      <c r="G12588" s="40" t="s">
        <v>11404</v>
      </c>
      <c r="H12588" s="40" t="s">
        <v>11404</v>
      </c>
    </row>
    <row r="12589">
      <c r="A12589" s="39"/>
      <c r="E12589" s="40" t="s">
        <v>11404</v>
      </c>
      <c r="F12589" s="40" t="s">
        <v>11404</v>
      </c>
      <c r="G12589" s="40" t="s">
        <v>11404</v>
      </c>
      <c r="H12589" s="40" t="s">
        <v>11404</v>
      </c>
    </row>
    <row r="12590">
      <c r="A12590" s="39"/>
      <c r="E12590" s="40" t="s">
        <v>11404</v>
      </c>
      <c r="F12590" s="40" t="s">
        <v>11404</v>
      </c>
      <c r="G12590" s="40" t="s">
        <v>11404</v>
      </c>
      <c r="H12590" s="40" t="s">
        <v>11404</v>
      </c>
    </row>
    <row r="12591">
      <c r="A12591" s="39"/>
      <c r="E12591" s="40" t="s">
        <v>11404</v>
      </c>
      <c r="F12591" s="40" t="s">
        <v>11404</v>
      </c>
      <c r="G12591" s="40" t="s">
        <v>11404</v>
      </c>
      <c r="H12591" s="40" t="s">
        <v>11404</v>
      </c>
    </row>
    <row r="12592">
      <c r="A12592" s="39"/>
      <c r="E12592" s="40" t="s">
        <v>11404</v>
      </c>
      <c r="F12592" s="40" t="s">
        <v>11404</v>
      </c>
      <c r="G12592" s="40" t="s">
        <v>11404</v>
      </c>
      <c r="H12592" s="40" t="s">
        <v>11404</v>
      </c>
    </row>
    <row r="12593">
      <c r="A12593" s="39"/>
      <c r="E12593" s="40" t="s">
        <v>11404</v>
      </c>
      <c r="F12593" s="40" t="s">
        <v>11404</v>
      </c>
      <c r="G12593" s="40" t="s">
        <v>11404</v>
      </c>
      <c r="H12593" s="40" t="s">
        <v>11404</v>
      </c>
    </row>
    <row r="12594">
      <c r="A12594" s="39"/>
      <c r="E12594" s="40" t="s">
        <v>11404</v>
      </c>
      <c r="F12594" s="40" t="s">
        <v>11404</v>
      </c>
      <c r="G12594" s="40" t="s">
        <v>11404</v>
      </c>
      <c r="H12594" s="40" t="s">
        <v>11404</v>
      </c>
    </row>
    <row r="12595">
      <c r="A12595" s="39"/>
      <c r="E12595" s="40" t="s">
        <v>11404</v>
      </c>
      <c r="F12595" s="40" t="s">
        <v>11404</v>
      </c>
      <c r="G12595" s="40" t="s">
        <v>11404</v>
      </c>
      <c r="H12595" s="40" t="s">
        <v>11404</v>
      </c>
    </row>
    <row r="12596">
      <c r="A12596" s="39"/>
      <c r="E12596" s="40" t="s">
        <v>11404</v>
      </c>
      <c r="F12596" s="40" t="s">
        <v>11404</v>
      </c>
      <c r="G12596" s="40" t="s">
        <v>11404</v>
      </c>
      <c r="H12596" s="40" t="s">
        <v>11404</v>
      </c>
    </row>
    <row r="12597">
      <c r="A12597" s="39"/>
      <c r="E12597" s="40" t="s">
        <v>11404</v>
      </c>
      <c r="F12597" s="40" t="s">
        <v>11404</v>
      </c>
      <c r="G12597" s="40" t="s">
        <v>11404</v>
      </c>
      <c r="H12597" s="40" t="s">
        <v>11404</v>
      </c>
    </row>
    <row r="12598">
      <c r="A12598" s="39"/>
      <c r="E12598" s="40" t="s">
        <v>11404</v>
      </c>
      <c r="F12598" s="40" t="s">
        <v>11404</v>
      </c>
      <c r="G12598" s="40" t="s">
        <v>11404</v>
      </c>
      <c r="H12598" s="40" t="s">
        <v>11404</v>
      </c>
    </row>
    <row r="12599">
      <c r="A12599" s="39"/>
      <c r="E12599" s="40" t="s">
        <v>11404</v>
      </c>
      <c r="F12599" s="40" t="s">
        <v>11404</v>
      </c>
      <c r="G12599" s="40" t="s">
        <v>11404</v>
      </c>
      <c r="H12599" s="40" t="s">
        <v>11404</v>
      </c>
    </row>
    <row r="12600">
      <c r="A12600" s="39"/>
      <c r="E12600" s="40" t="s">
        <v>11404</v>
      </c>
      <c r="F12600" s="40" t="s">
        <v>11404</v>
      </c>
      <c r="G12600" s="40" t="s">
        <v>11404</v>
      </c>
      <c r="H12600" s="40" t="s">
        <v>11404</v>
      </c>
    </row>
    <row r="12601">
      <c r="A12601" s="39"/>
      <c r="E12601" s="40" t="s">
        <v>11404</v>
      </c>
      <c r="F12601" s="40" t="s">
        <v>11404</v>
      </c>
      <c r="G12601" s="40" t="s">
        <v>11404</v>
      </c>
      <c r="H12601" s="40" t="s">
        <v>11404</v>
      </c>
    </row>
    <row r="12602">
      <c r="A12602" s="39"/>
      <c r="E12602" s="40" t="s">
        <v>11404</v>
      </c>
      <c r="F12602" s="40" t="s">
        <v>11404</v>
      </c>
      <c r="G12602" s="40" t="s">
        <v>11404</v>
      </c>
      <c r="H12602" s="40" t="s">
        <v>11404</v>
      </c>
    </row>
    <row r="12603">
      <c r="A12603" s="39"/>
      <c r="E12603" s="40" t="s">
        <v>11404</v>
      </c>
      <c r="F12603" s="40" t="s">
        <v>11404</v>
      </c>
      <c r="G12603" s="40" t="s">
        <v>11404</v>
      </c>
      <c r="H12603" s="40" t="s">
        <v>11404</v>
      </c>
    </row>
    <row r="12604">
      <c r="A12604" s="39"/>
      <c r="E12604" s="40" t="s">
        <v>11404</v>
      </c>
      <c r="F12604" s="40" t="s">
        <v>11404</v>
      </c>
      <c r="G12604" s="40" t="s">
        <v>11404</v>
      </c>
      <c r="H12604" s="40" t="s">
        <v>11404</v>
      </c>
    </row>
    <row r="12605">
      <c r="A12605" s="39"/>
      <c r="E12605" s="40" t="s">
        <v>11404</v>
      </c>
      <c r="F12605" s="40" t="s">
        <v>11404</v>
      </c>
      <c r="G12605" s="40" t="s">
        <v>11404</v>
      </c>
      <c r="H12605" s="40" t="s">
        <v>11404</v>
      </c>
    </row>
    <row r="12606">
      <c r="A12606" s="39"/>
      <c r="E12606" s="40" t="s">
        <v>11404</v>
      </c>
      <c r="F12606" s="40" t="s">
        <v>11404</v>
      </c>
      <c r="G12606" s="40" t="s">
        <v>11404</v>
      </c>
      <c r="H12606" s="40" t="s">
        <v>11404</v>
      </c>
    </row>
    <row r="12607">
      <c r="A12607" s="39"/>
      <c r="E12607" s="40" t="s">
        <v>11404</v>
      </c>
      <c r="F12607" s="40" t="s">
        <v>11404</v>
      </c>
      <c r="G12607" s="40" t="s">
        <v>11404</v>
      </c>
      <c r="H12607" s="40" t="s">
        <v>11404</v>
      </c>
    </row>
    <row r="12608">
      <c r="A12608" s="39"/>
      <c r="E12608" s="40" t="s">
        <v>11404</v>
      </c>
      <c r="F12608" s="40" t="s">
        <v>11404</v>
      </c>
      <c r="G12608" s="40" t="s">
        <v>11404</v>
      </c>
      <c r="H12608" s="40" t="s">
        <v>11404</v>
      </c>
    </row>
    <row r="12609">
      <c r="A12609" s="39"/>
      <c r="E12609" s="40" t="s">
        <v>11404</v>
      </c>
      <c r="F12609" s="40" t="s">
        <v>11404</v>
      </c>
      <c r="G12609" s="40" t="s">
        <v>11404</v>
      </c>
      <c r="H12609" s="40" t="s">
        <v>11404</v>
      </c>
    </row>
    <row r="12610">
      <c r="A12610" s="39"/>
      <c r="E12610" s="40" t="s">
        <v>11404</v>
      </c>
      <c r="F12610" s="40" t="s">
        <v>11404</v>
      </c>
      <c r="G12610" s="40" t="s">
        <v>11404</v>
      </c>
      <c r="H12610" s="40" t="s">
        <v>11404</v>
      </c>
    </row>
    <row r="12611">
      <c r="A12611" s="39"/>
      <c r="E12611" s="40" t="s">
        <v>11404</v>
      </c>
      <c r="F12611" s="40" t="s">
        <v>11404</v>
      </c>
      <c r="G12611" s="40" t="s">
        <v>11404</v>
      </c>
      <c r="H12611" s="40" t="s">
        <v>11404</v>
      </c>
    </row>
    <row r="12612">
      <c r="A12612" s="39"/>
      <c r="E12612" s="40" t="s">
        <v>11404</v>
      </c>
      <c r="F12612" s="40" t="s">
        <v>11404</v>
      </c>
      <c r="G12612" s="40" t="s">
        <v>11404</v>
      </c>
      <c r="H12612" s="40" t="s">
        <v>11404</v>
      </c>
    </row>
    <row r="12613">
      <c r="A12613" s="39"/>
      <c r="E12613" s="40" t="s">
        <v>11404</v>
      </c>
      <c r="F12613" s="40" t="s">
        <v>11404</v>
      </c>
      <c r="G12613" s="40" t="s">
        <v>11404</v>
      </c>
      <c r="H12613" s="40" t="s">
        <v>11404</v>
      </c>
    </row>
    <row r="12614">
      <c r="A12614" s="39"/>
      <c r="E12614" s="40" t="s">
        <v>11404</v>
      </c>
      <c r="F12614" s="40" t="s">
        <v>11404</v>
      </c>
      <c r="G12614" s="40" t="s">
        <v>11404</v>
      </c>
      <c r="H12614" s="40" t="s">
        <v>11404</v>
      </c>
    </row>
    <row r="12615">
      <c r="A12615" s="39"/>
      <c r="E12615" s="40" t="s">
        <v>11404</v>
      </c>
      <c r="F12615" s="40" t="s">
        <v>11404</v>
      </c>
      <c r="G12615" s="40" t="s">
        <v>11404</v>
      </c>
      <c r="H12615" s="40" t="s">
        <v>11404</v>
      </c>
    </row>
    <row r="12616">
      <c r="A12616" s="39"/>
      <c r="E12616" s="40" t="s">
        <v>11404</v>
      </c>
      <c r="F12616" s="40" t="s">
        <v>11404</v>
      </c>
      <c r="G12616" s="40" t="s">
        <v>11404</v>
      </c>
      <c r="H12616" s="40" t="s">
        <v>11404</v>
      </c>
    </row>
    <row r="12617">
      <c r="A12617" s="39"/>
      <c r="E12617" s="40" t="s">
        <v>11404</v>
      </c>
      <c r="F12617" s="40" t="s">
        <v>11404</v>
      </c>
      <c r="G12617" s="40" t="s">
        <v>11404</v>
      </c>
      <c r="H12617" s="40" t="s">
        <v>11404</v>
      </c>
    </row>
    <row r="12618">
      <c r="A12618" s="39"/>
      <c r="E12618" s="40" t="s">
        <v>11404</v>
      </c>
      <c r="F12618" s="40" t="s">
        <v>11404</v>
      </c>
      <c r="G12618" s="40" t="s">
        <v>11404</v>
      </c>
      <c r="H12618" s="40" t="s">
        <v>11404</v>
      </c>
    </row>
    <row r="12619">
      <c r="A12619" s="39"/>
      <c r="E12619" s="40" t="s">
        <v>11404</v>
      </c>
      <c r="F12619" s="40" t="s">
        <v>11404</v>
      </c>
      <c r="G12619" s="40" t="s">
        <v>11404</v>
      </c>
      <c r="H12619" s="40" t="s">
        <v>11404</v>
      </c>
    </row>
    <row r="12620">
      <c r="A12620" s="39"/>
      <c r="E12620" s="40" t="s">
        <v>11404</v>
      </c>
      <c r="F12620" s="40" t="s">
        <v>11404</v>
      </c>
      <c r="G12620" s="40" t="s">
        <v>11404</v>
      </c>
      <c r="H12620" s="40" t="s">
        <v>11404</v>
      </c>
    </row>
    <row r="12621">
      <c r="A12621" s="39"/>
      <c r="E12621" s="40" t="s">
        <v>11404</v>
      </c>
      <c r="F12621" s="40" t="s">
        <v>11404</v>
      </c>
      <c r="G12621" s="40" t="s">
        <v>11404</v>
      </c>
      <c r="H12621" s="40" t="s">
        <v>11404</v>
      </c>
    </row>
    <row r="12622">
      <c r="A12622" s="39"/>
      <c r="E12622" s="40" t="s">
        <v>11404</v>
      </c>
      <c r="F12622" s="40" t="s">
        <v>11404</v>
      </c>
      <c r="G12622" s="40" t="s">
        <v>11404</v>
      </c>
      <c r="H12622" s="40" t="s">
        <v>11404</v>
      </c>
    </row>
    <row r="12623">
      <c r="A12623" s="39"/>
      <c r="E12623" s="40" t="s">
        <v>11404</v>
      </c>
      <c r="F12623" s="40" t="s">
        <v>11404</v>
      </c>
      <c r="G12623" s="40" t="s">
        <v>11404</v>
      </c>
      <c r="H12623" s="40" t="s">
        <v>11404</v>
      </c>
    </row>
    <row r="12624">
      <c r="A12624" s="39"/>
      <c r="E12624" s="40" t="s">
        <v>11404</v>
      </c>
      <c r="F12624" s="40" t="s">
        <v>11404</v>
      </c>
      <c r="G12624" s="40" t="s">
        <v>11404</v>
      </c>
      <c r="H12624" s="40" t="s">
        <v>11404</v>
      </c>
    </row>
    <row r="12625">
      <c r="A12625" s="39"/>
      <c r="E12625" s="40" t="s">
        <v>11404</v>
      </c>
      <c r="F12625" s="40" t="s">
        <v>11404</v>
      </c>
      <c r="G12625" s="40" t="s">
        <v>11404</v>
      </c>
      <c r="H12625" s="40" t="s">
        <v>11404</v>
      </c>
    </row>
    <row r="12626">
      <c r="A12626" s="39"/>
      <c r="E12626" s="40" t="s">
        <v>11404</v>
      </c>
      <c r="F12626" s="40" t="s">
        <v>11404</v>
      </c>
      <c r="G12626" s="40" t="s">
        <v>11404</v>
      </c>
      <c r="H12626" s="40" t="s">
        <v>11404</v>
      </c>
    </row>
    <row r="12627">
      <c r="A12627" s="39"/>
      <c r="E12627" s="40" t="s">
        <v>11404</v>
      </c>
      <c r="F12627" s="40" t="s">
        <v>11404</v>
      </c>
      <c r="G12627" s="40" t="s">
        <v>11404</v>
      </c>
      <c r="H12627" s="40" t="s">
        <v>11404</v>
      </c>
    </row>
    <row r="12628">
      <c r="A12628" s="39"/>
      <c r="E12628" s="40" t="s">
        <v>11404</v>
      </c>
      <c r="F12628" s="40" t="s">
        <v>11404</v>
      </c>
      <c r="G12628" s="40" t="s">
        <v>11404</v>
      </c>
      <c r="H12628" s="40" t="s">
        <v>11404</v>
      </c>
    </row>
    <row r="12629">
      <c r="A12629" s="39"/>
      <c r="E12629" s="40" t="s">
        <v>11404</v>
      </c>
      <c r="F12629" s="40" t="s">
        <v>11404</v>
      </c>
      <c r="G12629" s="40" t="s">
        <v>11404</v>
      </c>
      <c r="H12629" s="40" t="s">
        <v>11404</v>
      </c>
    </row>
    <row r="12630">
      <c r="A12630" s="39"/>
      <c r="E12630" s="40" t="s">
        <v>11404</v>
      </c>
      <c r="F12630" s="40" t="s">
        <v>11404</v>
      </c>
      <c r="G12630" s="40" t="s">
        <v>11404</v>
      </c>
      <c r="H12630" s="40" t="s">
        <v>11404</v>
      </c>
    </row>
    <row r="12631">
      <c r="A12631" s="39"/>
      <c r="E12631" s="40" t="s">
        <v>11404</v>
      </c>
      <c r="F12631" s="40" t="s">
        <v>11404</v>
      </c>
      <c r="G12631" s="40" t="s">
        <v>11404</v>
      </c>
      <c r="H12631" s="40" t="s">
        <v>11404</v>
      </c>
    </row>
    <row r="12632">
      <c r="A12632" s="39"/>
      <c r="E12632" s="40" t="s">
        <v>11404</v>
      </c>
      <c r="F12632" s="40" t="s">
        <v>11404</v>
      </c>
      <c r="G12632" s="40" t="s">
        <v>11404</v>
      </c>
      <c r="H12632" s="40" t="s">
        <v>11404</v>
      </c>
    </row>
    <row r="12633">
      <c r="A12633" s="39"/>
      <c r="E12633" s="40" t="s">
        <v>11404</v>
      </c>
      <c r="F12633" s="40" t="s">
        <v>11404</v>
      </c>
      <c r="G12633" s="40" t="s">
        <v>11404</v>
      </c>
      <c r="H12633" s="40" t="s">
        <v>11404</v>
      </c>
    </row>
    <row r="12634">
      <c r="A12634" s="39"/>
      <c r="E12634" s="40" t="s">
        <v>11404</v>
      </c>
      <c r="F12634" s="40" t="s">
        <v>11404</v>
      </c>
      <c r="G12634" s="40" t="s">
        <v>11404</v>
      </c>
      <c r="H12634" s="40" t="s">
        <v>11404</v>
      </c>
    </row>
    <row r="12635">
      <c r="A12635" s="39"/>
      <c r="E12635" s="40" t="s">
        <v>11404</v>
      </c>
      <c r="F12635" s="40" t="s">
        <v>11404</v>
      </c>
      <c r="G12635" s="40" t="s">
        <v>11404</v>
      </c>
      <c r="H12635" s="40" t="s">
        <v>11404</v>
      </c>
    </row>
    <row r="12636">
      <c r="A12636" s="39"/>
      <c r="E12636" s="40" t="s">
        <v>11404</v>
      </c>
      <c r="F12636" s="40" t="s">
        <v>11404</v>
      </c>
      <c r="G12636" s="40" t="s">
        <v>11404</v>
      </c>
      <c r="H12636" s="40" t="s">
        <v>11404</v>
      </c>
    </row>
    <row r="12637">
      <c r="A12637" s="39"/>
      <c r="E12637" s="40" t="s">
        <v>11404</v>
      </c>
      <c r="F12637" s="40" t="s">
        <v>11404</v>
      </c>
      <c r="G12637" s="40" t="s">
        <v>11404</v>
      </c>
      <c r="H12637" s="40" t="s">
        <v>11404</v>
      </c>
    </row>
    <row r="12638">
      <c r="A12638" s="39"/>
      <c r="E12638" s="40" t="s">
        <v>11404</v>
      </c>
      <c r="F12638" s="40" t="s">
        <v>11404</v>
      </c>
      <c r="G12638" s="40" t="s">
        <v>11404</v>
      </c>
      <c r="H12638" s="40" t="s">
        <v>11404</v>
      </c>
    </row>
    <row r="12639">
      <c r="A12639" s="39"/>
      <c r="E12639" s="40" t="s">
        <v>11404</v>
      </c>
      <c r="F12639" s="40" t="s">
        <v>11404</v>
      </c>
      <c r="G12639" s="40" t="s">
        <v>11404</v>
      </c>
      <c r="H12639" s="40" t="s">
        <v>11404</v>
      </c>
    </row>
    <row r="12640">
      <c r="A12640" s="39"/>
      <c r="E12640" s="40" t="s">
        <v>11404</v>
      </c>
      <c r="F12640" s="40" t="s">
        <v>11404</v>
      </c>
      <c r="G12640" s="40" t="s">
        <v>11404</v>
      </c>
      <c r="H12640" s="40" t="s">
        <v>11404</v>
      </c>
    </row>
    <row r="12641">
      <c r="A12641" s="39"/>
      <c r="E12641" s="40" t="s">
        <v>11404</v>
      </c>
      <c r="F12641" s="40" t="s">
        <v>11404</v>
      </c>
      <c r="G12641" s="40" t="s">
        <v>11404</v>
      </c>
      <c r="H12641" s="40" t="s">
        <v>11404</v>
      </c>
    </row>
    <row r="12642">
      <c r="A12642" s="39"/>
      <c r="E12642" s="40" t="s">
        <v>11404</v>
      </c>
      <c r="F12642" s="40" t="s">
        <v>11404</v>
      </c>
      <c r="G12642" s="40" t="s">
        <v>11404</v>
      </c>
      <c r="H12642" s="40" t="s">
        <v>11404</v>
      </c>
    </row>
    <row r="12643">
      <c r="A12643" s="39"/>
      <c r="E12643" s="40" t="s">
        <v>11404</v>
      </c>
      <c r="F12643" s="40" t="s">
        <v>11404</v>
      </c>
      <c r="G12643" s="40" t="s">
        <v>11404</v>
      </c>
      <c r="H12643" s="40" t="s">
        <v>11404</v>
      </c>
    </row>
    <row r="12644">
      <c r="A12644" s="39"/>
      <c r="E12644" s="40" t="s">
        <v>11404</v>
      </c>
      <c r="F12644" s="40" t="s">
        <v>11404</v>
      </c>
      <c r="G12644" s="40" t="s">
        <v>11404</v>
      </c>
      <c r="H12644" s="40" t="s">
        <v>11404</v>
      </c>
    </row>
    <row r="12645">
      <c r="A12645" s="39"/>
      <c r="E12645" s="40" t="s">
        <v>11404</v>
      </c>
      <c r="F12645" s="40" t="s">
        <v>11404</v>
      </c>
      <c r="G12645" s="40" t="s">
        <v>11404</v>
      </c>
      <c r="H12645" s="40" t="s">
        <v>11404</v>
      </c>
    </row>
    <row r="12646">
      <c r="A12646" s="39"/>
      <c r="E12646" s="40" t="s">
        <v>11404</v>
      </c>
      <c r="F12646" s="40" t="s">
        <v>11404</v>
      </c>
      <c r="G12646" s="40" t="s">
        <v>11404</v>
      </c>
      <c r="H12646" s="40" t="s">
        <v>11404</v>
      </c>
    </row>
    <row r="12647">
      <c r="A12647" s="39"/>
      <c r="E12647" s="40" t="s">
        <v>11404</v>
      </c>
      <c r="F12647" s="40" t="s">
        <v>11404</v>
      </c>
      <c r="G12647" s="40" t="s">
        <v>11404</v>
      </c>
      <c r="H12647" s="40" t="s">
        <v>11404</v>
      </c>
    </row>
    <row r="12648">
      <c r="A12648" s="39"/>
      <c r="E12648" s="40" t="s">
        <v>11404</v>
      </c>
      <c r="F12648" s="40" t="s">
        <v>11404</v>
      </c>
      <c r="G12648" s="40" t="s">
        <v>11404</v>
      </c>
      <c r="H12648" s="40" t="s">
        <v>11404</v>
      </c>
    </row>
    <row r="12649">
      <c r="A12649" s="39"/>
      <c r="E12649" s="40" t="s">
        <v>11404</v>
      </c>
      <c r="F12649" s="40" t="s">
        <v>11404</v>
      </c>
      <c r="G12649" s="40" t="s">
        <v>11404</v>
      </c>
      <c r="H12649" s="40" t="s">
        <v>11404</v>
      </c>
    </row>
    <row r="12650">
      <c r="A12650" s="39"/>
      <c r="E12650" s="40" t="s">
        <v>11404</v>
      </c>
      <c r="F12650" s="40" t="s">
        <v>11404</v>
      </c>
      <c r="G12650" s="40" t="s">
        <v>11404</v>
      </c>
      <c r="H12650" s="40" t="s">
        <v>11404</v>
      </c>
    </row>
    <row r="12651">
      <c r="A12651" s="39"/>
      <c r="E12651" s="40" t="s">
        <v>11404</v>
      </c>
      <c r="F12651" s="40" t="s">
        <v>11404</v>
      </c>
      <c r="G12651" s="40" t="s">
        <v>11404</v>
      </c>
      <c r="H12651" s="40" t="s">
        <v>11404</v>
      </c>
    </row>
    <row r="12652">
      <c r="A12652" s="39"/>
      <c r="E12652" s="40" t="s">
        <v>11404</v>
      </c>
      <c r="F12652" s="40" t="s">
        <v>11404</v>
      </c>
      <c r="G12652" s="40" t="s">
        <v>11404</v>
      </c>
      <c r="H12652" s="40" t="s">
        <v>11404</v>
      </c>
    </row>
    <row r="12653">
      <c r="A12653" s="39"/>
      <c r="E12653" s="40" t="s">
        <v>11404</v>
      </c>
      <c r="F12653" s="40" t="s">
        <v>11404</v>
      </c>
      <c r="G12653" s="40" t="s">
        <v>11404</v>
      </c>
      <c r="H12653" s="40" t="s">
        <v>11404</v>
      </c>
    </row>
    <row r="12654">
      <c r="A12654" s="39"/>
      <c r="E12654" s="40" t="s">
        <v>11404</v>
      </c>
      <c r="F12654" s="40" t="s">
        <v>11404</v>
      </c>
      <c r="G12654" s="40" t="s">
        <v>11404</v>
      </c>
      <c r="H12654" s="40" t="s">
        <v>11404</v>
      </c>
    </row>
    <row r="12655">
      <c r="A12655" s="39"/>
      <c r="E12655" s="40" t="s">
        <v>11404</v>
      </c>
      <c r="F12655" s="40" t="s">
        <v>11404</v>
      </c>
      <c r="G12655" s="40" t="s">
        <v>11404</v>
      </c>
      <c r="H12655" s="40" t="s">
        <v>11404</v>
      </c>
    </row>
    <row r="12656">
      <c r="A12656" s="39"/>
      <c r="E12656" s="40" t="s">
        <v>11404</v>
      </c>
      <c r="F12656" s="40" t="s">
        <v>11404</v>
      </c>
      <c r="G12656" s="40" t="s">
        <v>11404</v>
      </c>
      <c r="H12656" s="40" t="s">
        <v>11404</v>
      </c>
    </row>
    <row r="12657">
      <c r="A12657" s="39"/>
      <c r="E12657" s="40" t="s">
        <v>11404</v>
      </c>
      <c r="F12657" s="40" t="s">
        <v>11404</v>
      </c>
      <c r="G12657" s="40" t="s">
        <v>11404</v>
      </c>
      <c r="H12657" s="40" t="s">
        <v>11404</v>
      </c>
    </row>
    <row r="12658">
      <c r="A12658" s="39"/>
      <c r="E12658" s="40" t="s">
        <v>11404</v>
      </c>
      <c r="F12658" s="40" t="s">
        <v>11404</v>
      </c>
      <c r="G12658" s="40" t="s">
        <v>11404</v>
      </c>
      <c r="H12658" s="40" t="s">
        <v>11404</v>
      </c>
    </row>
    <row r="12659">
      <c r="A12659" s="39"/>
      <c r="E12659" s="40" t="s">
        <v>11404</v>
      </c>
      <c r="F12659" s="40" t="s">
        <v>11404</v>
      </c>
      <c r="G12659" s="40" t="s">
        <v>11404</v>
      </c>
      <c r="H12659" s="40" t="s">
        <v>11404</v>
      </c>
    </row>
    <row r="12660">
      <c r="A12660" s="39"/>
      <c r="E12660" s="40" t="s">
        <v>11404</v>
      </c>
      <c r="F12660" s="40" t="s">
        <v>11404</v>
      </c>
      <c r="G12660" s="40" t="s">
        <v>11404</v>
      </c>
      <c r="H12660" s="40" t="s">
        <v>11404</v>
      </c>
    </row>
    <row r="12661">
      <c r="A12661" s="39"/>
      <c r="E12661" s="40" t="s">
        <v>11404</v>
      </c>
      <c r="F12661" s="40" t="s">
        <v>11404</v>
      </c>
      <c r="G12661" s="40" t="s">
        <v>11404</v>
      </c>
      <c r="H12661" s="40" t="s">
        <v>11404</v>
      </c>
    </row>
    <row r="12662">
      <c r="A12662" s="39"/>
      <c r="E12662" s="40" t="s">
        <v>11404</v>
      </c>
      <c r="F12662" s="40" t="s">
        <v>11404</v>
      </c>
      <c r="G12662" s="40" t="s">
        <v>11404</v>
      </c>
      <c r="H12662" s="40" t="s">
        <v>11404</v>
      </c>
    </row>
    <row r="12663">
      <c r="A12663" s="39"/>
      <c r="E12663" s="40" t="s">
        <v>11404</v>
      </c>
      <c r="F12663" s="40" t="s">
        <v>11404</v>
      </c>
      <c r="G12663" s="40" t="s">
        <v>11404</v>
      </c>
      <c r="H12663" s="40" t="s">
        <v>11404</v>
      </c>
    </row>
    <row r="12664">
      <c r="A12664" s="39"/>
      <c r="E12664" s="40" t="s">
        <v>11404</v>
      </c>
      <c r="F12664" s="40" t="s">
        <v>11404</v>
      </c>
      <c r="G12664" s="40" t="s">
        <v>11404</v>
      </c>
      <c r="H12664" s="40" t="s">
        <v>11404</v>
      </c>
    </row>
    <row r="12665">
      <c r="A12665" s="39"/>
      <c r="E12665" s="40" t="s">
        <v>11404</v>
      </c>
      <c r="F12665" s="40" t="s">
        <v>11404</v>
      </c>
      <c r="G12665" s="40" t="s">
        <v>11404</v>
      </c>
      <c r="H12665" s="40" t="s">
        <v>11404</v>
      </c>
    </row>
    <row r="12666">
      <c r="A12666" s="39"/>
      <c r="E12666" s="40" t="s">
        <v>11404</v>
      </c>
      <c r="F12666" s="40" t="s">
        <v>11404</v>
      </c>
      <c r="G12666" s="40" t="s">
        <v>11404</v>
      </c>
      <c r="H12666" s="40" t="s">
        <v>11404</v>
      </c>
    </row>
    <row r="12667">
      <c r="A12667" s="39"/>
      <c r="E12667" s="40" t="s">
        <v>11404</v>
      </c>
      <c r="F12667" s="40" t="s">
        <v>11404</v>
      </c>
      <c r="G12667" s="40" t="s">
        <v>11404</v>
      </c>
      <c r="H12667" s="40" t="s">
        <v>11404</v>
      </c>
    </row>
    <row r="12668">
      <c r="A12668" s="39"/>
      <c r="E12668" s="40" t="s">
        <v>11404</v>
      </c>
      <c r="F12668" s="40" t="s">
        <v>11404</v>
      </c>
      <c r="G12668" s="40" t="s">
        <v>11404</v>
      </c>
      <c r="H12668" s="40" t="s">
        <v>11404</v>
      </c>
    </row>
    <row r="12669">
      <c r="A12669" s="39"/>
      <c r="E12669" s="40" t="s">
        <v>11404</v>
      </c>
      <c r="F12669" s="40" t="s">
        <v>11404</v>
      </c>
      <c r="G12669" s="40" t="s">
        <v>11404</v>
      </c>
      <c r="H12669" s="40" t="s">
        <v>11404</v>
      </c>
    </row>
    <row r="12670">
      <c r="A12670" s="39"/>
      <c r="E12670" s="40" t="s">
        <v>11404</v>
      </c>
      <c r="F12670" s="40" t="s">
        <v>11404</v>
      </c>
      <c r="G12670" s="40" t="s">
        <v>11404</v>
      </c>
      <c r="H12670" s="40" t="s">
        <v>11404</v>
      </c>
    </row>
    <row r="12671">
      <c r="A12671" s="39"/>
      <c r="E12671" s="40" t="s">
        <v>11404</v>
      </c>
      <c r="F12671" s="40" t="s">
        <v>11404</v>
      </c>
      <c r="G12671" s="40" t="s">
        <v>11404</v>
      </c>
      <c r="H12671" s="40" t="s">
        <v>11404</v>
      </c>
    </row>
    <row r="12672">
      <c r="A12672" s="39"/>
      <c r="E12672" s="40" t="s">
        <v>11404</v>
      </c>
      <c r="F12672" s="40" t="s">
        <v>11404</v>
      </c>
      <c r="G12672" s="40" t="s">
        <v>11404</v>
      </c>
      <c r="H12672" s="40" t="s">
        <v>11404</v>
      </c>
    </row>
    <row r="12673">
      <c r="A12673" s="39"/>
      <c r="E12673" s="40" t="s">
        <v>11404</v>
      </c>
      <c r="F12673" s="40" t="s">
        <v>11404</v>
      </c>
      <c r="G12673" s="40" t="s">
        <v>11404</v>
      </c>
      <c r="H12673" s="40" t="s">
        <v>11404</v>
      </c>
    </row>
    <row r="12674">
      <c r="A12674" s="39"/>
      <c r="E12674" s="40" t="s">
        <v>11404</v>
      </c>
      <c r="F12674" s="40" t="s">
        <v>11404</v>
      </c>
      <c r="G12674" s="40" t="s">
        <v>11404</v>
      </c>
      <c r="H12674" s="40" t="s">
        <v>11404</v>
      </c>
    </row>
    <row r="12675">
      <c r="A12675" s="39"/>
      <c r="E12675" s="40" t="s">
        <v>11404</v>
      </c>
      <c r="F12675" s="40" t="s">
        <v>11404</v>
      </c>
      <c r="G12675" s="40" t="s">
        <v>11404</v>
      </c>
      <c r="H12675" s="40" t="s">
        <v>11404</v>
      </c>
    </row>
    <row r="12676">
      <c r="A12676" s="39"/>
      <c r="E12676" s="40" t="s">
        <v>11404</v>
      </c>
      <c r="F12676" s="40" t="s">
        <v>11404</v>
      </c>
      <c r="G12676" s="40" t="s">
        <v>11404</v>
      </c>
      <c r="H12676" s="40" t="s">
        <v>11404</v>
      </c>
    </row>
    <row r="12677">
      <c r="A12677" s="39"/>
      <c r="E12677" s="40" t="s">
        <v>11404</v>
      </c>
      <c r="F12677" s="40" t="s">
        <v>11404</v>
      </c>
      <c r="G12677" s="40" t="s">
        <v>11404</v>
      </c>
      <c r="H12677" s="40" t="s">
        <v>11404</v>
      </c>
    </row>
    <row r="12678">
      <c r="A12678" s="39"/>
      <c r="E12678" s="40" t="s">
        <v>11404</v>
      </c>
      <c r="F12678" s="40" t="s">
        <v>11404</v>
      </c>
      <c r="G12678" s="40" t="s">
        <v>11404</v>
      </c>
      <c r="H12678" s="40" t="s">
        <v>11404</v>
      </c>
    </row>
    <row r="12679">
      <c r="A12679" s="39"/>
      <c r="E12679" s="40" t="s">
        <v>11404</v>
      </c>
      <c r="F12679" s="40" t="s">
        <v>11404</v>
      </c>
      <c r="G12679" s="40" t="s">
        <v>11404</v>
      </c>
      <c r="H12679" s="40" t="s">
        <v>11404</v>
      </c>
    </row>
    <row r="12680">
      <c r="A12680" s="39"/>
      <c r="E12680" s="40" t="s">
        <v>11404</v>
      </c>
      <c r="F12680" s="40" t="s">
        <v>11404</v>
      </c>
      <c r="G12680" s="40" t="s">
        <v>11404</v>
      </c>
      <c r="H12680" s="40" t="s">
        <v>11404</v>
      </c>
    </row>
    <row r="12681">
      <c r="A12681" s="39"/>
      <c r="E12681" s="40" t="s">
        <v>11404</v>
      </c>
      <c r="F12681" s="40" t="s">
        <v>11404</v>
      </c>
      <c r="G12681" s="40" t="s">
        <v>11404</v>
      </c>
      <c r="H12681" s="40" t="s">
        <v>11404</v>
      </c>
    </row>
    <row r="12682">
      <c r="A12682" s="39"/>
      <c r="E12682" s="40" t="s">
        <v>11404</v>
      </c>
      <c r="F12682" s="40" t="s">
        <v>11404</v>
      </c>
      <c r="G12682" s="40" t="s">
        <v>11404</v>
      </c>
      <c r="H12682" s="40" t="s">
        <v>11404</v>
      </c>
    </row>
    <row r="12683">
      <c r="A12683" s="39"/>
      <c r="E12683" s="40" t="s">
        <v>11404</v>
      </c>
      <c r="F12683" s="40" t="s">
        <v>11404</v>
      </c>
      <c r="G12683" s="40" t="s">
        <v>11404</v>
      </c>
      <c r="H12683" s="40" t="s">
        <v>11404</v>
      </c>
    </row>
    <row r="12684">
      <c r="A12684" s="39"/>
      <c r="E12684" s="40" t="s">
        <v>11404</v>
      </c>
      <c r="F12684" s="40" t="s">
        <v>11404</v>
      </c>
      <c r="G12684" s="40" t="s">
        <v>11404</v>
      </c>
      <c r="H12684" s="40" t="s">
        <v>11404</v>
      </c>
    </row>
    <row r="12685">
      <c r="A12685" s="39"/>
      <c r="E12685" s="40" t="s">
        <v>11404</v>
      </c>
      <c r="F12685" s="40" t="s">
        <v>11404</v>
      </c>
      <c r="G12685" s="40" t="s">
        <v>11404</v>
      </c>
      <c r="H12685" s="40" t="s">
        <v>11404</v>
      </c>
    </row>
    <row r="12686">
      <c r="A12686" s="39"/>
      <c r="E12686" s="40" t="s">
        <v>11404</v>
      </c>
      <c r="F12686" s="40" t="s">
        <v>11404</v>
      </c>
      <c r="G12686" s="40" t="s">
        <v>11404</v>
      </c>
      <c r="H12686" s="40" t="s">
        <v>11404</v>
      </c>
    </row>
    <row r="12687">
      <c r="A12687" s="39"/>
      <c r="E12687" s="40" t="s">
        <v>11404</v>
      </c>
      <c r="F12687" s="40" t="s">
        <v>11404</v>
      </c>
      <c r="G12687" s="40" t="s">
        <v>11404</v>
      </c>
      <c r="H12687" s="40" t="s">
        <v>11404</v>
      </c>
    </row>
    <row r="12688">
      <c r="A12688" s="39"/>
      <c r="E12688" s="40" t="s">
        <v>11404</v>
      </c>
      <c r="F12688" s="40" t="s">
        <v>11404</v>
      </c>
      <c r="G12688" s="40" t="s">
        <v>11404</v>
      </c>
      <c r="H12688" s="40" t="s">
        <v>11404</v>
      </c>
    </row>
    <row r="12689">
      <c r="A12689" s="39"/>
      <c r="E12689" s="40" t="s">
        <v>11404</v>
      </c>
      <c r="F12689" s="40" t="s">
        <v>11404</v>
      </c>
      <c r="G12689" s="40" t="s">
        <v>11404</v>
      </c>
      <c r="H12689" s="40" t="s">
        <v>11404</v>
      </c>
    </row>
    <row r="12690">
      <c r="A12690" s="39"/>
      <c r="E12690" s="40" t="s">
        <v>11404</v>
      </c>
      <c r="F12690" s="40" t="s">
        <v>11404</v>
      </c>
      <c r="G12690" s="40" t="s">
        <v>11404</v>
      </c>
      <c r="H12690" s="40" t="s">
        <v>11404</v>
      </c>
    </row>
    <row r="12691">
      <c r="A12691" s="39"/>
      <c r="E12691" s="40" t="s">
        <v>11404</v>
      </c>
      <c r="F12691" s="40" t="s">
        <v>11404</v>
      </c>
      <c r="G12691" s="40" t="s">
        <v>11404</v>
      </c>
      <c r="H12691" s="40" t="s">
        <v>11404</v>
      </c>
    </row>
    <row r="12692">
      <c r="A12692" s="39"/>
      <c r="E12692" s="40" t="s">
        <v>11404</v>
      </c>
      <c r="F12692" s="40" t="s">
        <v>11404</v>
      </c>
      <c r="G12692" s="40" t="s">
        <v>11404</v>
      </c>
      <c r="H12692" s="40" t="s">
        <v>11404</v>
      </c>
    </row>
    <row r="12693">
      <c r="A12693" s="39"/>
      <c r="E12693" s="40" t="s">
        <v>11404</v>
      </c>
      <c r="F12693" s="40" t="s">
        <v>11404</v>
      </c>
      <c r="G12693" s="40" t="s">
        <v>11404</v>
      </c>
      <c r="H12693" s="40" t="s">
        <v>11404</v>
      </c>
    </row>
    <row r="12694">
      <c r="A12694" s="39"/>
      <c r="E12694" s="40" t="s">
        <v>11404</v>
      </c>
      <c r="F12694" s="40" t="s">
        <v>11404</v>
      </c>
      <c r="G12694" s="40" t="s">
        <v>11404</v>
      </c>
      <c r="H12694" s="40" t="s">
        <v>11404</v>
      </c>
    </row>
    <row r="12695">
      <c r="A12695" s="39"/>
      <c r="E12695" s="40" t="s">
        <v>11404</v>
      </c>
      <c r="F12695" s="40" t="s">
        <v>11404</v>
      </c>
      <c r="G12695" s="40" t="s">
        <v>11404</v>
      </c>
      <c r="H12695" s="40" t="s">
        <v>11404</v>
      </c>
    </row>
    <row r="12696">
      <c r="A12696" s="39"/>
      <c r="E12696" s="40" t="s">
        <v>11404</v>
      </c>
      <c r="F12696" s="40" t="s">
        <v>11404</v>
      </c>
      <c r="G12696" s="40" t="s">
        <v>11404</v>
      </c>
      <c r="H12696" s="40" t="s">
        <v>11404</v>
      </c>
    </row>
    <row r="12697">
      <c r="A12697" s="39"/>
      <c r="E12697" s="40" t="s">
        <v>11404</v>
      </c>
      <c r="F12697" s="40" t="s">
        <v>11404</v>
      </c>
      <c r="G12697" s="40" t="s">
        <v>11404</v>
      </c>
      <c r="H12697" s="40" t="s">
        <v>11404</v>
      </c>
    </row>
    <row r="12698">
      <c r="A12698" s="39"/>
      <c r="E12698" s="40" t="s">
        <v>11404</v>
      </c>
      <c r="F12698" s="40" t="s">
        <v>11404</v>
      </c>
      <c r="G12698" s="40" t="s">
        <v>11404</v>
      </c>
      <c r="H12698" s="40" t="s">
        <v>11404</v>
      </c>
    </row>
    <row r="12699">
      <c r="A12699" s="39"/>
      <c r="E12699" s="40" t="s">
        <v>11404</v>
      </c>
      <c r="F12699" s="40" t="s">
        <v>11404</v>
      </c>
      <c r="G12699" s="40" t="s">
        <v>11404</v>
      </c>
      <c r="H12699" s="40" t="s">
        <v>11404</v>
      </c>
    </row>
    <row r="12700">
      <c r="A12700" s="39"/>
      <c r="E12700" s="40" t="s">
        <v>11404</v>
      </c>
      <c r="F12700" s="40" t="s">
        <v>11404</v>
      </c>
      <c r="G12700" s="40" t="s">
        <v>11404</v>
      </c>
      <c r="H12700" s="40" t="s">
        <v>11404</v>
      </c>
    </row>
    <row r="12701">
      <c r="A12701" s="39"/>
      <c r="E12701" s="40" t="s">
        <v>11404</v>
      </c>
      <c r="F12701" s="40" t="s">
        <v>11404</v>
      </c>
      <c r="G12701" s="40" t="s">
        <v>11404</v>
      </c>
      <c r="H12701" s="40" t="s">
        <v>11404</v>
      </c>
    </row>
    <row r="12702">
      <c r="A12702" s="39"/>
      <c r="E12702" s="40" t="s">
        <v>11404</v>
      </c>
      <c r="F12702" s="40" t="s">
        <v>11404</v>
      </c>
      <c r="G12702" s="40" t="s">
        <v>11404</v>
      </c>
      <c r="H12702" s="40" t="s">
        <v>11404</v>
      </c>
    </row>
    <row r="12703">
      <c r="A12703" s="39"/>
      <c r="E12703" s="40" t="s">
        <v>11404</v>
      </c>
      <c r="F12703" s="40" t="s">
        <v>11404</v>
      </c>
      <c r="G12703" s="40" t="s">
        <v>11404</v>
      </c>
      <c r="H12703" s="40" t="s">
        <v>11404</v>
      </c>
    </row>
    <row r="12704">
      <c r="A12704" s="39"/>
      <c r="E12704" s="40" t="s">
        <v>11404</v>
      </c>
      <c r="F12704" s="40" t="s">
        <v>11404</v>
      </c>
      <c r="G12704" s="40" t="s">
        <v>11404</v>
      </c>
      <c r="H12704" s="40" t="s">
        <v>11404</v>
      </c>
    </row>
    <row r="12705">
      <c r="A12705" s="39"/>
      <c r="E12705" s="40" t="s">
        <v>11404</v>
      </c>
      <c r="F12705" s="40" t="s">
        <v>11404</v>
      </c>
      <c r="G12705" s="40" t="s">
        <v>11404</v>
      </c>
      <c r="H12705" s="40" t="s">
        <v>11404</v>
      </c>
    </row>
    <row r="12706">
      <c r="A12706" s="39"/>
      <c r="E12706" s="40" t="s">
        <v>11404</v>
      </c>
      <c r="F12706" s="40" t="s">
        <v>11404</v>
      </c>
      <c r="G12706" s="40" t="s">
        <v>11404</v>
      </c>
      <c r="H12706" s="40" t="s">
        <v>11404</v>
      </c>
    </row>
    <row r="12707">
      <c r="A12707" s="39"/>
      <c r="E12707" s="40" t="s">
        <v>11404</v>
      </c>
      <c r="F12707" s="40" t="s">
        <v>11404</v>
      </c>
      <c r="G12707" s="40" t="s">
        <v>11404</v>
      </c>
      <c r="H12707" s="40" t="s">
        <v>11404</v>
      </c>
    </row>
    <row r="12708">
      <c r="A12708" s="39"/>
      <c r="E12708" s="40" t="s">
        <v>11404</v>
      </c>
      <c r="F12708" s="40" t="s">
        <v>11404</v>
      </c>
      <c r="G12708" s="40" t="s">
        <v>11404</v>
      </c>
      <c r="H12708" s="40" t="s">
        <v>11404</v>
      </c>
    </row>
    <row r="12709">
      <c r="A12709" s="39"/>
      <c r="E12709" s="40" t="s">
        <v>11404</v>
      </c>
      <c r="F12709" s="40" t="s">
        <v>11404</v>
      </c>
      <c r="G12709" s="40" t="s">
        <v>11404</v>
      </c>
      <c r="H12709" s="40" t="s">
        <v>11404</v>
      </c>
    </row>
    <row r="12710">
      <c r="A12710" s="39"/>
      <c r="E12710" s="40" t="s">
        <v>11404</v>
      </c>
      <c r="F12710" s="40" t="s">
        <v>11404</v>
      </c>
      <c r="G12710" s="40" t="s">
        <v>11404</v>
      </c>
      <c r="H12710" s="40" t="s">
        <v>11404</v>
      </c>
    </row>
    <row r="12711">
      <c r="A12711" s="39"/>
      <c r="E12711" s="40" t="s">
        <v>11404</v>
      </c>
      <c r="F12711" s="40" t="s">
        <v>11404</v>
      </c>
      <c r="G12711" s="40" t="s">
        <v>11404</v>
      </c>
      <c r="H12711" s="40" t="s">
        <v>11404</v>
      </c>
    </row>
    <row r="12712">
      <c r="A12712" s="39"/>
      <c r="E12712" s="40" t="s">
        <v>11404</v>
      </c>
      <c r="F12712" s="40" t="s">
        <v>11404</v>
      </c>
      <c r="G12712" s="40" t="s">
        <v>11404</v>
      </c>
      <c r="H12712" s="40" t="s">
        <v>11404</v>
      </c>
    </row>
    <row r="12713">
      <c r="A12713" s="39"/>
      <c r="E12713" s="40" t="s">
        <v>11404</v>
      </c>
      <c r="F12713" s="40" t="s">
        <v>11404</v>
      </c>
      <c r="G12713" s="40" t="s">
        <v>11404</v>
      </c>
      <c r="H12713" s="40" t="s">
        <v>11404</v>
      </c>
    </row>
    <row r="12714">
      <c r="A12714" s="39"/>
      <c r="E12714" s="40" t="s">
        <v>11404</v>
      </c>
      <c r="F12714" s="40" t="s">
        <v>11404</v>
      </c>
      <c r="G12714" s="40" t="s">
        <v>11404</v>
      </c>
      <c r="H12714" s="40" t="s">
        <v>11404</v>
      </c>
    </row>
    <row r="12715">
      <c r="A12715" s="39"/>
      <c r="E12715" s="40" t="s">
        <v>11404</v>
      </c>
      <c r="F12715" s="40" t="s">
        <v>11404</v>
      </c>
      <c r="G12715" s="40" t="s">
        <v>11404</v>
      </c>
      <c r="H12715" s="40" t="s">
        <v>11404</v>
      </c>
    </row>
    <row r="12716">
      <c r="A12716" s="39"/>
      <c r="E12716" s="40" t="s">
        <v>11404</v>
      </c>
      <c r="F12716" s="40" t="s">
        <v>11404</v>
      </c>
      <c r="G12716" s="40" t="s">
        <v>11404</v>
      </c>
      <c r="H12716" s="40" t="s">
        <v>11404</v>
      </c>
    </row>
    <row r="12717">
      <c r="A12717" s="39"/>
      <c r="E12717" s="40" t="s">
        <v>11404</v>
      </c>
      <c r="F12717" s="40" t="s">
        <v>11404</v>
      </c>
      <c r="G12717" s="40" t="s">
        <v>11404</v>
      </c>
      <c r="H12717" s="40" t="s">
        <v>11404</v>
      </c>
    </row>
    <row r="12718">
      <c r="A12718" s="39"/>
      <c r="E12718" s="40" t="s">
        <v>11404</v>
      </c>
      <c r="F12718" s="40" t="s">
        <v>11404</v>
      </c>
      <c r="G12718" s="40" t="s">
        <v>11404</v>
      </c>
      <c r="H12718" s="40" t="s">
        <v>11404</v>
      </c>
    </row>
    <row r="12719">
      <c r="A12719" s="39"/>
      <c r="E12719" s="40" t="s">
        <v>11404</v>
      </c>
      <c r="F12719" s="40" t="s">
        <v>11404</v>
      </c>
      <c r="G12719" s="40" t="s">
        <v>11404</v>
      </c>
      <c r="H12719" s="40" t="s">
        <v>11404</v>
      </c>
    </row>
    <row r="12720">
      <c r="A12720" s="39"/>
      <c r="E12720" s="40" t="s">
        <v>11404</v>
      </c>
      <c r="F12720" s="40" t="s">
        <v>11404</v>
      </c>
      <c r="G12720" s="40" t="s">
        <v>11404</v>
      </c>
      <c r="H12720" s="40" t="s">
        <v>11404</v>
      </c>
    </row>
    <row r="12721">
      <c r="A12721" s="39"/>
      <c r="E12721" s="40" t="s">
        <v>11404</v>
      </c>
      <c r="F12721" s="40" t="s">
        <v>11404</v>
      </c>
      <c r="G12721" s="40" t="s">
        <v>11404</v>
      </c>
      <c r="H12721" s="40" t="s">
        <v>11404</v>
      </c>
    </row>
    <row r="12722">
      <c r="A12722" s="39"/>
      <c r="E12722" s="40" t="s">
        <v>11404</v>
      </c>
      <c r="F12722" s="40" t="s">
        <v>11404</v>
      </c>
      <c r="G12722" s="40" t="s">
        <v>11404</v>
      </c>
      <c r="H12722" s="40" t="s">
        <v>11404</v>
      </c>
    </row>
    <row r="12723">
      <c r="A12723" s="39"/>
      <c r="E12723" s="40" t="s">
        <v>11404</v>
      </c>
      <c r="F12723" s="40" t="s">
        <v>11404</v>
      </c>
      <c r="G12723" s="40" t="s">
        <v>11404</v>
      </c>
      <c r="H12723" s="40" t="s">
        <v>11404</v>
      </c>
    </row>
    <row r="12724">
      <c r="A12724" s="39"/>
      <c r="E12724" s="40" t="s">
        <v>11404</v>
      </c>
      <c r="F12724" s="40" t="s">
        <v>11404</v>
      </c>
      <c r="G12724" s="40" t="s">
        <v>11404</v>
      </c>
      <c r="H12724" s="40" t="s">
        <v>11404</v>
      </c>
    </row>
    <row r="12725">
      <c r="A12725" s="39"/>
      <c r="E12725" s="40" t="s">
        <v>11404</v>
      </c>
      <c r="F12725" s="40" t="s">
        <v>11404</v>
      </c>
      <c r="G12725" s="40" t="s">
        <v>11404</v>
      </c>
      <c r="H12725" s="40" t="s">
        <v>11404</v>
      </c>
    </row>
    <row r="12726">
      <c r="A12726" s="39"/>
      <c r="E12726" s="40" t="s">
        <v>11404</v>
      </c>
      <c r="F12726" s="40" t="s">
        <v>11404</v>
      </c>
      <c r="G12726" s="40" t="s">
        <v>11404</v>
      </c>
      <c r="H12726" s="40" t="s">
        <v>11404</v>
      </c>
    </row>
    <row r="12727">
      <c r="A12727" s="39"/>
      <c r="E12727" s="40" t="s">
        <v>11404</v>
      </c>
      <c r="F12727" s="40" t="s">
        <v>11404</v>
      </c>
      <c r="G12727" s="40" t="s">
        <v>11404</v>
      </c>
      <c r="H12727" s="40" t="s">
        <v>11404</v>
      </c>
    </row>
    <row r="12728">
      <c r="A12728" s="39"/>
      <c r="E12728" s="40" t="s">
        <v>11404</v>
      </c>
      <c r="F12728" s="40" t="s">
        <v>11404</v>
      </c>
      <c r="G12728" s="40" t="s">
        <v>11404</v>
      </c>
      <c r="H12728" s="40" t="s">
        <v>11404</v>
      </c>
    </row>
    <row r="12729">
      <c r="A12729" s="39"/>
      <c r="E12729" s="40" t="s">
        <v>11404</v>
      </c>
      <c r="F12729" s="40" t="s">
        <v>11404</v>
      </c>
      <c r="G12729" s="40" t="s">
        <v>11404</v>
      </c>
      <c r="H12729" s="40" t="s">
        <v>11404</v>
      </c>
    </row>
    <row r="12730">
      <c r="A12730" s="39"/>
      <c r="E12730" s="40" t="s">
        <v>11404</v>
      </c>
      <c r="F12730" s="40" t="s">
        <v>11404</v>
      </c>
      <c r="G12730" s="40" t="s">
        <v>11404</v>
      </c>
      <c r="H12730" s="40" t="s">
        <v>11404</v>
      </c>
    </row>
    <row r="12731">
      <c r="A12731" s="39"/>
      <c r="E12731" s="40" t="s">
        <v>11404</v>
      </c>
      <c r="F12731" s="40" t="s">
        <v>11404</v>
      </c>
      <c r="G12731" s="40" t="s">
        <v>11404</v>
      </c>
      <c r="H12731" s="40" t="s">
        <v>11404</v>
      </c>
    </row>
    <row r="12732">
      <c r="A12732" s="39"/>
      <c r="E12732" s="40" t="s">
        <v>11404</v>
      </c>
      <c r="F12732" s="40" t="s">
        <v>11404</v>
      </c>
      <c r="G12732" s="40" t="s">
        <v>11404</v>
      </c>
      <c r="H12732" s="40" t="s">
        <v>11404</v>
      </c>
    </row>
    <row r="12733">
      <c r="A12733" s="39"/>
      <c r="E12733" s="40" t="s">
        <v>11404</v>
      </c>
      <c r="F12733" s="40" t="s">
        <v>11404</v>
      </c>
      <c r="G12733" s="40" t="s">
        <v>11404</v>
      </c>
      <c r="H12733" s="40" t="s">
        <v>11404</v>
      </c>
    </row>
    <row r="12734">
      <c r="A12734" s="39"/>
      <c r="E12734" s="40" t="s">
        <v>11404</v>
      </c>
      <c r="F12734" s="40" t="s">
        <v>11404</v>
      </c>
      <c r="G12734" s="40" t="s">
        <v>11404</v>
      </c>
      <c r="H12734" s="40" t="s">
        <v>11404</v>
      </c>
    </row>
    <row r="12735">
      <c r="A12735" s="39"/>
      <c r="E12735" s="40" t="s">
        <v>11404</v>
      </c>
      <c r="F12735" s="40" t="s">
        <v>11404</v>
      </c>
      <c r="G12735" s="40" t="s">
        <v>11404</v>
      </c>
      <c r="H12735" s="40" t="s">
        <v>11404</v>
      </c>
    </row>
    <row r="12736">
      <c r="A12736" s="39"/>
      <c r="E12736" s="40" t="s">
        <v>11404</v>
      </c>
      <c r="F12736" s="40" t="s">
        <v>11404</v>
      </c>
      <c r="G12736" s="40" t="s">
        <v>11404</v>
      </c>
      <c r="H12736" s="40" t="s">
        <v>11404</v>
      </c>
    </row>
    <row r="12737">
      <c r="A12737" s="39"/>
      <c r="E12737" s="40" t="s">
        <v>11404</v>
      </c>
      <c r="F12737" s="40" t="s">
        <v>11404</v>
      </c>
      <c r="G12737" s="40" t="s">
        <v>11404</v>
      </c>
      <c r="H12737" s="40" t="s">
        <v>11404</v>
      </c>
    </row>
    <row r="12738">
      <c r="A12738" s="39"/>
      <c r="E12738" s="40" t="s">
        <v>11404</v>
      </c>
      <c r="F12738" s="40" t="s">
        <v>11404</v>
      </c>
      <c r="G12738" s="40" t="s">
        <v>11404</v>
      </c>
      <c r="H12738" s="40" t="s">
        <v>11404</v>
      </c>
    </row>
    <row r="12739">
      <c r="A12739" s="39"/>
      <c r="E12739" s="40" t="s">
        <v>11404</v>
      </c>
      <c r="F12739" s="40" t="s">
        <v>11404</v>
      </c>
      <c r="G12739" s="40" t="s">
        <v>11404</v>
      </c>
      <c r="H12739" s="40" t="s">
        <v>11404</v>
      </c>
    </row>
    <row r="12740">
      <c r="A12740" s="39"/>
      <c r="E12740" s="40" t="s">
        <v>11404</v>
      </c>
      <c r="F12740" s="40" t="s">
        <v>11404</v>
      </c>
      <c r="G12740" s="40" t="s">
        <v>11404</v>
      </c>
      <c r="H12740" s="40" t="s">
        <v>11404</v>
      </c>
    </row>
    <row r="12741">
      <c r="A12741" s="39"/>
      <c r="E12741" s="40" t="s">
        <v>11404</v>
      </c>
      <c r="F12741" s="40" t="s">
        <v>11404</v>
      </c>
      <c r="G12741" s="40" t="s">
        <v>11404</v>
      </c>
      <c r="H12741" s="40" t="s">
        <v>11404</v>
      </c>
    </row>
    <row r="12742">
      <c r="A12742" s="39"/>
      <c r="E12742" s="40" t="s">
        <v>11404</v>
      </c>
      <c r="F12742" s="40" t="s">
        <v>11404</v>
      </c>
      <c r="G12742" s="40" t="s">
        <v>11404</v>
      </c>
      <c r="H12742" s="40" t="s">
        <v>11404</v>
      </c>
    </row>
    <row r="12743">
      <c r="A12743" s="39"/>
      <c r="E12743" s="40" t="s">
        <v>11404</v>
      </c>
      <c r="F12743" s="40" t="s">
        <v>11404</v>
      </c>
      <c r="G12743" s="40" t="s">
        <v>11404</v>
      </c>
      <c r="H12743" s="40" t="s">
        <v>11404</v>
      </c>
    </row>
    <row r="12744">
      <c r="A12744" s="39"/>
      <c r="E12744" s="40" t="s">
        <v>11404</v>
      </c>
      <c r="F12744" s="40" t="s">
        <v>11404</v>
      </c>
      <c r="G12744" s="40" t="s">
        <v>11404</v>
      </c>
      <c r="H12744" s="40" t="s">
        <v>11404</v>
      </c>
    </row>
    <row r="12745">
      <c r="A12745" s="39"/>
      <c r="E12745" s="40" t="s">
        <v>11404</v>
      </c>
      <c r="F12745" s="40" t="s">
        <v>11404</v>
      </c>
      <c r="G12745" s="40" t="s">
        <v>11404</v>
      </c>
      <c r="H12745" s="40" t="s">
        <v>11404</v>
      </c>
    </row>
    <row r="12746">
      <c r="A12746" s="39"/>
      <c r="E12746" s="40" t="s">
        <v>11404</v>
      </c>
      <c r="F12746" s="40" t="s">
        <v>11404</v>
      </c>
      <c r="G12746" s="40" t="s">
        <v>11404</v>
      </c>
      <c r="H12746" s="40" t="s">
        <v>11404</v>
      </c>
    </row>
    <row r="12747">
      <c r="A12747" s="39"/>
      <c r="E12747" s="40" t="s">
        <v>11404</v>
      </c>
      <c r="F12747" s="40" t="s">
        <v>11404</v>
      </c>
      <c r="G12747" s="40" t="s">
        <v>11404</v>
      </c>
      <c r="H12747" s="40" t="s">
        <v>11404</v>
      </c>
    </row>
    <row r="12748">
      <c r="A12748" s="39"/>
      <c r="E12748" s="40" t="s">
        <v>11404</v>
      </c>
      <c r="F12748" s="40" t="s">
        <v>11404</v>
      </c>
      <c r="G12748" s="40" t="s">
        <v>11404</v>
      </c>
      <c r="H12748" s="40" t="s">
        <v>11404</v>
      </c>
    </row>
    <row r="12749">
      <c r="A12749" s="39"/>
      <c r="E12749" s="40" t="s">
        <v>11404</v>
      </c>
      <c r="F12749" s="40" t="s">
        <v>11404</v>
      </c>
      <c r="G12749" s="40" t="s">
        <v>11404</v>
      </c>
      <c r="H12749" s="40" t="s">
        <v>11404</v>
      </c>
    </row>
    <row r="12750">
      <c r="A12750" s="39"/>
      <c r="E12750" s="40" t="s">
        <v>11404</v>
      </c>
      <c r="F12750" s="40" t="s">
        <v>11404</v>
      </c>
      <c r="G12750" s="40" t="s">
        <v>11404</v>
      </c>
      <c r="H12750" s="40" t="s">
        <v>11404</v>
      </c>
    </row>
    <row r="12751">
      <c r="A12751" s="39"/>
      <c r="E12751" s="40" t="s">
        <v>11404</v>
      </c>
      <c r="F12751" s="40" t="s">
        <v>11404</v>
      </c>
      <c r="G12751" s="40" t="s">
        <v>11404</v>
      </c>
      <c r="H12751" s="40" t="s">
        <v>11404</v>
      </c>
    </row>
    <row r="12752">
      <c r="A12752" s="39"/>
      <c r="E12752" s="40" t="s">
        <v>11404</v>
      </c>
      <c r="F12752" s="40" t="s">
        <v>11404</v>
      </c>
      <c r="G12752" s="40" t="s">
        <v>11404</v>
      </c>
      <c r="H12752" s="40" t="s">
        <v>11404</v>
      </c>
    </row>
    <row r="12753">
      <c r="A12753" s="39"/>
      <c r="E12753" s="40" t="s">
        <v>11404</v>
      </c>
      <c r="F12753" s="40" t="s">
        <v>11404</v>
      </c>
      <c r="G12753" s="40" t="s">
        <v>11404</v>
      </c>
      <c r="H12753" s="40" t="s">
        <v>11404</v>
      </c>
    </row>
    <row r="12754">
      <c r="A12754" s="39"/>
      <c r="E12754" s="40" t="s">
        <v>11404</v>
      </c>
      <c r="F12754" s="40" t="s">
        <v>11404</v>
      </c>
      <c r="G12754" s="40" t="s">
        <v>11404</v>
      </c>
      <c r="H12754" s="40" t="s">
        <v>11404</v>
      </c>
    </row>
    <row r="12755">
      <c r="A12755" s="39"/>
      <c r="E12755" s="40" t="s">
        <v>11404</v>
      </c>
      <c r="F12755" s="40" t="s">
        <v>11404</v>
      </c>
      <c r="G12755" s="40" t="s">
        <v>11404</v>
      </c>
      <c r="H12755" s="40" t="s">
        <v>11404</v>
      </c>
    </row>
    <row r="12756">
      <c r="A12756" s="39"/>
      <c r="E12756" s="40" t="s">
        <v>11404</v>
      </c>
      <c r="F12756" s="40" t="s">
        <v>11404</v>
      </c>
      <c r="G12756" s="40" t="s">
        <v>11404</v>
      </c>
      <c r="H12756" s="40" t="s">
        <v>11404</v>
      </c>
    </row>
    <row r="12757">
      <c r="A12757" s="39"/>
      <c r="E12757" s="40" t="s">
        <v>11404</v>
      </c>
      <c r="F12757" s="40" t="s">
        <v>11404</v>
      </c>
      <c r="G12757" s="40" t="s">
        <v>11404</v>
      </c>
      <c r="H12757" s="40" t="s">
        <v>11404</v>
      </c>
    </row>
    <row r="12758">
      <c r="A12758" s="39"/>
      <c r="E12758" s="40" t="s">
        <v>11404</v>
      </c>
      <c r="F12758" s="40" t="s">
        <v>11404</v>
      </c>
      <c r="G12758" s="40" t="s">
        <v>11404</v>
      </c>
      <c r="H12758" s="40" t="s">
        <v>11404</v>
      </c>
    </row>
    <row r="12759">
      <c r="A12759" s="39"/>
      <c r="E12759" s="40" t="s">
        <v>11404</v>
      </c>
      <c r="F12759" s="40" t="s">
        <v>11404</v>
      </c>
      <c r="G12759" s="40" t="s">
        <v>11404</v>
      </c>
      <c r="H12759" s="40" t="s">
        <v>11404</v>
      </c>
    </row>
    <row r="12760">
      <c r="A12760" s="39"/>
      <c r="E12760" s="40" t="s">
        <v>11404</v>
      </c>
      <c r="F12760" s="40" t="s">
        <v>11404</v>
      </c>
      <c r="G12760" s="40" t="s">
        <v>11404</v>
      </c>
      <c r="H12760" s="40" t="s">
        <v>11404</v>
      </c>
    </row>
    <row r="12761">
      <c r="A12761" s="39"/>
      <c r="E12761" s="40" t="s">
        <v>11404</v>
      </c>
      <c r="F12761" s="40" t="s">
        <v>11404</v>
      </c>
      <c r="G12761" s="40" t="s">
        <v>11404</v>
      </c>
      <c r="H12761" s="40" t="s">
        <v>11404</v>
      </c>
    </row>
    <row r="12762">
      <c r="A12762" s="39"/>
      <c r="E12762" s="40" t="s">
        <v>11404</v>
      </c>
      <c r="F12762" s="40" t="s">
        <v>11404</v>
      </c>
      <c r="G12762" s="40" t="s">
        <v>11404</v>
      </c>
      <c r="H12762" s="40" t="s">
        <v>11404</v>
      </c>
    </row>
    <row r="12763">
      <c r="A12763" s="39"/>
      <c r="E12763" s="40" t="s">
        <v>11404</v>
      </c>
      <c r="F12763" s="40" t="s">
        <v>11404</v>
      </c>
      <c r="G12763" s="40" t="s">
        <v>11404</v>
      </c>
      <c r="H12763" s="40" t="s">
        <v>11404</v>
      </c>
    </row>
    <row r="12764">
      <c r="A12764" s="39"/>
      <c r="E12764" s="40" t="s">
        <v>11404</v>
      </c>
      <c r="F12764" s="40" t="s">
        <v>11404</v>
      </c>
      <c r="G12764" s="40" t="s">
        <v>11404</v>
      </c>
      <c r="H12764" s="40" t="s">
        <v>11404</v>
      </c>
    </row>
    <row r="12765">
      <c r="A12765" s="39"/>
      <c r="E12765" s="40" t="s">
        <v>11404</v>
      </c>
      <c r="F12765" s="40" t="s">
        <v>11404</v>
      </c>
      <c r="G12765" s="40" t="s">
        <v>11404</v>
      </c>
      <c r="H12765" s="40" t="s">
        <v>11404</v>
      </c>
    </row>
    <row r="12766">
      <c r="A12766" s="39"/>
      <c r="E12766" s="40" t="s">
        <v>11404</v>
      </c>
      <c r="F12766" s="40" t="s">
        <v>11404</v>
      </c>
      <c r="G12766" s="40" t="s">
        <v>11404</v>
      </c>
      <c r="H12766" s="40" t="s">
        <v>11404</v>
      </c>
    </row>
    <row r="12767">
      <c r="A12767" s="39"/>
      <c r="E12767" s="40" t="s">
        <v>11404</v>
      </c>
      <c r="F12767" s="40" t="s">
        <v>11404</v>
      </c>
      <c r="G12767" s="40" t="s">
        <v>11404</v>
      </c>
      <c r="H12767" s="40" t="s">
        <v>11404</v>
      </c>
    </row>
    <row r="12768">
      <c r="A12768" s="39"/>
      <c r="E12768" s="40" t="s">
        <v>11404</v>
      </c>
      <c r="F12768" s="40" t="s">
        <v>11404</v>
      </c>
      <c r="G12768" s="40" t="s">
        <v>11404</v>
      </c>
      <c r="H12768" s="40" t="s">
        <v>11404</v>
      </c>
    </row>
    <row r="12769">
      <c r="A12769" s="39"/>
      <c r="E12769" s="40" t="s">
        <v>11404</v>
      </c>
      <c r="F12769" s="40" t="s">
        <v>11404</v>
      </c>
      <c r="G12769" s="40" t="s">
        <v>11404</v>
      </c>
      <c r="H12769" s="40" t="s">
        <v>11404</v>
      </c>
    </row>
    <row r="12770">
      <c r="A12770" s="39"/>
      <c r="E12770" s="40" t="s">
        <v>11404</v>
      </c>
      <c r="F12770" s="40" t="s">
        <v>11404</v>
      </c>
      <c r="G12770" s="40" t="s">
        <v>11404</v>
      </c>
      <c r="H12770" s="40" t="s">
        <v>11404</v>
      </c>
    </row>
    <row r="12771">
      <c r="A12771" s="39"/>
      <c r="E12771" s="40" t="s">
        <v>11404</v>
      </c>
      <c r="F12771" s="40" t="s">
        <v>11404</v>
      </c>
      <c r="G12771" s="40" t="s">
        <v>11404</v>
      </c>
      <c r="H12771" s="40" t="s">
        <v>11404</v>
      </c>
    </row>
    <row r="12772">
      <c r="A12772" s="39"/>
      <c r="E12772" s="40" t="s">
        <v>11404</v>
      </c>
      <c r="F12772" s="40" t="s">
        <v>11404</v>
      </c>
      <c r="G12772" s="40" t="s">
        <v>11404</v>
      </c>
      <c r="H12772" s="40" t="s">
        <v>11404</v>
      </c>
    </row>
    <row r="12773">
      <c r="A12773" s="39"/>
      <c r="E12773" s="40" t="s">
        <v>11404</v>
      </c>
      <c r="F12773" s="40" t="s">
        <v>11404</v>
      </c>
      <c r="G12773" s="40" t="s">
        <v>11404</v>
      </c>
      <c r="H12773" s="40" t="s">
        <v>11404</v>
      </c>
    </row>
    <row r="12774">
      <c r="A12774" s="39"/>
      <c r="E12774" s="40" t="s">
        <v>11404</v>
      </c>
      <c r="F12774" s="40" t="s">
        <v>11404</v>
      </c>
      <c r="G12774" s="40" t="s">
        <v>11404</v>
      </c>
      <c r="H12774" s="40" t="s">
        <v>11404</v>
      </c>
    </row>
    <row r="12775">
      <c r="A12775" s="39"/>
      <c r="E12775" s="40" t="s">
        <v>11404</v>
      </c>
      <c r="F12775" s="40" t="s">
        <v>11404</v>
      </c>
      <c r="G12775" s="40" t="s">
        <v>11404</v>
      </c>
      <c r="H12775" s="40" t="s">
        <v>11404</v>
      </c>
    </row>
    <row r="12776">
      <c r="A12776" s="39"/>
      <c r="E12776" s="40" t="s">
        <v>11404</v>
      </c>
      <c r="F12776" s="40" t="s">
        <v>11404</v>
      </c>
      <c r="G12776" s="40" t="s">
        <v>11404</v>
      </c>
      <c r="H12776" s="40" t="s">
        <v>11404</v>
      </c>
    </row>
    <row r="12777">
      <c r="A12777" s="39"/>
      <c r="E12777" s="40" t="s">
        <v>11404</v>
      </c>
      <c r="F12777" s="40" t="s">
        <v>11404</v>
      </c>
      <c r="G12777" s="40" t="s">
        <v>11404</v>
      </c>
      <c r="H12777" s="40" t="s">
        <v>11404</v>
      </c>
    </row>
    <row r="12778">
      <c r="A12778" s="39"/>
      <c r="E12778" s="40" t="s">
        <v>11404</v>
      </c>
      <c r="F12778" s="40" t="s">
        <v>11404</v>
      </c>
      <c r="G12778" s="40" t="s">
        <v>11404</v>
      </c>
      <c r="H12778" s="40" t="s">
        <v>11404</v>
      </c>
    </row>
    <row r="12779">
      <c r="A12779" s="39"/>
      <c r="E12779" s="40" t="s">
        <v>11404</v>
      </c>
      <c r="F12779" s="40" t="s">
        <v>11404</v>
      </c>
      <c r="G12779" s="40" t="s">
        <v>11404</v>
      </c>
      <c r="H12779" s="40" t="s">
        <v>11404</v>
      </c>
    </row>
    <row r="12780">
      <c r="A12780" s="39"/>
      <c r="E12780" s="40" t="s">
        <v>11404</v>
      </c>
      <c r="F12780" s="40" t="s">
        <v>11404</v>
      </c>
      <c r="G12780" s="40" t="s">
        <v>11404</v>
      </c>
      <c r="H12780" s="40" t="s">
        <v>11404</v>
      </c>
    </row>
    <row r="12781">
      <c r="A12781" s="39"/>
      <c r="E12781" s="40" t="s">
        <v>11404</v>
      </c>
      <c r="F12781" s="40" t="s">
        <v>11404</v>
      </c>
      <c r="G12781" s="40" t="s">
        <v>11404</v>
      </c>
      <c r="H12781" s="40" t="s">
        <v>11404</v>
      </c>
    </row>
    <row r="12782">
      <c r="A12782" s="39"/>
      <c r="E12782" s="40" t="s">
        <v>11404</v>
      </c>
      <c r="F12782" s="40" t="s">
        <v>11404</v>
      </c>
      <c r="G12782" s="40" t="s">
        <v>11404</v>
      </c>
      <c r="H12782" s="40" t="s">
        <v>11404</v>
      </c>
    </row>
    <row r="12783">
      <c r="A12783" s="39"/>
      <c r="E12783" s="40" t="s">
        <v>11404</v>
      </c>
      <c r="F12783" s="40" t="s">
        <v>11404</v>
      </c>
      <c r="G12783" s="40" t="s">
        <v>11404</v>
      </c>
      <c r="H12783" s="40" t="s">
        <v>11404</v>
      </c>
    </row>
    <row r="12784">
      <c r="A12784" s="39"/>
      <c r="E12784" s="40" t="s">
        <v>11404</v>
      </c>
      <c r="F12784" s="40" t="s">
        <v>11404</v>
      </c>
      <c r="G12784" s="40" t="s">
        <v>11404</v>
      </c>
      <c r="H12784" s="40" t="s">
        <v>11404</v>
      </c>
    </row>
    <row r="12785">
      <c r="A12785" s="39"/>
      <c r="E12785" s="40" t="s">
        <v>11404</v>
      </c>
      <c r="F12785" s="40" t="s">
        <v>11404</v>
      </c>
      <c r="G12785" s="40" t="s">
        <v>11404</v>
      </c>
      <c r="H12785" s="40" t="s">
        <v>11404</v>
      </c>
    </row>
    <row r="12786">
      <c r="A12786" s="39"/>
      <c r="E12786" s="40" t="s">
        <v>11404</v>
      </c>
      <c r="F12786" s="40" t="s">
        <v>11404</v>
      </c>
      <c r="G12786" s="40" t="s">
        <v>11404</v>
      </c>
      <c r="H12786" s="40" t="s">
        <v>11404</v>
      </c>
    </row>
    <row r="12787">
      <c r="A12787" s="39"/>
      <c r="E12787" s="40" t="s">
        <v>11404</v>
      </c>
      <c r="F12787" s="40" t="s">
        <v>11404</v>
      </c>
      <c r="G12787" s="40" t="s">
        <v>11404</v>
      </c>
      <c r="H12787" s="40" t="s">
        <v>11404</v>
      </c>
    </row>
    <row r="12788">
      <c r="A12788" s="39"/>
      <c r="E12788" s="40" t="s">
        <v>11404</v>
      </c>
      <c r="F12788" s="40" t="s">
        <v>11404</v>
      </c>
      <c r="G12788" s="40" t="s">
        <v>11404</v>
      </c>
      <c r="H12788" s="40" t="s">
        <v>11404</v>
      </c>
    </row>
    <row r="12789">
      <c r="A12789" s="39"/>
      <c r="E12789" s="40" t="s">
        <v>11404</v>
      </c>
      <c r="F12789" s="40" t="s">
        <v>11404</v>
      </c>
      <c r="G12789" s="40" t="s">
        <v>11404</v>
      </c>
      <c r="H12789" s="40" t="s">
        <v>11404</v>
      </c>
    </row>
    <row r="12790">
      <c r="A12790" s="39"/>
      <c r="E12790" s="40" t="s">
        <v>11404</v>
      </c>
      <c r="F12790" s="40" t="s">
        <v>11404</v>
      </c>
      <c r="G12790" s="40" t="s">
        <v>11404</v>
      </c>
      <c r="H12790" s="40" t="s">
        <v>11404</v>
      </c>
    </row>
    <row r="12791">
      <c r="A12791" s="39"/>
      <c r="E12791" s="40" t="s">
        <v>11404</v>
      </c>
      <c r="F12791" s="40" t="s">
        <v>11404</v>
      </c>
      <c r="G12791" s="40" t="s">
        <v>11404</v>
      </c>
      <c r="H12791" s="40" t="s">
        <v>11404</v>
      </c>
    </row>
    <row r="12792">
      <c r="A12792" s="39"/>
      <c r="E12792" s="40" t="s">
        <v>11404</v>
      </c>
      <c r="F12792" s="40" t="s">
        <v>11404</v>
      </c>
      <c r="G12792" s="40" t="s">
        <v>11404</v>
      </c>
      <c r="H12792" s="40" t="s">
        <v>11404</v>
      </c>
    </row>
    <row r="12793">
      <c r="A12793" s="39"/>
      <c r="E12793" s="40" t="s">
        <v>11404</v>
      </c>
      <c r="F12793" s="40" t="s">
        <v>11404</v>
      </c>
      <c r="G12793" s="40" t="s">
        <v>11404</v>
      </c>
      <c r="H12793" s="40" t="s">
        <v>11404</v>
      </c>
    </row>
    <row r="12794">
      <c r="A12794" s="39"/>
      <c r="E12794" s="40" t="s">
        <v>11404</v>
      </c>
      <c r="F12794" s="40" t="s">
        <v>11404</v>
      </c>
      <c r="G12794" s="40" t="s">
        <v>11404</v>
      </c>
      <c r="H12794" s="40" t="s">
        <v>11404</v>
      </c>
    </row>
    <row r="12795">
      <c r="A12795" s="39"/>
      <c r="E12795" s="40" t="s">
        <v>11404</v>
      </c>
      <c r="F12795" s="40" t="s">
        <v>11404</v>
      </c>
      <c r="G12795" s="40" t="s">
        <v>11404</v>
      </c>
      <c r="H12795" s="40" t="s">
        <v>11404</v>
      </c>
    </row>
    <row r="12796">
      <c r="A12796" s="39"/>
      <c r="E12796" s="40" t="s">
        <v>11404</v>
      </c>
      <c r="F12796" s="40" t="s">
        <v>11404</v>
      </c>
      <c r="G12796" s="40" t="s">
        <v>11404</v>
      </c>
      <c r="H12796" s="40" t="s">
        <v>11404</v>
      </c>
    </row>
    <row r="12797">
      <c r="A12797" s="39"/>
      <c r="E12797" s="40" t="s">
        <v>11404</v>
      </c>
      <c r="F12797" s="40" t="s">
        <v>11404</v>
      </c>
      <c r="G12797" s="40" t="s">
        <v>11404</v>
      </c>
      <c r="H12797" s="40" t="s">
        <v>11404</v>
      </c>
    </row>
    <row r="12798">
      <c r="A12798" s="39"/>
      <c r="E12798" s="40" t="s">
        <v>11404</v>
      </c>
      <c r="F12798" s="40" t="s">
        <v>11404</v>
      </c>
      <c r="G12798" s="40" t="s">
        <v>11404</v>
      </c>
      <c r="H12798" s="40" t="s">
        <v>11404</v>
      </c>
    </row>
    <row r="12799">
      <c r="A12799" s="39"/>
      <c r="E12799" s="40" t="s">
        <v>11404</v>
      </c>
      <c r="F12799" s="40" t="s">
        <v>11404</v>
      </c>
      <c r="G12799" s="40" t="s">
        <v>11404</v>
      </c>
      <c r="H12799" s="40" t="s">
        <v>11404</v>
      </c>
    </row>
    <row r="12800">
      <c r="A12800" s="39"/>
      <c r="E12800" s="40" t="s">
        <v>11404</v>
      </c>
      <c r="F12800" s="40" t="s">
        <v>11404</v>
      </c>
      <c r="G12800" s="40" t="s">
        <v>11404</v>
      </c>
      <c r="H12800" s="40" t="s">
        <v>11404</v>
      </c>
    </row>
    <row r="12801">
      <c r="A12801" s="39"/>
      <c r="E12801" s="40" t="s">
        <v>11404</v>
      </c>
      <c r="F12801" s="40" t="s">
        <v>11404</v>
      </c>
      <c r="G12801" s="40" t="s">
        <v>11404</v>
      </c>
      <c r="H12801" s="40" t="s">
        <v>11404</v>
      </c>
    </row>
    <row r="12802">
      <c r="A12802" s="39"/>
      <c r="E12802" s="40" t="s">
        <v>11404</v>
      </c>
      <c r="F12802" s="40" t="s">
        <v>11404</v>
      </c>
      <c r="G12802" s="40" t="s">
        <v>11404</v>
      </c>
      <c r="H12802" s="40" t="s">
        <v>11404</v>
      </c>
    </row>
    <row r="12803">
      <c r="A12803" s="39"/>
      <c r="E12803" s="40" t="s">
        <v>11404</v>
      </c>
      <c r="F12803" s="40" t="s">
        <v>11404</v>
      </c>
      <c r="G12803" s="40" t="s">
        <v>11404</v>
      </c>
      <c r="H12803" s="40" t="s">
        <v>11404</v>
      </c>
    </row>
    <row r="12804">
      <c r="A12804" s="39"/>
      <c r="E12804" s="40" t="s">
        <v>11404</v>
      </c>
      <c r="F12804" s="40" t="s">
        <v>11404</v>
      </c>
      <c r="G12804" s="40" t="s">
        <v>11404</v>
      </c>
      <c r="H12804" s="40" t="s">
        <v>11404</v>
      </c>
    </row>
    <row r="12805">
      <c r="A12805" s="39"/>
      <c r="E12805" s="40" t="s">
        <v>11404</v>
      </c>
      <c r="F12805" s="40" t="s">
        <v>11404</v>
      </c>
      <c r="G12805" s="40" t="s">
        <v>11404</v>
      </c>
      <c r="H12805" s="40" t="s">
        <v>11404</v>
      </c>
    </row>
    <row r="12806">
      <c r="A12806" s="39"/>
      <c r="E12806" s="40" t="s">
        <v>11404</v>
      </c>
      <c r="F12806" s="40" t="s">
        <v>11404</v>
      </c>
      <c r="G12806" s="40" t="s">
        <v>11404</v>
      </c>
      <c r="H12806" s="40" t="s">
        <v>11404</v>
      </c>
    </row>
    <row r="12807">
      <c r="A12807" s="39"/>
      <c r="E12807" s="40" t="s">
        <v>11404</v>
      </c>
      <c r="F12807" s="40" t="s">
        <v>11404</v>
      </c>
      <c r="G12807" s="40" t="s">
        <v>11404</v>
      </c>
      <c r="H12807" s="40" t="s">
        <v>11404</v>
      </c>
    </row>
    <row r="12808">
      <c r="A12808" s="39"/>
      <c r="E12808" s="40" t="s">
        <v>11404</v>
      </c>
      <c r="F12808" s="40" t="s">
        <v>11404</v>
      </c>
      <c r="G12808" s="40" t="s">
        <v>11404</v>
      </c>
      <c r="H12808" s="40" t="s">
        <v>11404</v>
      </c>
    </row>
    <row r="12809">
      <c r="A12809" s="39"/>
      <c r="E12809" s="40" t="s">
        <v>11404</v>
      </c>
      <c r="F12809" s="40" t="s">
        <v>11404</v>
      </c>
      <c r="G12809" s="40" t="s">
        <v>11404</v>
      </c>
      <c r="H12809" s="40" t="s">
        <v>11404</v>
      </c>
    </row>
    <row r="12810">
      <c r="A12810" s="39"/>
      <c r="E12810" s="40" t="s">
        <v>11404</v>
      </c>
      <c r="F12810" s="40" t="s">
        <v>11404</v>
      </c>
      <c r="G12810" s="40" t="s">
        <v>11404</v>
      </c>
      <c r="H12810" s="40" t="s">
        <v>11404</v>
      </c>
    </row>
    <row r="12811">
      <c r="A12811" s="39"/>
      <c r="E12811" s="40" t="s">
        <v>11404</v>
      </c>
      <c r="F12811" s="40" t="s">
        <v>11404</v>
      </c>
      <c r="G12811" s="40" t="s">
        <v>11404</v>
      </c>
      <c r="H12811" s="40" t="s">
        <v>11404</v>
      </c>
    </row>
    <row r="12812">
      <c r="A12812" s="39"/>
      <c r="E12812" s="40" t="s">
        <v>11404</v>
      </c>
      <c r="F12812" s="40" t="s">
        <v>11404</v>
      </c>
      <c r="G12812" s="40" t="s">
        <v>11404</v>
      </c>
      <c r="H12812" s="40" t="s">
        <v>11404</v>
      </c>
    </row>
    <row r="12813">
      <c r="A12813" s="39"/>
      <c r="E12813" s="40" t="s">
        <v>11404</v>
      </c>
      <c r="F12813" s="40" t="s">
        <v>11404</v>
      </c>
      <c r="G12813" s="40" t="s">
        <v>11404</v>
      </c>
      <c r="H12813" s="40" t="s">
        <v>11404</v>
      </c>
    </row>
    <row r="12814">
      <c r="A12814" s="39"/>
      <c r="E12814" s="40" t="s">
        <v>11404</v>
      </c>
      <c r="F12814" s="40" t="s">
        <v>11404</v>
      </c>
      <c r="G12814" s="40" t="s">
        <v>11404</v>
      </c>
      <c r="H12814" s="40" t="s">
        <v>11404</v>
      </c>
    </row>
    <row r="12815">
      <c r="A12815" s="39"/>
      <c r="E12815" s="40" t="s">
        <v>11404</v>
      </c>
      <c r="F12815" s="40" t="s">
        <v>11404</v>
      </c>
      <c r="G12815" s="40" t="s">
        <v>11404</v>
      </c>
      <c r="H12815" s="40" t="s">
        <v>11404</v>
      </c>
    </row>
    <row r="12816">
      <c r="A12816" s="39"/>
      <c r="E12816" s="40" t="s">
        <v>11404</v>
      </c>
      <c r="F12816" s="40" t="s">
        <v>11404</v>
      </c>
      <c r="G12816" s="40" t="s">
        <v>11404</v>
      </c>
      <c r="H12816" s="40" t="s">
        <v>11404</v>
      </c>
    </row>
    <row r="12817">
      <c r="A12817" s="39"/>
      <c r="E12817" s="40" t="s">
        <v>11404</v>
      </c>
      <c r="F12817" s="40" t="s">
        <v>11404</v>
      </c>
      <c r="G12817" s="40" t="s">
        <v>11404</v>
      </c>
      <c r="H12817" s="40" t="s">
        <v>11404</v>
      </c>
    </row>
    <row r="12818">
      <c r="A12818" s="39"/>
      <c r="E12818" s="40" t="s">
        <v>11404</v>
      </c>
      <c r="F12818" s="40" t="s">
        <v>11404</v>
      </c>
      <c r="G12818" s="40" t="s">
        <v>11404</v>
      </c>
      <c r="H12818" s="40" t="s">
        <v>11404</v>
      </c>
    </row>
    <row r="12819">
      <c r="A12819" s="39"/>
      <c r="E12819" s="40" t="s">
        <v>11404</v>
      </c>
      <c r="F12819" s="40" t="s">
        <v>11404</v>
      </c>
      <c r="G12819" s="40" t="s">
        <v>11404</v>
      </c>
      <c r="H12819" s="40" t="s">
        <v>11404</v>
      </c>
    </row>
    <row r="12820">
      <c r="A12820" s="39"/>
      <c r="E12820" s="40" t="s">
        <v>11404</v>
      </c>
      <c r="F12820" s="40" t="s">
        <v>11404</v>
      </c>
      <c r="G12820" s="40" t="s">
        <v>11404</v>
      </c>
      <c r="H12820" s="40" t="s">
        <v>11404</v>
      </c>
    </row>
    <row r="12821">
      <c r="A12821" s="39"/>
      <c r="E12821" s="40" t="s">
        <v>11404</v>
      </c>
      <c r="F12821" s="40" t="s">
        <v>11404</v>
      </c>
      <c r="G12821" s="40" t="s">
        <v>11404</v>
      </c>
      <c r="H12821" s="40" t="s">
        <v>11404</v>
      </c>
    </row>
    <row r="12822">
      <c r="A12822" s="39"/>
      <c r="E12822" s="40" t="s">
        <v>11404</v>
      </c>
      <c r="F12822" s="40" t="s">
        <v>11404</v>
      </c>
      <c r="G12822" s="40" t="s">
        <v>11404</v>
      </c>
      <c r="H12822" s="40" t="s">
        <v>11404</v>
      </c>
    </row>
    <row r="12823">
      <c r="A12823" s="39"/>
      <c r="E12823" s="40" t="s">
        <v>11404</v>
      </c>
      <c r="F12823" s="40" t="s">
        <v>11404</v>
      </c>
      <c r="G12823" s="40" t="s">
        <v>11404</v>
      </c>
      <c r="H12823" s="40" t="s">
        <v>11404</v>
      </c>
    </row>
    <row r="12824">
      <c r="A12824" s="39"/>
      <c r="E12824" s="40" t="s">
        <v>11404</v>
      </c>
      <c r="F12824" s="40" t="s">
        <v>11404</v>
      </c>
      <c r="G12824" s="40" t="s">
        <v>11404</v>
      </c>
      <c r="H12824" s="40" t="s">
        <v>11404</v>
      </c>
    </row>
    <row r="12825">
      <c r="A12825" s="39"/>
      <c r="E12825" s="40" t="s">
        <v>11404</v>
      </c>
      <c r="F12825" s="40" t="s">
        <v>11404</v>
      </c>
      <c r="G12825" s="40" t="s">
        <v>11404</v>
      </c>
      <c r="H12825" s="40" t="s">
        <v>11404</v>
      </c>
    </row>
    <row r="12826">
      <c r="A12826" s="39"/>
      <c r="E12826" s="40" t="s">
        <v>11404</v>
      </c>
      <c r="F12826" s="40" t="s">
        <v>11404</v>
      </c>
      <c r="G12826" s="40" t="s">
        <v>11404</v>
      </c>
      <c r="H12826" s="40" t="s">
        <v>11404</v>
      </c>
    </row>
    <row r="12827">
      <c r="A12827" s="39"/>
      <c r="E12827" s="40" t="s">
        <v>11404</v>
      </c>
      <c r="F12827" s="40" t="s">
        <v>11404</v>
      </c>
      <c r="G12827" s="40" t="s">
        <v>11404</v>
      </c>
      <c r="H12827" s="40" t="s">
        <v>11404</v>
      </c>
    </row>
    <row r="12828">
      <c r="A12828" s="39"/>
      <c r="E12828" s="40" t="s">
        <v>11404</v>
      </c>
      <c r="F12828" s="40" t="s">
        <v>11404</v>
      </c>
      <c r="G12828" s="40" t="s">
        <v>11404</v>
      </c>
      <c r="H12828" s="40" t="s">
        <v>11404</v>
      </c>
    </row>
    <row r="12829">
      <c r="A12829" s="39"/>
      <c r="E12829" s="40" t="s">
        <v>11404</v>
      </c>
      <c r="F12829" s="40" t="s">
        <v>11404</v>
      </c>
      <c r="G12829" s="40" t="s">
        <v>11404</v>
      </c>
      <c r="H12829" s="40" t="s">
        <v>11404</v>
      </c>
    </row>
    <row r="12830">
      <c r="A12830" s="39"/>
      <c r="E12830" s="40" t="s">
        <v>11404</v>
      </c>
      <c r="F12830" s="40" t="s">
        <v>11404</v>
      </c>
      <c r="G12830" s="40" t="s">
        <v>11404</v>
      </c>
      <c r="H12830" s="40" t="s">
        <v>11404</v>
      </c>
    </row>
    <row r="12831">
      <c r="A12831" s="39"/>
      <c r="E12831" s="40" t="s">
        <v>11404</v>
      </c>
      <c r="F12831" s="40" t="s">
        <v>11404</v>
      </c>
      <c r="G12831" s="40" t="s">
        <v>11404</v>
      </c>
      <c r="H12831" s="40" t="s">
        <v>11404</v>
      </c>
    </row>
    <row r="12832">
      <c r="A12832" s="39"/>
      <c r="E12832" s="40" t="s">
        <v>11404</v>
      </c>
      <c r="F12832" s="40" t="s">
        <v>11404</v>
      </c>
      <c r="G12832" s="40" t="s">
        <v>11404</v>
      </c>
      <c r="H12832" s="40" t="s">
        <v>11404</v>
      </c>
    </row>
    <row r="12833">
      <c r="A12833" s="39"/>
      <c r="E12833" s="40" t="s">
        <v>11404</v>
      </c>
      <c r="F12833" s="40" t="s">
        <v>11404</v>
      </c>
      <c r="G12833" s="40" t="s">
        <v>11404</v>
      </c>
      <c r="H12833" s="40" t="s">
        <v>11404</v>
      </c>
    </row>
    <row r="12834">
      <c r="A12834" s="39"/>
      <c r="E12834" s="40" t="s">
        <v>11404</v>
      </c>
      <c r="F12834" s="40" t="s">
        <v>11404</v>
      </c>
      <c r="G12834" s="40" t="s">
        <v>11404</v>
      </c>
      <c r="H12834" s="40" t="s">
        <v>11404</v>
      </c>
    </row>
    <row r="12835">
      <c r="A12835" s="39"/>
      <c r="E12835" s="40" t="s">
        <v>11404</v>
      </c>
      <c r="F12835" s="40" t="s">
        <v>11404</v>
      </c>
      <c r="G12835" s="40" t="s">
        <v>11404</v>
      </c>
      <c r="H12835" s="40" t="s">
        <v>11404</v>
      </c>
    </row>
    <row r="12836">
      <c r="A12836" s="39"/>
      <c r="E12836" s="40" t="s">
        <v>11404</v>
      </c>
      <c r="F12836" s="40" t="s">
        <v>11404</v>
      </c>
      <c r="G12836" s="40" t="s">
        <v>11404</v>
      </c>
      <c r="H12836" s="40" t="s">
        <v>11404</v>
      </c>
    </row>
    <row r="12837">
      <c r="A12837" s="39"/>
      <c r="E12837" s="40" t="s">
        <v>11404</v>
      </c>
      <c r="F12837" s="40" t="s">
        <v>11404</v>
      </c>
      <c r="G12837" s="40" t="s">
        <v>11404</v>
      </c>
      <c r="H12837" s="40" t="s">
        <v>11404</v>
      </c>
    </row>
    <row r="12838">
      <c r="A12838" s="39"/>
      <c r="E12838" s="40" t="s">
        <v>11404</v>
      </c>
      <c r="F12838" s="40" t="s">
        <v>11404</v>
      </c>
      <c r="G12838" s="40" t="s">
        <v>11404</v>
      </c>
      <c r="H12838" s="40" t="s">
        <v>11404</v>
      </c>
    </row>
    <row r="12839">
      <c r="A12839" s="39"/>
      <c r="E12839" s="40" t="s">
        <v>11404</v>
      </c>
      <c r="F12839" s="40" t="s">
        <v>11404</v>
      </c>
      <c r="G12839" s="40" t="s">
        <v>11404</v>
      </c>
      <c r="H12839" s="40" t="s">
        <v>11404</v>
      </c>
    </row>
    <row r="12840">
      <c r="A12840" s="39"/>
      <c r="E12840" s="40" t="s">
        <v>11404</v>
      </c>
      <c r="F12840" s="40" t="s">
        <v>11404</v>
      </c>
      <c r="G12840" s="40" t="s">
        <v>11404</v>
      </c>
      <c r="H12840" s="40" t="s">
        <v>11404</v>
      </c>
    </row>
    <row r="12841">
      <c r="A12841" s="39"/>
      <c r="E12841" s="40" t="s">
        <v>11404</v>
      </c>
      <c r="F12841" s="40" t="s">
        <v>11404</v>
      </c>
      <c r="G12841" s="40" t="s">
        <v>11404</v>
      </c>
      <c r="H12841" s="40" t="s">
        <v>11404</v>
      </c>
    </row>
    <row r="12842">
      <c r="A12842" s="39"/>
      <c r="E12842" s="40" t="s">
        <v>11404</v>
      </c>
      <c r="F12842" s="40" t="s">
        <v>11404</v>
      </c>
      <c r="G12842" s="40" t="s">
        <v>11404</v>
      </c>
      <c r="H12842" s="40" t="s">
        <v>11404</v>
      </c>
    </row>
    <row r="12843">
      <c r="A12843" s="39"/>
      <c r="E12843" s="40" t="s">
        <v>11404</v>
      </c>
      <c r="F12843" s="40" t="s">
        <v>11404</v>
      </c>
      <c r="G12843" s="40" t="s">
        <v>11404</v>
      </c>
      <c r="H12843" s="40" t="s">
        <v>11404</v>
      </c>
    </row>
    <row r="12844">
      <c r="A12844" s="39"/>
      <c r="E12844" s="40" t="s">
        <v>11404</v>
      </c>
      <c r="F12844" s="40" t="s">
        <v>11404</v>
      </c>
      <c r="G12844" s="40" t="s">
        <v>11404</v>
      </c>
      <c r="H12844" s="40" t="s">
        <v>11404</v>
      </c>
    </row>
    <row r="12845">
      <c r="A12845" s="39"/>
      <c r="E12845" s="40" t="s">
        <v>11404</v>
      </c>
      <c r="F12845" s="40" t="s">
        <v>11404</v>
      </c>
      <c r="G12845" s="40" t="s">
        <v>11404</v>
      </c>
      <c r="H12845" s="40" t="s">
        <v>11404</v>
      </c>
    </row>
    <row r="12846">
      <c r="A12846" s="39"/>
      <c r="E12846" s="40" t="s">
        <v>11404</v>
      </c>
      <c r="F12846" s="40" t="s">
        <v>11404</v>
      </c>
      <c r="G12846" s="40" t="s">
        <v>11404</v>
      </c>
      <c r="H12846" s="40" t="s">
        <v>11404</v>
      </c>
    </row>
    <row r="12847">
      <c r="A12847" s="39"/>
      <c r="E12847" s="40" t="s">
        <v>11404</v>
      </c>
      <c r="F12847" s="40" t="s">
        <v>11404</v>
      </c>
      <c r="G12847" s="40" t="s">
        <v>11404</v>
      </c>
      <c r="H12847" s="40" t="s">
        <v>11404</v>
      </c>
    </row>
    <row r="12848">
      <c r="A12848" s="39"/>
      <c r="E12848" s="40" t="s">
        <v>11404</v>
      </c>
      <c r="F12848" s="40" t="s">
        <v>11404</v>
      </c>
      <c r="G12848" s="40" t="s">
        <v>11404</v>
      </c>
      <c r="H12848" s="40" t="s">
        <v>11404</v>
      </c>
    </row>
    <row r="12849">
      <c r="A12849" s="39"/>
      <c r="E12849" s="40" t="s">
        <v>11404</v>
      </c>
      <c r="F12849" s="40" t="s">
        <v>11404</v>
      </c>
      <c r="G12849" s="40" t="s">
        <v>11404</v>
      </c>
      <c r="H12849" s="40" t="s">
        <v>11404</v>
      </c>
    </row>
    <row r="12850">
      <c r="A12850" s="39"/>
      <c r="E12850" s="40" t="s">
        <v>11404</v>
      </c>
      <c r="F12850" s="40" t="s">
        <v>11404</v>
      </c>
      <c r="G12850" s="40" t="s">
        <v>11404</v>
      </c>
      <c r="H12850" s="40" t="s">
        <v>11404</v>
      </c>
    </row>
    <row r="12851">
      <c r="A12851" s="39"/>
      <c r="E12851" s="40" t="s">
        <v>11404</v>
      </c>
      <c r="F12851" s="40" t="s">
        <v>11404</v>
      </c>
      <c r="G12851" s="40" t="s">
        <v>11404</v>
      </c>
      <c r="H12851" s="40" t="s">
        <v>11404</v>
      </c>
    </row>
    <row r="12852">
      <c r="A12852" s="39"/>
      <c r="E12852" s="40" t="s">
        <v>11404</v>
      </c>
      <c r="F12852" s="40" t="s">
        <v>11404</v>
      </c>
      <c r="G12852" s="40" t="s">
        <v>11404</v>
      </c>
      <c r="H12852" s="40" t="s">
        <v>11404</v>
      </c>
    </row>
    <row r="12853">
      <c r="A12853" s="39"/>
      <c r="E12853" s="40" t="s">
        <v>11404</v>
      </c>
      <c r="F12853" s="40" t="s">
        <v>11404</v>
      </c>
      <c r="G12853" s="40" t="s">
        <v>11404</v>
      </c>
      <c r="H12853" s="40" t="s">
        <v>11404</v>
      </c>
    </row>
    <row r="12854">
      <c r="A12854" s="39"/>
      <c r="E12854" s="40" t="s">
        <v>11404</v>
      </c>
      <c r="F12854" s="40" t="s">
        <v>11404</v>
      </c>
      <c r="G12854" s="40" t="s">
        <v>11404</v>
      </c>
      <c r="H12854" s="40" t="s">
        <v>11404</v>
      </c>
    </row>
    <row r="12855">
      <c r="A12855" s="39"/>
      <c r="E12855" s="40" t="s">
        <v>11404</v>
      </c>
      <c r="F12855" s="40" t="s">
        <v>11404</v>
      </c>
      <c r="G12855" s="40" t="s">
        <v>11404</v>
      </c>
      <c r="H12855" s="40" t="s">
        <v>11404</v>
      </c>
    </row>
    <row r="12856">
      <c r="A12856" s="39"/>
      <c r="E12856" s="40" t="s">
        <v>11404</v>
      </c>
      <c r="F12856" s="40" t="s">
        <v>11404</v>
      </c>
      <c r="G12856" s="40" t="s">
        <v>11404</v>
      </c>
      <c r="H12856" s="40" t="s">
        <v>11404</v>
      </c>
    </row>
    <row r="12857">
      <c r="A12857" s="39"/>
      <c r="E12857" s="40" t="s">
        <v>11404</v>
      </c>
      <c r="F12857" s="40" t="s">
        <v>11404</v>
      </c>
      <c r="G12857" s="40" t="s">
        <v>11404</v>
      </c>
      <c r="H12857" s="40" t="s">
        <v>11404</v>
      </c>
    </row>
    <row r="12858">
      <c r="A12858" s="39"/>
      <c r="E12858" s="40" t="s">
        <v>11404</v>
      </c>
      <c r="F12858" s="40" t="s">
        <v>11404</v>
      </c>
      <c r="G12858" s="40" t="s">
        <v>11404</v>
      </c>
      <c r="H12858" s="40" t="s">
        <v>11404</v>
      </c>
    </row>
    <row r="12859">
      <c r="A12859" s="39"/>
      <c r="E12859" s="40" t="s">
        <v>11404</v>
      </c>
      <c r="F12859" s="40" t="s">
        <v>11404</v>
      </c>
      <c r="G12859" s="40" t="s">
        <v>11404</v>
      </c>
      <c r="H12859" s="40" t="s">
        <v>11404</v>
      </c>
    </row>
    <row r="12860">
      <c r="A12860" s="39"/>
      <c r="E12860" s="40" t="s">
        <v>11404</v>
      </c>
      <c r="F12860" s="40" t="s">
        <v>11404</v>
      </c>
      <c r="G12860" s="40" t="s">
        <v>11404</v>
      </c>
      <c r="H12860" s="40" t="s">
        <v>11404</v>
      </c>
    </row>
    <row r="12861">
      <c r="A12861" s="39"/>
      <c r="E12861" s="40" t="s">
        <v>11404</v>
      </c>
      <c r="F12861" s="40" t="s">
        <v>11404</v>
      </c>
      <c r="G12861" s="40" t="s">
        <v>11404</v>
      </c>
      <c r="H12861" s="40" t="s">
        <v>11404</v>
      </c>
    </row>
    <row r="12862">
      <c r="A12862" s="39"/>
      <c r="E12862" s="40" t="s">
        <v>11404</v>
      </c>
      <c r="F12862" s="40" t="s">
        <v>11404</v>
      </c>
      <c r="G12862" s="40" t="s">
        <v>11404</v>
      </c>
      <c r="H12862" s="40" t="s">
        <v>11404</v>
      </c>
    </row>
    <row r="12863">
      <c r="A12863" s="39"/>
      <c r="E12863" s="40" t="s">
        <v>11404</v>
      </c>
      <c r="F12863" s="40" t="s">
        <v>11404</v>
      </c>
      <c r="G12863" s="40" t="s">
        <v>11404</v>
      </c>
      <c r="H12863" s="40" t="s">
        <v>11404</v>
      </c>
    </row>
    <row r="12864">
      <c r="A12864" s="39"/>
      <c r="E12864" s="40" t="s">
        <v>11404</v>
      </c>
      <c r="F12864" s="40" t="s">
        <v>11404</v>
      </c>
      <c r="G12864" s="40" t="s">
        <v>11404</v>
      </c>
      <c r="H12864" s="40" t="s">
        <v>11404</v>
      </c>
    </row>
    <row r="12865">
      <c r="A12865" s="39"/>
      <c r="E12865" s="40" t="s">
        <v>11404</v>
      </c>
      <c r="F12865" s="40" t="s">
        <v>11404</v>
      </c>
      <c r="G12865" s="40" t="s">
        <v>11404</v>
      </c>
      <c r="H12865" s="40" t="s">
        <v>11404</v>
      </c>
    </row>
    <row r="12866">
      <c r="A12866" s="39"/>
      <c r="E12866" s="40" t="s">
        <v>11404</v>
      </c>
      <c r="F12866" s="40" t="s">
        <v>11404</v>
      </c>
      <c r="G12866" s="40" t="s">
        <v>11404</v>
      </c>
      <c r="H12866" s="40" t="s">
        <v>11404</v>
      </c>
    </row>
    <row r="12867">
      <c r="A12867" s="39"/>
      <c r="E12867" s="40" t="s">
        <v>11404</v>
      </c>
      <c r="F12867" s="40" t="s">
        <v>11404</v>
      </c>
      <c r="G12867" s="40" t="s">
        <v>11404</v>
      </c>
      <c r="H12867" s="40" t="s">
        <v>11404</v>
      </c>
    </row>
    <row r="12868">
      <c r="A12868" s="39"/>
      <c r="E12868" s="40" t="s">
        <v>11404</v>
      </c>
      <c r="F12868" s="40" t="s">
        <v>11404</v>
      </c>
      <c r="G12868" s="40" t="s">
        <v>11404</v>
      </c>
      <c r="H12868" s="40" t="s">
        <v>11404</v>
      </c>
    </row>
    <row r="12869">
      <c r="A12869" s="39"/>
      <c r="E12869" s="40" t="s">
        <v>11404</v>
      </c>
      <c r="F12869" s="40" t="s">
        <v>11404</v>
      </c>
      <c r="G12869" s="40" t="s">
        <v>11404</v>
      </c>
      <c r="H12869" s="40" t="s">
        <v>11404</v>
      </c>
    </row>
    <row r="12870">
      <c r="A12870" s="39"/>
      <c r="E12870" s="40" t="s">
        <v>11404</v>
      </c>
      <c r="F12870" s="40" t="s">
        <v>11404</v>
      </c>
      <c r="G12870" s="40" t="s">
        <v>11404</v>
      </c>
      <c r="H12870" s="40" t="s">
        <v>11404</v>
      </c>
    </row>
    <row r="12871">
      <c r="A12871" s="39"/>
      <c r="E12871" s="40" t="s">
        <v>11404</v>
      </c>
      <c r="F12871" s="40" t="s">
        <v>11404</v>
      </c>
      <c r="G12871" s="40" t="s">
        <v>11404</v>
      </c>
      <c r="H12871" s="40" t="s">
        <v>11404</v>
      </c>
    </row>
    <row r="12872">
      <c r="A12872" s="39"/>
      <c r="E12872" s="40" t="s">
        <v>11404</v>
      </c>
      <c r="F12872" s="40" t="s">
        <v>11404</v>
      </c>
      <c r="G12872" s="40" t="s">
        <v>11404</v>
      </c>
      <c r="H12872" s="40" t="s">
        <v>11404</v>
      </c>
    </row>
    <row r="12873">
      <c r="A12873" s="39"/>
      <c r="E12873" s="40" t="s">
        <v>11404</v>
      </c>
      <c r="F12873" s="40" t="s">
        <v>11404</v>
      </c>
      <c r="G12873" s="40" t="s">
        <v>11404</v>
      </c>
      <c r="H12873" s="40" t="s">
        <v>11404</v>
      </c>
    </row>
    <row r="12874">
      <c r="A12874" s="39"/>
      <c r="E12874" s="40" t="s">
        <v>11404</v>
      </c>
      <c r="F12874" s="40" t="s">
        <v>11404</v>
      </c>
      <c r="G12874" s="40" t="s">
        <v>11404</v>
      </c>
      <c r="H12874" s="40" t="s">
        <v>11404</v>
      </c>
    </row>
    <row r="12875">
      <c r="A12875" s="39"/>
      <c r="E12875" s="40" t="s">
        <v>11404</v>
      </c>
      <c r="F12875" s="40" t="s">
        <v>11404</v>
      </c>
      <c r="G12875" s="40" t="s">
        <v>11404</v>
      </c>
      <c r="H12875" s="40" t="s">
        <v>11404</v>
      </c>
    </row>
    <row r="12876">
      <c r="A12876" s="39"/>
      <c r="E12876" s="40" t="s">
        <v>11404</v>
      </c>
      <c r="F12876" s="40" t="s">
        <v>11404</v>
      </c>
      <c r="G12876" s="40" t="s">
        <v>11404</v>
      </c>
      <c r="H12876" s="40" t="s">
        <v>11404</v>
      </c>
    </row>
    <row r="12877">
      <c r="A12877" s="39"/>
      <c r="E12877" s="40" t="s">
        <v>11404</v>
      </c>
      <c r="F12877" s="40" t="s">
        <v>11404</v>
      </c>
      <c r="G12877" s="40" t="s">
        <v>11404</v>
      </c>
      <c r="H12877" s="40" t="s">
        <v>11404</v>
      </c>
    </row>
    <row r="12878">
      <c r="A12878" s="39"/>
      <c r="E12878" s="40" t="s">
        <v>11404</v>
      </c>
      <c r="F12878" s="40" t="s">
        <v>11404</v>
      </c>
      <c r="G12878" s="40" t="s">
        <v>11404</v>
      </c>
      <c r="H12878" s="40" t="s">
        <v>11404</v>
      </c>
    </row>
    <row r="12879">
      <c r="A12879" s="39"/>
      <c r="E12879" s="40" t="s">
        <v>11404</v>
      </c>
      <c r="F12879" s="40" t="s">
        <v>11404</v>
      </c>
      <c r="G12879" s="40" t="s">
        <v>11404</v>
      </c>
      <c r="H12879" s="40" t="s">
        <v>11404</v>
      </c>
    </row>
    <row r="12880">
      <c r="A12880" s="39"/>
      <c r="E12880" s="40" t="s">
        <v>11404</v>
      </c>
      <c r="F12880" s="40" t="s">
        <v>11404</v>
      </c>
      <c r="G12880" s="40" t="s">
        <v>11404</v>
      </c>
      <c r="H12880" s="40" t="s">
        <v>11404</v>
      </c>
    </row>
    <row r="12881">
      <c r="A12881" s="39"/>
      <c r="E12881" s="40" t="s">
        <v>11404</v>
      </c>
      <c r="F12881" s="40" t="s">
        <v>11404</v>
      </c>
      <c r="G12881" s="40" t="s">
        <v>11404</v>
      </c>
      <c r="H12881" s="40" t="s">
        <v>11404</v>
      </c>
    </row>
    <row r="12882">
      <c r="A12882" s="39"/>
      <c r="E12882" s="40" t="s">
        <v>11404</v>
      </c>
      <c r="F12882" s="40" t="s">
        <v>11404</v>
      </c>
      <c r="G12882" s="40" t="s">
        <v>11404</v>
      </c>
      <c r="H12882" s="40" t="s">
        <v>11404</v>
      </c>
    </row>
    <row r="12883">
      <c r="A12883" s="39"/>
      <c r="E12883" s="40" t="s">
        <v>11404</v>
      </c>
      <c r="F12883" s="40" t="s">
        <v>11404</v>
      </c>
      <c r="G12883" s="40" t="s">
        <v>11404</v>
      </c>
      <c r="H12883" s="40" t="s">
        <v>11404</v>
      </c>
    </row>
    <row r="12884">
      <c r="A12884" s="39"/>
      <c r="E12884" s="40" t="s">
        <v>11404</v>
      </c>
      <c r="F12884" s="40" t="s">
        <v>11404</v>
      </c>
      <c r="G12884" s="40" t="s">
        <v>11404</v>
      </c>
      <c r="H12884" s="40" t="s">
        <v>11404</v>
      </c>
    </row>
    <row r="12885">
      <c r="A12885" s="39"/>
      <c r="E12885" s="40" t="s">
        <v>11404</v>
      </c>
      <c r="F12885" s="40" t="s">
        <v>11404</v>
      </c>
      <c r="G12885" s="40" t="s">
        <v>11404</v>
      </c>
      <c r="H12885" s="40" t="s">
        <v>11404</v>
      </c>
    </row>
    <row r="12886">
      <c r="A12886" s="39"/>
      <c r="E12886" s="40" t="s">
        <v>11404</v>
      </c>
      <c r="F12886" s="40" t="s">
        <v>11404</v>
      </c>
      <c r="G12886" s="40" t="s">
        <v>11404</v>
      </c>
      <c r="H12886" s="40" t="s">
        <v>11404</v>
      </c>
    </row>
    <row r="12887">
      <c r="A12887" s="39"/>
      <c r="E12887" s="40" t="s">
        <v>11404</v>
      </c>
      <c r="F12887" s="40" t="s">
        <v>11404</v>
      </c>
      <c r="G12887" s="40" t="s">
        <v>11404</v>
      </c>
      <c r="H12887" s="40" t="s">
        <v>11404</v>
      </c>
    </row>
    <row r="12888">
      <c r="A12888" s="39"/>
      <c r="E12888" s="40" t="s">
        <v>11404</v>
      </c>
      <c r="F12888" s="40" t="s">
        <v>11404</v>
      </c>
      <c r="G12888" s="40" t="s">
        <v>11404</v>
      </c>
      <c r="H12888" s="40" t="s">
        <v>11404</v>
      </c>
    </row>
    <row r="12889">
      <c r="A12889" s="39"/>
      <c r="E12889" s="40" t="s">
        <v>11404</v>
      </c>
      <c r="F12889" s="40" t="s">
        <v>11404</v>
      </c>
      <c r="G12889" s="40" t="s">
        <v>11404</v>
      </c>
      <c r="H12889" s="40" t="s">
        <v>11404</v>
      </c>
    </row>
    <row r="12890">
      <c r="A12890" s="39"/>
      <c r="E12890" s="40" t="s">
        <v>11404</v>
      </c>
      <c r="F12890" s="40" t="s">
        <v>11404</v>
      </c>
      <c r="G12890" s="40" t="s">
        <v>11404</v>
      </c>
      <c r="H12890" s="40" t="s">
        <v>11404</v>
      </c>
    </row>
    <row r="12891">
      <c r="A12891" s="39"/>
      <c r="E12891" s="40" t="s">
        <v>11404</v>
      </c>
      <c r="F12891" s="40" t="s">
        <v>11404</v>
      </c>
      <c r="G12891" s="40" t="s">
        <v>11404</v>
      </c>
      <c r="H12891" s="40" t="s">
        <v>11404</v>
      </c>
    </row>
    <row r="12892">
      <c r="A12892" s="39"/>
      <c r="E12892" s="40" t="s">
        <v>11404</v>
      </c>
      <c r="F12892" s="40" t="s">
        <v>11404</v>
      </c>
      <c r="G12892" s="40" t="s">
        <v>11404</v>
      </c>
      <c r="H12892" s="40" t="s">
        <v>11404</v>
      </c>
    </row>
    <row r="12893">
      <c r="A12893" s="39"/>
      <c r="E12893" s="40" t="s">
        <v>11404</v>
      </c>
      <c r="F12893" s="40" t="s">
        <v>11404</v>
      </c>
      <c r="G12893" s="40" t="s">
        <v>11404</v>
      </c>
      <c r="H12893" s="40" t="s">
        <v>11404</v>
      </c>
    </row>
    <row r="12894">
      <c r="A12894" s="39"/>
      <c r="E12894" s="40" t="s">
        <v>11404</v>
      </c>
      <c r="F12894" s="40" t="s">
        <v>11404</v>
      </c>
      <c r="G12894" s="40" t="s">
        <v>11404</v>
      </c>
      <c r="H12894" s="40" t="s">
        <v>11404</v>
      </c>
    </row>
    <row r="12895">
      <c r="A12895" s="39"/>
      <c r="E12895" s="40" t="s">
        <v>11404</v>
      </c>
      <c r="F12895" s="40" t="s">
        <v>11404</v>
      </c>
      <c r="G12895" s="40" t="s">
        <v>11404</v>
      </c>
      <c r="H12895" s="40" t="s">
        <v>11404</v>
      </c>
    </row>
    <row r="12896">
      <c r="A12896" s="39"/>
      <c r="E12896" s="40" t="s">
        <v>11404</v>
      </c>
      <c r="F12896" s="40" t="s">
        <v>11404</v>
      </c>
      <c r="G12896" s="40" t="s">
        <v>11404</v>
      </c>
      <c r="H12896" s="40" t="s">
        <v>11404</v>
      </c>
    </row>
    <row r="12897">
      <c r="A12897" s="39"/>
      <c r="E12897" s="40" t="s">
        <v>11404</v>
      </c>
      <c r="F12897" s="40" t="s">
        <v>11404</v>
      </c>
      <c r="G12897" s="40" t="s">
        <v>11404</v>
      </c>
      <c r="H12897" s="40" t="s">
        <v>11404</v>
      </c>
    </row>
    <row r="12898">
      <c r="A12898" s="39"/>
      <c r="E12898" s="40" t="s">
        <v>11404</v>
      </c>
      <c r="F12898" s="40" t="s">
        <v>11404</v>
      </c>
      <c r="G12898" s="40" t="s">
        <v>11404</v>
      </c>
      <c r="H12898" s="40" t="s">
        <v>11404</v>
      </c>
    </row>
    <row r="12899">
      <c r="A12899" s="39"/>
      <c r="E12899" s="40" t="s">
        <v>11404</v>
      </c>
      <c r="F12899" s="40" t="s">
        <v>11404</v>
      </c>
      <c r="G12899" s="40" t="s">
        <v>11404</v>
      </c>
      <c r="H12899" s="40" t="s">
        <v>11404</v>
      </c>
    </row>
    <row r="12900">
      <c r="A12900" s="39"/>
      <c r="E12900" s="40" t="s">
        <v>11404</v>
      </c>
      <c r="F12900" s="40" t="s">
        <v>11404</v>
      </c>
      <c r="G12900" s="40" t="s">
        <v>11404</v>
      </c>
      <c r="H12900" s="40" t="s">
        <v>11404</v>
      </c>
    </row>
    <row r="12901">
      <c r="A12901" s="39"/>
      <c r="E12901" s="40" t="s">
        <v>11404</v>
      </c>
      <c r="F12901" s="40" t="s">
        <v>11404</v>
      </c>
      <c r="G12901" s="40" t="s">
        <v>11404</v>
      </c>
      <c r="H12901" s="40" t="s">
        <v>11404</v>
      </c>
    </row>
    <row r="12902">
      <c r="A12902" s="39"/>
      <c r="E12902" s="40" t="s">
        <v>11404</v>
      </c>
      <c r="F12902" s="40" t="s">
        <v>11404</v>
      </c>
      <c r="G12902" s="40" t="s">
        <v>11404</v>
      </c>
      <c r="H12902" s="40" t="s">
        <v>11404</v>
      </c>
    </row>
    <row r="12903">
      <c r="A12903" s="39"/>
      <c r="E12903" s="40" t="s">
        <v>11404</v>
      </c>
      <c r="F12903" s="40" t="s">
        <v>11404</v>
      </c>
      <c r="G12903" s="40" t="s">
        <v>11404</v>
      </c>
      <c r="H12903" s="40" t="s">
        <v>11404</v>
      </c>
    </row>
    <row r="12904">
      <c r="A12904" s="39"/>
      <c r="E12904" s="40" t="s">
        <v>11404</v>
      </c>
      <c r="F12904" s="40" t="s">
        <v>11404</v>
      </c>
      <c r="G12904" s="40" t="s">
        <v>11404</v>
      </c>
      <c r="H12904" s="40" t="s">
        <v>11404</v>
      </c>
    </row>
    <row r="12905">
      <c r="A12905" s="39"/>
      <c r="E12905" s="40" t="s">
        <v>11404</v>
      </c>
      <c r="F12905" s="40" t="s">
        <v>11404</v>
      </c>
      <c r="G12905" s="40" t="s">
        <v>11404</v>
      </c>
      <c r="H12905" s="40" t="s">
        <v>11404</v>
      </c>
    </row>
    <row r="12906">
      <c r="A12906" s="39"/>
      <c r="E12906" s="40" t="s">
        <v>11404</v>
      </c>
      <c r="F12906" s="40" t="s">
        <v>11404</v>
      </c>
      <c r="G12906" s="40" t="s">
        <v>11404</v>
      </c>
      <c r="H12906" s="40" t="s">
        <v>11404</v>
      </c>
    </row>
    <row r="12907">
      <c r="A12907" s="39"/>
      <c r="E12907" s="40" t="s">
        <v>11404</v>
      </c>
      <c r="F12907" s="40" t="s">
        <v>11404</v>
      </c>
      <c r="G12907" s="40" t="s">
        <v>11404</v>
      </c>
      <c r="H12907" s="40" t="s">
        <v>11404</v>
      </c>
    </row>
    <row r="12908">
      <c r="A12908" s="39"/>
      <c r="E12908" s="40" t="s">
        <v>11404</v>
      </c>
      <c r="F12908" s="40" t="s">
        <v>11404</v>
      </c>
      <c r="G12908" s="40" t="s">
        <v>11404</v>
      </c>
      <c r="H12908" s="40" t="s">
        <v>11404</v>
      </c>
    </row>
    <row r="12909">
      <c r="A12909" s="39"/>
      <c r="E12909" s="40" t="s">
        <v>11404</v>
      </c>
      <c r="F12909" s="40" t="s">
        <v>11404</v>
      </c>
      <c r="G12909" s="40" t="s">
        <v>11404</v>
      </c>
      <c r="H12909" s="40" t="s">
        <v>11404</v>
      </c>
    </row>
    <row r="12910">
      <c r="A12910" s="39"/>
      <c r="E12910" s="40" t="s">
        <v>11404</v>
      </c>
      <c r="F12910" s="40" t="s">
        <v>11404</v>
      </c>
      <c r="G12910" s="40" t="s">
        <v>11404</v>
      </c>
      <c r="H12910" s="40" t="s">
        <v>11404</v>
      </c>
    </row>
    <row r="12911">
      <c r="A12911" s="39"/>
      <c r="E12911" s="40" t="s">
        <v>11404</v>
      </c>
      <c r="F12911" s="40" t="s">
        <v>11404</v>
      </c>
      <c r="G12911" s="40" t="s">
        <v>11404</v>
      </c>
      <c r="H12911" s="40" t="s">
        <v>11404</v>
      </c>
    </row>
    <row r="12912">
      <c r="A12912" s="39"/>
      <c r="E12912" s="40" t="s">
        <v>11404</v>
      </c>
      <c r="F12912" s="40" t="s">
        <v>11404</v>
      </c>
      <c r="G12912" s="40" t="s">
        <v>11404</v>
      </c>
      <c r="H12912" s="40" t="s">
        <v>11404</v>
      </c>
    </row>
    <row r="12913">
      <c r="A12913" s="39"/>
      <c r="E12913" s="40" t="s">
        <v>11404</v>
      </c>
      <c r="F12913" s="40" t="s">
        <v>11404</v>
      </c>
      <c r="G12913" s="40" t="s">
        <v>11404</v>
      </c>
      <c r="H12913" s="40" t="s">
        <v>11404</v>
      </c>
    </row>
    <row r="12914">
      <c r="A12914" s="39"/>
      <c r="E12914" s="40" t="s">
        <v>11404</v>
      </c>
      <c r="F12914" s="40" t="s">
        <v>11404</v>
      </c>
      <c r="G12914" s="40" t="s">
        <v>11404</v>
      </c>
      <c r="H12914" s="40" t="s">
        <v>11404</v>
      </c>
    </row>
    <row r="12915">
      <c r="A12915" s="39"/>
      <c r="E12915" s="40" t="s">
        <v>11404</v>
      </c>
      <c r="F12915" s="40" t="s">
        <v>11404</v>
      </c>
      <c r="G12915" s="40" t="s">
        <v>11404</v>
      </c>
      <c r="H12915" s="40" t="s">
        <v>11404</v>
      </c>
    </row>
    <row r="12916">
      <c r="A12916" s="39"/>
      <c r="E12916" s="40" t="s">
        <v>11404</v>
      </c>
      <c r="F12916" s="40" t="s">
        <v>11404</v>
      </c>
      <c r="G12916" s="40" t="s">
        <v>11404</v>
      </c>
      <c r="H12916" s="40" t="s">
        <v>11404</v>
      </c>
    </row>
    <row r="12917">
      <c r="A12917" s="39"/>
      <c r="E12917" s="40" t="s">
        <v>11404</v>
      </c>
      <c r="F12917" s="40" t="s">
        <v>11404</v>
      </c>
      <c r="G12917" s="40" t="s">
        <v>11404</v>
      </c>
      <c r="H12917" s="40" t="s">
        <v>11404</v>
      </c>
    </row>
    <row r="12918">
      <c r="A12918" s="39"/>
      <c r="E12918" s="40" t="s">
        <v>11404</v>
      </c>
      <c r="F12918" s="40" t="s">
        <v>11404</v>
      </c>
      <c r="G12918" s="40" t="s">
        <v>11404</v>
      </c>
      <c r="H12918" s="40" t="s">
        <v>11404</v>
      </c>
    </row>
    <row r="12919">
      <c r="A12919" s="39"/>
      <c r="E12919" s="40" t="s">
        <v>11404</v>
      </c>
      <c r="F12919" s="40" t="s">
        <v>11404</v>
      </c>
      <c r="G12919" s="40" t="s">
        <v>11404</v>
      </c>
      <c r="H12919" s="40" t="s">
        <v>11404</v>
      </c>
    </row>
    <row r="12920">
      <c r="A12920" s="39"/>
      <c r="E12920" s="40" t="s">
        <v>11404</v>
      </c>
      <c r="F12920" s="40" t="s">
        <v>11404</v>
      </c>
      <c r="G12920" s="40" t="s">
        <v>11404</v>
      </c>
      <c r="H12920" s="40" t="s">
        <v>11404</v>
      </c>
    </row>
    <row r="12921">
      <c r="A12921" s="39"/>
      <c r="E12921" s="40" t="s">
        <v>11404</v>
      </c>
      <c r="F12921" s="40" t="s">
        <v>11404</v>
      </c>
      <c r="G12921" s="40" t="s">
        <v>11404</v>
      </c>
      <c r="H12921" s="40" t="s">
        <v>11404</v>
      </c>
    </row>
    <row r="12922">
      <c r="A12922" s="39"/>
      <c r="E12922" s="40" t="s">
        <v>11404</v>
      </c>
      <c r="F12922" s="40" t="s">
        <v>11404</v>
      </c>
      <c r="G12922" s="40" t="s">
        <v>11404</v>
      </c>
      <c r="H12922" s="40" t="s">
        <v>11404</v>
      </c>
    </row>
    <row r="12923">
      <c r="A12923" s="39"/>
      <c r="E12923" s="40" t="s">
        <v>11404</v>
      </c>
      <c r="F12923" s="40" t="s">
        <v>11404</v>
      </c>
      <c r="G12923" s="40" t="s">
        <v>11404</v>
      </c>
      <c r="H12923" s="40" t="s">
        <v>11404</v>
      </c>
    </row>
    <row r="12924">
      <c r="A12924" s="39"/>
      <c r="E12924" s="40" t="s">
        <v>11404</v>
      </c>
      <c r="F12924" s="40" t="s">
        <v>11404</v>
      </c>
      <c r="G12924" s="40" t="s">
        <v>11404</v>
      </c>
      <c r="H12924" s="40" t="s">
        <v>11404</v>
      </c>
    </row>
    <row r="12925">
      <c r="A12925" s="39"/>
      <c r="E12925" s="40" t="s">
        <v>11404</v>
      </c>
      <c r="F12925" s="40" t="s">
        <v>11404</v>
      </c>
      <c r="G12925" s="40" t="s">
        <v>11404</v>
      </c>
      <c r="H12925" s="40" t="s">
        <v>11404</v>
      </c>
    </row>
    <row r="12926">
      <c r="A12926" s="39"/>
      <c r="E12926" s="40" t="s">
        <v>11404</v>
      </c>
      <c r="F12926" s="40" t="s">
        <v>11404</v>
      </c>
      <c r="G12926" s="40" t="s">
        <v>11404</v>
      </c>
      <c r="H12926" s="40" t="s">
        <v>11404</v>
      </c>
    </row>
    <row r="12927">
      <c r="A12927" s="39"/>
      <c r="E12927" s="40" t="s">
        <v>11404</v>
      </c>
      <c r="F12927" s="40" t="s">
        <v>11404</v>
      </c>
      <c r="G12927" s="40" t="s">
        <v>11404</v>
      </c>
      <c r="H12927" s="40" t="s">
        <v>11404</v>
      </c>
    </row>
    <row r="12928">
      <c r="A12928" s="39"/>
      <c r="E12928" s="40" t="s">
        <v>11404</v>
      </c>
      <c r="F12928" s="40" t="s">
        <v>11404</v>
      </c>
      <c r="G12928" s="40" t="s">
        <v>11404</v>
      </c>
      <c r="H12928" s="40" t="s">
        <v>11404</v>
      </c>
    </row>
    <row r="12929">
      <c r="A12929" s="39"/>
      <c r="E12929" s="40" t="s">
        <v>11404</v>
      </c>
      <c r="F12929" s="40" t="s">
        <v>11404</v>
      </c>
      <c r="G12929" s="40" t="s">
        <v>11404</v>
      </c>
      <c r="H12929" s="40" t="s">
        <v>11404</v>
      </c>
    </row>
    <row r="12930">
      <c r="A12930" s="39"/>
      <c r="E12930" s="40" t="s">
        <v>11404</v>
      </c>
      <c r="F12930" s="40" t="s">
        <v>11404</v>
      </c>
      <c r="G12930" s="40" t="s">
        <v>11404</v>
      </c>
      <c r="H12930" s="40" t="s">
        <v>11404</v>
      </c>
    </row>
    <row r="12931">
      <c r="A12931" s="39"/>
      <c r="E12931" s="40" t="s">
        <v>11404</v>
      </c>
      <c r="F12931" s="40" t="s">
        <v>11404</v>
      </c>
      <c r="G12931" s="40" t="s">
        <v>11404</v>
      </c>
      <c r="H12931" s="40" t="s">
        <v>11404</v>
      </c>
    </row>
    <row r="12932">
      <c r="A12932" s="39"/>
      <c r="E12932" s="40" t="s">
        <v>11404</v>
      </c>
      <c r="F12932" s="40" t="s">
        <v>11404</v>
      </c>
      <c r="G12932" s="40" t="s">
        <v>11404</v>
      </c>
      <c r="H12932" s="40" t="s">
        <v>11404</v>
      </c>
    </row>
    <row r="12933">
      <c r="A12933" s="39"/>
      <c r="E12933" s="40" t="s">
        <v>11404</v>
      </c>
      <c r="F12933" s="40" t="s">
        <v>11404</v>
      </c>
      <c r="G12933" s="40" t="s">
        <v>11404</v>
      </c>
      <c r="H12933" s="40" t="s">
        <v>11404</v>
      </c>
    </row>
    <row r="12934">
      <c r="A12934" s="39"/>
      <c r="E12934" s="40" t="s">
        <v>11404</v>
      </c>
      <c r="F12934" s="40" t="s">
        <v>11404</v>
      </c>
      <c r="G12934" s="40" t="s">
        <v>11404</v>
      </c>
      <c r="H12934" s="40" t="s">
        <v>11404</v>
      </c>
    </row>
    <row r="12935">
      <c r="A12935" s="39"/>
      <c r="E12935" s="40" t="s">
        <v>11404</v>
      </c>
      <c r="F12935" s="40" t="s">
        <v>11404</v>
      </c>
      <c r="G12935" s="40" t="s">
        <v>11404</v>
      </c>
      <c r="H12935" s="40" t="s">
        <v>11404</v>
      </c>
    </row>
    <row r="12936">
      <c r="A12936" s="39"/>
      <c r="E12936" s="40" t="s">
        <v>11404</v>
      </c>
      <c r="F12936" s="40" t="s">
        <v>11404</v>
      </c>
      <c r="G12936" s="40" t="s">
        <v>11404</v>
      </c>
      <c r="H12936" s="40" t="s">
        <v>11404</v>
      </c>
    </row>
    <row r="12937">
      <c r="A12937" s="39"/>
      <c r="E12937" s="40" t="s">
        <v>11404</v>
      </c>
      <c r="F12937" s="40" t="s">
        <v>11404</v>
      </c>
      <c r="G12937" s="40" t="s">
        <v>11404</v>
      </c>
      <c r="H12937" s="40" t="s">
        <v>11404</v>
      </c>
    </row>
    <row r="12938">
      <c r="A12938" s="39"/>
      <c r="E12938" s="40" t="s">
        <v>11404</v>
      </c>
      <c r="F12938" s="40" t="s">
        <v>11404</v>
      </c>
      <c r="G12938" s="40" t="s">
        <v>11404</v>
      </c>
      <c r="H12938" s="40" t="s">
        <v>11404</v>
      </c>
    </row>
    <row r="12939">
      <c r="A12939" s="39"/>
      <c r="E12939" s="40" t="s">
        <v>11404</v>
      </c>
      <c r="F12939" s="40" t="s">
        <v>11404</v>
      </c>
      <c r="G12939" s="40" t="s">
        <v>11404</v>
      </c>
      <c r="H12939" s="40" t="s">
        <v>11404</v>
      </c>
    </row>
    <row r="12940">
      <c r="A12940" s="39"/>
      <c r="E12940" s="40" t="s">
        <v>11404</v>
      </c>
      <c r="F12940" s="40" t="s">
        <v>11404</v>
      </c>
      <c r="G12940" s="40" t="s">
        <v>11404</v>
      </c>
      <c r="H12940" s="40" t="s">
        <v>11404</v>
      </c>
    </row>
    <row r="12941">
      <c r="A12941" s="39"/>
      <c r="E12941" s="40" t="s">
        <v>11404</v>
      </c>
      <c r="F12941" s="40" t="s">
        <v>11404</v>
      </c>
      <c r="G12941" s="40" t="s">
        <v>11404</v>
      </c>
      <c r="H12941" s="40" t="s">
        <v>11404</v>
      </c>
    </row>
    <row r="12942">
      <c r="A12942" s="39"/>
      <c r="E12942" s="40" t="s">
        <v>11404</v>
      </c>
      <c r="F12942" s="40" t="s">
        <v>11404</v>
      </c>
      <c r="G12942" s="40" t="s">
        <v>11404</v>
      </c>
      <c r="H12942" s="40" t="s">
        <v>11404</v>
      </c>
    </row>
    <row r="12943">
      <c r="A12943" s="39"/>
      <c r="E12943" s="40" t="s">
        <v>11404</v>
      </c>
      <c r="F12943" s="40" t="s">
        <v>11404</v>
      </c>
      <c r="G12943" s="40" t="s">
        <v>11404</v>
      </c>
      <c r="H12943" s="40" t="s">
        <v>11404</v>
      </c>
    </row>
    <row r="12944">
      <c r="A12944" s="39"/>
      <c r="E12944" s="40" t="s">
        <v>11404</v>
      </c>
      <c r="F12944" s="40" t="s">
        <v>11404</v>
      </c>
      <c r="G12944" s="40" t="s">
        <v>11404</v>
      </c>
      <c r="H12944" s="40" t="s">
        <v>11404</v>
      </c>
    </row>
    <row r="12945">
      <c r="A12945" s="39"/>
      <c r="E12945" s="40" t="s">
        <v>11404</v>
      </c>
      <c r="F12945" s="40" t="s">
        <v>11404</v>
      </c>
      <c r="G12945" s="40" t="s">
        <v>11404</v>
      </c>
      <c r="H12945" s="40" t="s">
        <v>11404</v>
      </c>
    </row>
    <row r="12946">
      <c r="A12946" s="39"/>
      <c r="E12946" s="40" t="s">
        <v>11404</v>
      </c>
      <c r="F12946" s="40" t="s">
        <v>11404</v>
      </c>
      <c r="G12946" s="40" t="s">
        <v>11404</v>
      </c>
      <c r="H12946" s="40" t="s">
        <v>11404</v>
      </c>
    </row>
    <row r="12947">
      <c r="A12947" s="39"/>
      <c r="E12947" s="40" t="s">
        <v>11404</v>
      </c>
      <c r="F12947" s="40" t="s">
        <v>11404</v>
      </c>
      <c r="G12947" s="40" t="s">
        <v>11404</v>
      </c>
      <c r="H12947" s="40" t="s">
        <v>11404</v>
      </c>
    </row>
    <row r="12948">
      <c r="A12948" s="39"/>
      <c r="E12948" s="40" t="s">
        <v>11404</v>
      </c>
      <c r="F12948" s="40" t="s">
        <v>11404</v>
      </c>
      <c r="G12948" s="40" t="s">
        <v>11404</v>
      </c>
      <c r="H12948" s="40" t="s">
        <v>11404</v>
      </c>
    </row>
    <row r="12949">
      <c r="A12949" s="39"/>
      <c r="E12949" s="40" t="s">
        <v>11404</v>
      </c>
      <c r="F12949" s="40" t="s">
        <v>11404</v>
      </c>
      <c r="G12949" s="40" t="s">
        <v>11404</v>
      </c>
      <c r="H12949" s="40" t="s">
        <v>11404</v>
      </c>
    </row>
    <row r="12950">
      <c r="A12950" s="39"/>
      <c r="E12950" s="40" t="s">
        <v>11404</v>
      </c>
      <c r="F12950" s="40" t="s">
        <v>11404</v>
      </c>
      <c r="G12950" s="40" t="s">
        <v>11404</v>
      </c>
      <c r="H12950" s="40" t="s">
        <v>11404</v>
      </c>
    </row>
    <row r="12951">
      <c r="A12951" s="39"/>
      <c r="E12951" s="40" t="s">
        <v>11404</v>
      </c>
      <c r="F12951" s="40" t="s">
        <v>11404</v>
      </c>
      <c r="G12951" s="40" t="s">
        <v>11404</v>
      </c>
      <c r="H12951" s="40" t="s">
        <v>11404</v>
      </c>
    </row>
    <row r="12952">
      <c r="A12952" s="39"/>
      <c r="E12952" s="40" t="s">
        <v>11404</v>
      </c>
      <c r="F12952" s="40" t="s">
        <v>11404</v>
      </c>
      <c r="G12952" s="40" t="s">
        <v>11404</v>
      </c>
      <c r="H12952" s="40" t="s">
        <v>11404</v>
      </c>
    </row>
    <row r="12953">
      <c r="A12953" s="39"/>
      <c r="E12953" s="40" t="s">
        <v>11404</v>
      </c>
      <c r="F12953" s="40" t="s">
        <v>11404</v>
      </c>
      <c r="G12953" s="40" t="s">
        <v>11404</v>
      </c>
      <c r="H12953" s="40" t="s">
        <v>11404</v>
      </c>
    </row>
    <row r="12954">
      <c r="A12954" s="39"/>
      <c r="E12954" s="40" t="s">
        <v>11404</v>
      </c>
      <c r="F12954" s="40" t="s">
        <v>11404</v>
      </c>
      <c r="G12954" s="40" t="s">
        <v>11404</v>
      </c>
      <c r="H12954" s="40" t="s">
        <v>11404</v>
      </c>
    </row>
    <row r="12955">
      <c r="A12955" s="39"/>
      <c r="E12955" s="40" t="s">
        <v>11404</v>
      </c>
      <c r="F12955" s="40" t="s">
        <v>11404</v>
      </c>
      <c r="G12955" s="40" t="s">
        <v>11404</v>
      </c>
      <c r="H12955" s="40" t="s">
        <v>11404</v>
      </c>
    </row>
    <row r="12956">
      <c r="A12956" s="39"/>
      <c r="E12956" s="40" t="s">
        <v>11404</v>
      </c>
      <c r="F12956" s="40" t="s">
        <v>11404</v>
      </c>
      <c r="G12956" s="40" t="s">
        <v>11404</v>
      </c>
      <c r="H12956" s="40" t="s">
        <v>11404</v>
      </c>
    </row>
    <row r="12957">
      <c r="A12957" s="39"/>
      <c r="E12957" s="40" t="s">
        <v>11404</v>
      </c>
      <c r="F12957" s="40" t="s">
        <v>11404</v>
      </c>
      <c r="G12957" s="40" t="s">
        <v>11404</v>
      </c>
      <c r="H12957" s="40" t="s">
        <v>11404</v>
      </c>
    </row>
    <row r="12958">
      <c r="A12958" s="39"/>
      <c r="E12958" s="40" t="s">
        <v>11404</v>
      </c>
      <c r="F12958" s="40" t="s">
        <v>11404</v>
      </c>
      <c r="G12958" s="40" t="s">
        <v>11404</v>
      </c>
      <c r="H12958" s="40" t="s">
        <v>11404</v>
      </c>
    </row>
    <row r="12959">
      <c r="A12959" s="39"/>
      <c r="E12959" s="40" t="s">
        <v>11404</v>
      </c>
      <c r="F12959" s="40" t="s">
        <v>11404</v>
      </c>
      <c r="G12959" s="40" t="s">
        <v>11404</v>
      </c>
      <c r="H12959" s="40" t="s">
        <v>11404</v>
      </c>
    </row>
    <row r="12960">
      <c r="A12960" s="39"/>
      <c r="E12960" s="40" t="s">
        <v>11404</v>
      </c>
      <c r="F12960" s="40" t="s">
        <v>11404</v>
      </c>
      <c r="G12960" s="40" t="s">
        <v>11404</v>
      </c>
      <c r="H12960" s="40" t="s">
        <v>11404</v>
      </c>
    </row>
    <row r="12961">
      <c r="A12961" s="39"/>
      <c r="E12961" s="40" t="s">
        <v>11404</v>
      </c>
      <c r="F12961" s="40" t="s">
        <v>11404</v>
      </c>
      <c r="G12961" s="40" t="s">
        <v>11404</v>
      </c>
      <c r="H12961" s="40" t="s">
        <v>11404</v>
      </c>
    </row>
    <row r="12962">
      <c r="A12962" s="39"/>
      <c r="E12962" s="40" t="s">
        <v>11404</v>
      </c>
      <c r="F12962" s="40" t="s">
        <v>11404</v>
      </c>
      <c r="G12962" s="40" t="s">
        <v>11404</v>
      </c>
      <c r="H12962" s="40" t="s">
        <v>11404</v>
      </c>
    </row>
    <row r="12963">
      <c r="A12963" s="39"/>
      <c r="E12963" s="40" t="s">
        <v>11404</v>
      </c>
      <c r="F12963" s="40" t="s">
        <v>11404</v>
      </c>
      <c r="G12963" s="40" t="s">
        <v>11404</v>
      </c>
      <c r="H12963" s="40" t="s">
        <v>11404</v>
      </c>
    </row>
    <row r="12964">
      <c r="A12964" s="39"/>
      <c r="E12964" s="40" t="s">
        <v>11404</v>
      </c>
      <c r="F12964" s="40" t="s">
        <v>11404</v>
      </c>
      <c r="G12964" s="40" t="s">
        <v>11404</v>
      </c>
      <c r="H12964" s="40" t="s">
        <v>11404</v>
      </c>
    </row>
    <row r="12965">
      <c r="A12965" s="39"/>
      <c r="E12965" s="40" t="s">
        <v>11404</v>
      </c>
      <c r="F12965" s="40" t="s">
        <v>11404</v>
      </c>
      <c r="G12965" s="40" t="s">
        <v>11404</v>
      </c>
      <c r="H12965" s="40" t="s">
        <v>11404</v>
      </c>
    </row>
    <row r="12966">
      <c r="A12966" s="39"/>
      <c r="E12966" s="40" t="s">
        <v>11404</v>
      </c>
      <c r="F12966" s="40" t="s">
        <v>11404</v>
      </c>
      <c r="G12966" s="40" t="s">
        <v>11404</v>
      </c>
      <c r="H12966" s="40" t="s">
        <v>11404</v>
      </c>
    </row>
    <row r="12967">
      <c r="A12967" s="39"/>
      <c r="E12967" s="40" t="s">
        <v>11404</v>
      </c>
      <c r="F12967" s="40" t="s">
        <v>11404</v>
      </c>
      <c r="G12967" s="40" t="s">
        <v>11404</v>
      </c>
      <c r="H12967" s="40" t="s">
        <v>11404</v>
      </c>
    </row>
    <row r="12968">
      <c r="A12968" s="39"/>
      <c r="E12968" s="40" t="s">
        <v>11404</v>
      </c>
      <c r="F12968" s="40" t="s">
        <v>11404</v>
      </c>
      <c r="G12968" s="40" t="s">
        <v>11404</v>
      </c>
      <c r="H12968" s="40" t="s">
        <v>11404</v>
      </c>
    </row>
    <row r="12969">
      <c r="A12969" s="39"/>
      <c r="E12969" s="40" t="s">
        <v>11404</v>
      </c>
      <c r="F12969" s="40" t="s">
        <v>11404</v>
      </c>
      <c r="G12969" s="40" t="s">
        <v>11404</v>
      </c>
      <c r="H12969" s="40" t="s">
        <v>11404</v>
      </c>
    </row>
    <row r="12970">
      <c r="A12970" s="39"/>
      <c r="E12970" s="40" t="s">
        <v>11404</v>
      </c>
      <c r="F12970" s="40" t="s">
        <v>11404</v>
      </c>
      <c r="G12970" s="40" t="s">
        <v>11404</v>
      </c>
      <c r="H12970" s="40" t="s">
        <v>11404</v>
      </c>
    </row>
    <row r="12971">
      <c r="A12971" s="39"/>
      <c r="E12971" s="40" t="s">
        <v>11404</v>
      </c>
      <c r="F12971" s="40" t="s">
        <v>11404</v>
      </c>
      <c r="G12971" s="40" t="s">
        <v>11404</v>
      </c>
      <c r="H12971" s="40" t="s">
        <v>11404</v>
      </c>
    </row>
    <row r="12972">
      <c r="A12972" s="39"/>
      <c r="E12972" s="40" t="s">
        <v>11404</v>
      </c>
      <c r="F12972" s="40" t="s">
        <v>11404</v>
      </c>
      <c r="G12972" s="40" t="s">
        <v>11404</v>
      </c>
      <c r="H12972" s="40" t="s">
        <v>11404</v>
      </c>
    </row>
    <row r="12973">
      <c r="A12973" s="39"/>
      <c r="E12973" s="40" t="s">
        <v>11404</v>
      </c>
      <c r="F12973" s="40" t="s">
        <v>11404</v>
      </c>
      <c r="G12973" s="40" t="s">
        <v>11404</v>
      </c>
      <c r="H12973" s="40" t="s">
        <v>11404</v>
      </c>
    </row>
    <row r="12974">
      <c r="A12974" s="39"/>
      <c r="E12974" s="40" t="s">
        <v>11404</v>
      </c>
      <c r="F12974" s="40" t="s">
        <v>11404</v>
      </c>
      <c r="G12974" s="40" t="s">
        <v>11404</v>
      </c>
      <c r="H12974" s="40" t="s">
        <v>11404</v>
      </c>
    </row>
    <row r="12975">
      <c r="A12975" s="39"/>
      <c r="E12975" s="40" t="s">
        <v>11404</v>
      </c>
      <c r="F12975" s="40" t="s">
        <v>11404</v>
      </c>
      <c r="G12975" s="40" t="s">
        <v>11404</v>
      </c>
      <c r="H12975" s="40" t="s">
        <v>11404</v>
      </c>
    </row>
    <row r="12976">
      <c r="A12976" s="39"/>
      <c r="E12976" s="40" t="s">
        <v>11404</v>
      </c>
      <c r="F12976" s="40" t="s">
        <v>11404</v>
      </c>
      <c r="G12976" s="40" t="s">
        <v>11404</v>
      </c>
      <c r="H12976" s="40" t="s">
        <v>11404</v>
      </c>
    </row>
    <row r="12977">
      <c r="A12977" s="39"/>
      <c r="E12977" s="40" t="s">
        <v>11404</v>
      </c>
      <c r="F12977" s="40" t="s">
        <v>11404</v>
      </c>
      <c r="G12977" s="40" t="s">
        <v>11404</v>
      </c>
      <c r="H12977" s="40" t="s">
        <v>11404</v>
      </c>
    </row>
    <row r="12978">
      <c r="A12978" s="39"/>
      <c r="E12978" s="40" t="s">
        <v>11404</v>
      </c>
      <c r="F12978" s="40" t="s">
        <v>11404</v>
      </c>
      <c r="G12978" s="40" t="s">
        <v>11404</v>
      </c>
      <c r="H12978" s="40" t="s">
        <v>11404</v>
      </c>
    </row>
    <row r="12979">
      <c r="A12979" s="39"/>
      <c r="E12979" s="40" t="s">
        <v>11404</v>
      </c>
      <c r="F12979" s="40" t="s">
        <v>11404</v>
      </c>
      <c r="G12979" s="40" t="s">
        <v>11404</v>
      </c>
      <c r="H12979" s="40" t="s">
        <v>11404</v>
      </c>
    </row>
    <row r="12980">
      <c r="A12980" s="39"/>
      <c r="E12980" s="40" t="s">
        <v>11404</v>
      </c>
      <c r="F12980" s="40" t="s">
        <v>11404</v>
      </c>
      <c r="G12980" s="40" t="s">
        <v>11404</v>
      </c>
      <c r="H12980" s="40" t="s">
        <v>11404</v>
      </c>
    </row>
    <row r="12981">
      <c r="A12981" s="39"/>
      <c r="E12981" s="40" t="s">
        <v>11404</v>
      </c>
      <c r="F12981" s="40" t="s">
        <v>11404</v>
      </c>
      <c r="G12981" s="40" t="s">
        <v>11404</v>
      </c>
      <c r="H12981" s="40" t="s">
        <v>11404</v>
      </c>
    </row>
    <row r="12982">
      <c r="A12982" s="39"/>
      <c r="E12982" s="40" t="s">
        <v>11404</v>
      </c>
      <c r="F12982" s="40" t="s">
        <v>11404</v>
      </c>
      <c r="G12982" s="40" t="s">
        <v>11404</v>
      </c>
      <c r="H12982" s="40" t="s">
        <v>11404</v>
      </c>
    </row>
    <row r="12983">
      <c r="A12983" s="39"/>
      <c r="E12983" s="40" t="s">
        <v>11404</v>
      </c>
      <c r="F12983" s="40" t="s">
        <v>11404</v>
      </c>
      <c r="G12983" s="40" t="s">
        <v>11404</v>
      </c>
      <c r="H12983" s="40" t="s">
        <v>11404</v>
      </c>
    </row>
    <row r="12984">
      <c r="A12984" s="39"/>
      <c r="E12984" s="40" t="s">
        <v>11404</v>
      </c>
      <c r="F12984" s="40" t="s">
        <v>11404</v>
      </c>
      <c r="G12984" s="40" t="s">
        <v>11404</v>
      </c>
      <c r="H12984" s="40" t="s">
        <v>11404</v>
      </c>
    </row>
    <row r="12985">
      <c r="A12985" s="39"/>
      <c r="E12985" s="40" t="s">
        <v>11404</v>
      </c>
      <c r="F12985" s="40" t="s">
        <v>11404</v>
      </c>
      <c r="G12985" s="40" t="s">
        <v>11404</v>
      </c>
      <c r="H12985" s="40" t="s">
        <v>11404</v>
      </c>
    </row>
    <row r="12986">
      <c r="A12986" s="39"/>
      <c r="E12986" s="40" t="s">
        <v>11404</v>
      </c>
      <c r="F12986" s="40" t="s">
        <v>11404</v>
      </c>
      <c r="G12986" s="40" t="s">
        <v>11404</v>
      </c>
      <c r="H12986" s="40" t="s">
        <v>11404</v>
      </c>
    </row>
    <row r="12987">
      <c r="A12987" s="39"/>
      <c r="E12987" s="40" t="s">
        <v>11404</v>
      </c>
      <c r="F12987" s="40" t="s">
        <v>11404</v>
      </c>
      <c r="G12987" s="40" t="s">
        <v>11404</v>
      </c>
      <c r="H12987" s="40" t="s">
        <v>11404</v>
      </c>
    </row>
    <row r="12988">
      <c r="A12988" s="39"/>
      <c r="E12988" s="40" t="s">
        <v>11404</v>
      </c>
      <c r="F12988" s="40" t="s">
        <v>11404</v>
      </c>
      <c r="G12988" s="40" t="s">
        <v>11404</v>
      </c>
      <c r="H12988" s="40" t="s">
        <v>11404</v>
      </c>
    </row>
    <row r="12989">
      <c r="A12989" s="39"/>
      <c r="E12989" s="40" t="s">
        <v>11404</v>
      </c>
      <c r="F12989" s="40" t="s">
        <v>11404</v>
      </c>
      <c r="G12989" s="40" t="s">
        <v>11404</v>
      </c>
      <c r="H12989" s="40" t="s">
        <v>11404</v>
      </c>
    </row>
    <row r="12990">
      <c r="A12990" s="39"/>
      <c r="E12990" s="40" t="s">
        <v>11404</v>
      </c>
      <c r="F12990" s="40" t="s">
        <v>11404</v>
      </c>
      <c r="G12990" s="40" t="s">
        <v>11404</v>
      </c>
      <c r="H12990" s="40" t="s">
        <v>11404</v>
      </c>
    </row>
    <row r="12991">
      <c r="A12991" s="39"/>
      <c r="E12991" s="40" t="s">
        <v>11404</v>
      </c>
      <c r="F12991" s="40" t="s">
        <v>11404</v>
      </c>
      <c r="G12991" s="40" t="s">
        <v>11404</v>
      </c>
      <c r="H12991" s="40" t="s">
        <v>11404</v>
      </c>
    </row>
    <row r="12992">
      <c r="A12992" s="39"/>
      <c r="E12992" s="40" t="s">
        <v>11404</v>
      </c>
      <c r="F12992" s="40" t="s">
        <v>11404</v>
      </c>
      <c r="G12992" s="40" t="s">
        <v>11404</v>
      </c>
      <c r="H12992" s="40" t="s">
        <v>11404</v>
      </c>
    </row>
    <row r="12993">
      <c r="A12993" s="39"/>
      <c r="E12993" s="40" t="s">
        <v>11404</v>
      </c>
      <c r="F12993" s="40" t="s">
        <v>11404</v>
      </c>
      <c r="G12993" s="40" t="s">
        <v>11404</v>
      </c>
      <c r="H12993" s="40" t="s">
        <v>11404</v>
      </c>
    </row>
    <row r="12994">
      <c r="A12994" s="39"/>
      <c r="E12994" s="40" t="s">
        <v>11404</v>
      </c>
      <c r="F12994" s="40" t="s">
        <v>11404</v>
      </c>
      <c r="G12994" s="40" t="s">
        <v>11404</v>
      </c>
      <c r="H12994" s="40" t="s">
        <v>11404</v>
      </c>
    </row>
    <row r="12995">
      <c r="A12995" s="39"/>
      <c r="E12995" s="40" t="s">
        <v>11404</v>
      </c>
      <c r="F12995" s="40" t="s">
        <v>11404</v>
      </c>
      <c r="G12995" s="40" t="s">
        <v>11404</v>
      </c>
      <c r="H12995" s="40" t="s">
        <v>11404</v>
      </c>
    </row>
    <row r="12996">
      <c r="A12996" s="39"/>
      <c r="E12996" s="40" t="s">
        <v>11404</v>
      </c>
      <c r="F12996" s="40" t="s">
        <v>11404</v>
      </c>
      <c r="G12996" s="40" t="s">
        <v>11404</v>
      </c>
      <c r="H12996" s="40" t="s">
        <v>11404</v>
      </c>
    </row>
    <row r="12997">
      <c r="A12997" s="39"/>
      <c r="E12997" s="40" t="s">
        <v>11404</v>
      </c>
      <c r="F12997" s="40" t="s">
        <v>11404</v>
      </c>
      <c r="G12997" s="40" t="s">
        <v>11404</v>
      </c>
      <c r="H12997" s="40" t="s">
        <v>11404</v>
      </c>
    </row>
    <row r="12998">
      <c r="A12998" s="39"/>
      <c r="E12998" s="40" t="s">
        <v>11404</v>
      </c>
      <c r="F12998" s="40" t="s">
        <v>11404</v>
      </c>
      <c r="G12998" s="40" t="s">
        <v>11404</v>
      </c>
      <c r="H12998" s="40" t="s">
        <v>11404</v>
      </c>
    </row>
    <row r="12999">
      <c r="A12999" s="39"/>
      <c r="E12999" s="40" t="s">
        <v>11404</v>
      </c>
      <c r="F12999" s="40" t="s">
        <v>11404</v>
      </c>
      <c r="G12999" s="40" t="s">
        <v>11404</v>
      </c>
      <c r="H12999" s="40" t="s">
        <v>11404</v>
      </c>
    </row>
    <row r="13000">
      <c r="A13000" s="39"/>
      <c r="E13000" s="40" t="s">
        <v>11404</v>
      </c>
      <c r="F13000" s="40" t="s">
        <v>11404</v>
      </c>
      <c r="G13000" s="40" t="s">
        <v>11404</v>
      </c>
      <c r="H13000" s="40" t="s">
        <v>11404</v>
      </c>
    </row>
    <row r="13001">
      <c r="A13001" s="39"/>
      <c r="E13001" s="40" t="s">
        <v>11404</v>
      </c>
      <c r="F13001" s="40" t="s">
        <v>11404</v>
      </c>
      <c r="G13001" s="40" t="s">
        <v>11404</v>
      </c>
      <c r="H13001" s="40" t="s">
        <v>11404</v>
      </c>
    </row>
    <row r="13002">
      <c r="A13002" s="39"/>
      <c r="E13002" s="40" t="s">
        <v>11404</v>
      </c>
      <c r="F13002" s="40" t="s">
        <v>11404</v>
      </c>
      <c r="G13002" s="40" t="s">
        <v>11404</v>
      </c>
      <c r="H13002" s="40" t="s">
        <v>11404</v>
      </c>
    </row>
    <row r="13003">
      <c r="A13003" s="39"/>
      <c r="E13003" s="40" t="s">
        <v>11404</v>
      </c>
      <c r="F13003" s="40" t="s">
        <v>11404</v>
      </c>
      <c r="G13003" s="40" t="s">
        <v>11404</v>
      </c>
      <c r="H13003" s="40" t="s">
        <v>11404</v>
      </c>
    </row>
    <row r="13004">
      <c r="A13004" s="39"/>
      <c r="E13004" s="40" t="s">
        <v>11404</v>
      </c>
      <c r="F13004" s="40" t="s">
        <v>11404</v>
      </c>
      <c r="G13004" s="40" t="s">
        <v>11404</v>
      </c>
      <c r="H13004" s="40" t="s">
        <v>11404</v>
      </c>
    </row>
    <row r="13005">
      <c r="A13005" s="39"/>
      <c r="E13005" s="40" t="s">
        <v>11404</v>
      </c>
      <c r="F13005" s="40" t="s">
        <v>11404</v>
      </c>
      <c r="G13005" s="40" t="s">
        <v>11404</v>
      </c>
      <c r="H13005" s="40" t="s">
        <v>11404</v>
      </c>
    </row>
    <row r="13006">
      <c r="A13006" s="39"/>
      <c r="E13006" s="40" t="s">
        <v>11404</v>
      </c>
      <c r="F13006" s="40" t="s">
        <v>11404</v>
      </c>
      <c r="G13006" s="40" t="s">
        <v>11404</v>
      </c>
      <c r="H13006" s="40" t="s">
        <v>11404</v>
      </c>
    </row>
    <row r="13007">
      <c r="A13007" s="39"/>
      <c r="E13007" s="40" t="s">
        <v>11404</v>
      </c>
      <c r="F13007" s="40" t="s">
        <v>11404</v>
      </c>
      <c r="G13007" s="40" t="s">
        <v>11404</v>
      </c>
      <c r="H13007" s="40" t="s">
        <v>11404</v>
      </c>
    </row>
    <row r="13008">
      <c r="A13008" s="39"/>
      <c r="E13008" s="40" t="s">
        <v>11404</v>
      </c>
      <c r="F13008" s="40" t="s">
        <v>11404</v>
      </c>
      <c r="G13008" s="40" t="s">
        <v>11404</v>
      </c>
      <c r="H13008" s="40" t="s">
        <v>11404</v>
      </c>
    </row>
    <row r="13009">
      <c r="A13009" s="39"/>
      <c r="E13009" s="40" t="s">
        <v>11404</v>
      </c>
      <c r="F13009" s="40" t="s">
        <v>11404</v>
      </c>
      <c r="G13009" s="40" t="s">
        <v>11404</v>
      </c>
      <c r="H13009" s="40" t="s">
        <v>11404</v>
      </c>
    </row>
    <row r="13010">
      <c r="A13010" s="39"/>
      <c r="E13010" s="40" t="s">
        <v>11404</v>
      </c>
      <c r="F13010" s="40" t="s">
        <v>11404</v>
      </c>
      <c r="G13010" s="40" t="s">
        <v>11404</v>
      </c>
      <c r="H13010" s="40" t="s">
        <v>11404</v>
      </c>
    </row>
    <row r="13011">
      <c r="A13011" s="39"/>
      <c r="E13011" s="40" t="s">
        <v>11404</v>
      </c>
      <c r="F13011" s="40" t="s">
        <v>11404</v>
      </c>
      <c r="G13011" s="40" t="s">
        <v>11404</v>
      </c>
      <c r="H13011" s="40" t="s">
        <v>11404</v>
      </c>
    </row>
    <row r="13012">
      <c r="A13012" s="39"/>
      <c r="E13012" s="40" t="s">
        <v>11404</v>
      </c>
      <c r="F13012" s="40" t="s">
        <v>11404</v>
      </c>
      <c r="G13012" s="40" t="s">
        <v>11404</v>
      </c>
      <c r="H13012" s="40" t="s">
        <v>11404</v>
      </c>
    </row>
    <row r="13013">
      <c r="A13013" s="39"/>
      <c r="E13013" s="40" t="s">
        <v>11404</v>
      </c>
      <c r="F13013" s="40" t="s">
        <v>11404</v>
      </c>
      <c r="G13013" s="40" t="s">
        <v>11404</v>
      </c>
      <c r="H13013" s="40" t="s">
        <v>11404</v>
      </c>
    </row>
    <row r="13014">
      <c r="A13014" s="39"/>
      <c r="E13014" s="40" t="s">
        <v>11404</v>
      </c>
      <c r="F13014" s="40" t="s">
        <v>11404</v>
      </c>
      <c r="G13014" s="40" t="s">
        <v>11404</v>
      </c>
      <c r="H13014" s="40" t="s">
        <v>11404</v>
      </c>
    </row>
    <row r="13015">
      <c r="A13015" s="39"/>
      <c r="E13015" s="40" t="s">
        <v>11404</v>
      </c>
      <c r="F13015" s="40" t="s">
        <v>11404</v>
      </c>
      <c r="G13015" s="40" t="s">
        <v>11404</v>
      </c>
      <c r="H13015" s="40" t="s">
        <v>11404</v>
      </c>
    </row>
    <row r="13016">
      <c r="A13016" s="39"/>
      <c r="E13016" s="40" t="s">
        <v>11404</v>
      </c>
      <c r="F13016" s="40" t="s">
        <v>11404</v>
      </c>
      <c r="G13016" s="40" t="s">
        <v>11404</v>
      </c>
      <c r="H13016" s="40" t="s">
        <v>11404</v>
      </c>
    </row>
    <row r="13017">
      <c r="A13017" s="39"/>
      <c r="E13017" s="40" t="s">
        <v>11404</v>
      </c>
      <c r="F13017" s="40" t="s">
        <v>11404</v>
      </c>
      <c r="G13017" s="40" t="s">
        <v>11404</v>
      </c>
      <c r="H13017" s="40" t="s">
        <v>11404</v>
      </c>
    </row>
    <row r="13018">
      <c r="A13018" s="39"/>
      <c r="E13018" s="40" t="s">
        <v>11404</v>
      </c>
      <c r="F13018" s="40" t="s">
        <v>11404</v>
      </c>
      <c r="G13018" s="40" t="s">
        <v>11404</v>
      </c>
      <c r="H13018" s="40" t="s">
        <v>11404</v>
      </c>
    </row>
    <row r="13019">
      <c r="A13019" s="39"/>
      <c r="E13019" s="40" t="s">
        <v>11404</v>
      </c>
      <c r="F13019" s="40" t="s">
        <v>11404</v>
      </c>
      <c r="G13019" s="40" t="s">
        <v>11404</v>
      </c>
      <c r="H13019" s="40" t="s">
        <v>11404</v>
      </c>
    </row>
    <row r="13020">
      <c r="A13020" s="39"/>
      <c r="E13020" s="40" t="s">
        <v>11404</v>
      </c>
      <c r="F13020" s="40" t="s">
        <v>11404</v>
      </c>
      <c r="G13020" s="40" t="s">
        <v>11404</v>
      </c>
      <c r="H13020" s="40" t="s">
        <v>11404</v>
      </c>
    </row>
    <row r="13021">
      <c r="A13021" s="39"/>
      <c r="E13021" s="40" t="s">
        <v>11404</v>
      </c>
      <c r="F13021" s="40" t="s">
        <v>11404</v>
      </c>
      <c r="G13021" s="40" t="s">
        <v>11404</v>
      </c>
      <c r="H13021" s="40" t="s">
        <v>11404</v>
      </c>
    </row>
    <row r="13022">
      <c r="A13022" s="39"/>
      <c r="E13022" s="40" t="s">
        <v>11404</v>
      </c>
      <c r="F13022" s="40" t="s">
        <v>11404</v>
      </c>
      <c r="G13022" s="40" t="s">
        <v>11404</v>
      </c>
      <c r="H13022" s="40" t="s">
        <v>11404</v>
      </c>
    </row>
    <row r="13023">
      <c r="A13023" s="39"/>
      <c r="E13023" s="40" t="s">
        <v>11404</v>
      </c>
      <c r="F13023" s="40" t="s">
        <v>11404</v>
      </c>
      <c r="G13023" s="40" t="s">
        <v>11404</v>
      </c>
      <c r="H13023" s="40" t="s">
        <v>11404</v>
      </c>
    </row>
    <row r="13024">
      <c r="A13024" s="39"/>
      <c r="E13024" s="40" t="s">
        <v>11404</v>
      </c>
      <c r="F13024" s="40" t="s">
        <v>11404</v>
      </c>
      <c r="G13024" s="40" t="s">
        <v>11404</v>
      </c>
      <c r="H13024" s="40" t="s">
        <v>11404</v>
      </c>
    </row>
    <row r="13025">
      <c r="A13025" s="39"/>
      <c r="E13025" s="40" t="s">
        <v>11404</v>
      </c>
      <c r="F13025" s="40" t="s">
        <v>11404</v>
      </c>
      <c r="G13025" s="40" t="s">
        <v>11404</v>
      </c>
      <c r="H13025" s="40" t="s">
        <v>11404</v>
      </c>
    </row>
    <row r="13026">
      <c r="A13026" s="39"/>
      <c r="E13026" s="40" t="s">
        <v>11404</v>
      </c>
      <c r="F13026" s="40" t="s">
        <v>11404</v>
      </c>
      <c r="G13026" s="40" t="s">
        <v>11404</v>
      </c>
      <c r="H13026" s="40" t="s">
        <v>11404</v>
      </c>
    </row>
    <row r="13027">
      <c r="A13027" s="39"/>
      <c r="E13027" s="40" t="s">
        <v>11404</v>
      </c>
      <c r="F13027" s="40" t="s">
        <v>11404</v>
      </c>
      <c r="G13027" s="40" t="s">
        <v>11404</v>
      </c>
      <c r="H13027" s="40" t="s">
        <v>11404</v>
      </c>
    </row>
    <row r="13028">
      <c r="A13028" s="39"/>
      <c r="E13028" s="40" t="s">
        <v>11404</v>
      </c>
      <c r="F13028" s="40" t="s">
        <v>11404</v>
      </c>
      <c r="G13028" s="40" t="s">
        <v>11404</v>
      </c>
      <c r="H13028" s="40" t="s">
        <v>11404</v>
      </c>
    </row>
    <row r="13029">
      <c r="A13029" s="39"/>
      <c r="E13029" s="40" t="s">
        <v>11404</v>
      </c>
      <c r="F13029" s="40" t="s">
        <v>11404</v>
      </c>
      <c r="G13029" s="40" t="s">
        <v>11404</v>
      </c>
      <c r="H13029" s="40" t="s">
        <v>11404</v>
      </c>
    </row>
    <row r="13030">
      <c r="A13030" s="39"/>
      <c r="E13030" s="40" t="s">
        <v>11404</v>
      </c>
      <c r="F13030" s="40" t="s">
        <v>11404</v>
      </c>
      <c r="G13030" s="40" t="s">
        <v>11404</v>
      </c>
      <c r="H13030" s="40" t="s">
        <v>11404</v>
      </c>
    </row>
    <row r="13031">
      <c r="A13031" s="39"/>
      <c r="E13031" s="40" t="s">
        <v>11404</v>
      </c>
      <c r="F13031" s="40" t="s">
        <v>11404</v>
      </c>
      <c r="G13031" s="40" t="s">
        <v>11404</v>
      </c>
      <c r="H13031" s="40" t="s">
        <v>11404</v>
      </c>
    </row>
    <row r="13032">
      <c r="A13032" s="39"/>
      <c r="E13032" s="40" t="s">
        <v>11404</v>
      </c>
      <c r="F13032" s="40" t="s">
        <v>11404</v>
      </c>
      <c r="G13032" s="40" t="s">
        <v>11404</v>
      </c>
      <c r="H13032" s="40" t="s">
        <v>11404</v>
      </c>
    </row>
    <row r="13033">
      <c r="A13033" s="39"/>
      <c r="E13033" s="40" t="s">
        <v>11404</v>
      </c>
      <c r="F13033" s="40" t="s">
        <v>11404</v>
      </c>
      <c r="G13033" s="40" t="s">
        <v>11404</v>
      </c>
      <c r="H13033" s="40" t="s">
        <v>11404</v>
      </c>
    </row>
    <row r="13034">
      <c r="A13034" s="39"/>
      <c r="E13034" s="40" t="s">
        <v>11404</v>
      </c>
      <c r="F13034" s="40" t="s">
        <v>11404</v>
      </c>
      <c r="G13034" s="40" t="s">
        <v>11404</v>
      </c>
      <c r="H13034" s="40" t="s">
        <v>11404</v>
      </c>
    </row>
    <row r="13035">
      <c r="A13035" s="39"/>
      <c r="E13035" s="40" t="s">
        <v>11404</v>
      </c>
      <c r="F13035" s="40" t="s">
        <v>11404</v>
      </c>
      <c r="G13035" s="40" t="s">
        <v>11404</v>
      </c>
      <c r="H13035" s="40" t="s">
        <v>11404</v>
      </c>
    </row>
    <row r="13036">
      <c r="A13036" s="39"/>
      <c r="E13036" s="40" t="s">
        <v>11404</v>
      </c>
      <c r="F13036" s="40" t="s">
        <v>11404</v>
      </c>
      <c r="G13036" s="40" t="s">
        <v>11404</v>
      </c>
      <c r="H13036" s="40" t="s">
        <v>11404</v>
      </c>
    </row>
    <row r="13037">
      <c r="A13037" s="39"/>
      <c r="E13037" s="40" t="s">
        <v>11404</v>
      </c>
      <c r="F13037" s="40" t="s">
        <v>11404</v>
      </c>
      <c r="G13037" s="40" t="s">
        <v>11404</v>
      </c>
      <c r="H13037" s="40" t="s">
        <v>11404</v>
      </c>
    </row>
    <row r="13038">
      <c r="A13038" s="39"/>
      <c r="E13038" s="40" t="s">
        <v>11404</v>
      </c>
      <c r="F13038" s="40" t="s">
        <v>11404</v>
      </c>
      <c r="G13038" s="40" t="s">
        <v>11404</v>
      </c>
      <c r="H13038" s="40" t="s">
        <v>11404</v>
      </c>
    </row>
    <row r="13039">
      <c r="A13039" s="39"/>
      <c r="E13039" s="40" t="s">
        <v>11404</v>
      </c>
      <c r="F13039" s="40" t="s">
        <v>11404</v>
      </c>
      <c r="G13039" s="40" t="s">
        <v>11404</v>
      </c>
      <c r="H13039" s="40" t="s">
        <v>11404</v>
      </c>
    </row>
    <row r="13040">
      <c r="A13040" s="39"/>
      <c r="E13040" s="40" t="s">
        <v>11404</v>
      </c>
      <c r="F13040" s="40" t="s">
        <v>11404</v>
      </c>
      <c r="G13040" s="40" t="s">
        <v>11404</v>
      </c>
      <c r="H13040" s="40" t="s">
        <v>11404</v>
      </c>
    </row>
    <row r="13041">
      <c r="A13041" s="39"/>
      <c r="E13041" s="40" t="s">
        <v>11404</v>
      </c>
      <c r="F13041" s="40" t="s">
        <v>11404</v>
      </c>
      <c r="G13041" s="40" t="s">
        <v>11404</v>
      </c>
      <c r="H13041" s="40" t="s">
        <v>11404</v>
      </c>
    </row>
    <row r="13042">
      <c r="A13042" s="39"/>
      <c r="E13042" s="40" t="s">
        <v>11404</v>
      </c>
      <c r="F13042" s="40" t="s">
        <v>11404</v>
      </c>
      <c r="G13042" s="40" t="s">
        <v>11404</v>
      </c>
      <c r="H13042" s="40" t="s">
        <v>11404</v>
      </c>
    </row>
    <row r="13043">
      <c r="A13043" s="39"/>
      <c r="E13043" s="40" t="s">
        <v>11404</v>
      </c>
      <c r="F13043" s="40" t="s">
        <v>11404</v>
      </c>
      <c r="G13043" s="40" t="s">
        <v>11404</v>
      </c>
      <c r="H13043" s="40" t="s">
        <v>11404</v>
      </c>
    </row>
    <row r="13044">
      <c r="A13044" s="39"/>
      <c r="E13044" s="40" t="s">
        <v>11404</v>
      </c>
      <c r="F13044" s="40" t="s">
        <v>11404</v>
      </c>
      <c r="G13044" s="40" t="s">
        <v>11404</v>
      </c>
      <c r="H13044" s="40" t="s">
        <v>11404</v>
      </c>
    </row>
    <row r="13045">
      <c r="A13045" s="39"/>
      <c r="E13045" s="40" t="s">
        <v>11404</v>
      </c>
      <c r="F13045" s="40" t="s">
        <v>11404</v>
      </c>
      <c r="G13045" s="40" t="s">
        <v>11404</v>
      </c>
      <c r="H13045" s="40" t="s">
        <v>11404</v>
      </c>
    </row>
    <row r="13046">
      <c r="A13046" s="39"/>
      <c r="E13046" s="40" t="s">
        <v>11404</v>
      </c>
      <c r="F13046" s="40" t="s">
        <v>11404</v>
      </c>
      <c r="G13046" s="40" t="s">
        <v>11404</v>
      </c>
      <c r="H13046" s="40" t="s">
        <v>11404</v>
      </c>
    </row>
    <row r="13047">
      <c r="A13047" s="39"/>
      <c r="E13047" s="40" t="s">
        <v>11404</v>
      </c>
      <c r="F13047" s="40" t="s">
        <v>11404</v>
      </c>
      <c r="G13047" s="40" t="s">
        <v>11404</v>
      </c>
      <c r="H13047" s="40" t="s">
        <v>11404</v>
      </c>
    </row>
    <row r="13048">
      <c r="A13048" s="39"/>
      <c r="E13048" s="40" t="s">
        <v>11404</v>
      </c>
      <c r="F13048" s="40" t="s">
        <v>11404</v>
      </c>
      <c r="G13048" s="40" t="s">
        <v>11404</v>
      </c>
      <c r="H13048" s="40" t="s">
        <v>11404</v>
      </c>
    </row>
    <row r="13049">
      <c r="A13049" s="39"/>
      <c r="E13049" s="40" t="s">
        <v>11404</v>
      </c>
      <c r="F13049" s="40" t="s">
        <v>11404</v>
      </c>
      <c r="G13049" s="40" t="s">
        <v>11404</v>
      </c>
      <c r="H13049" s="40" t="s">
        <v>11404</v>
      </c>
    </row>
    <row r="13050">
      <c r="A13050" s="39"/>
      <c r="E13050" s="40" t="s">
        <v>11404</v>
      </c>
      <c r="F13050" s="40" t="s">
        <v>11404</v>
      </c>
      <c r="G13050" s="40" t="s">
        <v>11404</v>
      </c>
      <c r="H13050" s="40" t="s">
        <v>11404</v>
      </c>
    </row>
    <row r="13051">
      <c r="A13051" s="39"/>
      <c r="E13051" s="40" t="s">
        <v>11404</v>
      </c>
      <c r="F13051" s="40" t="s">
        <v>11404</v>
      </c>
      <c r="G13051" s="40" t="s">
        <v>11404</v>
      </c>
      <c r="H13051" s="40" t="s">
        <v>11404</v>
      </c>
    </row>
    <row r="13052">
      <c r="A13052" s="39"/>
      <c r="E13052" s="40" t="s">
        <v>11404</v>
      </c>
      <c r="F13052" s="40" t="s">
        <v>11404</v>
      </c>
      <c r="G13052" s="40" t="s">
        <v>11404</v>
      </c>
      <c r="H13052" s="40" t="s">
        <v>11404</v>
      </c>
    </row>
    <row r="13053">
      <c r="A13053" s="39"/>
      <c r="E13053" s="40" t="s">
        <v>11404</v>
      </c>
      <c r="F13053" s="40" t="s">
        <v>11404</v>
      </c>
      <c r="G13053" s="40" t="s">
        <v>11404</v>
      </c>
      <c r="H13053" s="40" t="s">
        <v>11404</v>
      </c>
    </row>
    <row r="13054">
      <c r="A13054" s="39"/>
      <c r="E13054" s="40" t="s">
        <v>11404</v>
      </c>
      <c r="F13054" s="40" t="s">
        <v>11404</v>
      </c>
      <c r="G13054" s="40" t="s">
        <v>11404</v>
      </c>
      <c r="H13054" s="40" t="s">
        <v>11404</v>
      </c>
    </row>
    <row r="13055">
      <c r="A13055" s="39"/>
      <c r="E13055" s="40" t="s">
        <v>11404</v>
      </c>
      <c r="F13055" s="40" t="s">
        <v>11404</v>
      </c>
      <c r="G13055" s="40" t="s">
        <v>11404</v>
      </c>
      <c r="H13055" s="40" t="s">
        <v>11404</v>
      </c>
    </row>
    <row r="13056">
      <c r="A13056" s="39"/>
      <c r="E13056" s="40" t="s">
        <v>11404</v>
      </c>
      <c r="F13056" s="40" t="s">
        <v>11404</v>
      </c>
      <c r="G13056" s="40" t="s">
        <v>11404</v>
      </c>
      <c r="H13056" s="40" t="s">
        <v>11404</v>
      </c>
    </row>
    <row r="13057">
      <c r="A13057" s="39"/>
      <c r="E13057" s="40" t="s">
        <v>11404</v>
      </c>
      <c r="F13057" s="40" t="s">
        <v>11404</v>
      </c>
      <c r="G13057" s="40" t="s">
        <v>11404</v>
      </c>
      <c r="H13057" s="40" t="s">
        <v>11404</v>
      </c>
    </row>
    <row r="13058">
      <c r="A13058" s="39"/>
      <c r="E13058" s="40" t="s">
        <v>11404</v>
      </c>
      <c r="F13058" s="40" t="s">
        <v>11404</v>
      </c>
      <c r="G13058" s="40" t="s">
        <v>11404</v>
      </c>
      <c r="H13058" s="40" t="s">
        <v>11404</v>
      </c>
    </row>
    <row r="13059">
      <c r="A13059" s="39"/>
      <c r="E13059" s="40" t="s">
        <v>11404</v>
      </c>
      <c r="F13059" s="40" t="s">
        <v>11404</v>
      </c>
      <c r="G13059" s="40" t="s">
        <v>11404</v>
      </c>
      <c r="H13059" s="40" t="s">
        <v>11404</v>
      </c>
    </row>
    <row r="13060">
      <c r="A13060" s="39"/>
      <c r="E13060" s="40" t="s">
        <v>11404</v>
      </c>
      <c r="F13060" s="40" t="s">
        <v>11404</v>
      </c>
      <c r="G13060" s="40" t="s">
        <v>11404</v>
      </c>
      <c r="H13060" s="40" t="s">
        <v>11404</v>
      </c>
    </row>
    <row r="13061">
      <c r="A13061" s="39"/>
      <c r="E13061" s="40" t="s">
        <v>11404</v>
      </c>
      <c r="F13061" s="40" t="s">
        <v>11404</v>
      </c>
      <c r="G13061" s="40" t="s">
        <v>11404</v>
      </c>
      <c r="H13061" s="40" t="s">
        <v>11404</v>
      </c>
    </row>
    <row r="13062">
      <c r="A13062" s="39"/>
      <c r="E13062" s="40" t="s">
        <v>11404</v>
      </c>
      <c r="F13062" s="40" t="s">
        <v>11404</v>
      </c>
      <c r="G13062" s="40" t="s">
        <v>11404</v>
      </c>
      <c r="H13062" s="40" t="s">
        <v>11404</v>
      </c>
    </row>
    <row r="13063">
      <c r="A13063" s="39"/>
      <c r="E13063" s="40" t="s">
        <v>11404</v>
      </c>
      <c r="F13063" s="40" t="s">
        <v>11404</v>
      </c>
      <c r="G13063" s="40" t="s">
        <v>11404</v>
      </c>
      <c r="H13063" s="40" t="s">
        <v>11404</v>
      </c>
    </row>
    <row r="13064">
      <c r="A13064" s="39"/>
      <c r="E13064" s="40" t="s">
        <v>11404</v>
      </c>
      <c r="F13064" s="40" t="s">
        <v>11404</v>
      </c>
      <c r="G13064" s="40" t="s">
        <v>11404</v>
      </c>
      <c r="H13064" s="40" t="s">
        <v>11404</v>
      </c>
    </row>
    <row r="13065">
      <c r="A13065" s="39"/>
      <c r="E13065" s="40" t="s">
        <v>11404</v>
      </c>
      <c r="F13065" s="40" t="s">
        <v>11404</v>
      </c>
      <c r="G13065" s="40" t="s">
        <v>11404</v>
      </c>
      <c r="H13065" s="40" t="s">
        <v>11404</v>
      </c>
    </row>
    <row r="13066">
      <c r="A13066" s="39"/>
      <c r="E13066" s="40" t="s">
        <v>11404</v>
      </c>
      <c r="F13066" s="40" t="s">
        <v>11404</v>
      </c>
      <c r="G13066" s="40" t="s">
        <v>11404</v>
      </c>
      <c r="H13066" s="40" t="s">
        <v>11404</v>
      </c>
    </row>
    <row r="13067">
      <c r="A13067" s="39"/>
      <c r="E13067" s="40" t="s">
        <v>11404</v>
      </c>
      <c r="F13067" s="40" t="s">
        <v>11404</v>
      </c>
      <c r="G13067" s="40" t="s">
        <v>11404</v>
      </c>
      <c r="H13067" s="40" t="s">
        <v>11404</v>
      </c>
    </row>
    <row r="13068">
      <c r="A13068" s="39"/>
      <c r="E13068" s="40" t="s">
        <v>11404</v>
      </c>
      <c r="F13068" s="40" t="s">
        <v>11404</v>
      </c>
      <c r="G13068" s="40" t="s">
        <v>11404</v>
      </c>
      <c r="H13068" s="40" t="s">
        <v>11404</v>
      </c>
    </row>
    <row r="13069">
      <c r="A13069" s="39"/>
      <c r="E13069" s="40" t="s">
        <v>11404</v>
      </c>
      <c r="F13069" s="40" t="s">
        <v>11404</v>
      </c>
      <c r="G13069" s="40" t="s">
        <v>11404</v>
      </c>
      <c r="H13069" s="40" t="s">
        <v>11404</v>
      </c>
    </row>
    <row r="13070">
      <c r="A13070" s="39"/>
      <c r="E13070" s="40" t="s">
        <v>11404</v>
      </c>
      <c r="F13070" s="40" t="s">
        <v>11404</v>
      </c>
      <c r="G13070" s="40" t="s">
        <v>11404</v>
      </c>
      <c r="H13070" s="40" t="s">
        <v>11404</v>
      </c>
    </row>
    <row r="13071">
      <c r="A13071" s="39"/>
      <c r="E13071" s="40" t="s">
        <v>11404</v>
      </c>
      <c r="F13071" s="40" t="s">
        <v>11404</v>
      </c>
      <c r="G13071" s="40" t="s">
        <v>11404</v>
      </c>
      <c r="H13071" s="40" t="s">
        <v>11404</v>
      </c>
    </row>
    <row r="13072">
      <c r="A13072" s="39"/>
      <c r="E13072" s="40" t="s">
        <v>11404</v>
      </c>
      <c r="F13072" s="40" t="s">
        <v>11404</v>
      </c>
      <c r="G13072" s="40" t="s">
        <v>11404</v>
      </c>
      <c r="H13072" s="40" t="s">
        <v>11404</v>
      </c>
    </row>
    <row r="13073">
      <c r="A13073" s="39"/>
      <c r="E13073" s="40" t="s">
        <v>11404</v>
      </c>
      <c r="F13073" s="40" t="s">
        <v>11404</v>
      </c>
      <c r="G13073" s="40" t="s">
        <v>11404</v>
      </c>
      <c r="H13073" s="40" t="s">
        <v>11404</v>
      </c>
    </row>
    <row r="13074">
      <c r="A13074" s="39"/>
      <c r="E13074" s="40" t="s">
        <v>11404</v>
      </c>
      <c r="F13074" s="40" t="s">
        <v>11404</v>
      </c>
      <c r="G13074" s="40" t="s">
        <v>11404</v>
      </c>
      <c r="H13074" s="40" t="s">
        <v>11404</v>
      </c>
    </row>
    <row r="13075">
      <c r="A13075" s="39"/>
      <c r="E13075" s="40" t="s">
        <v>11404</v>
      </c>
      <c r="F13075" s="40" t="s">
        <v>11404</v>
      </c>
      <c r="G13075" s="40" t="s">
        <v>11404</v>
      </c>
      <c r="H13075" s="40" t="s">
        <v>11404</v>
      </c>
    </row>
    <row r="13076">
      <c r="A13076" s="39"/>
      <c r="E13076" s="40" t="s">
        <v>11404</v>
      </c>
      <c r="F13076" s="40" t="s">
        <v>11404</v>
      </c>
      <c r="G13076" s="40" t="s">
        <v>11404</v>
      </c>
      <c r="H13076" s="40" t="s">
        <v>11404</v>
      </c>
    </row>
    <row r="13077">
      <c r="A13077" s="39"/>
      <c r="E13077" s="40" t="s">
        <v>11404</v>
      </c>
      <c r="F13077" s="40" t="s">
        <v>11404</v>
      </c>
      <c r="G13077" s="40" t="s">
        <v>11404</v>
      </c>
      <c r="H13077" s="40" t="s">
        <v>11404</v>
      </c>
    </row>
    <row r="13078">
      <c r="A13078" s="39"/>
      <c r="E13078" s="40" t="s">
        <v>11404</v>
      </c>
      <c r="F13078" s="40" t="s">
        <v>11404</v>
      </c>
      <c r="G13078" s="40" t="s">
        <v>11404</v>
      </c>
      <c r="H13078" s="40" t="s">
        <v>11404</v>
      </c>
    </row>
    <row r="13079">
      <c r="A13079" s="39"/>
      <c r="E13079" s="40" t="s">
        <v>11404</v>
      </c>
      <c r="F13079" s="40" t="s">
        <v>11404</v>
      </c>
      <c r="G13079" s="40" t="s">
        <v>11404</v>
      </c>
      <c r="H13079" s="40" t="s">
        <v>11404</v>
      </c>
    </row>
    <row r="13080">
      <c r="A13080" s="39"/>
      <c r="E13080" s="40" t="s">
        <v>11404</v>
      </c>
      <c r="F13080" s="40" t="s">
        <v>11404</v>
      </c>
      <c r="G13080" s="40" t="s">
        <v>11404</v>
      </c>
      <c r="H13080" s="40" t="s">
        <v>11404</v>
      </c>
    </row>
    <row r="13081">
      <c r="A13081" s="39"/>
      <c r="E13081" s="40" t="s">
        <v>11404</v>
      </c>
      <c r="F13081" s="40" t="s">
        <v>11404</v>
      </c>
      <c r="G13081" s="40" t="s">
        <v>11404</v>
      </c>
      <c r="H13081" s="40" t="s">
        <v>11404</v>
      </c>
    </row>
    <row r="13082">
      <c r="A13082" s="39"/>
      <c r="E13082" s="40" t="s">
        <v>11404</v>
      </c>
      <c r="F13082" s="40" t="s">
        <v>11404</v>
      </c>
      <c r="G13082" s="40" t="s">
        <v>11404</v>
      </c>
      <c r="H13082" s="40" t="s">
        <v>11404</v>
      </c>
    </row>
    <row r="13083">
      <c r="A13083" s="39"/>
      <c r="E13083" s="40" t="s">
        <v>11404</v>
      </c>
      <c r="F13083" s="40" t="s">
        <v>11404</v>
      </c>
      <c r="G13083" s="40" t="s">
        <v>11404</v>
      </c>
      <c r="H13083" s="40" t="s">
        <v>11404</v>
      </c>
    </row>
    <row r="13084">
      <c r="A13084" s="39"/>
      <c r="E13084" s="40" t="s">
        <v>11404</v>
      </c>
      <c r="F13084" s="40" t="s">
        <v>11404</v>
      </c>
      <c r="G13084" s="40" t="s">
        <v>11404</v>
      </c>
      <c r="H13084" s="40" t="s">
        <v>11404</v>
      </c>
    </row>
    <row r="13085">
      <c r="A13085" s="39"/>
      <c r="E13085" s="40" t="s">
        <v>11404</v>
      </c>
      <c r="F13085" s="40" t="s">
        <v>11404</v>
      </c>
      <c r="G13085" s="40" t="s">
        <v>11404</v>
      </c>
      <c r="H13085" s="40" t="s">
        <v>11404</v>
      </c>
    </row>
    <row r="13086">
      <c r="A13086" s="39"/>
      <c r="E13086" s="40" t="s">
        <v>11404</v>
      </c>
      <c r="F13086" s="40" t="s">
        <v>11404</v>
      </c>
      <c r="G13086" s="40" t="s">
        <v>11404</v>
      </c>
      <c r="H13086" s="40" t="s">
        <v>11404</v>
      </c>
    </row>
    <row r="13087">
      <c r="A13087" s="39"/>
      <c r="E13087" s="40" t="s">
        <v>11404</v>
      </c>
      <c r="F13087" s="40" t="s">
        <v>11404</v>
      </c>
      <c r="G13087" s="40" t="s">
        <v>11404</v>
      </c>
      <c r="H13087" s="40" t="s">
        <v>11404</v>
      </c>
    </row>
    <row r="13088">
      <c r="A13088" s="39"/>
      <c r="E13088" s="40" t="s">
        <v>11404</v>
      </c>
      <c r="F13088" s="40" t="s">
        <v>11404</v>
      </c>
      <c r="G13088" s="40" t="s">
        <v>11404</v>
      </c>
      <c r="H13088" s="40" t="s">
        <v>11404</v>
      </c>
    </row>
    <row r="13089">
      <c r="A13089" s="39"/>
      <c r="E13089" s="40" t="s">
        <v>11404</v>
      </c>
      <c r="F13089" s="40" t="s">
        <v>11404</v>
      </c>
      <c r="G13089" s="40" t="s">
        <v>11404</v>
      </c>
      <c r="H13089" s="40" t="s">
        <v>11404</v>
      </c>
    </row>
    <row r="13090">
      <c r="A13090" s="39"/>
      <c r="E13090" s="40" t="s">
        <v>11404</v>
      </c>
      <c r="F13090" s="40" t="s">
        <v>11404</v>
      </c>
      <c r="G13090" s="40" t="s">
        <v>11404</v>
      </c>
      <c r="H13090" s="40" t="s">
        <v>11404</v>
      </c>
    </row>
    <row r="13091">
      <c r="A13091" s="39"/>
      <c r="E13091" s="40" t="s">
        <v>11404</v>
      </c>
      <c r="F13091" s="40" t="s">
        <v>11404</v>
      </c>
      <c r="G13091" s="40" t="s">
        <v>11404</v>
      </c>
      <c r="H13091" s="40" t="s">
        <v>11404</v>
      </c>
    </row>
    <row r="13092">
      <c r="A13092" s="39"/>
      <c r="E13092" s="40" t="s">
        <v>11404</v>
      </c>
      <c r="F13092" s="40" t="s">
        <v>11404</v>
      </c>
      <c r="G13092" s="40" t="s">
        <v>11404</v>
      </c>
      <c r="H13092" s="40" t="s">
        <v>11404</v>
      </c>
    </row>
    <row r="13093">
      <c r="A13093" s="39"/>
      <c r="E13093" s="40" t="s">
        <v>11404</v>
      </c>
      <c r="F13093" s="40" t="s">
        <v>11404</v>
      </c>
      <c r="G13093" s="40" t="s">
        <v>11404</v>
      </c>
      <c r="H13093" s="40" t="s">
        <v>11404</v>
      </c>
    </row>
    <row r="13094">
      <c r="A13094" s="39"/>
      <c r="E13094" s="40" t="s">
        <v>11404</v>
      </c>
      <c r="F13094" s="40" t="s">
        <v>11404</v>
      </c>
      <c r="G13094" s="40" t="s">
        <v>11404</v>
      </c>
      <c r="H13094" s="40" t="s">
        <v>11404</v>
      </c>
    </row>
    <row r="13095">
      <c r="A13095" s="39"/>
      <c r="E13095" s="40" t="s">
        <v>11404</v>
      </c>
      <c r="F13095" s="40" t="s">
        <v>11404</v>
      </c>
      <c r="G13095" s="40" t="s">
        <v>11404</v>
      </c>
      <c r="H13095" s="40" t="s">
        <v>11404</v>
      </c>
    </row>
    <row r="13096">
      <c r="A13096" s="39"/>
      <c r="E13096" s="40" t="s">
        <v>11404</v>
      </c>
      <c r="F13096" s="40" t="s">
        <v>11404</v>
      </c>
      <c r="G13096" s="40" t="s">
        <v>11404</v>
      </c>
      <c r="H13096" s="40" t="s">
        <v>11404</v>
      </c>
    </row>
    <row r="13097">
      <c r="A13097" s="39"/>
      <c r="E13097" s="40" t="s">
        <v>11404</v>
      </c>
      <c r="F13097" s="40" t="s">
        <v>11404</v>
      </c>
      <c r="G13097" s="40" t="s">
        <v>11404</v>
      </c>
      <c r="H13097" s="40" t="s">
        <v>11404</v>
      </c>
    </row>
    <row r="13098">
      <c r="A13098" s="39"/>
      <c r="E13098" s="40" t="s">
        <v>11404</v>
      </c>
      <c r="F13098" s="40" t="s">
        <v>11404</v>
      </c>
      <c r="G13098" s="40" t="s">
        <v>11404</v>
      </c>
      <c r="H13098" s="40" t="s">
        <v>11404</v>
      </c>
    </row>
    <row r="13099">
      <c r="A13099" s="39"/>
      <c r="E13099" s="40" t="s">
        <v>11404</v>
      </c>
      <c r="F13099" s="40" t="s">
        <v>11404</v>
      </c>
      <c r="G13099" s="40" t="s">
        <v>11404</v>
      </c>
      <c r="H13099" s="40" t="s">
        <v>11404</v>
      </c>
    </row>
    <row r="13100">
      <c r="A13100" s="39"/>
      <c r="E13100" s="40" t="s">
        <v>11404</v>
      </c>
      <c r="F13100" s="40" t="s">
        <v>11404</v>
      </c>
      <c r="G13100" s="40" t="s">
        <v>11404</v>
      </c>
      <c r="H13100" s="40" t="s">
        <v>11404</v>
      </c>
    </row>
    <row r="13101">
      <c r="A13101" s="39"/>
      <c r="E13101" s="40" t="s">
        <v>11404</v>
      </c>
      <c r="F13101" s="40" t="s">
        <v>11404</v>
      </c>
      <c r="G13101" s="40" t="s">
        <v>11404</v>
      </c>
      <c r="H13101" s="40" t="s">
        <v>11404</v>
      </c>
    </row>
    <row r="13102">
      <c r="A13102" s="39"/>
      <c r="E13102" s="40" t="s">
        <v>11404</v>
      </c>
      <c r="F13102" s="40" t="s">
        <v>11404</v>
      </c>
      <c r="G13102" s="40" t="s">
        <v>11404</v>
      </c>
      <c r="H13102" s="40" t="s">
        <v>11404</v>
      </c>
    </row>
    <row r="13103">
      <c r="A13103" s="39"/>
      <c r="E13103" s="40" t="s">
        <v>11404</v>
      </c>
      <c r="F13103" s="40" t="s">
        <v>11404</v>
      </c>
      <c r="G13103" s="40" t="s">
        <v>11404</v>
      </c>
      <c r="H13103" s="40" t="s">
        <v>11404</v>
      </c>
    </row>
    <row r="13104">
      <c r="A13104" s="39"/>
      <c r="E13104" s="40" t="s">
        <v>11404</v>
      </c>
      <c r="F13104" s="40" t="s">
        <v>11404</v>
      </c>
      <c r="G13104" s="40" t="s">
        <v>11404</v>
      </c>
      <c r="H13104" s="40" t="s">
        <v>11404</v>
      </c>
    </row>
    <row r="13105">
      <c r="A13105" s="39"/>
      <c r="E13105" s="40" t="s">
        <v>11404</v>
      </c>
      <c r="F13105" s="40" t="s">
        <v>11404</v>
      </c>
      <c r="G13105" s="40" t="s">
        <v>11404</v>
      </c>
      <c r="H13105" s="40" t="s">
        <v>11404</v>
      </c>
    </row>
    <row r="13106">
      <c r="A13106" s="39"/>
      <c r="E13106" s="40" t="s">
        <v>11404</v>
      </c>
      <c r="F13106" s="40" t="s">
        <v>11404</v>
      </c>
      <c r="G13106" s="40" t="s">
        <v>11404</v>
      </c>
      <c r="H13106" s="40" t="s">
        <v>11404</v>
      </c>
    </row>
    <row r="13107">
      <c r="A13107" s="39"/>
      <c r="E13107" s="40" t="s">
        <v>11404</v>
      </c>
      <c r="F13107" s="40" t="s">
        <v>11404</v>
      </c>
      <c r="G13107" s="40" t="s">
        <v>11404</v>
      </c>
      <c r="H13107" s="40" t="s">
        <v>11404</v>
      </c>
    </row>
    <row r="13108">
      <c r="A13108" s="39"/>
      <c r="E13108" s="40" t="s">
        <v>11404</v>
      </c>
      <c r="F13108" s="40" t="s">
        <v>11404</v>
      </c>
      <c r="G13108" s="40" t="s">
        <v>11404</v>
      </c>
      <c r="H13108" s="40" t="s">
        <v>11404</v>
      </c>
    </row>
    <row r="13109">
      <c r="A13109" s="39"/>
      <c r="E13109" s="40" t="s">
        <v>11404</v>
      </c>
      <c r="F13109" s="40" t="s">
        <v>11404</v>
      </c>
      <c r="G13109" s="40" t="s">
        <v>11404</v>
      </c>
      <c r="H13109" s="40" t="s">
        <v>11404</v>
      </c>
    </row>
    <row r="13110">
      <c r="A13110" s="39"/>
      <c r="E13110" s="40" t="s">
        <v>11404</v>
      </c>
      <c r="F13110" s="40" t="s">
        <v>11404</v>
      </c>
      <c r="G13110" s="40" t="s">
        <v>11404</v>
      </c>
      <c r="H13110" s="40" t="s">
        <v>11404</v>
      </c>
    </row>
    <row r="13111">
      <c r="A13111" s="39"/>
      <c r="E13111" s="40" t="s">
        <v>11404</v>
      </c>
      <c r="F13111" s="40" t="s">
        <v>11404</v>
      </c>
      <c r="G13111" s="40" t="s">
        <v>11404</v>
      </c>
      <c r="H13111" s="40" t="s">
        <v>11404</v>
      </c>
    </row>
    <row r="13112">
      <c r="A13112" s="39"/>
      <c r="E13112" s="40" t="s">
        <v>11404</v>
      </c>
      <c r="F13112" s="40" t="s">
        <v>11404</v>
      </c>
      <c r="G13112" s="40" t="s">
        <v>11404</v>
      </c>
      <c r="H13112" s="40" t="s">
        <v>11404</v>
      </c>
    </row>
    <row r="13113">
      <c r="A13113" s="39"/>
      <c r="E13113" s="40" t="s">
        <v>11404</v>
      </c>
      <c r="F13113" s="40" t="s">
        <v>11404</v>
      </c>
      <c r="G13113" s="40" t="s">
        <v>11404</v>
      </c>
      <c r="H13113" s="40" t="s">
        <v>11404</v>
      </c>
    </row>
    <row r="13114">
      <c r="A13114" s="39"/>
      <c r="E13114" s="40" t="s">
        <v>11404</v>
      </c>
      <c r="F13114" s="40" t="s">
        <v>11404</v>
      </c>
      <c r="G13114" s="40" t="s">
        <v>11404</v>
      </c>
      <c r="H13114" s="40" t="s">
        <v>11404</v>
      </c>
    </row>
    <row r="13115">
      <c r="A13115" s="39"/>
      <c r="E13115" s="40" t="s">
        <v>11404</v>
      </c>
      <c r="F13115" s="40" t="s">
        <v>11404</v>
      </c>
      <c r="G13115" s="40" t="s">
        <v>11404</v>
      </c>
      <c r="H13115" s="40" t="s">
        <v>11404</v>
      </c>
    </row>
    <row r="13116">
      <c r="A13116" s="39"/>
      <c r="E13116" s="40" t="s">
        <v>11404</v>
      </c>
      <c r="F13116" s="40" t="s">
        <v>11404</v>
      </c>
      <c r="G13116" s="40" t="s">
        <v>11404</v>
      </c>
      <c r="H13116" s="40" t="s">
        <v>11404</v>
      </c>
    </row>
    <row r="13117">
      <c r="A13117" s="39"/>
      <c r="E13117" s="40" t="s">
        <v>11404</v>
      </c>
      <c r="F13117" s="40" t="s">
        <v>11404</v>
      </c>
      <c r="G13117" s="40" t="s">
        <v>11404</v>
      </c>
      <c r="H13117" s="40" t="s">
        <v>11404</v>
      </c>
    </row>
    <row r="13118">
      <c r="A13118" s="39"/>
      <c r="E13118" s="40" t="s">
        <v>11404</v>
      </c>
      <c r="F13118" s="40" t="s">
        <v>11404</v>
      </c>
      <c r="G13118" s="40" t="s">
        <v>11404</v>
      </c>
      <c r="H13118" s="40" t="s">
        <v>11404</v>
      </c>
    </row>
    <row r="13119">
      <c r="A13119" s="39"/>
      <c r="E13119" s="40" t="s">
        <v>11404</v>
      </c>
      <c r="F13119" s="40" t="s">
        <v>11404</v>
      </c>
      <c r="G13119" s="40" t="s">
        <v>11404</v>
      </c>
      <c r="H13119" s="40" t="s">
        <v>11404</v>
      </c>
    </row>
    <row r="13120">
      <c r="A13120" s="39"/>
      <c r="E13120" s="40" t="s">
        <v>11404</v>
      </c>
      <c r="F13120" s="40" t="s">
        <v>11404</v>
      </c>
      <c r="G13120" s="40" t="s">
        <v>11404</v>
      </c>
      <c r="H13120" s="40" t="s">
        <v>11404</v>
      </c>
    </row>
    <row r="13121">
      <c r="A13121" s="39"/>
      <c r="E13121" s="40" t="s">
        <v>11404</v>
      </c>
      <c r="F13121" s="40" t="s">
        <v>11404</v>
      </c>
      <c r="G13121" s="40" t="s">
        <v>11404</v>
      </c>
      <c r="H13121" s="40" t="s">
        <v>11404</v>
      </c>
    </row>
    <row r="13122">
      <c r="A13122" s="39"/>
      <c r="E13122" s="40" t="s">
        <v>11404</v>
      </c>
      <c r="F13122" s="40" t="s">
        <v>11404</v>
      </c>
      <c r="G13122" s="40" t="s">
        <v>11404</v>
      </c>
      <c r="H13122" s="40" t="s">
        <v>11404</v>
      </c>
    </row>
    <row r="13123">
      <c r="A13123" s="39"/>
      <c r="E13123" s="40" t="s">
        <v>11404</v>
      </c>
      <c r="F13123" s="40" t="s">
        <v>11404</v>
      </c>
      <c r="G13123" s="40" t="s">
        <v>11404</v>
      </c>
      <c r="H13123" s="40" t="s">
        <v>11404</v>
      </c>
    </row>
    <row r="13124">
      <c r="A13124" s="39"/>
      <c r="E13124" s="40" t="s">
        <v>11404</v>
      </c>
      <c r="F13124" s="40" t="s">
        <v>11404</v>
      </c>
      <c r="G13124" s="40" t="s">
        <v>11404</v>
      </c>
      <c r="H13124" s="40" t="s">
        <v>11404</v>
      </c>
    </row>
    <row r="13125">
      <c r="A13125" s="39"/>
      <c r="E13125" s="40" t="s">
        <v>11404</v>
      </c>
      <c r="F13125" s="40" t="s">
        <v>11404</v>
      </c>
      <c r="G13125" s="40" t="s">
        <v>11404</v>
      </c>
      <c r="H13125" s="40" t="s">
        <v>11404</v>
      </c>
    </row>
    <row r="13126">
      <c r="A13126" s="39"/>
      <c r="E13126" s="40" t="s">
        <v>11404</v>
      </c>
      <c r="F13126" s="40" t="s">
        <v>11404</v>
      </c>
      <c r="G13126" s="40" t="s">
        <v>11404</v>
      </c>
      <c r="H13126" s="40" t="s">
        <v>11404</v>
      </c>
    </row>
    <row r="13127">
      <c r="A13127" s="39"/>
      <c r="E13127" s="40" t="s">
        <v>11404</v>
      </c>
      <c r="F13127" s="40" t="s">
        <v>11404</v>
      </c>
      <c r="G13127" s="40" t="s">
        <v>11404</v>
      </c>
      <c r="H13127" s="40" t="s">
        <v>11404</v>
      </c>
    </row>
    <row r="13128">
      <c r="A13128" s="39"/>
      <c r="E13128" s="40" t="s">
        <v>11404</v>
      </c>
      <c r="F13128" s="40" t="s">
        <v>11404</v>
      </c>
      <c r="G13128" s="40" t="s">
        <v>11404</v>
      </c>
      <c r="H13128" s="40" t="s">
        <v>11404</v>
      </c>
    </row>
    <row r="13129">
      <c r="A13129" s="39"/>
      <c r="E13129" s="40" t="s">
        <v>11404</v>
      </c>
      <c r="F13129" s="40" t="s">
        <v>11404</v>
      </c>
      <c r="G13129" s="40" t="s">
        <v>11404</v>
      </c>
      <c r="H13129" s="40" t="s">
        <v>11404</v>
      </c>
    </row>
    <row r="13130">
      <c r="A13130" s="39"/>
      <c r="E13130" s="40" t="s">
        <v>11404</v>
      </c>
      <c r="F13130" s="40" t="s">
        <v>11404</v>
      </c>
      <c r="G13130" s="40" t="s">
        <v>11404</v>
      </c>
      <c r="H13130" s="40" t="s">
        <v>11404</v>
      </c>
    </row>
    <row r="13131">
      <c r="A13131" s="39"/>
      <c r="E13131" s="40" t="s">
        <v>11404</v>
      </c>
      <c r="F13131" s="40" t="s">
        <v>11404</v>
      </c>
      <c r="G13131" s="40" t="s">
        <v>11404</v>
      </c>
      <c r="H13131" s="40" t="s">
        <v>11404</v>
      </c>
    </row>
    <row r="13132">
      <c r="A13132" s="39"/>
      <c r="E13132" s="40" t="s">
        <v>11404</v>
      </c>
      <c r="F13132" s="40" t="s">
        <v>11404</v>
      </c>
      <c r="G13132" s="40" t="s">
        <v>11404</v>
      </c>
      <c r="H13132" s="40" t="s">
        <v>11404</v>
      </c>
    </row>
    <row r="13133">
      <c r="A13133" s="39"/>
      <c r="E13133" s="40" t="s">
        <v>11404</v>
      </c>
      <c r="F13133" s="40" t="s">
        <v>11404</v>
      </c>
      <c r="G13133" s="40" t="s">
        <v>11404</v>
      </c>
      <c r="H13133" s="40" t="s">
        <v>11404</v>
      </c>
    </row>
    <row r="13134">
      <c r="A13134" s="39"/>
      <c r="E13134" s="40" t="s">
        <v>11404</v>
      </c>
      <c r="F13134" s="40" t="s">
        <v>11404</v>
      </c>
      <c r="G13134" s="40" t="s">
        <v>11404</v>
      </c>
      <c r="H13134" s="40" t="s">
        <v>11404</v>
      </c>
    </row>
    <row r="13135">
      <c r="A13135" s="39"/>
      <c r="E13135" s="40" t="s">
        <v>11404</v>
      </c>
      <c r="F13135" s="40" t="s">
        <v>11404</v>
      </c>
      <c r="G13135" s="40" t="s">
        <v>11404</v>
      </c>
      <c r="H13135" s="40" t="s">
        <v>11404</v>
      </c>
    </row>
    <row r="13136">
      <c r="A13136" s="39"/>
      <c r="E13136" s="40" t="s">
        <v>11404</v>
      </c>
      <c r="F13136" s="40" t="s">
        <v>11404</v>
      </c>
      <c r="G13136" s="40" t="s">
        <v>11404</v>
      </c>
      <c r="H13136" s="40" t="s">
        <v>11404</v>
      </c>
    </row>
    <row r="13137">
      <c r="A13137" s="39"/>
      <c r="E13137" s="40" t="s">
        <v>11404</v>
      </c>
      <c r="F13137" s="40" t="s">
        <v>11404</v>
      </c>
      <c r="G13137" s="40" t="s">
        <v>11404</v>
      </c>
      <c r="H13137" s="40" t="s">
        <v>11404</v>
      </c>
    </row>
    <row r="13138">
      <c r="A13138" s="39"/>
      <c r="E13138" s="40" t="s">
        <v>11404</v>
      </c>
      <c r="F13138" s="40" t="s">
        <v>11404</v>
      </c>
      <c r="G13138" s="40" t="s">
        <v>11404</v>
      </c>
      <c r="H13138" s="40" t="s">
        <v>11404</v>
      </c>
    </row>
    <row r="13139">
      <c r="A13139" s="39"/>
      <c r="E13139" s="40" t="s">
        <v>11404</v>
      </c>
      <c r="F13139" s="40" t="s">
        <v>11404</v>
      </c>
      <c r="G13139" s="40" t="s">
        <v>11404</v>
      </c>
      <c r="H13139" s="40" t="s">
        <v>11404</v>
      </c>
    </row>
    <row r="13140">
      <c r="A13140" s="39"/>
      <c r="E13140" s="40" t="s">
        <v>11404</v>
      </c>
      <c r="F13140" s="40" t="s">
        <v>11404</v>
      </c>
      <c r="G13140" s="40" t="s">
        <v>11404</v>
      </c>
      <c r="H13140" s="40" t="s">
        <v>11404</v>
      </c>
    </row>
    <row r="13141">
      <c r="A13141" s="39"/>
      <c r="E13141" s="40" t="s">
        <v>11404</v>
      </c>
      <c r="F13141" s="40" t="s">
        <v>11404</v>
      </c>
      <c r="G13141" s="40" t="s">
        <v>11404</v>
      </c>
      <c r="H13141" s="40" t="s">
        <v>11404</v>
      </c>
    </row>
    <row r="13142">
      <c r="A13142" s="39"/>
      <c r="E13142" s="40" t="s">
        <v>11404</v>
      </c>
      <c r="F13142" s="40" t="s">
        <v>11404</v>
      </c>
      <c r="G13142" s="40" t="s">
        <v>11404</v>
      </c>
      <c r="H13142" s="40" t="s">
        <v>11404</v>
      </c>
    </row>
    <row r="13143">
      <c r="A13143" s="39"/>
      <c r="E13143" s="40" t="s">
        <v>11404</v>
      </c>
      <c r="F13143" s="40" t="s">
        <v>11404</v>
      </c>
      <c r="G13143" s="40" t="s">
        <v>11404</v>
      </c>
      <c r="H13143" s="40" t="s">
        <v>11404</v>
      </c>
    </row>
    <row r="13144">
      <c r="A13144" s="39"/>
      <c r="E13144" s="40" t="s">
        <v>11404</v>
      </c>
      <c r="F13144" s="40" t="s">
        <v>11404</v>
      </c>
      <c r="G13144" s="40" t="s">
        <v>11404</v>
      </c>
      <c r="H13144" s="40" t="s">
        <v>11404</v>
      </c>
    </row>
    <row r="13145">
      <c r="A13145" s="39"/>
      <c r="E13145" s="40" t="s">
        <v>11404</v>
      </c>
      <c r="F13145" s="40" t="s">
        <v>11404</v>
      </c>
      <c r="G13145" s="40" t="s">
        <v>11404</v>
      </c>
      <c r="H13145" s="40" t="s">
        <v>11404</v>
      </c>
    </row>
    <row r="13146">
      <c r="A13146" s="39"/>
      <c r="E13146" s="40" t="s">
        <v>11404</v>
      </c>
      <c r="F13146" s="40" t="s">
        <v>11404</v>
      </c>
      <c r="G13146" s="40" t="s">
        <v>11404</v>
      </c>
      <c r="H13146" s="40" t="s">
        <v>11404</v>
      </c>
    </row>
    <row r="13147">
      <c r="A13147" s="39"/>
      <c r="E13147" s="40" t="s">
        <v>11404</v>
      </c>
      <c r="F13147" s="40" t="s">
        <v>11404</v>
      </c>
      <c r="G13147" s="40" t="s">
        <v>11404</v>
      </c>
      <c r="H13147" s="40" t="s">
        <v>11404</v>
      </c>
    </row>
    <row r="13148">
      <c r="A13148" s="39"/>
      <c r="E13148" s="40" t="s">
        <v>11404</v>
      </c>
      <c r="F13148" s="40" t="s">
        <v>11404</v>
      </c>
      <c r="G13148" s="40" t="s">
        <v>11404</v>
      </c>
      <c r="H13148" s="40" t="s">
        <v>11404</v>
      </c>
    </row>
    <row r="13149">
      <c r="A13149" s="39"/>
      <c r="E13149" s="40" t="s">
        <v>11404</v>
      </c>
      <c r="F13149" s="40" t="s">
        <v>11404</v>
      </c>
      <c r="G13149" s="40" t="s">
        <v>11404</v>
      </c>
      <c r="H13149" s="40" t="s">
        <v>11404</v>
      </c>
    </row>
    <row r="13150">
      <c r="A13150" s="39"/>
      <c r="E13150" s="40" t="s">
        <v>11404</v>
      </c>
      <c r="F13150" s="40" t="s">
        <v>11404</v>
      </c>
      <c r="G13150" s="40" t="s">
        <v>11404</v>
      </c>
      <c r="H13150" s="40" t="s">
        <v>11404</v>
      </c>
    </row>
    <row r="13151">
      <c r="A13151" s="39"/>
      <c r="E13151" s="40" t="s">
        <v>11404</v>
      </c>
      <c r="F13151" s="40" t="s">
        <v>11404</v>
      </c>
      <c r="G13151" s="40" t="s">
        <v>11404</v>
      </c>
      <c r="H13151" s="40" t="s">
        <v>11404</v>
      </c>
    </row>
    <row r="13152">
      <c r="A13152" s="39"/>
      <c r="E13152" s="40" t="s">
        <v>11404</v>
      </c>
      <c r="F13152" s="40" t="s">
        <v>11404</v>
      </c>
      <c r="G13152" s="40" t="s">
        <v>11404</v>
      </c>
      <c r="H13152" s="40" t="s">
        <v>11404</v>
      </c>
    </row>
    <row r="13153">
      <c r="A13153" s="39"/>
      <c r="E13153" s="40" t="s">
        <v>11404</v>
      </c>
      <c r="F13153" s="40" t="s">
        <v>11404</v>
      </c>
      <c r="G13153" s="40" t="s">
        <v>11404</v>
      </c>
      <c r="H13153" s="40" t="s">
        <v>11404</v>
      </c>
    </row>
    <row r="13154">
      <c r="A13154" s="39"/>
      <c r="E13154" s="40" t="s">
        <v>11404</v>
      </c>
      <c r="F13154" s="40" t="s">
        <v>11404</v>
      </c>
      <c r="G13154" s="40" t="s">
        <v>11404</v>
      </c>
      <c r="H13154" s="40" t="s">
        <v>11404</v>
      </c>
    </row>
    <row r="13155">
      <c r="A13155" s="39"/>
      <c r="E13155" s="40" t="s">
        <v>11404</v>
      </c>
      <c r="F13155" s="40" t="s">
        <v>11404</v>
      </c>
      <c r="G13155" s="40" t="s">
        <v>11404</v>
      </c>
      <c r="H13155" s="40" t="s">
        <v>11404</v>
      </c>
    </row>
    <row r="13156">
      <c r="A13156" s="39"/>
      <c r="E13156" s="40" t="s">
        <v>11404</v>
      </c>
      <c r="F13156" s="40" t="s">
        <v>11404</v>
      </c>
      <c r="G13156" s="40" t="s">
        <v>11404</v>
      </c>
      <c r="H13156" s="40" t="s">
        <v>11404</v>
      </c>
    </row>
    <row r="13157">
      <c r="A13157" s="39"/>
      <c r="E13157" s="40" t="s">
        <v>11404</v>
      </c>
      <c r="F13157" s="40" t="s">
        <v>11404</v>
      </c>
      <c r="G13157" s="40" t="s">
        <v>11404</v>
      </c>
      <c r="H13157" s="40" t="s">
        <v>11404</v>
      </c>
    </row>
    <row r="13158">
      <c r="A13158" s="39"/>
      <c r="E13158" s="40" t="s">
        <v>11404</v>
      </c>
      <c r="F13158" s="40" t="s">
        <v>11404</v>
      </c>
      <c r="G13158" s="40" t="s">
        <v>11404</v>
      </c>
      <c r="H13158" s="40" t="s">
        <v>11404</v>
      </c>
    </row>
    <row r="13159">
      <c r="A13159" s="39"/>
      <c r="E13159" s="40" t="s">
        <v>11404</v>
      </c>
      <c r="F13159" s="40" t="s">
        <v>11404</v>
      </c>
      <c r="G13159" s="40" t="s">
        <v>11404</v>
      </c>
      <c r="H13159" s="40" t="s">
        <v>11404</v>
      </c>
    </row>
    <row r="13160">
      <c r="A13160" s="39"/>
      <c r="E13160" s="40" t="s">
        <v>11404</v>
      </c>
      <c r="F13160" s="40" t="s">
        <v>11404</v>
      </c>
      <c r="G13160" s="40" t="s">
        <v>11404</v>
      </c>
      <c r="H13160" s="40" t="s">
        <v>11404</v>
      </c>
    </row>
    <row r="13161">
      <c r="A13161" s="39"/>
      <c r="E13161" s="40" t="s">
        <v>11404</v>
      </c>
      <c r="F13161" s="40" t="s">
        <v>11404</v>
      </c>
      <c r="G13161" s="40" t="s">
        <v>11404</v>
      </c>
      <c r="H13161" s="40" t="s">
        <v>11404</v>
      </c>
    </row>
    <row r="13162">
      <c r="A13162" s="39"/>
      <c r="E13162" s="40" t="s">
        <v>11404</v>
      </c>
      <c r="F13162" s="40" t="s">
        <v>11404</v>
      </c>
      <c r="G13162" s="40" t="s">
        <v>11404</v>
      </c>
      <c r="H13162" s="40" t="s">
        <v>11404</v>
      </c>
    </row>
    <row r="13163">
      <c r="A13163" s="39"/>
      <c r="E13163" s="40" t="s">
        <v>11404</v>
      </c>
      <c r="F13163" s="40" t="s">
        <v>11404</v>
      </c>
      <c r="G13163" s="40" t="s">
        <v>11404</v>
      </c>
      <c r="H13163" s="40" t="s">
        <v>11404</v>
      </c>
    </row>
    <row r="13164">
      <c r="A13164" s="39"/>
      <c r="E13164" s="40" t="s">
        <v>11404</v>
      </c>
      <c r="F13164" s="40" t="s">
        <v>11404</v>
      </c>
      <c r="G13164" s="40" t="s">
        <v>11404</v>
      </c>
      <c r="H13164" s="40" t="s">
        <v>11404</v>
      </c>
    </row>
    <row r="13165">
      <c r="A13165" s="39"/>
      <c r="E13165" s="40" t="s">
        <v>11404</v>
      </c>
      <c r="F13165" s="40" t="s">
        <v>11404</v>
      </c>
      <c r="G13165" s="40" t="s">
        <v>11404</v>
      </c>
      <c r="H13165" s="40" t="s">
        <v>11404</v>
      </c>
    </row>
    <row r="13166">
      <c r="A13166" s="39"/>
      <c r="E13166" s="40" t="s">
        <v>11404</v>
      </c>
      <c r="F13166" s="40" t="s">
        <v>11404</v>
      </c>
      <c r="G13166" s="40" t="s">
        <v>11404</v>
      </c>
      <c r="H13166" s="40" t="s">
        <v>11404</v>
      </c>
    </row>
    <row r="13167">
      <c r="A13167" s="39"/>
      <c r="E13167" s="40" t="s">
        <v>11404</v>
      </c>
      <c r="F13167" s="40" t="s">
        <v>11404</v>
      </c>
      <c r="G13167" s="40" t="s">
        <v>11404</v>
      </c>
      <c r="H13167" s="40" t="s">
        <v>11404</v>
      </c>
    </row>
    <row r="13168">
      <c r="A13168" s="39"/>
      <c r="E13168" s="40" t="s">
        <v>11404</v>
      </c>
      <c r="F13168" s="40" t="s">
        <v>11404</v>
      </c>
      <c r="G13168" s="40" t="s">
        <v>11404</v>
      </c>
      <c r="H13168" s="40" t="s">
        <v>11404</v>
      </c>
    </row>
    <row r="13169">
      <c r="A13169" s="39"/>
      <c r="E13169" s="40" t="s">
        <v>11404</v>
      </c>
      <c r="F13169" s="40" t="s">
        <v>11404</v>
      </c>
      <c r="G13169" s="40" t="s">
        <v>11404</v>
      </c>
      <c r="H13169" s="40" t="s">
        <v>11404</v>
      </c>
    </row>
    <row r="13170">
      <c r="A13170" s="39"/>
      <c r="E13170" s="40" t="s">
        <v>11404</v>
      </c>
      <c r="F13170" s="40" t="s">
        <v>11404</v>
      </c>
      <c r="G13170" s="40" t="s">
        <v>11404</v>
      </c>
      <c r="H13170" s="40" t="s">
        <v>11404</v>
      </c>
    </row>
    <row r="13171">
      <c r="A13171" s="39"/>
      <c r="E13171" s="40" t="s">
        <v>11404</v>
      </c>
      <c r="F13171" s="40" t="s">
        <v>11404</v>
      </c>
      <c r="G13171" s="40" t="s">
        <v>11404</v>
      </c>
      <c r="H13171" s="40" t="s">
        <v>11404</v>
      </c>
    </row>
    <row r="13172">
      <c r="A13172" s="39"/>
      <c r="E13172" s="40" t="s">
        <v>11404</v>
      </c>
      <c r="F13172" s="40" t="s">
        <v>11404</v>
      </c>
      <c r="G13172" s="40" t="s">
        <v>11404</v>
      </c>
      <c r="H13172" s="40" t="s">
        <v>11404</v>
      </c>
    </row>
    <row r="13173">
      <c r="A13173" s="39"/>
      <c r="E13173" s="40" t="s">
        <v>11404</v>
      </c>
      <c r="F13173" s="40" t="s">
        <v>11404</v>
      </c>
      <c r="G13173" s="40" t="s">
        <v>11404</v>
      </c>
      <c r="H13173" s="40" t="s">
        <v>11404</v>
      </c>
    </row>
    <row r="13174">
      <c r="A13174" s="39"/>
      <c r="E13174" s="40" t="s">
        <v>11404</v>
      </c>
      <c r="F13174" s="40" t="s">
        <v>11404</v>
      </c>
      <c r="G13174" s="40" t="s">
        <v>11404</v>
      </c>
      <c r="H13174" s="40" t="s">
        <v>11404</v>
      </c>
    </row>
    <row r="13175">
      <c r="A13175" s="39"/>
      <c r="E13175" s="40" t="s">
        <v>11404</v>
      </c>
      <c r="F13175" s="40" t="s">
        <v>11404</v>
      </c>
      <c r="G13175" s="40" t="s">
        <v>11404</v>
      </c>
      <c r="H13175" s="40" t="s">
        <v>11404</v>
      </c>
    </row>
    <row r="13176">
      <c r="A13176" s="39"/>
      <c r="E13176" s="40" t="s">
        <v>11404</v>
      </c>
      <c r="F13176" s="40" t="s">
        <v>11404</v>
      </c>
      <c r="G13176" s="40" t="s">
        <v>11404</v>
      </c>
      <c r="H13176" s="40" t="s">
        <v>11404</v>
      </c>
    </row>
    <row r="13177">
      <c r="A13177" s="39"/>
      <c r="E13177" s="40" t="s">
        <v>11404</v>
      </c>
      <c r="F13177" s="40" t="s">
        <v>11404</v>
      </c>
      <c r="G13177" s="40" t="s">
        <v>11404</v>
      </c>
      <c r="H13177" s="40" t="s">
        <v>11404</v>
      </c>
    </row>
    <row r="13178">
      <c r="A13178" s="39"/>
      <c r="E13178" s="40" t="s">
        <v>11404</v>
      </c>
      <c r="F13178" s="40" t="s">
        <v>11404</v>
      </c>
      <c r="G13178" s="40" t="s">
        <v>11404</v>
      </c>
      <c r="H13178" s="40" t="s">
        <v>11404</v>
      </c>
    </row>
    <row r="13179">
      <c r="A13179" s="39"/>
      <c r="E13179" s="40" t="s">
        <v>11404</v>
      </c>
      <c r="F13179" s="40" t="s">
        <v>11404</v>
      </c>
      <c r="G13179" s="40" t="s">
        <v>11404</v>
      </c>
      <c r="H13179" s="40" t="s">
        <v>11404</v>
      </c>
    </row>
    <row r="13180">
      <c r="A13180" s="39"/>
      <c r="E13180" s="40" t="s">
        <v>11404</v>
      </c>
      <c r="F13180" s="40" t="s">
        <v>11404</v>
      </c>
      <c r="G13180" s="40" t="s">
        <v>11404</v>
      </c>
      <c r="H13180" s="40" t="s">
        <v>11404</v>
      </c>
    </row>
    <row r="13181">
      <c r="A13181" s="39"/>
      <c r="E13181" s="40" t="s">
        <v>11404</v>
      </c>
      <c r="F13181" s="40" t="s">
        <v>11404</v>
      </c>
      <c r="G13181" s="40" t="s">
        <v>11404</v>
      </c>
      <c r="H13181" s="40" t="s">
        <v>11404</v>
      </c>
    </row>
    <row r="13182">
      <c r="A13182" s="39"/>
      <c r="E13182" s="40" t="s">
        <v>11404</v>
      </c>
      <c r="F13182" s="40" t="s">
        <v>11404</v>
      </c>
      <c r="G13182" s="40" t="s">
        <v>11404</v>
      </c>
      <c r="H13182" s="40" t="s">
        <v>11404</v>
      </c>
    </row>
    <row r="13183">
      <c r="A13183" s="39"/>
      <c r="E13183" s="40" t="s">
        <v>11404</v>
      </c>
      <c r="F13183" s="40" t="s">
        <v>11404</v>
      </c>
      <c r="G13183" s="40" t="s">
        <v>11404</v>
      </c>
      <c r="H13183" s="40" t="s">
        <v>11404</v>
      </c>
    </row>
    <row r="13184">
      <c r="A13184" s="39"/>
      <c r="E13184" s="40" t="s">
        <v>11404</v>
      </c>
      <c r="F13184" s="40" t="s">
        <v>11404</v>
      </c>
      <c r="G13184" s="40" t="s">
        <v>11404</v>
      </c>
      <c r="H13184" s="40" t="s">
        <v>11404</v>
      </c>
    </row>
    <row r="13185">
      <c r="A13185" s="39"/>
      <c r="E13185" s="40" t="s">
        <v>11404</v>
      </c>
      <c r="F13185" s="40" t="s">
        <v>11404</v>
      </c>
      <c r="G13185" s="40" t="s">
        <v>11404</v>
      </c>
      <c r="H13185" s="40" t="s">
        <v>11404</v>
      </c>
    </row>
    <row r="13186">
      <c r="A13186" s="39"/>
      <c r="E13186" s="40" t="s">
        <v>11404</v>
      </c>
      <c r="F13186" s="40" t="s">
        <v>11404</v>
      </c>
      <c r="G13186" s="40" t="s">
        <v>11404</v>
      </c>
      <c r="H13186" s="40" t="s">
        <v>11404</v>
      </c>
    </row>
    <row r="13187">
      <c r="A13187" s="39"/>
      <c r="E13187" s="40" t="s">
        <v>11404</v>
      </c>
      <c r="F13187" s="40" t="s">
        <v>11404</v>
      </c>
      <c r="G13187" s="40" t="s">
        <v>11404</v>
      </c>
      <c r="H13187" s="40" t="s">
        <v>11404</v>
      </c>
    </row>
    <row r="13188">
      <c r="A13188" s="39"/>
      <c r="E13188" s="40" t="s">
        <v>11404</v>
      </c>
      <c r="F13188" s="40" t="s">
        <v>11404</v>
      </c>
      <c r="G13188" s="40" t="s">
        <v>11404</v>
      </c>
      <c r="H13188" s="40" t="s">
        <v>11404</v>
      </c>
    </row>
    <row r="13189">
      <c r="A13189" s="39"/>
      <c r="E13189" s="40" t="s">
        <v>11404</v>
      </c>
      <c r="F13189" s="40" t="s">
        <v>11404</v>
      </c>
      <c r="G13189" s="40" t="s">
        <v>11404</v>
      </c>
      <c r="H13189" s="40" t="s">
        <v>11404</v>
      </c>
    </row>
    <row r="13190">
      <c r="A13190" s="39"/>
      <c r="E13190" s="40" t="s">
        <v>11404</v>
      </c>
      <c r="F13190" s="40" t="s">
        <v>11404</v>
      </c>
      <c r="G13190" s="40" t="s">
        <v>11404</v>
      </c>
      <c r="H13190" s="40" t="s">
        <v>11404</v>
      </c>
    </row>
    <row r="13191">
      <c r="A13191" s="39"/>
      <c r="E13191" s="40" t="s">
        <v>11404</v>
      </c>
      <c r="F13191" s="40" t="s">
        <v>11404</v>
      </c>
      <c r="G13191" s="40" t="s">
        <v>11404</v>
      </c>
      <c r="H13191" s="40" t="s">
        <v>11404</v>
      </c>
    </row>
    <row r="13192">
      <c r="A13192" s="39"/>
      <c r="E13192" s="40" t="s">
        <v>11404</v>
      </c>
      <c r="F13192" s="40" t="s">
        <v>11404</v>
      </c>
      <c r="G13192" s="40" t="s">
        <v>11404</v>
      </c>
      <c r="H13192" s="40" t="s">
        <v>11404</v>
      </c>
    </row>
    <row r="13193">
      <c r="A13193" s="39"/>
      <c r="E13193" s="40" t="s">
        <v>11404</v>
      </c>
      <c r="F13193" s="40" t="s">
        <v>11404</v>
      </c>
      <c r="G13193" s="40" t="s">
        <v>11404</v>
      </c>
      <c r="H13193" s="40" t="s">
        <v>11404</v>
      </c>
    </row>
    <row r="13194">
      <c r="A13194" s="39"/>
      <c r="E13194" s="40" t="s">
        <v>11404</v>
      </c>
      <c r="F13194" s="40" t="s">
        <v>11404</v>
      </c>
      <c r="G13194" s="40" t="s">
        <v>11404</v>
      </c>
      <c r="H13194" s="40" t="s">
        <v>11404</v>
      </c>
    </row>
    <row r="13195">
      <c r="A13195" s="39"/>
      <c r="E13195" s="40" t="s">
        <v>11404</v>
      </c>
      <c r="F13195" s="40" t="s">
        <v>11404</v>
      </c>
      <c r="G13195" s="40" t="s">
        <v>11404</v>
      </c>
      <c r="H13195" s="40" t="s">
        <v>11404</v>
      </c>
    </row>
    <row r="13196">
      <c r="A13196" s="39"/>
      <c r="E13196" s="40" t="s">
        <v>11404</v>
      </c>
      <c r="F13196" s="40" t="s">
        <v>11404</v>
      </c>
      <c r="G13196" s="40" t="s">
        <v>11404</v>
      </c>
      <c r="H13196" s="40" t="s">
        <v>11404</v>
      </c>
    </row>
    <row r="13197">
      <c r="A13197" s="39"/>
      <c r="E13197" s="40" t="s">
        <v>11404</v>
      </c>
      <c r="F13197" s="40" t="s">
        <v>11404</v>
      </c>
      <c r="G13197" s="40" t="s">
        <v>11404</v>
      </c>
      <c r="H13197" s="40" t="s">
        <v>11404</v>
      </c>
    </row>
    <row r="13198">
      <c r="A13198" s="39"/>
      <c r="E13198" s="40" t="s">
        <v>11404</v>
      </c>
      <c r="F13198" s="40" t="s">
        <v>11404</v>
      </c>
      <c r="G13198" s="40" t="s">
        <v>11404</v>
      </c>
      <c r="H13198" s="40" t="s">
        <v>11404</v>
      </c>
    </row>
    <row r="13199">
      <c r="A13199" s="39"/>
      <c r="E13199" s="40" t="s">
        <v>11404</v>
      </c>
      <c r="F13199" s="40" t="s">
        <v>11404</v>
      </c>
      <c r="G13199" s="40" t="s">
        <v>11404</v>
      </c>
      <c r="H13199" s="40" t="s">
        <v>11404</v>
      </c>
    </row>
    <row r="13200">
      <c r="A13200" s="39"/>
      <c r="E13200" s="40" t="s">
        <v>11404</v>
      </c>
      <c r="F13200" s="40" t="s">
        <v>11404</v>
      </c>
      <c r="G13200" s="40" t="s">
        <v>11404</v>
      </c>
      <c r="H13200" s="40" t="s">
        <v>11404</v>
      </c>
    </row>
    <row r="13201">
      <c r="A13201" s="39"/>
      <c r="E13201" s="40" t="s">
        <v>11404</v>
      </c>
      <c r="F13201" s="40" t="s">
        <v>11404</v>
      </c>
      <c r="G13201" s="40" t="s">
        <v>11404</v>
      </c>
      <c r="H13201" s="40" t="s">
        <v>11404</v>
      </c>
    </row>
    <row r="13202">
      <c r="A13202" s="39"/>
      <c r="E13202" s="40" t="s">
        <v>11404</v>
      </c>
      <c r="F13202" s="40" t="s">
        <v>11404</v>
      </c>
      <c r="G13202" s="40" t="s">
        <v>11404</v>
      </c>
      <c r="H13202" s="40" t="s">
        <v>11404</v>
      </c>
    </row>
    <row r="13203">
      <c r="A13203" s="39"/>
      <c r="E13203" s="40" t="s">
        <v>11404</v>
      </c>
      <c r="F13203" s="40" t="s">
        <v>11404</v>
      </c>
      <c r="G13203" s="40" t="s">
        <v>11404</v>
      </c>
      <c r="H13203" s="40" t="s">
        <v>11404</v>
      </c>
    </row>
    <row r="13204">
      <c r="A13204" s="39"/>
      <c r="E13204" s="40" t="s">
        <v>11404</v>
      </c>
      <c r="F13204" s="40" t="s">
        <v>11404</v>
      </c>
      <c r="G13204" s="40" t="s">
        <v>11404</v>
      </c>
      <c r="H13204" s="40" t="s">
        <v>11404</v>
      </c>
    </row>
    <row r="13205">
      <c r="A13205" s="39"/>
      <c r="E13205" s="40" t="s">
        <v>11404</v>
      </c>
      <c r="F13205" s="40" t="s">
        <v>11404</v>
      </c>
      <c r="G13205" s="40" t="s">
        <v>11404</v>
      </c>
      <c r="H13205" s="40" t="s">
        <v>11404</v>
      </c>
    </row>
    <row r="13206">
      <c r="A13206" s="39"/>
      <c r="E13206" s="40" t="s">
        <v>11404</v>
      </c>
      <c r="F13206" s="40" t="s">
        <v>11404</v>
      </c>
      <c r="G13206" s="40" t="s">
        <v>11404</v>
      </c>
      <c r="H13206" s="40" t="s">
        <v>11404</v>
      </c>
    </row>
    <row r="13207">
      <c r="A13207" s="39"/>
      <c r="E13207" s="40" t="s">
        <v>11404</v>
      </c>
      <c r="F13207" s="40" t="s">
        <v>11404</v>
      </c>
      <c r="G13207" s="40" t="s">
        <v>11404</v>
      </c>
      <c r="H13207" s="40" t="s">
        <v>11404</v>
      </c>
    </row>
    <row r="13208">
      <c r="A13208" s="39"/>
      <c r="E13208" s="40" t="s">
        <v>11404</v>
      </c>
      <c r="F13208" s="40" t="s">
        <v>11404</v>
      </c>
      <c r="G13208" s="40" t="s">
        <v>11404</v>
      </c>
      <c r="H13208" s="40" t="s">
        <v>11404</v>
      </c>
    </row>
    <row r="13209">
      <c r="A13209" s="39"/>
      <c r="E13209" s="40" t="s">
        <v>11404</v>
      </c>
      <c r="F13209" s="40" t="s">
        <v>11404</v>
      </c>
      <c r="G13209" s="40" t="s">
        <v>11404</v>
      </c>
      <c r="H13209" s="40" t="s">
        <v>11404</v>
      </c>
    </row>
    <row r="13210">
      <c r="A13210" s="39"/>
      <c r="E13210" s="40" t="s">
        <v>11404</v>
      </c>
      <c r="F13210" s="40" t="s">
        <v>11404</v>
      </c>
      <c r="G13210" s="40" t="s">
        <v>11404</v>
      </c>
      <c r="H13210" s="40" t="s">
        <v>11404</v>
      </c>
    </row>
    <row r="13211">
      <c r="A13211" s="39"/>
      <c r="E13211" s="40" t="s">
        <v>11404</v>
      </c>
      <c r="F13211" s="40" t="s">
        <v>11404</v>
      </c>
      <c r="G13211" s="40" t="s">
        <v>11404</v>
      </c>
      <c r="H13211" s="40" t="s">
        <v>11404</v>
      </c>
    </row>
    <row r="13212">
      <c r="A13212" s="39"/>
      <c r="E13212" s="40" t="s">
        <v>11404</v>
      </c>
      <c r="F13212" s="40" t="s">
        <v>11404</v>
      </c>
      <c r="G13212" s="40" t="s">
        <v>11404</v>
      </c>
      <c r="H13212" s="40" t="s">
        <v>11404</v>
      </c>
    </row>
    <row r="13213">
      <c r="A13213" s="39"/>
      <c r="E13213" s="40" t="s">
        <v>11404</v>
      </c>
      <c r="F13213" s="40" t="s">
        <v>11404</v>
      </c>
      <c r="G13213" s="40" t="s">
        <v>11404</v>
      </c>
      <c r="H13213" s="40" t="s">
        <v>11404</v>
      </c>
    </row>
    <row r="13214">
      <c r="A13214" s="39"/>
      <c r="E13214" s="40" t="s">
        <v>11404</v>
      </c>
      <c r="F13214" s="40" t="s">
        <v>11404</v>
      </c>
      <c r="G13214" s="40" t="s">
        <v>11404</v>
      </c>
      <c r="H13214" s="40" t="s">
        <v>11404</v>
      </c>
    </row>
    <row r="13215">
      <c r="A13215" s="39"/>
      <c r="E13215" s="40" t="s">
        <v>11404</v>
      </c>
      <c r="F13215" s="40" t="s">
        <v>11404</v>
      </c>
      <c r="G13215" s="40" t="s">
        <v>11404</v>
      </c>
      <c r="H13215" s="40" t="s">
        <v>11404</v>
      </c>
    </row>
    <row r="13216">
      <c r="A13216" s="39"/>
      <c r="E13216" s="40" t="s">
        <v>11404</v>
      </c>
      <c r="F13216" s="40" t="s">
        <v>11404</v>
      </c>
      <c r="G13216" s="40" t="s">
        <v>11404</v>
      </c>
      <c r="H13216" s="40" t="s">
        <v>11404</v>
      </c>
    </row>
    <row r="13217">
      <c r="A13217" s="39"/>
      <c r="E13217" s="40" t="s">
        <v>11404</v>
      </c>
      <c r="F13217" s="40" t="s">
        <v>11404</v>
      </c>
      <c r="G13217" s="40" t="s">
        <v>11404</v>
      </c>
      <c r="H13217" s="40" t="s">
        <v>11404</v>
      </c>
    </row>
    <row r="13218">
      <c r="A13218" s="39"/>
      <c r="E13218" s="40" t="s">
        <v>11404</v>
      </c>
      <c r="F13218" s="40" t="s">
        <v>11404</v>
      </c>
      <c r="G13218" s="40" t="s">
        <v>11404</v>
      </c>
      <c r="H13218" s="40" t="s">
        <v>11404</v>
      </c>
    </row>
    <row r="13219">
      <c r="A13219" s="39"/>
      <c r="E13219" s="40" t="s">
        <v>11404</v>
      </c>
      <c r="F13219" s="40" t="s">
        <v>11404</v>
      </c>
      <c r="G13219" s="40" t="s">
        <v>11404</v>
      </c>
      <c r="H13219" s="40" t="s">
        <v>11404</v>
      </c>
    </row>
    <row r="13220">
      <c r="A13220" s="39"/>
      <c r="E13220" s="40" t="s">
        <v>11404</v>
      </c>
      <c r="F13220" s="40" t="s">
        <v>11404</v>
      </c>
      <c r="G13220" s="40" t="s">
        <v>11404</v>
      </c>
      <c r="H13220" s="40" t="s">
        <v>11404</v>
      </c>
    </row>
    <row r="13221">
      <c r="A13221" s="39"/>
      <c r="E13221" s="40" t="s">
        <v>11404</v>
      </c>
      <c r="F13221" s="40" t="s">
        <v>11404</v>
      </c>
      <c r="G13221" s="40" t="s">
        <v>11404</v>
      </c>
      <c r="H13221" s="40" t="s">
        <v>11404</v>
      </c>
    </row>
    <row r="13222">
      <c r="A13222" s="39"/>
      <c r="E13222" s="40" t="s">
        <v>11404</v>
      </c>
      <c r="F13222" s="40" t="s">
        <v>11404</v>
      </c>
      <c r="G13222" s="40" t="s">
        <v>11404</v>
      </c>
      <c r="H13222" s="40" t="s">
        <v>11404</v>
      </c>
    </row>
    <row r="13223">
      <c r="A13223" s="39"/>
      <c r="E13223" s="40" t="s">
        <v>11404</v>
      </c>
      <c r="F13223" s="40" t="s">
        <v>11404</v>
      </c>
      <c r="G13223" s="40" t="s">
        <v>11404</v>
      </c>
      <c r="H13223" s="40" t="s">
        <v>11404</v>
      </c>
    </row>
    <row r="13224">
      <c r="A13224" s="39"/>
      <c r="E13224" s="40" t="s">
        <v>11404</v>
      </c>
      <c r="F13224" s="40" t="s">
        <v>11404</v>
      </c>
      <c r="G13224" s="40" t="s">
        <v>11404</v>
      </c>
      <c r="H13224" s="40" t="s">
        <v>11404</v>
      </c>
    </row>
    <row r="13225">
      <c r="A13225" s="39"/>
      <c r="E13225" s="40" t="s">
        <v>11404</v>
      </c>
      <c r="F13225" s="40" t="s">
        <v>11404</v>
      </c>
      <c r="G13225" s="40" t="s">
        <v>11404</v>
      </c>
      <c r="H13225" s="40" t="s">
        <v>11404</v>
      </c>
    </row>
    <row r="13226">
      <c r="A13226" s="39"/>
      <c r="E13226" s="40" t="s">
        <v>11404</v>
      </c>
      <c r="F13226" s="40" t="s">
        <v>11404</v>
      </c>
      <c r="G13226" s="40" t="s">
        <v>11404</v>
      </c>
      <c r="H13226" s="40" t="s">
        <v>11404</v>
      </c>
    </row>
    <row r="13227">
      <c r="A13227" s="39"/>
      <c r="E13227" s="40" t="s">
        <v>11404</v>
      </c>
      <c r="F13227" s="40" t="s">
        <v>11404</v>
      </c>
      <c r="G13227" s="40" t="s">
        <v>11404</v>
      </c>
      <c r="H13227" s="40" t="s">
        <v>11404</v>
      </c>
    </row>
    <row r="13228">
      <c r="A13228" s="39"/>
      <c r="E13228" s="40" t="s">
        <v>11404</v>
      </c>
      <c r="F13228" s="40" t="s">
        <v>11404</v>
      </c>
      <c r="G13228" s="40" t="s">
        <v>11404</v>
      </c>
      <c r="H13228" s="40" t="s">
        <v>11404</v>
      </c>
    </row>
    <row r="13229">
      <c r="A13229" s="39"/>
      <c r="E13229" s="40" t="s">
        <v>11404</v>
      </c>
      <c r="F13229" s="40" t="s">
        <v>11404</v>
      </c>
      <c r="G13229" s="40" t="s">
        <v>11404</v>
      </c>
      <c r="H13229" s="40" t="s">
        <v>11404</v>
      </c>
    </row>
    <row r="13230">
      <c r="A13230" s="39"/>
      <c r="E13230" s="40" t="s">
        <v>11404</v>
      </c>
      <c r="F13230" s="40" t="s">
        <v>11404</v>
      </c>
      <c r="G13230" s="40" t="s">
        <v>11404</v>
      </c>
      <c r="H13230" s="40" t="s">
        <v>11404</v>
      </c>
    </row>
    <row r="13231">
      <c r="A13231" s="39"/>
      <c r="E13231" s="40" t="s">
        <v>11404</v>
      </c>
      <c r="F13231" s="40" t="s">
        <v>11404</v>
      </c>
      <c r="G13231" s="40" t="s">
        <v>11404</v>
      </c>
      <c r="H13231" s="40" t="s">
        <v>11404</v>
      </c>
    </row>
    <row r="13232">
      <c r="A13232" s="39"/>
      <c r="E13232" s="40" t="s">
        <v>11404</v>
      </c>
      <c r="F13232" s="40" t="s">
        <v>11404</v>
      </c>
      <c r="G13232" s="40" t="s">
        <v>11404</v>
      </c>
      <c r="H13232" s="40" t="s">
        <v>11404</v>
      </c>
    </row>
    <row r="13233">
      <c r="A13233" s="39"/>
      <c r="E13233" s="40" t="s">
        <v>11404</v>
      </c>
      <c r="F13233" s="40" t="s">
        <v>11404</v>
      </c>
      <c r="G13233" s="40" t="s">
        <v>11404</v>
      </c>
      <c r="H13233" s="40" t="s">
        <v>11404</v>
      </c>
    </row>
    <row r="13234">
      <c r="A13234" s="39"/>
      <c r="E13234" s="40" t="s">
        <v>11404</v>
      </c>
      <c r="F13234" s="40" t="s">
        <v>11404</v>
      </c>
      <c r="G13234" s="40" t="s">
        <v>11404</v>
      </c>
      <c r="H13234" s="40" t="s">
        <v>11404</v>
      </c>
    </row>
    <row r="13235">
      <c r="A13235" s="39"/>
      <c r="E13235" s="40" t="s">
        <v>11404</v>
      </c>
      <c r="F13235" s="40" t="s">
        <v>11404</v>
      </c>
      <c r="G13235" s="40" t="s">
        <v>11404</v>
      </c>
      <c r="H13235" s="40" t="s">
        <v>11404</v>
      </c>
    </row>
    <row r="13236">
      <c r="A13236" s="39"/>
      <c r="E13236" s="40" t="s">
        <v>11404</v>
      </c>
      <c r="F13236" s="40" t="s">
        <v>11404</v>
      </c>
      <c r="G13236" s="40" t="s">
        <v>11404</v>
      </c>
      <c r="H13236" s="40" t="s">
        <v>11404</v>
      </c>
    </row>
    <row r="13237">
      <c r="A13237" s="39"/>
      <c r="E13237" s="40" t="s">
        <v>11404</v>
      </c>
      <c r="F13237" s="40" t="s">
        <v>11404</v>
      </c>
      <c r="G13237" s="40" t="s">
        <v>11404</v>
      </c>
      <c r="H13237" s="40" t="s">
        <v>11404</v>
      </c>
    </row>
    <row r="13238">
      <c r="A13238" s="39"/>
      <c r="E13238" s="40" t="s">
        <v>11404</v>
      </c>
      <c r="F13238" s="40" t="s">
        <v>11404</v>
      </c>
      <c r="G13238" s="40" t="s">
        <v>11404</v>
      </c>
      <c r="H13238" s="40" t="s">
        <v>11404</v>
      </c>
    </row>
    <row r="13239">
      <c r="A13239" s="39"/>
      <c r="E13239" s="40" t="s">
        <v>11404</v>
      </c>
      <c r="F13239" s="40" t="s">
        <v>11404</v>
      </c>
      <c r="G13239" s="40" t="s">
        <v>11404</v>
      </c>
      <c r="H13239" s="40" t="s">
        <v>11404</v>
      </c>
    </row>
    <row r="13240">
      <c r="A13240" s="39"/>
      <c r="E13240" s="40" t="s">
        <v>11404</v>
      </c>
      <c r="F13240" s="40" t="s">
        <v>11404</v>
      </c>
      <c r="G13240" s="40" t="s">
        <v>11404</v>
      </c>
      <c r="H13240" s="40" t="s">
        <v>11404</v>
      </c>
    </row>
    <row r="13241">
      <c r="A13241" s="39"/>
      <c r="E13241" s="40" t="s">
        <v>11404</v>
      </c>
      <c r="F13241" s="40" t="s">
        <v>11404</v>
      </c>
      <c r="G13241" s="40" t="s">
        <v>11404</v>
      </c>
      <c r="H13241" s="40" t="s">
        <v>11404</v>
      </c>
    </row>
    <row r="13242">
      <c r="A13242" s="39"/>
      <c r="E13242" s="40" t="s">
        <v>11404</v>
      </c>
      <c r="F13242" s="40" t="s">
        <v>11404</v>
      </c>
      <c r="G13242" s="40" t="s">
        <v>11404</v>
      </c>
      <c r="H13242" s="40" t="s">
        <v>11404</v>
      </c>
    </row>
    <row r="13243">
      <c r="A13243" s="39"/>
      <c r="E13243" s="40" t="s">
        <v>11404</v>
      </c>
      <c r="F13243" s="40" t="s">
        <v>11404</v>
      </c>
      <c r="G13243" s="40" t="s">
        <v>11404</v>
      </c>
      <c r="H13243" s="40" t="s">
        <v>11404</v>
      </c>
    </row>
    <row r="13244">
      <c r="A13244" s="39"/>
      <c r="E13244" s="40" t="s">
        <v>11404</v>
      </c>
      <c r="F13244" s="40" t="s">
        <v>11404</v>
      </c>
      <c r="G13244" s="40" t="s">
        <v>11404</v>
      </c>
      <c r="H13244" s="40" t="s">
        <v>11404</v>
      </c>
    </row>
    <row r="13245">
      <c r="A13245" s="39"/>
      <c r="E13245" s="40" t="s">
        <v>11404</v>
      </c>
      <c r="F13245" s="40" t="s">
        <v>11404</v>
      </c>
      <c r="G13245" s="40" t="s">
        <v>11404</v>
      </c>
      <c r="H13245" s="40" t="s">
        <v>11404</v>
      </c>
    </row>
    <row r="13246">
      <c r="A13246" s="39"/>
      <c r="E13246" s="40" t="s">
        <v>11404</v>
      </c>
      <c r="F13246" s="40" t="s">
        <v>11404</v>
      </c>
      <c r="G13246" s="40" t="s">
        <v>11404</v>
      </c>
      <c r="H13246" s="40" t="s">
        <v>11404</v>
      </c>
    </row>
    <row r="13247">
      <c r="A13247" s="39"/>
      <c r="E13247" s="40" t="s">
        <v>11404</v>
      </c>
      <c r="F13247" s="40" t="s">
        <v>11404</v>
      </c>
      <c r="G13247" s="40" t="s">
        <v>11404</v>
      </c>
      <c r="H13247" s="40" t="s">
        <v>11404</v>
      </c>
    </row>
    <row r="13248">
      <c r="A13248" s="39"/>
      <c r="E13248" s="40" t="s">
        <v>11404</v>
      </c>
      <c r="F13248" s="40" t="s">
        <v>11404</v>
      </c>
      <c r="G13248" s="40" t="s">
        <v>11404</v>
      </c>
      <c r="H13248" s="40" t="s">
        <v>11404</v>
      </c>
    </row>
    <row r="13249">
      <c r="A13249" s="39"/>
      <c r="E13249" s="40" t="s">
        <v>11404</v>
      </c>
      <c r="F13249" s="40" t="s">
        <v>11404</v>
      </c>
      <c r="G13249" s="40" t="s">
        <v>11404</v>
      </c>
      <c r="H13249" s="40" t="s">
        <v>11404</v>
      </c>
    </row>
    <row r="13250">
      <c r="A13250" s="39"/>
      <c r="E13250" s="40" t="s">
        <v>11404</v>
      </c>
      <c r="F13250" s="40" t="s">
        <v>11404</v>
      </c>
      <c r="G13250" s="40" t="s">
        <v>11404</v>
      </c>
      <c r="H13250" s="40" t="s">
        <v>11404</v>
      </c>
    </row>
    <row r="13251">
      <c r="A13251" s="39"/>
      <c r="E13251" s="40" t="s">
        <v>11404</v>
      </c>
      <c r="F13251" s="40" t="s">
        <v>11404</v>
      </c>
      <c r="G13251" s="40" t="s">
        <v>11404</v>
      </c>
      <c r="H13251" s="40" t="s">
        <v>11404</v>
      </c>
    </row>
    <row r="13252">
      <c r="A13252" s="39"/>
      <c r="E13252" s="40" t="s">
        <v>11404</v>
      </c>
      <c r="F13252" s="40" t="s">
        <v>11404</v>
      </c>
      <c r="G13252" s="40" t="s">
        <v>11404</v>
      </c>
      <c r="H13252" s="40" t="s">
        <v>11404</v>
      </c>
    </row>
    <row r="13253">
      <c r="A13253" s="39"/>
      <c r="E13253" s="40" t="s">
        <v>11404</v>
      </c>
      <c r="F13253" s="40" t="s">
        <v>11404</v>
      </c>
      <c r="G13253" s="40" t="s">
        <v>11404</v>
      </c>
      <c r="H13253" s="40" t="s">
        <v>11404</v>
      </c>
    </row>
    <row r="13254">
      <c r="A13254" s="39"/>
      <c r="E13254" s="40" t="s">
        <v>11404</v>
      </c>
      <c r="F13254" s="40" t="s">
        <v>11404</v>
      </c>
      <c r="G13254" s="40" t="s">
        <v>11404</v>
      </c>
      <c r="H13254" s="40" t="s">
        <v>11404</v>
      </c>
    </row>
    <row r="13255">
      <c r="A13255" s="39"/>
      <c r="E13255" s="40" t="s">
        <v>11404</v>
      </c>
      <c r="F13255" s="40" t="s">
        <v>11404</v>
      </c>
      <c r="G13255" s="40" t="s">
        <v>11404</v>
      </c>
      <c r="H13255" s="40" t="s">
        <v>11404</v>
      </c>
    </row>
    <row r="13256">
      <c r="A13256" s="39"/>
      <c r="E13256" s="40" t="s">
        <v>11404</v>
      </c>
      <c r="F13256" s="40" t="s">
        <v>11404</v>
      </c>
      <c r="G13256" s="40" t="s">
        <v>11404</v>
      </c>
      <c r="H13256" s="40" t="s">
        <v>11404</v>
      </c>
    </row>
    <row r="13257">
      <c r="A13257" s="39"/>
      <c r="E13257" s="40" t="s">
        <v>11404</v>
      </c>
      <c r="F13257" s="40" t="s">
        <v>11404</v>
      </c>
      <c r="G13257" s="40" t="s">
        <v>11404</v>
      </c>
      <c r="H13257" s="40" t="s">
        <v>11404</v>
      </c>
    </row>
    <row r="13258">
      <c r="A13258" s="39"/>
      <c r="E13258" s="40" t="s">
        <v>11404</v>
      </c>
      <c r="F13258" s="40" t="s">
        <v>11404</v>
      </c>
      <c r="G13258" s="40" t="s">
        <v>11404</v>
      </c>
      <c r="H13258" s="40" t="s">
        <v>11404</v>
      </c>
    </row>
    <row r="13259">
      <c r="A13259" s="39"/>
      <c r="E13259" s="40" t="s">
        <v>11404</v>
      </c>
      <c r="F13259" s="40" t="s">
        <v>11404</v>
      </c>
      <c r="G13259" s="40" t="s">
        <v>11404</v>
      </c>
      <c r="H13259" s="40" t="s">
        <v>11404</v>
      </c>
    </row>
    <row r="13260">
      <c r="A13260" s="39"/>
      <c r="E13260" s="40" t="s">
        <v>11404</v>
      </c>
      <c r="F13260" s="40" t="s">
        <v>11404</v>
      </c>
      <c r="G13260" s="40" t="s">
        <v>11404</v>
      </c>
      <c r="H13260" s="40" t="s">
        <v>11404</v>
      </c>
    </row>
    <row r="13261">
      <c r="A13261" s="39"/>
      <c r="E13261" s="40" t="s">
        <v>11404</v>
      </c>
      <c r="F13261" s="40" t="s">
        <v>11404</v>
      </c>
      <c r="G13261" s="40" t="s">
        <v>11404</v>
      </c>
      <c r="H13261" s="40" t="s">
        <v>11404</v>
      </c>
    </row>
    <row r="13262">
      <c r="A13262" s="39"/>
      <c r="E13262" s="40" t="s">
        <v>11404</v>
      </c>
      <c r="F13262" s="40" t="s">
        <v>11404</v>
      </c>
      <c r="G13262" s="40" t="s">
        <v>11404</v>
      </c>
      <c r="H13262" s="40" t="s">
        <v>11404</v>
      </c>
    </row>
    <row r="13263">
      <c r="A13263" s="39"/>
      <c r="E13263" s="40" t="s">
        <v>11404</v>
      </c>
      <c r="F13263" s="40" t="s">
        <v>11404</v>
      </c>
      <c r="G13263" s="40" t="s">
        <v>11404</v>
      </c>
      <c r="H13263" s="40" t="s">
        <v>11404</v>
      </c>
    </row>
    <row r="13264">
      <c r="A13264" s="39"/>
      <c r="E13264" s="40" t="s">
        <v>11404</v>
      </c>
      <c r="F13264" s="40" t="s">
        <v>11404</v>
      </c>
      <c r="G13264" s="40" t="s">
        <v>11404</v>
      </c>
      <c r="H13264" s="40" t="s">
        <v>11404</v>
      </c>
    </row>
    <row r="13265">
      <c r="A13265" s="39"/>
      <c r="E13265" s="40" t="s">
        <v>11404</v>
      </c>
      <c r="F13265" s="40" t="s">
        <v>11404</v>
      </c>
      <c r="G13265" s="40" t="s">
        <v>11404</v>
      </c>
      <c r="H13265" s="40" t="s">
        <v>11404</v>
      </c>
    </row>
    <row r="13266">
      <c r="A13266" s="39"/>
      <c r="E13266" s="40" t="s">
        <v>11404</v>
      </c>
      <c r="F13266" s="40" t="s">
        <v>11404</v>
      </c>
      <c r="G13266" s="40" t="s">
        <v>11404</v>
      </c>
      <c r="H13266" s="40" t="s">
        <v>11404</v>
      </c>
    </row>
    <row r="13267">
      <c r="A13267" s="39"/>
      <c r="E13267" s="40" t="s">
        <v>11404</v>
      </c>
      <c r="F13267" s="40" t="s">
        <v>11404</v>
      </c>
      <c r="G13267" s="40" t="s">
        <v>11404</v>
      </c>
      <c r="H13267" s="40" t="s">
        <v>11404</v>
      </c>
    </row>
    <row r="13268">
      <c r="A13268" s="39"/>
      <c r="E13268" s="40" t="s">
        <v>11404</v>
      </c>
      <c r="F13268" s="40" t="s">
        <v>11404</v>
      </c>
      <c r="G13268" s="40" t="s">
        <v>11404</v>
      </c>
      <c r="H13268" s="40" t="s">
        <v>11404</v>
      </c>
    </row>
    <row r="13269">
      <c r="A13269" s="39"/>
      <c r="E13269" s="40" t="s">
        <v>11404</v>
      </c>
      <c r="F13269" s="40" t="s">
        <v>11404</v>
      </c>
      <c r="G13269" s="40" t="s">
        <v>11404</v>
      </c>
      <c r="H13269" s="40" t="s">
        <v>11404</v>
      </c>
    </row>
    <row r="13270">
      <c r="A13270" s="39"/>
      <c r="E13270" s="40" t="s">
        <v>11404</v>
      </c>
      <c r="F13270" s="40" t="s">
        <v>11404</v>
      </c>
      <c r="G13270" s="40" t="s">
        <v>11404</v>
      </c>
      <c r="H13270" s="40" t="s">
        <v>11404</v>
      </c>
    </row>
    <row r="13271">
      <c r="A13271" s="39"/>
      <c r="E13271" s="40" t="s">
        <v>11404</v>
      </c>
      <c r="F13271" s="40" t="s">
        <v>11404</v>
      </c>
      <c r="G13271" s="40" t="s">
        <v>11404</v>
      </c>
      <c r="H13271" s="40" t="s">
        <v>11404</v>
      </c>
    </row>
    <row r="13272">
      <c r="A13272" s="39"/>
      <c r="E13272" s="40" t="s">
        <v>11404</v>
      </c>
      <c r="F13272" s="40" t="s">
        <v>11404</v>
      </c>
      <c r="G13272" s="40" t="s">
        <v>11404</v>
      </c>
      <c r="H13272" s="40" t="s">
        <v>11404</v>
      </c>
    </row>
    <row r="13273">
      <c r="A13273" s="39"/>
      <c r="E13273" s="40" t="s">
        <v>11404</v>
      </c>
      <c r="F13273" s="40" t="s">
        <v>11404</v>
      </c>
      <c r="G13273" s="40" t="s">
        <v>11404</v>
      </c>
      <c r="H13273" s="40" t="s">
        <v>11404</v>
      </c>
    </row>
    <row r="13274">
      <c r="A13274" s="39"/>
      <c r="E13274" s="40" t="s">
        <v>11404</v>
      </c>
      <c r="F13274" s="40" t="s">
        <v>11404</v>
      </c>
      <c r="G13274" s="40" t="s">
        <v>11404</v>
      </c>
      <c r="H13274" s="40" t="s">
        <v>11404</v>
      </c>
    </row>
    <row r="13275">
      <c r="A13275" s="39"/>
      <c r="E13275" s="40" t="s">
        <v>11404</v>
      </c>
      <c r="F13275" s="40" t="s">
        <v>11404</v>
      </c>
      <c r="G13275" s="40" t="s">
        <v>11404</v>
      </c>
      <c r="H13275" s="40" t="s">
        <v>11404</v>
      </c>
    </row>
    <row r="13276">
      <c r="A13276" s="39"/>
      <c r="E13276" s="40" t="s">
        <v>11404</v>
      </c>
      <c r="F13276" s="40" t="s">
        <v>11404</v>
      </c>
      <c r="G13276" s="40" t="s">
        <v>11404</v>
      </c>
      <c r="H13276" s="40" t="s">
        <v>11404</v>
      </c>
    </row>
    <row r="13277">
      <c r="A13277" s="39"/>
      <c r="E13277" s="40" t="s">
        <v>11404</v>
      </c>
      <c r="F13277" s="40" t="s">
        <v>11404</v>
      </c>
      <c r="G13277" s="40" t="s">
        <v>11404</v>
      </c>
      <c r="H13277" s="40" t="s">
        <v>11404</v>
      </c>
    </row>
    <row r="13278">
      <c r="A13278" s="39"/>
      <c r="E13278" s="40" t="s">
        <v>11404</v>
      </c>
      <c r="F13278" s="40" t="s">
        <v>11404</v>
      </c>
      <c r="G13278" s="40" t="s">
        <v>11404</v>
      </c>
      <c r="H13278" s="40" t="s">
        <v>11404</v>
      </c>
    </row>
    <row r="13279">
      <c r="A13279" s="39"/>
      <c r="E13279" s="40" t="s">
        <v>11404</v>
      </c>
      <c r="F13279" s="40" t="s">
        <v>11404</v>
      </c>
      <c r="G13279" s="40" t="s">
        <v>11404</v>
      </c>
      <c r="H13279" s="40" t="s">
        <v>11404</v>
      </c>
    </row>
    <row r="13280">
      <c r="A13280" s="39"/>
      <c r="E13280" s="40" t="s">
        <v>11404</v>
      </c>
      <c r="F13280" s="40" t="s">
        <v>11404</v>
      </c>
      <c r="G13280" s="40" t="s">
        <v>11404</v>
      </c>
      <c r="H13280" s="40" t="s">
        <v>11404</v>
      </c>
    </row>
    <row r="13281">
      <c r="A13281" s="39"/>
      <c r="E13281" s="40" t="s">
        <v>11404</v>
      </c>
      <c r="F13281" s="40" t="s">
        <v>11404</v>
      </c>
      <c r="G13281" s="40" t="s">
        <v>11404</v>
      </c>
      <c r="H13281" s="40" t="s">
        <v>11404</v>
      </c>
    </row>
    <row r="13282">
      <c r="A13282" s="39"/>
      <c r="E13282" s="40" t="s">
        <v>11404</v>
      </c>
      <c r="F13282" s="40" t="s">
        <v>11404</v>
      </c>
      <c r="G13282" s="40" t="s">
        <v>11404</v>
      </c>
      <c r="H13282" s="40" t="s">
        <v>11404</v>
      </c>
    </row>
    <row r="13283">
      <c r="A13283" s="39"/>
      <c r="E13283" s="40" t="s">
        <v>11404</v>
      </c>
      <c r="F13283" s="40" t="s">
        <v>11404</v>
      </c>
      <c r="G13283" s="40" t="s">
        <v>11404</v>
      </c>
      <c r="H13283" s="40" t="s">
        <v>11404</v>
      </c>
    </row>
    <row r="13284">
      <c r="A13284" s="39"/>
      <c r="E13284" s="40" t="s">
        <v>11404</v>
      </c>
      <c r="F13284" s="40" t="s">
        <v>11404</v>
      </c>
      <c r="G13284" s="40" t="s">
        <v>11404</v>
      </c>
      <c r="H13284" s="40" t="s">
        <v>11404</v>
      </c>
    </row>
    <row r="13285">
      <c r="A13285" s="39"/>
      <c r="E13285" s="40" t="s">
        <v>11404</v>
      </c>
      <c r="F13285" s="40" t="s">
        <v>11404</v>
      </c>
      <c r="G13285" s="40" t="s">
        <v>11404</v>
      </c>
      <c r="H13285" s="40" t="s">
        <v>11404</v>
      </c>
    </row>
    <row r="13286">
      <c r="A13286" s="39"/>
      <c r="E13286" s="40" t="s">
        <v>11404</v>
      </c>
      <c r="F13286" s="40" t="s">
        <v>11404</v>
      </c>
      <c r="G13286" s="40" t="s">
        <v>11404</v>
      </c>
      <c r="H13286" s="40" t="s">
        <v>11404</v>
      </c>
    </row>
    <row r="13287">
      <c r="A13287" s="39"/>
      <c r="E13287" s="40" t="s">
        <v>11404</v>
      </c>
      <c r="F13287" s="40" t="s">
        <v>11404</v>
      </c>
      <c r="G13287" s="40" t="s">
        <v>11404</v>
      </c>
      <c r="H13287" s="40" t="s">
        <v>11404</v>
      </c>
    </row>
    <row r="13288">
      <c r="A13288" s="39"/>
      <c r="E13288" s="40" t="s">
        <v>11404</v>
      </c>
      <c r="F13288" s="40" t="s">
        <v>11404</v>
      </c>
      <c r="G13288" s="40" t="s">
        <v>11404</v>
      </c>
      <c r="H13288" s="40" t="s">
        <v>11404</v>
      </c>
    </row>
    <row r="13289">
      <c r="A13289" s="39"/>
      <c r="E13289" s="40" t="s">
        <v>11404</v>
      </c>
      <c r="F13289" s="40" t="s">
        <v>11404</v>
      </c>
      <c r="G13289" s="40" t="s">
        <v>11404</v>
      </c>
      <c r="H13289" s="40" t="s">
        <v>11404</v>
      </c>
    </row>
    <row r="13290">
      <c r="A13290" s="39"/>
      <c r="E13290" s="40" t="s">
        <v>11404</v>
      </c>
      <c r="F13290" s="40" t="s">
        <v>11404</v>
      </c>
      <c r="G13290" s="40" t="s">
        <v>11404</v>
      </c>
      <c r="H13290" s="40" t="s">
        <v>11404</v>
      </c>
    </row>
    <row r="13291">
      <c r="A13291" s="39"/>
      <c r="E13291" s="40" t="s">
        <v>11404</v>
      </c>
      <c r="F13291" s="40" t="s">
        <v>11404</v>
      </c>
      <c r="G13291" s="40" t="s">
        <v>11404</v>
      </c>
      <c r="H13291" s="40" t="s">
        <v>11404</v>
      </c>
    </row>
    <row r="13292">
      <c r="A13292" s="39"/>
      <c r="E13292" s="40" t="s">
        <v>11404</v>
      </c>
      <c r="F13292" s="40" t="s">
        <v>11404</v>
      </c>
      <c r="G13292" s="40" t="s">
        <v>11404</v>
      </c>
      <c r="H13292" s="40" t="s">
        <v>11404</v>
      </c>
    </row>
    <row r="13293">
      <c r="A13293" s="39"/>
      <c r="E13293" s="40" t="s">
        <v>11404</v>
      </c>
      <c r="F13293" s="40" t="s">
        <v>11404</v>
      </c>
      <c r="G13293" s="40" t="s">
        <v>11404</v>
      </c>
      <c r="H13293" s="40" t="s">
        <v>11404</v>
      </c>
    </row>
    <row r="13294">
      <c r="A13294" s="39"/>
      <c r="E13294" s="40" t="s">
        <v>11404</v>
      </c>
      <c r="F13294" s="40" t="s">
        <v>11404</v>
      </c>
      <c r="G13294" s="40" t="s">
        <v>11404</v>
      </c>
      <c r="H13294" s="40" t="s">
        <v>11404</v>
      </c>
    </row>
    <row r="13295">
      <c r="A13295" s="39"/>
      <c r="E13295" s="40" t="s">
        <v>11404</v>
      </c>
      <c r="F13295" s="40" t="s">
        <v>11404</v>
      </c>
      <c r="G13295" s="40" t="s">
        <v>11404</v>
      </c>
      <c r="H13295" s="40" t="s">
        <v>11404</v>
      </c>
    </row>
    <row r="13296">
      <c r="A13296" s="39"/>
      <c r="E13296" s="40" t="s">
        <v>11404</v>
      </c>
      <c r="F13296" s="40" t="s">
        <v>11404</v>
      </c>
      <c r="G13296" s="40" t="s">
        <v>11404</v>
      </c>
      <c r="H13296" s="40" t="s">
        <v>11404</v>
      </c>
    </row>
    <row r="13297">
      <c r="A13297" s="39"/>
      <c r="E13297" s="40" t="s">
        <v>11404</v>
      </c>
      <c r="F13297" s="40" t="s">
        <v>11404</v>
      </c>
      <c r="G13297" s="40" t="s">
        <v>11404</v>
      </c>
      <c r="H13297" s="40" t="s">
        <v>11404</v>
      </c>
    </row>
    <row r="13298">
      <c r="A13298" s="39"/>
      <c r="E13298" s="40" t="s">
        <v>11404</v>
      </c>
      <c r="F13298" s="40" t="s">
        <v>11404</v>
      </c>
      <c r="G13298" s="40" t="s">
        <v>11404</v>
      </c>
      <c r="H13298" s="40" t="s">
        <v>11404</v>
      </c>
    </row>
    <row r="13299">
      <c r="A13299" s="39"/>
      <c r="E13299" s="40" t="s">
        <v>11404</v>
      </c>
      <c r="F13299" s="40" t="s">
        <v>11404</v>
      </c>
      <c r="G13299" s="40" t="s">
        <v>11404</v>
      </c>
      <c r="H13299" s="40" t="s">
        <v>11404</v>
      </c>
    </row>
    <row r="13300">
      <c r="A13300" s="39"/>
      <c r="E13300" s="40" t="s">
        <v>11404</v>
      </c>
      <c r="F13300" s="40" t="s">
        <v>11404</v>
      </c>
      <c r="G13300" s="40" t="s">
        <v>11404</v>
      </c>
      <c r="H13300" s="40" t="s">
        <v>11404</v>
      </c>
    </row>
    <row r="13301">
      <c r="A13301" s="39"/>
      <c r="E13301" s="40" t="s">
        <v>11404</v>
      </c>
      <c r="F13301" s="40" t="s">
        <v>11404</v>
      </c>
      <c r="G13301" s="40" t="s">
        <v>11404</v>
      </c>
      <c r="H13301" s="40" t="s">
        <v>11404</v>
      </c>
    </row>
    <row r="13302">
      <c r="A13302" s="39"/>
      <c r="E13302" s="40" t="s">
        <v>11404</v>
      </c>
      <c r="F13302" s="40" t="s">
        <v>11404</v>
      </c>
      <c r="G13302" s="40" t="s">
        <v>11404</v>
      </c>
      <c r="H13302" s="40" t="s">
        <v>11404</v>
      </c>
    </row>
    <row r="13303">
      <c r="A13303" s="39"/>
      <c r="E13303" s="40" t="s">
        <v>11404</v>
      </c>
      <c r="F13303" s="40" t="s">
        <v>11404</v>
      </c>
      <c r="G13303" s="40" t="s">
        <v>11404</v>
      </c>
      <c r="H13303" s="40" t="s">
        <v>11404</v>
      </c>
    </row>
    <row r="13304">
      <c r="A13304" s="39"/>
      <c r="E13304" s="40" t="s">
        <v>11404</v>
      </c>
      <c r="F13304" s="40" t="s">
        <v>11404</v>
      </c>
      <c r="G13304" s="40" t="s">
        <v>11404</v>
      </c>
      <c r="H13304" s="40" t="s">
        <v>11404</v>
      </c>
    </row>
    <row r="13305">
      <c r="A13305" s="39"/>
      <c r="E13305" s="40" t="s">
        <v>11404</v>
      </c>
      <c r="F13305" s="40" t="s">
        <v>11404</v>
      </c>
      <c r="G13305" s="40" t="s">
        <v>11404</v>
      </c>
      <c r="H13305" s="40" t="s">
        <v>11404</v>
      </c>
    </row>
    <row r="13306">
      <c r="A13306" s="39"/>
      <c r="E13306" s="40" t="s">
        <v>11404</v>
      </c>
      <c r="F13306" s="40" t="s">
        <v>11404</v>
      </c>
      <c r="G13306" s="40" t="s">
        <v>11404</v>
      </c>
      <c r="H13306" s="40" t="s">
        <v>11404</v>
      </c>
    </row>
    <row r="13307">
      <c r="A13307" s="39"/>
      <c r="E13307" s="40" t="s">
        <v>11404</v>
      </c>
      <c r="F13307" s="40" t="s">
        <v>11404</v>
      </c>
      <c r="G13307" s="40" t="s">
        <v>11404</v>
      </c>
      <c r="H13307" s="40" t="s">
        <v>11404</v>
      </c>
    </row>
    <row r="13308">
      <c r="A13308" s="39"/>
      <c r="E13308" s="40" t="s">
        <v>11404</v>
      </c>
      <c r="F13308" s="40" t="s">
        <v>11404</v>
      </c>
      <c r="G13308" s="40" t="s">
        <v>11404</v>
      </c>
      <c r="H13308" s="40" t="s">
        <v>11404</v>
      </c>
    </row>
    <row r="13309">
      <c r="A13309" s="39"/>
      <c r="E13309" s="40" t="s">
        <v>11404</v>
      </c>
      <c r="F13309" s="40" t="s">
        <v>11404</v>
      </c>
      <c r="G13309" s="40" t="s">
        <v>11404</v>
      </c>
      <c r="H13309" s="40" t="s">
        <v>11404</v>
      </c>
    </row>
    <row r="13310">
      <c r="A13310" s="39"/>
      <c r="E13310" s="40" t="s">
        <v>11404</v>
      </c>
      <c r="F13310" s="40" t="s">
        <v>11404</v>
      </c>
      <c r="G13310" s="40" t="s">
        <v>11404</v>
      </c>
      <c r="H13310" s="40" t="s">
        <v>11404</v>
      </c>
    </row>
    <row r="13311">
      <c r="A13311" s="39"/>
      <c r="E13311" s="40" t="s">
        <v>11404</v>
      </c>
      <c r="F13311" s="40" t="s">
        <v>11404</v>
      </c>
      <c r="G13311" s="40" t="s">
        <v>11404</v>
      </c>
      <c r="H13311" s="40" t="s">
        <v>11404</v>
      </c>
    </row>
    <row r="13312">
      <c r="A13312" s="39"/>
      <c r="E13312" s="40" t="s">
        <v>11404</v>
      </c>
      <c r="F13312" s="40" t="s">
        <v>11404</v>
      </c>
      <c r="G13312" s="40" t="s">
        <v>11404</v>
      </c>
      <c r="H13312" s="40" t="s">
        <v>11404</v>
      </c>
    </row>
    <row r="13313">
      <c r="A13313" s="39"/>
      <c r="E13313" s="40" t="s">
        <v>11404</v>
      </c>
      <c r="F13313" s="40" t="s">
        <v>11404</v>
      </c>
      <c r="G13313" s="40" t="s">
        <v>11404</v>
      </c>
      <c r="H13313" s="40" t="s">
        <v>11404</v>
      </c>
    </row>
    <row r="13314">
      <c r="A13314" s="39"/>
      <c r="E13314" s="40" t="s">
        <v>11404</v>
      </c>
      <c r="F13314" s="40" t="s">
        <v>11404</v>
      </c>
      <c r="G13314" s="40" t="s">
        <v>11404</v>
      </c>
      <c r="H13314" s="40" t="s">
        <v>11404</v>
      </c>
    </row>
    <row r="13315">
      <c r="A13315" s="39"/>
      <c r="E13315" s="40" t="s">
        <v>11404</v>
      </c>
      <c r="F13315" s="40" t="s">
        <v>11404</v>
      </c>
      <c r="G13315" s="40" t="s">
        <v>11404</v>
      </c>
      <c r="H13315" s="40" t="s">
        <v>11404</v>
      </c>
    </row>
    <row r="13316">
      <c r="A13316" s="39"/>
      <c r="E13316" s="40" t="s">
        <v>11404</v>
      </c>
      <c r="F13316" s="40" t="s">
        <v>11404</v>
      </c>
      <c r="G13316" s="40" t="s">
        <v>11404</v>
      </c>
      <c r="H13316" s="40" t="s">
        <v>11404</v>
      </c>
    </row>
    <row r="13317">
      <c r="A13317" s="39"/>
      <c r="E13317" s="40" t="s">
        <v>11404</v>
      </c>
      <c r="F13317" s="40" t="s">
        <v>11404</v>
      </c>
      <c r="G13317" s="40" t="s">
        <v>11404</v>
      </c>
      <c r="H13317" s="40" t="s">
        <v>11404</v>
      </c>
    </row>
    <row r="13318">
      <c r="A13318" s="39"/>
      <c r="E13318" s="40" t="s">
        <v>11404</v>
      </c>
      <c r="F13318" s="40" t="s">
        <v>11404</v>
      </c>
      <c r="G13318" s="40" t="s">
        <v>11404</v>
      </c>
      <c r="H13318" s="40" t="s">
        <v>11404</v>
      </c>
    </row>
    <row r="13319">
      <c r="A13319" s="39"/>
      <c r="E13319" s="40" t="s">
        <v>11404</v>
      </c>
      <c r="F13319" s="40" t="s">
        <v>11404</v>
      </c>
      <c r="G13319" s="40" t="s">
        <v>11404</v>
      </c>
      <c r="H13319" s="40" t="s">
        <v>11404</v>
      </c>
    </row>
    <row r="13320">
      <c r="A13320" s="39"/>
      <c r="E13320" s="40" t="s">
        <v>11404</v>
      </c>
      <c r="F13320" s="40" t="s">
        <v>11404</v>
      </c>
      <c r="G13320" s="40" t="s">
        <v>11404</v>
      </c>
      <c r="H13320" s="40" t="s">
        <v>11404</v>
      </c>
    </row>
    <row r="13321">
      <c r="A13321" s="39"/>
      <c r="E13321" s="40" t="s">
        <v>11404</v>
      </c>
      <c r="F13321" s="40" t="s">
        <v>11404</v>
      </c>
      <c r="G13321" s="40" t="s">
        <v>11404</v>
      </c>
      <c r="H13321" s="40" t="s">
        <v>11404</v>
      </c>
    </row>
    <row r="13322">
      <c r="A13322" s="39"/>
      <c r="E13322" s="40" t="s">
        <v>11404</v>
      </c>
      <c r="F13322" s="40" t="s">
        <v>11404</v>
      </c>
      <c r="G13322" s="40" t="s">
        <v>11404</v>
      </c>
      <c r="H13322" s="40" t="s">
        <v>11404</v>
      </c>
    </row>
    <row r="13323">
      <c r="A13323" s="39"/>
      <c r="E13323" s="40" t="s">
        <v>11404</v>
      </c>
      <c r="F13323" s="40" t="s">
        <v>11404</v>
      </c>
      <c r="G13323" s="40" t="s">
        <v>11404</v>
      </c>
      <c r="H13323" s="40" t="s">
        <v>11404</v>
      </c>
    </row>
    <row r="13324">
      <c r="A13324" s="39"/>
      <c r="E13324" s="40" t="s">
        <v>11404</v>
      </c>
      <c r="F13324" s="40" t="s">
        <v>11404</v>
      </c>
      <c r="G13324" s="40" t="s">
        <v>11404</v>
      </c>
      <c r="H13324" s="40" t="s">
        <v>11404</v>
      </c>
    </row>
    <row r="13325">
      <c r="A13325" s="39"/>
      <c r="E13325" s="40" t="s">
        <v>11404</v>
      </c>
      <c r="F13325" s="40" t="s">
        <v>11404</v>
      </c>
      <c r="G13325" s="40" t="s">
        <v>11404</v>
      </c>
      <c r="H13325" s="40" t="s">
        <v>11404</v>
      </c>
    </row>
    <row r="13326">
      <c r="A13326" s="39"/>
      <c r="E13326" s="40" t="s">
        <v>11404</v>
      </c>
      <c r="F13326" s="40" t="s">
        <v>11404</v>
      </c>
      <c r="G13326" s="40" t="s">
        <v>11404</v>
      </c>
      <c r="H13326" s="40" t="s">
        <v>11404</v>
      </c>
    </row>
    <row r="13327">
      <c r="A13327" s="39"/>
      <c r="E13327" s="40" t="s">
        <v>11404</v>
      </c>
      <c r="F13327" s="40" t="s">
        <v>11404</v>
      </c>
      <c r="G13327" s="40" t="s">
        <v>11404</v>
      </c>
      <c r="H13327" s="40" t="s">
        <v>11404</v>
      </c>
    </row>
    <row r="13328">
      <c r="A13328" s="39"/>
      <c r="E13328" s="40" t="s">
        <v>11404</v>
      </c>
      <c r="F13328" s="40" t="s">
        <v>11404</v>
      </c>
      <c r="G13328" s="40" t="s">
        <v>11404</v>
      </c>
      <c r="H13328" s="40" t="s">
        <v>11404</v>
      </c>
    </row>
    <row r="13329">
      <c r="A13329" s="39"/>
      <c r="E13329" s="40" t="s">
        <v>11404</v>
      </c>
      <c r="F13329" s="40" t="s">
        <v>11404</v>
      </c>
      <c r="G13329" s="40" t="s">
        <v>11404</v>
      </c>
      <c r="H13329" s="40" t="s">
        <v>11404</v>
      </c>
    </row>
    <row r="13330">
      <c r="A13330" s="39"/>
      <c r="E13330" s="40" t="s">
        <v>11404</v>
      </c>
      <c r="F13330" s="40" t="s">
        <v>11404</v>
      </c>
      <c r="G13330" s="40" t="s">
        <v>11404</v>
      </c>
      <c r="H13330" s="40" t="s">
        <v>11404</v>
      </c>
    </row>
    <row r="13331">
      <c r="A13331" s="39"/>
      <c r="E13331" s="40" t="s">
        <v>11404</v>
      </c>
      <c r="F13331" s="40" t="s">
        <v>11404</v>
      </c>
      <c r="G13331" s="40" t="s">
        <v>11404</v>
      </c>
      <c r="H13331" s="40" t="s">
        <v>11404</v>
      </c>
    </row>
    <row r="13332">
      <c r="A13332" s="39"/>
      <c r="E13332" s="40" t="s">
        <v>11404</v>
      </c>
      <c r="F13332" s="40" t="s">
        <v>11404</v>
      </c>
      <c r="G13332" s="40" t="s">
        <v>11404</v>
      </c>
      <c r="H13332" s="40" t="s">
        <v>11404</v>
      </c>
    </row>
    <row r="13333">
      <c r="A13333" s="39"/>
      <c r="E13333" s="40" t="s">
        <v>11404</v>
      </c>
      <c r="F13333" s="40" t="s">
        <v>11404</v>
      </c>
      <c r="G13333" s="40" t="s">
        <v>11404</v>
      </c>
      <c r="H13333" s="40" t="s">
        <v>11404</v>
      </c>
    </row>
    <row r="13334">
      <c r="A13334" s="39"/>
      <c r="E13334" s="40" t="s">
        <v>11404</v>
      </c>
      <c r="F13334" s="40" t="s">
        <v>11404</v>
      </c>
      <c r="G13334" s="40" t="s">
        <v>11404</v>
      </c>
      <c r="H13334" s="40" t="s">
        <v>11404</v>
      </c>
    </row>
    <row r="13335">
      <c r="A13335" s="39"/>
      <c r="E13335" s="40" t="s">
        <v>11404</v>
      </c>
      <c r="F13335" s="40" t="s">
        <v>11404</v>
      </c>
      <c r="G13335" s="40" t="s">
        <v>11404</v>
      </c>
      <c r="H13335" s="40" t="s">
        <v>11404</v>
      </c>
    </row>
    <row r="13336">
      <c r="A13336" s="39"/>
      <c r="E13336" s="40" t="s">
        <v>11404</v>
      </c>
      <c r="F13336" s="40" t="s">
        <v>11404</v>
      </c>
      <c r="G13336" s="40" t="s">
        <v>11404</v>
      </c>
      <c r="H13336" s="40" t="s">
        <v>11404</v>
      </c>
    </row>
    <row r="13337">
      <c r="A13337" s="39"/>
      <c r="E13337" s="40" t="s">
        <v>11404</v>
      </c>
      <c r="F13337" s="40" t="s">
        <v>11404</v>
      </c>
      <c r="G13337" s="40" t="s">
        <v>11404</v>
      </c>
      <c r="H13337" s="40" t="s">
        <v>11404</v>
      </c>
    </row>
    <row r="13338">
      <c r="A13338" s="39"/>
      <c r="E13338" s="40" t="s">
        <v>11404</v>
      </c>
      <c r="F13338" s="40" t="s">
        <v>11404</v>
      </c>
      <c r="G13338" s="40" t="s">
        <v>11404</v>
      </c>
      <c r="H13338" s="40" t="s">
        <v>11404</v>
      </c>
    </row>
    <row r="13339">
      <c r="A13339" s="39"/>
      <c r="E13339" s="40" t="s">
        <v>11404</v>
      </c>
      <c r="F13339" s="40" t="s">
        <v>11404</v>
      </c>
      <c r="G13339" s="40" t="s">
        <v>11404</v>
      </c>
      <c r="H13339" s="40" t="s">
        <v>11404</v>
      </c>
    </row>
    <row r="13340">
      <c r="A13340" s="39"/>
      <c r="E13340" s="40" t="s">
        <v>11404</v>
      </c>
      <c r="F13340" s="40" t="s">
        <v>11404</v>
      </c>
      <c r="G13340" s="40" t="s">
        <v>11404</v>
      </c>
      <c r="H13340" s="40" t="s">
        <v>11404</v>
      </c>
    </row>
    <row r="13341">
      <c r="A13341" s="39"/>
      <c r="E13341" s="40" t="s">
        <v>11404</v>
      </c>
      <c r="F13341" s="40" t="s">
        <v>11404</v>
      </c>
      <c r="G13341" s="40" t="s">
        <v>11404</v>
      </c>
      <c r="H13341" s="40" t="s">
        <v>11404</v>
      </c>
    </row>
    <row r="13342">
      <c r="A13342" s="39"/>
      <c r="E13342" s="40" t="s">
        <v>11404</v>
      </c>
      <c r="F13342" s="40" t="s">
        <v>11404</v>
      </c>
      <c r="G13342" s="40" t="s">
        <v>11404</v>
      </c>
      <c r="H13342" s="40" t="s">
        <v>11404</v>
      </c>
    </row>
    <row r="13343">
      <c r="A13343" s="39"/>
      <c r="E13343" s="40" t="s">
        <v>11404</v>
      </c>
      <c r="F13343" s="40" t="s">
        <v>11404</v>
      </c>
      <c r="G13343" s="40" t="s">
        <v>11404</v>
      </c>
      <c r="H13343" s="40" t="s">
        <v>11404</v>
      </c>
    </row>
    <row r="13344">
      <c r="A13344" s="39"/>
      <c r="E13344" s="40" t="s">
        <v>11404</v>
      </c>
      <c r="F13344" s="40" t="s">
        <v>11404</v>
      </c>
      <c r="G13344" s="40" t="s">
        <v>11404</v>
      </c>
      <c r="H13344" s="40" t="s">
        <v>11404</v>
      </c>
    </row>
    <row r="13345">
      <c r="A13345" s="39"/>
      <c r="E13345" s="40" t="s">
        <v>11404</v>
      </c>
      <c r="F13345" s="40" t="s">
        <v>11404</v>
      </c>
      <c r="G13345" s="40" t="s">
        <v>11404</v>
      </c>
      <c r="H13345" s="40" t="s">
        <v>11404</v>
      </c>
    </row>
    <row r="13346">
      <c r="A13346" s="39"/>
      <c r="E13346" s="40" t="s">
        <v>11404</v>
      </c>
      <c r="F13346" s="40" t="s">
        <v>11404</v>
      </c>
      <c r="G13346" s="40" t="s">
        <v>11404</v>
      </c>
      <c r="H13346" s="40" t="s">
        <v>11404</v>
      </c>
    </row>
    <row r="13347">
      <c r="A13347" s="39"/>
      <c r="E13347" s="40" t="s">
        <v>11404</v>
      </c>
      <c r="F13347" s="40" t="s">
        <v>11404</v>
      </c>
      <c r="G13347" s="40" t="s">
        <v>11404</v>
      </c>
      <c r="H13347" s="40" t="s">
        <v>11404</v>
      </c>
    </row>
    <row r="13348">
      <c r="A13348" s="39"/>
      <c r="E13348" s="40" t="s">
        <v>11404</v>
      </c>
      <c r="F13348" s="40" t="s">
        <v>11404</v>
      </c>
      <c r="G13348" s="40" t="s">
        <v>11404</v>
      </c>
      <c r="H13348" s="40" t="s">
        <v>11404</v>
      </c>
    </row>
    <row r="13349">
      <c r="A13349" s="39"/>
      <c r="E13349" s="40" t="s">
        <v>11404</v>
      </c>
      <c r="F13349" s="40" t="s">
        <v>11404</v>
      </c>
      <c r="G13349" s="40" t="s">
        <v>11404</v>
      </c>
      <c r="H13349" s="40" t="s">
        <v>11404</v>
      </c>
    </row>
    <row r="13350">
      <c r="A13350" s="39"/>
      <c r="E13350" s="40" t="s">
        <v>11404</v>
      </c>
      <c r="F13350" s="40" t="s">
        <v>11404</v>
      </c>
      <c r="G13350" s="40" t="s">
        <v>11404</v>
      </c>
      <c r="H13350" s="40" t="s">
        <v>11404</v>
      </c>
    </row>
    <row r="13351">
      <c r="A13351" s="39"/>
      <c r="E13351" s="40" t="s">
        <v>11404</v>
      </c>
      <c r="F13351" s="40" t="s">
        <v>11404</v>
      </c>
      <c r="G13351" s="40" t="s">
        <v>11404</v>
      </c>
      <c r="H13351" s="40" t="s">
        <v>11404</v>
      </c>
    </row>
    <row r="13352">
      <c r="A13352" s="39"/>
      <c r="E13352" s="40" t="s">
        <v>11404</v>
      </c>
      <c r="F13352" s="40" t="s">
        <v>11404</v>
      </c>
      <c r="G13352" s="40" t="s">
        <v>11404</v>
      </c>
      <c r="H13352" s="40" t="s">
        <v>11404</v>
      </c>
    </row>
    <row r="13353">
      <c r="A13353" s="39"/>
      <c r="E13353" s="40" t="s">
        <v>11404</v>
      </c>
      <c r="F13353" s="40" t="s">
        <v>11404</v>
      </c>
      <c r="G13353" s="40" t="s">
        <v>11404</v>
      </c>
      <c r="H13353" s="40" t="s">
        <v>11404</v>
      </c>
    </row>
    <row r="13354">
      <c r="A13354" s="39"/>
      <c r="E13354" s="40" t="s">
        <v>11404</v>
      </c>
      <c r="F13354" s="40" t="s">
        <v>11404</v>
      </c>
      <c r="G13354" s="40" t="s">
        <v>11404</v>
      </c>
      <c r="H13354" s="40" t="s">
        <v>11404</v>
      </c>
    </row>
    <row r="13355">
      <c r="A13355" s="39"/>
      <c r="E13355" s="40" t="s">
        <v>11404</v>
      </c>
      <c r="F13355" s="40" t="s">
        <v>11404</v>
      </c>
      <c r="G13355" s="40" t="s">
        <v>11404</v>
      </c>
      <c r="H13355" s="40" t="s">
        <v>11404</v>
      </c>
    </row>
    <row r="13356">
      <c r="A13356" s="39"/>
      <c r="E13356" s="40" t="s">
        <v>11404</v>
      </c>
      <c r="F13356" s="40" t="s">
        <v>11404</v>
      </c>
      <c r="G13356" s="40" t="s">
        <v>11404</v>
      </c>
      <c r="H13356" s="40" t="s">
        <v>11404</v>
      </c>
    </row>
    <row r="13357">
      <c r="A13357" s="39"/>
      <c r="E13357" s="40" t="s">
        <v>11404</v>
      </c>
      <c r="F13357" s="40" t="s">
        <v>11404</v>
      </c>
      <c r="G13357" s="40" t="s">
        <v>11404</v>
      </c>
      <c r="H13357" s="40" t="s">
        <v>11404</v>
      </c>
    </row>
    <row r="13358">
      <c r="A13358" s="39"/>
      <c r="E13358" s="40" t="s">
        <v>11404</v>
      </c>
      <c r="F13358" s="40" t="s">
        <v>11404</v>
      </c>
      <c r="G13358" s="40" t="s">
        <v>11404</v>
      </c>
      <c r="H13358" s="40" t="s">
        <v>11404</v>
      </c>
    </row>
    <row r="13359">
      <c r="A13359" s="39"/>
      <c r="E13359" s="40" t="s">
        <v>11404</v>
      </c>
      <c r="F13359" s="40" t="s">
        <v>11404</v>
      </c>
      <c r="G13359" s="40" t="s">
        <v>11404</v>
      </c>
      <c r="H13359" s="40" t="s">
        <v>11404</v>
      </c>
    </row>
    <row r="13360">
      <c r="A13360" s="39"/>
      <c r="E13360" s="40" t="s">
        <v>11404</v>
      </c>
      <c r="F13360" s="40" t="s">
        <v>11404</v>
      </c>
      <c r="G13360" s="40" t="s">
        <v>11404</v>
      </c>
      <c r="H13360" s="40" t="s">
        <v>11404</v>
      </c>
    </row>
    <row r="13361">
      <c r="A13361" s="39"/>
      <c r="E13361" s="40" t="s">
        <v>11404</v>
      </c>
      <c r="F13361" s="40" t="s">
        <v>11404</v>
      </c>
      <c r="G13361" s="40" t="s">
        <v>11404</v>
      </c>
      <c r="H13361" s="40" t="s">
        <v>11404</v>
      </c>
    </row>
    <row r="13362">
      <c r="A13362" s="39"/>
      <c r="E13362" s="40" t="s">
        <v>11404</v>
      </c>
      <c r="F13362" s="40" t="s">
        <v>11404</v>
      </c>
      <c r="G13362" s="40" t="s">
        <v>11404</v>
      </c>
      <c r="H13362" s="40" t="s">
        <v>11404</v>
      </c>
    </row>
    <row r="13363">
      <c r="A13363" s="39"/>
      <c r="E13363" s="40" t="s">
        <v>11404</v>
      </c>
      <c r="F13363" s="40" t="s">
        <v>11404</v>
      </c>
      <c r="G13363" s="40" t="s">
        <v>11404</v>
      </c>
      <c r="H13363" s="40" t="s">
        <v>11404</v>
      </c>
    </row>
    <row r="13364">
      <c r="A13364" s="39"/>
      <c r="E13364" s="40" t="s">
        <v>11404</v>
      </c>
      <c r="F13364" s="40" t="s">
        <v>11404</v>
      </c>
      <c r="G13364" s="40" t="s">
        <v>11404</v>
      </c>
      <c r="H13364" s="40" t="s">
        <v>11404</v>
      </c>
    </row>
    <row r="13365">
      <c r="A13365" s="39"/>
      <c r="E13365" s="40" t="s">
        <v>11404</v>
      </c>
      <c r="F13365" s="40" t="s">
        <v>11404</v>
      </c>
      <c r="G13365" s="40" t="s">
        <v>11404</v>
      </c>
      <c r="H13365" s="40" t="s">
        <v>11404</v>
      </c>
    </row>
    <row r="13366">
      <c r="A13366" s="39"/>
      <c r="E13366" s="40" t="s">
        <v>11404</v>
      </c>
      <c r="F13366" s="40" t="s">
        <v>11404</v>
      </c>
      <c r="G13366" s="40" t="s">
        <v>11404</v>
      </c>
      <c r="H13366" s="40" t="s">
        <v>11404</v>
      </c>
    </row>
    <row r="13367">
      <c r="A13367" s="39"/>
      <c r="E13367" s="40" t="s">
        <v>11404</v>
      </c>
      <c r="F13367" s="40" t="s">
        <v>11404</v>
      </c>
      <c r="G13367" s="40" t="s">
        <v>11404</v>
      </c>
      <c r="H13367" s="40" t="s">
        <v>11404</v>
      </c>
    </row>
    <row r="13368">
      <c r="A13368" s="39"/>
      <c r="E13368" s="40" t="s">
        <v>11404</v>
      </c>
      <c r="F13368" s="40" t="s">
        <v>11404</v>
      </c>
      <c r="G13368" s="40" t="s">
        <v>11404</v>
      </c>
      <c r="H13368" s="40" t="s">
        <v>11404</v>
      </c>
    </row>
    <row r="13369">
      <c r="A13369" s="39"/>
      <c r="E13369" s="40" t="s">
        <v>11404</v>
      </c>
      <c r="F13369" s="40" t="s">
        <v>11404</v>
      </c>
      <c r="G13369" s="40" t="s">
        <v>11404</v>
      </c>
      <c r="H13369" s="40" t="s">
        <v>11404</v>
      </c>
    </row>
    <row r="13370">
      <c r="A13370" s="39"/>
      <c r="E13370" s="40" t="s">
        <v>11404</v>
      </c>
      <c r="F13370" s="40" t="s">
        <v>11404</v>
      </c>
      <c r="G13370" s="40" t="s">
        <v>11404</v>
      </c>
      <c r="H13370" s="40" t="s">
        <v>11404</v>
      </c>
    </row>
    <row r="13371">
      <c r="A13371" s="39"/>
      <c r="E13371" s="40" t="s">
        <v>11404</v>
      </c>
      <c r="F13371" s="40" t="s">
        <v>11404</v>
      </c>
      <c r="G13371" s="40" t="s">
        <v>11404</v>
      </c>
      <c r="H13371" s="40" t="s">
        <v>11404</v>
      </c>
    </row>
    <row r="13372">
      <c r="A13372" s="39"/>
      <c r="E13372" s="40" t="s">
        <v>11404</v>
      </c>
      <c r="F13372" s="40" t="s">
        <v>11404</v>
      </c>
      <c r="G13372" s="40" t="s">
        <v>11404</v>
      </c>
      <c r="H13372" s="40" t="s">
        <v>11404</v>
      </c>
    </row>
    <row r="13373">
      <c r="A13373" s="39"/>
      <c r="E13373" s="40" t="s">
        <v>11404</v>
      </c>
      <c r="F13373" s="40" t="s">
        <v>11404</v>
      </c>
      <c r="G13373" s="40" t="s">
        <v>11404</v>
      </c>
      <c r="H13373" s="40" t="s">
        <v>11404</v>
      </c>
    </row>
    <row r="13374">
      <c r="A13374" s="39"/>
      <c r="E13374" s="40" t="s">
        <v>11404</v>
      </c>
      <c r="F13374" s="40" t="s">
        <v>11404</v>
      </c>
      <c r="G13374" s="40" t="s">
        <v>11404</v>
      </c>
      <c r="H13374" s="40" t="s">
        <v>11404</v>
      </c>
    </row>
    <row r="13375">
      <c r="A13375" s="39"/>
      <c r="E13375" s="40" t="s">
        <v>11404</v>
      </c>
      <c r="F13375" s="40" t="s">
        <v>11404</v>
      </c>
      <c r="G13375" s="40" t="s">
        <v>11404</v>
      </c>
      <c r="H13375" s="40" t="s">
        <v>11404</v>
      </c>
    </row>
    <row r="13376">
      <c r="A13376" s="39"/>
      <c r="E13376" s="40" t="s">
        <v>11404</v>
      </c>
      <c r="F13376" s="40" t="s">
        <v>11404</v>
      </c>
      <c r="G13376" s="40" t="s">
        <v>11404</v>
      </c>
      <c r="H13376" s="40" t="s">
        <v>11404</v>
      </c>
    </row>
    <row r="13377">
      <c r="A13377" s="39"/>
      <c r="E13377" s="40" t="s">
        <v>11404</v>
      </c>
      <c r="F13377" s="40" t="s">
        <v>11404</v>
      </c>
      <c r="G13377" s="40" t="s">
        <v>11404</v>
      </c>
      <c r="H13377" s="40" t="s">
        <v>11404</v>
      </c>
    </row>
    <row r="13378">
      <c r="A13378" s="39"/>
      <c r="E13378" s="40" t="s">
        <v>11404</v>
      </c>
      <c r="F13378" s="40" t="s">
        <v>11404</v>
      </c>
      <c r="G13378" s="40" t="s">
        <v>11404</v>
      </c>
      <c r="H13378" s="40" t="s">
        <v>11404</v>
      </c>
    </row>
    <row r="13379">
      <c r="A13379" s="39"/>
      <c r="E13379" s="40" t="s">
        <v>11404</v>
      </c>
      <c r="F13379" s="40" t="s">
        <v>11404</v>
      </c>
      <c r="G13379" s="40" t="s">
        <v>11404</v>
      </c>
      <c r="H13379" s="40" t="s">
        <v>11404</v>
      </c>
    </row>
    <row r="13380">
      <c r="A13380" s="39"/>
      <c r="E13380" s="40" t="s">
        <v>11404</v>
      </c>
      <c r="F13380" s="40" t="s">
        <v>11404</v>
      </c>
      <c r="G13380" s="40" t="s">
        <v>11404</v>
      </c>
      <c r="H13380" s="40" t="s">
        <v>11404</v>
      </c>
    </row>
    <row r="13381">
      <c r="A13381" s="39"/>
      <c r="E13381" s="40" t="s">
        <v>11404</v>
      </c>
      <c r="F13381" s="40" t="s">
        <v>11404</v>
      </c>
      <c r="G13381" s="40" t="s">
        <v>11404</v>
      </c>
      <c r="H13381" s="40" t="s">
        <v>11404</v>
      </c>
    </row>
    <row r="13382">
      <c r="A13382" s="39"/>
      <c r="E13382" s="40" t="s">
        <v>11404</v>
      </c>
      <c r="F13382" s="40" t="s">
        <v>11404</v>
      </c>
      <c r="G13382" s="40" t="s">
        <v>11404</v>
      </c>
      <c r="H13382" s="40" t="s">
        <v>11404</v>
      </c>
    </row>
    <row r="13383">
      <c r="A13383" s="39"/>
      <c r="E13383" s="40" t="s">
        <v>11404</v>
      </c>
      <c r="F13383" s="40" t="s">
        <v>11404</v>
      </c>
      <c r="G13383" s="40" t="s">
        <v>11404</v>
      </c>
      <c r="H13383" s="40" t="s">
        <v>11404</v>
      </c>
    </row>
    <row r="13384">
      <c r="A13384" s="39"/>
      <c r="E13384" s="40" t="s">
        <v>11404</v>
      </c>
      <c r="F13384" s="40" t="s">
        <v>11404</v>
      </c>
      <c r="G13384" s="40" t="s">
        <v>11404</v>
      </c>
      <c r="H13384" s="40" t="s">
        <v>11404</v>
      </c>
    </row>
    <row r="13385">
      <c r="A13385" s="39"/>
      <c r="E13385" s="40" t="s">
        <v>11404</v>
      </c>
      <c r="F13385" s="40" t="s">
        <v>11404</v>
      </c>
      <c r="G13385" s="40" t="s">
        <v>11404</v>
      </c>
      <c r="H13385" s="40" t="s">
        <v>11404</v>
      </c>
    </row>
    <row r="13386">
      <c r="A13386" s="39"/>
      <c r="E13386" s="40" t="s">
        <v>11404</v>
      </c>
      <c r="F13386" s="40" t="s">
        <v>11404</v>
      </c>
      <c r="G13386" s="40" t="s">
        <v>11404</v>
      </c>
      <c r="H13386" s="40" t="s">
        <v>11404</v>
      </c>
    </row>
    <row r="13387">
      <c r="A13387" s="39"/>
      <c r="E13387" s="40" t="s">
        <v>11404</v>
      </c>
      <c r="F13387" s="40" t="s">
        <v>11404</v>
      </c>
      <c r="G13387" s="40" t="s">
        <v>11404</v>
      </c>
      <c r="H13387" s="40" t="s">
        <v>11404</v>
      </c>
    </row>
    <row r="13388">
      <c r="A13388" s="39"/>
      <c r="E13388" s="40" t="s">
        <v>11404</v>
      </c>
      <c r="F13388" s="40" t="s">
        <v>11404</v>
      </c>
      <c r="G13388" s="40" t="s">
        <v>11404</v>
      </c>
      <c r="H13388" s="40" t="s">
        <v>11404</v>
      </c>
    </row>
    <row r="13389">
      <c r="A13389" s="39"/>
      <c r="E13389" s="40" t="s">
        <v>11404</v>
      </c>
      <c r="F13389" s="40" t="s">
        <v>11404</v>
      </c>
      <c r="G13389" s="40" t="s">
        <v>11404</v>
      </c>
      <c r="H13389" s="40" t="s">
        <v>11404</v>
      </c>
    </row>
    <row r="13390">
      <c r="A13390" s="39"/>
      <c r="E13390" s="40" t="s">
        <v>11404</v>
      </c>
      <c r="F13390" s="40" t="s">
        <v>11404</v>
      </c>
      <c r="G13390" s="40" t="s">
        <v>11404</v>
      </c>
      <c r="H13390" s="40" t="s">
        <v>11404</v>
      </c>
    </row>
    <row r="13391">
      <c r="A13391" s="39"/>
      <c r="E13391" s="40" t="s">
        <v>11404</v>
      </c>
      <c r="F13391" s="40" t="s">
        <v>11404</v>
      </c>
      <c r="G13391" s="40" t="s">
        <v>11404</v>
      </c>
      <c r="H13391" s="40" t="s">
        <v>11404</v>
      </c>
    </row>
    <row r="13392">
      <c r="A13392" s="39"/>
      <c r="E13392" s="40" t="s">
        <v>11404</v>
      </c>
      <c r="F13392" s="40" t="s">
        <v>11404</v>
      </c>
      <c r="G13392" s="40" t="s">
        <v>11404</v>
      </c>
      <c r="H13392" s="40" t="s">
        <v>11404</v>
      </c>
    </row>
    <row r="13393">
      <c r="A13393" s="39"/>
      <c r="E13393" s="40" t="s">
        <v>11404</v>
      </c>
      <c r="F13393" s="40" t="s">
        <v>11404</v>
      </c>
      <c r="G13393" s="40" t="s">
        <v>11404</v>
      </c>
      <c r="H13393" s="40" t="s">
        <v>11404</v>
      </c>
    </row>
    <row r="13394">
      <c r="A13394" s="39"/>
      <c r="E13394" s="40" t="s">
        <v>11404</v>
      </c>
      <c r="F13394" s="40" t="s">
        <v>11404</v>
      </c>
      <c r="G13394" s="40" t="s">
        <v>11404</v>
      </c>
      <c r="H13394" s="40" t="s">
        <v>11404</v>
      </c>
    </row>
    <row r="13395">
      <c r="A13395" s="39"/>
      <c r="E13395" s="40" t="s">
        <v>11404</v>
      </c>
      <c r="F13395" s="40" t="s">
        <v>11404</v>
      </c>
      <c r="G13395" s="40" t="s">
        <v>11404</v>
      </c>
      <c r="H13395" s="40" t="s">
        <v>11404</v>
      </c>
    </row>
    <row r="13396">
      <c r="A13396" s="39"/>
      <c r="E13396" s="40" t="s">
        <v>11404</v>
      </c>
      <c r="F13396" s="40" t="s">
        <v>11404</v>
      </c>
      <c r="G13396" s="40" t="s">
        <v>11404</v>
      </c>
      <c r="H13396" s="40" t="s">
        <v>11404</v>
      </c>
    </row>
    <row r="13397">
      <c r="A13397" s="39"/>
      <c r="E13397" s="40" t="s">
        <v>11404</v>
      </c>
      <c r="F13397" s="40" t="s">
        <v>11404</v>
      </c>
      <c r="G13397" s="40" t="s">
        <v>11404</v>
      </c>
      <c r="H13397" s="40" t="s">
        <v>11404</v>
      </c>
    </row>
    <row r="13398">
      <c r="A13398" s="39"/>
      <c r="E13398" s="40" t="s">
        <v>11404</v>
      </c>
      <c r="F13398" s="40" t="s">
        <v>11404</v>
      </c>
      <c r="G13398" s="40" t="s">
        <v>11404</v>
      </c>
      <c r="H13398" s="40" t="s">
        <v>11404</v>
      </c>
    </row>
    <row r="13399">
      <c r="A13399" s="39"/>
      <c r="E13399" s="40" t="s">
        <v>11404</v>
      </c>
      <c r="F13399" s="40" t="s">
        <v>11404</v>
      </c>
      <c r="G13399" s="40" t="s">
        <v>11404</v>
      </c>
      <c r="H13399" s="40" t="s">
        <v>11404</v>
      </c>
    </row>
    <row r="13400">
      <c r="A13400" s="39"/>
      <c r="E13400" s="40" t="s">
        <v>11404</v>
      </c>
      <c r="F13400" s="40" t="s">
        <v>11404</v>
      </c>
      <c r="G13400" s="40" t="s">
        <v>11404</v>
      </c>
      <c r="H13400" s="40" t="s">
        <v>11404</v>
      </c>
    </row>
    <row r="13401">
      <c r="A13401" s="39"/>
      <c r="E13401" s="40" t="s">
        <v>11404</v>
      </c>
      <c r="F13401" s="40" t="s">
        <v>11404</v>
      </c>
      <c r="G13401" s="40" t="s">
        <v>11404</v>
      </c>
      <c r="H13401" s="40" t="s">
        <v>11404</v>
      </c>
    </row>
    <row r="13402">
      <c r="A13402" s="39"/>
      <c r="E13402" s="40" t="s">
        <v>11404</v>
      </c>
      <c r="F13402" s="40" t="s">
        <v>11404</v>
      </c>
      <c r="G13402" s="40" t="s">
        <v>11404</v>
      </c>
      <c r="H13402" s="40" t="s">
        <v>11404</v>
      </c>
    </row>
    <row r="13403">
      <c r="A13403" s="39"/>
      <c r="E13403" s="40" t="s">
        <v>11404</v>
      </c>
      <c r="F13403" s="40" t="s">
        <v>11404</v>
      </c>
      <c r="G13403" s="40" t="s">
        <v>11404</v>
      </c>
      <c r="H13403" s="40" t="s">
        <v>11404</v>
      </c>
    </row>
    <row r="13404">
      <c r="A13404" s="39"/>
      <c r="E13404" s="40" t="s">
        <v>11404</v>
      </c>
      <c r="F13404" s="40" t="s">
        <v>11404</v>
      </c>
      <c r="G13404" s="40" t="s">
        <v>11404</v>
      </c>
      <c r="H13404" s="40" t="s">
        <v>11404</v>
      </c>
    </row>
    <row r="13405">
      <c r="A13405" s="39"/>
      <c r="E13405" s="40" t="s">
        <v>11404</v>
      </c>
      <c r="F13405" s="40" t="s">
        <v>11404</v>
      </c>
      <c r="G13405" s="40" t="s">
        <v>11404</v>
      </c>
      <c r="H13405" s="40" t="s">
        <v>11404</v>
      </c>
    </row>
    <row r="13406">
      <c r="A13406" s="39"/>
      <c r="E13406" s="40" t="s">
        <v>11404</v>
      </c>
      <c r="F13406" s="40" t="s">
        <v>11404</v>
      </c>
      <c r="G13406" s="40" t="s">
        <v>11404</v>
      </c>
      <c r="H13406" s="40" t="s">
        <v>11404</v>
      </c>
    </row>
    <row r="13407">
      <c r="A13407" s="39"/>
      <c r="E13407" s="40" t="s">
        <v>11404</v>
      </c>
      <c r="F13407" s="40" t="s">
        <v>11404</v>
      </c>
      <c r="G13407" s="40" t="s">
        <v>11404</v>
      </c>
      <c r="H13407" s="40" t="s">
        <v>11404</v>
      </c>
    </row>
    <row r="13408">
      <c r="A13408" s="39"/>
      <c r="E13408" s="40" t="s">
        <v>11404</v>
      </c>
      <c r="F13408" s="40" t="s">
        <v>11404</v>
      </c>
      <c r="G13408" s="40" t="s">
        <v>11404</v>
      </c>
      <c r="H13408" s="40" t="s">
        <v>11404</v>
      </c>
    </row>
    <row r="13409">
      <c r="A13409" s="39"/>
      <c r="E13409" s="40" t="s">
        <v>11404</v>
      </c>
      <c r="F13409" s="40" t="s">
        <v>11404</v>
      </c>
      <c r="G13409" s="40" t="s">
        <v>11404</v>
      </c>
      <c r="H13409" s="40" t="s">
        <v>11404</v>
      </c>
    </row>
    <row r="13410">
      <c r="A13410" s="39"/>
      <c r="E13410" s="40" t="s">
        <v>11404</v>
      </c>
      <c r="F13410" s="40" t="s">
        <v>11404</v>
      </c>
      <c r="G13410" s="40" t="s">
        <v>11404</v>
      </c>
      <c r="H13410" s="40" t="s">
        <v>11404</v>
      </c>
    </row>
    <row r="13411">
      <c r="A13411" s="39"/>
      <c r="E13411" s="40" t="s">
        <v>11404</v>
      </c>
      <c r="F13411" s="40" t="s">
        <v>11404</v>
      </c>
      <c r="G13411" s="40" t="s">
        <v>11404</v>
      </c>
      <c r="H13411" s="40" t="s">
        <v>11404</v>
      </c>
    </row>
    <row r="13412">
      <c r="A13412" s="39"/>
      <c r="E13412" s="40" t="s">
        <v>11404</v>
      </c>
      <c r="F13412" s="40" t="s">
        <v>11404</v>
      </c>
      <c r="G13412" s="40" t="s">
        <v>11404</v>
      </c>
      <c r="H13412" s="40" t="s">
        <v>11404</v>
      </c>
    </row>
    <row r="13413">
      <c r="A13413" s="39"/>
      <c r="E13413" s="40" t="s">
        <v>11404</v>
      </c>
      <c r="F13413" s="40" t="s">
        <v>11404</v>
      </c>
      <c r="G13413" s="40" t="s">
        <v>11404</v>
      </c>
      <c r="H13413" s="40" t="s">
        <v>11404</v>
      </c>
    </row>
    <row r="13414">
      <c r="A13414" s="39"/>
      <c r="E13414" s="40" t="s">
        <v>11404</v>
      </c>
      <c r="F13414" s="40" t="s">
        <v>11404</v>
      </c>
      <c r="G13414" s="40" t="s">
        <v>11404</v>
      </c>
      <c r="H13414" s="40" t="s">
        <v>11404</v>
      </c>
    </row>
    <row r="13415">
      <c r="A13415" s="39"/>
      <c r="E13415" s="40" t="s">
        <v>11404</v>
      </c>
      <c r="F13415" s="40" t="s">
        <v>11404</v>
      </c>
      <c r="G13415" s="40" t="s">
        <v>11404</v>
      </c>
      <c r="H13415" s="40" t="s">
        <v>11404</v>
      </c>
    </row>
    <row r="13416">
      <c r="A13416" s="39"/>
      <c r="E13416" s="40" t="s">
        <v>11404</v>
      </c>
      <c r="F13416" s="40" t="s">
        <v>11404</v>
      </c>
      <c r="G13416" s="40" t="s">
        <v>11404</v>
      </c>
      <c r="H13416" s="40" t="s">
        <v>11404</v>
      </c>
    </row>
    <row r="13417">
      <c r="A13417" s="39"/>
      <c r="E13417" s="40" t="s">
        <v>11404</v>
      </c>
      <c r="F13417" s="40" t="s">
        <v>11404</v>
      </c>
      <c r="G13417" s="40" t="s">
        <v>11404</v>
      </c>
      <c r="H13417" s="40" t="s">
        <v>11404</v>
      </c>
    </row>
    <row r="13418">
      <c r="A13418" s="39"/>
      <c r="E13418" s="40" t="s">
        <v>11404</v>
      </c>
      <c r="F13418" s="40" t="s">
        <v>11404</v>
      </c>
      <c r="G13418" s="40" t="s">
        <v>11404</v>
      </c>
      <c r="H13418" s="40" t="s">
        <v>11404</v>
      </c>
    </row>
    <row r="13419">
      <c r="A13419" s="39"/>
      <c r="E13419" s="40" t="s">
        <v>11404</v>
      </c>
      <c r="F13419" s="40" t="s">
        <v>11404</v>
      </c>
      <c r="G13419" s="40" t="s">
        <v>11404</v>
      </c>
      <c r="H13419" s="40" t="s">
        <v>11404</v>
      </c>
    </row>
    <row r="13420">
      <c r="A13420" s="39"/>
      <c r="E13420" s="40" t="s">
        <v>11404</v>
      </c>
      <c r="F13420" s="40" t="s">
        <v>11404</v>
      </c>
      <c r="G13420" s="40" t="s">
        <v>11404</v>
      </c>
      <c r="H13420" s="40" t="s">
        <v>11404</v>
      </c>
    </row>
    <row r="13421">
      <c r="A13421" s="39"/>
      <c r="E13421" s="40" t="s">
        <v>11404</v>
      </c>
      <c r="F13421" s="40" t="s">
        <v>11404</v>
      </c>
      <c r="G13421" s="40" t="s">
        <v>11404</v>
      </c>
      <c r="H13421" s="40" t="s">
        <v>11404</v>
      </c>
    </row>
    <row r="13422">
      <c r="A13422" s="39"/>
      <c r="E13422" s="40" t="s">
        <v>11404</v>
      </c>
      <c r="F13422" s="40" t="s">
        <v>11404</v>
      </c>
      <c r="G13422" s="40" t="s">
        <v>11404</v>
      </c>
      <c r="H13422" s="40" t="s">
        <v>11404</v>
      </c>
    </row>
    <row r="13423">
      <c r="A13423" s="39"/>
      <c r="E13423" s="40" t="s">
        <v>11404</v>
      </c>
      <c r="F13423" s="40" t="s">
        <v>11404</v>
      </c>
      <c r="G13423" s="40" t="s">
        <v>11404</v>
      </c>
      <c r="H13423" s="40" t="s">
        <v>11404</v>
      </c>
    </row>
    <row r="13424">
      <c r="A13424" s="39"/>
      <c r="E13424" s="40" t="s">
        <v>11404</v>
      </c>
      <c r="F13424" s="40" t="s">
        <v>11404</v>
      </c>
      <c r="G13424" s="40" t="s">
        <v>11404</v>
      </c>
      <c r="H13424" s="40" t="s">
        <v>11404</v>
      </c>
    </row>
    <row r="13425">
      <c r="A13425" s="39"/>
      <c r="E13425" s="40" t="s">
        <v>11404</v>
      </c>
      <c r="F13425" s="40" t="s">
        <v>11404</v>
      </c>
      <c r="G13425" s="40" t="s">
        <v>11404</v>
      </c>
      <c r="H13425" s="40" t="s">
        <v>11404</v>
      </c>
    </row>
    <row r="13426">
      <c r="A13426" s="39"/>
      <c r="E13426" s="40" t="s">
        <v>11404</v>
      </c>
      <c r="F13426" s="40" t="s">
        <v>11404</v>
      </c>
      <c r="G13426" s="40" t="s">
        <v>11404</v>
      </c>
      <c r="H13426" s="40" t="s">
        <v>11404</v>
      </c>
    </row>
    <row r="13427">
      <c r="A13427" s="39"/>
      <c r="E13427" s="40" t="s">
        <v>11404</v>
      </c>
      <c r="F13427" s="40" t="s">
        <v>11404</v>
      </c>
      <c r="G13427" s="40" t="s">
        <v>11404</v>
      </c>
      <c r="H13427" s="40" t="s">
        <v>11404</v>
      </c>
    </row>
    <row r="13428">
      <c r="A13428" s="39"/>
      <c r="E13428" s="40" t="s">
        <v>11404</v>
      </c>
      <c r="F13428" s="40" t="s">
        <v>11404</v>
      </c>
      <c r="G13428" s="40" t="s">
        <v>11404</v>
      </c>
      <c r="H13428" s="40" t="s">
        <v>11404</v>
      </c>
    </row>
    <row r="13429">
      <c r="A13429" s="39"/>
      <c r="E13429" s="40" t="s">
        <v>11404</v>
      </c>
      <c r="F13429" s="40" t="s">
        <v>11404</v>
      </c>
      <c r="G13429" s="40" t="s">
        <v>11404</v>
      </c>
      <c r="H13429" s="40" t="s">
        <v>11404</v>
      </c>
    </row>
    <row r="13430">
      <c r="A13430" s="39"/>
      <c r="E13430" s="40" t="s">
        <v>11404</v>
      </c>
      <c r="F13430" s="40" t="s">
        <v>11404</v>
      </c>
      <c r="G13430" s="40" t="s">
        <v>11404</v>
      </c>
      <c r="H13430" s="40" t="s">
        <v>11404</v>
      </c>
    </row>
    <row r="13431">
      <c r="A13431" s="39"/>
      <c r="E13431" s="40" t="s">
        <v>11404</v>
      </c>
      <c r="F13431" s="40" t="s">
        <v>11404</v>
      </c>
      <c r="G13431" s="40" t="s">
        <v>11404</v>
      </c>
      <c r="H13431" s="40" t="s">
        <v>11404</v>
      </c>
    </row>
    <row r="13432">
      <c r="A13432" s="39"/>
      <c r="E13432" s="40" t="s">
        <v>11404</v>
      </c>
      <c r="F13432" s="40" t="s">
        <v>11404</v>
      </c>
      <c r="G13432" s="40" t="s">
        <v>11404</v>
      </c>
      <c r="H13432" s="40" t="s">
        <v>11404</v>
      </c>
    </row>
    <row r="13433">
      <c r="A13433" s="39"/>
      <c r="E13433" s="40" t="s">
        <v>11404</v>
      </c>
      <c r="F13433" s="40" t="s">
        <v>11404</v>
      </c>
      <c r="G13433" s="40" t="s">
        <v>11404</v>
      </c>
      <c r="H13433" s="40" t="s">
        <v>11404</v>
      </c>
    </row>
    <row r="13434">
      <c r="A13434" s="39"/>
      <c r="E13434" s="40" t="s">
        <v>11404</v>
      </c>
      <c r="F13434" s="40" t="s">
        <v>11404</v>
      </c>
      <c r="G13434" s="40" t="s">
        <v>11404</v>
      </c>
      <c r="H13434" s="40" t="s">
        <v>11404</v>
      </c>
    </row>
    <row r="13435">
      <c r="A13435" s="39"/>
      <c r="E13435" s="40" t="s">
        <v>11404</v>
      </c>
      <c r="F13435" s="40" t="s">
        <v>11404</v>
      </c>
      <c r="G13435" s="40" t="s">
        <v>11404</v>
      </c>
      <c r="H13435" s="40" t="s">
        <v>11404</v>
      </c>
    </row>
    <row r="13436">
      <c r="A13436" s="39"/>
      <c r="E13436" s="40" t="s">
        <v>11404</v>
      </c>
      <c r="F13436" s="40" t="s">
        <v>11404</v>
      </c>
      <c r="G13436" s="40" t="s">
        <v>11404</v>
      </c>
      <c r="H13436" s="40" t="s">
        <v>11404</v>
      </c>
    </row>
    <row r="13437">
      <c r="A13437" s="39"/>
      <c r="E13437" s="40" t="s">
        <v>11404</v>
      </c>
      <c r="F13437" s="40" t="s">
        <v>11404</v>
      </c>
      <c r="G13437" s="40" t="s">
        <v>11404</v>
      </c>
      <c r="H13437" s="40" t="s">
        <v>11404</v>
      </c>
    </row>
    <row r="13438">
      <c r="A13438" s="39"/>
      <c r="E13438" s="40" t="s">
        <v>11404</v>
      </c>
      <c r="F13438" s="40" t="s">
        <v>11404</v>
      </c>
      <c r="G13438" s="40" t="s">
        <v>11404</v>
      </c>
      <c r="H13438" s="40" t="s">
        <v>11404</v>
      </c>
    </row>
    <row r="13439">
      <c r="A13439" s="39"/>
      <c r="E13439" s="40" t="s">
        <v>11404</v>
      </c>
      <c r="F13439" s="40" t="s">
        <v>11404</v>
      </c>
      <c r="G13439" s="40" t="s">
        <v>11404</v>
      </c>
      <c r="H13439" s="40" t="s">
        <v>11404</v>
      </c>
    </row>
    <row r="13440">
      <c r="A13440" s="39"/>
      <c r="E13440" s="40" t="s">
        <v>11404</v>
      </c>
      <c r="F13440" s="40" t="s">
        <v>11404</v>
      </c>
      <c r="G13440" s="40" t="s">
        <v>11404</v>
      </c>
      <c r="H13440" s="40" t="s">
        <v>11404</v>
      </c>
    </row>
    <row r="13441">
      <c r="A13441" s="39"/>
      <c r="E13441" s="40" t="s">
        <v>11404</v>
      </c>
      <c r="F13441" s="40" t="s">
        <v>11404</v>
      </c>
      <c r="G13441" s="40" t="s">
        <v>11404</v>
      </c>
      <c r="H13441" s="40" t="s">
        <v>11404</v>
      </c>
    </row>
    <row r="13442">
      <c r="A13442" s="39"/>
      <c r="E13442" s="40" t="s">
        <v>11404</v>
      </c>
      <c r="F13442" s="40" t="s">
        <v>11404</v>
      </c>
      <c r="G13442" s="40" t="s">
        <v>11404</v>
      </c>
      <c r="H13442" s="40" t="s">
        <v>11404</v>
      </c>
    </row>
    <row r="13443">
      <c r="A13443" s="39"/>
      <c r="E13443" s="40" t="s">
        <v>11404</v>
      </c>
      <c r="F13443" s="40" t="s">
        <v>11404</v>
      </c>
      <c r="G13443" s="40" t="s">
        <v>11404</v>
      </c>
      <c r="H13443" s="40" t="s">
        <v>11404</v>
      </c>
    </row>
    <row r="13444">
      <c r="A13444" s="39"/>
      <c r="E13444" s="40" t="s">
        <v>11404</v>
      </c>
      <c r="F13444" s="40" t="s">
        <v>11404</v>
      </c>
      <c r="G13444" s="40" t="s">
        <v>11404</v>
      </c>
      <c r="H13444" s="40" t="s">
        <v>11404</v>
      </c>
    </row>
    <row r="13445">
      <c r="A13445" s="39"/>
      <c r="E13445" s="40" t="s">
        <v>11404</v>
      </c>
      <c r="F13445" s="40" t="s">
        <v>11404</v>
      </c>
      <c r="G13445" s="40" t="s">
        <v>11404</v>
      </c>
      <c r="H13445" s="40" t="s">
        <v>11404</v>
      </c>
    </row>
    <row r="13446">
      <c r="A13446" s="39"/>
      <c r="E13446" s="40" t="s">
        <v>11404</v>
      </c>
      <c r="F13446" s="40" t="s">
        <v>11404</v>
      </c>
      <c r="G13446" s="40" t="s">
        <v>11404</v>
      </c>
      <c r="H13446" s="40" t="s">
        <v>11404</v>
      </c>
    </row>
    <row r="13447">
      <c r="A13447" s="39"/>
      <c r="E13447" s="40" t="s">
        <v>11404</v>
      </c>
      <c r="F13447" s="40" t="s">
        <v>11404</v>
      </c>
      <c r="G13447" s="40" t="s">
        <v>11404</v>
      </c>
      <c r="H13447" s="40" t="s">
        <v>11404</v>
      </c>
    </row>
    <row r="13448">
      <c r="A13448" s="39"/>
      <c r="E13448" s="40" t="s">
        <v>11404</v>
      </c>
      <c r="F13448" s="40" t="s">
        <v>11404</v>
      </c>
      <c r="G13448" s="40" t="s">
        <v>11404</v>
      </c>
      <c r="H13448" s="40" t="s">
        <v>11404</v>
      </c>
    </row>
    <row r="13449">
      <c r="A13449" s="39"/>
      <c r="E13449" s="40" t="s">
        <v>11404</v>
      </c>
      <c r="F13449" s="40" t="s">
        <v>11404</v>
      </c>
      <c r="G13449" s="40" t="s">
        <v>11404</v>
      </c>
      <c r="H13449" s="40" t="s">
        <v>11404</v>
      </c>
    </row>
    <row r="13450">
      <c r="A13450" s="39"/>
      <c r="E13450" s="40" t="s">
        <v>11404</v>
      </c>
      <c r="F13450" s="40" t="s">
        <v>11404</v>
      </c>
      <c r="G13450" s="40" t="s">
        <v>11404</v>
      </c>
      <c r="H13450" s="40" t="s">
        <v>11404</v>
      </c>
    </row>
    <row r="13451">
      <c r="A13451" s="39"/>
      <c r="E13451" s="40" t="s">
        <v>11404</v>
      </c>
      <c r="F13451" s="40" t="s">
        <v>11404</v>
      </c>
      <c r="G13451" s="40" t="s">
        <v>11404</v>
      </c>
      <c r="H13451" s="40" t="s">
        <v>11404</v>
      </c>
    </row>
    <row r="13452">
      <c r="A13452" s="39"/>
      <c r="E13452" s="40" t="s">
        <v>11404</v>
      </c>
      <c r="F13452" s="40" t="s">
        <v>11404</v>
      </c>
      <c r="G13452" s="40" t="s">
        <v>11404</v>
      </c>
      <c r="H13452" s="40" t="s">
        <v>11404</v>
      </c>
    </row>
    <row r="13453">
      <c r="A13453" s="39"/>
      <c r="E13453" s="40" t="s">
        <v>11404</v>
      </c>
      <c r="F13453" s="40" t="s">
        <v>11404</v>
      </c>
      <c r="G13453" s="40" t="s">
        <v>11404</v>
      </c>
      <c r="H13453" s="40" t="s">
        <v>11404</v>
      </c>
    </row>
    <row r="13454">
      <c r="A13454" s="39"/>
      <c r="E13454" s="40" t="s">
        <v>11404</v>
      </c>
      <c r="F13454" s="40" t="s">
        <v>11404</v>
      </c>
      <c r="G13454" s="40" t="s">
        <v>11404</v>
      </c>
      <c r="H13454" s="40" t="s">
        <v>11404</v>
      </c>
    </row>
    <row r="13455">
      <c r="A13455" s="39"/>
      <c r="E13455" s="40" t="s">
        <v>11404</v>
      </c>
      <c r="F13455" s="40" t="s">
        <v>11404</v>
      </c>
      <c r="G13455" s="40" t="s">
        <v>11404</v>
      </c>
      <c r="H13455" s="40" t="s">
        <v>11404</v>
      </c>
    </row>
    <row r="13456">
      <c r="A13456" s="39"/>
      <c r="E13456" s="40" t="s">
        <v>11404</v>
      </c>
      <c r="F13456" s="40" t="s">
        <v>11404</v>
      </c>
      <c r="G13456" s="40" t="s">
        <v>11404</v>
      </c>
      <c r="H13456" s="40" t="s">
        <v>11404</v>
      </c>
    </row>
    <row r="13457">
      <c r="A13457" s="39"/>
      <c r="E13457" s="40" t="s">
        <v>11404</v>
      </c>
      <c r="F13457" s="40" t="s">
        <v>11404</v>
      </c>
      <c r="G13457" s="40" t="s">
        <v>11404</v>
      </c>
      <c r="H13457" s="40" t="s">
        <v>11404</v>
      </c>
    </row>
    <row r="13458">
      <c r="A13458" s="39"/>
      <c r="E13458" s="40" t="s">
        <v>11404</v>
      </c>
      <c r="F13458" s="40" t="s">
        <v>11404</v>
      </c>
      <c r="G13458" s="40" t="s">
        <v>11404</v>
      </c>
      <c r="H13458" s="40" t="s">
        <v>11404</v>
      </c>
    </row>
    <row r="13459">
      <c r="A13459" s="39"/>
      <c r="E13459" s="40" t="s">
        <v>11404</v>
      </c>
      <c r="F13459" s="40" t="s">
        <v>11404</v>
      </c>
      <c r="G13459" s="40" t="s">
        <v>11404</v>
      </c>
      <c r="H13459" s="40" t="s">
        <v>11404</v>
      </c>
    </row>
    <row r="13460">
      <c r="A13460" s="39"/>
      <c r="E13460" s="40" t="s">
        <v>11404</v>
      </c>
      <c r="F13460" s="40" t="s">
        <v>11404</v>
      </c>
      <c r="G13460" s="40" t="s">
        <v>11404</v>
      </c>
      <c r="H13460" s="40" t="s">
        <v>11404</v>
      </c>
    </row>
    <row r="13461">
      <c r="A13461" s="39"/>
      <c r="E13461" s="40" t="s">
        <v>11404</v>
      </c>
      <c r="F13461" s="40" t="s">
        <v>11404</v>
      </c>
      <c r="G13461" s="40" t="s">
        <v>11404</v>
      </c>
      <c r="H13461" s="40" t="s">
        <v>11404</v>
      </c>
    </row>
    <row r="13462">
      <c r="A13462" s="39"/>
      <c r="E13462" s="40" t="s">
        <v>11404</v>
      </c>
      <c r="F13462" s="40" t="s">
        <v>11404</v>
      </c>
      <c r="G13462" s="40" t="s">
        <v>11404</v>
      </c>
      <c r="H13462" s="40" t="s">
        <v>11404</v>
      </c>
    </row>
    <row r="13463">
      <c r="A13463" s="39"/>
      <c r="E13463" s="40" t="s">
        <v>11404</v>
      </c>
      <c r="F13463" s="40" t="s">
        <v>11404</v>
      </c>
      <c r="G13463" s="40" t="s">
        <v>11404</v>
      </c>
      <c r="H13463" s="40" t="s">
        <v>11404</v>
      </c>
    </row>
    <row r="13464">
      <c r="A13464" s="39"/>
      <c r="E13464" s="40" t="s">
        <v>11404</v>
      </c>
      <c r="F13464" s="40" t="s">
        <v>11404</v>
      </c>
      <c r="G13464" s="40" t="s">
        <v>11404</v>
      </c>
      <c r="H13464" s="40" t="s">
        <v>11404</v>
      </c>
    </row>
    <row r="13465">
      <c r="A13465" s="39"/>
      <c r="E13465" s="40" t="s">
        <v>11404</v>
      </c>
      <c r="F13465" s="40" t="s">
        <v>11404</v>
      </c>
      <c r="G13465" s="40" t="s">
        <v>11404</v>
      </c>
      <c r="H13465" s="40" t="s">
        <v>11404</v>
      </c>
    </row>
    <row r="13466">
      <c r="A13466" s="39"/>
      <c r="E13466" s="40" t="s">
        <v>11404</v>
      </c>
      <c r="F13466" s="40" t="s">
        <v>11404</v>
      </c>
      <c r="G13466" s="40" t="s">
        <v>11404</v>
      </c>
      <c r="H13466" s="40" t="s">
        <v>11404</v>
      </c>
    </row>
    <row r="13467">
      <c r="A13467" s="39"/>
      <c r="E13467" s="40" t="s">
        <v>11404</v>
      </c>
      <c r="F13467" s="40" t="s">
        <v>11404</v>
      </c>
      <c r="G13467" s="40" t="s">
        <v>11404</v>
      </c>
      <c r="H13467" s="40" t="s">
        <v>11404</v>
      </c>
    </row>
    <row r="13468">
      <c r="A13468" s="39"/>
      <c r="E13468" s="40" t="s">
        <v>11404</v>
      </c>
      <c r="F13468" s="40" t="s">
        <v>11404</v>
      </c>
      <c r="G13468" s="40" t="s">
        <v>11404</v>
      </c>
      <c r="H13468" s="40" t="s">
        <v>11404</v>
      </c>
    </row>
    <row r="13469">
      <c r="A13469" s="39"/>
      <c r="E13469" s="40" t="s">
        <v>11404</v>
      </c>
      <c r="F13469" s="40" t="s">
        <v>11404</v>
      </c>
      <c r="G13469" s="40" t="s">
        <v>11404</v>
      </c>
      <c r="H13469" s="40" t="s">
        <v>11404</v>
      </c>
    </row>
    <row r="13470">
      <c r="A13470" s="39"/>
      <c r="E13470" s="40" t="s">
        <v>11404</v>
      </c>
      <c r="F13470" s="40" t="s">
        <v>11404</v>
      </c>
      <c r="G13470" s="40" t="s">
        <v>11404</v>
      </c>
      <c r="H13470" s="40" t="s">
        <v>11404</v>
      </c>
    </row>
    <row r="13471">
      <c r="A13471" s="39"/>
      <c r="E13471" s="40" t="s">
        <v>11404</v>
      </c>
      <c r="F13471" s="40" t="s">
        <v>11404</v>
      </c>
      <c r="G13471" s="40" t="s">
        <v>11404</v>
      </c>
      <c r="H13471" s="40" t="s">
        <v>11404</v>
      </c>
    </row>
    <row r="13472">
      <c r="A13472" s="39"/>
      <c r="E13472" s="40" t="s">
        <v>11404</v>
      </c>
      <c r="F13472" s="40" t="s">
        <v>11404</v>
      </c>
      <c r="G13472" s="40" t="s">
        <v>11404</v>
      </c>
      <c r="H13472" s="40" t="s">
        <v>11404</v>
      </c>
    </row>
    <row r="13473">
      <c r="A13473" s="39"/>
      <c r="E13473" s="40" t="s">
        <v>11404</v>
      </c>
      <c r="F13473" s="40" t="s">
        <v>11404</v>
      </c>
      <c r="G13473" s="40" t="s">
        <v>11404</v>
      </c>
      <c r="H13473" s="40" t="s">
        <v>11404</v>
      </c>
    </row>
    <row r="13474">
      <c r="A13474" s="39"/>
      <c r="E13474" s="40" t="s">
        <v>11404</v>
      </c>
      <c r="F13474" s="40" t="s">
        <v>11404</v>
      </c>
      <c r="G13474" s="40" t="s">
        <v>11404</v>
      </c>
      <c r="H13474" s="40" t="s">
        <v>11404</v>
      </c>
    </row>
    <row r="13475">
      <c r="A13475" s="39"/>
      <c r="E13475" s="40" t="s">
        <v>11404</v>
      </c>
      <c r="F13475" s="40" t="s">
        <v>11404</v>
      </c>
      <c r="G13475" s="40" t="s">
        <v>11404</v>
      </c>
      <c r="H13475" s="40" t="s">
        <v>11404</v>
      </c>
    </row>
    <row r="13476">
      <c r="A13476" s="39"/>
      <c r="E13476" s="40" t="s">
        <v>11404</v>
      </c>
      <c r="F13476" s="40" t="s">
        <v>11404</v>
      </c>
      <c r="G13476" s="40" t="s">
        <v>11404</v>
      </c>
      <c r="H13476" s="40" t="s">
        <v>11404</v>
      </c>
    </row>
    <row r="13477">
      <c r="A13477" s="39"/>
      <c r="E13477" s="40" t="s">
        <v>11404</v>
      </c>
      <c r="F13477" s="40" t="s">
        <v>11404</v>
      </c>
      <c r="G13477" s="40" t="s">
        <v>11404</v>
      </c>
      <c r="H13477" s="40" t="s">
        <v>11404</v>
      </c>
    </row>
    <row r="13478">
      <c r="A13478" s="39"/>
      <c r="E13478" s="40" t="s">
        <v>11404</v>
      </c>
      <c r="F13478" s="40" t="s">
        <v>11404</v>
      </c>
      <c r="G13478" s="40" t="s">
        <v>11404</v>
      </c>
      <c r="H13478" s="40" t="s">
        <v>11404</v>
      </c>
    </row>
    <row r="13479">
      <c r="A13479" s="39"/>
      <c r="E13479" s="40" t="s">
        <v>11404</v>
      </c>
      <c r="F13479" s="40" t="s">
        <v>11404</v>
      </c>
      <c r="G13479" s="40" t="s">
        <v>11404</v>
      </c>
      <c r="H13479" s="40" t="s">
        <v>11404</v>
      </c>
    </row>
    <row r="13480">
      <c r="A13480" s="39"/>
      <c r="E13480" s="40" t="s">
        <v>11404</v>
      </c>
      <c r="F13480" s="40" t="s">
        <v>11404</v>
      </c>
      <c r="G13480" s="40" t="s">
        <v>11404</v>
      </c>
      <c r="H13480" s="40" t="s">
        <v>11404</v>
      </c>
    </row>
    <row r="13481">
      <c r="A13481" s="39"/>
      <c r="E13481" s="40" t="s">
        <v>11404</v>
      </c>
      <c r="F13481" s="40" t="s">
        <v>11404</v>
      </c>
      <c r="G13481" s="40" t="s">
        <v>11404</v>
      </c>
      <c r="H13481" s="40" t="s">
        <v>11404</v>
      </c>
    </row>
    <row r="13482">
      <c r="A13482" s="39"/>
      <c r="E13482" s="40" t="s">
        <v>11404</v>
      </c>
      <c r="F13482" s="40" t="s">
        <v>11404</v>
      </c>
      <c r="G13482" s="40" t="s">
        <v>11404</v>
      </c>
      <c r="H13482" s="40" t="s">
        <v>11404</v>
      </c>
    </row>
    <row r="13483">
      <c r="A13483" s="39"/>
      <c r="E13483" s="40" t="s">
        <v>11404</v>
      </c>
      <c r="F13483" s="40" t="s">
        <v>11404</v>
      </c>
      <c r="G13483" s="40" t="s">
        <v>11404</v>
      </c>
      <c r="H13483" s="40" t="s">
        <v>11404</v>
      </c>
    </row>
    <row r="13484">
      <c r="A13484" s="39"/>
      <c r="E13484" s="40" t="s">
        <v>11404</v>
      </c>
      <c r="F13484" s="40" t="s">
        <v>11404</v>
      </c>
      <c r="G13484" s="40" t="s">
        <v>11404</v>
      </c>
      <c r="H13484" s="40" t="s">
        <v>11404</v>
      </c>
    </row>
    <row r="13485">
      <c r="A13485" s="39"/>
      <c r="E13485" s="40" t="s">
        <v>11404</v>
      </c>
      <c r="F13485" s="40" t="s">
        <v>11404</v>
      </c>
      <c r="G13485" s="40" t="s">
        <v>11404</v>
      </c>
      <c r="H13485" s="40" t="s">
        <v>11404</v>
      </c>
    </row>
    <row r="13486">
      <c r="A13486" s="39"/>
      <c r="E13486" s="40" t="s">
        <v>11404</v>
      </c>
      <c r="F13486" s="40" t="s">
        <v>11404</v>
      </c>
      <c r="G13486" s="40" t="s">
        <v>11404</v>
      </c>
      <c r="H13486" s="40" t="s">
        <v>11404</v>
      </c>
    </row>
    <row r="13487">
      <c r="A13487" s="39"/>
      <c r="E13487" s="40" t="s">
        <v>11404</v>
      </c>
      <c r="F13487" s="40" t="s">
        <v>11404</v>
      </c>
      <c r="G13487" s="40" t="s">
        <v>11404</v>
      </c>
      <c r="H13487" s="40" t="s">
        <v>11404</v>
      </c>
    </row>
    <row r="13488">
      <c r="A13488" s="39"/>
      <c r="E13488" s="40" t="s">
        <v>11404</v>
      </c>
      <c r="F13488" s="40" t="s">
        <v>11404</v>
      </c>
      <c r="G13488" s="40" t="s">
        <v>11404</v>
      </c>
      <c r="H13488" s="40" t="s">
        <v>11404</v>
      </c>
    </row>
    <row r="13489">
      <c r="A13489" s="39"/>
      <c r="E13489" s="40" t="s">
        <v>11404</v>
      </c>
      <c r="F13489" s="40" t="s">
        <v>11404</v>
      </c>
      <c r="G13489" s="40" t="s">
        <v>11404</v>
      </c>
      <c r="H13489" s="40" t="s">
        <v>11404</v>
      </c>
    </row>
    <row r="13490">
      <c r="A13490" s="39"/>
      <c r="E13490" s="40" t="s">
        <v>11404</v>
      </c>
      <c r="F13490" s="40" t="s">
        <v>11404</v>
      </c>
      <c r="G13490" s="40" t="s">
        <v>11404</v>
      </c>
      <c r="H13490" s="40" t="s">
        <v>11404</v>
      </c>
    </row>
    <row r="13491">
      <c r="A13491" s="39"/>
      <c r="E13491" s="40" t="s">
        <v>11404</v>
      </c>
      <c r="F13491" s="40" t="s">
        <v>11404</v>
      </c>
      <c r="G13491" s="40" t="s">
        <v>11404</v>
      </c>
      <c r="H13491" s="40" t="s">
        <v>11404</v>
      </c>
    </row>
    <row r="13492">
      <c r="A13492" s="39"/>
      <c r="E13492" s="40" t="s">
        <v>11404</v>
      </c>
      <c r="F13492" s="40" t="s">
        <v>11404</v>
      </c>
      <c r="G13492" s="40" t="s">
        <v>11404</v>
      </c>
      <c r="H13492" s="40" t="s">
        <v>11404</v>
      </c>
    </row>
    <row r="13493">
      <c r="A13493" s="39"/>
      <c r="E13493" s="40" t="s">
        <v>11404</v>
      </c>
      <c r="F13493" s="40" t="s">
        <v>11404</v>
      </c>
      <c r="G13493" s="40" t="s">
        <v>11404</v>
      </c>
      <c r="H13493" s="40" t="s">
        <v>11404</v>
      </c>
    </row>
    <row r="13494">
      <c r="A13494" s="39"/>
      <c r="E13494" s="40" t="s">
        <v>11404</v>
      </c>
      <c r="F13494" s="40" t="s">
        <v>11404</v>
      </c>
      <c r="G13494" s="40" t="s">
        <v>11404</v>
      </c>
      <c r="H13494" s="40" t="s">
        <v>11404</v>
      </c>
    </row>
    <row r="13495">
      <c r="A13495" s="39"/>
      <c r="E13495" s="40" t="s">
        <v>11404</v>
      </c>
      <c r="F13495" s="40" t="s">
        <v>11404</v>
      </c>
      <c r="G13495" s="40" t="s">
        <v>11404</v>
      </c>
      <c r="H13495" s="40" t="s">
        <v>11404</v>
      </c>
    </row>
    <row r="13496">
      <c r="A13496" s="39"/>
      <c r="E13496" s="40" t="s">
        <v>11404</v>
      </c>
      <c r="F13496" s="40" t="s">
        <v>11404</v>
      </c>
      <c r="G13496" s="40" t="s">
        <v>11404</v>
      </c>
      <c r="H13496" s="40" t="s">
        <v>11404</v>
      </c>
    </row>
    <row r="13497">
      <c r="A13497" s="39"/>
      <c r="E13497" s="40" t="s">
        <v>11404</v>
      </c>
      <c r="F13497" s="40" t="s">
        <v>11404</v>
      </c>
      <c r="G13497" s="40" t="s">
        <v>11404</v>
      </c>
      <c r="H13497" s="40" t="s">
        <v>11404</v>
      </c>
    </row>
    <row r="13498">
      <c r="A13498" s="39"/>
      <c r="E13498" s="40" t="s">
        <v>11404</v>
      </c>
      <c r="F13498" s="40" t="s">
        <v>11404</v>
      </c>
      <c r="G13498" s="40" t="s">
        <v>11404</v>
      </c>
      <c r="H13498" s="40" t="s">
        <v>11404</v>
      </c>
    </row>
    <row r="13499">
      <c r="A13499" s="39"/>
      <c r="E13499" s="40" t="s">
        <v>11404</v>
      </c>
      <c r="F13499" s="40" t="s">
        <v>11404</v>
      </c>
      <c r="G13499" s="40" t="s">
        <v>11404</v>
      </c>
      <c r="H13499" s="40" t="s">
        <v>11404</v>
      </c>
    </row>
    <row r="13500">
      <c r="A13500" s="39"/>
      <c r="E13500" s="40" t="s">
        <v>11404</v>
      </c>
      <c r="F13500" s="40" t="s">
        <v>11404</v>
      </c>
      <c r="G13500" s="40" t="s">
        <v>11404</v>
      </c>
      <c r="H13500" s="40" t="s">
        <v>11404</v>
      </c>
    </row>
    <row r="13501">
      <c r="A13501" s="39"/>
      <c r="E13501" s="40" t="s">
        <v>11404</v>
      </c>
      <c r="F13501" s="40" t="s">
        <v>11404</v>
      </c>
      <c r="G13501" s="40" t="s">
        <v>11404</v>
      </c>
      <c r="H13501" s="40" t="s">
        <v>11404</v>
      </c>
    </row>
    <row r="13502">
      <c r="A13502" s="39"/>
      <c r="E13502" s="40" t="s">
        <v>11404</v>
      </c>
      <c r="F13502" s="40" t="s">
        <v>11404</v>
      </c>
      <c r="G13502" s="40" t="s">
        <v>11404</v>
      </c>
      <c r="H13502" s="40" t="s">
        <v>11404</v>
      </c>
    </row>
    <row r="13503">
      <c r="A13503" s="39"/>
      <c r="E13503" s="40" t="s">
        <v>11404</v>
      </c>
      <c r="F13503" s="40" t="s">
        <v>11404</v>
      </c>
      <c r="G13503" s="40" t="s">
        <v>11404</v>
      </c>
      <c r="H13503" s="40" t="s">
        <v>11404</v>
      </c>
    </row>
    <row r="13504">
      <c r="A13504" s="39"/>
      <c r="E13504" s="40" t="s">
        <v>11404</v>
      </c>
      <c r="F13504" s="40" t="s">
        <v>11404</v>
      </c>
      <c r="G13504" s="40" t="s">
        <v>11404</v>
      </c>
      <c r="H13504" s="40" t="s">
        <v>11404</v>
      </c>
    </row>
    <row r="13505">
      <c r="A13505" s="39"/>
      <c r="E13505" s="40" t="s">
        <v>11404</v>
      </c>
      <c r="F13505" s="40" t="s">
        <v>11404</v>
      </c>
      <c r="G13505" s="40" t="s">
        <v>11404</v>
      </c>
      <c r="H13505" s="40" t="s">
        <v>11404</v>
      </c>
    </row>
    <row r="13506">
      <c r="A13506" s="39"/>
      <c r="E13506" s="40" t="s">
        <v>11404</v>
      </c>
      <c r="F13506" s="40" t="s">
        <v>11404</v>
      </c>
      <c r="G13506" s="40" t="s">
        <v>11404</v>
      </c>
      <c r="H13506" s="40" t="s">
        <v>11404</v>
      </c>
    </row>
    <row r="13507">
      <c r="A13507" s="39"/>
      <c r="E13507" s="40" t="s">
        <v>11404</v>
      </c>
      <c r="F13507" s="40" t="s">
        <v>11404</v>
      </c>
      <c r="G13507" s="40" t="s">
        <v>11404</v>
      </c>
      <c r="H13507" s="40" t="s">
        <v>11404</v>
      </c>
    </row>
    <row r="13508">
      <c r="A13508" s="39"/>
      <c r="E13508" s="40" t="s">
        <v>11404</v>
      </c>
      <c r="F13508" s="40" t="s">
        <v>11404</v>
      </c>
      <c r="G13508" s="40" t="s">
        <v>11404</v>
      </c>
      <c r="H13508" s="40" t="s">
        <v>11404</v>
      </c>
    </row>
    <row r="13509">
      <c r="A13509" s="39"/>
      <c r="E13509" s="40" t="s">
        <v>11404</v>
      </c>
      <c r="F13509" s="40" t="s">
        <v>11404</v>
      </c>
      <c r="G13509" s="40" t="s">
        <v>11404</v>
      </c>
      <c r="H13509" s="40" t="s">
        <v>11404</v>
      </c>
    </row>
    <row r="13510">
      <c r="A13510" s="39"/>
      <c r="E13510" s="40" t="s">
        <v>11404</v>
      </c>
      <c r="F13510" s="40" t="s">
        <v>11404</v>
      </c>
      <c r="G13510" s="40" t="s">
        <v>11404</v>
      </c>
      <c r="H13510" s="40" t="s">
        <v>11404</v>
      </c>
    </row>
    <row r="13511">
      <c r="A13511" s="39"/>
      <c r="E13511" s="40" t="s">
        <v>11404</v>
      </c>
      <c r="F13511" s="40" t="s">
        <v>11404</v>
      </c>
      <c r="G13511" s="40" t="s">
        <v>11404</v>
      </c>
      <c r="H13511" s="40" t="s">
        <v>11404</v>
      </c>
    </row>
    <row r="13512">
      <c r="A13512" s="39"/>
      <c r="E13512" s="40" t="s">
        <v>11404</v>
      </c>
      <c r="F13512" s="40" t="s">
        <v>11404</v>
      </c>
      <c r="G13512" s="40" t="s">
        <v>11404</v>
      </c>
      <c r="H13512" s="40" t="s">
        <v>11404</v>
      </c>
    </row>
    <row r="13513">
      <c r="A13513" s="39"/>
      <c r="E13513" s="40" t="s">
        <v>11404</v>
      </c>
      <c r="F13513" s="40" t="s">
        <v>11404</v>
      </c>
      <c r="G13513" s="40" t="s">
        <v>11404</v>
      </c>
      <c r="H13513" s="40" t="s">
        <v>11404</v>
      </c>
    </row>
    <row r="13514">
      <c r="A13514" s="39"/>
      <c r="E13514" s="40" t="s">
        <v>11404</v>
      </c>
      <c r="F13514" s="40" t="s">
        <v>11404</v>
      </c>
      <c r="G13514" s="40" t="s">
        <v>11404</v>
      </c>
      <c r="H13514" s="40" t="s">
        <v>11404</v>
      </c>
    </row>
    <row r="13515">
      <c r="A13515" s="39"/>
      <c r="E13515" s="40" t="s">
        <v>11404</v>
      </c>
      <c r="F13515" s="40" t="s">
        <v>11404</v>
      </c>
      <c r="G13515" s="40" t="s">
        <v>11404</v>
      </c>
      <c r="H13515" s="40" t="s">
        <v>11404</v>
      </c>
    </row>
    <row r="13516">
      <c r="A13516" s="39"/>
      <c r="E13516" s="40" t="s">
        <v>11404</v>
      </c>
      <c r="F13516" s="40" t="s">
        <v>11404</v>
      </c>
      <c r="G13516" s="40" t="s">
        <v>11404</v>
      </c>
      <c r="H13516" s="40" t="s">
        <v>11404</v>
      </c>
    </row>
    <row r="13517">
      <c r="A13517" s="39"/>
      <c r="E13517" s="40" t="s">
        <v>11404</v>
      </c>
      <c r="F13517" s="40" t="s">
        <v>11404</v>
      </c>
      <c r="G13517" s="40" t="s">
        <v>11404</v>
      </c>
      <c r="H13517" s="40" t="s">
        <v>11404</v>
      </c>
    </row>
    <row r="13518">
      <c r="A13518" s="39"/>
      <c r="E13518" s="40" t="s">
        <v>11404</v>
      </c>
      <c r="F13518" s="40" t="s">
        <v>11404</v>
      </c>
      <c r="G13518" s="40" t="s">
        <v>11404</v>
      </c>
      <c r="H13518" s="40" t="s">
        <v>11404</v>
      </c>
    </row>
    <row r="13519">
      <c r="A13519" s="39"/>
      <c r="E13519" s="40" t="s">
        <v>11404</v>
      </c>
      <c r="F13519" s="40" t="s">
        <v>11404</v>
      </c>
      <c r="G13519" s="40" t="s">
        <v>11404</v>
      </c>
      <c r="H13519" s="40" t="s">
        <v>11404</v>
      </c>
    </row>
    <row r="13520">
      <c r="A13520" s="39"/>
      <c r="E13520" s="40" t="s">
        <v>11404</v>
      </c>
      <c r="F13520" s="40" t="s">
        <v>11404</v>
      </c>
      <c r="G13520" s="40" t="s">
        <v>11404</v>
      </c>
      <c r="H13520" s="40" t="s">
        <v>11404</v>
      </c>
    </row>
    <row r="13521">
      <c r="A13521" s="39"/>
      <c r="E13521" s="40" t="s">
        <v>11404</v>
      </c>
      <c r="F13521" s="40" t="s">
        <v>11404</v>
      </c>
      <c r="G13521" s="40" t="s">
        <v>11404</v>
      </c>
      <c r="H13521" s="40" t="s">
        <v>11404</v>
      </c>
    </row>
    <row r="13522">
      <c r="A13522" s="39"/>
      <c r="E13522" s="40" t="s">
        <v>11404</v>
      </c>
      <c r="F13522" s="40" t="s">
        <v>11404</v>
      </c>
      <c r="G13522" s="40" t="s">
        <v>11404</v>
      </c>
      <c r="H13522" s="40" t="s">
        <v>11404</v>
      </c>
    </row>
    <row r="13523">
      <c r="A13523" s="39"/>
      <c r="E13523" s="40" t="s">
        <v>11404</v>
      </c>
      <c r="F13523" s="40" t="s">
        <v>11404</v>
      </c>
      <c r="G13523" s="40" t="s">
        <v>11404</v>
      </c>
      <c r="H13523" s="40" t="s">
        <v>11404</v>
      </c>
    </row>
    <row r="13524">
      <c r="A13524" s="39"/>
      <c r="E13524" s="40" t="s">
        <v>11404</v>
      </c>
      <c r="F13524" s="40" t="s">
        <v>11404</v>
      </c>
      <c r="G13524" s="40" t="s">
        <v>11404</v>
      </c>
      <c r="H13524" s="40" t="s">
        <v>11404</v>
      </c>
    </row>
    <row r="13525">
      <c r="A13525" s="39"/>
      <c r="E13525" s="40" t="s">
        <v>11404</v>
      </c>
      <c r="F13525" s="40" t="s">
        <v>11404</v>
      </c>
      <c r="G13525" s="40" t="s">
        <v>11404</v>
      </c>
      <c r="H13525" s="40" t="s">
        <v>11404</v>
      </c>
    </row>
    <row r="13526">
      <c r="A13526" s="39"/>
      <c r="E13526" s="40" t="s">
        <v>11404</v>
      </c>
      <c r="F13526" s="40" t="s">
        <v>11404</v>
      </c>
      <c r="G13526" s="40" t="s">
        <v>11404</v>
      </c>
      <c r="H13526" s="40" t="s">
        <v>11404</v>
      </c>
    </row>
    <row r="13527">
      <c r="A13527" s="39"/>
      <c r="E13527" s="40" t="s">
        <v>11404</v>
      </c>
      <c r="F13527" s="40" t="s">
        <v>11404</v>
      </c>
      <c r="G13527" s="40" t="s">
        <v>11404</v>
      </c>
      <c r="H13527" s="40" t="s">
        <v>11404</v>
      </c>
    </row>
    <row r="13528">
      <c r="A13528" s="39"/>
      <c r="E13528" s="40" t="s">
        <v>11404</v>
      </c>
      <c r="F13528" s="40" t="s">
        <v>11404</v>
      </c>
      <c r="G13528" s="40" t="s">
        <v>11404</v>
      </c>
      <c r="H13528" s="40" t="s">
        <v>11404</v>
      </c>
    </row>
    <row r="13529">
      <c r="A13529" s="39"/>
      <c r="E13529" s="40" t="s">
        <v>11404</v>
      </c>
      <c r="F13529" s="40" t="s">
        <v>11404</v>
      </c>
      <c r="G13529" s="40" t="s">
        <v>11404</v>
      </c>
      <c r="H13529" s="40" t="s">
        <v>11404</v>
      </c>
    </row>
    <row r="13530">
      <c r="A13530" s="39"/>
      <c r="E13530" s="40" t="s">
        <v>11404</v>
      </c>
      <c r="F13530" s="40" t="s">
        <v>11404</v>
      </c>
      <c r="G13530" s="40" t="s">
        <v>11404</v>
      </c>
      <c r="H13530" s="40" t="s">
        <v>11404</v>
      </c>
    </row>
    <row r="13531">
      <c r="A13531" s="39"/>
      <c r="E13531" s="40" t="s">
        <v>11404</v>
      </c>
      <c r="F13531" s="40" t="s">
        <v>11404</v>
      </c>
      <c r="G13531" s="40" t="s">
        <v>11404</v>
      </c>
      <c r="H13531" s="40" t="s">
        <v>11404</v>
      </c>
    </row>
    <row r="13532">
      <c r="A13532" s="39"/>
      <c r="E13532" s="40" t="s">
        <v>11404</v>
      </c>
      <c r="F13532" s="40" t="s">
        <v>11404</v>
      </c>
      <c r="G13532" s="40" t="s">
        <v>11404</v>
      </c>
      <c r="H13532" s="40" t="s">
        <v>11404</v>
      </c>
    </row>
    <row r="13533">
      <c r="A13533" s="39"/>
      <c r="E13533" s="40" t="s">
        <v>11404</v>
      </c>
      <c r="F13533" s="40" t="s">
        <v>11404</v>
      </c>
      <c r="G13533" s="40" t="s">
        <v>11404</v>
      </c>
      <c r="H13533" s="40" t="s">
        <v>11404</v>
      </c>
    </row>
    <row r="13534">
      <c r="A13534" s="39"/>
      <c r="E13534" s="40" t="s">
        <v>11404</v>
      </c>
      <c r="F13534" s="40" t="s">
        <v>11404</v>
      </c>
      <c r="G13534" s="40" t="s">
        <v>11404</v>
      </c>
      <c r="H13534" s="40" t="s">
        <v>11404</v>
      </c>
    </row>
    <row r="13535">
      <c r="A13535" s="39"/>
      <c r="E13535" s="40" t="s">
        <v>11404</v>
      </c>
      <c r="F13535" s="40" t="s">
        <v>11404</v>
      </c>
      <c r="G13535" s="40" t="s">
        <v>11404</v>
      </c>
      <c r="H13535" s="40" t="s">
        <v>11404</v>
      </c>
    </row>
    <row r="13536">
      <c r="A13536" s="39"/>
      <c r="E13536" s="40" t="s">
        <v>11404</v>
      </c>
      <c r="F13536" s="40" t="s">
        <v>11404</v>
      </c>
      <c r="G13536" s="40" t="s">
        <v>11404</v>
      </c>
      <c r="H13536" s="40" t="s">
        <v>11404</v>
      </c>
    </row>
    <row r="13537">
      <c r="A13537" s="39"/>
      <c r="E13537" s="40" t="s">
        <v>11404</v>
      </c>
      <c r="F13537" s="40" t="s">
        <v>11404</v>
      </c>
      <c r="G13537" s="40" t="s">
        <v>11404</v>
      </c>
      <c r="H13537" s="40" t="s">
        <v>11404</v>
      </c>
    </row>
    <row r="13538">
      <c r="A13538" s="39"/>
      <c r="E13538" s="40" t="s">
        <v>11404</v>
      </c>
      <c r="F13538" s="40" t="s">
        <v>11404</v>
      </c>
      <c r="G13538" s="40" t="s">
        <v>11404</v>
      </c>
      <c r="H13538" s="40" t="s">
        <v>11404</v>
      </c>
    </row>
    <row r="13539">
      <c r="A13539" s="39"/>
      <c r="E13539" s="40" t="s">
        <v>11404</v>
      </c>
      <c r="F13539" s="40" t="s">
        <v>11404</v>
      </c>
      <c r="G13539" s="40" t="s">
        <v>11404</v>
      </c>
      <c r="H13539" s="40" t="s">
        <v>11404</v>
      </c>
    </row>
    <row r="13540">
      <c r="A13540" s="39"/>
      <c r="E13540" s="40" t="s">
        <v>11404</v>
      </c>
      <c r="F13540" s="40" t="s">
        <v>11404</v>
      </c>
      <c r="G13540" s="40" t="s">
        <v>11404</v>
      </c>
      <c r="H13540" s="40" t="s">
        <v>11404</v>
      </c>
    </row>
    <row r="13541">
      <c r="A13541" s="39"/>
      <c r="E13541" s="40" t="s">
        <v>11404</v>
      </c>
      <c r="F13541" s="40" t="s">
        <v>11404</v>
      </c>
      <c r="G13541" s="40" t="s">
        <v>11404</v>
      </c>
      <c r="H13541" s="40" t="s">
        <v>11404</v>
      </c>
    </row>
    <row r="13542">
      <c r="A13542" s="39"/>
      <c r="E13542" s="40" t="s">
        <v>11404</v>
      </c>
      <c r="F13542" s="40" t="s">
        <v>11404</v>
      </c>
      <c r="G13542" s="40" t="s">
        <v>11404</v>
      </c>
      <c r="H13542" s="40" t="s">
        <v>11404</v>
      </c>
    </row>
    <row r="13543">
      <c r="A13543" s="39"/>
      <c r="E13543" s="40" t="s">
        <v>11404</v>
      </c>
      <c r="F13543" s="40" t="s">
        <v>11404</v>
      </c>
      <c r="G13543" s="40" t="s">
        <v>11404</v>
      </c>
      <c r="H13543" s="40" t="s">
        <v>11404</v>
      </c>
    </row>
    <row r="13544">
      <c r="A13544" s="39"/>
      <c r="E13544" s="40" t="s">
        <v>11404</v>
      </c>
      <c r="F13544" s="40" t="s">
        <v>11404</v>
      </c>
      <c r="G13544" s="40" t="s">
        <v>11404</v>
      </c>
      <c r="H13544" s="40" t="s">
        <v>11404</v>
      </c>
    </row>
    <row r="13545">
      <c r="A13545" s="39"/>
      <c r="E13545" s="40" t="s">
        <v>11404</v>
      </c>
      <c r="F13545" s="40" t="s">
        <v>11404</v>
      </c>
      <c r="G13545" s="40" t="s">
        <v>11404</v>
      </c>
      <c r="H13545" s="40" t="s">
        <v>11404</v>
      </c>
    </row>
    <row r="13546">
      <c r="A13546" s="39"/>
      <c r="E13546" s="40" t="s">
        <v>11404</v>
      </c>
      <c r="F13546" s="40" t="s">
        <v>11404</v>
      </c>
      <c r="G13546" s="40" t="s">
        <v>11404</v>
      </c>
      <c r="H13546" s="40" t="s">
        <v>11404</v>
      </c>
    </row>
    <row r="13547">
      <c r="A13547" s="39"/>
      <c r="E13547" s="40" t="s">
        <v>11404</v>
      </c>
      <c r="F13547" s="40" t="s">
        <v>11404</v>
      </c>
      <c r="G13547" s="40" t="s">
        <v>11404</v>
      </c>
      <c r="H13547" s="40" t="s">
        <v>11404</v>
      </c>
    </row>
    <row r="13548">
      <c r="A13548" s="39"/>
      <c r="E13548" s="40" t="s">
        <v>11404</v>
      </c>
      <c r="F13548" s="40" t="s">
        <v>11404</v>
      </c>
      <c r="G13548" s="40" t="s">
        <v>11404</v>
      </c>
      <c r="H13548" s="40" t="s">
        <v>11404</v>
      </c>
    </row>
    <row r="13549">
      <c r="A13549" s="39"/>
      <c r="E13549" s="40" t="s">
        <v>11404</v>
      </c>
      <c r="F13549" s="40" t="s">
        <v>11404</v>
      </c>
      <c r="G13549" s="40" t="s">
        <v>11404</v>
      </c>
      <c r="H13549" s="40" t="s">
        <v>11404</v>
      </c>
    </row>
    <row r="13550">
      <c r="A13550" s="39"/>
      <c r="E13550" s="40" t="s">
        <v>11404</v>
      </c>
      <c r="F13550" s="40" t="s">
        <v>11404</v>
      </c>
      <c r="G13550" s="40" t="s">
        <v>11404</v>
      </c>
      <c r="H13550" s="40" t="s">
        <v>11404</v>
      </c>
    </row>
    <row r="13551">
      <c r="A13551" s="39"/>
      <c r="E13551" s="40" t="s">
        <v>11404</v>
      </c>
      <c r="F13551" s="40" t="s">
        <v>11404</v>
      </c>
      <c r="G13551" s="40" t="s">
        <v>11404</v>
      </c>
      <c r="H13551" s="40" t="s">
        <v>11404</v>
      </c>
    </row>
    <row r="13552">
      <c r="A13552" s="39"/>
      <c r="E13552" s="40" t="s">
        <v>11404</v>
      </c>
      <c r="F13552" s="40" t="s">
        <v>11404</v>
      </c>
      <c r="G13552" s="40" t="s">
        <v>11404</v>
      </c>
      <c r="H13552" s="40" t="s">
        <v>11404</v>
      </c>
    </row>
    <row r="13553">
      <c r="A13553" s="39"/>
      <c r="E13553" s="40" t="s">
        <v>11404</v>
      </c>
      <c r="F13553" s="40" t="s">
        <v>11404</v>
      </c>
      <c r="G13553" s="40" t="s">
        <v>11404</v>
      </c>
      <c r="H13553" s="40" t="s">
        <v>11404</v>
      </c>
    </row>
    <row r="13554">
      <c r="A13554" s="39"/>
      <c r="E13554" s="40" t="s">
        <v>11404</v>
      </c>
      <c r="F13554" s="40" t="s">
        <v>11404</v>
      </c>
      <c r="G13554" s="40" t="s">
        <v>11404</v>
      </c>
      <c r="H13554" s="40" t="s">
        <v>11404</v>
      </c>
    </row>
    <row r="13555">
      <c r="A13555" s="39"/>
      <c r="E13555" s="40" t="s">
        <v>11404</v>
      </c>
      <c r="F13555" s="40" t="s">
        <v>11404</v>
      </c>
      <c r="G13555" s="40" t="s">
        <v>11404</v>
      </c>
      <c r="H13555" s="40" t="s">
        <v>11404</v>
      </c>
    </row>
    <row r="13556">
      <c r="A13556" s="39"/>
      <c r="E13556" s="40" t="s">
        <v>11404</v>
      </c>
      <c r="F13556" s="40" t="s">
        <v>11404</v>
      </c>
      <c r="G13556" s="40" t="s">
        <v>11404</v>
      </c>
      <c r="H13556" s="40" t="s">
        <v>11404</v>
      </c>
    </row>
    <row r="13557">
      <c r="A13557" s="39"/>
      <c r="E13557" s="40" t="s">
        <v>11404</v>
      </c>
      <c r="F13557" s="40" t="s">
        <v>11404</v>
      </c>
      <c r="G13557" s="40" t="s">
        <v>11404</v>
      </c>
      <c r="H13557" s="40" t="s">
        <v>11404</v>
      </c>
    </row>
    <row r="13558">
      <c r="A13558" s="39"/>
      <c r="E13558" s="40" t="s">
        <v>11404</v>
      </c>
      <c r="F13558" s="40" t="s">
        <v>11404</v>
      </c>
      <c r="G13558" s="40" t="s">
        <v>11404</v>
      </c>
      <c r="H13558" s="40" t="s">
        <v>11404</v>
      </c>
    </row>
    <row r="13559">
      <c r="A13559" s="39"/>
      <c r="E13559" s="40" t="s">
        <v>11404</v>
      </c>
      <c r="F13559" s="40" t="s">
        <v>11404</v>
      </c>
      <c r="G13559" s="40" t="s">
        <v>11404</v>
      </c>
      <c r="H13559" s="40" t="s">
        <v>11404</v>
      </c>
    </row>
    <row r="13560">
      <c r="A13560" s="39"/>
      <c r="E13560" s="40" t="s">
        <v>11404</v>
      </c>
      <c r="F13560" s="40" t="s">
        <v>11404</v>
      </c>
      <c r="G13560" s="40" t="s">
        <v>11404</v>
      </c>
      <c r="H13560" s="40" t="s">
        <v>11404</v>
      </c>
    </row>
    <row r="13561">
      <c r="A13561" s="39"/>
      <c r="E13561" s="40" t="s">
        <v>11404</v>
      </c>
      <c r="F13561" s="40" t="s">
        <v>11404</v>
      </c>
      <c r="G13561" s="40" t="s">
        <v>11404</v>
      </c>
      <c r="H13561" s="40" t="s">
        <v>11404</v>
      </c>
    </row>
    <row r="13562">
      <c r="A13562" s="39"/>
      <c r="E13562" s="40" t="s">
        <v>11404</v>
      </c>
      <c r="F13562" s="40" t="s">
        <v>11404</v>
      </c>
      <c r="G13562" s="40" t="s">
        <v>11404</v>
      </c>
      <c r="H13562" s="40" t="s">
        <v>11404</v>
      </c>
    </row>
    <row r="13563">
      <c r="A13563" s="39"/>
      <c r="E13563" s="40" t="s">
        <v>11404</v>
      </c>
      <c r="F13563" s="40" t="s">
        <v>11404</v>
      </c>
      <c r="G13563" s="40" t="s">
        <v>11404</v>
      </c>
      <c r="H13563" s="40" t="s">
        <v>11404</v>
      </c>
    </row>
    <row r="13564">
      <c r="A13564" s="39"/>
      <c r="E13564" s="40" t="s">
        <v>11404</v>
      </c>
      <c r="F13564" s="40" t="s">
        <v>11404</v>
      </c>
      <c r="G13564" s="40" t="s">
        <v>11404</v>
      </c>
      <c r="H13564" s="40" t="s">
        <v>11404</v>
      </c>
    </row>
    <row r="13565">
      <c r="A13565" s="39"/>
      <c r="E13565" s="40" t="s">
        <v>11404</v>
      </c>
      <c r="F13565" s="40" t="s">
        <v>11404</v>
      </c>
      <c r="G13565" s="40" t="s">
        <v>11404</v>
      </c>
      <c r="H13565" s="40" t="s">
        <v>11404</v>
      </c>
    </row>
    <row r="13566">
      <c r="A13566" s="39"/>
      <c r="E13566" s="40" t="s">
        <v>11404</v>
      </c>
      <c r="F13566" s="40" t="s">
        <v>11404</v>
      </c>
      <c r="G13566" s="40" t="s">
        <v>11404</v>
      </c>
      <c r="H13566" s="40" t="s">
        <v>11404</v>
      </c>
    </row>
    <row r="13567">
      <c r="A13567" s="39"/>
      <c r="E13567" s="40" t="s">
        <v>11404</v>
      </c>
      <c r="F13567" s="40" t="s">
        <v>11404</v>
      </c>
      <c r="G13567" s="40" t="s">
        <v>11404</v>
      </c>
      <c r="H13567" s="40" t="s">
        <v>11404</v>
      </c>
    </row>
    <row r="13568">
      <c r="A13568" s="39"/>
      <c r="E13568" s="40" t="s">
        <v>11404</v>
      </c>
      <c r="F13568" s="40" t="s">
        <v>11404</v>
      </c>
      <c r="G13568" s="40" t="s">
        <v>11404</v>
      </c>
      <c r="H13568" s="40" t="s">
        <v>11404</v>
      </c>
    </row>
    <row r="13569">
      <c r="A13569" s="39"/>
      <c r="E13569" s="40" t="s">
        <v>11404</v>
      </c>
      <c r="F13569" s="40" t="s">
        <v>11404</v>
      </c>
      <c r="G13569" s="40" t="s">
        <v>11404</v>
      </c>
      <c r="H13569" s="40" t="s">
        <v>11404</v>
      </c>
    </row>
    <row r="13570">
      <c r="A13570" s="39"/>
      <c r="E13570" s="40" t="s">
        <v>11404</v>
      </c>
      <c r="F13570" s="40" t="s">
        <v>11404</v>
      </c>
      <c r="G13570" s="40" t="s">
        <v>11404</v>
      </c>
      <c r="H13570" s="40" t="s">
        <v>11404</v>
      </c>
    </row>
    <row r="13571">
      <c r="A13571" s="39"/>
      <c r="E13571" s="40" t="s">
        <v>11404</v>
      </c>
      <c r="F13571" s="40" t="s">
        <v>11404</v>
      </c>
      <c r="G13571" s="40" t="s">
        <v>11404</v>
      </c>
      <c r="H13571" s="40" t="s">
        <v>11404</v>
      </c>
    </row>
    <row r="13572">
      <c r="A13572" s="39"/>
      <c r="E13572" s="40" t="s">
        <v>11404</v>
      </c>
      <c r="F13572" s="40" t="s">
        <v>11404</v>
      </c>
      <c r="G13572" s="40" t="s">
        <v>11404</v>
      </c>
      <c r="H13572" s="40" t="s">
        <v>11404</v>
      </c>
    </row>
    <row r="13573">
      <c r="A13573" s="39"/>
      <c r="E13573" s="40" t="s">
        <v>11404</v>
      </c>
      <c r="F13573" s="40" t="s">
        <v>11404</v>
      </c>
      <c r="G13573" s="40" t="s">
        <v>11404</v>
      </c>
      <c r="H13573" s="40" t="s">
        <v>11404</v>
      </c>
    </row>
    <row r="13574">
      <c r="A13574" s="39"/>
      <c r="E13574" s="40" t="s">
        <v>11404</v>
      </c>
      <c r="F13574" s="40" t="s">
        <v>11404</v>
      </c>
      <c r="G13574" s="40" t="s">
        <v>11404</v>
      </c>
      <c r="H13574" s="40" t="s">
        <v>11404</v>
      </c>
    </row>
    <row r="13575">
      <c r="A13575" s="39"/>
      <c r="E13575" s="40" t="s">
        <v>11404</v>
      </c>
      <c r="F13575" s="40" t="s">
        <v>11404</v>
      </c>
      <c r="G13575" s="40" t="s">
        <v>11404</v>
      </c>
      <c r="H13575" s="40" t="s">
        <v>11404</v>
      </c>
    </row>
    <row r="13576">
      <c r="A13576" s="39"/>
      <c r="E13576" s="40" t="s">
        <v>11404</v>
      </c>
      <c r="F13576" s="40" t="s">
        <v>11404</v>
      </c>
      <c r="G13576" s="40" t="s">
        <v>11404</v>
      </c>
      <c r="H13576" s="40" t="s">
        <v>11404</v>
      </c>
    </row>
    <row r="13577">
      <c r="A13577" s="39"/>
      <c r="E13577" s="40" t="s">
        <v>11404</v>
      </c>
      <c r="F13577" s="40" t="s">
        <v>11404</v>
      </c>
      <c r="G13577" s="40" t="s">
        <v>11404</v>
      </c>
      <c r="H13577" s="40" t="s">
        <v>11404</v>
      </c>
    </row>
    <row r="13578">
      <c r="A13578" s="39"/>
      <c r="E13578" s="40" t="s">
        <v>11404</v>
      </c>
      <c r="F13578" s="40" t="s">
        <v>11404</v>
      </c>
      <c r="G13578" s="40" t="s">
        <v>11404</v>
      </c>
      <c r="H13578" s="40" t="s">
        <v>11404</v>
      </c>
    </row>
    <row r="13579">
      <c r="A13579" s="39"/>
      <c r="E13579" s="40" t="s">
        <v>11404</v>
      </c>
      <c r="F13579" s="40" t="s">
        <v>11404</v>
      </c>
      <c r="G13579" s="40" t="s">
        <v>11404</v>
      </c>
      <c r="H13579" s="40" t="s">
        <v>11404</v>
      </c>
    </row>
    <row r="13580">
      <c r="A13580" s="39"/>
      <c r="E13580" s="40" t="s">
        <v>11404</v>
      </c>
      <c r="F13580" s="40" t="s">
        <v>11404</v>
      </c>
      <c r="G13580" s="40" t="s">
        <v>11404</v>
      </c>
      <c r="H13580" s="40" t="s">
        <v>11404</v>
      </c>
    </row>
    <row r="13581">
      <c r="A13581" s="39"/>
      <c r="E13581" s="40" t="s">
        <v>11404</v>
      </c>
      <c r="F13581" s="40" t="s">
        <v>11404</v>
      </c>
      <c r="G13581" s="40" t="s">
        <v>11404</v>
      </c>
      <c r="H13581" s="40" t="s">
        <v>11404</v>
      </c>
    </row>
    <row r="13582">
      <c r="A13582" s="39"/>
      <c r="E13582" s="40" t="s">
        <v>11404</v>
      </c>
      <c r="F13582" s="40" t="s">
        <v>11404</v>
      </c>
      <c r="G13582" s="40" t="s">
        <v>11404</v>
      </c>
      <c r="H13582" s="40" t="s">
        <v>11404</v>
      </c>
    </row>
    <row r="13583">
      <c r="A13583" s="39"/>
      <c r="E13583" s="40" t="s">
        <v>11404</v>
      </c>
      <c r="F13583" s="40" t="s">
        <v>11404</v>
      </c>
      <c r="G13583" s="40" t="s">
        <v>11404</v>
      </c>
      <c r="H13583" s="40" t="s">
        <v>11404</v>
      </c>
    </row>
    <row r="13584">
      <c r="A13584" s="39"/>
      <c r="E13584" s="40" t="s">
        <v>11404</v>
      </c>
      <c r="F13584" s="40" t="s">
        <v>11404</v>
      </c>
      <c r="G13584" s="40" t="s">
        <v>11404</v>
      </c>
      <c r="H13584" s="40" t="s">
        <v>11404</v>
      </c>
    </row>
    <row r="13585">
      <c r="A13585" s="39"/>
      <c r="E13585" s="40" t="s">
        <v>11404</v>
      </c>
      <c r="F13585" s="40" t="s">
        <v>11404</v>
      </c>
      <c r="G13585" s="40" t="s">
        <v>11404</v>
      </c>
      <c r="H13585" s="40" t="s">
        <v>11404</v>
      </c>
    </row>
    <row r="13586">
      <c r="A13586" s="39"/>
      <c r="E13586" s="40" t="s">
        <v>11404</v>
      </c>
      <c r="F13586" s="40" t="s">
        <v>11404</v>
      </c>
      <c r="G13586" s="40" t="s">
        <v>11404</v>
      </c>
      <c r="H13586" s="40" t="s">
        <v>11404</v>
      </c>
    </row>
    <row r="13587">
      <c r="A13587" s="39"/>
      <c r="E13587" s="40" t="s">
        <v>11404</v>
      </c>
      <c r="F13587" s="40" t="s">
        <v>11404</v>
      </c>
      <c r="G13587" s="40" t="s">
        <v>11404</v>
      </c>
      <c r="H13587" s="40" t="s">
        <v>11404</v>
      </c>
    </row>
    <row r="13588">
      <c r="A13588" s="39"/>
      <c r="E13588" s="40" t="s">
        <v>11404</v>
      </c>
      <c r="F13588" s="40" t="s">
        <v>11404</v>
      </c>
      <c r="G13588" s="40" t="s">
        <v>11404</v>
      </c>
      <c r="H13588" s="40" t="s">
        <v>11404</v>
      </c>
    </row>
    <row r="13589">
      <c r="A13589" s="39"/>
      <c r="E13589" s="40" t="s">
        <v>11404</v>
      </c>
      <c r="F13589" s="40" t="s">
        <v>11404</v>
      </c>
      <c r="G13589" s="40" t="s">
        <v>11404</v>
      </c>
      <c r="H13589" s="40" t="s">
        <v>11404</v>
      </c>
    </row>
    <row r="13590">
      <c r="A13590" s="39"/>
      <c r="E13590" s="40" t="s">
        <v>11404</v>
      </c>
      <c r="F13590" s="40" t="s">
        <v>11404</v>
      </c>
      <c r="G13590" s="40" t="s">
        <v>11404</v>
      </c>
      <c r="H13590" s="40" t="s">
        <v>11404</v>
      </c>
    </row>
    <row r="13591">
      <c r="A13591" s="39"/>
      <c r="E13591" s="40" t="s">
        <v>11404</v>
      </c>
      <c r="F13591" s="40" t="s">
        <v>11404</v>
      </c>
      <c r="G13591" s="40" t="s">
        <v>11404</v>
      </c>
      <c r="H13591" s="40" t="s">
        <v>11404</v>
      </c>
    </row>
    <row r="13592">
      <c r="A13592" s="39"/>
      <c r="E13592" s="40" t="s">
        <v>11404</v>
      </c>
      <c r="F13592" s="40" t="s">
        <v>11404</v>
      </c>
      <c r="G13592" s="40" t="s">
        <v>11404</v>
      </c>
      <c r="H13592" s="40" t="s">
        <v>11404</v>
      </c>
    </row>
    <row r="13593">
      <c r="A13593" s="39"/>
      <c r="E13593" s="40" t="s">
        <v>11404</v>
      </c>
      <c r="F13593" s="40" t="s">
        <v>11404</v>
      </c>
      <c r="G13593" s="40" t="s">
        <v>11404</v>
      </c>
      <c r="H13593" s="40" t="s">
        <v>11404</v>
      </c>
    </row>
    <row r="13594">
      <c r="A13594" s="39"/>
      <c r="E13594" s="40" t="s">
        <v>11404</v>
      </c>
      <c r="F13594" s="40" t="s">
        <v>11404</v>
      </c>
      <c r="G13594" s="40" t="s">
        <v>11404</v>
      </c>
      <c r="H13594" s="40" t="s">
        <v>11404</v>
      </c>
    </row>
    <row r="13595">
      <c r="A13595" s="39"/>
      <c r="E13595" s="40" t="s">
        <v>11404</v>
      </c>
      <c r="F13595" s="40" t="s">
        <v>11404</v>
      </c>
      <c r="G13595" s="40" t="s">
        <v>11404</v>
      </c>
      <c r="H13595" s="40" t="s">
        <v>11404</v>
      </c>
    </row>
    <row r="13596">
      <c r="A13596" s="39"/>
      <c r="E13596" s="40" t="s">
        <v>11404</v>
      </c>
      <c r="F13596" s="40" t="s">
        <v>11404</v>
      </c>
      <c r="G13596" s="40" t="s">
        <v>11404</v>
      </c>
      <c r="H13596" s="40" t="s">
        <v>11404</v>
      </c>
    </row>
    <row r="13597">
      <c r="A13597" s="39"/>
      <c r="E13597" s="40" t="s">
        <v>11404</v>
      </c>
      <c r="F13597" s="40" t="s">
        <v>11404</v>
      </c>
      <c r="G13597" s="40" t="s">
        <v>11404</v>
      </c>
      <c r="H13597" s="40" t="s">
        <v>11404</v>
      </c>
    </row>
    <row r="13598">
      <c r="A13598" s="39"/>
      <c r="E13598" s="40" t="s">
        <v>11404</v>
      </c>
      <c r="F13598" s="40" t="s">
        <v>11404</v>
      </c>
      <c r="G13598" s="40" t="s">
        <v>11404</v>
      </c>
      <c r="H13598" s="40" t="s">
        <v>11404</v>
      </c>
    </row>
    <row r="13599">
      <c r="A13599" s="39"/>
      <c r="E13599" s="40" t="s">
        <v>11404</v>
      </c>
      <c r="F13599" s="40" t="s">
        <v>11404</v>
      </c>
      <c r="G13599" s="40" t="s">
        <v>11404</v>
      </c>
      <c r="H13599" s="40" t="s">
        <v>11404</v>
      </c>
    </row>
    <row r="13600">
      <c r="A13600" s="39"/>
      <c r="E13600" s="40" t="s">
        <v>11404</v>
      </c>
      <c r="F13600" s="40" t="s">
        <v>11404</v>
      </c>
      <c r="G13600" s="40" t="s">
        <v>11404</v>
      </c>
      <c r="H13600" s="40" t="s">
        <v>11404</v>
      </c>
    </row>
    <row r="13601">
      <c r="A13601" s="39"/>
      <c r="E13601" s="40" t="s">
        <v>11404</v>
      </c>
      <c r="F13601" s="40" t="s">
        <v>11404</v>
      </c>
      <c r="G13601" s="40" t="s">
        <v>11404</v>
      </c>
      <c r="H13601" s="40" t="s">
        <v>11404</v>
      </c>
    </row>
    <row r="13602">
      <c r="A13602" s="39"/>
      <c r="E13602" s="40" t="s">
        <v>11404</v>
      </c>
      <c r="F13602" s="40" t="s">
        <v>11404</v>
      </c>
      <c r="G13602" s="40" t="s">
        <v>11404</v>
      </c>
      <c r="H13602" s="40" t="s">
        <v>11404</v>
      </c>
    </row>
    <row r="13603">
      <c r="A13603" s="39"/>
      <c r="E13603" s="40" t="s">
        <v>11404</v>
      </c>
      <c r="F13603" s="40" t="s">
        <v>11404</v>
      </c>
      <c r="G13603" s="40" t="s">
        <v>11404</v>
      </c>
      <c r="H13603" s="40" t="s">
        <v>11404</v>
      </c>
    </row>
    <row r="13604">
      <c r="A13604" s="39"/>
      <c r="E13604" s="40" t="s">
        <v>11404</v>
      </c>
      <c r="F13604" s="40" t="s">
        <v>11404</v>
      </c>
      <c r="G13604" s="40" t="s">
        <v>11404</v>
      </c>
      <c r="H13604" s="40" t="s">
        <v>11404</v>
      </c>
    </row>
    <row r="13605">
      <c r="A13605" s="39"/>
      <c r="E13605" s="40" t="s">
        <v>11404</v>
      </c>
      <c r="F13605" s="40" t="s">
        <v>11404</v>
      </c>
      <c r="G13605" s="40" t="s">
        <v>11404</v>
      </c>
      <c r="H13605" s="40" t="s">
        <v>11404</v>
      </c>
    </row>
    <row r="13606">
      <c r="A13606" s="39"/>
      <c r="E13606" s="40" t="s">
        <v>11404</v>
      </c>
      <c r="F13606" s="40" t="s">
        <v>11404</v>
      </c>
      <c r="G13606" s="40" t="s">
        <v>11404</v>
      </c>
      <c r="H13606" s="40" t="s">
        <v>11404</v>
      </c>
    </row>
    <row r="13607">
      <c r="A13607" s="39"/>
      <c r="E13607" s="40" t="s">
        <v>11404</v>
      </c>
      <c r="F13607" s="40" t="s">
        <v>11404</v>
      </c>
      <c r="G13607" s="40" t="s">
        <v>11404</v>
      </c>
      <c r="H13607" s="40" t="s">
        <v>11404</v>
      </c>
    </row>
    <row r="13608">
      <c r="A13608" s="39"/>
      <c r="E13608" s="40" t="s">
        <v>11404</v>
      </c>
      <c r="F13608" s="40" t="s">
        <v>11404</v>
      </c>
      <c r="G13608" s="40" t="s">
        <v>11404</v>
      </c>
      <c r="H13608" s="40" t="s">
        <v>11404</v>
      </c>
    </row>
    <row r="13609">
      <c r="A13609" s="39"/>
      <c r="E13609" s="40" t="s">
        <v>11404</v>
      </c>
      <c r="F13609" s="40" t="s">
        <v>11404</v>
      </c>
      <c r="G13609" s="40" t="s">
        <v>11404</v>
      </c>
      <c r="H13609" s="40" t="s">
        <v>11404</v>
      </c>
    </row>
    <row r="13610">
      <c r="A13610" s="39"/>
      <c r="E13610" s="40" t="s">
        <v>11404</v>
      </c>
      <c r="F13610" s="40" t="s">
        <v>11404</v>
      </c>
      <c r="G13610" s="40" t="s">
        <v>11404</v>
      </c>
      <c r="H13610" s="40" t="s">
        <v>11404</v>
      </c>
    </row>
    <row r="13611">
      <c r="A13611" s="39"/>
      <c r="E13611" s="40" t="s">
        <v>11404</v>
      </c>
      <c r="F13611" s="40" t="s">
        <v>11404</v>
      </c>
      <c r="G13611" s="40" t="s">
        <v>11404</v>
      </c>
      <c r="H13611" s="40" t="s">
        <v>11404</v>
      </c>
    </row>
    <row r="13612">
      <c r="A13612" s="39"/>
      <c r="E13612" s="40" t="s">
        <v>11404</v>
      </c>
      <c r="F13612" s="40" t="s">
        <v>11404</v>
      </c>
      <c r="G13612" s="40" t="s">
        <v>11404</v>
      </c>
      <c r="H13612" s="40" t="s">
        <v>11404</v>
      </c>
    </row>
    <row r="13613">
      <c r="A13613" s="39"/>
      <c r="E13613" s="40" t="s">
        <v>11404</v>
      </c>
      <c r="F13613" s="40" t="s">
        <v>11404</v>
      </c>
      <c r="G13613" s="40" t="s">
        <v>11404</v>
      </c>
      <c r="H13613" s="40" t="s">
        <v>11404</v>
      </c>
    </row>
    <row r="13614">
      <c r="A13614" s="39"/>
      <c r="E13614" s="40" t="s">
        <v>11404</v>
      </c>
      <c r="F13614" s="40" t="s">
        <v>11404</v>
      </c>
      <c r="G13614" s="40" t="s">
        <v>11404</v>
      </c>
      <c r="H13614" s="40" t="s">
        <v>11404</v>
      </c>
    </row>
    <row r="13615">
      <c r="A13615" s="39"/>
      <c r="E13615" s="40" t="s">
        <v>11404</v>
      </c>
      <c r="F13615" s="40" t="s">
        <v>11404</v>
      </c>
      <c r="G13615" s="40" t="s">
        <v>11404</v>
      </c>
      <c r="H13615" s="40" t="s">
        <v>11404</v>
      </c>
    </row>
    <row r="13616">
      <c r="A13616" s="39"/>
      <c r="E13616" s="40" t="s">
        <v>11404</v>
      </c>
      <c r="F13616" s="40" t="s">
        <v>11404</v>
      </c>
      <c r="G13616" s="40" t="s">
        <v>11404</v>
      </c>
      <c r="H13616" s="40" t="s">
        <v>11404</v>
      </c>
    </row>
    <row r="13617">
      <c r="A13617" s="39"/>
      <c r="E13617" s="40" t="s">
        <v>11404</v>
      </c>
      <c r="F13617" s="40" t="s">
        <v>11404</v>
      </c>
      <c r="G13617" s="40" t="s">
        <v>11404</v>
      </c>
      <c r="H13617" s="40" t="s">
        <v>11404</v>
      </c>
    </row>
    <row r="13618">
      <c r="A13618" s="39"/>
      <c r="E13618" s="40" t="s">
        <v>11404</v>
      </c>
      <c r="F13618" s="40" t="s">
        <v>11404</v>
      </c>
      <c r="G13618" s="40" t="s">
        <v>11404</v>
      </c>
      <c r="H13618" s="40" t="s">
        <v>11404</v>
      </c>
    </row>
    <row r="13619">
      <c r="A13619" s="39"/>
      <c r="E13619" s="40" t="s">
        <v>11404</v>
      </c>
      <c r="F13619" s="40" t="s">
        <v>11404</v>
      </c>
      <c r="G13619" s="40" t="s">
        <v>11404</v>
      </c>
      <c r="H13619" s="40" t="s">
        <v>11404</v>
      </c>
    </row>
    <row r="13620">
      <c r="A13620" s="39"/>
      <c r="E13620" s="40" t="s">
        <v>11404</v>
      </c>
      <c r="F13620" s="40" t="s">
        <v>11404</v>
      </c>
      <c r="G13620" s="40" t="s">
        <v>11404</v>
      </c>
      <c r="H13620" s="40" t="s">
        <v>11404</v>
      </c>
    </row>
    <row r="13621">
      <c r="A13621" s="39"/>
      <c r="E13621" s="40" t="s">
        <v>11404</v>
      </c>
      <c r="F13621" s="40" t="s">
        <v>11404</v>
      </c>
      <c r="G13621" s="40" t="s">
        <v>11404</v>
      </c>
      <c r="H13621" s="40" t="s">
        <v>11404</v>
      </c>
    </row>
    <row r="13622">
      <c r="A13622" s="39"/>
      <c r="E13622" s="40" t="s">
        <v>11404</v>
      </c>
      <c r="F13622" s="40" t="s">
        <v>11404</v>
      </c>
      <c r="G13622" s="40" t="s">
        <v>11404</v>
      </c>
      <c r="H13622" s="40" t="s">
        <v>11404</v>
      </c>
    </row>
    <row r="13623">
      <c r="A13623" s="39"/>
      <c r="E13623" s="40" t="s">
        <v>11404</v>
      </c>
      <c r="F13623" s="40" t="s">
        <v>11404</v>
      </c>
      <c r="G13623" s="40" t="s">
        <v>11404</v>
      </c>
      <c r="H13623" s="40" t="s">
        <v>11404</v>
      </c>
    </row>
    <row r="13624">
      <c r="A13624" s="39"/>
      <c r="E13624" s="40" t="s">
        <v>11404</v>
      </c>
      <c r="F13624" s="40" t="s">
        <v>11404</v>
      </c>
      <c r="G13624" s="40" t="s">
        <v>11404</v>
      </c>
      <c r="H13624" s="40" t="s">
        <v>11404</v>
      </c>
    </row>
    <row r="13625">
      <c r="A13625" s="39"/>
      <c r="E13625" s="40" t="s">
        <v>11404</v>
      </c>
      <c r="F13625" s="40" t="s">
        <v>11404</v>
      </c>
      <c r="G13625" s="40" t="s">
        <v>11404</v>
      </c>
      <c r="H13625" s="40" t="s">
        <v>11404</v>
      </c>
    </row>
    <row r="13626">
      <c r="A13626" s="39"/>
      <c r="E13626" s="40" t="s">
        <v>11404</v>
      </c>
      <c r="F13626" s="40" t="s">
        <v>11404</v>
      </c>
      <c r="G13626" s="40" t="s">
        <v>11404</v>
      </c>
      <c r="H13626" s="40" t="s">
        <v>11404</v>
      </c>
    </row>
    <row r="13627">
      <c r="A13627" s="39"/>
      <c r="E13627" s="40" t="s">
        <v>11404</v>
      </c>
      <c r="F13627" s="40" t="s">
        <v>11404</v>
      </c>
      <c r="G13627" s="40" t="s">
        <v>11404</v>
      </c>
      <c r="H13627" s="40" t="s">
        <v>11404</v>
      </c>
    </row>
    <row r="13628">
      <c r="A13628" s="39"/>
      <c r="E13628" s="40" t="s">
        <v>11404</v>
      </c>
      <c r="F13628" s="40" t="s">
        <v>11404</v>
      </c>
      <c r="G13628" s="40" t="s">
        <v>11404</v>
      </c>
      <c r="H13628" s="40" t="s">
        <v>11404</v>
      </c>
    </row>
    <row r="13629">
      <c r="A13629" s="39"/>
      <c r="E13629" s="40" t="s">
        <v>11404</v>
      </c>
      <c r="F13629" s="40" t="s">
        <v>11404</v>
      </c>
      <c r="G13629" s="40" t="s">
        <v>11404</v>
      </c>
      <c r="H13629" s="40" t="s">
        <v>11404</v>
      </c>
    </row>
    <row r="13630">
      <c r="A13630" s="39"/>
      <c r="E13630" s="40" t="s">
        <v>11404</v>
      </c>
      <c r="F13630" s="40" t="s">
        <v>11404</v>
      </c>
      <c r="G13630" s="40" t="s">
        <v>11404</v>
      </c>
      <c r="H13630" s="40" t="s">
        <v>11404</v>
      </c>
    </row>
    <row r="13631">
      <c r="A13631" s="39"/>
      <c r="E13631" s="40" t="s">
        <v>11404</v>
      </c>
      <c r="F13631" s="40" t="s">
        <v>11404</v>
      </c>
      <c r="G13631" s="40" t="s">
        <v>11404</v>
      </c>
      <c r="H13631" s="40" t="s">
        <v>11404</v>
      </c>
    </row>
    <row r="13632">
      <c r="A13632" s="39"/>
      <c r="E13632" s="40" t="s">
        <v>11404</v>
      </c>
      <c r="F13632" s="40" t="s">
        <v>11404</v>
      </c>
      <c r="G13632" s="40" t="s">
        <v>11404</v>
      </c>
      <c r="H13632" s="40" t="s">
        <v>11404</v>
      </c>
    </row>
    <row r="13633">
      <c r="A13633" s="39"/>
      <c r="E13633" s="40" t="s">
        <v>11404</v>
      </c>
      <c r="F13633" s="40" t="s">
        <v>11404</v>
      </c>
      <c r="G13633" s="40" t="s">
        <v>11404</v>
      </c>
      <c r="H13633" s="40" t="s">
        <v>11404</v>
      </c>
    </row>
    <row r="13634">
      <c r="A13634" s="39"/>
      <c r="E13634" s="40" t="s">
        <v>11404</v>
      </c>
      <c r="F13634" s="40" t="s">
        <v>11404</v>
      </c>
      <c r="G13634" s="40" t="s">
        <v>11404</v>
      </c>
      <c r="H13634" s="40" t="s">
        <v>11404</v>
      </c>
    </row>
    <row r="13635">
      <c r="A13635" s="39"/>
      <c r="E13635" s="40" t="s">
        <v>11404</v>
      </c>
      <c r="F13635" s="40" t="s">
        <v>11404</v>
      </c>
      <c r="G13635" s="40" t="s">
        <v>11404</v>
      </c>
      <c r="H13635" s="40" t="s">
        <v>11404</v>
      </c>
    </row>
    <row r="13636">
      <c r="A13636" s="39"/>
      <c r="E13636" s="40" t="s">
        <v>11404</v>
      </c>
      <c r="F13636" s="40" t="s">
        <v>11404</v>
      </c>
      <c r="G13636" s="40" t="s">
        <v>11404</v>
      </c>
      <c r="H13636" s="40" t="s">
        <v>11404</v>
      </c>
    </row>
    <row r="13637">
      <c r="A13637" s="39"/>
      <c r="E13637" s="40" t="s">
        <v>11404</v>
      </c>
      <c r="F13637" s="40" t="s">
        <v>11404</v>
      </c>
      <c r="G13637" s="40" t="s">
        <v>11404</v>
      </c>
      <c r="H13637" s="40" t="s">
        <v>11404</v>
      </c>
    </row>
    <row r="13638">
      <c r="A13638" s="39"/>
      <c r="E13638" s="40" t="s">
        <v>11404</v>
      </c>
      <c r="F13638" s="40" t="s">
        <v>11404</v>
      </c>
      <c r="G13638" s="40" t="s">
        <v>11404</v>
      </c>
      <c r="H13638" s="40" t="s">
        <v>11404</v>
      </c>
    </row>
    <row r="13639">
      <c r="A13639" s="39"/>
      <c r="E13639" s="40" t="s">
        <v>11404</v>
      </c>
      <c r="F13639" s="40" t="s">
        <v>11404</v>
      </c>
      <c r="G13639" s="40" t="s">
        <v>11404</v>
      </c>
      <c r="H13639" s="40" t="s">
        <v>11404</v>
      </c>
    </row>
    <row r="13640">
      <c r="A13640" s="39"/>
      <c r="E13640" s="40" t="s">
        <v>11404</v>
      </c>
      <c r="F13640" s="40" t="s">
        <v>11404</v>
      </c>
      <c r="G13640" s="40" t="s">
        <v>11404</v>
      </c>
      <c r="H13640" s="40" t="s">
        <v>11404</v>
      </c>
    </row>
    <row r="13641">
      <c r="A13641" s="39"/>
      <c r="E13641" s="40" t="s">
        <v>11404</v>
      </c>
      <c r="F13641" s="40" t="s">
        <v>11404</v>
      </c>
      <c r="G13641" s="40" t="s">
        <v>11404</v>
      </c>
      <c r="H13641" s="40" t="s">
        <v>11404</v>
      </c>
    </row>
    <row r="13642">
      <c r="A13642" s="39"/>
      <c r="E13642" s="40" t="s">
        <v>11404</v>
      </c>
      <c r="F13642" s="40" t="s">
        <v>11404</v>
      </c>
      <c r="G13642" s="40" t="s">
        <v>11404</v>
      </c>
      <c r="H13642" s="40" t="s">
        <v>11404</v>
      </c>
    </row>
    <row r="13643">
      <c r="A13643" s="39"/>
      <c r="E13643" s="40" t="s">
        <v>11404</v>
      </c>
      <c r="F13643" s="40" t="s">
        <v>11404</v>
      </c>
      <c r="G13643" s="40" t="s">
        <v>11404</v>
      </c>
      <c r="H13643" s="40" t="s">
        <v>11404</v>
      </c>
    </row>
    <row r="13644">
      <c r="A13644" s="39"/>
      <c r="E13644" s="40" t="s">
        <v>11404</v>
      </c>
      <c r="F13644" s="40" t="s">
        <v>11404</v>
      </c>
      <c r="G13644" s="40" t="s">
        <v>11404</v>
      </c>
      <c r="H13644" s="40" t="s">
        <v>11404</v>
      </c>
    </row>
    <row r="13645">
      <c r="A13645" s="39"/>
      <c r="E13645" s="40" t="s">
        <v>11404</v>
      </c>
      <c r="F13645" s="40" t="s">
        <v>11404</v>
      </c>
      <c r="G13645" s="40" t="s">
        <v>11404</v>
      </c>
      <c r="H13645" s="40" t="s">
        <v>11404</v>
      </c>
    </row>
    <row r="13646">
      <c r="A13646" s="39"/>
      <c r="E13646" s="40" t="s">
        <v>11404</v>
      </c>
      <c r="F13646" s="40" t="s">
        <v>11404</v>
      </c>
      <c r="G13646" s="40" t="s">
        <v>11404</v>
      </c>
      <c r="H13646" s="40" t="s">
        <v>11404</v>
      </c>
    </row>
    <row r="13647">
      <c r="A13647" s="39"/>
      <c r="E13647" s="40" t="s">
        <v>11404</v>
      </c>
      <c r="F13647" s="40" t="s">
        <v>11404</v>
      </c>
      <c r="G13647" s="40" t="s">
        <v>11404</v>
      </c>
      <c r="H13647" s="40" t="s">
        <v>11404</v>
      </c>
    </row>
    <row r="13648">
      <c r="A13648" s="39"/>
      <c r="E13648" s="40" t="s">
        <v>11404</v>
      </c>
      <c r="F13648" s="40" t="s">
        <v>11404</v>
      </c>
      <c r="G13648" s="40" t="s">
        <v>11404</v>
      </c>
      <c r="H13648" s="40" t="s">
        <v>11404</v>
      </c>
    </row>
    <row r="13649">
      <c r="A13649" s="39"/>
      <c r="E13649" s="40" t="s">
        <v>11404</v>
      </c>
      <c r="F13649" s="40" t="s">
        <v>11404</v>
      </c>
      <c r="G13649" s="40" t="s">
        <v>11404</v>
      </c>
      <c r="H13649" s="40" t="s">
        <v>11404</v>
      </c>
    </row>
    <row r="13650">
      <c r="A13650" s="39"/>
      <c r="E13650" s="40" t="s">
        <v>11404</v>
      </c>
      <c r="F13650" s="40" t="s">
        <v>11404</v>
      </c>
      <c r="G13650" s="40" t="s">
        <v>11404</v>
      </c>
      <c r="H13650" s="40" t="s">
        <v>11404</v>
      </c>
    </row>
    <row r="13651">
      <c r="A13651" s="39"/>
      <c r="E13651" s="40" t="s">
        <v>11404</v>
      </c>
      <c r="F13651" s="40" t="s">
        <v>11404</v>
      </c>
      <c r="G13651" s="40" t="s">
        <v>11404</v>
      </c>
      <c r="H13651" s="40" t="s">
        <v>11404</v>
      </c>
    </row>
    <row r="13652">
      <c r="A13652" s="39"/>
      <c r="E13652" s="40" t="s">
        <v>11404</v>
      </c>
      <c r="F13652" s="40" t="s">
        <v>11404</v>
      </c>
      <c r="G13652" s="40" t="s">
        <v>11404</v>
      </c>
      <c r="H13652" s="40" t="s">
        <v>11404</v>
      </c>
    </row>
    <row r="13653">
      <c r="A13653" s="39"/>
      <c r="E13653" s="40" t="s">
        <v>11404</v>
      </c>
      <c r="F13653" s="40" t="s">
        <v>11404</v>
      </c>
      <c r="G13653" s="40" t="s">
        <v>11404</v>
      </c>
      <c r="H13653" s="40" t="s">
        <v>11404</v>
      </c>
    </row>
    <row r="13654">
      <c r="A13654" s="39"/>
      <c r="E13654" s="40" t="s">
        <v>11404</v>
      </c>
      <c r="F13654" s="40" t="s">
        <v>11404</v>
      </c>
      <c r="G13654" s="40" t="s">
        <v>11404</v>
      </c>
      <c r="H13654" s="40" t="s">
        <v>11404</v>
      </c>
    </row>
    <row r="13655">
      <c r="A13655" s="39"/>
      <c r="E13655" s="40" t="s">
        <v>11404</v>
      </c>
      <c r="F13655" s="40" t="s">
        <v>11404</v>
      </c>
      <c r="G13655" s="40" t="s">
        <v>11404</v>
      </c>
      <c r="H13655" s="40" t="s">
        <v>11404</v>
      </c>
    </row>
    <row r="13656">
      <c r="A13656" s="39"/>
      <c r="E13656" s="40" t="s">
        <v>11404</v>
      </c>
      <c r="F13656" s="40" t="s">
        <v>11404</v>
      </c>
      <c r="G13656" s="40" t="s">
        <v>11404</v>
      </c>
      <c r="H13656" s="40" t="s">
        <v>11404</v>
      </c>
    </row>
    <row r="13657">
      <c r="A13657" s="39"/>
      <c r="E13657" s="40" t="s">
        <v>11404</v>
      </c>
      <c r="F13657" s="40" t="s">
        <v>11404</v>
      </c>
      <c r="G13657" s="40" t="s">
        <v>11404</v>
      </c>
      <c r="H13657" s="40" t="s">
        <v>11404</v>
      </c>
    </row>
    <row r="13658">
      <c r="A13658" s="39"/>
      <c r="E13658" s="40" t="s">
        <v>11404</v>
      </c>
      <c r="F13658" s="40" t="s">
        <v>11404</v>
      </c>
      <c r="G13658" s="40" t="s">
        <v>11404</v>
      </c>
      <c r="H13658" s="40" t="s">
        <v>11404</v>
      </c>
    </row>
    <row r="13659">
      <c r="A13659" s="39"/>
      <c r="E13659" s="40" t="s">
        <v>11404</v>
      </c>
      <c r="F13659" s="40" t="s">
        <v>11404</v>
      </c>
      <c r="G13659" s="40" t="s">
        <v>11404</v>
      </c>
      <c r="H13659" s="40" t="s">
        <v>11404</v>
      </c>
    </row>
    <row r="13660">
      <c r="A13660" s="39"/>
      <c r="E13660" s="40" t="s">
        <v>11404</v>
      </c>
      <c r="F13660" s="40" t="s">
        <v>11404</v>
      </c>
      <c r="G13660" s="40" t="s">
        <v>11404</v>
      </c>
      <c r="H13660" s="40" t="s">
        <v>11404</v>
      </c>
    </row>
    <row r="13661">
      <c r="A13661" s="39"/>
      <c r="E13661" s="40" t="s">
        <v>11404</v>
      </c>
      <c r="F13661" s="40" t="s">
        <v>11404</v>
      </c>
      <c r="G13661" s="40" t="s">
        <v>11404</v>
      </c>
      <c r="H13661" s="40" t="s">
        <v>11404</v>
      </c>
    </row>
    <row r="13662">
      <c r="A13662" s="39"/>
      <c r="E13662" s="40" t="s">
        <v>11404</v>
      </c>
      <c r="F13662" s="40" t="s">
        <v>11404</v>
      </c>
      <c r="G13662" s="40" t="s">
        <v>11404</v>
      </c>
      <c r="H13662" s="40" t="s">
        <v>11404</v>
      </c>
    </row>
    <row r="13663">
      <c r="A13663" s="39"/>
      <c r="E13663" s="40" t="s">
        <v>11404</v>
      </c>
      <c r="F13663" s="40" t="s">
        <v>11404</v>
      </c>
      <c r="G13663" s="40" t="s">
        <v>11404</v>
      </c>
      <c r="H13663" s="40" t="s">
        <v>11404</v>
      </c>
    </row>
    <row r="13664">
      <c r="A13664" s="39"/>
      <c r="E13664" s="40" t="s">
        <v>11404</v>
      </c>
      <c r="F13664" s="40" t="s">
        <v>11404</v>
      </c>
      <c r="G13664" s="40" t="s">
        <v>11404</v>
      </c>
      <c r="H13664" s="40" t="s">
        <v>11404</v>
      </c>
    </row>
    <row r="13665">
      <c r="A13665" s="39"/>
      <c r="E13665" s="40" t="s">
        <v>11404</v>
      </c>
      <c r="F13665" s="40" t="s">
        <v>11404</v>
      </c>
      <c r="G13665" s="40" t="s">
        <v>11404</v>
      </c>
      <c r="H13665" s="40" t="s">
        <v>11404</v>
      </c>
    </row>
    <row r="13666">
      <c r="A13666" s="39"/>
      <c r="E13666" s="40" t="s">
        <v>11404</v>
      </c>
      <c r="F13666" s="40" t="s">
        <v>11404</v>
      </c>
      <c r="G13666" s="40" t="s">
        <v>11404</v>
      </c>
      <c r="H13666" s="40" t="s">
        <v>11404</v>
      </c>
    </row>
    <row r="13667">
      <c r="A13667" s="39"/>
      <c r="E13667" s="40" t="s">
        <v>11404</v>
      </c>
      <c r="F13667" s="40" t="s">
        <v>11404</v>
      </c>
      <c r="G13667" s="40" t="s">
        <v>11404</v>
      </c>
      <c r="H13667" s="40" t="s">
        <v>11404</v>
      </c>
    </row>
    <row r="13668">
      <c r="A13668" s="39"/>
      <c r="E13668" s="40" t="s">
        <v>11404</v>
      </c>
      <c r="F13668" s="40" t="s">
        <v>11404</v>
      </c>
      <c r="G13668" s="40" t="s">
        <v>11404</v>
      </c>
      <c r="H13668" s="40" t="s">
        <v>11404</v>
      </c>
    </row>
    <row r="13669">
      <c r="A13669" s="39"/>
      <c r="E13669" s="40" t="s">
        <v>11404</v>
      </c>
      <c r="F13669" s="40" t="s">
        <v>11404</v>
      </c>
      <c r="G13669" s="40" t="s">
        <v>11404</v>
      </c>
      <c r="H13669" s="40" t="s">
        <v>11404</v>
      </c>
    </row>
    <row r="13670">
      <c r="A13670" s="39"/>
      <c r="E13670" s="40" t="s">
        <v>11404</v>
      </c>
      <c r="F13670" s="40" t="s">
        <v>11404</v>
      </c>
      <c r="G13670" s="40" t="s">
        <v>11404</v>
      </c>
      <c r="H13670" s="40" t="s">
        <v>11404</v>
      </c>
    </row>
    <row r="13671">
      <c r="A13671" s="39"/>
      <c r="E13671" s="40" t="s">
        <v>11404</v>
      </c>
      <c r="F13671" s="40" t="s">
        <v>11404</v>
      </c>
      <c r="G13671" s="40" t="s">
        <v>11404</v>
      </c>
      <c r="H13671" s="40" t="s">
        <v>11404</v>
      </c>
    </row>
    <row r="13672">
      <c r="A13672" s="39"/>
      <c r="E13672" s="40" t="s">
        <v>11404</v>
      </c>
      <c r="F13672" s="40" t="s">
        <v>11404</v>
      </c>
      <c r="G13672" s="40" t="s">
        <v>11404</v>
      </c>
      <c r="H13672" s="40" t="s">
        <v>11404</v>
      </c>
    </row>
    <row r="13673">
      <c r="A13673" s="39"/>
      <c r="E13673" s="40" t="s">
        <v>11404</v>
      </c>
      <c r="F13673" s="40" t="s">
        <v>11404</v>
      </c>
      <c r="G13673" s="40" t="s">
        <v>11404</v>
      </c>
      <c r="H13673" s="40" t="s">
        <v>11404</v>
      </c>
    </row>
    <row r="13674">
      <c r="A13674" s="39"/>
      <c r="E13674" s="40" t="s">
        <v>11404</v>
      </c>
      <c r="F13674" s="40" t="s">
        <v>11404</v>
      </c>
      <c r="G13674" s="40" t="s">
        <v>11404</v>
      </c>
      <c r="H13674" s="40" t="s">
        <v>11404</v>
      </c>
    </row>
    <row r="13675">
      <c r="A13675" s="39"/>
      <c r="E13675" s="40" t="s">
        <v>11404</v>
      </c>
      <c r="F13675" s="40" t="s">
        <v>11404</v>
      </c>
      <c r="G13675" s="40" t="s">
        <v>11404</v>
      </c>
      <c r="H13675" s="40" t="s">
        <v>11404</v>
      </c>
    </row>
    <row r="13676">
      <c r="A13676" s="39"/>
      <c r="E13676" s="40" t="s">
        <v>11404</v>
      </c>
      <c r="F13676" s="40" t="s">
        <v>11404</v>
      </c>
      <c r="G13676" s="40" t="s">
        <v>11404</v>
      </c>
      <c r="H13676" s="40" t="s">
        <v>11404</v>
      </c>
    </row>
    <row r="13677">
      <c r="A13677" s="39"/>
      <c r="E13677" s="40" t="s">
        <v>11404</v>
      </c>
      <c r="F13677" s="40" t="s">
        <v>11404</v>
      </c>
      <c r="G13677" s="40" t="s">
        <v>11404</v>
      </c>
      <c r="H13677" s="40" t="s">
        <v>11404</v>
      </c>
    </row>
    <row r="13678">
      <c r="A13678" s="39"/>
      <c r="E13678" s="40" t="s">
        <v>11404</v>
      </c>
      <c r="F13678" s="40" t="s">
        <v>11404</v>
      </c>
      <c r="G13678" s="40" t="s">
        <v>11404</v>
      </c>
      <c r="H13678" s="40" t="s">
        <v>11404</v>
      </c>
    </row>
    <row r="13679">
      <c r="A13679" s="39"/>
      <c r="E13679" s="40" t="s">
        <v>11404</v>
      </c>
      <c r="F13679" s="40" t="s">
        <v>11404</v>
      </c>
      <c r="G13679" s="40" t="s">
        <v>11404</v>
      </c>
      <c r="H13679" s="40" t="s">
        <v>11404</v>
      </c>
    </row>
    <row r="13680">
      <c r="A13680" s="39"/>
      <c r="E13680" s="40" t="s">
        <v>11404</v>
      </c>
      <c r="F13680" s="40" t="s">
        <v>11404</v>
      </c>
      <c r="G13680" s="40" t="s">
        <v>11404</v>
      </c>
      <c r="H13680" s="40" t="s">
        <v>11404</v>
      </c>
    </row>
    <row r="13681">
      <c r="A13681" s="39"/>
      <c r="E13681" s="40" t="s">
        <v>11404</v>
      </c>
      <c r="F13681" s="40" t="s">
        <v>11404</v>
      </c>
      <c r="G13681" s="40" t="s">
        <v>11404</v>
      </c>
      <c r="H13681" s="40" t="s">
        <v>11404</v>
      </c>
    </row>
    <row r="13682">
      <c r="A13682" s="39"/>
      <c r="E13682" s="40" t="s">
        <v>11404</v>
      </c>
      <c r="F13682" s="40" t="s">
        <v>11404</v>
      </c>
      <c r="G13682" s="40" t="s">
        <v>11404</v>
      </c>
      <c r="H13682" s="40" t="s">
        <v>11404</v>
      </c>
    </row>
    <row r="13683">
      <c r="A13683" s="39"/>
      <c r="E13683" s="40" t="s">
        <v>11404</v>
      </c>
      <c r="F13683" s="40" t="s">
        <v>11404</v>
      </c>
      <c r="G13683" s="40" t="s">
        <v>11404</v>
      </c>
      <c r="H13683" s="40" t="s">
        <v>11404</v>
      </c>
    </row>
    <row r="13684">
      <c r="A13684" s="39"/>
      <c r="E13684" s="40" t="s">
        <v>11404</v>
      </c>
      <c r="F13684" s="40" t="s">
        <v>11404</v>
      </c>
      <c r="G13684" s="40" t="s">
        <v>11404</v>
      </c>
      <c r="H13684" s="40" t="s">
        <v>11404</v>
      </c>
    </row>
    <row r="13685">
      <c r="A13685" s="39"/>
      <c r="E13685" s="40" t="s">
        <v>11404</v>
      </c>
      <c r="F13685" s="40" t="s">
        <v>11404</v>
      </c>
      <c r="G13685" s="40" t="s">
        <v>11404</v>
      </c>
      <c r="H13685" s="40" t="s">
        <v>11404</v>
      </c>
    </row>
    <row r="13686">
      <c r="A13686" s="39"/>
      <c r="E13686" s="40" t="s">
        <v>11404</v>
      </c>
      <c r="F13686" s="40" t="s">
        <v>11404</v>
      </c>
      <c r="G13686" s="40" t="s">
        <v>11404</v>
      </c>
      <c r="H13686" s="40" t="s">
        <v>11404</v>
      </c>
    </row>
    <row r="13687">
      <c r="A13687" s="39"/>
      <c r="E13687" s="40" t="s">
        <v>11404</v>
      </c>
      <c r="F13687" s="40" t="s">
        <v>11404</v>
      </c>
      <c r="G13687" s="40" t="s">
        <v>11404</v>
      </c>
      <c r="H13687" s="40" t="s">
        <v>11404</v>
      </c>
    </row>
    <row r="13688">
      <c r="A13688" s="39"/>
      <c r="E13688" s="40" t="s">
        <v>11404</v>
      </c>
      <c r="F13688" s="40" t="s">
        <v>11404</v>
      </c>
      <c r="G13688" s="40" t="s">
        <v>11404</v>
      </c>
      <c r="H13688" s="40" t="s">
        <v>11404</v>
      </c>
    </row>
    <row r="13689">
      <c r="A13689" s="39"/>
      <c r="E13689" s="40" t="s">
        <v>11404</v>
      </c>
      <c r="F13689" s="40" t="s">
        <v>11404</v>
      </c>
      <c r="G13689" s="40" t="s">
        <v>11404</v>
      </c>
      <c r="H13689" s="40" t="s">
        <v>11404</v>
      </c>
    </row>
    <row r="13690">
      <c r="A13690" s="39"/>
      <c r="E13690" s="40" t="s">
        <v>11404</v>
      </c>
      <c r="F13690" s="40" t="s">
        <v>11404</v>
      </c>
      <c r="G13690" s="40" t="s">
        <v>11404</v>
      </c>
      <c r="H13690" s="40" t="s">
        <v>11404</v>
      </c>
    </row>
    <row r="13691">
      <c r="A13691" s="39"/>
      <c r="E13691" s="40" t="s">
        <v>11404</v>
      </c>
      <c r="F13691" s="40" t="s">
        <v>11404</v>
      </c>
      <c r="G13691" s="40" t="s">
        <v>11404</v>
      </c>
      <c r="H13691" s="40" t="s">
        <v>11404</v>
      </c>
    </row>
    <row r="13692">
      <c r="A13692" s="39"/>
      <c r="E13692" s="40" t="s">
        <v>11404</v>
      </c>
      <c r="F13692" s="40" t="s">
        <v>11404</v>
      </c>
      <c r="G13692" s="40" t="s">
        <v>11404</v>
      </c>
      <c r="H13692" s="40" t="s">
        <v>11404</v>
      </c>
    </row>
    <row r="13693">
      <c r="A13693" s="39"/>
      <c r="E13693" s="40" t="s">
        <v>11404</v>
      </c>
      <c r="F13693" s="40" t="s">
        <v>11404</v>
      </c>
      <c r="G13693" s="40" t="s">
        <v>11404</v>
      </c>
      <c r="H13693" s="40" t="s">
        <v>11404</v>
      </c>
    </row>
    <row r="13694">
      <c r="A13694" s="39"/>
      <c r="E13694" s="40" t="s">
        <v>11404</v>
      </c>
      <c r="F13694" s="40" t="s">
        <v>11404</v>
      </c>
      <c r="G13694" s="40" t="s">
        <v>11404</v>
      </c>
      <c r="H13694" s="40" t="s">
        <v>11404</v>
      </c>
    </row>
    <row r="13695">
      <c r="A13695" s="39"/>
      <c r="E13695" s="40" t="s">
        <v>11404</v>
      </c>
      <c r="F13695" s="40" t="s">
        <v>11404</v>
      </c>
      <c r="G13695" s="40" t="s">
        <v>11404</v>
      </c>
      <c r="H13695" s="40" t="s">
        <v>11404</v>
      </c>
    </row>
    <row r="13696">
      <c r="A13696" s="39"/>
      <c r="E13696" s="40" t="s">
        <v>11404</v>
      </c>
      <c r="F13696" s="40" t="s">
        <v>11404</v>
      </c>
      <c r="G13696" s="40" t="s">
        <v>11404</v>
      </c>
      <c r="H13696" s="40" t="s">
        <v>11404</v>
      </c>
    </row>
    <row r="13697">
      <c r="A13697" s="39"/>
      <c r="E13697" s="40" t="s">
        <v>11404</v>
      </c>
      <c r="F13697" s="40" t="s">
        <v>11404</v>
      </c>
      <c r="G13697" s="40" t="s">
        <v>11404</v>
      </c>
      <c r="H13697" s="40" t="s">
        <v>11404</v>
      </c>
    </row>
    <row r="13698">
      <c r="A13698" s="39"/>
      <c r="E13698" s="40" t="s">
        <v>11404</v>
      </c>
      <c r="F13698" s="40" t="s">
        <v>11404</v>
      </c>
      <c r="G13698" s="40" t="s">
        <v>11404</v>
      </c>
      <c r="H13698" s="40" t="s">
        <v>11404</v>
      </c>
    </row>
    <row r="13699">
      <c r="A13699" s="39"/>
      <c r="E13699" s="40" t="s">
        <v>11404</v>
      </c>
      <c r="F13699" s="40" t="s">
        <v>11404</v>
      </c>
      <c r="G13699" s="40" t="s">
        <v>11404</v>
      </c>
      <c r="H13699" s="40" t="s">
        <v>11404</v>
      </c>
    </row>
    <row r="13700">
      <c r="A13700" s="39"/>
      <c r="E13700" s="40" t="s">
        <v>11404</v>
      </c>
      <c r="F13700" s="40" t="s">
        <v>11404</v>
      </c>
      <c r="G13700" s="40" t="s">
        <v>11404</v>
      </c>
      <c r="H13700" s="40" t="s">
        <v>11404</v>
      </c>
    </row>
    <row r="13701">
      <c r="A13701" s="39"/>
      <c r="E13701" s="40" t="s">
        <v>11404</v>
      </c>
      <c r="F13701" s="40" t="s">
        <v>11404</v>
      </c>
      <c r="G13701" s="40" t="s">
        <v>11404</v>
      </c>
      <c r="H13701" s="40" t="s">
        <v>11404</v>
      </c>
    </row>
    <row r="13702">
      <c r="A13702" s="39"/>
      <c r="E13702" s="40" t="s">
        <v>11404</v>
      </c>
      <c r="F13702" s="40" t="s">
        <v>11404</v>
      </c>
      <c r="G13702" s="40" t="s">
        <v>11404</v>
      </c>
      <c r="H13702" s="40" t="s">
        <v>11404</v>
      </c>
    </row>
    <row r="13703">
      <c r="A13703" s="39"/>
      <c r="E13703" s="40" t="s">
        <v>11404</v>
      </c>
      <c r="F13703" s="40" t="s">
        <v>11404</v>
      </c>
      <c r="G13703" s="40" t="s">
        <v>11404</v>
      </c>
      <c r="H13703" s="40" t="s">
        <v>11404</v>
      </c>
    </row>
    <row r="13704">
      <c r="A13704" s="39"/>
      <c r="E13704" s="40" t="s">
        <v>11404</v>
      </c>
      <c r="F13704" s="40" t="s">
        <v>11404</v>
      </c>
      <c r="G13704" s="40" t="s">
        <v>11404</v>
      </c>
      <c r="H13704" s="40" t="s">
        <v>11404</v>
      </c>
    </row>
    <row r="13705">
      <c r="A13705" s="39"/>
      <c r="E13705" s="40" t="s">
        <v>11404</v>
      </c>
      <c r="F13705" s="40" t="s">
        <v>11404</v>
      </c>
      <c r="G13705" s="40" t="s">
        <v>11404</v>
      </c>
      <c r="H13705" s="40" t="s">
        <v>11404</v>
      </c>
    </row>
    <row r="13706">
      <c r="A13706" s="39"/>
      <c r="E13706" s="40" t="s">
        <v>11404</v>
      </c>
      <c r="F13706" s="40" t="s">
        <v>11404</v>
      </c>
      <c r="G13706" s="40" t="s">
        <v>11404</v>
      </c>
      <c r="H13706" s="40" t="s">
        <v>11404</v>
      </c>
    </row>
    <row r="13707">
      <c r="A13707" s="39"/>
      <c r="E13707" s="40" t="s">
        <v>11404</v>
      </c>
      <c r="F13707" s="40" t="s">
        <v>11404</v>
      </c>
      <c r="G13707" s="40" t="s">
        <v>11404</v>
      </c>
      <c r="H13707" s="40" t="s">
        <v>11404</v>
      </c>
    </row>
    <row r="13708">
      <c r="A13708" s="39"/>
      <c r="E13708" s="40" t="s">
        <v>11404</v>
      </c>
      <c r="F13708" s="40" t="s">
        <v>11404</v>
      </c>
      <c r="G13708" s="40" t="s">
        <v>11404</v>
      </c>
      <c r="H13708" s="40" t="s">
        <v>11404</v>
      </c>
    </row>
    <row r="13709">
      <c r="A13709" s="39"/>
      <c r="E13709" s="40" t="s">
        <v>11404</v>
      </c>
      <c r="F13709" s="40" t="s">
        <v>11404</v>
      </c>
      <c r="G13709" s="40" t="s">
        <v>11404</v>
      </c>
      <c r="H13709" s="40" t="s">
        <v>11404</v>
      </c>
    </row>
    <row r="13710">
      <c r="A13710" s="39"/>
      <c r="E13710" s="40" t="s">
        <v>11404</v>
      </c>
      <c r="F13710" s="40" t="s">
        <v>11404</v>
      </c>
      <c r="G13710" s="40" t="s">
        <v>11404</v>
      </c>
      <c r="H13710" s="40" t="s">
        <v>11404</v>
      </c>
    </row>
    <row r="13711">
      <c r="A13711" s="39"/>
      <c r="E13711" s="40" t="s">
        <v>11404</v>
      </c>
      <c r="F13711" s="40" t="s">
        <v>11404</v>
      </c>
      <c r="G13711" s="40" t="s">
        <v>11404</v>
      </c>
      <c r="H13711" s="40" t="s">
        <v>11404</v>
      </c>
    </row>
    <row r="13712">
      <c r="A13712" s="39"/>
      <c r="E13712" s="40" t="s">
        <v>11404</v>
      </c>
      <c r="F13712" s="40" t="s">
        <v>11404</v>
      </c>
      <c r="G13712" s="40" t="s">
        <v>11404</v>
      </c>
      <c r="H13712" s="40" t="s">
        <v>11404</v>
      </c>
    </row>
    <row r="13713">
      <c r="A13713" s="39"/>
      <c r="E13713" s="40" t="s">
        <v>11404</v>
      </c>
      <c r="F13713" s="40" t="s">
        <v>11404</v>
      </c>
      <c r="G13713" s="40" t="s">
        <v>11404</v>
      </c>
      <c r="H13713" s="40" t="s">
        <v>11404</v>
      </c>
    </row>
    <row r="13714">
      <c r="A13714" s="39"/>
      <c r="E13714" s="40" t="s">
        <v>11404</v>
      </c>
      <c r="F13714" s="40" t="s">
        <v>11404</v>
      </c>
      <c r="G13714" s="40" t="s">
        <v>11404</v>
      </c>
      <c r="H13714" s="40" t="s">
        <v>11404</v>
      </c>
    </row>
    <row r="13715">
      <c r="A13715" s="39"/>
      <c r="E13715" s="40" t="s">
        <v>11404</v>
      </c>
      <c r="F13715" s="40" t="s">
        <v>11404</v>
      </c>
      <c r="G13715" s="40" t="s">
        <v>11404</v>
      </c>
      <c r="H13715" s="40" t="s">
        <v>11404</v>
      </c>
    </row>
    <row r="13716">
      <c r="A13716" s="39"/>
      <c r="E13716" s="40" t="s">
        <v>11404</v>
      </c>
      <c r="F13716" s="40" t="s">
        <v>11404</v>
      </c>
      <c r="G13716" s="40" t="s">
        <v>11404</v>
      </c>
      <c r="H13716" s="40" t="s">
        <v>11404</v>
      </c>
    </row>
    <row r="13717">
      <c r="A13717" s="39"/>
      <c r="E13717" s="40" t="s">
        <v>11404</v>
      </c>
      <c r="F13717" s="40" t="s">
        <v>11404</v>
      </c>
      <c r="G13717" s="40" t="s">
        <v>11404</v>
      </c>
      <c r="H13717" s="40" t="s">
        <v>11404</v>
      </c>
    </row>
    <row r="13718">
      <c r="A13718" s="39"/>
      <c r="E13718" s="40" t="s">
        <v>11404</v>
      </c>
      <c r="F13718" s="40" t="s">
        <v>11404</v>
      </c>
      <c r="G13718" s="40" t="s">
        <v>11404</v>
      </c>
      <c r="H13718" s="40" t="s">
        <v>11404</v>
      </c>
    </row>
    <row r="13719">
      <c r="A13719" s="39"/>
      <c r="E13719" s="40" t="s">
        <v>11404</v>
      </c>
      <c r="F13719" s="40" t="s">
        <v>11404</v>
      </c>
      <c r="G13719" s="40" t="s">
        <v>11404</v>
      </c>
      <c r="H13719" s="40" t="s">
        <v>11404</v>
      </c>
    </row>
    <row r="13720">
      <c r="A13720" s="39"/>
      <c r="E13720" s="40" t="s">
        <v>11404</v>
      </c>
      <c r="F13720" s="40" t="s">
        <v>11404</v>
      </c>
      <c r="G13720" s="40" t="s">
        <v>11404</v>
      </c>
      <c r="H13720" s="40" t="s">
        <v>11404</v>
      </c>
    </row>
    <row r="13721">
      <c r="A13721" s="39"/>
      <c r="E13721" s="40" t="s">
        <v>11404</v>
      </c>
      <c r="F13721" s="40" t="s">
        <v>11404</v>
      </c>
      <c r="G13721" s="40" t="s">
        <v>11404</v>
      </c>
      <c r="H13721" s="40" t="s">
        <v>11404</v>
      </c>
    </row>
    <row r="13722">
      <c r="A13722" s="39"/>
      <c r="E13722" s="40" t="s">
        <v>11404</v>
      </c>
      <c r="F13722" s="40" t="s">
        <v>11404</v>
      </c>
      <c r="G13722" s="40" t="s">
        <v>11404</v>
      </c>
      <c r="H13722" s="40" t="s">
        <v>11404</v>
      </c>
    </row>
    <row r="13723">
      <c r="A13723" s="39"/>
      <c r="E13723" s="40" t="s">
        <v>11404</v>
      </c>
      <c r="F13723" s="40" t="s">
        <v>11404</v>
      </c>
      <c r="G13723" s="40" t="s">
        <v>11404</v>
      </c>
      <c r="H13723" s="40" t="s">
        <v>11404</v>
      </c>
    </row>
    <row r="13724">
      <c r="A13724" s="39"/>
      <c r="E13724" s="40" t="s">
        <v>11404</v>
      </c>
      <c r="F13724" s="40" t="s">
        <v>11404</v>
      </c>
      <c r="G13724" s="40" t="s">
        <v>11404</v>
      </c>
      <c r="H13724" s="40" t="s">
        <v>11404</v>
      </c>
    </row>
    <row r="13725">
      <c r="A13725" s="39"/>
      <c r="E13725" s="40" t="s">
        <v>11404</v>
      </c>
      <c r="F13725" s="40" t="s">
        <v>11404</v>
      </c>
      <c r="G13725" s="40" t="s">
        <v>11404</v>
      </c>
      <c r="H13725" s="40" t="s">
        <v>11404</v>
      </c>
    </row>
    <row r="13726">
      <c r="A13726" s="39"/>
      <c r="E13726" s="40" t="s">
        <v>11404</v>
      </c>
      <c r="F13726" s="40" t="s">
        <v>11404</v>
      </c>
      <c r="G13726" s="40" t="s">
        <v>11404</v>
      </c>
      <c r="H13726" s="40" t="s">
        <v>11404</v>
      </c>
    </row>
    <row r="13727">
      <c r="A13727" s="39"/>
      <c r="E13727" s="40" t="s">
        <v>11404</v>
      </c>
      <c r="F13727" s="40" t="s">
        <v>11404</v>
      </c>
      <c r="G13727" s="40" t="s">
        <v>11404</v>
      </c>
      <c r="H13727" s="40" t="s">
        <v>11404</v>
      </c>
    </row>
    <row r="13728">
      <c r="A13728" s="39"/>
      <c r="E13728" s="40" t="s">
        <v>11404</v>
      </c>
      <c r="F13728" s="40" t="s">
        <v>11404</v>
      </c>
      <c r="G13728" s="40" t="s">
        <v>11404</v>
      </c>
      <c r="H13728" s="40" t="s">
        <v>11404</v>
      </c>
    </row>
    <row r="13729">
      <c r="A13729" s="39"/>
      <c r="E13729" s="40" t="s">
        <v>11404</v>
      </c>
      <c r="F13729" s="40" t="s">
        <v>11404</v>
      </c>
      <c r="G13729" s="40" t="s">
        <v>11404</v>
      </c>
      <c r="H13729" s="40" t="s">
        <v>11404</v>
      </c>
    </row>
    <row r="13730">
      <c r="A13730" s="39"/>
      <c r="E13730" s="40" t="s">
        <v>11404</v>
      </c>
      <c r="F13730" s="40" t="s">
        <v>11404</v>
      </c>
      <c r="G13730" s="40" t="s">
        <v>11404</v>
      </c>
      <c r="H13730" s="40" t="s">
        <v>11404</v>
      </c>
    </row>
    <row r="13731">
      <c r="A13731" s="39"/>
      <c r="E13731" s="40" t="s">
        <v>11404</v>
      </c>
      <c r="F13731" s="40" t="s">
        <v>11404</v>
      </c>
      <c r="G13731" s="40" t="s">
        <v>11404</v>
      </c>
      <c r="H13731" s="40" t="s">
        <v>11404</v>
      </c>
    </row>
    <row r="13732">
      <c r="A13732" s="39"/>
      <c r="E13732" s="40" t="s">
        <v>11404</v>
      </c>
      <c r="F13732" s="40" t="s">
        <v>11404</v>
      </c>
      <c r="G13732" s="40" t="s">
        <v>11404</v>
      </c>
      <c r="H13732" s="40" t="s">
        <v>11404</v>
      </c>
    </row>
    <row r="13733">
      <c r="A13733" s="39"/>
      <c r="E13733" s="40" t="s">
        <v>11404</v>
      </c>
      <c r="F13733" s="40" t="s">
        <v>11404</v>
      </c>
      <c r="G13733" s="40" t="s">
        <v>11404</v>
      </c>
      <c r="H13733" s="40" t="s">
        <v>11404</v>
      </c>
    </row>
    <row r="13734">
      <c r="A13734" s="39"/>
      <c r="E13734" s="40" t="s">
        <v>11404</v>
      </c>
      <c r="F13734" s="40" t="s">
        <v>11404</v>
      </c>
      <c r="G13734" s="40" t="s">
        <v>11404</v>
      </c>
      <c r="H13734" s="40" t="s">
        <v>11404</v>
      </c>
    </row>
    <row r="13735">
      <c r="A13735" s="39"/>
      <c r="E13735" s="40" t="s">
        <v>11404</v>
      </c>
      <c r="F13735" s="40" t="s">
        <v>11404</v>
      </c>
      <c r="G13735" s="40" t="s">
        <v>11404</v>
      </c>
      <c r="H13735" s="40" t="s">
        <v>11404</v>
      </c>
    </row>
    <row r="13736">
      <c r="A13736" s="39"/>
      <c r="E13736" s="40" t="s">
        <v>11404</v>
      </c>
      <c r="F13736" s="40" t="s">
        <v>11404</v>
      </c>
      <c r="G13736" s="40" t="s">
        <v>11404</v>
      </c>
      <c r="H13736" s="40" t="s">
        <v>11404</v>
      </c>
    </row>
    <row r="13737">
      <c r="A13737" s="39"/>
      <c r="E13737" s="40" t="s">
        <v>11404</v>
      </c>
      <c r="F13737" s="40" t="s">
        <v>11404</v>
      </c>
      <c r="G13737" s="40" t="s">
        <v>11404</v>
      </c>
      <c r="H13737" s="40" t="s">
        <v>11404</v>
      </c>
    </row>
    <row r="13738">
      <c r="A13738" s="39"/>
      <c r="E13738" s="40" t="s">
        <v>11404</v>
      </c>
      <c r="F13738" s="40" t="s">
        <v>11404</v>
      </c>
      <c r="G13738" s="40" t="s">
        <v>11404</v>
      </c>
      <c r="H13738" s="40" t="s">
        <v>11404</v>
      </c>
    </row>
    <row r="13739">
      <c r="A13739" s="39"/>
      <c r="E13739" s="40" t="s">
        <v>11404</v>
      </c>
      <c r="F13739" s="40" t="s">
        <v>11404</v>
      </c>
      <c r="G13739" s="40" t="s">
        <v>11404</v>
      </c>
      <c r="H13739" s="40" t="s">
        <v>11404</v>
      </c>
    </row>
    <row r="13740">
      <c r="A13740" s="39"/>
      <c r="E13740" s="40" t="s">
        <v>11404</v>
      </c>
      <c r="F13740" s="40" t="s">
        <v>11404</v>
      </c>
      <c r="G13740" s="40" t="s">
        <v>11404</v>
      </c>
      <c r="H13740" s="40" t="s">
        <v>11404</v>
      </c>
    </row>
    <row r="13741">
      <c r="A13741" s="39"/>
      <c r="E13741" s="40" t="s">
        <v>11404</v>
      </c>
      <c r="F13741" s="40" t="s">
        <v>11404</v>
      </c>
      <c r="G13741" s="40" t="s">
        <v>11404</v>
      </c>
      <c r="H13741" s="40" t="s">
        <v>11404</v>
      </c>
    </row>
    <row r="13742">
      <c r="A13742" s="39"/>
      <c r="E13742" s="40" t="s">
        <v>11404</v>
      </c>
      <c r="F13742" s="40" t="s">
        <v>11404</v>
      </c>
      <c r="G13742" s="40" t="s">
        <v>11404</v>
      </c>
      <c r="H13742" s="40" t="s">
        <v>11404</v>
      </c>
    </row>
    <row r="13743">
      <c r="A13743" s="39"/>
      <c r="E13743" s="40" t="s">
        <v>11404</v>
      </c>
      <c r="F13743" s="40" t="s">
        <v>11404</v>
      </c>
      <c r="G13743" s="40" t="s">
        <v>11404</v>
      </c>
      <c r="H13743" s="40" t="s">
        <v>11404</v>
      </c>
    </row>
    <row r="13744">
      <c r="A13744" s="39"/>
      <c r="E13744" s="40" t="s">
        <v>11404</v>
      </c>
      <c r="F13744" s="40" t="s">
        <v>11404</v>
      </c>
      <c r="G13744" s="40" t="s">
        <v>11404</v>
      </c>
      <c r="H13744" s="40" t="s">
        <v>11404</v>
      </c>
    </row>
    <row r="13745">
      <c r="A13745" s="39"/>
      <c r="E13745" s="40" t="s">
        <v>11404</v>
      </c>
      <c r="F13745" s="40" t="s">
        <v>11404</v>
      </c>
      <c r="G13745" s="40" t="s">
        <v>11404</v>
      </c>
      <c r="H13745" s="40" t="s">
        <v>11404</v>
      </c>
    </row>
    <row r="13746">
      <c r="A13746" s="39"/>
      <c r="E13746" s="40" t="s">
        <v>11404</v>
      </c>
      <c r="F13746" s="40" t="s">
        <v>11404</v>
      </c>
      <c r="G13746" s="40" t="s">
        <v>11404</v>
      </c>
      <c r="H13746" s="40" t="s">
        <v>11404</v>
      </c>
    </row>
    <row r="13747">
      <c r="A13747" s="39"/>
      <c r="E13747" s="40" t="s">
        <v>11404</v>
      </c>
      <c r="F13747" s="40" t="s">
        <v>11404</v>
      </c>
      <c r="G13747" s="40" t="s">
        <v>11404</v>
      </c>
      <c r="H13747" s="40" t="s">
        <v>11404</v>
      </c>
    </row>
    <row r="13748">
      <c r="A13748" s="39"/>
      <c r="E13748" s="40" t="s">
        <v>11404</v>
      </c>
      <c r="F13748" s="40" t="s">
        <v>11404</v>
      </c>
      <c r="G13748" s="40" t="s">
        <v>11404</v>
      </c>
      <c r="H13748" s="40" t="s">
        <v>11404</v>
      </c>
    </row>
    <row r="13749">
      <c r="A13749" s="39"/>
      <c r="E13749" s="40" t="s">
        <v>11404</v>
      </c>
      <c r="F13749" s="40" t="s">
        <v>11404</v>
      </c>
      <c r="G13749" s="40" t="s">
        <v>11404</v>
      </c>
      <c r="H13749" s="40" t="s">
        <v>11404</v>
      </c>
    </row>
    <row r="13750">
      <c r="A13750" s="39"/>
      <c r="E13750" s="40" t="s">
        <v>11404</v>
      </c>
      <c r="F13750" s="40" t="s">
        <v>11404</v>
      </c>
      <c r="G13750" s="40" t="s">
        <v>11404</v>
      </c>
      <c r="H13750" s="40" t="s">
        <v>11404</v>
      </c>
    </row>
    <row r="13751">
      <c r="A13751" s="39"/>
      <c r="E13751" s="40" t="s">
        <v>11404</v>
      </c>
      <c r="F13751" s="40" t="s">
        <v>11404</v>
      </c>
      <c r="G13751" s="40" t="s">
        <v>11404</v>
      </c>
      <c r="H13751" s="40" t="s">
        <v>11404</v>
      </c>
    </row>
    <row r="13752">
      <c r="A13752" s="39"/>
      <c r="E13752" s="40" t="s">
        <v>11404</v>
      </c>
      <c r="F13752" s="40" t="s">
        <v>11404</v>
      </c>
      <c r="G13752" s="40" t="s">
        <v>11404</v>
      </c>
      <c r="H13752" s="40" t="s">
        <v>11404</v>
      </c>
    </row>
    <row r="13753">
      <c r="A13753" s="39"/>
      <c r="E13753" s="40" t="s">
        <v>11404</v>
      </c>
      <c r="F13753" s="40" t="s">
        <v>11404</v>
      </c>
      <c r="G13753" s="40" t="s">
        <v>11404</v>
      </c>
      <c r="H13753" s="40" t="s">
        <v>11404</v>
      </c>
    </row>
    <row r="13754">
      <c r="A13754" s="39"/>
      <c r="E13754" s="40" t="s">
        <v>11404</v>
      </c>
      <c r="F13754" s="40" t="s">
        <v>11404</v>
      </c>
      <c r="G13754" s="40" t="s">
        <v>11404</v>
      </c>
      <c r="H13754" s="40" t="s">
        <v>11404</v>
      </c>
    </row>
    <row r="13755">
      <c r="A13755" s="39"/>
      <c r="E13755" s="40" t="s">
        <v>11404</v>
      </c>
      <c r="F13755" s="40" t="s">
        <v>11404</v>
      </c>
      <c r="G13755" s="40" t="s">
        <v>11404</v>
      </c>
      <c r="H13755" s="40" t="s">
        <v>11404</v>
      </c>
    </row>
    <row r="13756">
      <c r="A13756" s="39"/>
      <c r="E13756" s="40" t="s">
        <v>11404</v>
      </c>
      <c r="F13756" s="40" t="s">
        <v>11404</v>
      </c>
      <c r="G13756" s="40" t="s">
        <v>11404</v>
      </c>
      <c r="H13756" s="40" t="s">
        <v>11404</v>
      </c>
    </row>
    <row r="13757">
      <c r="A13757" s="39"/>
      <c r="E13757" s="40" t="s">
        <v>11404</v>
      </c>
      <c r="F13757" s="40" t="s">
        <v>11404</v>
      </c>
      <c r="G13757" s="40" t="s">
        <v>11404</v>
      </c>
      <c r="H13757" s="40" t="s">
        <v>11404</v>
      </c>
    </row>
    <row r="13758">
      <c r="A13758" s="39"/>
      <c r="E13758" s="40" t="s">
        <v>11404</v>
      </c>
      <c r="F13758" s="40" t="s">
        <v>11404</v>
      </c>
      <c r="G13758" s="40" t="s">
        <v>11404</v>
      </c>
      <c r="H13758" s="40" t="s">
        <v>11404</v>
      </c>
    </row>
    <row r="13759">
      <c r="A13759" s="39"/>
      <c r="E13759" s="40" t="s">
        <v>11404</v>
      </c>
      <c r="F13759" s="40" t="s">
        <v>11404</v>
      </c>
      <c r="G13759" s="40" t="s">
        <v>11404</v>
      </c>
      <c r="H13759" s="40" t="s">
        <v>11404</v>
      </c>
    </row>
    <row r="13760">
      <c r="A13760" s="39"/>
      <c r="E13760" s="40" t="s">
        <v>11404</v>
      </c>
      <c r="F13760" s="40" t="s">
        <v>11404</v>
      </c>
      <c r="G13760" s="40" t="s">
        <v>11404</v>
      </c>
      <c r="H13760" s="40" t="s">
        <v>11404</v>
      </c>
    </row>
    <row r="13761">
      <c r="A13761" s="39"/>
      <c r="E13761" s="40" t="s">
        <v>11404</v>
      </c>
      <c r="F13761" s="40" t="s">
        <v>11404</v>
      </c>
      <c r="G13761" s="40" t="s">
        <v>11404</v>
      </c>
      <c r="H13761" s="40" t="s">
        <v>11404</v>
      </c>
    </row>
    <row r="13762">
      <c r="A13762" s="39"/>
      <c r="E13762" s="40" t="s">
        <v>11404</v>
      </c>
      <c r="F13762" s="40" t="s">
        <v>11404</v>
      </c>
      <c r="G13762" s="40" t="s">
        <v>11404</v>
      </c>
      <c r="H13762" s="40" t="s">
        <v>11404</v>
      </c>
    </row>
    <row r="13763">
      <c r="A13763" s="39"/>
      <c r="E13763" s="40" t="s">
        <v>11404</v>
      </c>
      <c r="F13763" s="40" t="s">
        <v>11404</v>
      </c>
      <c r="G13763" s="40" t="s">
        <v>11404</v>
      </c>
      <c r="H13763" s="40" t="s">
        <v>11404</v>
      </c>
    </row>
    <row r="13764">
      <c r="A13764" s="39"/>
      <c r="E13764" s="40" t="s">
        <v>11404</v>
      </c>
      <c r="F13764" s="40" t="s">
        <v>11404</v>
      </c>
      <c r="G13764" s="40" t="s">
        <v>11404</v>
      </c>
      <c r="H13764" s="40" t="s">
        <v>11404</v>
      </c>
    </row>
    <row r="13765">
      <c r="A13765" s="39"/>
      <c r="E13765" s="40" t="s">
        <v>11404</v>
      </c>
      <c r="F13765" s="40" t="s">
        <v>11404</v>
      </c>
      <c r="G13765" s="40" t="s">
        <v>11404</v>
      </c>
      <c r="H13765" s="40" t="s">
        <v>11404</v>
      </c>
    </row>
    <row r="13766">
      <c r="A13766" s="39"/>
      <c r="E13766" s="40" t="s">
        <v>11404</v>
      </c>
      <c r="F13766" s="40" t="s">
        <v>11404</v>
      </c>
      <c r="G13766" s="40" t="s">
        <v>11404</v>
      </c>
      <c r="H13766" s="40" t="s">
        <v>11404</v>
      </c>
    </row>
    <row r="13767">
      <c r="A13767" s="39"/>
      <c r="E13767" s="40" t="s">
        <v>11404</v>
      </c>
      <c r="F13767" s="40" t="s">
        <v>11404</v>
      </c>
      <c r="G13767" s="40" t="s">
        <v>11404</v>
      </c>
      <c r="H13767" s="40" t="s">
        <v>11404</v>
      </c>
    </row>
    <row r="13768">
      <c r="A13768" s="39"/>
      <c r="E13768" s="40" t="s">
        <v>11404</v>
      </c>
      <c r="F13768" s="40" t="s">
        <v>11404</v>
      </c>
      <c r="G13768" s="40" t="s">
        <v>11404</v>
      </c>
      <c r="H13768" s="40" t="s">
        <v>11404</v>
      </c>
    </row>
    <row r="13769">
      <c r="A13769" s="39"/>
      <c r="E13769" s="40" t="s">
        <v>11404</v>
      </c>
      <c r="F13769" s="40" t="s">
        <v>11404</v>
      </c>
      <c r="G13769" s="40" t="s">
        <v>11404</v>
      </c>
      <c r="H13769" s="40" t="s">
        <v>11404</v>
      </c>
    </row>
    <row r="13770">
      <c r="A13770" s="39"/>
      <c r="E13770" s="40" t="s">
        <v>11404</v>
      </c>
      <c r="F13770" s="40" t="s">
        <v>11404</v>
      </c>
      <c r="G13770" s="40" t="s">
        <v>11404</v>
      </c>
      <c r="H13770" s="40" t="s">
        <v>11404</v>
      </c>
    </row>
    <row r="13771">
      <c r="A13771" s="39"/>
      <c r="E13771" s="40" t="s">
        <v>11404</v>
      </c>
      <c r="F13771" s="40" t="s">
        <v>11404</v>
      </c>
      <c r="G13771" s="40" t="s">
        <v>11404</v>
      </c>
      <c r="H13771" s="40" t="s">
        <v>11404</v>
      </c>
    </row>
    <row r="13772">
      <c r="A13772" s="39"/>
      <c r="E13772" s="40" t="s">
        <v>11404</v>
      </c>
      <c r="F13772" s="40" t="s">
        <v>11404</v>
      </c>
      <c r="G13772" s="40" t="s">
        <v>11404</v>
      </c>
      <c r="H13772" s="40" t="s">
        <v>11404</v>
      </c>
    </row>
    <row r="13773">
      <c r="A13773" s="39"/>
      <c r="E13773" s="40" t="s">
        <v>11404</v>
      </c>
      <c r="F13773" s="40" t="s">
        <v>11404</v>
      </c>
      <c r="G13773" s="40" t="s">
        <v>11404</v>
      </c>
      <c r="H13773" s="40" t="s">
        <v>11404</v>
      </c>
    </row>
    <row r="13774">
      <c r="A13774" s="39"/>
      <c r="E13774" s="40" t="s">
        <v>11404</v>
      </c>
      <c r="F13774" s="40" t="s">
        <v>11404</v>
      </c>
      <c r="G13774" s="40" t="s">
        <v>11404</v>
      </c>
      <c r="H13774" s="40" t="s">
        <v>11404</v>
      </c>
    </row>
    <row r="13775">
      <c r="A13775" s="39"/>
      <c r="E13775" s="40" t="s">
        <v>11404</v>
      </c>
      <c r="F13775" s="40" t="s">
        <v>11404</v>
      </c>
      <c r="G13775" s="40" t="s">
        <v>11404</v>
      </c>
      <c r="H13775" s="40" t="s">
        <v>11404</v>
      </c>
    </row>
    <row r="13776">
      <c r="A13776" s="39"/>
      <c r="E13776" s="40" t="s">
        <v>11404</v>
      </c>
      <c r="F13776" s="40" t="s">
        <v>11404</v>
      </c>
      <c r="G13776" s="40" t="s">
        <v>11404</v>
      </c>
      <c r="H13776" s="40" t="s">
        <v>11404</v>
      </c>
    </row>
    <row r="13777">
      <c r="A13777" s="39"/>
      <c r="E13777" s="40" t="s">
        <v>11404</v>
      </c>
      <c r="F13777" s="40" t="s">
        <v>11404</v>
      </c>
      <c r="G13777" s="40" t="s">
        <v>11404</v>
      </c>
      <c r="H13777" s="40" t="s">
        <v>11404</v>
      </c>
    </row>
    <row r="13778">
      <c r="A13778" s="39"/>
      <c r="E13778" s="40" t="s">
        <v>11404</v>
      </c>
      <c r="F13778" s="40" t="s">
        <v>11404</v>
      </c>
      <c r="G13778" s="40" t="s">
        <v>11404</v>
      </c>
      <c r="H13778" s="40" t="s">
        <v>11404</v>
      </c>
    </row>
    <row r="13779">
      <c r="A13779" s="39"/>
      <c r="E13779" s="40" t="s">
        <v>11404</v>
      </c>
      <c r="F13779" s="40" t="s">
        <v>11404</v>
      </c>
      <c r="G13779" s="40" t="s">
        <v>11404</v>
      </c>
      <c r="H13779" s="40" t="s">
        <v>11404</v>
      </c>
    </row>
    <row r="13780">
      <c r="A13780" s="39"/>
      <c r="E13780" s="40" t="s">
        <v>11404</v>
      </c>
      <c r="F13780" s="40" t="s">
        <v>11404</v>
      </c>
      <c r="G13780" s="40" t="s">
        <v>11404</v>
      </c>
      <c r="H13780" s="40" t="s">
        <v>11404</v>
      </c>
    </row>
    <row r="13781">
      <c r="A13781" s="39"/>
      <c r="E13781" s="40" t="s">
        <v>11404</v>
      </c>
      <c r="F13781" s="40" t="s">
        <v>11404</v>
      </c>
      <c r="G13781" s="40" t="s">
        <v>11404</v>
      </c>
      <c r="H13781" s="40" t="s">
        <v>11404</v>
      </c>
    </row>
    <row r="13782">
      <c r="A13782" s="39"/>
      <c r="E13782" s="40" t="s">
        <v>11404</v>
      </c>
      <c r="F13782" s="40" t="s">
        <v>11404</v>
      </c>
      <c r="G13782" s="40" t="s">
        <v>11404</v>
      </c>
      <c r="H13782" s="40" t="s">
        <v>11404</v>
      </c>
    </row>
    <row r="13783">
      <c r="A13783" s="39"/>
      <c r="E13783" s="40" t="s">
        <v>11404</v>
      </c>
      <c r="F13783" s="40" t="s">
        <v>11404</v>
      </c>
      <c r="G13783" s="40" t="s">
        <v>11404</v>
      </c>
      <c r="H13783" s="40" t="s">
        <v>11404</v>
      </c>
    </row>
    <row r="13784">
      <c r="A13784" s="39"/>
      <c r="E13784" s="40" t="s">
        <v>11404</v>
      </c>
      <c r="F13784" s="40" t="s">
        <v>11404</v>
      </c>
      <c r="G13784" s="40" t="s">
        <v>11404</v>
      </c>
      <c r="H13784" s="40" t="s">
        <v>11404</v>
      </c>
    </row>
    <row r="13785">
      <c r="A13785" s="39"/>
      <c r="E13785" s="40" t="s">
        <v>11404</v>
      </c>
      <c r="F13785" s="40" t="s">
        <v>11404</v>
      </c>
      <c r="G13785" s="40" t="s">
        <v>11404</v>
      </c>
      <c r="H13785" s="40" t="s">
        <v>11404</v>
      </c>
    </row>
    <row r="13786">
      <c r="A13786" s="39"/>
      <c r="E13786" s="40" t="s">
        <v>11404</v>
      </c>
      <c r="F13786" s="40" t="s">
        <v>11404</v>
      </c>
      <c r="G13786" s="40" t="s">
        <v>11404</v>
      </c>
      <c r="H13786" s="40" t="s">
        <v>11404</v>
      </c>
    </row>
    <row r="13787">
      <c r="A13787" s="39"/>
      <c r="E13787" s="40" t="s">
        <v>11404</v>
      </c>
      <c r="F13787" s="40" t="s">
        <v>11404</v>
      </c>
      <c r="G13787" s="40" t="s">
        <v>11404</v>
      </c>
      <c r="H13787" s="40" t="s">
        <v>11404</v>
      </c>
    </row>
    <row r="13788">
      <c r="A13788" s="39"/>
      <c r="E13788" s="40" t="s">
        <v>11404</v>
      </c>
      <c r="F13788" s="40" t="s">
        <v>11404</v>
      </c>
      <c r="G13788" s="40" t="s">
        <v>11404</v>
      </c>
      <c r="H13788" s="40" t="s">
        <v>11404</v>
      </c>
    </row>
    <row r="13789">
      <c r="A13789" s="39"/>
      <c r="E13789" s="40" t="s">
        <v>11404</v>
      </c>
      <c r="F13789" s="40" t="s">
        <v>11404</v>
      </c>
      <c r="G13789" s="40" t="s">
        <v>11404</v>
      </c>
      <c r="H13789" s="40" t="s">
        <v>11404</v>
      </c>
    </row>
    <row r="13790">
      <c r="A13790" s="39"/>
      <c r="E13790" s="40" t="s">
        <v>11404</v>
      </c>
      <c r="F13790" s="40" t="s">
        <v>11404</v>
      </c>
      <c r="G13790" s="40" t="s">
        <v>11404</v>
      </c>
      <c r="H13790" s="40" t="s">
        <v>11404</v>
      </c>
    </row>
    <row r="13791">
      <c r="A13791" s="39"/>
      <c r="E13791" s="40" t="s">
        <v>11404</v>
      </c>
      <c r="F13791" s="40" t="s">
        <v>11404</v>
      </c>
      <c r="G13791" s="40" t="s">
        <v>11404</v>
      </c>
      <c r="H13791" s="40" t="s">
        <v>11404</v>
      </c>
    </row>
    <row r="13792">
      <c r="A13792" s="39"/>
      <c r="E13792" s="40" t="s">
        <v>11404</v>
      </c>
      <c r="F13792" s="40" t="s">
        <v>11404</v>
      </c>
      <c r="G13792" s="40" t="s">
        <v>11404</v>
      </c>
      <c r="H13792" s="40" t="s">
        <v>11404</v>
      </c>
    </row>
    <row r="13793">
      <c r="A13793" s="39"/>
      <c r="E13793" s="40" t="s">
        <v>11404</v>
      </c>
      <c r="F13793" s="40" t="s">
        <v>11404</v>
      </c>
      <c r="G13793" s="40" t="s">
        <v>11404</v>
      </c>
      <c r="H13793" s="40" t="s">
        <v>11404</v>
      </c>
    </row>
    <row r="13794">
      <c r="A13794" s="39"/>
      <c r="E13794" s="40" t="s">
        <v>11404</v>
      </c>
      <c r="F13794" s="40" t="s">
        <v>11404</v>
      </c>
      <c r="G13794" s="40" t="s">
        <v>11404</v>
      </c>
      <c r="H13794" s="40" t="s">
        <v>11404</v>
      </c>
    </row>
    <row r="13795">
      <c r="A13795" s="39"/>
      <c r="E13795" s="40" t="s">
        <v>11404</v>
      </c>
      <c r="F13795" s="40" t="s">
        <v>11404</v>
      </c>
      <c r="G13795" s="40" t="s">
        <v>11404</v>
      </c>
      <c r="H13795" s="40" t="s">
        <v>11404</v>
      </c>
    </row>
    <row r="13796">
      <c r="A13796" s="39"/>
      <c r="E13796" s="40" t="s">
        <v>11404</v>
      </c>
      <c r="F13796" s="40" t="s">
        <v>11404</v>
      </c>
      <c r="G13796" s="40" t="s">
        <v>11404</v>
      </c>
      <c r="H13796" s="40" t="s">
        <v>11404</v>
      </c>
    </row>
    <row r="13797">
      <c r="A13797" s="39"/>
      <c r="E13797" s="40" t="s">
        <v>11404</v>
      </c>
      <c r="F13797" s="40" t="s">
        <v>11404</v>
      </c>
      <c r="G13797" s="40" t="s">
        <v>11404</v>
      </c>
      <c r="H13797" s="40" t="s">
        <v>11404</v>
      </c>
    </row>
    <row r="13798">
      <c r="A13798" s="39"/>
      <c r="E13798" s="40" t="s">
        <v>11404</v>
      </c>
      <c r="F13798" s="40" t="s">
        <v>11404</v>
      </c>
      <c r="G13798" s="40" t="s">
        <v>11404</v>
      </c>
      <c r="H13798" s="40" t="s">
        <v>11404</v>
      </c>
    </row>
    <row r="13799">
      <c r="A13799" s="39"/>
      <c r="E13799" s="40" t="s">
        <v>11404</v>
      </c>
      <c r="F13799" s="40" t="s">
        <v>11404</v>
      </c>
      <c r="G13799" s="40" t="s">
        <v>11404</v>
      </c>
      <c r="H13799" s="40" t="s">
        <v>11404</v>
      </c>
    </row>
    <row r="13800">
      <c r="A13800" s="39"/>
      <c r="E13800" s="40" t="s">
        <v>11404</v>
      </c>
      <c r="F13800" s="40" t="s">
        <v>11404</v>
      </c>
      <c r="G13800" s="40" t="s">
        <v>11404</v>
      </c>
      <c r="H13800" s="40" t="s">
        <v>11404</v>
      </c>
    </row>
    <row r="13801">
      <c r="A13801" s="39"/>
      <c r="E13801" s="40" t="s">
        <v>11404</v>
      </c>
      <c r="F13801" s="40" t="s">
        <v>11404</v>
      </c>
      <c r="G13801" s="40" t="s">
        <v>11404</v>
      </c>
      <c r="H13801" s="40" t="s">
        <v>11404</v>
      </c>
    </row>
    <row r="13802">
      <c r="A13802" s="39"/>
      <c r="E13802" s="40" t="s">
        <v>11404</v>
      </c>
      <c r="F13802" s="40" t="s">
        <v>11404</v>
      </c>
      <c r="G13802" s="40" t="s">
        <v>11404</v>
      </c>
      <c r="H13802" s="40" t="s">
        <v>11404</v>
      </c>
    </row>
    <row r="13803">
      <c r="A13803" s="39"/>
      <c r="E13803" s="40" t="s">
        <v>11404</v>
      </c>
      <c r="F13803" s="40" t="s">
        <v>11404</v>
      </c>
      <c r="G13803" s="40" t="s">
        <v>11404</v>
      </c>
      <c r="H13803" s="40" t="s">
        <v>11404</v>
      </c>
    </row>
    <row r="13804">
      <c r="A13804" s="39"/>
      <c r="E13804" s="40" t="s">
        <v>11404</v>
      </c>
      <c r="F13804" s="40" t="s">
        <v>11404</v>
      </c>
      <c r="G13804" s="40" t="s">
        <v>11404</v>
      </c>
      <c r="H13804" s="40" t="s">
        <v>11404</v>
      </c>
    </row>
    <row r="13805">
      <c r="A13805" s="39"/>
      <c r="E13805" s="40" t="s">
        <v>11404</v>
      </c>
      <c r="F13805" s="40" t="s">
        <v>11404</v>
      </c>
      <c r="G13805" s="40" t="s">
        <v>11404</v>
      </c>
      <c r="H13805" s="40" t="s">
        <v>11404</v>
      </c>
    </row>
    <row r="13806">
      <c r="A13806" s="39"/>
      <c r="E13806" s="40" t="s">
        <v>11404</v>
      </c>
      <c r="F13806" s="40" t="s">
        <v>11404</v>
      </c>
      <c r="G13806" s="40" t="s">
        <v>11404</v>
      </c>
      <c r="H13806" s="40" t="s">
        <v>11404</v>
      </c>
    </row>
    <row r="13807">
      <c r="A13807" s="39"/>
      <c r="E13807" s="40" t="s">
        <v>11404</v>
      </c>
      <c r="F13807" s="40" t="s">
        <v>11404</v>
      </c>
      <c r="G13807" s="40" t="s">
        <v>11404</v>
      </c>
      <c r="H13807" s="40" t="s">
        <v>11404</v>
      </c>
    </row>
    <row r="13808">
      <c r="A13808" s="39"/>
      <c r="E13808" s="40" t="s">
        <v>11404</v>
      </c>
      <c r="F13808" s="40" t="s">
        <v>11404</v>
      </c>
      <c r="G13808" s="40" t="s">
        <v>11404</v>
      </c>
      <c r="H13808" s="40" t="s">
        <v>11404</v>
      </c>
    </row>
    <row r="13809">
      <c r="A13809" s="39"/>
      <c r="E13809" s="40" t="s">
        <v>11404</v>
      </c>
      <c r="F13809" s="40" t="s">
        <v>11404</v>
      </c>
      <c r="G13809" s="40" t="s">
        <v>11404</v>
      </c>
      <c r="H13809" s="40" t="s">
        <v>11404</v>
      </c>
    </row>
    <row r="13810">
      <c r="A13810" s="39"/>
      <c r="E13810" s="40" t="s">
        <v>11404</v>
      </c>
      <c r="F13810" s="40" t="s">
        <v>11404</v>
      </c>
      <c r="G13810" s="40" t="s">
        <v>11404</v>
      </c>
      <c r="H13810" s="40" t="s">
        <v>11404</v>
      </c>
    </row>
    <row r="13811">
      <c r="A13811" s="39"/>
      <c r="E13811" s="40" t="s">
        <v>11404</v>
      </c>
      <c r="F13811" s="40" t="s">
        <v>11404</v>
      </c>
      <c r="G13811" s="40" t="s">
        <v>11404</v>
      </c>
      <c r="H13811" s="40" t="s">
        <v>11404</v>
      </c>
    </row>
    <row r="13812">
      <c r="A13812" s="39"/>
      <c r="E13812" s="40" t="s">
        <v>11404</v>
      </c>
      <c r="F13812" s="40" t="s">
        <v>11404</v>
      </c>
      <c r="G13812" s="40" t="s">
        <v>11404</v>
      </c>
      <c r="H13812" s="40" t="s">
        <v>11404</v>
      </c>
    </row>
    <row r="13813">
      <c r="A13813" s="39"/>
      <c r="E13813" s="40" t="s">
        <v>11404</v>
      </c>
      <c r="F13813" s="40" t="s">
        <v>11404</v>
      </c>
      <c r="G13813" s="40" t="s">
        <v>11404</v>
      </c>
      <c r="H13813" s="40" t="s">
        <v>11404</v>
      </c>
    </row>
    <row r="13814">
      <c r="A13814" s="39"/>
      <c r="E13814" s="40" t="s">
        <v>11404</v>
      </c>
      <c r="F13814" s="40" t="s">
        <v>11404</v>
      </c>
      <c r="G13814" s="40" t="s">
        <v>11404</v>
      </c>
      <c r="H13814" s="40" t="s">
        <v>11404</v>
      </c>
    </row>
    <row r="13815">
      <c r="A13815" s="39"/>
      <c r="E13815" s="40" t="s">
        <v>11404</v>
      </c>
      <c r="F13815" s="40" t="s">
        <v>11404</v>
      </c>
      <c r="G13815" s="40" t="s">
        <v>11404</v>
      </c>
      <c r="H13815" s="40" t="s">
        <v>11404</v>
      </c>
    </row>
    <row r="13816">
      <c r="A13816" s="39"/>
      <c r="E13816" s="40" t="s">
        <v>11404</v>
      </c>
      <c r="F13816" s="40" t="s">
        <v>11404</v>
      </c>
      <c r="G13816" s="40" t="s">
        <v>11404</v>
      </c>
      <c r="H13816" s="40" t="s">
        <v>11404</v>
      </c>
    </row>
    <row r="13817">
      <c r="A13817" s="39"/>
      <c r="E13817" s="40" t="s">
        <v>11404</v>
      </c>
      <c r="F13817" s="40" t="s">
        <v>11404</v>
      </c>
      <c r="G13817" s="40" t="s">
        <v>11404</v>
      </c>
      <c r="H13817" s="40" t="s">
        <v>11404</v>
      </c>
    </row>
    <row r="13818">
      <c r="A13818" s="39"/>
      <c r="E13818" s="40" t="s">
        <v>11404</v>
      </c>
      <c r="F13818" s="40" t="s">
        <v>11404</v>
      </c>
      <c r="G13818" s="40" t="s">
        <v>11404</v>
      </c>
      <c r="H13818" s="40" t="s">
        <v>11404</v>
      </c>
    </row>
    <row r="13819">
      <c r="A13819" s="39"/>
      <c r="E13819" s="40" t="s">
        <v>11404</v>
      </c>
      <c r="F13819" s="40" t="s">
        <v>11404</v>
      </c>
      <c r="G13819" s="40" t="s">
        <v>11404</v>
      </c>
      <c r="H13819" s="40" t="s">
        <v>11404</v>
      </c>
    </row>
    <row r="13820">
      <c r="A13820" s="39"/>
      <c r="E13820" s="40" t="s">
        <v>11404</v>
      </c>
      <c r="F13820" s="40" t="s">
        <v>11404</v>
      </c>
      <c r="G13820" s="40" t="s">
        <v>11404</v>
      </c>
      <c r="H13820" s="40" t="s">
        <v>11404</v>
      </c>
    </row>
    <row r="13821">
      <c r="A13821" s="39"/>
      <c r="E13821" s="40" t="s">
        <v>11404</v>
      </c>
      <c r="F13821" s="40" t="s">
        <v>11404</v>
      </c>
      <c r="G13821" s="40" t="s">
        <v>11404</v>
      </c>
      <c r="H13821" s="40" t="s">
        <v>11404</v>
      </c>
    </row>
    <row r="13822">
      <c r="A13822" s="39"/>
      <c r="E13822" s="40" t="s">
        <v>11404</v>
      </c>
      <c r="F13822" s="40" t="s">
        <v>11404</v>
      </c>
      <c r="G13822" s="40" t="s">
        <v>11404</v>
      </c>
      <c r="H13822" s="40" t="s">
        <v>11404</v>
      </c>
    </row>
    <row r="13823">
      <c r="A13823" s="39"/>
      <c r="E13823" s="40" t="s">
        <v>11404</v>
      </c>
      <c r="F13823" s="40" t="s">
        <v>11404</v>
      </c>
      <c r="G13823" s="40" t="s">
        <v>11404</v>
      </c>
      <c r="H13823" s="40" t="s">
        <v>11404</v>
      </c>
    </row>
    <row r="13824">
      <c r="A13824" s="39"/>
      <c r="E13824" s="40" t="s">
        <v>11404</v>
      </c>
      <c r="F13824" s="40" t="s">
        <v>11404</v>
      </c>
      <c r="G13824" s="40" t="s">
        <v>11404</v>
      </c>
      <c r="H13824" s="40" t="s">
        <v>11404</v>
      </c>
    </row>
    <row r="13825">
      <c r="A13825" s="39"/>
      <c r="E13825" s="40" t="s">
        <v>11404</v>
      </c>
      <c r="F13825" s="40" t="s">
        <v>11404</v>
      </c>
      <c r="G13825" s="40" t="s">
        <v>11404</v>
      </c>
      <c r="H13825" s="40" t="s">
        <v>11404</v>
      </c>
    </row>
    <row r="13826">
      <c r="A13826" s="39"/>
      <c r="E13826" s="40" t="s">
        <v>11404</v>
      </c>
      <c r="F13826" s="40" t="s">
        <v>11404</v>
      </c>
      <c r="G13826" s="40" t="s">
        <v>11404</v>
      </c>
      <c r="H13826" s="40" t="s">
        <v>11404</v>
      </c>
    </row>
    <row r="13827">
      <c r="A13827" s="39"/>
      <c r="E13827" s="40" t="s">
        <v>11404</v>
      </c>
      <c r="F13827" s="40" t="s">
        <v>11404</v>
      </c>
      <c r="G13827" s="40" t="s">
        <v>11404</v>
      </c>
      <c r="H13827" s="40" t="s">
        <v>11404</v>
      </c>
    </row>
    <row r="13828">
      <c r="A13828" s="39"/>
      <c r="E13828" s="40" t="s">
        <v>11404</v>
      </c>
      <c r="F13828" s="40" t="s">
        <v>11404</v>
      </c>
      <c r="G13828" s="40" t="s">
        <v>11404</v>
      </c>
      <c r="H13828" s="40" t="s">
        <v>11404</v>
      </c>
    </row>
    <row r="13829">
      <c r="A13829" s="39"/>
      <c r="E13829" s="40" t="s">
        <v>11404</v>
      </c>
      <c r="F13829" s="40" t="s">
        <v>11404</v>
      </c>
      <c r="G13829" s="40" t="s">
        <v>11404</v>
      </c>
      <c r="H13829" s="40" t="s">
        <v>11404</v>
      </c>
    </row>
    <row r="13830">
      <c r="A13830" s="39"/>
      <c r="E13830" s="40" t="s">
        <v>11404</v>
      </c>
      <c r="F13830" s="40" t="s">
        <v>11404</v>
      </c>
      <c r="G13830" s="40" t="s">
        <v>11404</v>
      </c>
      <c r="H13830" s="40" t="s">
        <v>11404</v>
      </c>
    </row>
    <row r="13831">
      <c r="A13831" s="39"/>
      <c r="E13831" s="40" t="s">
        <v>11404</v>
      </c>
      <c r="F13831" s="40" t="s">
        <v>11404</v>
      </c>
      <c r="G13831" s="40" t="s">
        <v>11404</v>
      </c>
      <c r="H13831" s="40" t="s">
        <v>11404</v>
      </c>
    </row>
    <row r="13832">
      <c r="A13832" s="39"/>
      <c r="E13832" s="40" t="s">
        <v>11404</v>
      </c>
      <c r="F13832" s="40" t="s">
        <v>11404</v>
      </c>
      <c r="G13832" s="40" t="s">
        <v>11404</v>
      </c>
      <c r="H13832" s="40" t="s">
        <v>11404</v>
      </c>
    </row>
    <row r="13833">
      <c r="A13833" s="39"/>
      <c r="E13833" s="40" t="s">
        <v>11404</v>
      </c>
      <c r="F13833" s="40" t="s">
        <v>11404</v>
      </c>
      <c r="G13833" s="40" t="s">
        <v>11404</v>
      </c>
      <c r="H13833" s="40" t="s">
        <v>11404</v>
      </c>
    </row>
    <row r="13834">
      <c r="A13834" s="39"/>
      <c r="E13834" s="40" t="s">
        <v>11404</v>
      </c>
      <c r="F13834" s="40" t="s">
        <v>11404</v>
      </c>
      <c r="G13834" s="40" t="s">
        <v>11404</v>
      </c>
      <c r="H13834" s="40" t="s">
        <v>11404</v>
      </c>
    </row>
    <row r="13835">
      <c r="A13835" s="39"/>
      <c r="E13835" s="40" t="s">
        <v>11404</v>
      </c>
      <c r="F13835" s="40" t="s">
        <v>11404</v>
      </c>
      <c r="G13835" s="40" t="s">
        <v>11404</v>
      </c>
      <c r="H13835" s="40" t="s">
        <v>11404</v>
      </c>
    </row>
    <row r="13836">
      <c r="A13836" s="39"/>
      <c r="E13836" s="40" t="s">
        <v>11404</v>
      </c>
      <c r="F13836" s="40" t="s">
        <v>11404</v>
      </c>
      <c r="G13836" s="40" t="s">
        <v>11404</v>
      </c>
      <c r="H13836" s="40" t="s">
        <v>11404</v>
      </c>
    </row>
    <row r="13837">
      <c r="A13837" s="39"/>
      <c r="E13837" s="40" t="s">
        <v>11404</v>
      </c>
      <c r="F13837" s="40" t="s">
        <v>11404</v>
      </c>
      <c r="G13837" s="40" t="s">
        <v>11404</v>
      </c>
      <c r="H13837" s="40" t="s">
        <v>11404</v>
      </c>
    </row>
    <row r="13838">
      <c r="A13838" s="39"/>
      <c r="E13838" s="40" t="s">
        <v>11404</v>
      </c>
      <c r="F13838" s="40" t="s">
        <v>11404</v>
      </c>
      <c r="G13838" s="40" t="s">
        <v>11404</v>
      </c>
      <c r="H13838" s="40" t="s">
        <v>11404</v>
      </c>
    </row>
    <row r="13839">
      <c r="A13839" s="39"/>
      <c r="E13839" s="40" t="s">
        <v>11404</v>
      </c>
      <c r="F13839" s="40" t="s">
        <v>11404</v>
      </c>
      <c r="G13839" s="40" t="s">
        <v>11404</v>
      </c>
      <c r="H13839" s="40" t="s">
        <v>11404</v>
      </c>
    </row>
    <row r="13840">
      <c r="A13840" s="39"/>
      <c r="E13840" s="40" t="s">
        <v>11404</v>
      </c>
      <c r="F13840" s="40" t="s">
        <v>11404</v>
      </c>
      <c r="G13840" s="40" t="s">
        <v>11404</v>
      </c>
      <c r="H13840" s="40" t="s">
        <v>11404</v>
      </c>
    </row>
    <row r="13841">
      <c r="A13841" s="39"/>
      <c r="E13841" s="40" t="s">
        <v>11404</v>
      </c>
      <c r="F13841" s="40" t="s">
        <v>11404</v>
      </c>
      <c r="G13841" s="40" t="s">
        <v>11404</v>
      </c>
      <c r="H13841" s="40" t="s">
        <v>11404</v>
      </c>
    </row>
    <row r="13842">
      <c r="A13842" s="39"/>
      <c r="E13842" s="40" t="s">
        <v>11404</v>
      </c>
      <c r="F13842" s="40" t="s">
        <v>11404</v>
      </c>
      <c r="G13842" s="40" t="s">
        <v>11404</v>
      </c>
      <c r="H13842" s="40" t="s">
        <v>11404</v>
      </c>
    </row>
    <row r="13843">
      <c r="A13843" s="39"/>
      <c r="E13843" s="40" t="s">
        <v>11404</v>
      </c>
      <c r="F13843" s="40" t="s">
        <v>11404</v>
      </c>
      <c r="G13843" s="40" t="s">
        <v>11404</v>
      </c>
      <c r="H13843" s="40" t="s">
        <v>11404</v>
      </c>
    </row>
    <row r="13844">
      <c r="A13844" s="39"/>
      <c r="E13844" s="40" t="s">
        <v>11404</v>
      </c>
      <c r="F13844" s="40" t="s">
        <v>11404</v>
      </c>
      <c r="G13844" s="40" t="s">
        <v>11404</v>
      </c>
      <c r="H13844" s="40" t="s">
        <v>11404</v>
      </c>
    </row>
    <row r="13845">
      <c r="A13845" s="39"/>
      <c r="E13845" s="40" t="s">
        <v>11404</v>
      </c>
      <c r="F13845" s="40" t="s">
        <v>11404</v>
      </c>
      <c r="G13845" s="40" t="s">
        <v>11404</v>
      </c>
      <c r="H13845" s="40" t="s">
        <v>11404</v>
      </c>
    </row>
    <row r="13846">
      <c r="A13846" s="39"/>
      <c r="E13846" s="40" t="s">
        <v>11404</v>
      </c>
      <c r="F13846" s="40" t="s">
        <v>11404</v>
      </c>
      <c r="G13846" s="40" t="s">
        <v>11404</v>
      </c>
      <c r="H13846" s="40" t="s">
        <v>11404</v>
      </c>
    </row>
    <row r="13847">
      <c r="A13847" s="39"/>
      <c r="E13847" s="40" t="s">
        <v>11404</v>
      </c>
      <c r="F13847" s="40" t="s">
        <v>11404</v>
      </c>
      <c r="G13847" s="40" t="s">
        <v>11404</v>
      </c>
      <c r="H13847" s="40" t="s">
        <v>11404</v>
      </c>
    </row>
    <row r="13848">
      <c r="A13848" s="39"/>
      <c r="E13848" s="40" t="s">
        <v>11404</v>
      </c>
      <c r="F13848" s="40" t="s">
        <v>11404</v>
      </c>
      <c r="G13848" s="40" t="s">
        <v>11404</v>
      </c>
      <c r="H13848" s="40" t="s">
        <v>11404</v>
      </c>
    </row>
    <row r="13849">
      <c r="A13849" s="39"/>
      <c r="E13849" s="40" t="s">
        <v>11404</v>
      </c>
      <c r="F13849" s="40" t="s">
        <v>11404</v>
      </c>
      <c r="G13849" s="40" t="s">
        <v>11404</v>
      </c>
      <c r="H13849" s="40" t="s">
        <v>11404</v>
      </c>
    </row>
    <row r="13850">
      <c r="A13850" s="39"/>
      <c r="E13850" s="40" t="s">
        <v>11404</v>
      </c>
      <c r="F13850" s="40" t="s">
        <v>11404</v>
      </c>
      <c r="G13850" s="40" t="s">
        <v>11404</v>
      </c>
      <c r="H13850" s="40" t="s">
        <v>11404</v>
      </c>
    </row>
    <row r="13851">
      <c r="A13851" s="39"/>
      <c r="E13851" s="40" t="s">
        <v>11404</v>
      </c>
      <c r="F13851" s="40" t="s">
        <v>11404</v>
      </c>
      <c r="G13851" s="40" t="s">
        <v>11404</v>
      </c>
      <c r="H13851" s="40" t="s">
        <v>11404</v>
      </c>
    </row>
    <row r="13852">
      <c r="A13852" s="39"/>
      <c r="E13852" s="40" t="s">
        <v>11404</v>
      </c>
      <c r="F13852" s="40" t="s">
        <v>11404</v>
      </c>
      <c r="G13852" s="40" t="s">
        <v>11404</v>
      </c>
      <c r="H13852" s="40" t="s">
        <v>11404</v>
      </c>
    </row>
    <row r="13853">
      <c r="A13853" s="39"/>
      <c r="E13853" s="40" t="s">
        <v>11404</v>
      </c>
      <c r="F13853" s="40" t="s">
        <v>11404</v>
      </c>
      <c r="G13853" s="40" t="s">
        <v>11404</v>
      </c>
      <c r="H13853" s="40" t="s">
        <v>11404</v>
      </c>
    </row>
    <row r="13854">
      <c r="A13854" s="39"/>
      <c r="E13854" s="40" t="s">
        <v>11404</v>
      </c>
      <c r="F13854" s="40" t="s">
        <v>11404</v>
      </c>
      <c r="G13854" s="40" t="s">
        <v>11404</v>
      </c>
      <c r="H13854" s="40" t="s">
        <v>11404</v>
      </c>
    </row>
    <row r="13855">
      <c r="A13855" s="39"/>
      <c r="E13855" s="40" t="s">
        <v>11404</v>
      </c>
      <c r="F13855" s="40" t="s">
        <v>11404</v>
      </c>
      <c r="G13855" s="40" t="s">
        <v>11404</v>
      </c>
      <c r="H13855" s="40" t="s">
        <v>11404</v>
      </c>
    </row>
    <row r="13856">
      <c r="A13856" s="39"/>
      <c r="E13856" s="40" t="s">
        <v>11404</v>
      </c>
      <c r="F13856" s="40" t="s">
        <v>11404</v>
      </c>
      <c r="G13856" s="40" t="s">
        <v>11404</v>
      </c>
      <c r="H13856" s="40" t="s">
        <v>11404</v>
      </c>
    </row>
    <row r="13857">
      <c r="A13857" s="39"/>
      <c r="E13857" s="40" t="s">
        <v>11404</v>
      </c>
      <c r="F13857" s="40" t="s">
        <v>11404</v>
      </c>
      <c r="G13857" s="40" t="s">
        <v>11404</v>
      </c>
      <c r="H13857" s="40" t="s">
        <v>11404</v>
      </c>
    </row>
    <row r="13858">
      <c r="A13858" s="39"/>
      <c r="E13858" s="40" t="s">
        <v>11404</v>
      </c>
      <c r="F13858" s="40" t="s">
        <v>11404</v>
      </c>
      <c r="G13858" s="40" t="s">
        <v>11404</v>
      </c>
      <c r="H13858" s="40" t="s">
        <v>11404</v>
      </c>
    </row>
    <row r="13859">
      <c r="A13859" s="39"/>
      <c r="E13859" s="40" t="s">
        <v>11404</v>
      </c>
      <c r="F13859" s="40" t="s">
        <v>11404</v>
      </c>
      <c r="G13859" s="40" t="s">
        <v>11404</v>
      </c>
      <c r="H13859" s="40" t="s">
        <v>11404</v>
      </c>
    </row>
    <row r="13860">
      <c r="A13860" s="39"/>
      <c r="E13860" s="40" t="s">
        <v>11404</v>
      </c>
      <c r="F13860" s="40" t="s">
        <v>11404</v>
      </c>
      <c r="G13860" s="40" t="s">
        <v>11404</v>
      </c>
      <c r="H13860" s="40" t="s">
        <v>11404</v>
      </c>
    </row>
    <row r="13861">
      <c r="A13861" s="39"/>
      <c r="E13861" s="40" t="s">
        <v>11404</v>
      </c>
      <c r="F13861" s="40" t="s">
        <v>11404</v>
      </c>
      <c r="G13861" s="40" t="s">
        <v>11404</v>
      </c>
      <c r="H13861" s="40" t="s">
        <v>11404</v>
      </c>
    </row>
    <row r="13862">
      <c r="A13862" s="39"/>
      <c r="E13862" s="40" t="s">
        <v>11404</v>
      </c>
      <c r="F13862" s="40" t="s">
        <v>11404</v>
      </c>
      <c r="G13862" s="40" t="s">
        <v>11404</v>
      </c>
      <c r="H13862" s="40" t="s">
        <v>11404</v>
      </c>
    </row>
    <row r="13863">
      <c r="A13863" s="39"/>
      <c r="E13863" s="40" t="s">
        <v>11404</v>
      </c>
      <c r="F13863" s="40" t="s">
        <v>11404</v>
      </c>
      <c r="G13863" s="40" t="s">
        <v>11404</v>
      </c>
      <c r="H13863" s="40" t="s">
        <v>11404</v>
      </c>
    </row>
    <row r="13864">
      <c r="A13864" s="39"/>
      <c r="E13864" s="40" t="s">
        <v>11404</v>
      </c>
      <c r="F13864" s="40" t="s">
        <v>11404</v>
      </c>
      <c r="G13864" s="40" t="s">
        <v>11404</v>
      </c>
      <c r="H13864" s="40" t="s">
        <v>11404</v>
      </c>
    </row>
    <row r="13865">
      <c r="A13865" s="39"/>
      <c r="E13865" s="40" t="s">
        <v>11404</v>
      </c>
      <c r="F13865" s="40" t="s">
        <v>11404</v>
      </c>
      <c r="G13865" s="40" t="s">
        <v>11404</v>
      </c>
      <c r="H13865" s="40" t="s">
        <v>11404</v>
      </c>
    </row>
    <row r="13866">
      <c r="A13866" s="39"/>
      <c r="E13866" s="40" t="s">
        <v>11404</v>
      </c>
      <c r="F13866" s="40" t="s">
        <v>11404</v>
      </c>
      <c r="G13866" s="40" t="s">
        <v>11404</v>
      </c>
      <c r="H13866" s="40" t="s">
        <v>11404</v>
      </c>
    </row>
    <row r="13867">
      <c r="A13867" s="39"/>
      <c r="E13867" s="40" t="s">
        <v>11404</v>
      </c>
      <c r="F13867" s="40" t="s">
        <v>11404</v>
      </c>
      <c r="G13867" s="40" t="s">
        <v>11404</v>
      </c>
      <c r="H13867" s="40" t="s">
        <v>11404</v>
      </c>
    </row>
    <row r="13868">
      <c r="A13868" s="39"/>
      <c r="E13868" s="40" t="s">
        <v>11404</v>
      </c>
      <c r="F13868" s="40" t="s">
        <v>11404</v>
      </c>
      <c r="G13868" s="40" t="s">
        <v>11404</v>
      </c>
      <c r="H13868" s="40" t="s">
        <v>11404</v>
      </c>
    </row>
    <row r="13869">
      <c r="A13869" s="39"/>
      <c r="E13869" s="40" t="s">
        <v>11404</v>
      </c>
      <c r="F13869" s="40" t="s">
        <v>11404</v>
      </c>
      <c r="G13869" s="40" t="s">
        <v>11404</v>
      </c>
      <c r="H13869" s="40" t="s">
        <v>11404</v>
      </c>
    </row>
    <row r="13870">
      <c r="A13870" s="39"/>
      <c r="E13870" s="40" t="s">
        <v>11404</v>
      </c>
      <c r="F13870" s="40" t="s">
        <v>11404</v>
      </c>
      <c r="G13870" s="40" t="s">
        <v>11404</v>
      </c>
      <c r="H13870" s="40" t="s">
        <v>11404</v>
      </c>
    </row>
    <row r="13871">
      <c r="A13871" s="39"/>
      <c r="E13871" s="40" t="s">
        <v>11404</v>
      </c>
      <c r="F13871" s="40" t="s">
        <v>11404</v>
      </c>
      <c r="G13871" s="40" t="s">
        <v>11404</v>
      </c>
      <c r="H13871" s="40" t="s">
        <v>11404</v>
      </c>
    </row>
    <row r="13872">
      <c r="A13872" s="39"/>
      <c r="E13872" s="40" t="s">
        <v>11404</v>
      </c>
      <c r="F13872" s="40" t="s">
        <v>11404</v>
      </c>
      <c r="G13872" s="40" t="s">
        <v>11404</v>
      </c>
      <c r="H13872" s="40" t="s">
        <v>11404</v>
      </c>
    </row>
    <row r="13873">
      <c r="A13873" s="39"/>
      <c r="E13873" s="40" t="s">
        <v>11404</v>
      </c>
      <c r="F13873" s="40" t="s">
        <v>11404</v>
      </c>
      <c r="G13873" s="40" t="s">
        <v>11404</v>
      </c>
      <c r="H13873" s="40" t="s">
        <v>11404</v>
      </c>
    </row>
    <row r="13874">
      <c r="A13874" s="39"/>
      <c r="E13874" s="40" t="s">
        <v>11404</v>
      </c>
      <c r="F13874" s="40" t="s">
        <v>11404</v>
      </c>
      <c r="G13874" s="40" t="s">
        <v>11404</v>
      </c>
      <c r="H13874" s="40" t="s">
        <v>11404</v>
      </c>
    </row>
    <row r="13875">
      <c r="A13875" s="39"/>
      <c r="E13875" s="40" t="s">
        <v>11404</v>
      </c>
      <c r="F13875" s="40" t="s">
        <v>11404</v>
      </c>
      <c r="G13875" s="40" t="s">
        <v>11404</v>
      </c>
      <c r="H13875" s="40" t="s">
        <v>11404</v>
      </c>
    </row>
    <row r="13876">
      <c r="A13876" s="39"/>
      <c r="E13876" s="40" t="s">
        <v>11404</v>
      </c>
      <c r="F13876" s="40" t="s">
        <v>11404</v>
      </c>
      <c r="G13876" s="40" t="s">
        <v>11404</v>
      </c>
      <c r="H13876" s="40" t="s">
        <v>11404</v>
      </c>
    </row>
    <row r="13877">
      <c r="A13877" s="39"/>
      <c r="E13877" s="40" t="s">
        <v>11404</v>
      </c>
      <c r="F13877" s="40" t="s">
        <v>11404</v>
      </c>
      <c r="G13877" s="40" t="s">
        <v>11404</v>
      </c>
      <c r="H13877" s="40" t="s">
        <v>11404</v>
      </c>
    </row>
    <row r="13878">
      <c r="A13878" s="39"/>
      <c r="E13878" s="40" t="s">
        <v>11404</v>
      </c>
      <c r="F13878" s="40" t="s">
        <v>11404</v>
      </c>
      <c r="G13878" s="40" t="s">
        <v>11404</v>
      </c>
      <c r="H13878" s="40" t="s">
        <v>11404</v>
      </c>
    </row>
    <row r="13879">
      <c r="A13879" s="39"/>
      <c r="E13879" s="40" t="s">
        <v>11404</v>
      </c>
      <c r="F13879" s="40" t="s">
        <v>11404</v>
      </c>
      <c r="G13879" s="40" t="s">
        <v>11404</v>
      </c>
      <c r="H13879" s="40" t="s">
        <v>11404</v>
      </c>
    </row>
    <row r="13880">
      <c r="A13880" s="39"/>
      <c r="E13880" s="40" t="s">
        <v>11404</v>
      </c>
      <c r="F13880" s="40" t="s">
        <v>11404</v>
      </c>
      <c r="G13880" s="40" t="s">
        <v>11404</v>
      </c>
      <c r="H13880" s="40" t="s">
        <v>11404</v>
      </c>
    </row>
    <row r="13881">
      <c r="A13881" s="39"/>
      <c r="E13881" s="40" t="s">
        <v>11404</v>
      </c>
      <c r="F13881" s="40" t="s">
        <v>11404</v>
      </c>
      <c r="G13881" s="40" t="s">
        <v>11404</v>
      </c>
      <c r="H13881" s="40" t="s">
        <v>11404</v>
      </c>
    </row>
    <row r="13882">
      <c r="A13882" s="39"/>
      <c r="E13882" s="40" t="s">
        <v>11404</v>
      </c>
      <c r="F13882" s="40" t="s">
        <v>11404</v>
      </c>
      <c r="G13882" s="40" t="s">
        <v>11404</v>
      </c>
      <c r="H13882" s="40" t="s">
        <v>11404</v>
      </c>
    </row>
    <row r="13883">
      <c r="A13883" s="39"/>
      <c r="E13883" s="40" t="s">
        <v>11404</v>
      </c>
      <c r="F13883" s="40" t="s">
        <v>11404</v>
      </c>
      <c r="G13883" s="40" t="s">
        <v>11404</v>
      </c>
      <c r="H13883" s="40" t="s">
        <v>11404</v>
      </c>
    </row>
    <row r="13884">
      <c r="A13884" s="39"/>
      <c r="E13884" s="40" t="s">
        <v>11404</v>
      </c>
      <c r="F13884" s="40" t="s">
        <v>11404</v>
      </c>
      <c r="G13884" s="40" t="s">
        <v>11404</v>
      </c>
      <c r="H13884" s="40" t="s">
        <v>11404</v>
      </c>
    </row>
    <row r="13885">
      <c r="A13885" s="39"/>
      <c r="E13885" s="40" t="s">
        <v>11404</v>
      </c>
      <c r="F13885" s="40" t="s">
        <v>11404</v>
      </c>
      <c r="G13885" s="40" t="s">
        <v>11404</v>
      </c>
      <c r="H13885" s="40" t="s">
        <v>11404</v>
      </c>
    </row>
    <row r="13886">
      <c r="A13886" s="39"/>
      <c r="E13886" s="40" t="s">
        <v>11404</v>
      </c>
      <c r="F13886" s="40" t="s">
        <v>11404</v>
      </c>
      <c r="G13886" s="40" t="s">
        <v>11404</v>
      </c>
      <c r="H13886" s="40" t="s">
        <v>11404</v>
      </c>
    </row>
    <row r="13887">
      <c r="A13887" s="39"/>
      <c r="E13887" s="40" t="s">
        <v>11404</v>
      </c>
      <c r="F13887" s="40" t="s">
        <v>11404</v>
      </c>
      <c r="G13887" s="40" t="s">
        <v>11404</v>
      </c>
      <c r="H13887" s="40" t="s">
        <v>11404</v>
      </c>
    </row>
    <row r="13888">
      <c r="A13888" s="39"/>
      <c r="E13888" s="40" t="s">
        <v>11404</v>
      </c>
      <c r="F13888" s="40" t="s">
        <v>11404</v>
      </c>
      <c r="G13888" s="40" t="s">
        <v>11404</v>
      </c>
      <c r="H13888" s="40" t="s">
        <v>11404</v>
      </c>
    </row>
    <row r="13889">
      <c r="A13889" s="39"/>
      <c r="E13889" s="40" t="s">
        <v>11404</v>
      </c>
      <c r="F13889" s="40" t="s">
        <v>11404</v>
      </c>
      <c r="G13889" s="40" t="s">
        <v>11404</v>
      </c>
      <c r="H13889" s="40" t="s">
        <v>11404</v>
      </c>
    </row>
    <row r="13890">
      <c r="A13890" s="39"/>
      <c r="E13890" s="40" t="s">
        <v>11404</v>
      </c>
      <c r="F13890" s="40" t="s">
        <v>11404</v>
      </c>
      <c r="G13890" s="40" t="s">
        <v>11404</v>
      </c>
      <c r="H13890" s="40" t="s">
        <v>11404</v>
      </c>
    </row>
    <row r="13891">
      <c r="A13891" s="39"/>
      <c r="E13891" s="40" t="s">
        <v>11404</v>
      </c>
      <c r="F13891" s="40" t="s">
        <v>11404</v>
      </c>
      <c r="G13891" s="40" t="s">
        <v>11404</v>
      </c>
      <c r="H13891" s="40" t="s">
        <v>11404</v>
      </c>
    </row>
    <row r="13892">
      <c r="A13892" s="39"/>
      <c r="E13892" s="40" t="s">
        <v>11404</v>
      </c>
      <c r="F13892" s="40" t="s">
        <v>11404</v>
      </c>
      <c r="G13892" s="40" t="s">
        <v>11404</v>
      </c>
      <c r="H13892" s="40" t="s">
        <v>11404</v>
      </c>
    </row>
    <row r="13893">
      <c r="A13893" s="39"/>
      <c r="E13893" s="40" t="s">
        <v>11404</v>
      </c>
      <c r="F13893" s="40" t="s">
        <v>11404</v>
      </c>
      <c r="G13893" s="40" t="s">
        <v>11404</v>
      </c>
      <c r="H13893" s="40" t="s">
        <v>11404</v>
      </c>
    </row>
    <row r="13894">
      <c r="A13894" s="39"/>
      <c r="E13894" s="40" t="s">
        <v>11404</v>
      </c>
      <c r="F13894" s="40" t="s">
        <v>11404</v>
      </c>
      <c r="G13894" s="40" t="s">
        <v>11404</v>
      </c>
      <c r="H13894" s="40" t="s">
        <v>11404</v>
      </c>
    </row>
    <row r="13895">
      <c r="A13895" s="39"/>
      <c r="E13895" s="40" t="s">
        <v>11404</v>
      </c>
      <c r="F13895" s="40" t="s">
        <v>11404</v>
      </c>
      <c r="G13895" s="40" t="s">
        <v>11404</v>
      </c>
      <c r="H13895" s="40" t="s">
        <v>11404</v>
      </c>
    </row>
    <row r="13896">
      <c r="A13896" s="39"/>
      <c r="E13896" s="40" t="s">
        <v>11404</v>
      </c>
      <c r="F13896" s="40" t="s">
        <v>11404</v>
      </c>
      <c r="G13896" s="40" t="s">
        <v>11404</v>
      </c>
      <c r="H13896" s="40" t="s">
        <v>11404</v>
      </c>
    </row>
    <row r="13897">
      <c r="A13897" s="39"/>
      <c r="E13897" s="40" t="s">
        <v>11404</v>
      </c>
      <c r="F13897" s="40" t="s">
        <v>11404</v>
      </c>
      <c r="G13897" s="40" t="s">
        <v>11404</v>
      </c>
      <c r="H13897" s="40" t="s">
        <v>11404</v>
      </c>
    </row>
    <row r="13898">
      <c r="A13898" s="39"/>
      <c r="E13898" s="40" t="s">
        <v>11404</v>
      </c>
      <c r="F13898" s="40" t="s">
        <v>11404</v>
      </c>
      <c r="G13898" s="40" t="s">
        <v>11404</v>
      </c>
      <c r="H13898" s="40" t="s">
        <v>11404</v>
      </c>
    </row>
    <row r="13899">
      <c r="A13899" s="39"/>
      <c r="E13899" s="40" t="s">
        <v>11404</v>
      </c>
      <c r="F13899" s="40" t="s">
        <v>11404</v>
      </c>
      <c r="G13899" s="40" t="s">
        <v>11404</v>
      </c>
      <c r="H13899" s="40" t="s">
        <v>11404</v>
      </c>
    </row>
    <row r="13900">
      <c r="A13900" s="39"/>
      <c r="E13900" s="40" t="s">
        <v>11404</v>
      </c>
      <c r="F13900" s="40" t="s">
        <v>11404</v>
      </c>
      <c r="G13900" s="40" t="s">
        <v>11404</v>
      </c>
      <c r="H13900" s="40" t="s">
        <v>11404</v>
      </c>
    </row>
    <row r="13901">
      <c r="A13901" s="39"/>
      <c r="E13901" s="40" t="s">
        <v>11404</v>
      </c>
      <c r="F13901" s="40" t="s">
        <v>11404</v>
      </c>
      <c r="G13901" s="40" t="s">
        <v>11404</v>
      </c>
      <c r="H13901" s="40" t="s">
        <v>11404</v>
      </c>
    </row>
    <row r="13902">
      <c r="A13902" s="39"/>
      <c r="E13902" s="40" t="s">
        <v>11404</v>
      </c>
      <c r="F13902" s="40" t="s">
        <v>11404</v>
      </c>
      <c r="G13902" s="40" t="s">
        <v>11404</v>
      </c>
      <c r="H13902" s="40" t="s">
        <v>11404</v>
      </c>
    </row>
    <row r="13903">
      <c r="A13903" s="39"/>
      <c r="E13903" s="40" t="s">
        <v>11404</v>
      </c>
      <c r="F13903" s="40" t="s">
        <v>11404</v>
      </c>
      <c r="G13903" s="40" t="s">
        <v>11404</v>
      </c>
      <c r="H13903" s="40" t="s">
        <v>11404</v>
      </c>
    </row>
    <row r="13904">
      <c r="A13904" s="39"/>
      <c r="E13904" s="40" t="s">
        <v>11404</v>
      </c>
      <c r="F13904" s="40" t="s">
        <v>11404</v>
      </c>
      <c r="G13904" s="40" t="s">
        <v>11404</v>
      </c>
      <c r="H13904" s="40" t="s">
        <v>11404</v>
      </c>
    </row>
    <row r="13905">
      <c r="A13905" s="39"/>
      <c r="E13905" s="40" t="s">
        <v>11404</v>
      </c>
      <c r="F13905" s="40" t="s">
        <v>11404</v>
      </c>
      <c r="G13905" s="40" t="s">
        <v>11404</v>
      </c>
      <c r="H13905" s="40" t="s">
        <v>11404</v>
      </c>
    </row>
    <row r="13906">
      <c r="A13906" s="39"/>
      <c r="E13906" s="40" t="s">
        <v>11404</v>
      </c>
      <c r="F13906" s="40" t="s">
        <v>11404</v>
      </c>
      <c r="G13906" s="40" t="s">
        <v>11404</v>
      </c>
      <c r="H13906" s="40" t="s">
        <v>11404</v>
      </c>
    </row>
    <row r="13907">
      <c r="A13907" s="39"/>
      <c r="E13907" s="40" t="s">
        <v>11404</v>
      </c>
      <c r="F13907" s="40" t="s">
        <v>11404</v>
      </c>
      <c r="G13907" s="40" t="s">
        <v>11404</v>
      </c>
      <c r="H13907" s="40" t="s">
        <v>11404</v>
      </c>
    </row>
    <row r="13908">
      <c r="A13908" s="39"/>
      <c r="E13908" s="40" t="s">
        <v>11404</v>
      </c>
      <c r="F13908" s="40" t="s">
        <v>11404</v>
      </c>
      <c r="G13908" s="40" t="s">
        <v>11404</v>
      </c>
      <c r="H13908" s="40" t="s">
        <v>11404</v>
      </c>
    </row>
    <row r="13909">
      <c r="A13909" s="39"/>
      <c r="E13909" s="40" t="s">
        <v>11404</v>
      </c>
      <c r="F13909" s="40" t="s">
        <v>11404</v>
      </c>
      <c r="G13909" s="40" t="s">
        <v>11404</v>
      </c>
      <c r="H13909" s="40" t="s">
        <v>11404</v>
      </c>
    </row>
    <row r="13910">
      <c r="A13910" s="39"/>
      <c r="E13910" s="40" t="s">
        <v>11404</v>
      </c>
      <c r="F13910" s="40" t="s">
        <v>11404</v>
      </c>
      <c r="G13910" s="40" t="s">
        <v>11404</v>
      </c>
      <c r="H13910" s="40" t="s">
        <v>11404</v>
      </c>
    </row>
    <row r="13911">
      <c r="A13911" s="39"/>
      <c r="E13911" s="40" t="s">
        <v>11404</v>
      </c>
      <c r="F13911" s="40" t="s">
        <v>11404</v>
      </c>
      <c r="G13911" s="40" t="s">
        <v>11404</v>
      </c>
      <c r="H13911" s="40" t="s">
        <v>11404</v>
      </c>
    </row>
    <row r="13912">
      <c r="A13912" s="39"/>
      <c r="E13912" s="40" t="s">
        <v>11404</v>
      </c>
      <c r="F13912" s="40" t="s">
        <v>11404</v>
      </c>
      <c r="G13912" s="40" t="s">
        <v>11404</v>
      </c>
      <c r="H13912" s="40" t="s">
        <v>11404</v>
      </c>
    </row>
    <row r="13913">
      <c r="A13913" s="39"/>
      <c r="E13913" s="40" t="s">
        <v>11404</v>
      </c>
      <c r="F13913" s="40" t="s">
        <v>11404</v>
      </c>
      <c r="G13913" s="40" t="s">
        <v>11404</v>
      </c>
      <c r="H13913" s="40" t="s">
        <v>11404</v>
      </c>
    </row>
    <row r="13914">
      <c r="A13914" s="39"/>
      <c r="E13914" s="40" t="s">
        <v>11404</v>
      </c>
      <c r="F13914" s="40" t="s">
        <v>11404</v>
      </c>
      <c r="G13914" s="40" t="s">
        <v>11404</v>
      </c>
      <c r="H13914" s="40" t="s">
        <v>11404</v>
      </c>
    </row>
    <row r="13915">
      <c r="A13915" s="39"/>
      <c r="E13915" s="40" t="s">
        <v>11404</v>
      </c>
      <c r="F13915" s="40" t="s">
        <v>11404</v>
      </c>
      <c r="G13915" s="40" t="s">
        <v>11404</v>
      </c>
      <c r="H13915" s="40" t="s">
        <v>11404</v>
      </c>
    </row>
    <row r="13916">
      <c r="A13916" s="39"/>
      <c r="E13916" s="40" t="s">
        <v>11404</v>
      </c>
      <c r="F13916" s="40" t="s">
        <v>11404</v>
      </c>
      <c r="G13916" s="40" t="s">
        <v>11404</v>
      </c>
      <c r="H13916" s="40" t="s">
        <v>11404</v>
      </c>
    </row>
    <row r="13917">
      <c r="A13917" s="39"/>
      <c r="E13917" s="40" t="s">
        <v>11404</v>
      </c>
      <c r="F13917" s="40" t="s">
        <v>11404</v>
      </c>
      <c r="G13917" s="40" t="s">
        <v>11404</v>
      </c>
      <c r="H13917" s="40" t="s">
        <v>11404</v>
      </c>
    </row>
    <row r="13918">
      <c r="A13918" s="39"/>
      <c r="E13918" s="40" t="s">
        <v>11404</v>
      </c>
      <c r="F13918" s="40" t="s">
        <v>11404</v>
      </c>
      <c r="G13918" s="40" t="s">
        <v>11404</v>
      </c>
      <c r="H13918" s="40" t="s">
        <v>11404</v>
      </c>
    </row>
    <row r="13919">
      <c r="A13919" s="39"/>
      <c r="E13919" s="40" t="s">
        <v>11404</v>
      </c>
      <c r="F13919" s="40" t="s">
        <v>11404</v>
      </c>
      <c r="G13919" s="40" t="s">
        <v>11404</v>
      </c>
      <c r="H13919" s="40" t="s">
        <v>11404</v>
      </c>
    </row>
    <row r="13920">
      <c r="A13920" s="39"/>
      <c r="E13920" s="40" t="s">
        <v>11404</v>
      </c>
      <c r="F13920" s="40" t="s">
        <v>11404</v>
      </c>
      <c r="G13920" s="40" t="s">
        <v>11404</v>
      </c>
      <c r="H13920" s="40" t="s">
        <v>11404</v>
      </c>
    </row>
    <row r="13921">
      <c r="A13921" s="39"/>
      <c r="E13921" s="40" t="s">
        <v>11404</v>
      </c>
      <c r="F13921" s="40" t="s">
        <v>11404</v>
      </c>
      <c r="G13921" s="40" t="s">
        <v>11404</v>
      </c>
      <c r="H13921" s="40" t="s">
        <v>11404</v>
      </c>
    </row>
    <row r="13922">
      <c r="A13922" s="39"/>
      <c r="E13922" s="40" t="s">
        <v>11404</v>
      </c>
      <c r="F13922" s="40" t="s">
        <v>11404</v>
      </c>
      <c r="G13922" s="40" t="s">
        <v>11404</v>
      </c>
      <c r="H13922" s="40" t="s">
        <v>11404</v>
      </c>
    </row>
    <row r="13923">
      <c r="A13923" s="39"/>
      <c r="E13923" s="40" t="s">
        <v>11404</v>
      </c>
      <c r="F13923" s="40" t="s">
        <v>11404</v>
      </c>
      <c r="G13923" s="40" t="s">
        <v>11404</v>
      </c>
      <c r="H13923" s="40" t="s">
        <v>11404</v>
      </c>
    </row>
    <row r="13924">
      <c r="A13924" s="39"/>
      <c r="E13924" s="40" t="s">
        <v>11404</v>
      </c>
      <c r="F13924" s="40" t="s">
        <v>11404</v>
      </c>
      <c r="G13924" s="40" t="s">
        <v>11404</v>
      </c>
      <c r="H13924" s="40" t="s">
        <v>11404</v>
      </c>
    </row>
    <row r="13925">
      <c r="A13925" s="39"/>
      <c r="E13925" s="40" t="s">
        <v>11404</v>
      </c>
      <c r="F13925" s="40" t="s">
        <v>11404</v>
      </c>
      <c r="G13925" s="40" t="s">
        <v>11404</v>
      </c>
      <c r="H13925" s="40" t="s">
        <v>11404</v>
      </c>
    </row>
    <row r="13926">
      <c r="A13926" s="39"/>
      <c r="E13926" s="40" t="s">
        <v>11404</v>
      </c>
      <c r="F13926" s="40" t="s">
        <v>11404</v>
      </c>
      <c r="G13926" s="40" t="s">
        <v>11404</v>
      </c>
      <c r="H13926" s="40" t="s">
        <v>11404</v>
      </c>
    </row>
    <row r="13927">
      <c r="A13927" s="39"/>
      <c r="E13927" s="40" t="s">
        <v>11404</v>
      </c>
      <c r="F13927" s="40" t="s">
        <v>11404</v>
      </c>
      <c r="G13927" s="40" t="s">
        <v>11404</v>
      </c>
      <c r="H13927" s="40" t="s">
        <v>11404</v>
      </c>
    </row>
    <row r="13928">
      <c r="A13928" s="39"/>
      <c r="E13928" s="40" t="s">
        <v>11404</v>
      </c>
      <c r="F13928" s="40" t="s">
        <v>11404</v>
      </c>
      <c r="G13928" s="40" t="s">
        <v>11404</v>
      </c>
      <c r="H13928" s="40" t="s">
        <v>11404</v>
      </c>
    </row>
    <row r="13929">
      <c r="A13929" s="39"/>
      <c r="E13929" s="40" t="s">
        <v>11404</v>
      </c>
      <c r="F13929" s="40" t="s">
        <v>11404</v>
      </c>
      <c r="G13929" s="40" t="s">
        <v>11404</v>
      </c>
      <c r="H13929" s="40" t="s">
        <v>11404</v>
      </c>
    </row>
    <row r="13930">
      <c r="A13930" s="39"/>
      <c r="E13930" s="40" t="s">
        <v>11404</v>
      </c>
      <c r="F13930" s="40" t="s">
        <v>11404</v>
      </c>
      <c r="G13930" s="40" t="s">
        <v>11404</v>
      </c>
      <c r="H13930" s="40" t="s">
        <v>11404</v>
      </c>
    </row>
    <row r="13931">
      <c r="A13931" s="39"/>
      <c r="E13931" s="40" t="s">
        <v>11404</v>
      </c>
      <c r="F13931" s="40" t="s">
        <v>11404</v>
      </c>
      <c r="G13931" s="40" t="s">
        <v>11404</v>
      </c>
      <c r="H13931" s="40" t="s">
        <v>11404</v>
      </c>
    </row>
    <row r="13932">
      <c r="A13932" s="39"/>
      <c r="E13932" s="40" t="s">
        <v>11404</v>
      </c>
      <c r="F13932" s="40" t="s">
        <v>11404</v>
      </c>
      <c r="G13932" s="40" t="s">
        <v>11404</v>
      </c>
      <c r="H13932" s="40" t="s">
        <v>11404</v>
      </c>
    </row>
    <row r="13933">
      <c r="A13933" s="39"/>
      <c r="E13933" s="40" t="s">
        <v>11404</v>
      </c>
      <c r="F13933" s="40" t="s">
        <v>11404</v>
      </c>
      <c r="G13933" s="40" t="s">
        <v>11404</v>
      </c>
      <c r="H13933" s="40" t="s">
        <v>11404</v>
      </c>
    </row>
    <row r="13934">
      <c r="A13934" s="39"/>
      <c r="E13934" s="40" t="s">
        <v>11404</v>
      </c>
      <c r="F13934" s="40" t="s">
        <v>11404</v>
      </c>
      <c r="G13934" s="40" t="s">
        <v>11404</v>
      </c>
      <c r="H13934" s="40" t="s">
        <v>11404</v>
      </c>
    </row>
    <row r="13935">
      <c r="A13935" s="39"/>
      <c r="E13935" s="40" t="s">
        <v>11404</v>
      </c>
      <c r="F13935" s="40" t="s">
        <v>11404</v>
      </c>
      <c r="G13935" s="40" t="s">
        <v>11404</v>
      </c>
      <c r="H13935" s="40" t="s">
        <v>11404</v>
      </c>
    </row>
    <row r="13936">
      <c r="A13936" s="39"/>
      <c r="E13936" s="40" t="s">
        <v>11404</v>
      </c>
      <c r="F13936" s="40" t="s">
        <v>11404</v>
      </c>
      <c r="G13936" s="40" t="s">
        <v>11404</v>
      </c>
      <c r="H13936" s="40" t="s">
        <v>11404</v>
      </c>
    </row>
    <row r="13937">
      <c r="A13937" s="39"/>
      <c r="E13937" s="40" t="s">
        <v>11404</v>
      </c>
      <c r="F13937" s="40" t="s">
        <v>11404</v>
      </c>
      <c r="G13937" s="40" t="s">
        <v>11404</v>
      </c>
      <c r="H13937" s="40" t="s">
        <v>11404</v>
      </c>
    </row>
    <row r="13938">
      <c r="A13938" s="39"/>
      <c r="E13938" s="40" t="s">
        <v>11404</v>
      </c>
      <c r="F13938" s="40" t="s">
        <v>11404</v>
      </c>
      <c r="G13938" s="40" t="s">
        <v>11404</v>
      </c>
      <c r="H13938" s="40" t="s">
        <v>11404</v>
      </c>
    </row>
    <row r="13939">
      <c r="A13939" s="39"/>
      <c r="E13939" s="40" t="s">
        <v>11404</v>
      </c>
      <c r="F13939" s="40" t="s">
        <v>11404</v>
      </c>
      <c r="G13939" s="40" t="s">
        <v>11404</v>
      </c>
      <c r="H13939" s="40" t="s">
        <v>11404</v>
      </c>
    </row>
    <row r="13940">
      <c r="A13940" s="39"/>
      <c r="E13940" s="40" t="s">
        <v>11404</v>
      </c>
      <c r="F13940" s="40" t="s">
        <v>11404</v>
      </c>
      <c r="G13940" s="40" t="s">
        <v>11404</v>
      </c>
      <c r="H13940" s="40" t="s">
        <v>11404</v>
      </c>
    </row>
    <row r="13941">
      <c r="A13941" s="39"/>
      <c r="E13941" s="40" t="s">
        <v>11404</v>
      </c>
      <c r="F13941" s="40" t="s">
        <v>11404</v>
      </c>
      <c r="G13941" s="40" t="s">
        <v>11404</v>
      </c>
      <c r="H13941" s="40" t="s">
        <v>11404</v>
      </c>
    </row>
    <row r="13942">
      <c r="A13942" s="39"/>
      <c r="E13942" s="40" t="s">
        <v>11404</v>
      </c>
      <c r="F13942" s="40" t="s">
        <v>11404</v>
      </c>
      <c r="G13942" s="40" t="s">
        <v>11404</v>
      </c>
      <c r="H13942" s="40" t="s">
        <v>11404</v>
      </c>
    </row>
    <row r="13943">
      <c r="A13943" s="39"/>
      <c r="E13943" s="40" t="s">
        <v>11404</v>
      </c>
      <c r="F13943" s="40" t="s">
        <v>11404</v>
      </c>
      <c r="G13943" s="40" t="s">
        <v>11404</v>
      </c>
      <c r="H13943" s="40" t="s">
        <v>11404</v>
      </c>
    </row>
    <row r="13944">
      <c r="A13944" s="39"/>
      <c r="E13944" s="40" t="s">
        <v>11404</v>
      </c>
      <c r="F13944" s="40" t="s">
        <v>11404</v>
      </c>
      <c r="G13944" s="40" t="s">
        <v>11404</v>
      </c>
      <c r="H13944" s="40" t="s">
        <v>11404</v>
      </c>
    </row>
    <row r="13945">
      <c r="A13945" s="39"/>
      <c r="E13945" s="40" t="s">
        <v>11404</v>
      </c>
      <c r="F13945" s="40" t="s">
        <v>11404</v>
      </c>
      <c r="G13945" s="40" t="s">
        <v>11404</v>
      </c>
      <c r="H13945" s="40" t="s">
        <v>11404</v>
      </c>
    </row>
    <row r="13946">
      <c r="A13946" s="39"/>
      <c r="E13946" s="40" t="s">
        <v>11404</v>
      </c>
      <c r="F13946" s="40" t="s">
        <v>11404</v>
      </c>
      <c r="G13946" s="40" t="s">
        <v>11404</v>
      </c>
      <c r="H13946" s="40" t="s">
        <v>11404</v>
      </c>
    </row>
    <row r="13947">
      <c r="A13947" s="39"/>
      <c r="E13947" s="40" t="s">
        <v>11404</v>
      </c>
      <c r="F13947" s="40" t="s">
        <v>11404</v>
      </c>
      <c r="G13947" s="40" t="s">
        <v>11404</v>
      </c>
      <c r="H13947" s="40" t="s">
        <v>11404</v>
      </c>
    </row>
    <row r="13948">
      <c r="A13948" s="39"/>
      <c r="E13948" s="40" t="s">
        <v>11404</v>
      </c>
      <c r="F13948" s="40" t="s">
        <v>11404</v>
      </c>
      <c r="G13948" s="40" t="s">
        <v>11404</v>
      </c>
      <c r="H13948" s="40" t="s">
        <v>11404</v>
      </c>
    </row>
    <row r="13949">
      <c r="A13949" s="39"/>
      <c r="E13949" s="40" t="s">
        <v>11404</v>
      </c>
      <c r="F13949" s="40" t="s">
        <v>11404</v>
      </c>
      <c r="G13949" s="40" t="s">
        <v>11404</v>
      </c>
      <c r="H13949" s="40" t="s">
        <v>11404</v>
      </c>
    </row>
    <row r="13950">
      <c r="A13950" s="39"/>
      <c r="E13950" s="40" t="s">
        <v>11404</v>
      </c>
      <c r="F13950" s="40" t="s">
        <v>11404</v>
      </c>
      <c r="G13950" s="40" t="s">
        <v>11404</v>
      </c>
      <c r="H13950" s="40" t="s">
        <v>11404</v>
      </c>
    </row>
    <row r="13951">
      <c r="A13951" s="39"/>
      <c r="E13951" s="40" t="s">
        <v>11404</v>
      </c>
      <c r="F13951" s="40" t="s">
        <v>11404</v>
      </c>
      <c r="G13951" s="40" t="s">
        <v>11404</v>
      </c>
      <c r="H13951" s="40" t="s">
        <v>11404</v>
      </c>
    </row>
    <row r="13952">
      <c r="A13952" s="39"/>
      <c r="E13952" s="40" t="s">
        <v>11404</v>
      </c>
      <c r="F13952" s="40" t="s">
        <v>11404</v>
      </c>
      <c r="G13952" s="40" t="s">
        <v>11404</v>
      </c>
      <c r="H13952" s="40" t="s">
        <v>11404</v>
      </c>
    </row>
    <row r="13953">
      <c r="A13953" s="39"/>
      <c r="E13953" s="40" t="s">
        <v>11404</v>
      </c>
      <c r="F13953" s="40" t="s">
        <v>11404</v>
      </c>
      <c r="G13953" s="40" t="s">
        <v>11404</v>
      </c>
      <c r="H13953" s="40" t="s">
        <v>11404</v>
      </c>
    </row>
    <row r="13954">
      <c r="A13954" s="39"/>
      <c r="E13954" s="40" t="s">
        <v>11404</v>
      </c>
      <c r="F13954" s="40" t="s">
        <v>11404</v>
      </c>
      <c r="G13954" s="40" t="s">
        <v>11404</v>
      </c>
      <c r="H13954" s="40" t="s">
        <v>11404</v>
      </c>
    </row>
    <row r="13955">
      <c r="A13955" s="39"/>
      <c r="E13955" s="40" t="s">
        <v>11404</v>
      </c>
      <c r="F13955" s="40" t="s">
        <v>11404</v>
      </c>
      <c r="G13955" s="40" t="s">
        <v>11404</v>
      </c>
      <c r="H13955" s="40" t="s">
        <v>11404</v>
      </c>
    </row>
    <row r="13956">
      <c r="A13956" s="39"/>
      <c r="E13956" s="40" t="s">
        <v>11404</v>
      </c>
      <c r="F13956" s="40" t="s">
        <v>11404</v>
      </c>
      <c r="G13956" s="40" t="s">
        <v>11404</v>
      </c>
      <c r="H13956" s="40" t="s">
        <v>11404</v>
      </c>
    </row>
    <row r="13957">
      <c r="A13957" s="39"/>
      <c r="E13957" s="40" t="s">
        <v>11404</v>
      </c>
      <c r="F13957" s="40" t="s">
        <v>11404</v>
      </c>
      <c r="G13957" s="40" t="s">
        <v>11404</v>
      </c>
      <c r="H13957" s="40" t="s">
        <v>11404</v>
      </c>
    </row>
    <row r="13958">
      <c r="A13958" s="39"/>
      <c r="E13958" s="40" t="s">
        <v>11404</v>
      </c>
      <c r="F13958" s="40" t="s">
        <v>11404</v>
      </c>
      <c r="G13958" s="40" t="s">
        <v>11404</v>
      </c>
      <c r="H13958" s="40" t="s">
        <v>11404</v>
      </c>
    </row>
    <row r="13959">
      <c r="A13959" s="39"/>
      <c r="E13959" s="40" t="s">
        <v>11404</v>
      </c>
      <c r="F13959" s="40" t="s">
        <v>11404</v>
      </c>
      <c r="G13959" s="40" t="s">
        <v>11404</v>
      </c>
      <c r="H13959" s="40" t="s">
        <v>11404</v>
      </c>
    </row>
    <row r="13960">
      <c r="A13960" s="39"/>
      <c r="E13960" s="40" t="s">
        <v>11404</v>
      </c>
      <c r="F13960" s="40" t="s">
        <v>11404</v>
      </c>
      <c r="G13960" s="40" t="s">
        <v>11404</v>
      </c>
      <c r="H13960" s="40" t="s">
        <v>11404</v>
      </c>
    </row>
    <row r="13961">
      <c r="A13961" s="39"/>
      <c r="E13961" s="40" t="s">
        <v>11404</v>
      </c>
      <c r="F13961" s="40" t="s">
        <v>11404</v>
      </c>
      <c r="G13961" s="40" t="s">
        <v>11404</v>
      </c>
      <c r="H13961" s="40" t="s">
        <v>11404</v>
      </c>
    </row>
    <row r="13962">
      <c r="A13962" s="39"/>
      <c r="E13962" s="40" t="s">
        <v>11404</v>
      </c>
      <c r="F13962" s="40" t="s">
        <v>11404</v>
      </c>
      <c r="G13962" s="40" t="s">
        <v>11404</v>
      </c>
      <c r="H13962" s="40" t="s">
        <v>11404</v>
      </c>
    </row>
    <row r="13963">
      <c r="A13963" s="39"/>
      <c r="E13963" s="40" t="s">
        <v>11404</v>
      </c>
      <c r="F13963" s="40" t="s">
        <v>11404</v>
      </c>
      <c r="G13963" s="40" t="s">
        <v>11404</v>
      </c>
      <c r="H13963" s="40" t="s">
        <v>11404</v>
      </c>
    </row>
    <row r="13964">
      <c r="A13964" s="39"/>
      <c r="E13964" s="40" t="s">
        <v>11404</v>
      </c>
      <c r="F13964" s="40" t="s">
        <v>11404</v>
      </c>
      <c r="G13964" s="40" t="s">
        <v>11404</v>
      </c>
      <c r="H13964" s="40" t="s">
        <v>11404</v>
      </c>
    </row>
    <row r="13965">
      <c r="A13965" s="39"/>
      <c r="E13965" s="40" t="s">
        <v>11404</v>
      </c>
      <c r="F13965" s="40" t="s">
        <v>11404</v>
      </c>
      <c r="G13965" s="40" t="s">
        <v>11404</v>
      </c>
      <c r="H13965" s="40" t="s">
        <v>11404</v>
      </c>
    </row>
    <row r="13966">
      <c r="A13966" s="39"/>
      <c r="E13966" s="40" t="s">
        <v>11404</v>
      </c>
      <c r="F13966" s="40" t="s">
        <v>11404</v>
      </c>
      <c r="G13966" s="40" t="s">
        <v>11404</v>
      </c>
      <c r="H13966" s="40" t="s">
        <v>11404</v>
      </c>
    </row>
    <row r="13967">
      <c r="A13967" s="39"/>
      <c r="E13967" s="40" t="s">
        <v>11404</v>
      </c>
      <c r="F13967" s="40" t="s">
        <v>11404</v>
      </c>
      <c r="G13967" s="40" t="s">
        <v>11404</v>
      </c>
      <c r="H13967" s="40" t="s">
        <v>11404</v>
      </c>
    </row>
    <row r="13968">
      <c r="A13968" s="39"/>
      <c r="E13968" s="40" t="s">
        <v>11404</v>
      </c>
      <c r="F13968" s="40" t="s">
        <v>11404</v>
      </c>
      <c r="G13968" s="40" t="s">
        <v>11404</v>
      </c>
      <c r="H13968" s="40" t="s">
        <v>11404</v>
      </c>
    </row>
    <row r="13969">
      <c r="A13969" s="39"/>
      <c r="E13969" s="40" t="s">
        <v>11404</v>
      </c>
      <c r="F13969" s="40" t="s">
        <v>11404</v>
      </c>
      <c r="G13969" s="40" t="s">
        <v>11404</v>
      </c>
      <c r="H13969" s="40" t="s">
        <v>11404</v>
      </c>
    </row>
    <row r="13970">
      <c r="A13970" s="39"/>
      <c r="E13970" s="40" t="s">
        <v>11404</v>
      </c>
      <c r="F13970" s="40" t="s">
        <v>11404</v>
      </c>
      <c r="G13970" s="40" t="s">
        <v>11404</v>
      </c>
      <c r="H13970" s="40" t="s">
        <v>11404</v>
      </c>
    </row>
    <row r="13971">
      <c r="A13971" s="39"/>
      <c r="E13971" s="40" t="s">
        <v>11404</v>
      </c>
      <c r="F13971" s="40" t="s">
        <v>11404</v>
      </c>
      <c r="G13971" s="40" t="s">
        <v>11404</v>
      </c>
      <c r="H13971" s="40" t="s">
        <v>11404</v>
      </c>
    </row>
    <row r="13972">
      <c r="A13972" s="39"/>
      <c r="E13972" s="40" t="s">
        <v>11404</v>
      </c>
      <c r="F13972" s="40" t="s">
        <v>11404</v>
      </c>
      <c r="G13972" s="40" t="s">
        <v>11404</v>
      </c>
      <c r="H13972" s="40" t="s">
        <v>11404</v>
      </c>
    </row>
    <row r="13973">
      <c r="A13973" s="39"/>
      <c r="E13973" s="40" t="s">
        <v>11404</v>
      </c>
      <c r="F13973" s="40" t="s">
        <v>11404</v>
      </c>
      <c r="G13973" s="40" t="s">
        <v>11404</v>
      </c>
      <c r="H13973" s="40" t="s">
        <v>11404</v>
      </c>
    </row>
    <row r="13974">
      <c r="A13974" s="39"/>
      <c r="E13974" s="40" t="s">
        <v>11404</v>
      </c>
      <c r="F13974" s="40" t="s">
        <v>11404</v>
      </c>
      <c r="G13974" s="40" t="s">
        <v>11404</v>
      </c>
      <c r="H13974" s="40" t="s">
        <v>11404</v>
      </c>
    </row>
    <row r="13975">
      <c r="A13975" s="39"/>
      <c r="E13975" s="40" t="s">
        <v>11404</v>
      </c>
      <c r="F13975" s="40" t="s">
        <v>11404</v>
      </c>
      <c r="G13975" s="40" t="s">
        <v>11404</v>
      </c>
      <c r="H13975" s="40" t="s">
        <v>11404</v>
      </c>
    </row>
    <row r="13976">
      <c r="A13976" s="39"/>
      <c r="E13976" s="40" t="s">
        <v>11404</v>
      </c>
      <c r="F13976" s="40" t="s">
        <v>11404</v>
      </c>
      <c r="G13976" s="40" t="s">
        <v>11404</v>
      </c>
      <c r="H13976" s="40" t="s">
        <v>11404</v>
      </c>
    </row>
    <row r="13977">
      <c r="A13977" s="39"/>
      <c r="E13977" s="40" t="s">
        <v>11404</v>
      </c>
      <c r="F13977" s="40" t="s">
        <v>11404</v>
      </c>
      <c r="G13977" s="40" t="s">
        <v>11404</v>
      </c>
      <c r="H13977" s="40" t="s">
        <v>11404</v>
      </c>
    </row>
    <row r="13978">
      <c r="A13978" s="39"/>
      <c r="E13978" s="40" t="s">
        <v>11404</v>
      </c>
      <c r="F13978" s="40" t="s">
        <v>11404</v>
      </c>
      <c r="G13978" s="40" t="s">
        <v>11404</v>
      </c>
      <c r="H13978" s="40" t="s">
        <v>11404</v>
      </c>
    </row>
    <row r="13979">
      <c r="A13979" s="39"/>
      <c r="E13979" s="40" t="s">
        <v>11404</v>
      </c>
      <c r="F13979" s="40" t="s">
        <v>11404</v>
      </c>
      <c r="G13979" s="40" t="s">
        <v>11404</v>
      </c>
      <c r="H13979" s="40" t="s">
        <v>11404</v>
      </c>
    </row>
    <row r="13980">
      <c r="A13980" s="39"/>
      <c r="E13980" s="40" t="s">
        <v>11404</v>
      </c>
      <c r="F13980" s="40" t="s">
        <v>11404</v>
      </c>
      <c r="G13980" s="40" t="s">
        <v>11404</v>
      </c>
      <c r="H13980" s="40" t="s">
        <v>11404</v>
      </c>
    </row>
    <row r="13981">
      <c r="A13981" s="39"/>
      <c r="E13981" s="40" t="s">
        <v>11404</v>
      </c>
      <c r="F13981" s="40" t="s">
        <v>11404</v>
      </c>
      <c r="G13981" s="40" t="s">
        <v>11404</v>
      </c>
      <c r="H13981" s="40" t="s">
        <v>11404</v>
      </c>
    </row>
    <row r="13982">
      <c r="A13982" s="39"/>
      <c r="E13982" s="40" t="s">
        <v>11404</v>
      </c>
      <c r="F13982" s="40" t="s">
        <v>11404</v>
      </c>
      <c r="G13982" s="40" t="s">
        <v>11404</v>
      </c>
      <c r="H13982" s="40" t="s">
        <v>11404</v>
      </c>
    </row>
    <row r="13983">
      <c r="A13983" s="39"/>
      <c r="E13983" s="40" t="s">
        <v>11404</v>
      </c>
      <c r="F13983" s="40" t="s">
        <v>11404</v>
      </c>
      <c r="G13983" s="40" t="s">
        <v>11404</v>
      </c>
      <c r="H13983" s="40" t="s">
        <v>11404</v>
      </c>
    </row>
    <row r="13984">
      <c r="A13984" s="39"/>
      <c r="E13984" s="40" t="s">
        <v>11404</v>
      </c>
      <c r="F13984" s="40" t="s">
        <v>11404</v>
      </c>
      <c r="G13984" s="40" t="s">
        <v>11404</v>
      </c>
      <c r="H13984" s="40" t="s">
        <v>11404</v>
      </c>
    </row>
    <row r="13985">
      <c r="A13985" s="39"/>
      <c r="E13985" s="40" t="s">
        <v>11404</v>
      </c>
      <c r="F13985" s="40" t="s">
        <v>11404</v>
      </c>
      <c r="G13985" s="40" t="s">
        <v>11404</v>
      </c>
      <c r="H13985" s="40" t="s">
        <v>11404</v>
      </c>
    </row>
    <row r="13986">
      <c r="A13986" s="39"/>
      <c r="E13986" s="40" t="s">
        <v>11404</v>
      </c>
      <c r="F13986" s="40" t="s">
        <v>11404</v>
      </c>
      <c r="G13986" s="40" t="s">
        <v>11404</v>
      </c>
      <c r="H13986" s="40" t="s">
        <v>11404</v>
      </c>
    </row>
    <row r="13987">
      <c r="A13987" s="39"/>
      <c r="E13987" s="40" t="s">
        <v>11404</v>
      </c>
      <c r="F13987" s="40" t="s">
        <v>11404</v>
      </c>
      <c r="G13987" s="40" t="s">
        <v>11404</v>
      </c>
      <c r="H13987" s="40" t="s">
        <v>11404</v>
      </c>
    </row>
    <row r="13988">
      <c r="A13988" s="39"/>
      <c r="E13988" s="40" t="s">
        <v>11404</v>
      </c>
      <c r="F13988" s="40" t="s">
        <v>11404</v>
      </c>
      <c r="G13988" s="40" t="s">
        <v>11404</v>
      </c>
      <c r="H13988" s="40" t="s">
        <v>11404</v>
      </c>
    </row>
    <row r="13989">
      <c r="A13989" s="39"/>
      <c r="E13989" s="40" t="s">
        <v>11404</v>
      </c>
      <c r="F13989" s="40" t="s">
        <v>11404</v>
      </c>
      <c r="G13989" s="40" t="s">
        <v>11404</v>
      </c>
      <c r="H13989" s="40" t="s">
        <v>11404</v>
      </c>
    </row>
    <row r="13990">
      <c r="A13990" s="39"/>
      <c r="E13990" s="40" t="s">
        <v>11404</v>
      </c>
      <c r="F13990" s="40" t="s">
        <v>11404</v>
      </c>
      <c r="G13990" s="40" t="s">
        <v>11404</v>
      </c>
      <c r="H13990" s="40" t="s">
        <v>11404</v>
      </c>
    </row>
    <row r="13991">
      <c r="A13991" s="39"/>
      <c r="E13991" s="40" t="s">
        <v>11404</v>
      </c>
      <c r="F13991" s="40" t="s">
        <v>11404</v>
      </c>
      <c r="G13991" s="40" t="s">
        <v>11404</v>
      </c>
      <c r="H13991" s="40" t="s">
        <v>11404</v>
      </c>
    </row>
    <row r="13992">
      <c r="A13992" s="39"/>
      <c r="E13992" s="40" t="s">
        <v>11404</v>
      </c>
      <c r="F13992" s="40" t="s">
        <v>11404</v>
      </c>
      <c r="G13992" s="40" t="s">
        <v>11404</v>
      </c>
      <c r="H13992" s="40" t="s">
        <v>11404</v>
      </c>
    </row>
    <row r="13993">
      <c r="A13993" s="39"/>
      <c r="E13993" s="40" t="s">
        <v>11404</v>
      </c>
      <c r="F13993" s="40" t="s">
        <v>11404</v>
      </c>
      <c r="G13993" s="40" t="s">
        <v>11404</v>
      </c>
      <c r="H13993" s="40" t="s">
        <v>11404</v>
      </c>
    </row>
    <row r="13994">
      <c r="A13994" s="39"/>
      <c r="E13994" s="40" t="s">
        <v>11404</v>
      </c>
      <c r="F13994" s="40" t="s">
        <v>11404</v>
      </c>
      <c r="G13994" s="40" t="s">
        <v>11404</v>
      </c>
      <c r="H13994" s="40" t="s">
        <v>11404</v>
      </c>
    </row>
    <row r="13995">
      <c r="A13995" s="39"/>
      <c r="E13995" s="40" t="s">
        <v>11404</v>
      </c>
      <c r="F13995" s="40" t="s">
        <v>11404</v>
      </c>
      <c r="G13995" s="40" t="s">
        <v>11404</v>
      </c>
      <c r="H13995" s="40" t="s">
        <v>11404</v>
      </c>
    </row>
    <row r="13996">
      <c r="A13996" s="39"/>
      <c r="E13996" s="40" t="s">
        <v>11404</v>
      </c>
      <c r="F13996" s="40" t="s">
        <v>11404</v>
      </c>
      <c r="G13996" s="40" t="s">
        <v>11404</v>
      </c>
      <c r="H13996" s="40" t="s">
        <v>11404</v>
      </c>
    </row>
    <row r="13997">
      <c r="A13997" s="39"/>
      <c r="E13997" s="40" t="s">
        <v>11404</v>
      </c>
      <c r="F13997" s="40" t="s">
        <v>11404</v>
      </c>
      <c r="G13997" s="40" t="s">
        <v>11404</v>
      </c>
      <c r="H13997" s="40" t="s">
        <v>11404</v>
      </c>
    </row>
    <row r="13998">
      <c r="A13998" s="39"/>
      <c r="E13998" s="40" t="s">
        <v>11404</v>
      </c>
      <c r="F13998" s="40" t="s">
        <v>11404</v>
      </c>
      <c r="G13998" s="40" t="s">
        <v>11404</v>
      </c>
      <c r="H13998" s="40" t="s">
        <v>11404</v>
      </c>
    </row>
    <row r="13999">
      <c r="A13999" s="39"/>
      <c r="E13999" s="40" t="s">
        <v>11404</v>
      </c>
      <c r="F13999" s="40" t="s">
        <v>11404</v>
      </c>
      <c r="G13999" s="40" t="s">
        <v>11404</v>
      </c>
      <c r="H13999" s="40" t="s">
        <v>11404</v>
      </c>
    </row>
    <row r="14000">
      <c r="A14000" s="39"/>
      <c r="E14000" s="40" t="s">
        <v>11404</v>
      </c>
      <c r="F14000" s="40" t="s">
        <v>11404</v>
      </c>
      <c r="G14000" s="40" t="s">
        <v>11404</v>
      </c>
      <c r="H14000" s="40" t="s">
        <v>11404</v>
      </c>
    </row>
    <row r="14001">
      <c r="A14001" s="39"/>
      <c r="E14001" s="40" t="s">
        <v>11404</v>
      </c>
      <c r="F14001" s="40" t="s">
        <v>11404</v>
      </c>
      <c r="G14001" s="40" t="s">
        <v>11404</v>
      </c>
      <c r="H14001" s="40" t="s">
        <v>11404</v>
      </c>
    </row>
    <row r="14002">
      <c r="A14002" s="39"/>
      <c r="E14002" s="40" t="s">
        <v>11404</v>
      </c>
      <c r="F14002" s="40" t="s">
        <v>11404</v>
      </c>
      <c r="G14002" s="40" t="s">
        <v>11404</v>
      </c>
      <c r="H14002" s="40" t="s">
        <v>11404</v>
      </c>
    </row>
    <row r="14003">
      <c r="A14003" s="39"/>
      <c r="E14003" s="40" t="s">
        <v>11404</v>
      </c>
      <c r="F14003" s="40" t="s">
        <v>11404</v>
      </c>
      <c r="G14003" s="40" t="s">
        <v>11404</v>
      </c>
      <c r="H14003" s="40" t="s">
        <v>11404</v>
      </c>
    </row>
    <row r="14004">
      <c r="A14004" s="39"/>
      <c r="E14004" s="40" t="s">
        <v>11404</v>
      </c>
      <c r="F14004" s="40" t="s">
        <v>11404</v>
      </c>
      <c r="G14004" s="40" t="s">
        <v>11404</v>
      </c>
      <c r="H14004" s="40" t="s">
        <v>11404</v>
      </c>
    </row>
    <row r="14005">
      <c r="A14005" s="39"/>
      <c r="E14005" s="40" t="s">
        <v>11404</v>
      </c>
      <c r="F14005" s="40" t="s">
        <v>11404</v>
      </c>
      <c r="G14005" s="40" t="s">
        <v>11404</v>
      </c>
      <c r="H14005" s="40" t="s">
        <v>11404</v>
      </c>
    </row>
    <row r="14006">
      <c r="A14006" s="39"/>
      <c r="E14006" s="40" t="s">
        <v>11404</v>
      </c>
      <c r="F14006" s="40" t="s">
        <v>11404</v>
      </c>
      <c r="G14006" s="40" t="s">
        <v>11404</v>
      </c>
      <c r="H14006" s="40" t="s">
        <v>11404</v>
      </c>
    </row>
    <row r="14007">
      <c r="A14007" s="39"/>
      <c r="E14007" s="40" t="s">
        <v>11404</v>
      </c>
      <c r="F14007" s="40" t="s">
        <v>11404</v>
      </c>
      <c r="G14007" s="40" t="s">
        <v>11404</v>
      </c>
      <c r="H14007" s="40" t="s">
        <v>11404</v>
      </c>
    </row>
    <row r="14008">
      <c r="A14008" s="39"/>
      <c r="E14008" s="40" t="s">
        <v>11404</v>
      </c>
      <c r="F14008" s="40" t="s">
        <v>11404</v>
      </c>
      <c r="G14008" s="40" t="s">
        <v>11404</v>
      </c>
      <c r="H14008" s="40" t="s">
        <v>11404</v>
      </c>
    </row>
    <row r="14009">
      <c r="A14009" s="39"/>
      <c r="E14009" s="40" t="s">
        <v>11404</v>
      </c>
      <c r="F14009" s="40" t="s">
        <v>11404</v>
      </c>
      <c r="G14009" s="40" t="s">
        <v>11404</v>
      </c>
      <c r="H14009" s="40" t="s">
        <v>11404</v>
      </c>
    </row>
    <row r="14010">
      <c r="A14010" s="39"/>
      <c r="E14010" s="40" t="s">
        <v>11404</v>
      </c>
      <c r="F14010" s="40" t="s">
        <v>11404</v>
      </c>
      <c r="G14010" s="40" t="s">
        <v>11404</v>
      </c>
      <c r="H14010" s="40" t="s">
        <v>11404</v>
      </c>
    </row>
    <row r="14011">
      <c r="A14011" s="39"/>
      <c r="E14011" s="40" t="s">
        <v>11404</v>
      </c>
      <c r="F14011" s="40" t="s">
        <v>11404</v>
      </c>
      <c r="G14011" s="40" t="s">
        <v>11404</v>
      </c>
      <c r="H14011" s="40" t="s">
        <v>11404</v>
      </c>
    </row>
    <row r="14012">
      <c r="A14012" s="39"/>
      <c r="E14012" s="40" t="s">
        <v>11404</v>
      </c>
      <c r="F14012" s="40" t="s">
        <v>11404</v>
      </c>
      <c r="G14012" s="40" t="s">
        <v>11404</v>
      </c>
      <c r="H14012" s="40" t="s">
        <v>11404</v>
      </c>
    </row>
    <row r="14013">
      <c r="A14013" s="39"/>
      <c r="E14013" s="40" t="s">
        <v>11404</v>
      </c>
      <c r="F14013" s="40" t="s">
        <v>11404</v>
      </c>
      <c r="G14013" s="40" t="s">
        <v>11404</v>
      </c>
      <c r="H14013" s="40" t="s">
        <v>11404</v>
      </c>
    </row>
    <row r="14014">
      <c r="A14014" s="39"/>
      <c r="E14014" s="40" t="s">
        <v>11404</v>
      </c>
      <c r="F14014" s="40" t="s">
        <v>11404</v>
      </c>
      <c r="G14014" s="40" t="s">
        <v>11404</v>
      </c>
      <c r="H14014" s="40" t="s">
        <v>11404</v>
      </c>
    </row>
    <row r="14015">
      <c r="A14015" s="39"/>
      <c r="E14015" s="40" t="s">
        <v>11404</v>
      </c>
      <c r="F14015" s="40" t="s">
        <v>11404</v>
      </c>
      <c r="G14015" s="40" t="s">
        <v>11404</v>
      </c>
      <c r="H14015" s="40" t="s">
        <v>11404</v>
      </c>
    </row>
    <row r="14016">
      <c r="A14016" s="39"/>
      <c r="E14016" s="40" t="s">
        <v>11404</v>
      </c>
      <c r="F14016" s="40" t="s">
        <v>11404</v>
      </c>
      <c r="G14016" s="40" t="s">
        <v>11404</v>
      </c>
      <c r="H14016" s="40" t="s">
        <v>11404</v>
      </c>
    </row>
    <row r="14017">
      <c r="A14017" s="39"/>
      <c r="E14017" s="40" t="s">
        <v>11404</v>
      </c>
      <c r="F14017" s="40" t="s">
        <v>11404</v>
      </c>
      <c r="G14017" s="40" t="s">
        <v>11404</v>
      </c>
      <c r="H14017" s="40" t="s">
        <v>11404</v>
      </c>
    </row>
    <row r="14018">
      <c r="A14018" s="39"/>
      <c r="E14018" s="40" t="s">
        <v>11404</v>
      </c>
      <c r="F14018" s="40" t="s">
        <v>11404</v>
      </c>
      <c r="G14018" s="40" t="s">
        <v>11404</v>
      </c>
      <c r="H14018" s="40" t="s">
        <v>11404</v>
      </c>
    </row>
    <row r="14019">
      <c r="A14019" s="39"/>
      <c r="E14019" s="40" t="s">
        <v>11404</v>
      </c>
      <c r="F14019" s="40" t="s">
        <v>11404</v>
      </c>
      <c r="G14019" s="40" t="s">
        <v>11404</v>
      </c>
      <c r="H14019" s="40" t="s">
        <v>11404</v>
      </c>
    </row>
    <row r="14020">
      <c r="A14020" s="39"/>
      <c r="E14020" s="40" t="s">
        <v>11404</v>
      </c>
      <c r="F14020" s="40" t="s">
        <v>11404</v>
      </c>
      <c r="G14020" s="40" t="s">
        <v>11404</v>
      </c>
      <c r="H14020" s="40" t="s">
        <v>11404</v>
      </c>
    </row>
    <row r="14021">
      <c r="A14021" s="39"/>
      <c r="E14021" s="40" t="s">
        <v>11404</v>
      </c>
      <c r="F14021" s="40" t="s">
        <v>11404</v>
      </c>
      <c r="G14021" s="40" t="s">
        <v>11404</v>
      </c>
      <c r="H14021" s="40" t="s">
        <v>11404</v>
      </c>
    </row>
    <row r="14022">
      <c r="A14022" s="39"/>
      <c r="E14022" s="40" t="s">
        <v>11404</v>
      </c>
      <c r="F14022" s="40" t="s">
        <v>11404</v>
      </c>
      <c r="G14022" s="40" t="s">
        <v>11404</v>
      </c>
      <c r="H14022" s="40" t="s">
        <v>11404</v>
      </c>
    </row>
    <row r="14023">
      <c r="A14023" s="39"/>
      <c r="E14023" s="40" t="s">
        <v>11404</v>
      </c>
      <c r="F14023" s="40" t="s">
        <v>11404</v>
      </c>
      <c r="G14023" s="40" t="s">
        <v>11404</v>
      </c>
      <c r="H14023" s="40" t="s">
        <v>11404</v>
      </c>
    </row>
    <row r="14024">
      <c r="A14024" s="39"/>
      <c r="E14024" s="40" t="s">
        <v>11404</v>
      </c>
      <c r="F14024" s="40" t="s">
        <v>11404</v>
      </c>
      <c r="G14024" s="40" t="s">
        <v>11404</v>
      </c>
      <c r="H14024" s="40" t="s">
        <v>11404</v>
      </c>
    </row>
    <row r="14025">
      <c r="A14025" s="39"/>
      <c r="E14025" s="40" t="s">
        <v>11404</v>
      </c>
      <c r="F14025" s="40" t="s">
        <v>11404</v>
      </c>
      <c r="G14025" s="40" t="s">
        <v>11404</v>
      </c>
      <c r="H14025" s="40" t="s">
        <v>11404</v>
      </c>
    </row>
    <row r="14026">
      <c r="A14026" s="39"/>
      <c r="E14026" s="40" t="s">
        <v>11404</v>
      </c>
      <c r="F14026" s="40" t="s">
        <v>11404</v>
      </c>
      <c r="G14026" s="40" t="s">
        <v>11404</v>
      </c>
      <c r="H14026" s="40" t="s">
        <v>11404</v>
      </c>
    </row>
    <row r="14027">
      <c r="A14027" s="39"/>
      <c r="E14027" s="40" t="s">
        <v>11404</v>
      </c>
      <c r="F14027" s="40" t="s">
        <v>11404</v>
      </c>
      <c r="G14027" s="40" t="s">
        <v>11404</v>
      </c>
      <c r="H14027" s="40" t="s">
        <v>11404</v>
      </c>
    </row>
    <row r="14028">
      <c r="A14028" s="39"/>
      <c r="E14028" s="40" t="s">
        <v>11404</v>
      </c>
      <c r="F14028" s="40" t="s">
        <v>11404</v>
      </c>
      <c r="G14028" s="40" t="s">
        <v>11404</v>
      </c>
      <c r="H14028" s="40" t="s">
        <v>11404</v>
      </c>
    </row>
    <row r="14029">
      <c r="A14029" s="39"/>
      <c r="E14029" s="40" t="s">
        <v>11404</v>
      </c>
      <c r="F14029" s="40" t="s">
        <v>11404</v>
      </c>
      <c r="G14029" s="40" t="s">
        <v>11404</v>
      </c>
      <c r="H14029" s="40" t="s">
        <v>11404</v>
      </c>
    </row>
    <row r="14030">
      <c r="A14030" s="39"/>
      <c r="E14030" s="40" t="s">
        <v>11404</v>
      </c>
      <c r="F14030" s="40" t="s">
        <v>11404</v>
      </c>
      <c r="G14030" s="40" t="s">
        <v>11404</v>
      </c>
      <c r="H14030" s="40" t="s">
        <v>11404</v>
      </c>
    </row>
    <row r="14031">
      <c r="A14031" s="39"/>
      <c r="E14031" s="40" t="s">
        <v>11404</v>
      </c>
      <c r="F14031" s="40" t="s">
        <v>11404</v>
      </c>
      <c r="G14031" s="40" t="s">
        <v>11404</v>
      </c>
      <c r="H14031" s="40" t="s">
        <v>11404</v>
      </c>
    </row>
    <row r="14032">
      <c r="A14032" s="39"/>
      <c r="E14032" s="40" t="s">
        <v>11404</v>
      </c>
      <c r="F14032" s="40" t="s">
        <v>11404</v>
      </c>
      <c r="G14032" s="40" t="s">
        <v>11404</v>
      </c>
      <c r="H14032" s="40" t="s">
        <v>11404</v>
      </c>
    </row>
    <row r="14033">
      <c r="A14033" s="39"/>
      <c r="E14033" s="40" t="s">
        <v>11404</v>
      </c>
      <c r="F14033" s="40" t="s">
        <v>11404</v>
      </c>
      <c r="G14033" s="40" t="s">
        <v>11404</v>
      </c>
      <c r="H14033" s="40" t="s">
        <v>11404</v>
      </c>
    </row>
    <row r="14034">
      <c r="A14034" s="39"/>
      <c r="E14034" s="40" t="s">
        <v>11404</v>
      </c>
      <c r="F14034" s="40" t="s">
        <v>11404</v>
      </c>
      <c r="G14034" s="40" t="s">
        <v>11404</v>
      </c>
      <c r="H14034" s="40" t="s">
        <v>11404</v>
      </c>
    </row>
    <row r="14035">
      <c r="A14035" s="39"/>
      <c r="E14035" s="40" t="s">
        <v>11404</v>
      </c>
      <c r="F14035" s="40" t="s">
        <v>11404</v>
      </c>
      <c r="G14035" s="40" t="s">
        <v>11404</v>
      </c>
      <c r="H14035" s="40" t="s">
        <v>11404</v>
      </c>
    </row>
    <row r="14036">
      <c r="A14036" s="39"/>
      <c r="E14036" s="40" t="s">
        <v>11404</v>
      </c>
      <c r="F14036" s="40" t="s">
        <v>11404</v>
      </c>
      <c r="G14036" s="40" t="s">
        <v>11404</v>
      </c>
      <c r="H14036" s="40" t="s">
        <v>11404</v>
      </c>
    </row>
    <row r="14037">
      <c r="A14037" s="39"/>
      <c r="E14037" s="40" t="s">
        <v>11404</v>
      </c>
      <c r="F14037" s="40" t="s">
        <v>11404</v>
      </c>
      <c r="G14037" s="40" t="s">
        <v>11404</v>
      </c>
      <c r="H14037" s="40" t="s">
        <v>11404</v>
      </c>
    </row>
    <row r="14038">
      <c r="A14038" s="39"/>
      <c r="E14038" s="40" t="s">
        <v>11404</v>
      </c>
      <c r="F14038" s="40" t="s">
        <v>11404</v>
      </c>
      <c r="G14038" s="40" t="s">
        <v>11404</v>
      </c>
      <c r="H14038" s="40" t="s">
        <v>11404</v>
      </c>
    </row>
    <row r="14039">
      <c r="A14039" s="39"/>
      <c r="E14039" s="40" t="s">
        <v>11404</v>
      </c>
      <c r="F14039" s="40" t="s">
        <v>11404</v>
      </c>
      <c r="G14039" s="40" t="s">
        <v>11404</v>
      </c>
      <c r="H14039" s="40" t="s">
        <v>11404</v>
      </c>
    </row>
    <row r="14040">
      <c r="A14040" s="39"/>
      <c r="E14040" s="40" t="s">
        <v>11404</v>
      </c>
      <c r="F14040" s="40" t="s">
        <v>11404</v>
      </c>
      <c r="G14040" s="40" t="s">
        <v>11404</v>
      </c>
      <c r="H14040" s="40" t="s">
        <v>11404</v>
      </c>
    </row>
    <row r="14041">
      <c r="A14041" s="39"/>
      <c r="E14041" s="40" t="s">
        <v>11404</v>
      </c>
      <c r="F14041" s="40" t="s">
        <v>11404</v>
      </c>
      <c r="G14041" s="40" t="s">
        <v>11404</v>
      </c>
      <c r="H14041" s="40" t="s">
        <v>11404</v>
      </c>
    </row>
    <row r="14042">
      <c r="A14042" s="39"/>
      <c r="E14042" s="40" t="s">
        <v>11404</v>
      </c>
      <c r="F14042" s="40" t="s">
        <v>11404</v>
      </c>
      <c r="G14042" s="40" t="s">
        <v>11404</v>
      </c>
      <c r="H14042" s="40" t="s">
        <v>11404</v>
      </c>
    </row>
    <row r="14043">
      <c r="A14043" s="39"/>
      <c r="E14043" s="40" t="s">
        <v>11404</v>
      </c>
      <c r="F14043" s="40" t="s">
        <v>11404</v>
      </c>
      <c r="G14043" s="40" t="s">
        <v>11404</v>
      </c>
      <c r="H14043" s="40" t="s">
        <v>11404</v>
      </c>
    </row>
    <row r="14044">
      <c r="A14044" s="39"/>
      <c r="E14044" s="40" t="s">
        <v>11404</v>
      </c>
      <c r="F14044" s="40" t="s">
        <v>11404</v>
      </c>
      <c r="G14044" s="40" t="s">
        <v>11404</v>
      </c>
      <c r="H14044" s="40" t="s">
        <v>11404</v>
      </c>
    </row>
    <row r="14045">
      <c r="A14045" s="39"/>
      <c r="E14045" s="40" t="s">
        <v>11404</v>
      </c>
      <c r="F14045" s="40" t="s">
        <v>11404</v>
      </c>
      <c r="G14045" s="40" t="s">
        <v>11404</v>
      </c>
      <c r="H14045" s="40" t="s">
        <v>11404</v>
      </c>
    </row>
    <row r="14046">
      <c r="A14046" s="39"/>
      <c r="E14046" s="40" t="s">
        <v>11404</v>
      </c>
      <c r="F14046" s="40" t="s">
        <v>11404</v>
      </c>
      <c r="G14046" s="40" t="s">
        <v>11404</v>
      </c>
      <c r="H14046" s="40" t="s">
        <v>11404</v>
      </c>
    </row>
    <row r="14047">
      <c r="A14047" s="39"/>
      <c r="E14047" s="40" t="s">
        <v>11404</v>
      </c>
      <c r="F14047" s="40" t="s">
        <v>11404</v>
      </c>
      <c r="G14047" s="40" t="s">
        <v>11404</v>
      </c>
      <c r="H14047" s="40" t="s">
        <v>11404</v>
      </c>
    </row>
    <row r="14048">
      <c r="A14048" s="39"/>
      <c r="E14048" s="40" t="s">
        <v>11404</v>
      </c>
      <c r="F14048" s="40" t="s">
        <v>11404</v>
      </c>
      <c r="G14048" s="40" t="s">
        <v>11404</v>
      </c>
      <c r="H14048" s="40" t="s">
        <v>11404</v>
      </c>
    </row>
    <row r="14049">
      <c r="A14049" s="39"/>
      <c r="E14049" s="40" t="s">
        <v>11404</v>
      </c>
      <c r="F14049" s="40" t="s">
        <v>11404</v>
      </c>
      <c r="G14049" s="40" t="s">
        <v>11404</v>
      </c>
      <c r="H14049" s="40" t="s">
        <v>11404</v>
      </c>
    </row>
    <row r="14050">
      <c r="A14050" s="39"/>
      <c r="E14050" s="40" t="s">
        <v>11404</v>
      </c>
      <c r="F14050" s="40" t="s">
        <v>11404</v>
      </c>
      <c r="G14050" s="40" t="s">
        <v>11404</v>
      </c>
      <c r="H14050" s="40" t="s">
        <v>11404</v>
      </c>
    </row>
    <row r="14051">
      <c r="A14051" s="39"/>
      <c r="E14051" s="40" t="s">
        <v>11404</v>
      </c>
      <c r="F14051" s="40" t="s">
        <v>11404</v>
      </c>
      <c r="G14051" s="40" t="s">
        <v>11404</v>
      </c>
      <c r="H14051" s="40" t="s">
        <v>11404</v>
      </c>
    </row>
    <row r="14052">
      <c r="A14052" s="39"/>
      <c r="E14052" s="40" t="s">
        <v>11404</v>
      </c>
      <c r="F14052" s="40" t="s">
        <v>11404</v>
      </c>
      <c r="G14052" s="40" t="s">
        <v>11404</v>
      </c>
      <c r="H14052" s="40" t="s">
        <v>11404</v>
      </c>
    </row>
    <row r="14053">
      <c r="A14053" s="39"/>
      <c r="E14053" s="40" t="s">
        <v>11404</v>
      </c>
      <c r="F14053" s="40" t="s">
        <v>11404</v>
      </c>
      <c r="G14053" s="40" t="s">
        <v>11404</v>
      </c>
      <c r="H14053" s="40" t="s">
        <v>11404</v>
      </c>
    </row>
    <row r="14054">
      <c r="A14054" s="39"/>
      <c r="E14054" s="40" t="s">
        <v>11404</v>
      </c>
      <c r="F14054" s="40" t="s">
        <v>11404</v>
      </c>
      <c r="G14054" s="40" t="s">
        <v>11404</v>
      </c>
      <c r="H14054" s="40" t="s">
        <v>11404</v>
      </c>
    </row>
    <row r="14055">
      <c r="A14055" s="39"/>
      <c r="E14055" s="40" t="s">
        <v>11404</v>
      </c>
      <c r="F14055" s="40" t="s">
        <v>11404</v>
      </c>
      <c r="G14055" s="40" t="s">
        <v>11404</v>
      </c>
      <c r="H14055" s="40" t="s">
        <v>11404</v>
      </c>
    </row>
    <row r="14056">
      <c r="A14056" s="39"/>
      <c r="E14056" s="40" t="s">
        <v>11404</v>
      </c>
      <c r="F14056" s="40" t="s">
        <v>11404</v>
      </c>
      <c r="G14056" s="40" t="s">
        <v>11404</v>
      </c>
      <c r="H14056" s="40" t="s">
        <v>11404</v>
      </c>
    </row>
    <row r="14057">
      <c r="A14057" s="39"/>
      <c r="E14057" s="40" t="s">
        <v>11404</v>
      </c>
      <c r="F14057" s="40" t="s">
        <v>11404</v>
      </c>
      <c r="G14057" s="40" t="s">
        <v>11404</v>
      </c>
      <c r="H14057" s="40" t="s">
        <v>11404</v>
      </c>
    </row>
    <row r="14058">
      <c r="A14058" s="39"/>
      <c r="E14058" s="40" t="s">
        <v>11404</v>
      </c>
      <c r="F14058" s="40" t="s">
        <v>11404</v>
      </c>
      <c r="G14058" s="40" t="s">
        <v>11404</v>
      </c>
      <c r="H14058" s="40" t="s">
        <v>11404</v>
      </c>
    </row>
    <row r="14059">
      <c r="A14059" s="39"/>
      <c r="E14059" s="40" t="s">
        <v>11404</v>
      </c>
      <c r="F14059" s="40" t="s">
        <v>11404</v>
      </c>
      <c r="G14059" s="40" t="s">
        <v>11404</v>
      </c>
      <c r="H14059" s="40" t="s">
        <v>11404</v>
      </c>
    </row>
    <row r="14060">
      <c r="A14060" s="39"/>
      <c r="E14060" s="40" t="s">
        <v>11404</v>
      </c>
      <c r="F14060" s="40" t="s">
        <v>11404</v>
      </c>
      <c r="G14060" s="40" t="s">
        <v>11404</v>
      </c>
      <c r="H14060" s="40" t="s">
        <v>11404</v>
      </c>
    </row>
    <row r="14061">
      <c r="A14061" s="39"/>
      <c r="E14061" s="40" t="s">
        <v>11404</v>
      </c>
      <c r="F14061" s="40" t="s">
        <v>11404</v>
      </c>
      <c r="G14061" s="40" t="s">
        <v>11404</v>
      </c>
      <c r="H14061" s="40" t="s">
        <v>11404</v>
      </c>
    </row>
    <row r="14062">
      <c r="A14062" s="39"/>
      <c r="E14062" s="40" t="s">
        <v>11404</v>
      </c>
      <c r="F14062" s="40" t="s">
        <v>11404</v>
      </c>
      <c r="G14062" s="40" t="s">
        <v>11404</v>
      </c>
      <c r="H14062" s="40" t="s">
        <v>11404</v>
      </c>
    </row>
    <row r="14063">
      <c r="A14063" s="39"/>
      <c r="E14063" s="40" t="s">
        <v>11404</v>
      </c>
      <c r="F14063" s="40" t="s">
        <v>11404</v>
      </c>
      <c r="G14063" s="40" t="s">
        <v>11404</v>
      </c>
      <c r="H14063" s="40" t="s">
        <v>11404</v>
      </c>
    </row>
    <row r="14064">
      <c r="A14064" s="39"/>
      <c r="E14064" s="40" t="s">
        <v>11404</v>
      </c>
      <c r="F14064" s="40" t="s">
        <v>11404</v>
      </c>
      <c r="G14064" s="40" t="s">
        <v>11404</v>
      </c>
      <c r="H14064" s="40" t="s">
        <v>11404</v>
      </c>
    </row>
    <row r="14065">
      <c r="A14065" s="39"/>
      <c r="E14065" s="40" t="s">
        <v>11404</v>
      </c>
      <c r="F14065" s="40" t="s">
        <v>11404</v>
      </c>
      <c r="G14065" s="40" t="s">
        <v>11404</v>
      </c>
      <c r="H14065" s="40" t="s">
        <v>11404</v>
      </c>
    </row>
    <row r="14066">
      <c r="A14066" s="39"/>
      <c r="E14066" s="40" t="s">
        <v>11404</v>
      </c>
      <c r="F14066" s="40" t="s">
        <v>11404</v>
      </c>
      <c r="G14066" s="40" t="s">
        <v>11404</v>
      </c>
      <c r="H14066" s="40" t="s">
        <v>11404</v>
      </c>
    </row>
    <row r="14067">
      <c r="A14067" s="39"/>
      <c r="E14067" s="40" t="s">
        <v>11404</v>
      </c>
      <c r="F14067" s="40" t="s">
        <v>11404</v>
      </c>
      <c r="G14067" s="40" t="s">
        <v>11404</v>
      </c>
      <c r="H14067" s="40" t="s">
        <v>11404</v>
      </c>
    </row>
    <row r="14068">
      <c r="A14068" s="39"/>
      <c r="E14068" s="40" t="s">
        <v>11404</v>
      </c>
      <c r="F14068" s="40" t="s">
        <v>11404</v>
      </c>
      <c r="G14068" s="40" t="s">
        <v>11404</v>
      </c>
      <c r="H14068" s="40" t="s">
        <v>11404</v>
      </c>
    </row>
    <row r="14069">
      <c r="A14069" s="39"/>
      <c r="E14069" s="40" t="s">
        <v>11404</v>
      </c>
      <c r="F14069" s="40" t="s">
        <v>11404</v>
      </c>
      <c r="G14069" s="40" t="s">
        <v>11404</v>
      </c>
      <c r="H14069" s="40" t="s">
        <v>11404</v>
      </c>
    </row>
    <row r="14070">
      <c r="A14070" s="39"/>
      <c r="E14070" s="40" t="s">
        <v>11404</v>
      </c>
      <c r="F14070" s="40" t="s">
        <v>11404</v>
      </c>
      <c r="G14070" s="40" t="s">
        <v>11404</v>
      </c>
      <c r="H14070" s="40" t="s">
        <v>11404</v>
      </c>
    </row>
    <row r="14071">
      <c r="A14071" s="39"/>
      <c r="E14071" s="40" t="s">
        <v>11404</v>
      </c>
      <c r="F14071" s="40" t="s">
        <v>11404</v>
      </c>
      <c r="G14071" s="40" t="s">
        <v>11404</v>
      </c>
      <c r="H14071" s="40" t="s">
        <v>11404</v>
      </c>
    </row>
    <row r="14072">
      <c r="A14072" s="39"/>
      <c r="E14072" s="40" t="s">
        <v>11404</v>
      </c>
      <c r="F14072" s="40" t="s">
        <v>11404</v>
      </c>
      <c r="G14072" s="40" t="s">
        <v>11404</v>
      </c>
      <c r="H14072" s="40" t="s">
        <v>11404</v>
      </c>
    </row>
    <row r="14073">
      <c r="A14073" s="39"/>
      <c r="E14073" s="40" t="s">
        <v>11404</v>
      </c>
      <c r="F14073" s="40" t="s">
        <v>11404</v>
      </c>
      <c r="G14073" s="40" t="s">
        <v>11404</v>
      </c>
      <c r="H14073" s="40" t="s">
        <v>11404</v>
      </c>
    </row>
    <row r="14074">
      <c r="A14074" s="39"/>
      <c r="E14074" s="40" t="s">
        <v>11404</v>
      </c>
      <c r="F14074" s="40" t="s">
        <v>11404</v>
      </c>
      <c r="G14074" s="40" t="s">
        <v>11404</v>
      </c>
      <c r="H14074" s="40" t="s">
        <v>11404</v>
      </c>
    </row>
    <row r="14075">
      <c r="A14075" s="39"/>
      <c r="E14075" s="40" t="s">
        <v>11404</v>
      </c>
      <c r="F14075" s="40" t="s">
        <v>11404</v>
      </c>
      <c r="G14075" s="40" t="s">
        <v>11404</v>
      </c>
      <c r="H14075" s="40" t="s">
        <v>11404</v>
      </c>
    </row>
    <row r="14076">
      <c r="A14076" s="39"/>
      <c r="E14076" s="40" t="s">
        <v>11404</v>
      </c>
      <c r="F14076" s="40" t="s">
        <v>11404</v>
      </c>
      <c r="G14076" s="40" t="s">
        <v>11404</v>
      </c>
      <c r="H14076" s="40" t="s">
        <v>11404</v>
      </c>
    </row>
    <row r="14077">
      <c r="A14077" s="39"/>
      <c r="E14077" s="40" t="s">
        <v>11404</v>
      </c>
      <c r="F14077" s="40" t="s">
        <v>11404</v>
      </c>
      <c r="G14077" s="40" t="s">
        <v>11404</v>
      </c>
      <c r="H14077" s="40" t="s">
        <v>11404</v>
      </c>
    </row>
    <row r="14078">
      <c r="A14078" s="39"/>
      <c r="E14078" s="40" t="s">
        <v>11404</v>
      </c>
      <c r="F14078" s="40" t="s">
        <v>11404</v>
      </c>
      <c r="G14078" s="40" t="s">
        <v>11404</v>
      </c>
      <c r="H14078" s="40" t="s">
        <v>11404</v>
      </c>
    </row>
    <row r="14079">
      <c r="A14079" s="39"/>
      <c r="E14079" s="40" t="s">
        <v>11404</v>
      </c>
      <c r="F14079" s="40" t="s">
        <v>11404</v>
      </c>
      <c r="G14079" s="40" t="s">
        <v>11404</v>
      </c>
      <c r="H14079" s="40" t="s">
        <v>11404</v>
      </c>
    </row>
    <row r="14080">
      <c r="A14080" s="39"/>
      <c r="E14080" s="40" t="s">
        <v>11404</v>
      </c>
      <c r="F14080" s="40" t="s">
        <v>11404</v>
      </c>
      <c r="G14080" s="40" t="s">
        <v>11404</v>
      </c>
      <c r="H14080" s="40" t="s">
        <v>11404</v>
      </c>
    </row>
    <row r="14081">
      <c r="A14081" s="39"/>
      <c r="E14081" s="40" t="s">
        <v>11404</v>
      </c>
      <c r="F14081" s="40" t="s">
        <v>11404</v>
      </c>
      <c r="G14081" s="40" t="s">
        <v>11404</v>
      </c>
      <c r="H14081" s="40" t="s">
        <v>11404</v>
      </c>
    </row>
    <row r="14082">
      <c r="A14082" s="39"/>
      <c r="E14082" s="40" t="s">
        <v>11404</v>
      </c>
      <c r="F14082" s="40" t="s">
        <v>11404</v>
      </c>
      <c r="G14082" s="40" t="s">
        <v>11404</v>
      </c>
      <c r="H14082" s="40" t="s">
        <v>11404</v>
      </c>
    </row>
    <row r="14083">
      <c r="A14083" s="39"/>
      <c r="E14083" s="40" t="s">
        <v>11404</v>
      </c>
      <c r="F14083" s="40" t="s">
        <v>11404</v>
      </c>
      <c r="G14083" s="40" t="s">
        <v>11404</v>
      </c>
      <c r="H14083" s="40" t="s">
        <v>11404</v>
      </c>
    </row>
    <row r="14084">
      <c r="A14084" s="39"/>
      <c r="E14084" s="40" t="s">
        <v>11404</v>
      </c>
      <c r="F14084" s="40" t="s">
        <v>11404</v>
      </c>
      <c r="G14084" s="40" t="s">
        <v>11404</v>
      </c>
      <c r="H14084" s="40" t="s">
        <v>11404</v>
      </c>
    </row>
    <row r="14085">
      <c r="A14085" s="39"/>
      <c r="E14085" s="40" t="s">
        <v>11404</v>
      </c>
      <c r="F14085" s="40" t="s">
        <v>11404</v>
      </c>
      <c r="G14085" s="40" t="s">
        <v>11404</v>
      </c>
      <c r="H14085" s="40" t="s">
        <v>11404</v>
      </c>
    </row>
    <row r="14086">
      <c r="A14086" s="39"/>
      <c r="E14086" s="40" t="s">
        <v>11404</v>
      </c>
      <c r="F14086" s="40" t="s">
        <v>11404</v>
      </c>
      <c r="G14086" s="40" t="s">
        <v>11404</v>
      </c>
      <c r="H14086" s="40" t="s">
        <v>11404</v>
      </c>
    </row>
    <row r="14087">
      <c r="A14087" s="39"/>
      <c r="E14087" s="40" t="s">
        <v>11404</v>
      </c>
      <c r="F14087" s="40" t="s">
        <v>11404</v>
      </c>
      <c r="G14087" s="40" t="s">
        <v>11404</v>
      </c>
      <c r="H14087" s="40" t="s">
        <v>11404</v>
      </c>
    </row>
    <row r="14088">
      <c r="A14088" s="39"/>
      <c r="E14088" s="40" t="s">
        <v>11404</v>
      </c>
      <c r="F14088" s="40" t="s">
        <v>11404</v>
      </c>
      <c r="G14088" s="40" t="s">
        <v>11404</v>
      </c>
      <c r="H14088" s="40" t="s">
        <v>11404</v>
      </c>
    </row>
    <row r="14089">
      <c r="A14089" s="39"/>
      <c r="E14089" s="40" t="s">
        <v>11404</v>
      </c>
      <c r="F14089" s="40" t="s">
        <v>11404</v>
      </c>
      <c r="G14089" s="40" t="s">
        <v>11404</v>
      </c>
      <c r="H14089" s="40" t="s">
        <v>11404</v>
      </c>
    </row>
    <row r="14090">
      <c r="A14090" s="39"/>
      <c r="E14090" s="40" t="s">
        <v>11404</v>
      </c>
      <c r="F14090" s="40" t="s">
        <v>11404</v>
      </c>
      <c r="G14090" s="40" t="s">
        <v>11404</v>
      </c>
      <c r="H14090" s="40" t="s">
        <v>11404</v>
      </c>
    </row>
    <row r="14091">
      <c r="A14091" s="39"/>
      <c r="E14091" s="40" t="s">
        <v>11404</v>
      </c>
      <c r="F14091" s="40" t="s">
        <v>11404</v>
      </c>
      <c r="G14091" s="40" t="s">
        <v>11404</v>
      </c>
      <c r="H14091" s="40" t="s">
        <v>11404</v>
      </c>
    </row>
    <row r="14092">
      <c r="A14092" s="39"/>
      <c r="E14092" s="40" t="s">
        <v>11404</v>
      </c>
      <c r="F14092" s="40" t="s">
        <v>11404</v>
      </c>
      <c r="G14092" s="40" t="s">
        <v>11404</v>
      </c>
      <c r="H14092" s="40" t="s">
        <v>11404</v>
      </c>
    </row>
    <row r="14093">
      <c r="A14093" s="39"/>
      <c r="E14093" s="40" t="s">
        <v>11404</v>
      </c>
      <c r="F14093" s="40" t="s">
        <v>11404</v>
      </c>
      <c r="G14093" s="40" t="s">
        <v>11404</v>
      </c>
      <c r="H14093" s="40" t="s">
        <v>11404</v>
      </c>
    </row>
    <row r="14094">
      <c r="A14094" s="39"/>
      <c r="E14094" s="40" t="s">
        <v>11404</v>
      </c>
      <c r="F14094" s="40" t="s">
        <v>11404</v>
      </c>
      <c r="G14094" s="40" t="s">
        <v>11404</v>
      </c>
      <c r="H14094" s="40" t="s">
        <v>11404</v>
      </c>
    </row>
    <row r="14095">
      <c r="A14095" s="39"/>
      <c r="E14095" s="40" t="s">
        <v>11404</v>
      </c>
      <c r="F14095" s="40" t="s">
        <v>11404</v>
      </c>
      <c r="G14095" s="40" t="s">
        <v>11404</v>
      </c>
      <c r="H14095" s="40" t="s">
        <v>11404</v>
      </c>
    </row>
    <row r="14096">
      <c r="A14096" s="39"/>
      <c r="E14096" s="40" t="s">
        <v>11404</v>
      </c>
      <c r="F14096" s="40" t="s">
        <v>11404</v>
      </c>
      <c r="G14096" s="40" t="s">
        <v>11404</v>
      </c>
      <c r="H14096" s="40" t="s">
        <v>11404</v>
      </c>
    </row>
    <row r="14097">
      <c r="A14097" s="39"/>
      <c r="E14097" s="40" t="s">
        <v>11404</v>
      </c>
      <c r="F14097" s="40" t="s">
        <v>11404</v>
      </c>
      <c r="G14097" s="40" t="s">
        <v>11404</v>
      </c>
      <c r="H14097" s="40" t="s">
        <v>11404</v>
      </c>
    </row>
    <row r="14098">
      <c r="A14098" s="39"/>
      <c r="E14098" s="40" t="s">
        <v>11404</v>
      </c>
      <c r="F14098" s="40" t="s">
        <v>11404</v>
      </c>
      <c r="G14098" s="40" t="s">
        <v>11404</v>
      </c>
      <c r="H14098" s="40" t="s">
        <v>11404</v>
      </c>
    </row>
    <row r="14099">
      <c r="A14099" s="39"/>
      <c r="E14099" s="40" t="s">
        <v>11404</v>
      </c>
      <c r="F14099" s="40" t="s">
        <v>11404</v>
      </c>
      <c r="G14099" s="40" t="s">
        <v>11404</v>
      </c>
      <c r="H14099" s="40" t="s">
        <v>11404</v>
      </c>
    </row>
    <row r="14100">
      <c r="A14100" s="39"/>
      <c r="E14100" s="40" t="s">
        <v>11404</v>
      </c>
      <c r="F14100" s="40" t="s">
        <v>11404</v>
      </c>
      <c r="G14100" s="40" t="s">
        <v>11404</v>
      </c>
      <c r="H14100" s="40" t="s">
        <v>11404</v>
      </c>
    </row>
    <row r="14101">
      <c r="A14101" s="39"/>
      <c r="E14101" s="40" t="s">
        <v>11404</v>
      </c>
      <c r="F14101" s="40" t="s">
        <v>11404</v>
      </c>
      <c r="G14101" s="40" t="s">
        <v>11404</v>
      </c>
      <c r="H14101" s="40" t="s">
        <v>11404</v>
      </c>
    </row>
    <row r="14102">
      <c r="A14102" s="39"/>
      <c r="E14102" s="40" t="s">
        <v>11404</v>
      </c>
      <c r="F14102" s="40" t="s">
        <v>11404</v>
      </c>
      <c r="G14102" s="40" t="s">
        <v>11404</v>
      </c>
      <c r="H14102" s="40" t="s">
        <v>11404</v>
      </c>
    </row>
    <row r="14103">
      <c r="A14103" s="39"/>
      <c r="E14103" s="40" t="s">
        <v>11404</v>
      </c>
      <c r="F14103" s="40" t="s">
        <v>11404</v>
      </c>
      <c r="G14103" s="40" t="s">
        <v>11404</v>
      </c>
      <c r="H14103" s="40" t="s">
        <v>11404</v>
      </c>
    </row>
    <row r="14104">
      <c r="A14104" s="39"/>
      <c r="E14104" s="40" t="s">
        <v>11404</v>
      </c>
      <c r="F14104" s="40" t="s">
        <v>11404</v>
      </c>
      <c r="G14104" s="40" t="s">
        <v>11404</v>
      </c>
      <c r="H14104" s="40" t="s">
        <v>11404</v>
      </c>
    </row>
    <row r="14105">
      <c r="A14105" s="39"/>
      <c r="E14105" s="40" t="s">
        <v>11404</v>
      </c>
      <c r="F14105" s="40" t="s">
        <v>11404</v>
      </c>
      <c r="G14105" s="40" t="s">
        <v>11404</v>
      </c>
      <c r="H14105" s="40" t="s">
        <v>11404</v>
      </c>
    </row>
    <row r="14106">
      <c r="A14106" s="39"/>
      <c r="E14106" s="40" t="s">
        <v>11404</v>
      </c>
      <c r="F14106" s="40" t="s">
        <v>11404</v>
      </c>
      <c r="G14106" s="40" t="s">
        <v>11404</v>
      </c>
      <c r="H14106" s="40" t="s">
        <v>11404</v>
      </c>
    </row>
    <row r="14107">
      <c r="A14107" s="39"/>
      <c r="E14107" s="40" t="s">
        <v>11404</v>
      </c>
      <c r="F14107" s="40" t="s">
        <v>11404</v>
      </c>
      <c r="G14107" s="40" t="s">
        <v>11404</v>
      </c>
      <c r="H14107" s="40" t="s">
        <v>11404</v>
      </c>
    </row>
    <row r="14108">
      <c r="A14108" s="39"/>
      <c r="E14108" s="40" t="s">
        <v>11404</v>
      </c>
      <c r="F14108" s="40" t="s">
        <v>11404</v>
      </c>
      <c r="G14108" s="40" t="s">
        <v>11404</v>
      </c>
      <c r="H14108" s="40" t="s">
        <v>11404</v>
      </c>
    </row>
    <row r="14109">
      <c r="A14109" s="39"/>
      <c r="E14109" s="40" t="s">
        <v>11404</v>
      </c>
      <c r="F14109" s="40" t="s">
        <v>11404</v>
      </c>
      <c r="G14109" s="40" t="s">
        <v>11404</v>
      </c>
      <c r="H14109" s="40" t="s">
        <v>11404</v>
      </c>
    </row>
    <row r="14110">
      <c r="A14110" s="39"/>
      <c r="E14110" s="40" t="s">
        <v>11404</v>
      </c>
      <c r="F14110" s="40" t="s">
        <v>11404</v>
      </c>
      <c r="G14110" s="40" t="s">
        <v>11404</v>
      </c>
      <c r="H14110" s="40" t="s">
        <v>11404</v>
      </c>
    </row>
    <row r="14111">
      <c r="A14111" s="39"/>
      <c r="E14111" s="40" t="s">
        <v>11404</v>
      </c>
      <c r="F14111" s="40" t="s">
        <v>11404</v>
      </c>
      <c r="G14111" s="40" t="s">
        <v>11404</v>
      </c>
      <c r="H14111" s="40" t="s">
        <v>11404</v>
      </c>
    </row>
    <row r="14112">
      <c r="A14112" s="39"/>
      <c r="E14112" s="40" t="s">
        <v>11404</v>
      </c>
      <c r="F14112" s="40" t="s">
        <v>11404</v>
      </c>
      <c r="G14112" s="40" t="s">
        <v>11404</v>
      </c>
      <c r="H14112" s="40" t="s">
        <v>11404</v>
      </c>
    </row>
    <row r="14113">
      <c r="A14113" s="39"/>
      <c r="E14113" s="40" t="s">
        <v>11404</v>
      </c>
      <c r="F14113" s="40" t="s">
        <v>11404</v>
      </c>
      <c r="G14113" s="40" t="s">
        <v>11404</v>
      </c>
      <c r="H14113" s="40" t="s">
        <v>11404</v>
      </c>
    </row>
    <row r="14114">
      <c r="A14114" s="39"/>
      <c r="E14114" s="40" t="s">
        <v>11404</v>
      </c>
      <c r="F14114" s="40" t="s">
        <v>11404</v>
      </c>
      <c r="G14114" s="40" t="s">
        <v>11404</v>
      </c>
      <c r="H14114" s="40" t="s">
        <v>11404</v>
      </c>
    </row>
    <row r="14115">
      <c r="A14115" s="39"/>
      <c r="E14115" s="40" t="s">
        <v>11404</v>
      </c>
      <c r="F14115" s="40" t="s">
        <v>11404</v>
      </c>
      <c r="G14115" s="40" t="s">
        <v>11404</v>
      </c>
      <c r="H14115" s="40" t="s">
        <v>11404</v>
      </c>
    </row>
    <row r="14116">
      <c r="A14116" s="39"/>
      <c r="E14116" s="40" t="s">
        <v>11404</v>
      </c>
      <c r="F14116" s="40" t="s">
        <v>11404</v>
      </c>
      <c r="G14116" s="40" t="s">
        <v>11404</v>
      </c>
      <c r="H14116" s="40" t="s">
        <v>11404</v>
      </c>
    </row>
    <row r="14117">
      <c r="A14117" s="39"/>
      <c r="E14117" s="40" t="s">
        <v>11404</v>
      </c>
      <c r="F14117" s="40" t="s">
        <v>11404</v>
      </c>
      <c r="G14117" s="40" t="s">
        <v>11404</v>
      </c>
      <c r="H14117" s="40" t="s">
        <v>11404</v>
      </c>
    </row>
    <row r="14118">
      <c r="A14118" s="39"/>
      <c r="E14118" s="40" t="s">
        <v>11404</v>
      </c>
      <c r="F14118" s="40" t="s">
        <v>11404</v>
      </c>
      <c r="G14118" s="40" t="s">
        <v>11404</v>
      </c>
      <c r="H14118" s="40" t="s">
        <v>11404</v>
      </c>
    </row>
    <row r="14119">
      <c r="A14119" s="39"/>
      <c r="E14119" s="40" t="s">
        <v>11404</v>
      </c>
      <c r="F14119" s="40" t="s">
        <v>11404</v>
      </c>
      <c r="G14119" s="40" t="s">
        <v>11404</v>
      </c>
      <c r="H14119" s="40" t="s">
        <v>11404</v>
      </c>
    </row>
    <row r="14120">
      <c r="A14120" s="39"/>
      <c r="E14120" s="40" t="s">
        <v>11404</v>
      </c>
      <c r="F14120" s="40" t="s">
        <v>11404</v>
      </c>
      <c r="G14120" s="40" t="s">
        <v>11404</v>
      </c>
      <c r="H14120" s="40" t="s">
        <v>11404</v>
      </c>
    </row>
    <row r="14121">
      <c r="A14121" s="39"/>
      <c r="E14121" s="40" t="s">
        <v>11404</v>
      </c>
      <c r="F14121" s="40" t="s">
        <v>11404</v>
      </c>
      <c r="G14121" s="40" t="s">
        <v>11404</v>
      </c>
      <c r="H14121" s="40" t="s">
        <v>11404</v>
      </c>
    </row>
    <row r="14122">
      <c r="A14122" s="39"/>
      <c r="E14122" s="40" t="s">
        <v>11404</v>
      </c>
      <c r="F14122" s="40" t="s">
        <v>11404</v>
      </c>
      <c r="G14122" s="40" t="s">
        <v>11404</v>
      </c>
      <c r="H14122" s="40" t="s">
        <v>11404</v>
      </c>
    </row>
    <row r="14123">
      <c r="A14123" s="39"/>
      <c r="E14123" s="40" t="s">
        <v>11404</v>
      </c>
      <c r="F14123" s="40" t="s">
        <v>11404</v>
      </c>
      <c r="G14123" s="40" t="s">
        <v>11404</v>
      </c>
      <c r="H14123" s="40" t="s">
        <v>11404</v>
      </c>
    </row>
    <row r="14124">
      <c r="A14124" s="39"/>
      <c r="E14124" s="40" t="s">
        <v>11404</v>
      </c>
      <c r="F14124" s="40" t="s">
        <v>11404</v>
      </c>
      <c r="G14124" s="40" t="s">
        <v>11404</v>
      </c>
      <c r="H14124" s="40" t="s">
        <v>11404</v>
      </c>
    </row>
    <row r="14125">
      <c r="A14125" s="39"/>
      <c r="E14125" s="40" t="s">
        <v>11404</v>
      </c>
      <c r="F14125" s="40" t="s">
        <v>11404</v>
      </c>
      <c r="G14125" s="40" t="s">
        <v>11404</v>
      </c>
      <c r="H14125" s="40" t="s">
        <v>11404</v>
      </c>
    </row>
    <row r="14126">
      <c r="A14126" s="39"/>
      <c r="E14126" s="40" t="s">
        <v>11404</v>
      </c>
      <c r="F14126" s="40" t="s">
        <v>11404</v>
      </c>
      <c r="G14126" s="40" t="s">
        <v>11404</v>
      </c>
      <c r="H14126" s="40" t="s">
        <v>11404</v>
      </c>
    </row>
    <row r="14127">
      <c r="A14127" s="39"/>
      <c r="E14127" s="40" t="s">
        <v>11404</v>
      </c>
      <c r="F14127" s="40" t="s">
        <v>11404</v>
      </c>
      <c r="G14127" s="40" t="s">
        <v>11404</v>
      </c>
      <c r="H14127" s="40" t="s">
        <v>11404</v>
      </c>
    </row>
    <row r="14128">
      <c r="A14128" s="39"/>
      <c r="E14128" s="40" t="s">
        <v>11404</v>
      </c>
      <c r="F14128" s="40" t="s">
        <v>11404</v>
      </c>
      <c r="G14128" s="40" t="s">
        <v>11404</v>
      </c>
      <c r="H14128" s="40" t="s">
        <v>11404</v>
      </c>
    </row>
    <row r="14129">
      <c r="A14129" s="39"/>
      <c r="E14129" s="40" t="s">
        <v>11404</v>
      </c>
      <c r="F14129" s="40" t="s">
        <v>11404</v>
      </c>
      <c r="G14129" s="40" t="s">
        <v>11404</v>
      </c>
      <c r="H14129" s="40" t="s">
        <v>11404</v>
      </c>
    </row>
    <row r="14130">
      <c r="A14130" s="39"/>
      <c r="E14130" s="40" t="s">
        <v>11404</v>
      </c>
      <c r="F14130" s="40" t="s">
        <v>11404</v>
      </c>
      <c r="G14130" s="40" t="s">
        <v>11404</v>
      </c>
      <c r="H14130" s="40" t="s">
        <v>11404</v>
      </c>
    </row>
    <row r="14131">
      <c r="A14131" s="39"/>
      <c r="E14131" s="40" t="s">
        <v>11404</v>
      </c>
      <c r="F14131" s="40" t="s">
        <v>11404</v>
      </c>
      <c r="G14131" s="40" t="s">
        <v>11404</v>
      </c>
      <c r="H14131" s="40" t="s">
        <v>11404</v>
      </c>
    </row>
    <row r="14132">
      <c r="A14132" s="39"/>
      <c r="E14132" s="40" t="s">
        <v>11404</v>
      </c>
      <c r="F14132" s="40" t="s">
        <v>11404</v>
      </c>
      <c r="G14132" s="40" t="s">
        <v>11404</v>
      </c>
      <c r="H14132" s="40" t="s">
        <v>11404</v>
      </c>
    </row>
    <row r="14133">
      <c r="A14133" s="39"/>
      <c r="E14133" s="40" t="s">
        <v>11404</v>
      </c>
      <c r="F14133" s="40" t="s">
        <v>11404</v>
      </c>
      <c r="G14133" s="40" t="s">
        <v>11404</v>
      </c>
      <c r="H14133" s="40" t="s">
        <v>11404</v>
      </c>
    </row>
    <row r="14134">
      <c r="A14134" s="39"/>
      <c r="E14134" s="40" t="s">
        <v>11404</v>
      </c>
      <c r="F14134" s="40" t="s">
        <v>11404</v>
      </c>
      <c r="G14134" s="40" t="s">
        <v>11404</v>
      </c>
      <c r="H14134" s="40" t="s">
        <v>11404</v>
      </c>
    </row>
    <row r="14135">
      <c r="A14135" s="39"/>
      <c r="E14135" s="40" t="s">
        <v>11404</v>
      </c>
      <c r="F14135" s="40" t="s">
        <v>11404</v>
      </c>
      <c r="G14135" s="40" t="s">
        <v>11404</v>
      </c>
      <c r="H14135" s="40" t="s">
        <v>11404</v>
      </c>
    </row>
    <row r="14136">
      <c r="A14136" s="39"/>
      <c r="E14136" s="40" t="s">
        <v>11404</v>
      </c>
      <c r="F14136" s="40" t="s">
        <v>11404</v>
      </c>
      <c r="G14136" s="40" t="s">
        <v>11404</v>
      </c>
      <c r="H14136" s="40" t="s">
        <v>11404</v>
      </c>
    </row>
    <row r="14137">
      <c r="A14137" s="39"/>
      <c r="E14137" s="40" t="s">
        <v>11404</v>
      </c>
      <c r="F14137" s="40" t="s">
        <v>11404</v>
      </c>
      <c r="G14137" s="40" t="s">
        <v>11404</v>
      </c>
      <c r="H14137" s="40" t="s">
        <v>11404</v>
      </c>
    </row>
    <row r="14138">
      <c r="A14138" s="39"/>
      <c r="E14138" s="40" t="s">
        <v>11404</v>
      </c>
      <c r="F14138" s="40" t="s">
        <v>11404</v>
      </c>
      <c r="G14138" s="40" t="s">
        <v>11404</v>
      </c>
      <c r="H14138" s="40" t="s">
        <v>11404</v>
      </c>
    </row>
    <row r="14139">
      <c r="A14139" s="39"/>
      <c r="E14139" s="40" t="s">
        <v>11404</v>
      </c>
      <c r="F14139" s="40" t="s">
        <v>11404</v>
      </c>
      <c r="G14139" s="40" t="s">
        <v>11404</v>
      </c>
      <c r="H14139" s="40" t="s">
        <v>11404</v>
      </c>
    </row>
    <row r="14140">
      <c r="A14140" s="39"/>
      <c r="E14140" s="40" t="s">
        <v>11404</v>
      </c>
      <c r="F14140" s="40" t="s">
        <v>11404</v>
      </c>
      <c r="G14140" s="40" t="s">
        <v>11404</v>
      </c>
      <c r="H14140" s="40" t="s">
        <v>11404</v>
      </c>
    </row>
    <row r="14141">
      <c r="A14141" s="39"/>
      <c r="E14141" s="40" t="s">
        <v>11404</v>
      </c>
      <c r="F14141" s="40" t="s">
        <v>11404</v>
      </c>
      <c r="G14141" s="40" t="s">
        <v>11404</v>
      </c>
      <c r="H14141" s="40" t="s">
        <v>11404</v>
      </c>
    </row>
    <row r="14142">
      <c r="A14142" s="39"/>
      <c r="E14142" s="40" t="s">
        <v>11404</v>
      </c>
      <c r="F14142" s="40" t="s">
        <v>11404</v>
      </c>
      <c r="G14142" s="40" t="s">
        <v>11404</v>
      </c>
      <c r="H14142" s="40" t="s">
        <v>11404</v>
      </c>
    </row>
    <row r="14143">
      <c r="A14143" s="39"/>
      <c r="E14143" s="40" t="s">
        <v>11404</v>
      </c>
      <c r="F14143" s="40" t="s">
        <v>11404</v>
      </c>
      <c r="G14143" s="40" t="s">
        <v>11404</v>
      </c>
      <c r="H14143" s="40" t="s">
        <v>11404</v>
      </c>
    </row>
    <row r="14144">
      <c r="A14144" s="39"/>
      <c r="E14144" s="40" t="s">
        <v>11404</v>
      </c>
      <c r="F14144" s="40" t="s">
        <v>11404</v>
      </c>
      <c r="G14144" s="40" t="s">
        <v>11404</v>
      </c>
      <c r="H14144" s="40" t="s">
        <v>11404</v>
      </c>
    </row>
    <row r="14145">
      <c r="A14145" s="39"/>
      <c r="E14145" s="40" t="s">
        <v>11404</v>
      </c>
      <c r="F14145" s="40" t="s">
        <v>11404</v>
      </c>
      <c r="G14145" s="40" t="s">
        <v>11404</v>
      </c>
      <c r="H14145" s="40" t="s">
        <v>11404</v>
      </c>
    </row>
    <row r="14146">
      <c r="A14146" s="39"/>
      <c r="E14146" s="40" t="s">
        <v>11404</v>
      </c>
      <c r="F14146" s="40" t="s">
        <v>11404</v>
      </c>
      <c r="G14146" s="40" t="s">
        <v>11404</v>
      </c>
      <c r="H14146" s="40" t="s">
        <v>11404</v>
      </c>
    </row>
    <row r="14147">
      <c r="A14147" s="39"/>
      <c r="E14147" s="40" t="s">
        <v>11404</v>
      </c>
      <c r="F14147" s="40" t="s">
        <v>11404</v>
      </c>
      <c r="G14147" s="40" t="s">
        <v>11404</v>
      </c>
      <c r="H14147" s="40" t="s">
        <v>11404</v>
      </c>
    </row>
    <row r="14148">
      <c r="A14148" s="39"/>
      <c r="E14148" s="40" t="s">
        <v>11404</v>
      </c>
      <c r="F14148" s="40" t="s">
        <v>11404</v>
      </c>
      <c r="G14148" s="40" t="s">
        <v>11404</v>
      </c>
      <c r="H14148" s="40" t="s">
        <v>11404</v>
      </c>
    </row>
    <row r="14149">
      <c r="A14149" s="39"/>
      <c r="E14149" s="40" t="s">
        <v>11404</v>
      </c>
      <c r="F14149" s="40" t="s">
        <v>11404</v>
      </c>
      <c r="G14149" s="40" t="s">
        <v>11404</v>
      </c>
      <c r="H14149" s="40" t="s">
        <v>11404</v>
      </c>
    </row>
    <row r="14150">
      <c r="A14150" s="39"/>
      <c r="E14150" s="40" t="s">
        <v>11404</v>
      </c>
      <c r="F14150" s="40" t="s">
        <v>11404</v>
      </c>
      <c r="G14150" s="40" t="s">
        <v>11404</v>
      </c>
      <c r="H14150" s="40" t="s">
        <v>11404</v>
      </c>
    </row>
    <row r="14151">
      <c r="A14151" s="39"/>
      <c r="E14151" s="40" t="s">
        <v>11404</v>
      </c>
      <c r="F14151" s="40" t="s">
        <v>11404</v>
      </c>
      <c r="G14151" s="40" t="s">
        <v>11404</v>
      </c>
      <c r="H14151" s="40" t="s">
        <v>11404</v>
      </c>
    </row>
    <row r="14152">
      <c r="A14152" s="39"/>
      <c r="E14152" s="40" t="s">
        <v>11404</v>
      </c>
      <c r="F14152" s="40" t="s">
        <v>11404</v>
      </c>
      <c r="G14152" s="40" t="s">
        <v>11404</v>
      </c>
      <c r="H14152" s="40" t="s">
        <v>11404</v>
      </c>
    </row>
    <row r="14153">
      <c r="A14153" s="39"/>
      <c r="E14153" s="40" t="s">
        <v>11404</v>
      </c>
      <c r="F14153" s="40" t="s">
        <v>11404</v>
      </c>
      <c r="G14153" s="40" t="s">
        <v>11404</v>
      </c>
      <c r="H14153" s="40" t="s">
        <v>11404</v>
      </c>
    </row>
    <row r="14154">
      <c r="A14154" s="39"/>
      <c r="E14154" s="40" t="s">
        <v>11404</v>
      </c>
      <c r="F14154" s="40" t="s">
        <v>11404</v>
      </c>
      <c r="G14154" s="40" t="s">
        <v>11404</v>
      </c>
      <c r="H14154" s="40" t="s">
        <v>11404</v>
      </c>
    </row>
    <row r="14155">
      <c r="A14155" s="39"/>
      <c r="E14155" s="40" t="s">
        <v>11404</v>
      </c>
      <c r="F14155" s="40" t="s">
        <v>11404</v>
      </c>
      <c r="G14155" s="40" t="s">
        <v>11404</v>
      </c>
      <c r="H14155" s="40" t="s">
        <v>11404</v>
      </c>
    </row>
    <row r="14156">
      <c r="A14156" s="39"/>
      <c r="E14156" s="40" t="s">
        <v>11404</v>
      </c>
      <c r="F14156" s="40" t="s">
        <v>11404</v>
      </c>
      <c r="G14156" s="40" t="s">
        <v>11404</v>
      </c>
      <c r="H14156" s="40" t="s">
        <v>11404</v>
      </c>
    </row>
    <row r="14157">
      <c r="A14157" s="39"/>
      <c r="E14157" s="40" t="s">
        <v>11404</v>
      </c>
      <c r="F14157" s="40" t="s">
        <v>11404</v>
      </c>
      <c r="G14157" s="40" t="s">
        <v>11404</v>
      </c>
      <c r="H14157" s="40" t="s">
        <v>11404</v>
      </c>
    </row>
    <row r="14158">
      <c r="A14158" s="39"/>
      <c r="E14158" s="40" t="s">
        <v>11404</v>
      </c>
      <c r="F14158" s="40" t="s">
        <v>11404</v>
      </c>
      <c r="G14158" s="40" t="s">
        <v>11404</v>
      </c>
      <c r="H14158" s="40" t="s">
        <v>11404</v>
      </c>
    </row>
    <row r="14159">
      <c r="A14159" s="39"/>
      <c r="E14159" s="40" t="s">
        <v>11404</v>
      </c>
      <c r="F14159" s="40" t="s">
        <v>11404</v>
      </c>
      <c r="G14159" s="40" t="s">
        <v>11404</v>
      </c>
      <c r="H14159" s="40" t="s">
        <v>11404</v>
      </c>
    </row>
    <row r="14160">
      <c r="A14160" s="39"/>
      <c r="E14160" s="40" t="s">
        <v>11404</v>
      </c>
      <c r="F14160" s="40" t="s">
        <v>11404</v>
      </c>
      <c r="G14160" s="40" t="s">
        <v>11404</v>
      </c>
      <c r="H14160" s="40" t="s">
        <v>11404</v>
      </c>
    </row>
    <row r="14161">
      <c r="A14161" s="39"/>
      <c r="E14161" s="40" t="s">
        <v>11404</v>
      </c>
      <c r="F14161" s="40" t="s">
        <v>11404</v>
      </c>
      <c r="G14161" s="40" t="s">
        <v>11404</v>
      </c>
      <c r="H14161" s="40" t="s">
        <v>11404</v>
      </c>
    </row>
    <row r="14162">
      <c r="A14162" s="39"/>
      <c r="E14162" s="40" t="s">
        <v>11404</v>
      </c>
      <c r="F14162" s="40" t="s">
        <v>11404</v>
      </c>
      <c r="G14162" s="40" t="s">
        <v>11404</v>
      </c>
      <c r="H14162" s="40" t="s">
        <v>11404</v>
      </c>
    </row>
    <row r="14163">
      <c r="A14163" s="39"/>
      <c r="E14163" s="40" t="s">
        <v>11404</v>
      </c>
      <c r="F14163" s="40" t="s">
        <v>11404</v>
      </c>
      <c r="G14163" s="40" t="s">
        <v>11404</v>
      </c>
      <c r="H14163" s="40" t="s">
        <v>11404</v>
      </c>
    </row>
    <row r="14164">
      <c r="A14164" s="39"/>
      <c r="E14164" s="40" t="s">
        <v>11404</v>
      </c>
      <c r="F14164" s="40" t="s">
        <v>11404</v>
      </c>
      <c r="G14164" s="40" t="s">
        <v>11404</v>
      </c>
      <c r="H14164" s="40" t="s">
        <v>11404</v>
      </c>
    </row>
    <row r="14165">
      <c r="A14165" s="39"/>
      <c r="E14165" s="40" t="s">
        <v>11404</v>
      </c>
      <c r="F14165" s="40" t="s">
        <v>11404</v>
      </c>
      <c r="G14165" s="40" t="s">
        <v>11404</v>
      </c>
      <c r="H14165" s="40" t="s">
        <v>11404</v>
      </c>
    </row>
    <row r="14166">
      <c r="A14166" s="39"/>
      <c r="E14166" s="40" t="s">
        <v>11404</v>
      </c>
      <c r="F14166" s="40" t="s">
        <v>11404</v>
      </c>
      <c r="G14166" s="40" t="s">
        <v>11404</v>
      </c>
      <c r="H14166" s="40" t="s">
        <v>11404</v>
      </c>
    </row>
    <row r="14167">
      <c r="A14167" s="39"/>
      <c r="E14167" s="40" t="s">
        <v>11404</v>
      </c>
      <c r="F14167" s="40" t="s">
        <v>11404</v>
      </c>
      <c r="G14167" s="40" t="s">
        <v>11404</v>
      </c>
      <c r="H14167" s="40" t="s">
        <v>11404</v>
      </c>
    </row>
    <row r="14168">
      <c r="A14168" s="39"/>
      <c r="E14168" s="40" t="s">
        <v>11404</v>
      </c>
      <c r="F14168" s="40" t="s">
        <v>11404</v>
      </c>
      <c r="G14168" s="40" t="s">
        <v>11404</v>
      </c>
      <c r="H14168" s="40" t="s">
        <v>11404</v>
      </c>
    </row>
    <row r="14169">
      <c r="A14169" s="39"/>
      <c r="E14169" s="40" t="s">
        <v>11404</v>
      </c>
      <c r="F14169" s="40" t="s">
        <v>11404</v>
      </c>
      <c r="G14169" s="40" t="s">
        <v>11404</v>
      </c>
      <c r="H14169" s="40" t="s">
        <v>11404</v>
      </c>
    </row>
    <row r="14170">
      <c r="A14170" s="39"/>
      <c r="E14170" s="40" t="s">
        <v>11404</v>
      </c>
      <c r="F14170" s="40" t="s">
        <v>11404</v>
      </c>
      <c r="G14170" s="40" t="s">
        <v>11404</v>
      </c>
      <c r="H14170" s="40" t="s">
        <v>11404</v>
      </c>
    </row>
    <row r="14171">
      <c r="A14171" s="39"/>
      <c r="E14171" s="40" t="s">
        <v>11404</v>
      </c>
      <c r="F14171" s="40" t="s">
        <v>11404</v>
      </c>
      <c r="G14171" s="40" t="s">
        <v>11404</v>
      </c>
      <c r="H14171" s="40" t="s">
        <v>11404</v>
      </c>
    </row>
    <row r="14172">
      <c r="A14172" s="39"/>
      <c r="E14172" s="40" t="s">
        <v>11404</v>
      </c>
      <c r="F14172" s="40" t="s">
        <v>11404</v>
      </c>
      <c r="G14172" s="40" t="s">
        <v>11404</v>
      </c>
      <c r="H14172" s="40" t="s">
        <v>11404</v>
      </c>
    </row>
    <row r="14173">
      <c r="A14173" s="39"/>
      <c r="E14173" s="40" t="s">
        <v>11404</v>
      </c>
      <c r="F14173" s="40" t="s">
        <v>11404</v>
      </c>
      <c r="G14173" s="40" t="s">
        <v>11404</v>
      </c>
      <c r="H14173" s="40" t="s">
        <v>11404</v>
      </c>
    </row>
    <row r="14174">
      <c r="A14174" s="39"/>
      <c r="E14174" s="40" t="s">
        <v>11404</v>
      </c>
      <c r="F14174" s="40" t="s">
        <v>11404</v>
      </c>
      <c r="G14174" s="40" t="s">
        <v>11404</v>
      </c>
      <c r="H14174" s="40" t="s">
        <v>11404</v>
      </c>
    </row>
    <row r="14175">
      <c r="A14175" s="39"/>
      <c r="E14175" s="40" t="s">
        <v>11404</v>
      </c>
      <c r="F14175" s="40" t="s">
        <v>11404</v>
      </c>
      <c r="G14175" s="40" t="s">
        <v>11404</v>
      </c>
      <c r="H14175" s="40" t="s">
        <v>11404</v>
      </c>
    </row>
    <row r="14176">
      <c r="A14176" s="39"/>
      <c r="E14176" s="40" t="s">
        <v>11404</v>
      </c>
      <c r="F14176" s="40" t="s">
        <v>11404</v>
      </c>
      <c r="G14176" s="40" t="s">
        <v>11404</v>
      </c>
      <c r="H14176" s="40" t="s">
        <v>11404</v>
      </c>
    </row>
    <row r="14177">
      <c r="A14177" s="39"/>
      <c r="E14177" s="40" t="s">
        <v>11404</v>
      </c>
      <c r="F14177" s="40" t="s">
        <v>11404</v>
      </c>
      <c r="G14177" s="40" t="s">
        <v>11404</v>
      </c>
      <c r="H14177" s="40" t="s">
        <v>11404</v>
      </c>
    </row>
    <row r="14178">
      <c r="A14178" s="39"/>
      <c r="E14178" s="40" t="s">
        <v>11404</v>
      </c>
      <c r="F14178" s="40" t="s">
        <v>11404</v>
      </c>
      <c r="G14178" s="40" t="s">
        <v>11404</v>
      </c>
      <c r="H14178" s="40" t="s">
        <v>11404</v>
      </c>
    </row>
    <row r="14179">
      <c r="A14179" s="39"/>
      <c r="E14179" s="40" t="s">
        <v>11404</v>
      </c>
      <c r="F14179" s="40" t="s">
        <v>11404</v>
      </c>
      <c r="G14179" s="40" t="s">
        <v>11404</v>
      </c>
      <c r="H14179" s="40" t="s">
        <v>11404</v>
      </c>
    </row>
    <row r="14180">
      <c r="A14180" s="39"/>
      <c r="E14180" s="40" t="s">
        <v>11404</v>
      </c>
      <c r="F14180" s="40" t="s">
        <v>11404</v>
      </c>
      <c r="G14180" s="40" t="s">
        <v>11404</v>
      </c>
      <c r="H14180" s="40" t="s">
        <v>11404</v>
      </c>
    </row>
    <row r="14181">
      <c r="A14181" s="39"/>
      <c r="E14181" s="40" t="s">
        <v>11404</v>
      </c>
      <c r="F14181" s="40" t="s">
        <v>11404</v>
      </c>
      <c r="G14181" s="40" t="s">
        <v>11404</v>
      </c>
      <c r="H14181" s="40" t="s">
        <v>11404</v>
      </c>
    </row>
    <row r="14182">
      <c r="A14182" s="39"/>
      <c r="E14182" s="40" t="s">
        <v>11404</v>
      </c>
      <c r="F14182" s="40" t="s">
        <v>11404</v>
      </c>
      <c r="G14182" s="40" t="s">
        <v>11404</v>
      </c>
      <c r="H14182" s="40" t="s">
        <v>11404</v>
      </c>
    </row>
    <row r="14183">
      <c r="A14183" s="39"/>
      <c r="E14183" s="40" t="s">
        <v>11404</v>
      </c>
      <c r="F14183" s="40" t="s">
        <v>11404</v>
      </c>
      <c r="G14183" s="40" t="s">
        <v>11404</v>
      </c>
      <c r="H14183" s="40" t="s">
        <v>11404</v>
      </c>
    </row>
    <row r="14184">
      <c r="A14184" s="39"/>
      <c r="E14184" s="40" t="s">
        <v>11404</v>
      </c>
      <c r="F14184" s="40" t="s">
        <v>11404</v>
      </c>
      <c r="G14184" s="40" t="s">
        <v>11404</v>
      </c>
      <c r="H14184" s="40" t="s">
        <v>11404</v>
      </c>
    </row>
    <row r="14185">
      <c r="A14185" s="39"/>
      <c r="E14185" s="40" t="s">
        <v>11404</v>
      </c>
      <c r="F14185" s="40" t="s">
        <v>11404</v>
      </c>
      <c r="G14185" s="40" t="s">
        <v>11404</v>
      </c>
      <c r="H14185" s="40" t="s">
        <v>11404</v>
      </c>
    </row>
    <row r="14186">
      <c r="A14186" s="39"/>
      <c r="E14186" s="40" t="s">
        <v>11404</v>
      </c>
      <c r="F14186" s="40" t="s">
        <v>11404</v>
      </c>
      <c r="G14186" s="40" t="s">
        <v>11404</v>
      </c>
      <c r="H14186" s="40" t="s">
        <v>11404</v>
      </c>
    </row>
    <row r="14187">
      <c r="A14187" s="39"/>
      <c r="E14187" s="40" t="s">
        <v>11404</v>
      </c>
      <c r="F14187" s="40" t="s">
        <v>11404</v>
      </c>
      <c r="G14187" s="40" t="s">
        <v>11404</v>
      </c>
      <c r="H14187" s="40" t="s">
        <v>11404</v>
      </c>
    </row>
    <row r="14188">
      <c r="A14188" s="39"/>
      <c r="E14188" s="40" t="s">
        <v>11404</v>
      </c>
      <c r="F14188" s="40" t="s">
        <v>11404</v>
      </c>
      <c r="G14188" s="40" t="s">
        <v>11404</v>
      </c>
      <c r="H14188" s="40" t="s">
        <v>11404</v>
      </c>
    </row>
    <row r="14189">
      <c r="A14189" s="39"/>
      <c r="E14189" s="40" t="s">
        <v>11404</v>
      </c>
      <c r="F14189" s="40" t="s">
        <v>11404</v>
      </c>
      <c r="G14189" s="40" t="s">
        <v>11404</v>
      </c>
      <c r="H14189" s="40" t="s">
        <v>11404</v>
      </c>
    </row>
    <row r="14190">
      <c r="A14190" s="39"/>
      <c r="E14190" s="40" t="s">
        <v>11404</v>
      </c>
      <c r="F14190" s="40" t="s">
        <v>11404</v>
      </c>
      <c r="G14190" s="40" t="s">
        <v>11404</v>
      </c>
      <c r="H14190" s="40" t="s">
        <v>11404</v>
      </c>
    </row>
    <row r="14191">
      <c r="A14191" s="39"/>
      <c r="E14191" s="40" t="s">
        <v>11404</v>
      </c>
      <c r="F14191" s="40" t="s">
        <v>11404</v>
      </c>
      <c r="G14191" s="40" t="s">
        <v>11404</v>
      </c>
      <c r="H14191" s="40" t="s">
        <v>11404</v>
      </c>
    </row>
    <row r="14192">
      <c r="A14192" s="39"/>
      <c r="E14192" s="40" t="s">
        <v>11404</v>
      </c>
      <c r="F14192" s="40" t="s">
        <v>11404</v>
      </c>
      <c r="G14192" s="40" t="s">
        <v>11404</v>
      </c>
      <c r="H14192" s="40" t="s">
        <v>11404</v>
      </c>
    </row>
    <row r="14193">
      <c r="A14193" s="39"/>
      <c r="E14193" s="40" t="s">
        <v>11404</v>
      </c>
      <c r="F14193" s="40" t="s">
        <v>11404</v>
      </c>
      <c r="G14193" s="40" t="s">
        <v>11404</v>
      </c>
      <c r="H14193" s="40" t="s">
        <v>11404</v>
      </c>
    </row>
    <row r="14194">
      <c r="A14194" s="39"/>
      <c r="E14194" s="40" t="s">
        <v>11404</v>
      </c>
      <c r="F14194" s="40" t="s">
        <v>11404</v>
      </c>
      <c r="G14194" s="40" t="s">
        <v>11404</v>
      </c>
      <c r="H14194" s="40" t="s">
        <v>11404</v>
      </c>
    </row>
    <row r="14195">
      <c r="A14195" s="39"/>
      <c r="E14195" s="40" t="s">
        <v>11404</v>
      </c>
      <c r="F14195" s="40" t="s">
        <v>11404</v>
      </c>
      <c r="G14195" s="40" t="s">
        <v>11404</v>
      </c>
      <c r="H14195" s="40" t="s">
        <v>11404</v>
      </c>
    </row>
    <row r="14196">
      <c r="A14196" s="39"/>
      <c r="E14196" s="40" t="s">
        <v>11404</v>
      </c>
      <c r="F14196" s="40" t="s">
        <v>11404</v>
      </c>
      <c r="G14196" s="40" t="s">
        <v>11404</v>
      </c>
      <c r="H14196" s="40" t="s">
        <v>11404</v>
      </c>
    </row>
    <row r="14197">
      <c r="A14197" s="39"/>
      <c r="E14197" s="40" t="s">
        <v>11404</v>
      </c>
      <c r="F14197" s="40" t="s">
        <v>11404</v>
      </c>
      <c r="G14197" s="40" t="s">
        <v>11404</v>
      </c>
      <c r="H14197" s="40" t="s">
        <v>11404</v>
      </c>
    </row>
    <row r="14198">
      <c r="A14198" s="39"/>
      <c r="E14198" s="40" t="s">
        <v>11404</v>
      </c>
      <c r="F14198" s="40" t="s">
        <v>11404</v>
      </c>
      <c r="G14198" s="40" t="s">
        <v>11404</v>
      </c>
      <c r="H14198" s="40" t="s">
        <v>11404</v>
      </c>
    </row>
    <row r="14199">
      <c r="A14199" s="39"/>
      <c r="E14199" s="40" t="s">
        <v>11404</v>
      </c>
      <c r="F14199" s="40" t="s">
        <v>11404</v>
      </c>
      <c r="G14199" s="40" t="s">
        <v>11404</v>
      </c>
      <c r="H14199" s="40" t="s">
        <v>11404</v>
      </c>
    </row>
    <row r="14200">
      <c r="A14200" s="39"/>
      <c r="E14200" s="40" t="s">
        <v>11404</v>
      </c>
      <c r="F14200" s="40" t="s">
        <v>11404</v>
      </c>
      <c r="G14200" s="40" t="s">
        <v>11404</v>
      </c>
      <c r="H14200" s="40" t="s">
        <v>11404</v>
      </c>
    </row>
    <row r="14201">
      <c r="A14201" s="39"/>
      <c r="E14201" s="40" t="s">
        <v>11404</v>
      </c>
      <c r="F14201" s="40" t="s">
        <v>11404</v>
      </c>
      <c r="G14201" s="40" t="s">
        <v>11404</v>
      </c>
      <c r="H14201" s="40" t="s">
        <v>11404</v>
      </c>
    </row>
    <row r="14202">
      <c r="A14202" s="39"/>
      <c r="E14202" s="40" t="s">
        <v>11404</v>
      </c>
      <c r="F14202" s="40" t="s">
        <v>11404</v>
      </c>
      <c r="G14202" s="40" t="s">
        <v>11404</v>
      </c>
      <c r="H14202" s="40" t="s">
        <v>11404</v>
      </c>
    </row>
    <row r="14203">
      <c r="A14203" s="39"/>
      <c r="E14203" s="40" t="s">
        <v>11404</v>
      </c>
      <c r="F14203" s="40" t="s">
        <v>11404</v>
      </c>
      <c r="G14203" s="40" t="s">
        <v>11404</v>
      </c>
      <c r="H14203" s="40" t="s">
        <v>11404</v>
      </c>
    </row>
    <row r="14204">
      <c r="A14204" s="39"/>
      <c r="E14204" s="40" t="s">
        <v>11404</v>
      </c>
      <c r="F14204" s="40" t="s">
        <v>11404</v>
      </c>
      <c r="G14204" s="40" t="s">
        <v>11404</v>
      </c>
      <c r="H14204" s="40" t="s">
        <v>11404</v>
      </c>
    </row>
    <row r="14205">
      <c r="A14205" s="39"/>
      <c r="E14205" s="40" t="s">
        <v>11404</v>
      </c>
      <c r="F14205" s="40" t="s">
        <v>11404</v>
      </c>
      <c r="G14205" s="40" t="s">
        <v>11404</v>
      </c>
      <c r="H14205" s="40" t="s">
        <v>11404</v>
      </c>
    </row>
    <row r="14206">
      <c r="A14206" s="39"/>
      <c r="E14206" s="40" t="s">
        <v>11404</v>
      </c>
      <c r="F14206" s="40" t="s">
        <v>11404</v>
      </c>
      <c r="G14206" s="40" t="s">
        <v>11404</v>
      </c>
      <c r="H14206" s="40" t="s">
        <v>11404</v>
      </c>
    </row>
    <row r="14207">
      <c r="A14207" s="39"/>
      <c r="E14207" s="40" t="s">
        <v>11404</v>
      </c>
      <c r="F14207" s="40" t="s">
        <v>11404</v>
      </c>
      <c r="G14207" s="40" t="s">
        <v>11404</v>
      </c>
      <c r="H14207" s="40" t="s">
        <v>11404</v>
      </c>
    </row>
    <row r="14208">
      <c r="A14208" s="39"/>
      <c r="E14208" s="40" t="s">
        <v>11404</v>
      </c>
      <c r="F14208" s="40" t="s">
        <v>11404</v>
      </c>
      <c r="G14208" s="40" t="s">
        <v>11404</v>
      </c>
      <c r="H14208" s="40" t="s">
        <v>11404</v>
      </c>
    </row>
    <row r="14209">
      <c r="A14209" s="39"/>
      <c r="E14209" s="40" t="s">
        <v>11404</v>
      </c>
      <c r="F14209" s="40" t="s">
        <v>11404</v>
      </c>
      <c r="G14209" s="40" t="s">
        <v>11404</v>
      </c>
      <c r="H14209" s="40" t="s">
        <v>11404</v>
      </c>
    </row>
    <row r="14210">
      <c r="A14210" s="39"/>
      <c r="E14210" s="40" t="s">
        <v>11404</v>
      </c>
      <c r="F14210" s="40" t="s">
        <v>11404</v>
      </c>
      <c r="G14210" s="40" t="s">
        <v>11404</v>
      </c>
      <c r="H14210" s="40" t="s">
        <v>11404</v>
      </c>
    </row>
    <row r="14211">
      <c r="A14211" s="39"/>
      <c r="E14211" s="40" t="s">
        <v>11404</v>
      </c>
      <c r="F14211" s="40" t="s">
        <v>11404</v>
      </c>
      <c r="G14211" s="40" t="s">
        <v>11404</v>
      </c>
      <c r="H14211" s="40" t="s">
        <v>11404</v>
      </c>
    </row>
    <row r="14212">
      <c r="A14212" s="39"/>
      <c r="E14212" s="40" t="s">
        <v>11404</v>
      </c>
      <c r="F14212" s="40" t="s">
        <v>11404</v>
      </c>
      <c r="G14212" s="40" t="s">
        <v>11404</v>
      </c>
      <c r="H14212" s="40" t="s">
        <v>11404</v>
      </c>
    </row>
    <row r="14213">
      <c r="A14213" s="39"/>
      <c r="E14213" s="40" t="s">
        <v>11404</v>
      </c>
      <c r="F14213" s="40" t="s">
        <v>11404</v>
      </c>
      <c r="G14213" s="40" t="s">
        <v>11404</v>
      </c>
      <c r="H14213" s="40" t="s">
        <v>11404</v>
      </c>
    </row>
    <row r="14214">
      <c r="A14214" s="39"/>
      <c r="E14214" s="40" t="s">
        <v>11404</v>
      </c>
      <c r="F14214" s="40" t="s">
        <v>11404</v>
      </c>
      <c r="G14214" s="40" t="s">
        <v>11404</v>
      </c>
      <c r="H14214" s="40" t="s">
        <v>11404</v>
      </c>
    </row>
    <row r="14215">
      <c r="A14215" s="39"/>
      <c r="E14215" s="40" t="s">
        <v>11404</v>
      </c>
      <c r="F14215" s="40" t="s">
        <v>11404</v>
      </c>
      <c r="G14215" s="40" t="s">
        <v>11404</v>
      </c>
      <c r="H14215" s="40" t="s">
        <v>11404</v>
      </c>
    </row>
    <row r="14216">
      <c r="A14216" s="39"/>
      <c r="E14216" s="40" t="s">
        <v>11404</v>
      </c>
      <c r="F14216" s="40" t="s">
        <v>11404</v>
      </c>
      <c r="G14216" s="40" t="s">
        <v>11404</v>
      </c>
      <c r="H14216" s="40" t="s">
        <v>11404</v>
      </c>
    </row>
    <row r="14217">
      <c r="A14217" s="39"/>
      <c r="E14217" s="40" t="s">
        <v>11404</v>
      </c>
      <c r="F14217" s="40" t="s">
        <v>11404</v>
      </c>
      <c r="G14217" s="40" t="s">
        <v>11404</v>
      </c>
      <c r="H14217" s="40" t="s">
        <v>11404</v>
      </c>
    </row>
    <row r="14218">
      <c r="A14218" s="39"/>
      <c r="E14218" s="40" t="s">
        <v>11404</v>
      </c>
      <c r="F14218" s="40" t="s">
        <v>11404</v>
      </c>
      <c r="G14218" s="40" t="s">
        <v>11404</v>
      </c>
      <c r="H14218" s="40" t="s">
        <v>11404</v>
      </c>
    </row>
    <row r="14219">
      <c r="A14219" s="39"/>
      <c r="E14219" s="40" t="s">
        <v>11404</v>
      </c>
      <c r="F14219" s="40" t="s">
        <v>11404</v>
      </c>
      <c r="G14219" s="40" t="s">
        <v>11404</v>
      </c>
      <c r="H14219" s="40" t="s">
        <v>11404</v>
      </c>
    </row>
    <row r="14220">
      <c r="A14220" s="39"/>
      <c r="E14220" s="40" t="s">
        <v>11404</v>
      </c>
      <c r="F14220" s="40" t="s">
        <v>11404</v>
      </c>
      <c r="G14220" s="40" t="s">
        <v>11404</v>
      </c>
      <c r="H14220" s="40" t="s">
        <v>11404</v>
      </c>
    </row>
    <row r="14221">
      <c r="A14221" s="39"/>
      <c r="E14221" s="40" t="s">
        <v>11404</v>
      </c>
      <c r="F14221" s="40" t="s">
        <v>11404</v>
      </c>
      <c r="G14221" s="40" t="s">
        <v>11404</v>
      </c>
      <c r="H14221" s="40" t="s">
        <v>11404</v>
      </c>
    </row>
    <row r="14222">
      <c r="A14222" s="39"/>
      <c r="E14222" s="40" t="s">
        <v>11404</v>
      </c>
      <c r="F14222" s="40" t="s">
        <v>11404</v>
      </c>
      <c r="G14222" s="40" t="s">
        <v>11404</v>
      </c>
      <c r="H14222" s="40" t="s">
        <v>11404</v>
      </c>
    </row>
    <row r="14223">
      <c r="A14223" s="39"/>
      <c r="E14223" s="40" t="s">
        <v>11404</v>
      </c>
      <c r="F14223" s="40" t="s">
        <v>11404</v>
      </c>
      <c r="G14223" s="40" t="s">
        <v>11404</v>
      </c>
      <c r="H14223" s="40" t="s">
        <v>11404</v>
      </c>
    </row>
    <row r="14224">
      <c r="A14224" s="39"/>
      <c r="E14224" s="40" t="s">
        <v>11404</v>
      </c>
      <c r="F14224" s="40" t="s">
        <v>11404</v>
      </c>
      <c r="G14224" s="40" t="s">
        <v>11404</v>
      </c>
      <c r="H14224" s="40" t="s">
        <v>11404</v>
      </c>
    </row>
    <row r="14225">
      <c r="A14225" s="39"/>
      <c r="E14225" s="40" t="s">
        <v>11404</v>
      </c>
      <c r="F14225" s="40" t="s">
        <v>11404</v>
      </c>
      <c r="G14225" s="40" t="s">
        <v>11404</v>
      </c>
      <c r="H14225" s="40" t="s">
        <v>11404</v>
      </c>
    </row>
    <row r="14226">
      <c r="A14226" s="39"/>
      <c r="E14226" s="40" t="s">
        <v>11404</v>
      </c>
      <c r="F14226" s="40" t="s">
        <v>11404</v>
      </c>
      <c r="G14226" s="40" t="s">
        <v>11404</v>
      </c>
      <c r="H14226" s="40" t="s">
        <v>11404</v>
      </c>
    </row>
    <row r="14227">
      <c r="A14227" s="39"/>
      <c r="E14227" s="40" t="s">
        <v>11404</v>
      </c>
      <c r="F14227" s="40" t="s">
        <v>11404</v>
      </c>
      <c r="G14227" s="40" t="s">
        <v>11404</v>
      </c>
      <c r="H14227" s="40" t="s">
        <v>11404</v>
      </c>
    </row>
    <row r="14228">
      <c r="A14228" s="39"/>
      <c r="E14228" s="40" t="s">
        <v>11404</v>
      </c>
      <c r="F14228" s="40" t="s">
        <v>11404</v>
      </c>
      <c r="G14228" s="40" t="s">
        <v>11404</v>
      </c>
      <c r="H14228" s="40" t="s">
        <v>11404</v>
      </c>
    </row>
    <row r="14229">
      <c r="A14229" s="39"/>
      <c r="E14229" s="40" t="s">
        <v>11404</v>
      </c>
      <c r="F14229" s="40" t="s">
        <v>11404</v>
      </c>
      <c r="G14229" s="40" t="s">
        <v>11404</v>
      </c>
      <c r="H14229" s="40" t="s">
        <v>11404</v>
      </c>
    </row>
    <row r="14230">
      <c r="A14230" s="39"/>
      <c r="E14230" s="40" t="s">
        <v>11404</v>
      </c>
      <c r="F14230" s="40" t="s">
        <v>11404</v>
      </c>
      <c r="G14230" s="40" t="s">
        <v>11404</v>
      </c>
      <c r="H14230" s="40" t="s">
        <v>11404</v>
      </c>
    </row>
    <row r="14231">
      <c r="A14231" s="39"/>
      <c r="E14231" s="40" t="s">
        <v>11404</v>
      </c>
      <c r="F14231" s="40" t="s">
        <v>11404</v>
      </c>
      <c r="G14231" s="40" t="s">
        <v>11404</v>
      </c>
      <c r="H14231" s="40" t="s">
        <v>11404</v>
      </c>
    </row>
    <row r="14232">
      <c r="A14232" s="39"/>
      <c r="E14232" s="40" t="s">
        <v>11404</v>
      </c>
      <c r="F14232" s="40" t="s">
        <v>11404</v>
      </c>
      <c r="G14232" s="40" t="s">
        <v>11404</v>
      </c>
      <c r="H14232" s="40" t="s">
        <v>11404</v>
      </c>
    </row>
    <row r="14233">
      <c r="A14233" s="39"/>
      <c r="E14233" s="40" t="s">
        <v>11404</v>
      </c>
      <c r="F14233" s="40" t="s">
        <v>11404</v>
      </c>
      <c r="G14233" s="40" t="s">
        <v>11404</v>
      </c>
      <c r="H14233" s="40" t="s">
        <v>11404</v>
      </c>
    </row>
    <row r="14234">
      <c r="A14234" s="39"/>
      <c r="E14234" s="40" t="s">
        <v>11404</v>
      </c>
      <c r="F14234" s="40" t="s">
        <v>11404</v>
      </c>
      <c r="G14234" s="40" t="s">
        <v>11404</v>
      </c>
      <c r="H14234" s="40" t="s">
        <v>11404</v>
      </c>
    </row>
    <row r="14235">
      <c r="A14235" s="39"/>
      <c r="E14235" s="40" t="s">
        <v>11404</v>
      </c>
      <c r="F14235" s="40" t="s">
        <v>11404</v>
      </c>
      <c r="G14235" s="40" t="s">
        <v>11404</v>
      </c>
      <c r="H14235" s="40" t="s">
        <v>11404</v>
      </c>
    </row>
    <row r="14236">
      <c r="A14236" s="39"/>
      <c r="E14236" s="40" t="s">
        <v>11404</v>
      </c>
      <c r="F14236" s="40" t="s">
        <v>11404</v>
      </c>
      <c r="G14236" s="40" t="s">
        <v>11404</v>
      </c>
      <c r="H14236" s="40" t="s">
        <v>11404</v>
      </c>
    </row>
    <row r="14237">
      <c r="A14237" s="39"/>
      <c r="E14237" s="40" t="s">
        <v>11404</v>
      </c>
      <c r="F14237" s="40" t="s">
        <v>11404</v>
      </c>
      <c r="G14237" s="40" t="s">
        <v>11404</v>
      </c>
      <c r="H14237" s="40" t="s">
        <v>11404</v>
      </c>
    </row>
    <row r="14238">
      <c r="A14238" s="39"/>
      <c r="E14238" s="40" t="s">
        <v>11404</v>
      </c>
      <c r="F14238" s="40" t="s">
        <v>11404</v>
      </c>
      <c r="G14238" s="40" t="s">
        <v>11404</v>
      </c>
      <c r="H14238" s="40" t="s">
        <v>11404</v>
      </c>
    </row>
    <row r="14239">
      <c r="A14239" s="39"/>
      <c r="E14239" s="40" t="s">
        <v>11404</v>
      </c>
      <c r="F14239" s="40" t="s">
        <v>11404</v>
      </c>
      <c r="G14239" s="40" t="s">
        <v>11404</v>
      </c>
      <c r="H14239" s="40" t="s">
        <v>11404</v>
      </c>
    </row>
    <row r="14240">
      <c r="A14240" s="39"/>
      <c r="E14240" s="40" t="s">
        <v>11404</v>
      </c>
      <c r="F14240" s="40" t="s">
        <v>11404</v>
      </c>
      <c r="G14240" s="40" t="s">
        <v>11404</v>
      </c>
      <c r="H14240" s="40" t="s">
        <v>11404</v>
      </c>
    </row>
    <row r="14241">
      <c r="A14241" s="39"/>
      <c r="E14241" s="40" t="s">
        <v>11404</v>
      </c>
      <c r="F14241" s="40" t="s">
        <v>11404</v>
      </c>
      <c r="G14241" s="40" t="s">
        <v>11404</v>
      </c>
      <c r="H14241" s="40" t="s">
        <v>11404</v>
      </c>
    </row>
    <row r="14242">
      <c r="A14242" s="39"/>
      <c r="E14242" s="40" t="s">
        <v>11404</v>
      </c>
      <c r="F14242" s="40" t="s">
        <v>11404</v>
      </c>
      <c r="G14242" s="40" t="s">
        <v>11404</v>
      </c>
      <c r="H14242" s="40" t="s">
        <v>11404</v>
      </c>
    </row>
    <row r="14243">
      <c r="A14243" s="39"/>
      <c r="E14243" s="40" t="s">
        <v>11404</v>
      </c>
      <c r="F14243" s="40" t="s">
        <v>11404</v>
      </c>
      <c r="G14243" s="40" t="s">
        <v>11404</v>
      </c>
      <c r="H14243" s="40" t="s">
        <v>11404</v>
      </c>
    </row>
    <row r="14244">
      <c r="A14244" s="39"/>
      <c r="E14244" s="40" t="s">
        <v>11404</v>
      </c>
      <c r="F14244" s="40" t="s">
        <v>11404</v>
      </c>
      <c r="G14244" s="40" t="s">
        <v>11404</v>
      </c>
      <c r="H14244" s="40" t="s">
        <v>11404</v>
      </c>
    </row>
    <row r="14245">
      <c r="A14245" s="39"/>
      <c r="E14245" s="40" t="s">
        <v>11404</v>
      </c>
      <c r="F14245" s="40" t="s">
        <v>11404</v>
      </c>
      <c r="G14245" s="40" t="s">
        <v>11404</v>
      </c>
      <c r="H14245" s="40" t="s">
        <v>11404</v>
      </c>
    </row>
    <row r="14246">
      <c r="A14246" s="39"/>
      <c r="E14246" s="40" t="s">
        <v>11404</v>
      </c>
      <c r="F14246" s="40" t="s">
        <v>11404</v>
      </c>
      <c r="G14246" s="40" t="s">
        <v>11404</v>
      </c>
      <c r="H14246" s="40" t="s">
        <v>11404</v>
      </c>
    </row>
    <row r="14247">
      <c r="A14247" s="39"/>
      <c r="E14247" s="40" t="s">
        <v>11404</v>
      </c>
      <c r="F14247" s="40" t="s">
        <v>11404</v>
      </c>
      <c r="G14247" s="40" t="s">
        <v>11404</v>
      </c>
      <c r="H14247" s="40" t="s">
        <v>11404</v>
      </c>
    </row>
    <row r="14248">
      <c r="A14248" s="39"/>
      <c r="E14248" s="40" t="s">
        <v>11404</v>
      </c>
      <c r="F14248" s="40" t="s">
        <v>11404</v>
      </c>
      <c r="G14248" s="40" t="s">
        <v>11404</v>
      </c>
      <c r="H14248" s="40" t="s">
        <v>11404</v>
      </c>
    </row>
    <row r="14249">
      <c r="A14249" s="39"/>
      <c r="E14249" s="40" t="s">
        <v>11404</v>
      </c>
      <c r="F14249" s="40" t="s">
        <v>11404</v>
      </c>
      <c r="G14249" s="40" t="s">
        <v>11404</v>
      </c>
      <c r="H14249" s="40" t="s">
        <v>11404</v>
      </c>
    </row>
    <row r="14250">
      <c r="A14250" s="39"/>
      <c r="E14250" s="40" t="s">
        <v>11404</v>
      </c>
      <c r="F14250" s="40" t="s">
        <v>11404</v>
      </c>
      <c r="G14250" s="40" t="s">
        <v>11404</v>
      </c>
      <c r="H14250" s="40" t="s">
        <v>11404</v>
      </c>
    </row>
    <row r="14251">
      <c r="A14251" s="39"/>
      <c r="E14251" s="40" t="s">
        <v>11404</v>
      </c>
      <c r="F14251" s="40" t="s">
        <v>11404</v>
      </c>
      <c r="G14251" s="40" t="s">
        <v>11404</v>
      </c>
      <c r="H14251" s="40" t="s">
        <v>11404</v>
      </c>
    </row>
    <row r="14252">
      <c r="A14252" s="39"/>
      <c r="E14252" s="40" t="s">
        <v>11404</v>
      </c>
      <c r="F14252" s="40" t="s">
        <v>11404</v>
      </c>
      <c r="G14252" s="40" t="s">
        <v>11404</v>
      </c>
      <c r="H14252" s="40" t="s">
        <v>11404</v>
      </c>
    </row>
    <row r="14253">
      <c r="A14253" s="39"/>
      <c r="E14253" s="40" t="s">
        <v>11404</v>
      </c>
      <c r="F14253" s="40" t="s">
        <v>11404</v>
      </c>
      <c r="G14253" s="40" t="s">
        <v>11404</v>
      </c>
      <c r="H14253" s="40" t="s">
        <v>11404</v>
      </c>
    </row>
    <row r="14254">
      <c r="A14254" s="39"/>
      <c r="E14254" s="40" t="s">
        <v>11404</v>
      </c>
      <c r="F14254" s="40" t="s">
        <v>11404</v>
      </c>
      <c r="G14254" s="40" t="s">
        <v>11404</v>
      </c>
      <c r="H14254" s="40" t="s">
        <v>11404</v>
      </c>
    </row>
    <row r="14255">
      <c r="A14255" s="39"/>
      <c r="E14255" s="40" t="s">
        <v>11404</v>
      </c>
      <c r="F14255" s="40" t="s">
        <v>11404</v>
      </c>
      <c r="G14255" s="40" t="s">
        <v>11404</v>
      </c>
      <c r="H14255" s="40" t="s">
        <v>11404</v>
      </c>
    </row>
    <row r="14256">
      <c r="A14256" s="39"/>
      <c r="E14256" s="40" t="s">
        <v>11404</v>
      </c>
      <c r="F14256" s="40" t="s">
        <v>11404</v>
      </c>
      <c r="G14256" s="40" t="s">
        <v>11404</v>
      </c>
      <c r="H14256" s="40" t="s">
        <v>11404</v>
      </c>
    </row>
    <row r="14257">
      <c r="A14257" s="39"/>
      <c r="E14257" s="40" t="s">
        <v>11404</v>
      </c>
      <c r="F14257" s="40" t="s">
        <v>11404</v>
      </c>
      <c r="G14257" s="40" t="s">
        <v>11404</v>
      </c>
      <c r="H14257" s="40" t="s">
        <v>11404</v>
      </c>
    </row>
    <row r="14258">
      <c r="A14258" s="39"/>
      <c r="E14258" s="40" t="s">
        <v>11404</v>
      </c>
      <c r="F14258" s="40" t="s">
        <v>11404</v>
      </c>
      <c r="G14258" s="40" t="s">
        <v>11404</v>
      </c>
      <c r="H14258" s="40" t="s">
        <v>11404</v>
      </c>
    </row>
    <row r="14259">
      <c r="A14259" s="39"/>
      <c r="E14259" s="40" t="s">
        <v>11404</v>
      </c>
      <c r="F14259" s="40" t="s">
        <v>11404</v>
      </c>
      <c r="G14259" s="40" t="s">
        <v>11404</v>
      </c>
      <c r="H14259" s="40" t="s">
        <v>11404</v>
      </c>
    </row>
    <row r="14260">
      <c r="A14260" s="39"/>
      <c r="E14260" s="40" t="s">
        <v>11404</v>
      </c>
      <c r="F14260" s="40" t="s">
        <v>11404</v>
      </c>
      <c r="G14260" s="40" t="s">
        <v>11404</v>
      </c>
      <c r="H14260" s="40" t="s">
        <v>11404</v>
      </c>
    </row>
    <row r="14261">
      <c r="A14261" s="39"/>
      <c r="E14261" s="40" t="s">
        <v>11404</v>
      </c>
      <c r="F14261" s="40" t="s">
        <v>11404</v>
      </c>
      <c r="G14261" s="40" t="s">
        <v>11404</v>
      </c>
      <c r="H14261" s="40" t="s">
        <v>11404</v>
      </c>
    </row>
    <row r="14262">
      <c r="A14262" s="39"/>
      <c r="E14262" s="40" t="s">
        <v>11404</v>
      </c>
      <c r="F14262" s="40" t="s">
        <v>11404</v>
      </c>
      <c r="G14262" s="40" t="s">
        <v>11404</v>
      </c>
      <c r="H14262" s="40" t="s">
        <v>11404</v>
      </c>
    </row>
    <row r="14263">
      <c r="A14263" s="39"/>
      <c r="E14263" s="40" t="s">
        <v>11404</v>
      </c>
      <c r="F14263" s="40" t="s">
        <v>11404</v>
      </c>
      <c r="G14263" s="40" t="s">
        <v>11404</v>
      </c>
      <c r="H14263" s="40" t="s">
        <v>11404</v>
      </c>
    </row>
    <row r="14264">
      <c r="A14264" s="39"/>
      <c r="E14264" s="40" t="s">
        <v>11404</v>
      </c>
      <c r="F14264" s="40" t="s">
        <v>11404</v>
      </c>
      <c r="G14264" s="40" t="s">
        <v>11404</v>
      </c>
      <c r="H14264" s="40" t="s">
        <v>11404</v>
      </c>
    </row>
    <row r="14265">
      <c r="A14265" s="39"/>
      <c r="E14265" s="40" t="s">
        <v>11404</v>
      </c>
      <c r="F14265" s="40" t="s">
        <v>11404</v>
      </c>
      <c r="G14265" s="40" t="s">
        <v>11404</v>
      </c>
      <c r="H14265" s="40" t="s">
        <v>11404</v>
      </c>
    </row>
    <row r="14266">
      <c r="A14266" s="39"/>
      <c r="E14266" s="40" t="s">
        <v>11404</v>
      </c>
      <c r="F14266" s="40" t="s">
        <v>11404</v>
      </c>
      <c r="G14266" s="40" t="s">
        <v>11404</v>
      </c>
      <c r="H14266" s="40" t="s">
        <v>11404</v>
      </c>
    </row>
    <row r="14267">
      <c r="A14267" s="39"/>
      <c r="E14267" s="40" t="s">
        <v>11404</v>
      </c>
      <c r="F14267" s="40" t="s">
        <v>11404</v>
      </c>
      <c r="G14267" s="40" t="s">
        <v>11404</v>
      </c>
      <c r="H14267" s="40" t="s">
        <v>11404</v>
      </c>
    </row>
    <row r="14268">
      <c r="A14268" s="39"/>
      <c r="E14268" s="40" t="s">
        <v>11404</v>
      </c>
      <c r="F14268" s="40" t="s">
        <v>11404</v>
      </c>
      <c r="G14268" s="40" t="s">
        <v>11404</v>
      </c>
      <c r="H14268" s="40" t="s">
        <v>11404</v>
      </c>
    </row>
    <row r="14269">
      <c r="A14269" s="39"/>
      <c r="E14269" s="40" t="s">
        <v>11404</v>
      </c>
      <c r="F14269" s="40" t="s">
        <v>11404</v>
      </c>
      <c r="G14269" s="40" t="s">
        <v>11404</v>
      </c>
      <c r="H14269" s="40" t="s">
        <v>11404</v>
      </c>
    </row>
    <row r="14270">
      <c r="A14270" s="39"/>
      <c r="E14270" s="40" t="s">
        <v>11404</v>
      </c>
      <c r="F14270" s="40" t="s">
        <v>11404</v>
      </c>
      <c r="G14270" s="40" t="s">
        <v>11404</v>
      </c>
      <c r="H14270" s="40" t="s">
        <v>11404</v>
      </c>
    </row>
    <row r="14271">
      <c r="A14271" s="39"/>
      <c r="E14271" s="40" t="s">
        <v>11404</v>
      </c>
      <c r="F14271" s="40" t="s">
        <v>11404</v>
      </c>
      <c r="G14271" s="40" t="s">
        <v>11404</v>
      </c>
      <c r="H14271" s="40" t="s">
        <v>11404</v>
      </c>
    </row>
    <row r="14272">
      <c r="A14272" s="39"/>
      <c r="E14272" s="40" t="s">
        <v>11404</v>
      </c>
      <c r="F14272" s="40" t="s">
        <v>11404</v>
      </c>
      <c r="G14272" s="40" t="s">
        <v>11404</v>
      </c>
      <c r="H14272" s="40" t="s">
        <v>11404</v>
      </c>
    </row>
    <row r="14273">
      <c r="A14273" s="39"/>
      <c r="E14273" s="40" t="s">
        <v>11404</v>
      </c>
      <c r="F14273" s="40" t="s">
        <v>11404</v>
      </c>
      <c r="G14273" s="40" t="s">
        <v>11404</v>
      </c>
      <c r="H14273" s="40" t="s">
        <v>11404</v>
      </c>
    </row>
    <row r="14274">
      <c r="A14274" s="39"/>
      <c r="E14274" s="40" t="s">
        <v>11404</v>
      </c>
      <c r="F14274" s="40" t="s">
        <v>11404</v>
      </c>
      <c r="G14274" s="40" t="s">
        <v>11404</v>
      </c>
      <c r="H14274" s="40" t="s">
        <v>11404</v>
      </c>
    </row>
    <row r="14275">
      <c r="A14275" s="39"/>
      <c r="E14275" s="40" t="s">
        <v>11404</v>
      </c>
      <c r="F14275" s="40" t="s">
        <v>11404</v>
      </c>
      <c r="G14275" s="40" t="s">
        <v>11404</v>
      </c>
      <c r="H14275" s="40" t="s">
        <v>11404</v>
      </c>
    </row>
    <row r="14276">
      <c r="A14276" s="39"/>
      <c r="E14276" s="40" t="s">
        <v>11404</v>
      </c>
      <c r="F14276" s="40" t="s">
        <v>11404</v>
      </c>
      <c r="G14276" s="40" t="s">
        <v>11404</v>
      </c>
      <c r="H14276" s="40" t="s">
        <v>11404</v>
      </c>
    </row>
    <row r="14277">
      <c r="A14277" s="39"/>
      <c r="E14277" s="40" t="s">
        <v>11404</v>
      </c>
      <c r="F14277" s="40" t="s">
        <v>11404</v>
      </c>
      <c r="G14277" s="40" t="s">
        <v>11404</v>
      </c>
      <c r="H14277" s="40" t="s">
        <v>11404</v>
      </c>
    </row>
    <row r="14278">
      <c r="A14278" s="39"/>
      <c r="E14278" s="40" t="s">
        <v>11404</v>
      </c>
      <c r="F14278" s="40" t="s">
        <v>11404</v>
      </c>
      <c r="G14278" s="40" t="s">
        <v>11404</v>
      </c>
      <c r="H14278" s="40" t="s">
        <v>11404</v>
      </c>
    </row>
    <row r="14279">
      <c r="A14279" s="39"/>
      <c r="E14279" s="40" t="s">
        <v>11404</v>
      </c>
      <c r="F14279" s="40" t="s">
        <v>11404</v>
      </c>
      <c r="G14279" s="40" t="s">
        <v>11404</v>
      </c>
      <c r="H14279" s="40" t="s">
        <v>11404</v>
      </c>
    </row>
    <row r="14280">
      <c r="A14280" s="39"/>
      <c r="E14280" s="40" t="s">
        <v>11404</v>
      </c>
      <c r="F14280" s="40" t="s">
        <v>11404</v>
      </c>
      <c r="G14280" s="40" t="s">
        <v>11404</v>
      </c>
      <c r="H14280" s="40" t="s">
        <v>11404</v>
      </c>
    </row>
    <row r="14281">
      <c r="A14281" s="39"/>
      <c r="E14281" s="40" t="s">
        <v>11404</v>
      </c>
      <c r="F14281" s="40" t="s">
        <v>11404</v>
      </c>
      <c r="G14281" s="40" t="s">
        <v>11404</v>
      </c>
      <c r="H14281" s="40" t="s">
        <v>11404</v>
      </c>
    </row>
    <row r="14282">
      <c r="A14282" s="39"/>
      <c r="E14282" s="40" t="s">
        <v>11404</v>
      </c>
      <c r="F14282" s="40" t="s">
        <v>11404</v>
      </c>
      <c r="G14282" s="40" t="s">
        <v>11404</v>
      </c>
      <c r="H14282" s="40" t="s">
        <v>11404</v>
      </c>
    </row>
    <row r="14283">
      <c r="A14283" s="39"/>
      <c r="E14283" s="40" t="s">
        <v>11404</v>
      </c>
      <c r="F14283" s="40" t="s">
        <v>11404</v>
      </c>
      <c r="G14283" s="40" t="s">
        <v>11404</v>
      </c>
      <c r="H14283" s="40" t="s">
        <v>11404</v>
      </c>
    </row>
    <row r="14284">
      <c r="A14284" s="39"/>
      <c r="E14284" s="40" t="s">
        <v>11404</v>
      </c>
      <c r="F14284" s="40" t="s">
        <v>11404</v>
      </c>
      <c r="G14284" s="40" t="s">
        <v>11404</v>
      </c>
      <c r="H14284" s="40" t="s">
        <v>11404</v>
      </c>
    </row>
    <row r="14285">
      <c r="A14285" s="39"/>
      <c r="E14285" s="40" t="s">
        <v>11404</v>
      </c>
      <c r="F14285" s="40" t="s">
        <v>11404</v>
      </c>
      <c r="G14285" s="40" t="s">
        <v>11404</v>
      </c>
      <c r="H14285" s="40" t="s">
        <v>11404</v>
      </c>
    </row>
    <row r="14286">
      <c r="A14286" s="39"/>
      <c r="E14286" s="40" t="s">
        <v>11404</v>
      </c>
      <c r="F14286" s="40" t="s">
        <v>11404</v>
      </c>
      <c r="G14286" s="40" t="s">
        <v>11404</v>
      </c>
      <c r="H14286" s="40" t="s">
        <v>11404</v>
      </c>
    </row>
    <row r="14287">
      <c r="A14287" s="39"/>
      <c r="E14287" s="40" t="s">
        <v>11404</v>
      </c>
      <c r="F14287" s="40" t="s">
        <v>11404</v>
      </c>
      <c r="G14287" s="40" t="s">
        <v>11404</v>
      </c>
      <c r="H14287" s="40" t="s">
        <v>11404</v>
      </c>
    </row>
    <row r="14288">
      <c r="A14288" s="39"/>
      <c r="E14288" s="40" t="s">
        <v>11404</v>
      </c>
      <c r="F14288" s="40" t="s">
        <v>11404</v>
      </c>
      <c r="G14288" s="40" t="s">
        <v>11404</v>
      </c>
      <c r="H14288" s="40" t="s">
        <v>11404</v>
      </c>
    </row>
    <row r="14289">
      <c r="A14289" s="39"/>
      <c r="E14289" s="40" t="s">
        <v>11404</v>
      </c>
      <c r="F14289" s="40" t="s">
        <v>11404</v>
      </c>
      <c r="G14289" s="40" t="s">
        <v>11404</v>
      </c>
      <c r="H14289" s="40" t="s">
        <v>11404</v>
      </c>
    </row>
    <row r="14290">
      <c r="A14290" s="39"/>
      <c r="E14290" s="40" t="s">
        <v>11404</v>
      </c>
      <c r="F14290" s="40" t="s">
        <v>11404</v>
      </c>
      <c r="G14290" s="40" t="s">
        <v>11404</v>
      </c>
      <c r="H14290" s="40" t="s">
        <v>11404</v>
      </c>
    </row>
    <row r="14291">
      <c r="A14291" s="39"/>
      <c r="E14291" s="40" t="s">
        <v>11404</v>
      </c>
      <c r="F14291" s="40" t="s">
        <v>11404</v>
      </c>
      <c r="G14291" s="40" t="s">
        <v>11404</v>
      </c>
      <c r="H14291" s="40" t="s">
        <v>11404</v>
      </c>
    </row>
    <row r="14292">
      <c r="A14292" s="39"/>
      <c r="E14292" s="40" t="s">
        <v>11404</v>
      </c>
      <c r="F14292" s="40" t="s">
        <v>11404</v>
      </c>
      <c r="G14292" s="40" t="s">
        <v>11404</v>
      </c>
      <c r="H14292" s="40" t="s">
        <v>11404</v>
      </c>
    </row>
    <row r="14293">
      <c r="A14293" s="39"/>
      <c r="E14293" s="40" t="s">
        <v>11404</v>
      </c>
      <c r="F14293" s="40" t="s">
        <v>11404</v>
      </c>
      <c r="G14293" s="40" t="s">
        <v>11404</v>
      </c>
      <c r="H14293" s="40" t="s">
        <v>11404</v>
      </c>
    </row>
    <row r="14294">
      <c r="A14294" s="39"/>
      <c r="E14294" s="40" t="s">
        <v>11404</v>
      </c>
      <c r="F14294" s="40" t="s">
        <v>11404</v>
      </c>
      <c r="G14294" s="40" t="s">
        <v>11404</v>
      </c>
      <c r="H14294" s="40" t="s">
        <v>11404</v>
      </c>
    </row>
    <row r="14295">
      <c r="A14295" s="39"/>
      <c r="E14295" s="40" t="s">
        <v>11404</v>
      </c>
      <c r="F14295" s="40" t="s">
        <v>11404</v>
      </c>
      <c r="G14295" s="40" t="s">
        <v>11404</v>
      </c>
      <c r="H14295" s="40" t="s">
        <v>11404</v>
      </c>
    </row>
    <row r="14296">
      <c r="A14296" s="39"/>
      <c r="E14296" s="40" t="s">
        <v>11404</v>
      </c>
      <c r="F14296" s="40" t="s">
        <v>11404</v>
      </c>
      <c r="G14296" s="40" t="s">
        <v>11404</v>
      </c>
      <c r="H14296" s="40" t="s">
        <v>11404</v>
      </c>
    </row>
    <row r="14297">
      <c r="A14297" s="39"/>
      <c r="E14297" s="40" t="s">
        <v>11404</v>
      </c>
      <c r="F14297" s="40" t="s">
        <v>11404</v>
      </c>
      <c r="G14297" s="40" t="s">
        <v>11404</v>
      </c>
      <c r="H14297" s="40" t="s">
        <v>11404</v>
      </c>
    </row>
    <row r="14298">
      <c r="A14298" s="39"/>
      <c r="E14298" s="40" t="s">
        <v>11404</v>
      </c>
      <c r="F14298" s="40" t="s">
        <v>11404</v>
      </c>
      <c r="G14298" s="40" t="s">
        <v>11404</v>
      </c>
      <c r="H14298" s="40" t="s">
        <v>11404</v>
      </c>
    </row>
    <row r="14299">
      <c r="A14299" s="39"/>
      <c r="E14299" s="40" t="s">
        <v>11404</v>
      </c>
      <c r="F14299" s="40" t="s">
        <v>11404</v>
      </c>
      <c r="G14299" s="40" t="s">
        <v>11404</v>
      </c>
      <c r="H14299" s="40" t="s">
        <v>11404</v>
      </c>
    </row>
    <row r="14300">
      <c r="A14300" s="39"/>
      <c r="E14300" s="40" t="s">
        <v>11404</v>
      </c>
      <c r="F14300" s="40" t="s">
        <v>11404</v>
      </c>
      <c r="G14300" s="40" t="s">
        <v>11404</v>
      </c>
      <c r="H14300" s="40" t="s">
        <v>11404</v>
      </c>
    </row>
    <row r="14301">
      <c r="A14301" s="39"/>
      <c r="E14301" s="40" t="s">
        <v>11404</v>
      </c>
      <c r="F14301" s="40" t="s">
        <v>11404</v>
      </c>
      <c r="G14301" s="40" t="s">
        <v>11404</v>
      </c>
      <c r="H14301" s="40" t="s">
        <v>11404</v>
      </c>
    </row>
    <row r="14302">
      <c r="A14302" s="39"/>
      <c r="E14302" s="40" t="s">
        <v>11404</v>
      </c>
      <c r="F14302" s="40" t="s">
        <v>11404</v>
      </c>
      <c r="G14302" s="40" t="s">
        <v>11404</v>
      </c>
      <c r="H14302" s="40" t="s">
        <v>11404</v>
      </c>
    </row>
    <row r="14303">
      <c r="A14303" s="39"/>
      <c r="E14303" s="40" t="s">
        <v>11404</v>
      </c>
      <c r="F14303" s="40" t="s">
        <v>11404</v>
      </c>
      <c r="G14303" s="40" t="s">
        <v>11404</v>
      </c>
      <c r="H14303" s="40" t="s">
        <v>11404</v>
      </c>
    </row>
    <row r="14304">
      <c r="A14304" s="39"/>
      <c r="E14304" s="40" t="s">
        <v>11404</v>
      </c>
      <c r="F14304" s="40" t="s">
        <v>11404</v>
      </c>
      <c r="G14304" s="40" t="s">
        <v>11404</v>
      </c>
      <c r="H14304" s="40" t="s">
        <v>11404</v>
      </c>
    </row>
    <row r="14305">
      <c r="A14305" s="39"/>
      <c r="E14305" s="40" t="s">
        <v>11404</v>
      </c>
      <c r="F14305" s="40" t="s">
        <v>11404</v>
      </c>
      <c r="G14305" s="40" t="s">
        <v>11404</v>
      </c>
      <c r="H14305" s="40" t="s">
        <v>11404</v>
      </c>
    </row>
    <row r="14306">
      <c r="A14306" s="39"/>
      <c r="E14306" s="40" t="s">
        <v>11404</v>
      </c>
      <c r="F14306" s="40" t="s">
        <v>11404</v>
      </c>
      <c r="G14306" s="40" t="s">
        <v>11404</v>
      </c>
      <c r="H14306" s="40" t="s">
        <v>11404</v>
      </c>
    </row>
    <row r="14307">
      <c r="A14307" s="39"/>
      <c r="E14307" s="40" t="s">
        <v>11404</v>
      </c>
      <c r="F14307" s="40" t="s">
        <v>11404</v>
      </c>
      <c r="G14307" s="40" t="s">
        <v>11404</v>
      </c>
      <c r="H14307" s="40" t="s">
        <v>11404</v>
      </c>
    </row>
    <row r="14308">
      <c r="A14308" s="39"/>
      <c r="E14308" s="40" t="s">
        <v>11404</v>
      </c>
      <c r="F14308" s="40" t="s">
        <v>11404</v>
      </c>
      <c r="G14308" s="40" t="s">
        <v>11404</v>
      </c>
      <c r="H14308" s="40" t="s">
        <v>11404</v>
      </c>
    </row>
    <row r="14309">
      <c r="A14309" s="39"/>
      <c r="E14309" s="40" t="s">
        <v>11404</v>
      </c>
      <c r="F14309" s="40" t="s">
        <v>11404</v>
      </c>
      <c r="G14309" s="40" t="s">
        <v>11404</v>
      </c>
      <c r="H14309" s="40" t="s">
        <v>11404</v>
      </c>
    </row>
    <row r="14310">
      <c r="A14310" s="39"/>
      <c r="E14310" s="40" t="s">
        <v>11404</v>
      </c>
      <c r="F14310" s="40" t="s">
        <v>11404</v>
      </c>
      <c r="G14310" s="40" t="s">
        <v>11404</v>
      </c>
      <c r="H14310" s="40" t="s">
        <v>11404</v>
      </c>
    </row>
    <row r="14311">
      <c r="A14311" s="39"/>
      <c r="E14311" s="40" t="s">
        <v>11404</v>
      </c>
      <c r="F14311" s="40" t="s">
        <v>11404</v>
      </c>
      <c r="G14311" s="40" t="s">
        <v>11404</v>
      </c>
      <c r="H14311" s="40" t="s">
        <v>11404</v>
      </c>
    </row>
    <row r="14312">
      <c r="A14312" s="39"/>
      <c r="E14312" s="40" t="s">
        <v>11404</v>
      </c>
      <c r="F14312" s="40" t="s">
        <v>11404</v>
      </c>
      <c r="G14312" s="40" t="s">
        <v>11404</v>
      </c>
      <c r="H14312" s="40" t="s">
        <v>11404</v>
      </c>
    </row>
    <row r="14313">
      <c r="A14313" s="39"/>
      <c r="E14313" s="40" t="s">
        <v>11404</v>
      </c>
      <c r="F14313" s="40" t="s">
        <v>11404</v>
      </c>
      <c r="G14313" s="40" t="s">
        <v>11404</v>
      </c>
      <c r="H14313" s="40" t="s">
        <v>11404</v>
      </c>
    </row>
    <row r="14314">
      <c r="A14314" s="39"/>
      <c r="E14314" s="40" t="s">
        <v>11404</v>
      </c>
      <c r="F14314" s="40" t="s">
        <v>11404</v>
      </c>
      <c r="G14314" s="40" t="s">
        <v>11404</v>
      </c>
      <c r="H14314" s="40" t="s">
        <v>11404</v>
      </c>
    </row>
    <row r="14315">
      <c r="A14315" s="39"/>
      <c r="E14315" s="40" t="s">
        <v>11404</v>
      </c>
      <c r="F14315" s="40" t="s">
        <v>11404</v>
      </c>
      <c r="G14315" s="40" t="s">
        <v>11404</v>
      </c>
      <c r="H14315" s="40" t="s">
        <v>11404</v>
      </c>
    </row>
    <row r="14316">
      <c r="A14316" s="39"/>
      <c r="E14316" s="40" t="s">
        <v>11404</v>
      </c>
      <c r="F14316" s="40" t="s">
        <v>11404</v>
      </c>
      <c r="G14316" s="40" t="s">
        <v>11404</v>
      </c>
      <c r="H14316" s="40" t="s">
        <v>11404</v>
      </c>
    </row>
    <row r="14317">
      <c r="A14317" s="39"/>
      <c r="E14317" s="40" t="s">
        <v>11404</v>
      </c>
      <c r="F14317" s="40" t="s">
        <v>11404</v>
      </c>
      <c r="G14317" s="40" t="s">
        <v>11404</v>
      </c>
      <c r="H14317" s="40" t="s">
        <v>11404</v>
      </c>
    </row>
    <row r="14318">
      <c r="A14318" s="39"/>
      <c r="E14318" s="40" t="s">
        <v>11404</v>
      </c>
      <c r="F14318" s="40" t="s">
        <v>11404</v>
      </c>
      <c r="G14318" s="40" t="s">
        <v>11404</v>
      </c>
      <c r="H14318" s="40" t="s">
        <v>11404</v>
      </c>
    </row>
    <row r="14319">
      <c r="A14319" s="39"/>
      <c r="E14319" s="40" t="s">
        <v>11404</v>
      </c>
      <c r="F14319" s="40" t="s">
        <v>11404</v>
      </c>
      <c r="G14319" s="40" t="s">
        <v>11404</v>
      </c>
      <c r="H14319" s="40" t="s">
        <v>11404</v>
      </c>
    </row>
    <row r="14320">
      <c r="A14320" s="39"/>
      <c r="E14320" s="40" t="s">
        <v>11404</v>
      </c>
      <c r="F14320" s="40" t="s">
        <v>11404</v>
      </c>
      <c r="G14320" s="40" t="s">
        <v>11404</v>
      </c>
      <c r="H14320" s="40" t="s">
        <v>11404</v>
      </c>
    </row>
    <row r="14321">
      <c r="A14321" s="39"/>
      <c r="E14321" s="40" t="s">
        <v>11404</v>
      </c>
      <c r="F14321" s="40" t="s">
        <v>11404</v>
      </c>
      <c r="G14321" s="40" t="s">
        <v>11404</v>
      </c>
      <c r="H14321" s="40" t="s">
        <v>11404</v>
      </c>
    </row>
    <row r="14322">
      <c r="A14322" s="39"/>
      <c r="E14322" s="40" t="s">
        <v>11404</v>
      </c>
      <c r="F14322" s="40" t="s">
        <v>11404</v>
      </c>
      <c r="G14322" s="40" t="s">
        <v>11404</v>
      </c>
      <c r="H14322" s="40" t="s">
        <v>11404</v>
      </c>
    </row>
    <row r="14323">
      <c r="A14323" s="39"/>
      <c r="E14323" s="40" t="s">
        <v>11404</v>
      </c>
      <c r="F14323" s="40" t="s">
        <v>11404</v>
      </c>
      <c r="G14323" s="40" t="s">
        <v>11404</v>
      </c>
      <c r="H14323" s="40" t="s">
        <v>11404</v>
      </c>
    </row>
    <row r="14324">
      <c r="A14324" s="39"/>
      <c r="E14324" s="40" t="s">
        <v>11404</v>
      </c>
      <c r="F14324" s="40" t="s">
        <v>11404</v>
      </c>
      <c r="G14324" s="40" t="s">
        <v>11404</v>
      </c>
      <c r="H14324" s="40" t="s">
        <v>11404</v>
      </c>
    </row>
    <row r="14325">
      <c r="A14325" s="39"/>
      <c r="E14325" s="40" t="s">
        <v>11404</v>
      </c>
      <c r="F14325" s="40" t="s">
        <v>11404</v>
      </c>
      <c r="G14325" s="40" t="s">
        <v>11404</v>
      </c>
      <c r="H14325" s="40" t="s">
        <v>11404</v>
      </c>
    </row>
    <row r="14326">
      <c r="A14326" s="39"/>
      <c r="E14326" s="40" t="s">
        <v>11404</v>
      </c>
      <c r="F14326" s="40" t="s">
        <v>11404</v>
      </c>
      <c r="G14326" s="40" t="s">
        <v>11404</v>
      </c>
      <c r="H14326" s="40" t="s">
        <v>11404</v>
      </c>
    </row>
    <row r="14327">
      <c r="A14327" s="39"/>
      <c r="E14327" s="40" t="s">
        <v>11404</v>
      </c>
      <c r="F14327" s="40" t="s">
        <v>11404</v>
      </c>
      <c r="G14327" s="40" t="s">
        <v>11404</v>
      </c>
      <c r="H14327" s="40" t="s">
        <v>11404</v>
      </c>
    </row>
    <row r="14328">
      <c r="A14328" s="39"/>
      <c r="E14328" s="40" t="s">
        <v>11404</v>
      </c>
      <c r="F14328" s="40" t="s">
        <v>11404</v>
      </c>
      <c r="G14328" s="40" t="s">
        <v>11404</v>
      </c>
      <c r="H14328" s="40" t="s">
        <v>11404</v>
      </c>
    </row>
    <row r="14329">
      <c r="A14329" s="39"/>
      <c r="E14329" s="40" t="s">
        <v>11404</v>
      </c>
      <c r="F14329" s="40" t="s">
        <v>11404</v>
      </c>
      <c r="G14329" s="40" t="s">
        <v>11404</v>
      </c>
      <c r="H14329" s="40" t="s">
        <v>11404</v>
      </c>
    </row>
    <row r="14330">
      <c r="A14330" s="39"/>
      <c r="E14330" s="40" t="s">
        <v>11404</v>
      </c>
      <c r="F14330" s="40" t="s">
        <v>11404</v>
      </c>
      <c r="G14330" s="40" t="s">
        <v>11404</v>
      </c>
      <c r="H14330" s="40" t="s">
        <v>11404</v>
      </c>
    </row>
    <row r="14331">
      <c r="A14331" s="39"/>
      <c r="E14331" s="40" t="s">
        <v>11404</v>
      </c>
      <c r="F14331" s="40" t="s">
        <v>11404</v>
      </c>
      <c r="G14331" s="40" t="s">
        <v>11404</v>
      </c>
      <c r="H14331" s="40" t="s">
        <v>11404</v>
      </c>
    </row>
    <row r="14332">
      <c r="A14332" s="39"/>
      <c r="E14332" s="40" t="s">
        <v>11404</v>
      </c>
      <c r="F14332" s="40" t="s">
        <v>11404</v>
      </c>
      <c r="G14332" s="40" t="s">
        <v>11404</v>
      </c>
      <c r="H14332" s="40" t="s">
        <v>11404</v>
      </c>
    </row>
    <row r="14333">
      <c r="A14333" s="39"/>
      <c r="E14333" s="40" t="s">
        <v>11404</v>
      </c>
      <c r="F14333" s="40" t="s">
        <v>11404</v>
      </c>
      <c r="G14333" s="40" t="s">
        <v>11404</v>
      </c>
      <c r="H14333" s="40" t="s">
        <v>11404</v>
      </c>
    </row>
    <row r="14334">
      <c r="A14334" s="39"/>
      <c r="E14334" s="40" t="s">
        <v>11404</v>
      </c>
      <c r="F14334" s="40" t="s">
        <v>11404</v>
      </c>
      <c r="G14334" s="40" t="s">
        <v>11404</v>
      </c>
      <c r="H14334" s="40" t="s">
        <v>11404</v>
      </c>
    </row>
    <row r="14335">
      <c r="A14335" s="39"/>
      <c r="E14335" s="40" t="s">
        <v>11404</v>
      </c>
      <c r="F14335" s="40" t="s">
        <v>11404</v>
      </c>
      <c r="G14335" s="40" t="s">
        <v>11404</v>
      </c>
      <c r="H14335" s="40" t="s">
        <v>11404</v>
      </c>
    </row>
    <row r="14336">
      <c r="A14336" s="39"/>
      <c r="E14336" s="40" t="s">
        <v>11404</v>
      </c>
      <c r="F14336" s="40" t="s">
        <v>11404</v>
      </c>
      <c r="G14336" s="40" t="s">
        <v>11404</v>
      </c>
      <c r="H14336" s="40" t="s">
        <v>11404</v>
      </c>
    </row>
    <row r="14337">
      <c r="A14337" s="39"/>
      <c r="E14337" s="40" t="s">
        <v>11404</v>
      </c>
      <c r="F14337" s="40" t="s">
        <v>11404</v>
      </c>
      <c r="G14337" s="40" t="s">
        <v>11404</v>
      </c>
      <c r="H14337" s="40" t="s">
        <v>11404</v>
      </c>
    </row>
    <row r="14338">
      <c r="A14338" s="39"/>
      <c r="E14338" s="40" t="s">
        <v>11404</v>
      </c>
      <c r="F14338" s="40" t="s">
        <v>11404</v>
      </c>
      <c r="G14338" s="40" t="s">
        <v>11404</v>
      </c>
      <c r="H14338" s="40" t="s">
        <v>11404</v>
      </c>
    </row>
    <row r="14339">
      <c r="A14339" s="39"/>
      <c r="E14339" s="40" t="s">
        <v>11404</v>
      </c>
      <c r="F14339" s="40" t="s">
        <v>11404</v>
      </c>
      <c r="G14339" s="40" t="s">
        <v>11404</v>
      </c>
      <c r="H14339" s="40" t="s">
        <v>11404</v>
      </c>
    </row>
    <row r="14340">
      <c r="A14340" s="39"/>
      <c r="E14340" s="40" t="s">
        <v>11404</v>
      </c>
      <c r="F14340" s="40" t="s">
        <v>11404</v>
      </c>
      <c r="G14340" s="40" t="s">
        <v>11404</v>
      </c>
      <c r="H14340" s="40" t="s">
        <v>11404</v>
      </c>
    </row>
    <row r="14341">
      <c r="A14341" s="39"/>
      <c r="E14341" s="40" t="s">
        <v>11404</v>
      </c>
      <c r="F14341" s="40" t="s">
        <v>11404</v>
      </c>
      <c r="G14341" s="40" t="s">
        <v>11404</v>
      </c>
      <c r="H14341" s="40" t="s">
        <v>11404</v>
      </c>
    </row>
    <row r="14342">
      <c r="A14342" s="39"/>
      <c r="E14342" s="40" t="s">
        <v>11404</v>
      </c>
      <c r="F14342" s="40" t="s">
        <v>11404</v>
      </c>
      <c r="G14342" s="40" t="s">
        <v>11404</v>
      </c>
      <c r="H14342" s="40" t="s">
        <v>11404</v>
      </c>
    </row>
    <row r="14343">
      <c r="A14343" s="39"/>
      <c r="E14343" s="40" t="s">
        <v>11404</v>
      </c>
      <c r="F14343" s="40" t="s">
        <v>11404</v>
      </c>
      <c r="G14343" s="40" t="s">
        <v>11404</v>
      </c>
      <c r="H14343" s="40" t="s">
        <v>11404</v>
      </c>
    </row>
    <row r="14344">
      <c r="A14344" s="39"/>
      <c r="E14344" s="40" t="s">
        <v>11404</v>
      </c>
      <c r="F14344" s="40" t="s">
        <v>11404</v>
      </c>
      <c r="G14344" s="40" t="s">
        <v>11404</v>
      </c>
      <c r="H14344" s="40" t="s">
        <v>11404</v>
      </c>
    </row>
    <row r="14345">
      <c r="A14345" s="39"/>
      <c r="E14345" s="40" t="s">
        <v>11404</v>
      </c>
      <c r="F14345" s="40" t="s">
        <v>11404</v>
      </c>
      <c r="G14345" s="40" t="s">
        <v>11404</v>
      </c>
      <c r="H14345" s="40" t="s">
        <v>11404</v>
      </c>
    </row>
    <row r="14346">
      <c r="A14346" s="39"/>
      <c r="E14346" s="40" t="s">
        <v>11404</v>
      </c>
      <c r="F14346" s="40" t="s">
        <v>11404</v>
      </c>
      <c r="G14346" s="40" t="s">
        <v>11404</v>
      </c>
      <c r="H14346" s="40" t="s">
        <v>11404</v>
      </c>
    </row>
    <row r="14347">
      <c r="A14347" s="39"/>
      <c r="E14347" s="40" t="s">
        <v>11404</v>
      </c>
      <c r="F14347" s="40" t="s">
        <v>11404</v>
      </c>
      <c r="G14347" s="40" t="s">
        <v>11404</v>
      </c>
      <c r="H14347" s="40" t="s">
        <v>11404</v>
      </c>
    </row>
    <row r="14348">
      <c r="A14348" s="39"/>
      <c r="E14348" s="40" t="s">
        <v>11404</v>
      </c>
      <c r="F14348" s="40" t="s">
        <v>11404</v>
      </c>
      <c r="G14348" s="40" t="s">
        <v>11404</v>
      </c>
      <c r="H14348" s="40" t="s">
        <v>11404</v>
      </c>
    </row>
    <row r="14349">
      <c r="A14349" s="39"/>
      <c r="E14349" s="40" t="s">
        <v>11404</v>
      </c>
      <c r="F14349" s="40" t="s">
        <v>11404</v>
      </c>
      <c r="G14349" s="40" t="s">
        <v>11404</v>
      </c>
      <c r="H14349" s="40" t="s">
        <v>11404</v>
      </c>
    </row>
    <row r="14350">
      <c r="A14350" s="39"/>
      <c r="E14350" s="40" t="s">
        <v>11404</v>
      </c>
      <c r="F14350" s="40" t="s">
        <v>11404</v>
      </c>
      <c r="G14350" s="40" t="s">
        <v>11404</v>
      </c>
      <c r="H14350" s="40" t="s">
        <v>11404</v>
      </c>
    </row>
    <row r="14351">
      <c r="A14351" s="39"/>
      <c r="E14351" s="40" t="s">
        <v>11404</v>
      </c>
      <c r="F14351" s="40" t="s">
        <v>11404</v>
      </c>
      <c r="G14351" s="40" t="s">
        <v>11404</v>
      </c>
      <c r="H14351" s="40" t="s">
        <v>11404</v>
      </c>
    </row>
    <row r="14352">
      <c r="A14352" s="39"/>
      <c r="E14352" s="40" t="s">
        <v>11404</v>
      </c>
      <c r="F14352" s="40" t="s">
        <v>11404</v>
      </c>
      <c r="G14352" s="40" t="s">
        <v>11404</v>
      </c>
      <c r="H14352" s="40" t="s">
        <v>11404</v>
      </c>
    </row>
    <row r="14353">
      <c r="A14353" s="39"/>
      <c r="E14353" s="40" t="s">
        <v>11404</v>
      </c>
      <c r="F14353" s="40" t="s">
        <v>11404</v>
      </c>
      <c r="G14353" s="40" t="s">
        <v>11404</v>
      </c>
      <c r="H14353" s="40" t="s">
        <v>11404</v>
      </c>
    </row>
    <row r="14354">
      <c r="A14354" s="39"/>
      <c r="E14354" s="40" t="s">
        <v>11404</v>
      </c>
      <c r="F14354" s="40" t="s">
        <v>11404</v>
      </c>
      <c r="G14354" s="40" t="s">
        <v>11404</v>
      </c>
      <c r="H14354" s="40" t="s">
        <v>11404</v>
      </c>
    </row>
    <row r="14355">
      <c r="A14355" s="39"/>
      <c r="E14355" s="40" t="s">
        <v>11404</v>
      </c>
      <c r="F14355" s="40" t="s">
        <v>11404</v>
      </c>
      <c r="G14355" s="40" t="s">
        <v>11404</v>
      </c>
      <c r="H14355" s="40" t="s">
        <v>11404</v>
      </c>
    </row>
    <row r="14356">
      <c r="A14356" s="39"/>
      <c r="E14356" s="40" t="s">
        <v>11404</v>
      </c>
      <c r="F14356" s="40" t="s">
        <v>11404</v>
      </c>
      <c r="G14356" s="40" t="s">
        <v>11404</v>
      </c>
      <c r="H14356" s="40" t="s">
        <v>11404</v>
      </c>
    </row>
    <row r="14357">
      <c r="A14357" s="39"/>
      <c r="E14357" s="40" t="s">
        <v>11404</v>
      </c>
      <c r="F14357" s="40" t="s">
        <v>11404</v>
      </c>
      <c r="G14357" s="40" t="s">
        <v>11404</v>
      </c>
      <c r="H14357" s="40" t="s">
        <v>11404</v>
      </c>
    </row>
    <row r="14358">
      <c r="A14358" s="39"/>
      <c r="E14358" s="40" t="s">
        <v>11404</v>
      </c>
      <c r="F14358" s="40" t="s">
        <v>11404</v>
      </c>
      <c r="G14358" s="40" t="s">
        <v>11404</v>
      </c>
      <c r="H14358" s="40" t="s">
        <v>11404</v>
      </c>
    </row>
    <row r="14359">
      <c r="A14359" s="39"/>
      <c r="E14359" s="40" t="s">
        <v>11404</v>
      </c>
      <c r="F14359" s="40" t="s">
        <v>11404</v>
      </c>
      <c r="G14359" s="40" t="s">
        <v>11404</v>
      </c>
      <c r="H14359" s="40" t="s">
        <v>11404</v>
      </c>
    </row>
    <row r="14360">
      <c r="A14360" s="39"/>
      <c r="E14360" s="40" t="s">
        <v>11404</v>
      </c>
      <c r="F14360" s="40" t="s">
        <v>11404</v>
      </c>
      <c r="G14360" s="40" t="s">
        <v>11404</v>
      </c>
      <c r="H14360" s="40" t="s">
        <v>11404</v>
      </c>
    </row>
    <row r="14361">
      <c r="A14361" s="39"/>
      <c r="E14361" s="40" t="s">
        <v>11404</v>
      </c>
      <c r="F14361" s="40" t="s">
        <v>11404</v>
      </c>
      <c r="G14361" s="40" t="s">
        <v>11404</v>
      </c>
      <c r="H14361" s="40" t="s">
        <v>11404</v>
      </c>
    </row>
    <row r="14362">
      <c r="A14362" s="39"/>
      <c r="E14362" s="40" t="s">
        <v>11404</v>
      </c>
      <c r="F14362" s="40" t="s">
        <v>11404</v>
      </c>
      <c r="G14362" s="40" t="s">
        <v>11404</v>
      </c>
      <c r="H14362" s="40" t="s">
        <v>11404</v>
      </c>
    </row>
    <row r="14363">
      <c r="A14363" s="39"/>
      <c r="E14363" s="40" t="s">
        <v>11404</v>
      </c>
      <c r="F14363" s="40" t="s">
        <v>11404</v>
      </c>
      <c r="G14363" s="40" t="s">
        <v>11404</v>
      </c>
      <c r="H14363" s="40" t="s">
        <v>11404</v>
      </c>
    </row>
    <row r="14364">
      <c r="A14364" s="39"/>
      <c r="E14364" s="40" t="s">
        <v>11404</v>
      </c>
      <c r="F14364" s="40" t="s">
        <v>11404</v>
      </c>
      <c r="G14364" s="40" t="s">
        <v>11404</v>
      </c>
      <c r="H14364" s="40" t="s">
        <v>11404</v>
      </c>
    </row>
    <row r="14365">
      <c r="A14365" s="39"/>
      <c r="E14365" s="40" t="s">
        <v>11404</v>
      </c>
      <c r="F14365" s="40" t="s">
        <v>11404</v>
      </c>
      <c r="G14365" s="40" t="s">
        <v>11404</v>
      </c>
      <c r="H14365" s="40" t="s">
        <v>11404</v>
      </c>
    </row>
    <row r="14366">
      <c r="A14366" s="39"/>
      <c r="E14366" s="40" t="s">
        <v>11404</v>
      </c>
      <c r="F14366" s="40" t="s">
        <v>11404</v>
      </c>
      <c r="G14366" s="40" t="s">
        <v>11404</v>
      </c>
      <c r="H14366" s="40" t="s">
        <v>11404</v>
      </c>
    </row>
    <row r="14367">
      <c r="A14367" s="39"/>
      <c r="E14367" s="40" t="s">
        <v>11404</v>
      </c>
      <c r="F14367" s="40" t="s">
        <v>11404</v>
      </c>
      <c r="G14367" s="40" t="s">
        <v>11404</v>
      </c>
      <c r="H14367" s="40" t="s">
        <v>11404</v>
      </c>
    </row>
    <row r="14368">
      <c r="A14368" s="39"/>
      <c r="E14368" s="40" t="s">
        <v>11404</v>
      </c>
      <c r="F14368" s="40" t="s">
        <v>11404</v>
      </c>
      <c r="G14368" s="40" t="s">
        <v>11404</v>
      </c>
      <c r="H14368" s="40" t="s">
        <v>11404</v>
      </c>
    </row>
    <row r="14369">
      <c r="A14369" s="39"/>
      <c r="E14369" s="40" t="s">
        <v>11404</v>
      </c>
      <c r="F14369" s="40" t="s">
        <v>11404</v>
      </c>
      <c r="G14369" s="40" t="s">
        <v>11404</v>
      </c>
      <c r="H14369" s="40" t="s">
        <v>11404</v>
      </c>
    </row>
    <row r="14370">
      <c r="A14370" s="39"/>
      <c r="E14370" s="40" t="s">
        <v>11404</v>
      </c>
      <c r="F14370" s="40" t="s">
        <v>11404</v>
      </c>
      <c r="G14370" s="40" t="s">
        <v>11404</v>
      </c>
      <c r="H14370" s="40" t="s">
        <v>11404</v>
      </c>
    </row>
    <row r="14371">
      <c r="A14371" s="39"/>
      <c r="E14371" s="40" t="s">
        <v>11404</v>
      </c>
      <c r="F14371" s="40" t="s">
        <v>11404</v>
      </c>
      <c r="G14371" s="40" t="s">
        <v>11404</v>
      </c>
      <c r="H14371" s="40" t="s">
        <v>11404</v>
      </c>
    </row>
    <row r="14372">
      <c r="A14372" s="39"/>
      <c r="E14372" s="40" t="s">
        <v>11404</v>
      </c>
      <c r="F14372" s="40" t="s">
        <v>11404</v>
      </c>
      <c r="G14372" s="40" t="s">
        <v>11404</v>
      </c>
      <c r="H14372" s="40" t="s">
        <v>11404</v>
      </c>
    </row>
    <row r="14373">
      <c r="A14373" s="39"/>
      <c r="E14373" s="40" t="s">
        <v>11404</v>
      </c>
      <c r="F14373" s="40" t="s">
        <v>11404</v>
      </c>
      <c r="G14373" s="40" t="s">
        <v>11404</v>
      </c>
      <c r="H14373" s="40" t="s">
        <v>11404</v>
      </c>
    </row>
    <row r="14374">
      <c r="A14374" s="39"/>
      <c r="E14374" s="40" t="s">
        <v>11404</v>
      </c>
      <c r="F14374" s="40" t="s">
        <v>11404</v>
      </c>
      <c r="G14374" s="40" t="s">
        <v>11404</v>
      </c>
      <c r="H14374" s="40" t="s">
        <v>11404</v>
      </c>
    </row>
    <row r="14375">
      <c r="A14375" s="39"/>
      <c r="E14375" s="40" t="s">
        <v>11404</v>
      </c>
      <c r="F14375" s="40" t="s">
        <v>11404</v>
      </c>
      <c r="G14375" s="40" t="s">
        <v>11404</v>
      </c>
      <c r="H14375" s="40" t="s">
        <v>11404</v>
      </c>
    </row>
    <row r="14376">
      <c r="A14376" s="39"/>
      <c r="E14376" s="40" t="s">
        <v>11404</v>
      </c>
      <c r="F14376" s="40" t="s">
        <v>11404</v>
      </c>
      <c r="G14376" s="40" t="s">
        <v>11404</v>
      </c>
      <c r="H14376" s="40" t="s">
        <v>11404</v>
      </c>
    </row>
    <row r="14377">
      <c r="A14377" s="39"/>
      <c r="E14377" s="40" t="s">
        <v>11404</v>
      </c>
      <c r="F14377" s="40" t="s">
        <v>11404</v>
      </c>
      <c r="G14377" s="40" t="s">
        <v>11404</v>
      </c>
      <c r="H14377" s="40" t="s">
        <v>11404</v>
      </c>
    </row>
    <row r="14378">
      <c r="A14378" s="39"/>
      <c r="E14378" s="40" t="s">
        <v>11404</v>
      </c>
      <c r="F14378" s="40" t="s">
        <v>11404</v>
      </c>
      <c r="G14378" s="40" t="s">
        <v>11404</v>
      </c>
      <c r="H14378" s="40" t="s">
        <v>11404</v>
      </c>
    </row>
    <row r="14379">
      <c r="A14379" s="39"/>
      <c r="E14379" s="40" t="s">
        <v>11404</v>
      </c>
      <c r="F14379" s="40" t="s">
        <v>11404</v>
      </c>
      <c r="G14379" s="40" t="s">
        <v>11404</v>
      </c>
      <c r="H14379" s="40" t="s">
        <v>11404</v>
      </c>
    </row>
    <row r="14380">
      <c r="A14380" s="39"/>
      <c r="E14380" s="40" t="s">
        <v>11404</v>
      </c>
      <c r="F14380" s="40" t="s">
        <v>11404</v>
      </c>
      <c r="G14380" s="40" t="s">
        <v>11404</v>
      </c>
      <c r="H14380" s="40" t="s">
        <v>11404</v>
      </c>
    </row>
    <row r="14381">
      <c r="A14381" s="39"/>
      <c r="E14381" s="40" t="s">
        <v>11404</v>
      </c>
      <c r="F14381" s="40" t="s">
        <v>11404</v>
      </c>
      <c r="G14381" s="40" t="s">
        <v>11404</v>
      </c>
      <c r="H14381" s="40" t="s">
        <v>11404</v>
      </c>
    </row>
    <row r="14382">
      <c r="A14382" s="39"/>
      <c r="E14382" s="40" t="s">
        <v>11404</v>
      </c>
      <c r="F14382" s="40" t="s">
        <v>11404</v>
      </c>
      <c r="G14382" s="40" t="s">
        <v>11404</v>
      </c>
      <c r="H14382" s="40" t="s">
        <v>11404</v>
      </c>
    </row>
    <row r="14383">
      <c r="A14383" s="39"/>
      <c r="E14383" s="40" t="s">
        <v>11404</v>
      </c>
      <c r="F14383" s="40" t="s">
        <v>11404</v>
      </c>
      <c r="G14383" s="40" t="s">
        <v>11404</v>
      </c>
      <c r="H14383" s="40" t="s">
        <v>11404</v>
      </c>
    </row>
    <row r="14384">
      <c r="A14384" s="39"/>
      <c r="E14384" s="40" t="s">
        <v>11404</v>
      </c>
      <c r="F14384" s="40" t="s">
        <v>11404</v>
      </c>
      <c r="G14384" s="40" t="s">
        <v>11404</v>
      </c>
      <c r="H14384" s="40" t="s">
        <v>11404</v>
      </c>
    </row>
    <row r="14385">
      <c r="A14385" s="39"/>
      <c r="E14385" s="40" t="s">
        <v>11404</v>
      </c>
      <c r="F14385" s="40" t="s">
        <v>11404</v>
      </c>
      <c r="G14385" s="40" t="s">
        <v>11404</v>
      </c>
      <c r="H14385" s="40" t="s">
        <v>11404</v>
      </c>
    </row>
    <row r="14386">
      <c r="A14386" s="39"/>
      <c r="E14386" s="40" t="s">
        <v>11404</v>
      </c>
      <c r="F14386" s="40" t="s">
        <v>11404</v>
      </c>
      <c r="G14386" s="40" t="s">
        <v>11404</v>
      </c>
      <c r="H14386" s="40" t="s">
        <v>11404</v>
      </c>
    </row>
    <row r="14387">
      <c r="A14387" s="39"/>
      <c r="E14387" s="40" t="s">
        <v>11404</v>
      </c>
      <c r="F14387" s="40" t="s">
        <v>11404</v>
      </c>
      <c r="G14387" s="40" t="s">
        <v>11404</v>
      </c>
      <c r="H14387" s="40" t="s">
        <v>11404</v>
      </c>
    </row>
    <row r="14388">
      <c r="A14388" s="39"/>
      <c r="E14388" s="40" t="s">
        <v>11404</v>
      </c>
      <c r="F14388" s="40" t="s">
        <v>11404</v>
      </c>
      <c r="G14388" s="40" t="s">
        <v>11404</v>
      </c>
      <c r="H14388" s="40" t="s">
        <v>11404</v>
      </c>
    </row>
    <row r="14389">
      <c r="A14389" s="39"/>
      <c r="E14389" s="40" t="s">
        <v>11404</v>
      </c>
      <c r="F14389" s="40" t="s">
        <v>11404</v>
      </c>
      <c r="G14389" s="40" t="s">
        <v>11404</v>
      </c>
      <c r="H14389" s="40" t="s">
        <v>11404</v>
      </c>
    </row>
    <row r="14390">
      <c r="A14390" s="39"/>
      <c r="E14390" s="40" t="s">
        <v>11404</v>
      </c>
      <c r="F14390" s="40" t="s">
        <v>11404</v>
      </c>
      <c r="G14390" s="40" t="s">
        <v>11404</v>
      </c>
      <c r="H14390" s="40" t="s">
        <v>11404</v>
      </c>
    </row>
    <row r="14391">
      <c r="A14391" s="39"/>
      <c r="E14391" s="40" t="s">
        <v>11404</v>
      </c>
      <c r="F14391" s="40" t="s">
        <v>11404</v>
      </c>
      <c r="G14391" s="40" t="s">
        <v>11404</v>
      </c>
      <c r="H14391" s="40" t="s">
        <v>11404</v>
      </c>
    </row>
    <row r="14392">
      <c r="A14392" s="39"/>
      <c r="E14392" s="40" t="s">
        <v>11404</v>
      </c>
      <c r="F14392" s="40" t="s">
        <v>11404</v>
      </c>
      <c r="G14392" s="40" t="s">
        <v>11404</v>
      </c>
      <c r="H14392" s="40" t="s">
        <v>11404</v>
      </c>
    </row>
    <row r="14393">
      <c r="A14393" s="39"/>
      <c r="E14393" s="40" t="s">
        <v>11404</v>
      </c>
      <c r="F14393" s="40" t="s">
        <v>11404</v>
      </c>
      <c r="G14393" s="40" t="s">
        <v>11404</v>
      </c>
      <c r="H14393" s="40" t="s">
        <v>11404</v>
      </c>
    </row>
    <row r="14394">
      <c r="A14394" s="39"/>
      <c r="E14394" s="40" t="s">
        <v>11404</v>
      </c>
      <c r="F14394" s="40" t="s">
        <v>11404</v>
      </c>
      <c r="G14394" s="40" t="s">
        <v>11404</v>
      </c>
      <c r="H14394" s="40" t="s">
        <v>11404</v>
      </c>
    </row>
    <row r="14395">
      <c r="A14395" s="39"/>
      <c r="E14395" s="40" t="s">
        <v>11404</v>
      </c>
      <c r="F14395" s="40" t="s">
        <v>11404</v>
      </c>
      <c r="G14395" s="40" t="s">
        <v>11404</v>
      </c>
      <c r="H14395" s="40" t="s">
        <v>11404</v>
      </c>
    </row>
    <row r="14396">
      <c r="A14396" s="39"/>
      <c r="E14396" s="40" t="s">
        <v>11404</v>
      </c>
      <c r="F14396" s="40" t="s">
        <v>11404</v>
      </c>
      <c r="G14396" s="40" t="s">
        <v>11404</v>
      </c>
      <c r="H14396" s="40" t="s">
        <v>11404</v>
      </c>
    </row>
    <row r="14397">
      <c r="A14397" s="39"/>
      <c r="E14397" s="40" t="s">
        <v>11404</v>
      </c>
      <c r="F14397" s="40" t="s">
        <v>11404</v>
      </c>
      <c r="G14397" s="40" t="s">
        <v>11404</v>
      </c>
      <c r="H14397" s="40" t="s">
        <v>11404</v>
      </c>
    </row>
    <row r="14398">
      <c r="A14398" s="39"/>
      <c r="E14398" s="40" t="s">
        <v>11404</v>
      </c>
      <c r="F14398" s="40" t="s">
        <v>11404</v>
      </c>
      <c r="G14398" s="40" t="s">
        <v>11404</v>
      </c>
      <c r="H14398" s="40" t="s">
        <v>11404</v>
      </c>
    </row>
    <row r="14399">
      <c r="A14399" s="39"/>
      <c r="E14399" s="40" t="s">
        <v>11404</v>
      </c>
      <c r="F14399" s="40" t="s">
        <v>11404</v>
      </c>
      <c r="G14399" s="40" t="s">
        <v>11404</v>
      </c>
      <c r="H14399" s="40" t="s">
        <v>11404</v>
      </c>
    </row>
    <row r="14400">
      <c r="A14400" s="39"/>
      <c r="E14400" s="40" t="s">
        <v>11404</v>
      </c>
      <c r="F14400" s="40" t="s">
        <v>11404</v>
      </c>
      <c r="G14400" s="40" t="s">
        <v>11404</v>
      </c>
      <c r="H14400" s="40" t="s">
        <v>11404</v>
      </c>
    </row>
    <row r="14401">
      <c r="A14401" s="39"/>
      <c r="E14401" s="40" t="s">
        <v>11404</v>
      </c>
      <c r="F14401" s="40" t="s">
        <v>11404</v>
      </c>
      <c r="G14401" s="40" t="s">
        <v>11404</v>
      </c>
      <c r="H14401" s="40" t="s">
        <v>11404</v>
      </c>
    </row>
    <row r="14402">
      <c r="A14402" s="39"/>
      <c r="E14402" s="40" t="s">
        <v>11404</v>
      </c>
      <c r="F14402" s="40" t="s">
        <v>11404</v>
      </c>
      <c r="G14402" s="40" t="s">
        <v>11404</v>
      </c>
      <c r="H14402" s="40" t="s">
        <v>11404</v>
      </c>
    </row>
    <row r="14403">
      <c r="A14403" s="39"/>
      <c r="E14403" s="40" t="s">
        <v>11404</v>
      </c>
      <c r="F14403" s="40" t="s">
        <v>11404</v>
      </c>
      <c r="G14403" s="40" t="s">
        <v>11404</v>
      </c>
      <c r="H14403" s="40" t="s">
        <v>11404</v>
      </c>
    </row>
    <row r="14404">
      <c r="A14404" s="39"/>
      <c r="E14404" s="40" t="s">
        <v>11404</v>
      </c>
      <c r="F14404" s="40" t="s">
        <v>11404</v>
      </c>
      <c r="G14404" s="40" t="s">
        <v>11404</v>
      </c>
      <c r="H14404" s="40" t="s">
        <v>11404</v>
      </c>
    </row>
    <row r="14405">
      <c r="A14405" s="39"/>
      <c r="E14405" s="40" t="s">
        <v>11404</v>
      </c>
      <c r="F14405" s="40" t="s">
        <v>11404</v>
      </c>
      <c r="G14405" s="40" t="s">
        <v>11404</v>
      </c>
      <c r="H14405" s="40" t="s">
        <v>11404</v>
      </c>
    </row>
    <row r="14406">
      <c r="A14406" s="39"/>
      <c r="E14406" s="40" t="s">
        <v>11404</v>
      </c>
      <c r="F14406" s="40" t="s">
        <v>11404</v>
      </c>
      <c r="G14406" s="40" t="s">
        <v>11404</v>
      </c>
      <c r="H14406" s="40" t="s">
        <v>11404</v>
      </c>
    </row>
    <row r="14407">
      <c r="A14407" s="39"/>
      <c r="E14407" s="40" t="s">
        <v>11404</v>
      </c>
      <c r="F14407" s="40" t="s">
        <v>11404</v>
      </c>
      <c r="G14407" s="40" t="s">
        <v>11404</v>
      </c>
      <c r="H14407" s="40" t="s">
        <v>11404</v>
      </c>
    </row>
    <row r="14408">
      <c r="A14408" s="39"/>
      <c r="E14408" s="40" t="s">
        <v>11404</v>
      </c>
      <c r="F14408" s="40" t="s">
        <v>11404</v>
      </c>
      <c r="G14408" s="40" t="s">
        <v>11404</v>
      </c>
      <c r="H14408" s="40" t="s">
        <v>11404</v>
      </c>
    </row>
    <row r="14409">
      <c r="A14409" s="39"/>
      <c r="E14409" s="40" t="s">
        <v>11404</v>
      </c>
      <c r="F14409" s="40" t="s">
        <v>11404</v>
      </c>
      <c r="G14409" s="40" t="s">
        <v>11404</v>
      </c>
      <c r="H14409" s="40" t="s">
        <v>11404</v>
      </c>
    </row>
    <row r="14410">
      <c r="A14410" s="39"/>
      <c r="E14410" s="40" t="s">
        <v>11404</v>
      </c>
      <c r="F14410" s="40" t="s">
        <v>11404</v>
      </c>
      <c r="G14410" s="40" t="s">
        <v>11404</v>
      </c>
      <c r="H14410" s="40" t="s">
        <v>11404</v>
      </c>
    </row>
    <row r="14411">
      <c r="A14411" s="39"/>
      <c r="E14411" s="40" t="s">
        <v>11404</v>
      </c>
      <c r="F14411" s="40" t="s">
        <v>11404</v>
      </c>
      <c r="G14411" s="40" t="s">
        <v>11404</v>
      </c>
      <c r="H14411" s="40" t="s">
        <v>11404</v>
      </c>
    </row>
    <row r="14412">
      <c r="A14412" s="39"/>
      <c r="E14412" s="40" t="s">
        <v>11404</v>
      </c>
      <c r="F14412" s="40" t="s">
        <v>11404</v>
      </c>
      <c r="G14412" s="40" t="s">
        <v>11404</v>
      </c>
      <c r="H14412" s="40" t="s">
        <v>11404</v>
      </c>
    </row>
    <row r="14413">
      <c r="A14413" s="39"/>
      <c r="E14413" s="40" t="s">
        <v>11404</v>
      </c>
      <c r="F14413" s="40" t="s">
        <v>11404</v>
      </c>
      <c r="G14413" s="40" t="s">
        <v>11404</v>
      </c>
      <c r="H14413" s="40" t="s">
        <v>11404</v>
      </c>
    </row>
    <row r="14414">
      <c r="A14414" s="39"/>
      <c r="E14414" s="40" t="s">
        <v>11404</v>
      </c>
      <c r="F14414" s="40" t="s">
        <v>11404</v>
      </c>
      <c r="G14414" s="40" t="s">
        <v>11404</v>
      </c>
      <c r="H14414" s="40" t="s">
        <v>11404</v>
      </c>
    </row>
    <row r="14415">
      <c r="A14415" s="39"/>
      <c r="E14415" s="40" t="s">
        <v>11404</v>
      </c>
      <c r="F14415" s="40" t="s">
        <v>11404</v>
      </c>
      <c r="G14415" s="40" t="s">
        <v>11404</v>
      </c>
      <c r="H14415" s="40" t="s">
        <v>11404</v>
      </c>
    </row>
    <row r="14416">
      <c r="A14416" s="39"/>
      <c r="E14416" s="40" t="s">
        <v>11404</v>
      </c>
      <c r="F14416" s="40" t="s">
        <v>11404</v>
      </c>
      <c r="G14416" s="40" t="s">
        <v>11404</v>
      </c>
      <c r="H14416" s="40" t="s">
        <v>11404</v>
      </c>
    </row>
    <row r="14417">
      <c r="A14417" s="39"/>
      <c r="E14417" s="40" t="s">
        <v>11404</v>
      </c>
      <c r="F14417" s="40" t="s">
        <v>11404</v>
      </c>
      <c r="G14417" s="40" t="s">
        <v>11404</v>
      </c>
      <c r="H14417" s="40" t="s">
        <v>11404</v>
      </c>
    </row>
    <row r="14418">
      <c r="A14418" s="39"/>
      <c r="E14418" s="40" t="s">
        <v>11404</v>
      </c>
      <c r="F14418" s="40" t="s">
        <v>11404</v>
      </c>
      <c r="G14418" s="40" t="s">
        <v>11404</v>
      </c>
      <c r="H14418" s="40" t="s">
        <v>11404</v>
      </c>
    </row>
    <row r="14419">
      <c r="A14419" s="39"/>
      <c r="E14419" s="40" t="s">
        <v>11404</v>
      </c>
      <c r="F14419" s="40" t="s">
        <v>11404</v>
      </c>
      <c r="G14419" s="40" t="s">
        <v>11404</v>
      </c>
      <c r="H14419" s="40" t="s">
        <v>11404</v>
      </c>
    </row>
    <row r="14420">
      <c r="A14420" s="39"/>
      <c r="E14420" s="40" t="s">
        <v>11404</v>
      </c>
      <c r="F14420" s="40" t="s">
        <v>11404</v>
      </c>
      <c r="G14420" s="40" t="s">
        <v>11404</v>
      </c>
      <c r="H14420" s="40" t="s">
        <v>11404</v>
      </c>
    </row>
    <row r="14421">
      <c r="A14421" s="39"/>
      <c r="E14421" s="40" t="s">
        <v>11404</v>
      </c>
      <c r="F14421" s="40" t="s">
        <v>11404</v>
      </c>
      <c r="G14421" s="40" t="s">
        <v>11404</v>
      </c>
      <c r="H14421" s="40" t="s">
        <v>11404</v>
      </c>
    </row>
    <row r="14422">
      <c r="A14422" s="39"/>
      <c r="E14422" s="40" t="s">
        <v>11404</v>
      </c>
      <c r="F14422" s="40" t="s">
        <v>11404</v>
      </c>
      <c r="G14422" s="40" t="s">
        <v>11404</v>
      </c>
      <c r="H14422" s="40" t="s">
        <v>11404</v>
      </c>
    </row>
    <row r="14423">
      <c r="A14423" s="39"/>
      <c r="E14423" s="40" t="s">
        <v>11404</v>
      </c>
      <c r="F14423" s="40" t="s">
        <v>11404</v>
      </c>
      <c r="G14423" s="40" t="s">
        <v>11404</v>
      </c>
      <c r="H14423" s="40" t="s">
        <v>11404</v>
      </c>
    </row>
    <row r="14424">
      <c r="A14424" s="39"/>
      <c r="E14424" s="40" t="s">
        <v>11404</v>
      </c>
      <c r="F14424" s="40" t="s">
        <v>11404</v>
      </c>
      <c r="G14424" s="40" t="s">
        <v>11404</v>
      </c>
      <c r="H14424" s="40" t="s">
        <v>11404</v>
      </c>
    </row>
    <row r="14425">
      <c r="A14425" s="39"/>
      <c r="E14425" s="40" t="s">
        <v>11404</v>
      </c>
      <c r="F14425" s="40" t="s">
        <v>11404</v>
      </c>
      <c r="G14425" s="40" t="s">
        <v>11404</v>
      </c>
      <c r="H14425" s="40" t="s">
        <v>11404</v>
      </c>
    </row>
    <row r="14426">
      <c r="A14426" s="39"/>
      <c r="E14426" s="40" t="s">
        <v>11404</v>
      </c>
      <c r="F14426" s="40" t="s">
        <v>11404</v>
      </c>
      <c r="G14426" s="40" t="s">
        <v>11404</v>
      </c>
      <c r="H14426" s="40" t="s">
        <v>11404</v>
      </c>
    </row>
    <row r="14427">
      <c r="A14427" s="39"/>
      <c r="E14427" s="40" t="s">
        <v>11404</v>
      </c>
      <c r="F14427" s="40" t="s">
        <v>11404</v>
      </c>
      <c r="G14427" s="40" t="s">
        <v>11404</v>
      </c>
      <c r="H14427" s="40" t="s">
        <v>11404</v>
      </c>
    </row>
    <row r="14428">
      <c r="A14428" s="39"/>
      <c r="E14428" s="40" t="s">
        <v>11404</v>
      </c>
      <c r="F14428" s="40" t="s">
        <v>11404</v>
      </c>
      <c r="G14428" s="40" t="s">
        <v>11404</v>
      </c>
      <c r="H14428" s="40" t="s">
        <v>11404</v>
      </c>
    </row>
    <row r="14429">
      <c r="A14429" s="39"/>
      <c r="E14429" s="40" t="s">
        <v>11404</v>
      </c>
      <c r="F14429" s="40" t="s">
        <v>11404</v>
      </c>
      <c r="G14429" s="40" t="s">
        <v>11404</v>
      </c>
      <c r="H14429" s="40" t="s">
        <v>11404</v>
      </c>
    </row>
    <row r="14430">
      <c r="A14430" s="39"/>
      <c r="E14430" s="40" t="s">
        <v>11404</v>
      </c>
      <c r="F14430" s="40" t="s">
        <v>11404</v>
      </c>
      <c r="G14430" s="40" t="s">
        <v>11404</v>
      </c>
      <c r="H14430" s="40" t="s">
        <v>11404</v>
      </c>
    </row>
    <row r="14431">
      <c r="A14431" s="39"/>
      <c r="E14431" s="40" t="s">
        <v>11404</v>
      </c>
      <c r="F14431" s="40" t="s">
        <v>11404</v>
      </c>
      <c r="G14431" s="40" t="s">
        <v>11404</v>
      </c>
      <c r="H14431" s="40" t="s">
        <v>11404</v>
      </c>
    </row>
    <row r="14432">
      <c r="A14432" s="39"/>
      <c r="E14432" s="40" t="s">
        <v>11404</v>
      </c>
      <c r="F14432" s="40" t="s">
        <v>11404</v>
      </c>
      <c r="G14432" s="40" t="s">
        <v>11404</v>
      </c>
      <c r="H14432" s="40" t="s">
        <v>11404</v>
      </c>
    </row>
    <row r="14433">
      <c r="A14433" s="39"/>
      <c r="E14433" s="40" t="s">
        <v>11404</v>
      </c>
      <c r="F14433" s="40" t="s">
        <v>11404</v>
      </c>
      <c r="G14433" s="40" t="s">
        <v>11404</v>
      </c>
      <c r="H14433" s="40" t="s">
        <v>11404</v>
      </c>
    </row>
    <row r="14434">
      <c r="A14434" s="39"/>
      <c r="E14434" s="40" t="s">
        <v>11404</v>
      </c>
      <c r="F14434" s="40" t="s">
        <v>11404</v>
      </c>
      <c r="G14434" s="40" t="s">
        <v>11404</v>
      </c>
      <c r="H14434" s="40" t="s">
        <v>11404</v>
      </c>
    </row>
    <row r="14435">
      <c r="A14435" s="39"/>
      <c r="E14435" s="40" t="s">
        <v>11404</v>
      </c>
      <c r="F14435" s="40" t="s">
        <v>11404</v>
      </c>
      <c r="G14435" s="40" t="s">
        <v>11404</v>
      </c>
      <c r="H14435" s="40" t="s">
        <v>11404</v>
      </c>
    </row>
    <row r="14436">
      <c r="A14436" s="39"/>
      <c r="E14436" s="40" t="s">
        <v>11404</v>
      </c>
      <c r="F14436" s="40" t="s">
        <v>11404</v>
      </c>
      <c r="G14436" s="40" t="s">
        <v>11404</v>
      </c>
      <c r="H14436" s="40" t="s">
        <v>11404</v>
      </c>
    </row>
    <row r="14437">
      <c r="A14437" s="39"/>
      <c r="E14437" s="40" t="s">
        <v>11404</v>
      </c>
      <c r="F14437" s="40" t="s">
        <v>11404</v>
      </c>
      <c r="G14437" s="40" t="s">
        <v>11404</v>
      </c>
      <c r="H14437" s="40" t="s">
        <v>11404</v>
      </c>
    </row>
    <row r="14438">
      <c r="A14438" s="39"/>
      <c r="E14438" s="40" t="s">
        <v>11404</v>
      </c>
      <c r="F14438" s="40" t="s">
        <v>11404</v>
      </c>
      <c r="G14438" s="40" t="s">
        <v>11404</v>
      </c>
      <c r="H14438" s="40" t="s">
        <v>11404</v>
      </c>
    </row>
    <row r="14439">
      <c r="A14439" s="39"/>
      <c r="E14439" s="40" t="s">
        <v>11404</v>
      </c>
      <c r="F14439" s="40" t="s">
        <v>11404</v>
      </c>
      <c r="G14439" s="40" t="s">
        <v>11404</v>
      </c>
      <c r="H14439" s="40" t="s">
        <v>11404</v>
      </c>
    </row>
    <row r="14440">
      <c r="A14440" s="39"/>
      <c r="E14440" s="40" t="s">
        <v>11404</v>
      </c>
      <c r="F14440" s="40" t="s">
        <v>11404</v>
      </c>
      <c r="G14440" s="40" t="s">
        <v>11404</v>
      </c>
      <c r="H14440" s="40" t="s">
        <v>11404</v>
      </c>
    </row>
    <row r="14441">
      <c r="A14441" s="39"/>
      <c r="E14441" s="40" t="s">
        <v>11404</v>
      </c>
      <c r="F14441" s="40" t="s">
        <v>11404</v>
      </c>
      <c r="G14441" s="40" t="s">
        <v>11404</v>
      </c>
      <c r="H14441" s="40" t="s">
        <v>11404</v>
      </c>
    </row>
    <row r="14442">
      <c r="A14442" s="39"/>
      <c r="E14442" s="40" t="s">
        <v>11404</v>
      </c>
      <c r="F14442" s="40" t="s">
        <v>11404</v>
      </c>
      <c r="G14442" s="40" t="s">
        <v>11404</v>
      </c>
      <c r="H14442" s="40" t="s">
        <v>11404</v>
      </c>
    </row>
    <row r="14443">
      <c r="A14443" s="39"/>
      <c r="E14443" s="40" t="s">
        <v>11404</v>
      </c>
      <c r="F14443" s="40" t="s">
        <v>11404</v>
      </c>
      <c r="G14443" s="40" t="s">
        <v>11404</v>
      </c>
      <c r="H14443" s="40" t="s">
        <v>11404</v>
      </c>
    </row>
    <row r="14444">
      <c r="A14444" s="39"/>
      <c r="E14444" s="40" t="s">
        <v>11404</v>
      </c>
      <c r="F14444" s="40" t="s">
        <v>11404</v>
      </c>
      <c r="G14444" s="40" t="s">
        <v>11404</v>
      </c>
      <c r="H14444" s="40" t="s">
        <v>11404</v>
      </c>
    </row>
    <row r="14445">
      <c r="A14445" s="39"/>
      <c r="E14445" s="40" t="s">
        <v>11404</v>
      </c>
      <c r="F14445" s="40" t="s">
        <v>11404</v>
      </c>
      <c r="G14445" s="40" t="s">
        <v>11404</v>
      </c>
      <c r="H14445" s="40" t="s">
        <v>11404</v>
      </c>
    </row>
    <row r="14446">
      <c r="A14446" s="39"/>
      <c r="E14446" s="40" t="s">
        <v>11404</v>
      </c>
      <c r="F14446" s="40" t="s">
        <v>11404</v>
      </c>
      <c r="G14446" s="40" t="s">
        <v>11404</v>
      </c>
      <c r="H14446" s="40" t="s">
        <v>11404</v>
      </c>
    </row>
    <row r="14447">
      <c r="A14447" s="39"/>
      <c r="E14447" s="40" t="s">
        <v>11404</v>
      </c>
      <c r="F14447" s="40" t="s">
        <v>11404</v>
      </c>
      <c r="G14447" s="40" t="s">
        <v>11404</v>
      </c>
      <c r="H14447" s="40" t="s">
        <v>11404</v>
      </c>
    </row>
    <row r="14448">
      <c r="A14448" s="39"/>
      <c r="E14448" s="40" t="s">
        <v>11404</v>
      </c>
      <c r="F14448" s="40" t="s">
        <v>11404</v>
      </c>
      <c r="G14448" s="40" t="s">
        <v>11404</v>
      </c>
      <c r="H14448" s="40" t="s">
        <v>11404</v>
      </c>
    </row>
    <row r="14449">
      <c r="A14449" s="39"/>
      <c r="E14449" s="40" t="s">
        <v>11404</v>
      </c>
      <c r="F14449" s="40" t="s">
        <v>11404</v>
      </c>
      <c r="G14449" s="40" t="s">
        <v>11404</v>
      </c>
      <c r="H14449" s="40" t="s">
        <v>11404</v>
      </c>
    </row>
    <row r="14450">
      <c r="A14450" s="39"/>
      <c r="E14450" s="40" t="s">
        <v>11404</v>
      </c>
      <c r="F14450" s="40" t="s">
        <v>11404</v>
      </c>
      <c r="G14450" s="40" t="s">
        <v>11404</v>
      </c>
      <c r="H14450" s="40" t="s">
        <v>11404</v>
      </c>
    </row>
    <row r="14451">
      <c r="A14451" s="39"/>
      <c r="E14451" s="40" t="s">
        <v>11404</v>
      </c>
      <c r="F14451" s="40" t="s">
        <v>11404</v>
      </c>
      <c r="G14451" s="40" t="s">
        <v>11404</v>
      </c>
      <c r="H14451" s="40" t="s">
        <v>11404</v>
      </c>
    </row>
    <row r="14452">
      <c r="A14452" s="39"/>
      <c r="E14452" s="40" t="s">
        <v>11404</v>
      </c>
      <c r="F14452" s="40" t="s">
        <v>11404</v>
      </c>
      <c r="G14452" s="40" t="s">
        <v>11404</v>
      </c>
      <c r="H14452" s="40" t="s">
        <v>11404</v>
      </c>
    </row>
    <row r="14453">
      <c r="A14453" s="39"/>
      <c r="E14453" s="40" t="s">
        <v>11404</v>
      </c>
      <c r="F14453" s="40" t="s">
        <v>11404</v>
      </c>
      <c r="G14453" s="40" t="s">
        <v>11404</v>
      </c>
      <c r="H14453" s="40" t="s">
        <v>11404</v>
      </c>
    </row>
    <row r="14454">
      <c r="A14454" s="39"/>
      <c r="E14454" s="40" t="s">
        <v>11404</v>
      </c>
      <c r="F14454" s="40" t="s">
        <v>11404</v>
      </c>
      <c r="G14454" s="40" t="s">
        <v>11404</v>
      </c>
      <c r="H14454" s="40" t="s">
        <v>11404</v>
      </c>
    </row>
    <row r="14455">
      <c r="A14455" s="39"/>
      <c r="E14455" s="40" t="s">
        <v>11404</v>
      </c>
      <c r="F14455" s="40" t="s">
        <v>11404</v>
      </c>
      <c r="G14455" s="40" t="s">
        <v>11404</v>
      </c>
      <c r="H14455" s="40" t="s">
        <v>11404</v>
      </c>
    </row>
    <row r="14456">
      <c r="A14456" s="39"/>
      <c r="E14456" s="40" t="s">
        <v>11404</v>
      </c>
      <c r="F14456" s="40" t="s">
        <v>11404</v>
      </c>
      <c r="G14456" s="40" t="s">
        <v>11404</v>
      </c>
      <c r="H14456" s="40" t="s">
        <v>11404</v>
      </c>
    </row>
    <row r="14457">
      <c r="A14457" s="39"/>
      <c r="E14457" s="40" t="s">
        <v>11404</v>
      </c>
      <c r="F14457" s="40" t="s">
        <v>11404</v>
      </c>
      <c r="G14457" s="40" t="s">
        <v>11404</v>
      </c>
      <c r="H14457" s="40" t="s">
        <v>11404</v>
      </c>
    </row>
    <row r="14458">
      <c r="A14458" s="39"/>
      <c r="E14458" s="40" t="s">
        <v>11404</v>
      </c>
      <c r="F14458" s="40" t="s">
        <v>11404</v>
      </c>
      <c r="G14458" s="40" t="s">
        <v>11404</v>
      </c>
      <c r="H14458" s="40" t="s">
        <v>11404</v>
      </c>
    </row>
    <row r="14459">
      <c r="A14459" s="39"/>
      <c r="E14459" s="40" t="s">
        <v>11404</v>
      </c>
      <c r="F14459" s="40" t="s">
        <v>11404</v>
      </c>
      <c r="G14459" s="40" t="s">
        <v>11404</v>
      </c>
      <c r="H14459" s="40" t="s">
        <v>11404</v>
      </c>
    </row>
    <row r="14460">
      <c r="A14460" s="39"/>
      <c r="E14460" s="40" t="s">
        <v>11404</v>
      </c>
      <c r="F14460" s="40" t="s">
        <v>11404</v>
      </c>
      <c r="G14460" s="40" t="s">
        <v>11404</v>
      </c>
      <c r="H14460" s="40" t="s">
        <v>11404</v>
      </c>
    </row>
    <row r="14461">
      <c r="A14461" s="39"/>
      <c r="E14461" s="40" t="s">
        <v>11404</v>
      </c>
      <c r="F14461" s="40" t="s">
        <v>11404</v>
      </c>
      <c r="G14461" s="40" t="s">
        <v>11404</v>
      </c>
      <c r="H14461" s="40" t="s">
        <v>11404</v>
      </c>
    </row>
    <row r="14462">
      <c r="A14462" s="39"/>
      <c r="E14462" s="40" t="s">
        <v>11404</v>
      </c>
      <c r="F14462" s="40" t="s">
        <v>11404</v>
      </c>
      <c r="G14462" s="40" t="s">
        <v>11404</v>
      </c>
      <c r="H14462" s="40" t="s">
        <v>11404</v>
      </c>
    </row>
    <row r="14463">
      <c r="A14463" s="39"/>
      <c r="E14463" s="40" t="s">
        <v>11404</v>
      </c>
      <c r="F14463" s="40" t="s">
        <v>11404</v>
      </c>
      <c r="G14463" s="40" t="s">
        <v>11404</v>
      </c>
      <c r="H14463" s="40" t="s">
        <v>11404</v>
      </c>
    </row>
    <row r="14464">
      <c r="A14464" s="39"/>
      <c r="E14464" s="40" t="s">
        <v>11404</v>
      </c>
      <c r="F14464" s="40" t="s">
        <v>11404</v>
      </c>
      <c r="G14464" s="40" t="s">
        <v>11404</v>
      </c>
      <c r="H14464" s="40" t="s">
        <v>11404</v>
      </c>
    </row>
    <row r="14465">
      <c r="A14465" s="39"/>
      <c r="E14465" s="40" t="s">
        <v>11404</v>
      </c>
      <c r="F14465" s="40" t="s">
        <v>11404</v>
      </c>
      <c r="G14465" s="40" t="s">
        <v>11404</v>
      </c>
      <c r="H14465" s="40" t="s">
        <v>11404</v>
      </c>
    </row>
    <row r="14466">
      <c r="A14466" s="39"/>
      <c r="E14466" s="40" t="s">
        <v>11404</v>
      </c>
      <c r="F14466" s="40" t="s">
        <v>11404</v>
      </c>
      <c r="G14466" s="40" t="s">
        <v>11404</v>
      </c>
      <c r="H14466" s="40" t="s">
        <v>11404</v>
      </c>
    </row>
    <row r="14467">
      <c r="A14467" s="39"/>
      <c r="E14467" s="40" t="s">
        <v>11404</v>
      </c>
      <c r="F14467" s="40" t="s">
        <v>11404</v>
      </c>
      <c r="G14467" s="40" t="s">
        <v>11404</v>
      </c>
      <c r="H14467" s="40" t="s">
        <v>11404</v>
      </c>
    </row>
    <row r="14468">
      <c r="A14468" s="39"/>
      <c r="E14468" s="40" t="s">
        <v>11404</v>
      </c>
      <c r="F14468" s="40" t="s">
        <v>11404</v>
      </c>
      <c r="G14468" s="40" t="s">
        <v>11404</v>
      </c>
      <c r="H14468" s="40" t="s">
        <v>11404</v>
      </c>
    </row>
    <row r="14469">
      <c r="A14469" s="39"/>
      <c r="E14469" s="40" t="s">
        <v>11404</v>
      </c>
      <c r="F14469" s="40" t="s">
        <v>11404</v>
      </c>
      <c r="G14469" s="40" t="s">
        <v>11404</v>
      </c>
      <c r="H14469" s="40" t="s">
        <v>11404</v>
      </c>
    </row>
    <row r="14470">
      <c r="A14470" s="39"/>
      <c r="E14470" s="40" t="s">
        <v>11404</v>
      </c>
      <c r="F14470" s="40" t="s">
        <v>11404</v>
      </c>
      <c r="G14470" s="40" t="s">
        <v>11404</v>
      </c>
      <c r="H14470" s="40" t="s">
        <v>11404</v>
      </c>
    </row>
    <row r="14471">
      <c r="A14471" s="39"/>
      <c r="E14471" s="40" t="s">
        <v>11404</v>
      </c>
      <c r="F14471" s="40" t="s">
        <v>11404</v>
      </c>
      <c r="G14471" s="40" t="s">
        <v>11404</v>
      </c>
      <c r="H14471" s="40" t="s">
        <v>11404</v>
      </c>
    </row>
    <row r="14472">
      <c r="A14472" s="39"/>
      <c r="E14472" s="40" t="s">
        <v>11404</v>
      </c>
      <c r="F14472" s="40" t="s">
        <v>11404</v>
      </c>
      <c r="G14472" s="40" t="s">
        <v>11404</v>
      </c>
      <c r="H14472" s="40" t="s">
        <v>11404</v>
      </c>
    </row>
    <row r="14473">
      <c r="A14473" s="39"/>
      <c r="E14473" s="40" t="s">
        <v>11404</v>
      </c>
      <c r="F14473" s="40" t="s">
        <v>11404</v>
      </c>
      <c r="G14473" s="40" t="s">
        <v>11404</v>
      </c>
      <c r="H14473" s="40" t="s">
        <v>11404</v>
      </c>
    </row>
    <row r="14474">
      <c r="A14474" s="39"/>
      <c r="E14474" s="40" t="s">
        <v>11404</v>
      </c>
      <c r="F14474" s="40" t="s">
        <v>11404</v>
      </c>
      <c r="G14474" s="40" t="s">
        <v>11404</v>
      </c>
      <c r="H14474" s="40" t="s">
        <v>11404</v>
      </c>
    </row>
    <row r="14475">
      <c r="A14475" s="39"/>
      <c r="E14475" s="40" t="s">
        <v>11404</v>
      </c>
      <c r="F14475" s="40" t="s">
        <v>11404</v>
      </c>
      <c r="G14475" s="40" t="s">
        <v>11404</v>
      </c>
      <c r="H14475" s="40" t="s">
        <v>11404</v>
      </c>
    </row>
    <row r="14476">
      <c r="A14476" s="39"/>
      <c r="E14476" s="40" t="s">
        <v>11404</v>
      </c>
      <c r="F14476" s="40" t="s">
        <v>11404</v>
      </c>
      <c r="G14476" s="40" t="s">
        <v>11404</v>
      </c>
      <c r="H14476" s="40" t="s">
        <v>11404</v>
      </c>
    </row>
    <row r="14477">
      <c r="A14477" s="39"/>
      <c r="E14477" s="40" t="s">
        <v>11404</v>
      </c>
      <c r="F14477" s="40" t="s">
        <v>11404</v>
      </c>
      <c r="G14477" s="40" t="s">
        <v>11404</v>
      </c>
      <c r="H14477" s="40" t="s">
        <v>11404</v>
      </c>
    </row>
    <row r="14478">
      <c r="A14478" s="39"/>
      <c r="E14478" s="40" t="s">
        <v>11404</v>
      </c>
      <c r="F14478" s="40" t="s">
        <v>11404</v>
      </c>
      <c r="G14478" s="40" t="s">
        <v>11404</v>
      </c>
      <c r="H14478" s="40" t="s">
        <v>11404</v>
      </c>
    </row>
    <row r="14479">
      <c r="A14479" s="39"/>
      <c r="E14479" s="40" t="s">
        <v>11404</v>
      </c>
      <c r="F14479" s="40" t="s">
        <v>11404</v>
      </c>
      <c r="G14479" s="40" t="s">
        <v>11404</v>
      </c>
      <c r="H14479" s="40" t="s">
        <v>11404</v>
      </c>
    </row>
    <row r="14480">
      <c r="A14480" s="39"/>
      <c r="E14480" s="40" t="s">
        <v>11404</v>
      </c>
      <c r="F14480" s="40" t="s">
        <v>11404</v>
      </c>
      <c r="G14480" s="40" t="s">
        <v>11404</v>
      </c>
      <c r="H14480" s="40" t="s">
        <v>11404</v>
      </c>
    </row>
    <row r="14481">
      <c r="A14481" s="39"/>
      <c r="E14481" s="40" t="s">
        <v>11404</v>
      </c>
      <c r="F14481" s="40" t="s">
        <v>11404</v>
      </c>
      <c r="G14481" s="40" t="s">
        <v>11404</v>
      </c>
      <c r="H14481" s="40" t="s">
        <v>11404</v>
      </c>
    </row>
    <row r="14482">
      <c r="A14482" s="39"/>
      <c r="E14482" s="40" t="s">
        <v>11404</v>
      </c>
      <c r="F14482" s="40" t="s">
        <v>11404</v>
      </c>
      <c r="G14482" s="40" t="s">
        <v>11404</v>
      </c>
      <c r="H14482" s="40" t="s">
        <v>11404</v>
      </c>
    </row>
    <row r="14483">
      <c r="A14483" s="39"/>
      <c r="E14483" s="40" t="s">
        <v>11404</v>
      </c>
      <c r="F14483" s="40" t="s">
        <v>11404</v>
      </c>
      <c r="G14483" s="40" t="s">
        <v>11404</v>
      </c>
      <c r="H14483" s="40" t="s">
        <v>11404</v>
      </c>
    </row>
    <row r="14484">
      <c r="A14484" s="39"/>
      <c r="E14484" s="40" t="s">
        <v>11404</v>
      </c>
      <c r="F14484" s="40" t="s">
        <v>11404</v>
      </c>
      <c r="G14484" s="40" t="s">
        <v>11404</v>
      </c>
      <c r="H14484" s="40" t="s">
        <v>11404</v>
      </c>
    </row>
    <row r="14485">
      <c r="A14485" s="39"/>
      <c r="E14485" s="40" t="s">
        <v>11404</v>
      </c>
      <c r="F14485" s="40" t="s">
        <v>11404</v>
      </c>
      <c r="G14485" s="40" t="s">
        <v>11404</v>
      </c>
      <c r="H14485" s="40" t="s">
        <v>11404</v>
      </c>
    </row>
    <row r="14486">
      <c r="A14486" s="39"/>
      <c r="E14486" s="40" t="s">
        <v>11404</v>
      </c>
      <c r="F14486" s="40" t="s">
        <v>11404</v>
      </c>
      <c r="G14486" s="40" t="s">
        <v>11404</v>
      </c>
      <c r="H14486" s="40" t="s">
        <v>11404</v>
      </c>
    </row>
    <row r="14487">
      <c r="A14487" s="39"/>
      <c r="E14487" s="40" t="s">
        <v>11404</v>
      </c>
      <c r="F14487" s="40" t="s">
        <v>11404</v>
      </c>
      <c r="G14487" s="40" t="s">
        <v>11404</v>
      </c>
      <c r="H14487" s="40" t="s">
        <v>11404</v>
      </c>
    </row>
    <row r="14488">
      <c r="A14488" s="39"/>
      <c r="E14488" s="40" t="s">
        <v>11404</v>
      </c>
      <c r="F14488" s="40" t="s">
        <v>11404</v>
      </c>
      <c r="G14488" s="40" t="s">
        <v>11404</v>
      </c>
      <c r="H14488" s="40" t="s">
        <v>11404</v>
      </c>
    </row>
    <row r="14489">
      <c r="A14489" s="39"/>
      <c r="E14489" s="40" t="s">
        <v>11404</v>
      </c>
      <c r="F14489" s="40" t="s">
        <v>11404</v>
      </c>
      <c r="G14489" s="40" t="s">
        <v>11404</v>
      </c>
      <c r="H14489" s="40" t="s">
        <v>11404</v>
      </c>
    </row>
    <row r="14490">
      <c r="A14490" s="39"/>
      <c r="E14490" s="40" t="s">
        <v>11404</v>
      </c>
      <c r="F14490" s="40" t="s">
        <v>11404</v>
      </c>
      <c r="G14490" s="40" t="s">
        <v>11404</v>
      </c>
      <c r="H14490" s="40" t="s">
        <v>11404</v>
      </c>
    </row>
    <row r="14491">
      <c r="A14491" s="39"/>
      <c r="E14491" s="40" t="s">
        <v>11404</v>
      </c>
      <c r="F14491" s="40" t="s">
        <v>11404</v>
      </c>
      <c r="G14491" s="40" t="s">
        <v>11404</v>
      </c>
      <c r="H14491" s="40" t="s">
        <v>11404</v>
      </c>
    </row>
    <row r="14492">
      <c r="A14492" s="39"/>
      <c r="E14492" s="40" t="s">
        <v>11404</v>
      </c>
      <c r="F14492" s="40" t="s">
        <v>11404</v>
      </c>
      <c r="G14492" s="40" t="s">
        <v>11404</v>
      </c>
      <c r="H14492" s="40" t="s">
        <v>11404</v>
      </c>
    </row>
    <row r="14493">
      <c r="A14493" s="39"/>
      <c r="E14493" s="40" t="s">
        <v>11404</v>
      </c>
      <c r="F14493" s="40" t="s">
        <v>11404</v>
      </c>
      <c r="G14493" s="40" t="s">
        <v>11404</v>
      </c>
      <c r="H14493" s="40" t="s">
        <v>11404</v>
      </c>
    </row>
    <row r="14494">
      <c r="A14494" s="39"/>
      <c r="E14494" s="40" t="s">
        <v>11404</v>
      </c>
      <c r="F14494" s="40" t="s">
        <v>11404</v>
      </c>
      <c r="G14494" s="40" t="s">
        <v>11404</v>
      </c>
      <c r="H14494" s="40" t="s">
        <v>11404</v>
      </c>
    </row>
    <row r="14495">
      <c r="A14495" s="39"/>
      <c r="E14495" s="40" t="s">
        <v>11404</v>
      </c>
      <c r="F14495" s="40" t="s">
        <v>11404</v>
      </c>
      <c r="G14495" s="40" t="s">
        <v>11404</v>
      </c>
      <c r="H14495" s="40" t="s">
        <v>11404</v>
      </c>
    </row>
    <row r="14496">
      <c r="A14496" s="39"/>
      <c r="E14496" s="40" t="s">
        <v>11404</v>
      </c>
      <c r="F14496" s="40" t="s">
        <v>11404</v>
      </c>
      <c r="G14496" s="40" t="s">
        <v>11404</v>
      </c>
      <c r="H14496" s="40" t="s">
        <v>11404</v>
      </c>
    </row>
    <row r="14497">
      <c r="A14497" s="39"/>
      <c r="E14497" s="40" t="s">
        <v>11404</v>
      </c>
      <c r="F14497" s="40" t="s">
        <v>11404</v>
      </c>
      <c r="G14497" s="40" t="s">
        <v>11404</v>
      </c>
      <c r="H14497" s="40" t="s">
        <v>11404</v>
      </c>
    </row>
    <row r="14498">
      <c r="A14498" s="39"/>
      <c r="E14498" s="40" t="s">
        <v>11404</v>
      </c>
      <c r="F14498" s="40" t="s">
        <v>11404</v>
      </c>
      <c r="G14498" s="40" t="s">
        <v>11404</v>
      </c>
      <c r="H14498" s="40" t="s">
        <v>11404</v>
      </c>
    </row>
    <row r="14499">
      <c r="A14499" s="39"/>
      <c r="E14499" s="40" t="s">
        <v>11404</v>
      </c>
      <c r="F14499" s="40" t="s">
        <v>11404</v>
      </c>
      <c r="G14499" s="40" t="s">
        <v>11404</v>
      </c>
      <c r="H14499" s="40" t="s">
        <v>11404</v>
      </c>
    </row>
    <row r="14500">
      <c r="A14500" s="39"/>
      <c r="E14500" s="40" t="s">
        <v>11404</v>
      </c>
      <c r="F14500" s="40" t="s">
        <v>11404</v>
      </c>
      <c r="G14500" s="40" t="s">
        <v>11404</v>
      </c>
      <c r="H14500" s="40" t="s">
        <v>11404</v>
      </c>
    </row>
    <row r="14501">
      <c r="A14501" s="39"/>
      <c r="E14501" s="40" t="s">
        <v>11404</v>
      </c>
      <c r="F14501" s="40" t="s">
        <v>11404</v>
      </c>
      <c r="G14501" s="40" t="s">
        <v>11404</v>
      </c>
      <c r="H14501" s="40" t="s">
        <v>11404</v>
      </c>
    </row>
    <row r="14502">
      <c r="A14502" s="39"/>
      <c r="E14502" s="40" t="s">
        <v>11404</v>
      </c>
      <c r="F14502" s="40" t="s">
        <v>11404</v>
      </c>
      <c r="G14502" s="40" t="s">
        <v>11404</v>
      </c>
      <c r="H14502" s="40" t="s">
        <v>11404</v>
      </c>
    </row>
    <row r="14503">
      <c r="A14503" s="39"/>
      <c r="E14503" s="40" t="s">
        <v>11404</v>
      </c>
      <c r="F14503" s="40" t="s">
        <v>11404</v>
      </c>
      <c r="G14503" s="40" t="s">
        <v>11404</v>
      </c>
      <c r="H14503" s="40" t="s">
        <v>11404</v>
      </c>
    </row>
    <row r="14504">
      <c r="A14504" s="39"/>
      <c r="E14504" s="40" t="s">
        <v>11404</v>
      </c>
      <c r="F14504" s="40" t="s">
        <v>11404</v>
      </c>
      <c r="G14504" s="40" t="s">
        <v>11404</v>
      </c>
      <c r="H14504" s="40" t="s">
        <v>11404</v>
      </c>
    </row>
    <row r="14505">
      <c r="A14505" s="39"/>
      <c r="E14505" s="40" t="s">
        <v>11404</v>
      </c>
      <c r="F14505" s="40" t="s">
        <v>11404</v>
      </c>
      <c r="G14505" s="40" t="s">
        <v>11404</v>
      </c>
      <c r="H14505" s="40" t="s">
        <v>11404</v>
      </c>
    </row>
    <row r="14506">
      <c r="A14506" s="39"/>
      <c r="E14506" s="40" t="s">
        <v>11404</v>
      </c>
      <c r="F14506" s="40" t="s">
        <v>11404</v>
      </c>
      <c r="G14506" s="40" t="s">
        <v>11404</v>
      </c>
      <c r="H14506" s="40" t="s">
        <v>11404</v>
      </c>
    </row>
    <row r="14507">
      <c r="A14507" s="39"/>
      <c r="E14507" s="40" t="s">
        <v>11404</v>
      </c>
      <c r="F14507" s="40" t="s">
        <v>11404</v>
      </c>
      <c r="G14507" s="40" t="s">
        <v>11404</v>
      </c>
      <c r="H14507" s="40" t="s">
        <v>11404</v>
      </c>
    </row>
    <row r="14508">
      <c r="A14508" s="39"/>
      <c r="E14508" s="40" t="s">
        <v>11404</v>
      </c>
      <c r="F14508" s="40" t="s">
        <v>11404</v>
      </c>
      <c r="G14508" s="40" t="s">
        <v>11404</v>
      </c>
      <c r="H14508" s="40" t="s">
        <v>11404</v>
      </c>
    </row>
    <row r="14509">
      <c r="A14509" s="39"/>
      <c r="E14509" s="40" t="s">
        <v>11404</v>
      </c>
      <c r="F14509" s="40" t="s">
        <v>11404</v>
      </c>
      <c r="G14509" s="40" t="s">
        <v>11404</v>
      </c>
      <c r="H14509" s="40" t="s">
        <v>11404</v>
      </c>
    </row>
    <row r="14510">
      <c r="A14510" s="39"/>
      <c r="E14510" s="40" t="s">
        <v>11404</v>
      </c>
      <c r="F14510" s="40" t="s">
        <v>11404</v>
      </c>
      <c r="G14510" s="40" t="s">
        <v>11404</v>
      </c>
      <c r="H14510" s="40" t="s">
        <v>11404</v>
      </c>
    </row>
    <row r="14511">
      <c r="A14511" s="39"/>
      <c r="E14511" s="40" t="s">
        <v>11404</v>
      </c>
      <c r="F14511" s="40" t="s">
        <v>11404</v>
      </c>
      <c r="G14511" s="40" t="s">
        <v>11404</v>
      </c>
      <c r="H14511" s="40" t="s">
        <v>11404</v>
      </c>
    </row>
    <row r="14512">
      <c r="A14512" s="39"/>
      <c r="E14512" s="40" t="s">
        <v>11404</v>
      </c>
      <c r="F14512" s="40" t="s">
        <v>11404</v>
      </c>
      <c r="G14512" s="40" t="s">
        <v>11404</v>
      </c>
      <c r="H14512" s="40" t="s">
        <v>11404</v>
      </c>
    </row>
    <row r="14513">
      <c r="A14513" s="39"/>
      <c r="E14513" s="40" t="s">
        <v>11404</v>
      </c>
      <c r="F14513" s="40" t="s">
        <v>11404</v>
      </c>
      <c r="G14513" s="40" t="s">
        <v>11404</v>
      </c>
      <c r="H14513" s="40" t="s">
        <v>11404</v>
      </c>
    </row>
    <row r="14514">
      <c r="A14514" s="39"/>
      <c r="E14514" s="40" t="s">
        <v>11404</v>
      </c>
      <c r="F14514" s="40" t="s">
        <v>11404</v>
      </c>
      <c r="G14514" s="40" t="s">
        <v>11404</v>
      </c>
      <c r="H14514" s="40" t="s">
        <v>11404</v>
      </c>
    </row>
    <row r="14515">
      <c r="A14515" s="39"/>
      <c r="E14515" s="40" t="s">
        <v>11404</v>
      </c>
      <c r="F14515" s="40" t="s">
        <v>11404</v>
      </c>
      <c r="G14515" s="40" t="s">
        <v>11404</v>
      </c>
      <c r="H14515" s="40" t="s">
        <v>11404</v>
      </c>
    </row>
    <row r="14516">
      <c r="A14516" s="39"/>
      <c r="E14516" s="40" t="s">
        <v>11404</v>
      </c>
      <c r="F14516" s="40" t="s">
        <v>11404</v>
      </c>
      <c r="G14516" s="40" t="s">
        <v>11404</v>
      </c>
      <c r="H14516" s="40" t="s">
        <v>11404</v>
      </c>
    </row>
    <row r="14517">
      <c r="A14517" s="39"/>
      <c r="E14517" s="40" t="s">
        <v>11404</v>
      </c>
      <c r="F14517" s="40" t="s">
        <v>11404</v>
      </c>
      <c r="G14517" s="40" t="s">
        <v>11404</v>
      </c>
      <c r="H14517" s="40" t="s">
        <v>11404</v>
      </c>
    </row>
    <row r="14518">
      <c r="A14518" s="39"/>
      <c r="E14518" s="40" t="s">
        <v>11404</v>
      </c>
      <c r="F14518" s="40" t="s">
        <v>11404</v>
      </c>
      <c r="G14518" s="40" t="s">
        <v>11404</v>
      </c>
      <c r="H14518" s="40" t="s">
        <v>11404</v>
      </c>
    </row>
    <row r="14519">
      <c r="A14519" s="39"/>
      <c r="E14519" s="40" t="s">
        <v>11404</v>
      </c>
      <c r="F14519" s="40" t="s">
        <v>11404</v>
      </c>
      <c r="G14519" s="40" t="s">
        <v>11404</v>
      </c>
      <c r="H14519" s="40" t="s">
        <v>11404</v>
      </c>
    </row>
    <row r="14520">
      <c r="A14520" s="39"/>
      <c r="E14520" s="40" t="s">
        <v>11404</v>
      </c>
      <c r="F14520" s="40" t="s">
        <v>11404</v>
      </c>
      <c r="G14520" s="40" t="s">
        <v>11404</v>
      </c>
      <c r="H14520" s="40" t="s">
        <v>11404</v>
      </c>
    </row>
    <row r="14521">
      <c r="A14521" s="39"/>
      <c r="E14521" s="40" t="s">
        <v>11404</v>
      </c>
      <c r="F14521" s="40" t="s">
        <v>11404</v>
      </c>
      <c r="G14521" s="40" t="s">
        <v>11404</v>
      </c>
      <c r="H14521" s="40" t="s">
        <v>11404</v>
      </c>
    </row>
    <row r="14522">
      <c r="A14522" s="39"/>
      <c r="E14522" s="40" t="s">
        <v>11404</v>
      </c>
      <c r="F14522" s="40" t="s">
        <v>11404</v>
      </c>
      <c r="G14522" s="40" t="s">
        <v>11404</v>
      </c>
      <c r="H14522" s="40" t="s">
        <v>11404</v>
      </c>
    </row>
    <row r="14523">
      <c r="A14523" s="39"/>
      <c r="E14523" s="40" t="s">
        <v>11404</v>
      </c>
      <c r="F14523" s="40" t="s">
        <v>11404</v>
      </c>
      <c r="G14523" s="40" t="s">
        <v>11404</v>
      </c>
      <c r="H14523" s="40" t="s">
        <v>11404</v>
      </c>
    </row>
    <row r="14524">
      <c r="A14524" s="39"/>
      <c r="E14524" s="40" t="s">
        <v>11404</v>
      </c>
      <c r="F14524" s="40" t="s">
        <v>11404</v>
      </c>
      <c r="G14524" s="40" t="s">
        <v>11404</v>
      </c>
      <c r="H14524" s="40" t="s">
        <v>11404</v>
      </c>
    </row>
    <row r="14525">
      <c r="A14525" s="39"/>
      <c r="E14525" s="40" t="s">
        <v>11404</v>
      </c>
      <c r="F14525" s="40" t="s">
        <v>11404</v>
      </c>
      <c r="G14525" s="40" t="s">
        <v>11404</v>
      </c>
      <c r="H14525" s="40" t="s">
        <v>11404</v>
      </c>
    </row>
    <row r="14526">
      <c r="A14526" s="39"/>
      <c r="E14526" s="40" t="s">
        <v>11404</v>
      </c>
      <c r="F14526" s="40" t="s">
        <v>11404</v>
      </c>
      <c r="G14526" s="40" t="s">
        <v>11404</v>
      </c>
      <c r="H14526" s="40" t="s">
        <v>11404</v>
      </c>
    </row>
    <row r="14527">
      <c r="A14527" s="39"/>
      <c r="E14527" s="40" t="s">
        <v>11404</v>
      </c>
      <c r="F14527" s="40" t="s">
        <v>11404</v>
      </c>
      <c r="G14527" s="40" t="s">
        <v>11404</v>
      </c>
      <c r="H14527" s="40" t="s">
        <v>11404</v>
      </c>
    </row>
    <row r="14528">
      <c r="A14528" s="39"/>
      <c r="E14528" s="40" t="s">
        <v>11404</v>
      </c>
      <c r="F14528" s="40" t="s">
        <v>11404</v>
      </c>
      <c r="G14528" s="40" t="s">
        <v>11404</v>
      </c>
      <c r="H14528" s="40" t="s">
        <v>11404</v>
      </c>
    </row>
    <row r="14529">
      <c r="A14529" s="39"/>
      <c r="E14529" s="40" t="s">
        <v>11404</v>
      </c>
      <c r="F14529" s="40" t="s">
        <v>11404</v>
      </c>
      <c r="G14529" s="40" t="s">
        <v>11404</v>
      </c>
      <c r="H14529" s="40" t="s">
        <v>11404</v>
      </c>
    </row>
    <row r="14530">
      <c r="A14530" s="39"/>
      <c r="E14530" s="40" t="s">
        <v>11404</v>
      </c>
      <c r="F14530" s="40" t="s">
        <v>11404</v>
      </c>
      <c r="G14530" s="40" t="s">
        <v>11404</v>
      </c>
      <c r="H14530" s="40" t="s">
        <v>11404</v>
      </c>
    </row>
    <row r="14531">
      <c r="A14531" s="39"/>
      <c r="E14531" s="40" t="s">
        <v>11404</v>
      </c>
      <c r="F14531" s="40" t="s">
        <v>11404</v>
      </c>
      <c r="G14531" s="40" t="s">
        <v>11404</v>
      </c>
      <c r="H14531" s="40" t="s">
        <v>11404</v>
      </c>
    </row>
    <row r="14532">
      <c r="A14532" s="39"/>
      <c r="E14532" s="40" t="s">
        <v>11404</v>
      </c>
      <c r="F14532" s="40" t="s">
        <v>11404</v>
      </c>
      <c r="G14532" s="40" t="s">
        <v>11404</v>
      </c>
      <c r="H14532" s="40" t="s">
        <v>11404</v>
      </c>
    </row>
    <row r="14533">
      <c r="A14533" s="39"/>
      <c r="E14533" s="40" t="s">
        <v>11404</v>
      </c>
      <c r="F14533" s="40" t="s">
        <v>11404</v>
      </c>
      <c r="G14533" s="40" t="s">
        <v>11404</v>
      </c>
      <c r="H14533" s="40" t="s">
        <v>11404</v>
      </c>
    </row>
    <row r="14534">
      <c r="A14534" s="39"/>
      <c r="E14534" s="40" t="s">
        <v>11404</v>
      </c>
      <c r="F14534" s="40" t="s">
        <v>11404</v>
      </c>
      <c r="G14534" s="40" t="s">
        <v>11404</v>
      </c>
      <c r="H14534" s="40" t="s">
        <v>11404</v>
      </c>
    </row>
    <row r="14535">
      <c r="A14535" s="39"/>
      <c r="E14535" s="40" t="s">
        <v>11404</v>
      </c>
      <c r="F14535" s="40" t="s">
        <v>11404</v>
      </c>
      <c r="G14535" s="40" t="s">
        <v>11404</v>
      </c>
      <c r="H14535" s="40" t="s">
        <v>11404</v>
      </c>
    </row>
    <row r="14536">
      <c r="A14536" s="39"/>
      <c r="E14536" s="40" t="s">
        <v>11404</v>
      </c>
      <c r="F14536" s="40" t="s">
        <v>11404</v>
      </c>
      <c r="G14536" s="40" t="s">
        <v>11404</v>
      </c>
      <c r="H14536" s="40" t="s">
        <v>11404</v>
      </c>
    </row>
    <row r="14537">
      <c r="A14537" s="39"/>
      <c r="E14537" s="40" t="s">
        <v>11404</v>
      </c>
      <c r="F14537" s="40" t="s">
        <v>11404</v>
      </c>
      <c r="G14537" s="40" t="s">
        <v>11404</v>
      </c>
      <c r="H14537" s="40" t="s">
        <v>11404</v>
      </c>
    </row>
    <row r="14538">
      <c r="A14538" s="39"/>
      <c r="E14538" s="40" t="s">
        <v>11404</v>
      </c>
      <c r="F14538" s="40" t="s">
        <v>11404</v>
      </c>
      <c r="G14538" s="40" t="s">
        <v>11404</v>
      </c>
      <c r="H14538" s="40" t="s">
        <v>11404</v>
      </c>
    </row>
    <row r="14539">
      <c r="A14539" s="39"/>
      <c r="E14539" s="40" t="s">
        <v>11404</v>
      </c>
      <c r="F14539" s="40" t="s">
        <v>11404</v>
      </c>
      <c r="G14539" s="40" t="s">
        <v>11404</v>
      </c>
      <c r="H14539" s="40" t="s">
        <v>11404</v>
      </c>
    </row>
    <row r="14540">
      <c r="A14540" s="39"/>
      <c r="E14540" s="40" t="s">
        <v>11404</v>
      </c>
      <c r="F14540" s="40" t="s">
        <v>11404</v>
      </c>
      <c r="G14540" s="40" t="s">
        <v>11404</v>
      </c>
      <c r="H14540" s="40" t="s">
        <v>11404</v>
      </c>
    </row>
    <row r="14541">
      <c r="A14541" s="39"/>
      <c r="E14541" s="40" t="s">
        <v>11404</v>
      </c>
      <c r="F14541" s="40" t="s">
        <v>11404</v>
      </c>
      <c r="G14541" s="40" t="s">
        <v>11404</v>
      </c>
      <c r="H14541" s="40" t="s">
        <v>11404</v>
      </c>
    </row>
    <row r="14542">
      <c r="A14542" s="39"/>
      <c r="E14542" s="40" t="s">
        <v>11404</v>
      </c>
      <c r="F14542" s="40" t="s">
        <v>11404</v>
      </c>
      <c r="G14542" s="40" t="s">
        <v>11404</v>
      </c>
      <c r="H14542" s="40" t="s">
        <v>11404</v>
      </c>
    </row>
    <row r="14543">
      <c r="A14543" s="39"/>
      <c r="E14543" s="40" t="s">
        <v>11404</v>
      </c>
      <c r="F14543" s="40" t="s">
        <v>11404</v>
      </c>
      <c r="G14543" s="40" t="s">
        <v>11404</v>
      </c>
      <c r="H14543" s="40" t="s">
        <v>11404</v>
      </c>
    </row>
    <row r="14544">
      <c r="A14544" s="39"/>
      <c r="E14544" s="40" t="s">
        <v>11404</v>
      </c>
      <c r="F14544" s="40" t="s">
        <v>11404</v>
      </c>
      <c r="G14544" s="40" t="s">
        <v>11404</v>
      </c>
      <c r="H14544" s="40" t="s">
        <v>11404</v>
      </c>
    </row>
    <row r="14545">
      <c r="A14545" s="39"/>
      <c r="E14545" s="40" t="s">
        <v>11404</v>
      </c>
      <c r="F14545" s="40" t="s">
        <v>11404</v>
      </c>
      <c r="G14545" s="40" t="s">
        <v>11404</v>
      </c>
      <c r="H14545" s="40" t="s">
        <v>11404</v>
      </c>
    </row>
    <row r="14546">
      <c r="A14546" s="39"/>
      <c r="E14546" s="40" t="s">
        <v>11404</v>
      </c>
      <c r="F14546" s="40" t="s">
        <v>11404</v>
      </c>
      <c r="G14546" s="40" t="s">
        <v>11404</v>
      </c>
      <c r="H14546" s="40" t="s">
        <v>11404</v>
      </c>
    </row>
    <row r="14547">
      <c r="A14547" s="39"/>
      <c r="E14547" s="40" t="s">
        <v>11404</v>
      </c>
      <c r="F14547" s="40" t="s">
        <v>11404</v>
      </c>
      <c r="G14547" s="40" t="s">
        <v>11404</v>
      </c>
      <c r="H14547" s="40" t="s">
        <v>11404</v>
      </c>
    </row>
    <row r="14548">
      <c r="A14548" s="39"/>
      <c r="E14548" s="40" t="s">
        <v>11404</v>
      </c>
      <c r="F14548" s="40" t="s">
        <v>11404</v>
      </c>
      <c r="G14548" s="40" t="s">
        <v>11404</v>
      </c>
      <c r="H14548" s="40" t="s">
        <v>11404</v>
      </c>
    </row>
    <row r="14549">
      <c r="A14549" s="39"/>
      <c r="E14549" s="40" t="s">
        <v>11404</v>
      </c>
      <c r="F14549" s="40" t="s">
        <v>11404</v>
      </c>
      <c r="G14549" s="40" t="s">
        <v>11404</v>
      </c>
      <c r="H14549" s="40" t="s">
        <v>11404</v>
      </c>
    </row>
    <row r="14550">
      <c r="A14550" s="39"/>
      <c r="E14550" s="40" t="s">
        <v>11404</v>
      </c>
      <c r="F14550" s="40" t="s">
        <v>11404</v>
      </c>
      <c r="G14550" s="40" t="s">
        <v>11404</v>
      </c>
      <c r="H14550" s="40" t="s">
        <v>11404</v>
      </c>
    </row>
    <row r="14551">
      <c r="A14551" s="39"/>
      <c r="E14551" s="40" t="s">
        <v>11404</v>
      </c>
      <c r="F14551" s="40" t="s">
        <v>11404</v>
      </c>
      <c r="G14551" s="40" t="s">
        <v>11404</v>
      </c>
      <c r="H14551" s="40" t="s">
        <v>11404</v>
      </c>
    </row>
    <row r="14552">
      <c r="A14552" s="39"/>
      <c r="E14552" s="40" t="s">
        <v>11404</v>
      </c>
      <c r="F14552" s="40" t="s">
        <v>11404</v>
      </c>
      <c r="G14552" s="40" t="s">
        <v>11404</v>
      </c>
      <c r="H14552" s="40" t="s">
        <v>11404</v>
      </c>
    </row>
    <row r="14553">
      <c r="A14553" s="39"/>
      <c r="E14553" s="40" t="s">
        <v>11404</v>
      </c>
      <c r="F14553" s="40" t="s">
        <v>11404</v>
      </c>
      <c r="G14553" s="40" t="s">
        <v>11404</v>
      </c>
      <c r="H14553" s="40" t="s">
        <v>11404</v>
      </c>
    </row>
    <row r="14554">
      <c r="A14554" s="39"/>
      <c r="E14554" s="40" t="s">
        <v>11404</v>
      </c>
      <c r="F14554" s="40" t="s">
        <v>11404</v>
      </c>
      <c r="G14554" s="40" t="s">
        <v>11404</v>
      </c>
      <c r="H14554" s="40" t="s">
        <v>11404</v>
      </c>
    </row>
    <row r="14555">
      <c r="A14555" s="39"/>
      <c r="E14555" s="40" t="s">
        <v>11404</v>
      </c>
      <c r="F14555" s="40" t="s">
        <v>11404</v>
      </c>
      <c r="G14555" s="40" t="s">
        <v>11404</v>
      </c>
      <c r="H14555" s="40" t="s">
        <v>11404</v>
      </c>
    </row>
    <row r="14556">
      <c r="A14556" s="39"/>
      <c r="E14556" s="40" t="s">
        <v>11404</v>
      </c>
      <c r="F14556" s="40" t="s">
        <v>11404</v>
      </c>
      <c r="G14556" s="40" t="s">
        <v>11404</v>
      </c>
      <c r="H14556" s="40" t="s">
        <v>11404</v>
      </c>
    </row>
    <row r="14557">
      <c r="A14557" s="39"/>
      <c r="E14557" s="40" t="s">
        <v>11404</v>
      </c>
      <c r="F14557" s="40" t="s">
        <v>11404</v>
      </c>
      <c r="G14557" s="40" t="s">
        <v>11404</v>
      </c>
      <c r="H14557" s="40" t="s">
        <v>11404</v>
      </c>
    </row>
    <row r="14558">
      <c r="A14558" s="39"/>
      <c r="E14558" s="40" t="s">
        <v>11404</v>
      </c>
      <c r="F14558" s="40" t="s">
        <v>11404</v>
      </c>
      <c r="G14558" s="40" t="s">
        <v>11404</v>
      </c>
      <c r="H14558" s="40" t="s">
        <v>11404</v>
      </c>
    </row>
    <row r="14559">
      <c r="A14559" s="39"/>
      <c r="E14559" s="40" t="s">
        <v>11404</v>
      </c>
      <c r="F14559" s="40" t="s">
        <v>11404</v>
      </c>
      <c r="G14559" s="40" t="s">
        <v>11404</v>
      </c>
      <c r="H14559" s="40" t="s">
        <v>11404</v>
      </c>
    </row>
    <row r="14560">
      <c r="A14560" s="39"/>
      <c r="E14560" s="40" t="s">
        <v>11404</v>
      </c>
      <c r="F14560" s="40" t="s">
        <v>11404</v>
      </c>
      <c r="G14560" s="40" t="s">
        <v>11404</v>
      </c>
      <c r="H14560" s="40" t="s">
        <v>11404</v>
      </c>
    </row>
    <row r="14561">
      <c r="A14561" s="39"/>
      <c r="E14561" s="40" t="s">
        <v>11404</v>
      </c>
      <c r="F14561" s="40" t="s">
        <v>11404</v>
      </c>
      <c r="G14561" s="40" t="s">
        <v>11404</v>
      </c>
      <c r="H14561" s="40" t="s">
        <v>11404</v>
      </c>
    </row>
    <row r="14562">
      <c r="A14562" s="39"/>
      <c r="E14562" s="40" t="s">
        <v>11404</v>
      </c>
      <c r="F14562" s="40" t="s">
        <v>11404</v>
      </c>
      <c r="G14562" s="40" t="s">
        <v>11404</v>
      </c>
      <c r="H14562" s="40" t="s">
        <v>11404</v>
      </c>
    </row>
    <row r="14563">
      <c r="A14563" s="39"/>
      <c r="E14563" s="40" t="s">
        <v>11404</v>
      </c>
      <c r="F14563" s="40" t="s">
        <v>11404</v>
      </c>
      <c r="G14563" s="40" t="s">
        <v>11404</v>
      </c>
      <c r="H14563" s="40" t="s">
        <v>11404</v>
      </c>
    </row>
    <row r="14564">
      <c r="A14564" s="39"/>
      <c r="E14564" s="40" t="s">
        <v>11404</v>
      </c>
      <c r="F14564" s="40" t="s">
        <v>11404</v>
      </c>
      <c r="G14564" s="40" t="s">
        <v>11404</v>
      </c>
      <c r="H14564" s="40" t="s">
        <v>11404</v>
      </c>
    </row>
    <row r="14565">
      <c r="A14565" s="39"/>
      <c r="E14565" s="40" t="s">
        <v>11404</v>
      </c>
      <c r="F14565" s="40" t="s">
        <v>11404</v>
      </c>
      <c r="G14565" s="40" t="s">
        <v>11404</v>
      </c>
      <c r="H14565" s="40" t="s">
        <v>11404</v>
      </c>
    </row>
    <row r="14566">
      <c r="A14566" s="39"/>
      <c r="E14566" s="40" t="s">
        <v>11404</v>
      </c>
      <c r="F14566" s="40" t="s">
        <v>11404</v>
      </c>
      <c r="G14566" s="40" t="s">
        <v>11404</v>
      </c>
      <c r="H14566" s="40" t="s">
        <v>11404</v>
      </c>
    </row>
    <row r="14567">
      <c r="A14567" s="39"/>
      <c r="E14567" s="40" t="s">
        <v>11404</v>
      </c>
      <c r="F14567" s="40" t="s">
        <v>11404</v>
      </c>
      <c r="G14567" s="40" t="s">
        <v>11404</v>
      </c>
      <c r="H14567" s="40" t="s">
        <v>11404</v>
      </c>
    </row>
    <row r="14568">
      <c r="A14568" s="39"/>
      <c r="E14568" s="40" t="s">
        <v>11404</v>
      </c>
      <c r="F14568" s="40" t="s">
        <v>11404</v>
      </c>
      <c r="G14568" s="40" t="s">
        <v>11404</v>
      </c>
      <c r="H14568" s="40" t="s">
        <v>11404</v>
      </c>
    </row>
    <row r="14569">
      <c r="A14569" s="39"/>
      <c r="E14569" s="40" t="s">
        <v>11404</v>
      </c>
      <c r="F14569" s="40" t="s">
        <v>11404</v>
      </c>
      <c r="G14569" s="40" t="s">
        <v>11404</v>
      </c>
      <c r="H14569" s="40" t="s">
        <v>11404</v>
      </c>
    </row>
    <row r="14570">
      <c r="A14570" s="39"/>
      <c r="E14570" s="40" t="s">
        <v>11404</v>
      </c>
      <c r="F14570" s="40" t="s">
        <v>11404</v>
      </c>
      <c r="G14570" s="40" t="s">
        <v>11404</v>
      </c>
      <c r="H14570" s="40" t="s">
        <v>11404</v>
      </c>
    </row>
    <row r="14571">
      <c r="A14571" s="39"/>
      <c r="E14571" s="40" t="s">
        <v>11404</v>
      </c>
      <c r="F14571" s="40" t="s">
        <v>11404</v>
      </c>
      <c r="G14571" s="40" t="s">
        <v>11404</v>
      </c>
      <c r="H14571" s="40" t="s">
        <v>11404</v>
      </c>
    </row>
    <row r="14572">
      <c r="A14572" s="39"/>
      <c r="E14572" s="40" t="s">
        <v>11404</v>
      </c>
      <c r="F14572" s="40" t="s">
        <v>11404</v>
      </c>
      <c r="G14572" s="40" t="s">
        <v>11404</v>
      </c>
      <c r="H14572" s="40" t="s">
        <v>11404</v>
      </c>
    </row>
    <row r="14573">
      <c r="A14573" s="39"/>
      <c r="E14573" s="40" t="s">
        <v>11404</v>
      </c>
      <c r="F14573" s="40" t="s">
        <v>11404</v>
      </c>
      <c r="G14573" s="40" t="s">
        <v>11404</v>
      </c>
      <c r="H14573" s="40" t="s">
        <v>11404</v>
      </c>
    </row>
    <row r="14574">
      <c r="A14574" s="39"/>
      <c r="E14574" s="40" t="s">
        <v>11404</v>
      </c>
      <c r="F14574" s="40" t="s">
        <v>11404</v>
      </c>
      <c r="G14574" s="40" t="s">
        <v>11404</v>
      </c>
      <c r="H14574" s="40" t="s">
        <v>11404</v>
      </c>
    </row>
    <row r="14575">
      <c r="A14575" s="39"/>
      <c r="E14575" s="40" t="s">
        <v>11404</v>
      </c>
      <c r="F14575" s="40" t="s">
        <v>11404</v>
      </c>
      <c r="G14575" s="40" t="s">
        <v>11404</v>
      </c>
      <c r="H14575" s="40" t="s">
        <v>11404</v>
      </c>
    </row>
    <row r="14576">
      <c r="A14576" s="39"/>
      <c r="E14576" s="40" t="s">
        <v>11404</v>
      </c>
      <c r="F14576" s="40" t="s">
        <v>11404</v>
      </c>
      <c r="G14576" s="40" t="s">
        <v>11404</v>
      </c>
      <c r="H14576" s="40" t="s">
        <v>11404</v>
      </c>
    </row>
    <row r="14577">
      <c r="A14577" s="39"/>
      <c r="E14577" s="40" t="s">
        <v>11404</v>
      </c>
      <c r="F14577" s="40" t="s">
        <v>11404</v>
      </c>
      <c r="G14577" s="40" t="s">
        <v>11404</v>
      </c>
      <c r="H14577" s="40" t="s">
        <v>11404</v>
      </c>
    </row>
    <row r="14578">
      <c r="A14578" s="39"/>
      <c r="E14578" s="40" t="s">
        <v>11404</v>
      </c>
      <c r="F14578" s="40" t="s">
        <v>11404</v>
      </c>
      <c r="G14578" s="40" t="s">
        <v>11404</v>
      </c>
      <c r="H14578" s="40" t="s">
        <v>11404</v>
      </c>
    </row>
    <row r="14579">
      <c r="A14579" s="39"/>
      <c r="E14579" s="40" t="s">
        <v>11404</v>
      </c>
      <c r="F14579" s="40" t="s">
        <v>11404</v>
      </c>
      <c r="G14579" s="40" t="s">
        <v>11404</v>
      </c>
      <c r="H14579" s="40" t="s">
        <v>11404</v>
      </c>
    </row>
    <row r="14580">
      <c r="A14580" s="39"/>
      <c r="E14580" s="40" t="s">
        <v>11404</v>
      </c>
      <c r="F14580" s="40" t="s">
        <v>11404</v>
      </c>
      <c r="G14580" s="40" t="s">
        <v>11404</v>
      </c>
      <c r="H14580" s="40" t="s">
        <v>11404</v>
      </c>
    </row>
    <row r="14581">
      <c r="A14581" s="39"/>
      <c r="E14581" s="40" t="s">
        <v>11404</v>
      </c>
      <c r="F14581" s="40" t="s">
        <v>11404</v>
      </c>
      <c r="G14581" s="40" t="s">
        <v>11404</v>
      </c>
      <c r="H14581" s="40" t="s">
        <v>11404</v>
      </c>
    </row>
    <row r="14582">
      <c r="A14582" s="39"/>
      <c r="E14582" s="40" t="s">
        <v>11404</v>
      </c>
      <c r="F14582" s="40" t="s">
        <v>11404</v>
      </c>
      <c r="G14582" s="40" t="s">
        <v>11404</v>
      </c>
      <c r="H14582" s="40" t="s">
        <v>11404</v>
      </c>
    </row>
    <row r="14583">
      <c r="A14583" s="39"/>
      <c r="E14583" s="40" t="s">
        <v>11404</v>
      </c>
      <c r="F14583" s="40" t="s">
        <v>11404</v>
      </c>
      <c r="G14583" s="40" t="s">
        <v>11404</v>
      </c>
      <c r="H14583" s="40" t="s">
        <v>11404</v>
      </c>
    </row>
    <row r="14584">
      <c r="A14584" s="39"/>
      <c r="E14584" s="40" t="s">
        <v>11404</v>
      </c>
      <c r="F14584" s="40" t="s">
        <v>11404</v>
      </c>
      <c r="G14584" s="40" t="s">
        <v>11404</v>
      </c>
      <c r="H14584" s="40" t="s">
        <v>11404</v>
      </c>
    </row>
    <row r="14585">
      <c r="A14585" s="39"/>
      <c r="E14585" s="40" t="s">
        <v>11404</v>
      </c>
      <c r="F14585" s="40" t="s">
        <v>11404</v>
      </c>
      <c r="G14585" s="40" t="s">
        <v>11404</v>
      </c>
      <c r="H14585" s="40" t="s">
        <v>11404</v>
      </c>
    </row>
    <row r="14586">
      <c r="A14586" s="39"/>
      <c r="E14586" s="40" t="s">
        <v>11404</v>
      </c>
      <c r="F14586" s="40" t="s">
        <v>11404</v>
      </c>
      <c r="G14586" s="40" t="s">
        <v>11404</v>
      </c>
      <c r="H14586" s="40" t="s">
        <v>11404</v>
      </c>
    </row>
    <row r="14587">
      <c r="A14587" s="39"/>
      <c r="E14587" s="40" t="s">
        <v>11404</v>
      </c>
      <c r="F14587" s="40" t="s">
        <v>11404</v>
      </c>
      <c r="G14587" s="40" t="s">
        <v>11404</v>
      </c>
      <c r="H14587" s="40" t="s">
        <v>11404</v>
      </c>
    </row>
    <row r="14588">
      <c r="A14588" s="39"/>
      <c r="E14588" s="40" t="s">
        <v>11404</v>
      </c>
      <c r="F14588" s="40" t="s">
        <v>11404</v>
      </c>
      <c r="G14588" s="40" t="s">
        <v>11404</v>
      </c>
      <c r="H14588" s="40" t="s">
        <v>11404</v>
      </c>
    </row>
    <row r="14589">
      <c r="A14589" s="39"/>
      <c r="E14589" s="40" t="s">
        <v>11404</v>
      </c>
      <c r="F14589" s="40" t="s">
        <v>11404</v>
      </c>
      <c r="G14589" s="40" t="s">
        <v>11404</v>
      </c>
      <c r="H14589" s="40" t="s">
        <v>11404</v>
      </c>
    </row>
    <row r="14590">
      <c r="A14590" s="39"/>
      <c r="E14590" s="40" t="s">
        <v>11404</v>
      </c>
      <c r="F14590" s="40" t="s">
        <v>11404</v>
      </c>
      <c r="G14590" s="40" t="s">
        <v>11404</v>
      </c>
      <c r="H14590" s="40" t="s">
        <v>11404</v>
      </c>
    </row>
    <row r="14591">
      <c r="A14591" s="39"/>
      <c r="E14591" s="40" t="s">
        <v>11404</v>
      </c>
      <c r="F14591" s="40" t="s">
        <v>11404</v>
      </c>
      <c r="G14591" s="40" t="s">
        <v>11404</v>
      </c>
      <c r="H14591" s="40" t="s">
        <v>11404</v>
      </c>
    </row>
    <row r="14592">
      <c r="A14592" s="39"/>
      <c r="E14592" s="40" t="s">
        <v>11404</v>
      </c>
      <c r="F14592" s="40" t="s">
        <v>11404</v>
      </c>
      <c r="G14592" s="40" t="s">
        <v>11404</v>
      </c>
      <c r="H14592" s="40" t="s">
        <v>11404</v>
      </c>
    </row>
    <row r="14593">
      <c r="A14593" s="39"/>
      <c r="E14593" s="40" t="s">
        <v>11404</v>
      </c>
      <c r="F14593" s="40" t="s">
        <v>11404</v>
      </c>
      <c r="G14593" s="40" t="s">
        <v>11404</v>
      </c>
      <c r="H14593" s="40" t="s">
        <v>11404</v>
      </c>
    </row>
    <row r="14594">
      <c r="A14594" s="39"/>
      <c r="E14594" s="40" t="s">
        <v>11404</v>
      </c>
      <c r="F14594" s="40" t="s">
        <v>11404</v>
      </c>
      <c r="G14594" s="40" t="s">
        <v>11404</v>
      </c>
      <c r="H14594" s="40" t="s">
        <v>11404</v>
      </c>
    </row>
    <row r="14595">
      <c r="A14595" s="39"/>
      <c r="E14595" s="40" t="s">
        <v>11404</v>
      </c>
      <c r="F14595" s="40" t="s">
        <v>11404</v>
      </c>
      <c r="G14595" s="40" t="s">
        <v>11404</v>
      </c>
      <c r="H14595" s="40" t="s">
        <v>11404</v>
      </c>
    </row>
    <row r="14596">
      <c r="A14596" s="39"/>
      <c r="E14596" s="40" t="s">
        <v>11404</v>
      </c>
      <c r="F14596" s="40" t="s">
        <v>11404</v>
      </c>
      <c r="G14596" s="40" t="s">
        <v>11404</v>
      </c>
      <c r="H14596" s="40" t="s">
        <v>11404</v>
      </c>
    </row>
    <row r="14597">
      <c r="A14597" s="39"/>
      <c r="E14597" s="40" t="s">
        <v>11404</v>
      </c>
      <c r="F14597" s="40" t="s">
        <v>11404</v>
      </c>
      <c r="G14597" s="40" t="s">
        <v>11404</v>
      </c>
      <c r="H14597" s="40" t="s">
        <v>11404</v>
      </c>
    </row>
    <row r="14598">
      <c r="A14598" s="39"/>
      <c r="E14598" s="40" t="s">
        <v>11404</v>
      </c>
      <c r="F14598" s="40" t="s">
        <v>11404</v>
      </c>
      <c r="G14598" s="40" t="s">
        <v>11404</v>
      </c>
      <c r="H14598" s="40" t="s">
        <v>11404</v>
      </c>
    </row>
    <row r="14599">
      <c r="A14599" s="39"/>
      <c r="E14599" s="40" t="s">
        <v>11404</v>
      </c>
      <c r="F14599" s="40" t="s">
        <v>11404</v>
      </c>
      <c r="G14599" s="40" t="s">
        <v>11404</v>
      </c>
      <c r="H14599" s="40" t="s">
        <v>11404</v>
      </c>
    </row>
    <row r="14600">
      <c r="A14600" s="39"/>
      <c r="E14600" s="40" t="s">
        <v>11404</v>
      </c>
      <c r="F14600" s="40" t="s">
        <v>11404</v>
      </c>
      <c r="G14600" s="40" t="s">
        <v>11404</v>
      </c>
      <c r="H14600" s="40" t="s">
        <v>11404</v>
      </c>
    </row>
    <row r="14601">
      <c r="A14601" s="39"/>
      <c r="E14601" s="40" t="s">
        <v>11404</v>
      </c>
      <c r="F14601" s="40" t="s">
        <v>11404</v>
      </c>
      <c r="G14601" s="40" t="s">
        <v>11404</v>
      </c>
      <c r="H14601" s="40" t="s">
        <v>11404</v>
      </c>
    </row>
    <row r="14602">
      <c r="A14602" s="39"/>
      <c r="E14602" s="40" t="s">
        <v>11404</v>
      </c>
      <c r="F14602" s="40" t="s">
        <v>11404</v>
      </c>
      <c r="G14602" s="40" t="s">
        <v>11404</v>
      </c>
      <c r="H14602" s="40" t="s">
        <v>11404</v>
      </c>
    </row>
    <row r="14603">
      <c r="A14603" s="39"/>
      <c r="E14603" s="40" t="s">
        <v>11404</v>
      </c>
      <c r="F14603" s="40" t="s">
        <v>11404</v>
      </c>
      <c r="G14603" s="40" t="s">
        <v>11404</v>
      </c>
      <c r="H14603" s="40" t="s">
        <v>11404</v>
      </c>
    </row>
    <row r="14604">
      <c r="A14604" s="39"/>
      <c r="E14604" s="40" t="s">
        <v>11404</v>
      </c>
      <c r="F14604" s="40" t="s">
        <v>11404</v>
      </c>
      <c r="G14604" s="40" t="s">
        <v>11404</v>
      </c>
      <c r="H14604" s="40" t="s">
        <v>11404</v>
      </c>
    </row>
    <row r="14605">
      <c r="A14605" s="39"/>
      <c r="E14605" s="40" t="s">
        <v>11404</v>
      </c>
      <c r="F14605" s="40" t="s">
        <v>11404</v>
      </c>
      <c r="G14605" s="40" t="s">
        <v>11404</v>
      </c>
      <c r="H14605" s="40" t="s">
        <v>11404</v>
      </c>
    </row>
    <row r="14606">
      <c r="A14606" s="39"/>
      <c r="E14606" s="40" t="s">
        <v>11404</v>
      </c>
      <c r="F14606" s="40" t="s">
        <v>11404</v>
      </c>
      <c r="G14606" s="40" t="s">
        <v>11404</v>
      </c>
      <c r="H14606" s="40" t="s">
        <v>11404</v>
      </c>
    </row>
    <row r="14607">
      <c r="A14607" s="39"/>
      <c r="E14607" s="40" t="s">
        <v>11404</v>
      </c>
      <c r="F14607" s="40" t="s">
        <v>11404</v>
      </c>
      <c r="G14607" s="40" t="s">
        <v>11404</v>
      </c>
      <c r="H14607" s="40" t="s">
        <v>11404</v>
      </c>
    </row>
    <row r="14608">
      <c r="A14608" s="39"/>
      <c r="E14608" s="40" t="s">
        <v>11404</v>
      </c>
      <c r="F14608" s="40" t="s">
        <v>11404</v>
      </c>
      <c r="G14608" s="40" t="s">
        <v>11404</v>
      </c>
      <c r="H14608" s="40" t="s">
        <v>11404</v>
      </c>
    </row>
    <row r="14609">
      <c r="A14609" s="39"/>
      <c r="E14609" s="40" t="s">
        <v>11404</v>
      </c>
      <c r="F14609" s="40" t="s">
        <v>11404</v>
      </c>
      <c r="G14609" s="40" t="s">
        <v>11404</v>
      </c>
      <c r="H14609" s="40" t="s">
        <v>11404</v>
      </c>
    </row>
    <row r="14610">
      <c r="A14610" s="39"/>
      <c r="E14610" s="40" t="s">
        <v>11404</v>
      </c>
      <c r="F14610" s="40" t="s">
        <v>11404</v>
      </c>
      <c r="G14610" s="40" t="s">
        <v>11404</v>
      </c>
      <c r="H14610" s="40" t="s">
        <v>11404</v>
      </c>
    </row>
    <row r="14611">
      <c r="A14611" s="39"/>
      <c r="E14611" s="40" t="s">
        <v>11404</v>
      </c>
      <c r="F14611" s="40" t="s">
        <v>11404</v>
      </c>
      <c r="G14611" s="40" t="s">
        <v>11404</v>
      </c>
      <c r="H14611" s="40" t="s">
        <v>11404</v>
      </c>
    </row>
    <row r="14612">
      <c r="A14612" s="39"/>
      <c r="E14612" s="40" t="s">
        <v>11404</v>
      </c>
      <c r="F14612" s="40" t="s">
        <v>11404</v>
      </c>
      <c r="G14612" s="40" t="s">
        <v>11404</v>
      </c>
      <c r="H14612" s="40" t="s">
        <v>11404</v>
      </c>
    </row>
    <row r="14613">
      <c r="A14613" s="39"/>
      <c r="E14613" s="40" t="s">
        <v>11404</v>
      </c>
      <c r="F14613" s="40" t="s">
        <v>11404</v>
      </c>
      <c r="G14613" s="40" t="s">
        <v>11404</v>
      </c>
      <c r="H14613" s="40" t="s">
        <v>11404</v>
      </c>
    </row>
    <row r="14614">
      <c r="A14614" s="39"/>
      <c r="E14614" s="40" t="s">
        <v>11404</v>
      </c>
      <c r="F14614" s="40" t="s">
        <v>11404</v>
      </c>
      <c r="G14614" s="40" t="s">
        <v>11404</v>
      </c>
      <c r="H14614" s="40" t="s">
        <v>11404</v>
      </c>
    </row>
    <row r="14615">
      <c r="A14615" s="39"/>
      <c r="E14615" s="40" t="s">
        <v>11404</v>
      </c>
      <c r="F14615" s="40" t="s">
        <v>11404</v>
      </c>
      <c r="G14615" s="40" t="s">
        <v>11404</v>
      </c>
      <c r="H14615" s="40" t="s">
        <v>11404</v>
      </c>
    </row>
    <row r="14616">
      <c r="A14616" s="39"/>
      <c r="E14616" s="40" t="s">
        <v>11404</v>
      </c>
      <c r="F14616" s="40" t="s">
        <v>11404</v>
      </c>
      <c r="G14616" s="40" t="s">
        <v>11404</v>
      </c>
      <c r="H14616" s="40" t="s">
        <v>11404</v>
      </c>
    </row>
    <row r="14617">
      <c r="A14617" s="39"/>
      <c r="E14617" s="40" t="s">
        <v>11404</v>
      </c>
      <c r="F14617" s="40" t="s">
        <v>11404</v>
      </c>
      <c r="G14617" s="40" t="s">
        <v>11404</v>
      </c>
      <c r="H14617" s="40" t="s">
        <v>11404</v>
      </c>
    </row>
    <row r="14618">
      <c r="A14618" s="39"/>
      <c r="E14618" s="40" t="s">
        <v>11404</v>
      </c>
      <c r="F14618" s="40" t="s">
        <v>11404</v>
      </c>
      <c r="G14618" s="40" t="s">
        <v>11404</v>
      </c>
      <c r="H14618" s="40" t="s">
        <v>11404</v>
      </c>
    </row>
    <row r="14619">
      <c r="A14619" s="39"/>
      <c r="E14619" s="40" t="s">
        <v>11404</v>
      </c>
      <c r="F14619" s="40" t="s">
        <v>11404</v>
      </c>
      <c r="G14619" s="40" t="s">
        <v>11404</v>
      </c>
      <c r="H14619" s="40" t="s">
        <v>11404</v>
      </c>
    </row>
    <row r="14620">
      <c r="A14620" s="39"/>
      <c r="E14620" s="40" t="s">
        <v>11404</v>
      </c>
      <c r="F14620" s="40" t="s">
        <v>11404</v>
      </c>
      <c r="G14620" s="40" t="s">
        <v>11404</v>
      </c>
      <c r="H14620" s="40" t="s">
        <v>11404</v>
      </c>
    </row>
    <row r="14621">
      <c r="A14621" s="39"/>
      <c r="E14621" s="40" t="s">
        <v>11404</v>
      </c>
      <c r="F14621" s="40" t="s">
        <v>11404</v>
      </c>
      <c r="G14621" s="40" t="s">
        <v>11404</v>
      </c>
      <c r="H14621" s="40" t="s">
        <v>11404</v>
      </c>
    </row>
    <row r="14622">
      <c r="A14622" s="39"/>
      <c r="E14622" s="40" t="s">
        <v>11404</v>
      </c>
      <c r="F14622" s="40" t="s">
        <v>11404</v>
      </c>
      <c r="G14622" s="40" t="s">
        <v>11404</v>
      </c>
      <c r="H14622" s="40" t="s">
        <v>11404</v>
      </c>
    </row>
    <row r="14623">
      <c r="A14623" s="39"/>
      <c r="E14623" s="40" t="s">
        <v>11404</v>
      </c>
      <c r="F14623" s="40" t="s">
        <v>11404</v>
      </c>
      <c r="G14623" s="40" t="s">
        <v>11404</v>
      </c>
      <c r="H14623" s="40" t="s">
        <v>11404</v>
      </c>
    </row>
    <row r="14624">
      <c r="A14624" s="39"/>
      <c r="E14624" s="40" t="s">
        <v>11404</v>
      </c>
      <c r="F14624" s="40" t="s">
        <v>11404</v>
      </c>
      <c r="G14624" s="40" t="s">
        <v>11404</v>
      </c>
      <c r="H14624" s="40" t="s">
        <v>11404</v>
      </c>
    </row>
    <row r="14625">
      <c r="A14625" s="39"/>
      <c r="E14625" s="40" t="s">
        <v>11404</v>
      </c>
      <c r="F14625" s="40" t="s">
        <v>11404</v>
      </c>
      <c r="G14625" s="40" t="s">
        <v>11404</v>
      </c>
      <c r="H14625" s="40" t="s">
        <v>11404</v>
      </c>
    </row>
    <row r="14626">
      <c r="A14626" s="39"/>
      <c r="E14626" s="40" t="s">
        <v>11404</v>
      </c>
      <c r="F14626" s="40" t="s">
        <v>11404</v>
      </c>
      <c r="G14626" s="40" t="s">
        <v>11404</v>
      </c>
      <c r="H14626" s="40" t="s">
        <v>11404</v>
      </c>
    </row>
    <row r="14627">
      <c r="A14627" s="39"/>
      <c r="E14627" s="40" t="s">
        <v>11404</v>
      </c>
      <c r="F14627" s="40" t="s">
        <v>11404</v>
      </c>
      <c r="G14627" s="40" t="s">
        <v>11404</v>
      </c>
      <c r="H14627" s="40" t="s">
        <v>11404</v>
      </c>
    </row>
    <row r="14628">
      <c r="A14628" s="39"/>
      <c r="E14628" s="40" t="s">
        <v>11404</v>
      </c>
      <c r="F14628" s="40" t="s">
        <v>11404</v>
      </c>
      <c r="G14628" s="40" t="s">
        <v>11404</v>
      </c>
      <c r="H14628" s="40" t="s">
        <v>11404</v>
      </c>
    </row>
    <row r="14629">
      <c r="A14629" s="39"/>
      <c r="E14629" s="40" t="s">
        <v>11404</v>
      </c>
      <c r="F14629" s="40" t="s">
        <v>11404</v>
      </c>
      <c r="G14629" s="40" t="s">
        <v>11404</v>
      </c>
      <c r="H14629" s="40" t="s">
        <v>11404</v>
      </c>
    </row>
    <row r="14630">
      <c r="A14630" s="39"/>
      <c r="E14630" s="40" t="s">
        <v>11404</v>
      </c>
      <c r="F14630" s="40" t="s">
        <v>11404</v>
      </c>
      <c r="G14630" s="40" t="s">
        <v>11404</v>
      </c>
      <c r="H14630" s="40" t="s">
        <v>11404</v>
      </c>
    </row>
    <row r="14631">
      <c r="A14631" s="39"/>
      <c r="E14631" s="40" t="s">
        <v>11404</v>
      </c>
      <c r="F14631" s="40" t="s">
        <v>11404</v>
      </c>
      <c r="G14631" s="40" t="s">
        <v>11404</v>
      </c>
      <c r="H14631" s="40" t="s">
        <v>11404</v>
      </c>
    </row>
    <row r="14632">
      <c r="A14632" s="39"/>
      <c r="E14632" s="40" t="s">
        <v>11404</v>
      </c>
      <c r="F14632" s="40" t="s">
        <v>11404</v>
      </c>
      <c r="G14632" s="40" t="s">
        <v>11404</v>
      </c>
      <c r="H14632" s="40" t="s">
        <v>11404</v>
      </c>
    </row>
    <row r="14633">
      <c r="A14633" s="39"/>
      <c r="E14633" s="40" t="s">
        <v>11404</v>
      </c>
      <c r="F14633" s="40" t="s">
        <v>11404</v>
      </c>
      <c r="G14633" s="40" t="s">
        <v>11404</v>
      </c>
      <c r="H14633" s="40" t="s">
        <v>11404</v>
      </c>
    </row>
    <row r="14634">
      <c r="A14634" s="39"/>
      <c r="E14634" s="40" t="s">
        <v>11404</v>
      </c>
      <c r="F14634" s="40" t="s">
        <v>11404</v>
      </c>
      <c r="G14634" s="40" t="s">
        <v>11404</v>
      </c>
      <c r="H14634" s="40" t="s">
        <v>11404</v>
      </c>
    </row>
    <row r="14635">
      <c r="A14635" s="39"/>
      <c r="E14635" s="40" t="s">
        <v>11404</v>
      </c>
      <c r="F14635" s="40" t="s">
        <v>11404</v>
      </c>
      <c r="G14635" s="40" t="s">
        <v>11404</v>
      </c>
      <c r="H14635" s="40" t="s">
        <v>11404</v>
      </c>
    </row>
    <row r="14636">
      <c r="A14636" s="39"/>
      <c r="E14636" s="40" t="s">
        <v>11404</v>
      </c>
      <c r="F14636" s="40" t="s">
        <v>11404</v>
      </c>
      <c r="G14636" s="40" t="s">
        <v>11404</v>
      </c>
      <c r="H14636" s="40" t="s">
        <v>11404</v>
      </c>
    </row>
    <row r="14637">
      <c r="A14637" s="39"/>
      <c r="E14637" s="40" t="s">
        <v>11404</v>
      </c>
      <c r="F14637" s="40" t="s">
        <v>11404</v>
      </c>
      <c r="G14637" s="40" t="s">
        <v>11404</v>
      </c>
      <c r="H14637" s="40" t="s">
        <v>11404</v>
      </c>
    </row>
    <row r="14638">
      <c r="A14638" s="39"/>
      <c r="E14638" s="40" t="s">
        <v>11404</v>
      </c>
      <c r="F14638" s="40" t="s">
        <v>11404</v>
      </c>
      <c r="G14638" s="40" t="s">
        <v>11404</v>
      </c>
      <c r="H14638" s="40" t="s">
        <v>11404</v>
      </c>
    </row>
    <row r="14639">
      <c r="A14639" s="39"/>
      <c r="E14639" s="40" t="s">
        <v>11404</v>
      </c>
      <c r="F14639" s="40" t="s">
        <v>11404</v>
      </c>
      <c r="G14639" s="40" t="s">
        <v>11404</v>
      </c>
      <c r="H14639" s="40" t="s">
        <v>11404</v>
      </c>
    </row>
    <row r="14640">
      <c r="A14640" s="39"/>
      <c r="E14640" s="40" t="s">
        <v>11404</v>
      </c>
      <c r="F14640" s="40" t="s">
        <v>11404</v>
      </c>
      <c r="G14640" s="40" t="s">
        <v>11404</v>
      </c>
      <c r="H14640" s="40" t="s">
        <v>11404</v>
      </c>
    </row>
    <row r="14641">
      <c r="A14641" s="39"/>
      <c r="E14641" s="40" t="s">
        <v>11404</v>
      </c>
      <c r="F14641" s="40" t="s">
        <v>11404</v>
      </c>
      <c r="G14641" s="40" t="s">
        <v>11404</v>
      </c>
      <c r="H14641" s="40" t="s">
        <v>11404</v>
      </c>
    </row>
    <row r="14642">
      <c r="A14642" s="39"/>
      <c r="E14642" s="40" t="s">
        <v>11404</v>
      </c>
      <c r="F14642" s="40" t="s">
        <v>11404</v>
      </c>
      <c r="G14642" s="40" t="s">
        <v>11404</v>
      </c>
      <c r="H14642" s="40" t="s">
        <v>11404</v>
      </c>
    </row>
    <row r="14643">
      <c r="A14643" s="39"/>
      <c r="E14643" s="40" t="s">
        <v>11404</v>
      </c>
      <c r="F14643" s="40" t="s">
        <v>11404</v>
      </c>
      <c r="G14643" s="40" t="s">
        <v>11404</v>
      </c>
      <c r="H14643" s="40" t="s">
        <v>11404</v>
      </c>
    </row>
    <row r="14644">
      <c r="A14644" s="39"/>
      <c r="E14644" s="40" t="s">
        <v>11404</v>
      </c>
      <c r="F14644" s="40" t="s">
        <v>11404</v>
      </c>
      <c r="G14644" s="40" t="s">
        <v>11404</v>
      </c>
      <c r="H14644" s="40" t="s">
        <v>11404</v>
      </c>
    </row>
    <row r="14645">
      <c r="A14645" s="39"/>
      <c r="E14645" s="40" t="s">
        <v>11404</v>
      </c>
      <c r="F14645" s="40" t="s">
        <v>11404</v>
      </c>
      <c r="G14645" s="40" t="s">
        <v>11404</v>
      </c>
      <c r="H14645" s="40" t="s">
        <v>11404</v>
      </c>
    </row>
    <row r="14646">
      <c r="A14646" s="39"/>
      <c r="E14646" s="40" t="s">
        <v>11404</v>
      </c>
      <c r="F14646" s="40" t="s">
        <v>11404</v>
      </c>
      <c r="G14646" s="40" t="s">
        <v>11404</v>
      </c>
      <c r="H14646" s="40" t="s">
        <v>11404</v>
      </c>
    </row>
    <row r="14647">
      <c r="A14647" s="39"/>
      <c r="E14647" s="40" t="s">
        <v>11404</v>
      </c>
      <c r="F14647" s="40" t="s">
        <v>11404</v>
      </c>
      <c r="G14647" s="40" t="s">
        <v>11404</v>
      </c>
      <c r="H14647" s="40" t="s">
        <v>11404</v>
      </c>
    </row>
    <row r="14648">
      <c r="A14648" s="39"/>
      <c r="E14648" s="40" t="s">
        <v>11404</v>
      </c>
      <c r="F14648" s="40" t="s">
        <v>11404</v>
      </c>
      <c r="G14648" s="40" t="s">
        <v>11404</v>
      </c>
      <c r="H14648" s="40" t="s">
        <v>11404</v>
      </c>
    </row>
    <row r="14649">
      <c r="A14649" s="39"/>
      <c r="E14649" s="40" t="s">
        <v>11404</v>
      </c>
      <c r="F14649" s="40" t="s">
        <v>11404</v>
      </c>
      <c r="G14649" s="40" t="s">
        <v>11404</v>
      </c>
      <c r="H14649" s="40" t="s">
        <v>11404</v>
      </c>
    </row>
    <row r="14650">
      <c r="A14650" s="39"/>
      <c r="E14650" s="40" t="s">
        <v>11404</v>
      </c>
      <c r="F14650" s="40" t="s">
        <v>11404</v>
      </c>
      <c r="G14650" s="40" t="s">
        <v>11404</v>
      </c>
      <c r="H14650" s="40" t="s">
        <v>11404</v>
      </c>
    </row>
    <row r="14651">
      <c r="A14651" s="39"/>
      <c r="E14651" s="40" t="s">
        <v>11404</v>
      </c>
      <c r="F14651" s="40" t="s">
        <v>11404</v>
      </c>
      <c r="G14651" s="40" t="s">
        <v>11404</v>
      </c>
      <c r="H14651" s="40" t="s">
        <v>11404</v>
      </c>
    </row>
    <row r="14652">
      <c r="A14652" s="39"/>
      <c r="E14652" s="40" t="s">
        <v>11404</v>
      </c>
      <c r="F14652" s="40" t="s">
        <v>11404</v>
      </c>
      <c r="G14652" s="40" t="s">
        <v>11404</v>
      </c>
      <c r="H14652" s="40" t="s">
        <v>11404</v>
      </c>
    </row>
    <row r="14653">
      <c r="A14653" s="39"/>
      <c r="E14653" s="40" t="s">
        <v>11404</v>
      </c>
      <c r="F14653" s="40" t="s">
        <v>11404</v>
      </c>
      <c r="G14653" s="40" t="s">
        <v>11404</v>
      </c>
      <c r="H14653" s="40" t="s">
        <v>11404</v>
      </c>
    </row>
    <row r="14654">
      <c r="A14654" s="39"/>
      <c r="E14654" s="40" t="s">
        <v>11404</v>
      </c>
      <c r="F14654" s="40" t="s">
        <v>11404</v>
      </c>
      <c r="G14654" s="40" t="s">
        <v>11404</v>
      </c>
      <c r="H14654" s="40" t="s">
        <v>11404</v>
      </c>
    </row>
    <row r="14655">
      <c r="A14655" s="39"/>
      <c r="E14655" s="40" t="s">
        <v>11404</v>
      </c>
      <c r="F14655" s="40" t="s">
        <v>11404</v>
      </c>
      <c r="G14655" s="40" t="s">
        <v>11404</v>
      </c>
      <c r="H14655" s="40" t="s">
        <v>11404</v>
      </c>
    </row>
    <row r="14656">
      <c r="A14656" s="39"/>
      <c r="E14656" s="40" t="s">
        <v>11404</v>
      </c>
      <c r="F14656" s="40" t="s">
        <v>11404</v>
      </c>
      <c r="G14656" s="40" t="s">
        <v>11404</v>
      </c>
      <c r="H14656" s="40" t="s">
        <v>11404</v>
      </c>
    </row>
    <row r="14657">
      <c r="A14657" s="39"/>
      <c r="E14657" s="40" t="s">
        <v>11404</v>
      </c>
      <c r="F14657" s="40" t="s">
        <v>11404</v>
      </c>
      <c r="G14657" s="40" t="s">
        <v>11404</v>
      </c>
      <c r="H14657" s="40" t="s">
        <v>11404</v>
      </c>
    </row>
    <row r="14658">
      <c r="A14658" s="39"/>
      <c r="E14658" s="40" t="s">
        <v>11404</v>
      </c>
      <c r="F14658" s="40" t="s">
        <v>11404</v>
      </c>
      <c r="G14658" s="40" t="s">
        <v>11404</v>
      </c>
      <c r="H14658" s="40" t="s">
        <v>11404</v>
      </c>
    </row>
    <row r="14659">
      <c r="A14659" s="39"/>
      <c r="E14659" s="40" t="s">
        <v>11404</v>
      </c>
      <c r="F14659" s="40" t="s">
        <v>11404</v>
      </c>
      <c r="G14659" s="40" t="s">
        <v>11404</v>
      </c>
      <c r="H14659" s="40" t="s">
        <v>11404</v>
      </c>
    </row>
    <row r="14660">
      <c r="A14660" s="39"/>
      <c r="E14660" s="40" t="s">
        <v>11404</v>
      </c>
      <c r="F14660" s="40" t="s">
        <v>11404</v>
      </c>
      <c r="G14660" s="40" t="s">
        <v>11404</v>
      </c>
      <c r="H14660" s="40" t="s">
        <v>11404</v>
      </c>
    </row>
    <row r="14661">
      <c r="A14661" s="39"/>
      <c r="E14661" s="40" t="s">
        <v>11404</v>
      </c>
      <c r="F14661" s="40" t="s">
        <v>11404</v>
      </c>
      <c r="G14661" s="40" t="s">
        <v>11404</v>
      </c>
      <c r="H14661" s="40" t="s">
        <v>11404</v>
      </c>
    </row>
    <row r="14662">
      <c r="A14662" s="39"/>
      <c r="E14662" s="40" t="s">
        <v>11404</v>
      </c>
      <c r="F14662" s="40" t="s">
        <v>11404</v>
      </c>
      <c r="G14662" s="40" t="s">
        <v>11404</v>
      </c>
      <c r="H14662" s="40" t="s">
        <v>11404</v>
      </c>
    </row>
    <row r="14663">
      <c r="A14663" s="39"/>
      <c r="E14663" s="40" t="s">
        <v>11404</v>
      </c>
      <c r="F14663" s="40" t="s">
        <v>11404</v>
      </c>
      <c r="G14663" s="40" t="s">
        <v>11404</v>
      </c>
      <c r="H14663" s="40" t="s">
        <v>11404</v>
      </c>
    </row>
    <row r="14664">
      <c r="A14664" s="39"/>
      <c r="E14664" s="40" t="s">
        <v>11404</v>
      </c>
      <c r="F14664" s="40" t="s">
        <v>11404</v>
      </c>
      <c r="G14664" s="40" t="s">
        <v>11404</v>
      </c>
      <c r="H14664" s="40" t="s">
        <v>11404</v>
      </c>
    </row>
    <row r="14665">
      <c r="A14665" s="39"/>
      <c r="E14665" s="40" t="s">
        <v>11404</v>
      </c>
      <c r="F14665" s="40" t="s">
        <v>11404</v>
      </c>
      <c r="G14665" s="40" t="s">
        <v>11404</v>
      </c>
      <c r="H14665" s="40" t="s">
        <v>11404</v>
      </c>
    </row>
    <row r="14666">
      <c r="A14666" s="39"/>
      <c r="E14666" s="40" t="s">
        <v>11404</v>
      </c>
      <c r="F14666" s="40" t="s">
        <v>11404</v>
      </c>
      <c r="G14666" s="40" t="s">
        <v>11404</v>
      </c>
      <c r="H14666" s="40" t="s">
        <v>11404</v>
      </c>
    </row>
    <row r="14667">
      <c r="A14667" s="39"/>
      <c r="E14667" s="40" t="s">
        <v>11404</v>
      </c>
      <c r="F14667" s="40" t="s">
        <v>11404</v>
      </c>
      <c r="G14667" s="40" t="s">
        <v>11404</v>
      </c>
      <c r="H14667" s="40" t="s">
        <v>11404</v>
      </c>
    </row>
    <row r="14668">
      <c r="A14668" s="39"/>
      <c r="E14668" s="40" t="s">
        <v>11404</v>
      </c>
      <c r="F14668" s="40" t="s">
        <v>11404</v>
      </c>
      <c r="G14668" s="40" t="s">
        <v>11404</v>
      </c>
      <c r="H14668" s="40" t="s">
        <v>11404</v>
      </c>
    </row>
    <row r="14669">
      <c r="A14669" s="39"/>
      <c r="E14669" s="40" t="s">
        <v>11404</v>
      </c>
      <c r="F14669" s="40" t="s">
        <v>11404</v>
      </c>
      <c r="G14669" s="40" t="s">
        <v>11404</v>
      </c>
      <c r="H14669" s="40" t="s">
        <v>11404</v>
      </c>
    </row>
    <row r="14670">
      <c r="A14670" s="39"/>
      <c r="E14670" s="40" t="s">
        <v>11404</v>
      </c>
      <c r="F14670" s="40" t="s">
        <v>11404</v>
      </c>
      <c r="G14670" s="40" t="s">
        <v>11404</v>
      </c>
      <c r="H14670" s="40" t="s">
        <v>11404</v>
      </c>
    </row>
    <row r="14671">
      <c r="A14671" s="39"/>
      <c r="E14671" s="40" t="s">
        <v>11404</v>
      </c>
      <c r="F14671" s="40" t="s">
        <v>11404</v>
      </c>
      <c r="G14671" s="40" t="s">
        <v>11404</v>
      </c>
      <c r="H14671" s="40" t="s">
        <v>11404</v>
      </c>
    </row>
    <row r="14672">
      <c r="A14672" s="39"/>
      <c r="E14672" s="40" t="s">
        <v>11404</v>
      </c>
      <c r="F14672" s="40" t="s">
        <v>11404</v>
      </c>
      <c r="G14672" s="40" t="s">
        <v>11404</v>
      </c>
      <c r="H14672" s="40" t="s">
        <v>11404</v>
      </c>
    </row>
    <row r="14673">
      <c r="A14673" s="39"/>
      <c r="E14673" s="40" t="s">
        <v>11404</v>
      </c>
      <c r="F14673" s="40" t="s">
        <v>11404</v>
      </c>
      <c r="G14673" s="40" t="s">
        <v>11404</v>
      </c>
      <c r="H14673" s="40" t="s">
        <v>11404</v>
      </c>
    </row>
    <row r="14674">
      <c r="A14674" s="39"/>
      <c r="E14674" s="40" t="s">
        <v>11404</v>
      </c>
      <c r="F14674" s="40" t="s">
        <v>11404</v>
      </c>
      <c r="G14674" s="40" t="s">
        <v>11404</v>
      </c>
      <c r="H14674" s="40" t="s">
        <v>11404</v>
      </c>
    </row>
    <row r="14675">
      <c r="A14675" s="39"/>
      <c r="E14675" s="40" t="s">
        <v>11404</v>
      </c>
      <c r="F14675" s="40" t="s">
        <v>11404</v>
      </c>
      <c r="G14675" s="40" t="s">
        <v>11404</v>
      </c>
      <c r="H14675" s="40" t="s">
        <v>11404</v>
      </c>
    </row>
    <row r="14676">
      <c r="A14676" s="39"/>
      <c r="E14676" s="40" t="s">
        <v>11404</v>
      </c>
      <c r="F14676" s="40" t="s">
        <v>11404</v>
      </c>
      <c r="G14676" s="40" t="s">
        <v>11404</v>
      </c>
      <c r="H14676" s="40" t="s">
        <v>11404</v>
      </c>
    </row>
    <row r="14677">
      <c r="A14677" s="39"/>
      <c r="E14677" s="40" t="s">
        <v>11404</v>
      </c>
      <c r="F14677" s="40" t="s">
        <v>11404</v>
      </c>
      <c r="G14677" s="40" t="s">
        <v>11404</v>
      </c>
      <c r="H14677" s="40" t="s">
        <v>11404</v>
      </c>
    </row>
    <row r="14678">
      <c r="A14678" s="39"/>
      <c r="E14678" s="40" t="s">
        <v>11404</v>
      </c>
      <c r="F14678" s="40" t="s">
        <v>11404</v>
      </c>
      <c r="G14678" s="40" t="s">
        <v>11404</v>
      </c>
      <c r="H14678" s="40" t="s">
        <v>11404</v>
      </c>
    </row>
    <row r="14679">
      <c r="A14679" s="39"/>
      <c r="E14679" s="40" t="s">
        <v>11404</v>
      </c>
      <c r="F14679" s="40" t="s">
        <v>11404</v>
      </c>
      <c r="G14679" s="40" t="s">
        <v>11404</v>
      </c>
      <c r="H14679" s="40" t="s">
        <v>11404</v>
      </c>
    </row>
    <row r="14680">
      <c r="A14680" s="39"/>
      <c r="E14680" s="40" t="s">
        <v>11404</v>
      </c>
      <c r="F14680" s="40" t="s">
        <v>11404</v>
      </c>
      <c r="G14680" s="40" t="s">
        <v>11404</v>
      </c>
      <c r="H14680" s="40" t="s">
        <v>11404</v>
      </c>
    </row>
    <row r="14681">
      <c r="A14681" s="39"/>
      <c r="E14681" s="40" t="s">
        <v>11404</v>
      </c>
      <c r="F14681" s="40" t="s">
        <v>11404</v>
      </c>
      <c r="G14681" s="40" t="s">
        <v>11404</v>
      </c>
      <c r="H14681" s="40" t="s">
        <v>11404</v>
      </c>
    </row>
    <row r="14682">
      <c r="A14682" s="39"/>
      <c r="E14682" s="40" t="s">
        <v>11404</v>
      </c>
      <c r="F14682" s="40" t="s">
        <v>11404</v>
      </c>
      <c r="G14682" s="40" t="s">
        <v>11404</v>
      </c>
      <c r="H14682" s="40" t="s">
        <v>11404</v>
      </c>
    </row>
    <row r="14683">
      <c r="A14683" s="39"/>
      <c r="E14683" s="40" t="s">
        <v>11404</v>
      </c>
      <c r="F14683" s="40" t="s">
        <v>11404</v>
      </c>
      <c r="G14683" s="40" t="s">
        <v>11404</v>
      </c>
      <c r="H14683" s="40" t="s">
        <v>11404</v>
      </c>
    </row>
    <row r="14684">
      <c r="A14684" s="39"/>
      <c r="E14684" s="40" t="s">
        <v>11404</v>
      </c>
      <c r="F14684" s="40" t="s">
        <v>11404</v>
      </c>
      <c r="G14684" s="40" t="s">
        <v>11404</v>
      </c>
      <c r="H14684" s="40" t="s">
        <v>11404</v>
      </c>
    </row>
    <row r="14685">
      <c r="A14685" s="39"/>
      <c r="E14685" s="40" t="s">
        <v>11404</v>
      </c>
      <c r="F14685" s="40" t="s">
        <v>11404</v>
      </c>
      <c r="G14685" s="40" t="s">
        <v>11404</v>
      </c>
      <c r="H14685" s="40" t="s">
        <v>11404</v>
      </c>
    </row>
    <row r="14686">
      <c r="A14686" s="39"/>
      <c r="E14686" s="40" t="s">
        <v>11404</v>
      </c>
      <c r="F14686" s="40" t="s">
        <v>11404</v>
      </c>
      <c r="G14686" s="40" t="s">
        <v>11404</v>
      </c>
      <c r="H14686" s="40" t="s">
        <v>11404</v>
      </c>
    </row>
    <row r="14687">
      <c r="A14687" s="39"/>
      <c r="E14687" s="40" t="s">
        <v>11404</v>
      </c>
      <c r="F14687" s="40" t="s">
        <v>11404</v>
      </c>
      <c r="G14687" s="40" t="s">
        <v>11404</v>
      </c>
      <c r="H14687" s="40" t="s">
        <v>11404</v>
      </c>
    </row>
    <row r="14688">
      <c r="A14688" s="39"/>
      <c r="E14688" s="40" t="s">
        <v>11404</v>
      </c>
      <c r="F14688" s="40" t="s">
        <v>11404</v>
      </c>
      <c r="G14688" s="40" t="s">
        <v>11404</v>
      </c>
      <c r="H14688" s="40" t="s">
        <v>11404</v>
      </c>
    </row>
    <row r="14689">
      <c r="A14689" s="39"/>
      <c r="E14689" s="40" t="s">
        <v>11404</v>
      </c>
      <c r="F14689" s="40" t="s">
        <v>11404</v>
      </c>
      <c r="G14689" s="40" t="s">
        <v>11404</v>
      </c>
      <c r="H14689" s="40" t="s">
        <v>11404</v>
      </c>
    </row>
    <row r="14690">
      <c r="A14690" s="39"/>
      <c r="E14690" s="40" t="s">
        <v>11404</v>
      </c>
      <c r="F14690" s="40" t="s">
        <v>11404</v>
      </c>
      <c r="G14690" s="40" t="s">
        <v>11404</v>
      </c>
      <c r="H14690" s="40" t="s">
        <v>11404</v>
      </c>
    </row>
    <row r="14691">
      <c r="A14691" s="39"/>
      <c r="E14691" s="40" t="s">
        <v>11404</v>
      </c>
      <c r="F14691" s="40" t="s">
        <v>11404</v>
      </c>
      <c r="G14691" s="40" t="s">
        <v>11404</v>
      </c>
      <c r="H14691" s="40" t="s">
        <v>11404</v>
      </c>
    </row>
    <row r="14692">
      <c r="A14692" s="39"/>
      <c r="E14692" s="40" t="s">
        <v>11404</v>
      </c>
      <c r="F14692" s="40" t="s">
        <v>11404</v>
      </c>
      <c r="G14692" s="40" t="s">
        <v>11404</v>
      </c>
      <c r="H14692" s="40" t="s">
        <v>11404</v>
      </c>
    </row>
    <row r="14693">
      <c r="A14693" s="39"/>
      <c r="E14693" s="40" t="s">
        <v>11404</v>
      </c>
      <c r="F14693" s="40" t="s">
        <v>11404</v>
      </c>
      <c r="G14693" s="40" t="s">
        <v>11404</v>
      </c>
      <c r="H14693" s="40" t="s">
        <v>11404</v>
      </c>
    </row>
    <row r="14694">
      <c r="A14694" s="39"/>
      <c r="E14694" s="40" t="s">
        <v>11404</v>
      </c>
      <c r="F14694" s="40" t="s">
        <v>11404</v>
      </c>
      <c r="G14694" s="40" t="s">
        <v>11404</v>
      </c>
      <c r="H14694" s="40" t="s">
        <v>11404</v>
      </c>
    </row>
    <row r="14695">
      <c r="A14695" s="39"/>
      <c r="E14695" s="40" t="s">
        <v>11404</v>
      </c>
      <c r="F14695" s="40" t="s">
        <v>11404</v>
      </c>
      <c r="G14695" s="40" t="s">
        <v>11404</v>
      </c>
      <c r="H14695" s="40" t="s">
        <v>11404</v>
      </c>
    </row>
    <row r="14696">
      <c r="A14696" s="39"/>
      <c r="E14696" s="40" t="s">
        <v>11404</v>
      </c>
      <c r="F14696" s="40" t="s">
        <v>11404</v>
      </c>
      <c r="G14696" s="40" t="s">
        <v>11404</v>
      </c>
      <c r="H14696" s="40" t="s">
        <v>11404</v>
      </c>
    </row>
    <row r="14697">
      <c r="A14697" s="39"/>
      <c r="E14697" s="40" t="s">
        <v>11404</v>
      </c>
      <c r="F14697" s="40" t="s">
        <v>11404</v>
      </c>
      <c r="G14697" s="40" t="s">
        <v>11404</v>
      </c>
      <c r="H14697" s="40" t="s">
        <v>11404</v>
      </c>
    </row>
    <row r="14698">
      <c r="A14698" s="39"/>
      <c r="E14698" s="40" t="s">
        <v>11404</v>
      </c>
      <c r="F14698" s="40" t="s">
        <v>11404</v>
      </c>
      <c r="G14698" s="40" t="s">
        <v>11404</v>
      </c>
      <c r="H14698" s="40" t="s">
        <v>11404</v>
      </c>
    </row>
    <row r="14699">
      <c r="A14699" s="39"/>
      <c r="E14699" s="40" t="s">
        <v>11404</v>
      </c>
      <c r="F14699" s="40" t="s">
        <v>11404</v>
      </c>
      <c r="G14699" s="40" t="s">
        <v>11404</v>
      </c>
      <c r="H14699" s="40" t="s">
        <v>11404</v>
      </c>
    </row>
    <row r="14700">
      <c r="A14700" s="39"/>
      <c r="E14700" s="40" t="s">
        <v>11404</v>
      </c>
      <c r="F14700" s="40" t="s">
        <v>11404</v>
      </c>
      <c r="G14700" s="40" t="s">
        <v>11404</v>
      </c>
      <c r="H14700" s="40" t="s">
        <v>11404</v>
      </c>
    </row>
    <row r="14701">
      <c r="A14701" s="39"/>
      <c r="E14701" s="40" t="s">
        <v>11404</v>
      </c>
      <c r="F14701" s="40" t="s">
        <v>11404</v>
      </c>
      <c r="G14701" s="40" t="s">
        <v>11404</v>
      </c>
      <c r="H14701" s="40" t="s">
        <v>11404</v>
      </c>
    </row>
    <row r="14702">
      <c r="A14702" s="39"/>
      <c r="E14702" s="40" t="s">
        <v>11404</v>
      </c>
      <c r="F14702" s="40" t="s">
        <v>11404</v>
      </c>
      <c r="G14702" s="40" t="s">
        <v>11404</v>
      </c>
      <c r="H14702" s="40" t="s">
        <v>11404</v>
      </c>
    </row>
    <row r="14703">
      <c r="A14703" s="39"/>
      <c r="E14703" s="40" t="s">
        <v>11404</v>
      </c>
      <c r="F14703" s="40" t="s">
        <v>11404</v>
      </c>
      <c r="G14703" s="40" t="s">
        <v>11404</v>
      </c>
      <c r="H14703" s="40" t="s">
        <v>11404</v>
      </c>
    </row>
    <row r="14704">
      <c r="A14704" s="39"/>
      <c r="E14704" s="40" t="s">
        <v>11404</v>
      </c>
      <c r="F14704" s="40" t="s">
        <v>11404</v>
      </c>
      <c r="G14704" s="40" t="s">
        <v>11404</v>
      </c>
      <c r="H14704" s="40" t="s">
        <v>11404</v>
      </c>
    </row>
    <row r="14705">
      <c r="A14705" s="39"/>
      <c r="E14705" s="40" t="s">
        <v>11404</v>
      </c>
      <c r="F14705" s="40" t="s">
        <v>11404</v>
      </c>
      <c r="G14705" s="40" t="s">
        <v>11404</v>
      </c>
      <c r="H14705" s="40" t="s">
        <v>11404</v>
      </c>
    </row>
    <row r="14706">
      <c r="A14706" s="39"/>
      <c r="E14706" s="40" t="s">
        <v>11404</v>
      </c>
      <c r="F14706" s="40" t="s">
        <v>11404</v>
      </c>
      <c r="G14706" s="40" t="s">
        <v>11404</v>
      </c>
      <c r="H14706" s="40" t="s">
        <v>11404</v>
      </c>
    </row>
    <row r="14707">
      <c r="A14707" s="39"/>
      <c r="E14707" s="40" t="s">
        <v>11404</v>
      </c>
      <c r="F14707" s="40" t="s">
        <v>11404</v>
      </c>
      <c r="G14707" s="40" t="s">
        <v>11404</v>
      </c>
      <c r="H14707" s="40" t="s">
        <v>11404</v>
      </c>
    </row>
    <row r="14708">
      <c r="A14708" s="39"/>
      <c r="E14708" s="40" t="s">
        <v>11404</v>
      </c>
      <c r="F14708" s="40" t="s">
        <v>11404</v>
      </c>
      <c r="G14708" s="40" t="s">
        <v>11404</v>
      </c>
      <c r="H14708" s="40" t="s">
        <v>11404</v>
      </c>
    </row>
    <row r="14709">
      <c r="A14709" s="39"/>
      <c r="E14709" s="40" t="s">
        <v>11404</v>
      </c>
      <c r="F14709" s="40" t="s">
        <v>11404</v>
      </c>
      <c r="G14709" s="40" t="s">
        <v>11404</v>
      </c>
      <c r="H14709" s="40" t="s">
        <v>11404</v>
      </c>
    </row>
    <row r="14710">
      <c r="A14710" s="39"/>
      <c r="E14710" s="40" t="s">
        <v>11404</v>
      </c>
      <c r="F14710" s="40" t="s">
        <v>11404</v>
      </c>
      <c r="G14710" s="40" t="s">
        <v>11404</v>
      </c>
      <c r="H14710" s="40" t="s">
        <v>11404</v>
      </c>
    </row>
    <row r="14711">
      <c r="A14711" s="39"/>
      <c r="E14711" s="40" t="s">
        <v>11404</v>
      </c>
      <c r="F14711" s="40" t="s">
        <v>11404</v>
      </c>
      <c r="G14711" s="40" t="s">
        <v>11404</v>
      </c>
      <c r="H14711" s="40" t="s">
        <v>11404</v>
      </c>
    </row>
    <row r="14712">
      <c r="A14712" s="39"/>
      <c r="E14712" s="40" t="s">
        <v>11404</v>
      </c>
      <c r="F14712" s="40" t="s">
        <v>11404</v>
      </c>
      <c r="G14712" s="40" t="s">
        <v>11404</v>
      </c>
      <c r="H14712" s="40" t="s">
        <v>11404</v>
      </c>
    </row>
    <row r="14713">
      <c r="A14713" s="39"/>
      <c r="E14713" s="40" t="s">
        <v>11404</v>
      </c>
      <c r="F14713" s="40" t="s">
        <v>11404</v>
      </c>
      <c r="G14713" s="40" t="s">
        <v>11404</v>
      </c>
      <c r="H14713" s="40" t="s">
        <v>11404</v>
      </c>
    </row>
    <row r="14714">
      <c r="A14714" s="39"/>
      <c r="E14714" s="40" t="s">
        <v>11404</v>
      </c>
      <c r="F14714" s="40" t="s">
        <v>11404</v>
      </c>
      <c r="G14714" s="40" t="s">
        <v>11404</v>
      </c>
      <c r="H14714" s="40" t="s">
        <v>11404</v>
      </c>
    </row>
    <row r="14715">
      <c r="A14715" s="39"/>
      <c r="E14715" s="40" t="s">
        <v>11404</v>
      </c>
      <c r="F14715" s="40" t="s">
        <v>11404</v>
      </c>
      <c r="G14715" s="40" t="s">
        <v>11404</v>
      </c>
      <c r="H14715" s="40" t="s">
        <v>11404</v>
      </c>
    </row>
    <row r="14716">
      <c r="A14716" s="39"/>
      <c r="E14716" s="40" t="s">
        <v>11404</v>
      </c>
      <c r="F14716" s="40" t="s">
        <v>11404</v>
      </c>
      <c r="G14716" s="40" t="s">
        <v>11404</v>
      </c>
      <c r="H14716" s="40" t="s">
        <v>11404</v>
      </c>
    </row>
    <row r="14717">
      <c r="A14717" s="39"/>
      <c r="E14717" s="40" t="s">
        <v>11404</v>
      </c>
      <c r="F14717" s="40" t="s">
        <v>11404</v>
      </c>
      <c r="G14717" s="40" t="s">
        <v>11404</v>
      </c>
      <c r="H14717" s="40" t="s">
        <v>11404</v>
      </c>
    </row>
    <row r="14718">
      <c r="A14718" s="39"/>
      <c r="E14718" s="40" t="s">
        <v>11404</v>
      </c>
      <c r="F14718" s="40" t="s">
        <v>11404</v>
      </c>
      <c r="G14718" s="40" t="s">
        <v>11404</v>
      </c>
      <c r="H14718" s="40" t="s">
        <v>11404</v>
      </c>
    </row>
    <row r="14719">
      <c r="A14719" s="39"/>
      <c r="E14719" s="40" t="s">
        <v>11404</v>
      </c>
      <c r="F14719" s="40" t="s">
        <v>11404</v>
      </c>
      <c r="G14719" s="40" t="s">
        <v>11404</v>
      </c>
      <c r="H14719" s="40" t="s">
        <v>11404</v>
      </c>
    </row>
    <row r="14720">
      <c r="A14720" s="39"/>
      <c r="E14720" s="40" t="s">
        <v>11404</v>
      </c>
      <c r="F14720" s="40" t="s">
        <v>11404</v>
      </c>
      <c r="G14720" s="40" t="s">
        <v>11404</v>
      </c>
      <c r="H14720" s="40" t="s">
        <v>11404</v>
      </c>
    </row>
    <row r="14721">
      <c r="A14721" s="39"/>
      <c r="E14721" s="40" t="s">
        <v>11404</v>
      </c>
      <c r="F14721" s="40" t="s">
        <v>11404</v>
      </c>
      <c r="G14721" s="40" t="s">
        <v>11404</v>
      </c>
      <c r="H14721" s="40" t="s">
        <v>11404</v>
      </c>
    </row>
    <row r="14722">
      <c r="A14722" s="39"/>
      <c r="E14722" s="40" t="s">
        <v>11404</v>
      </c>
      <c r="F14722" s="40" t="s">
        <v>11404</v>
      </c>
      <c r="G14722" s="40" t="s">
        <v>11404</v>
      </c>
      <c r="H14722" s="40" t="s">
        <v>11404</v>
      </c>
    </row>
    <row r="14723">
      <c r="A14723" s="39"/>
      <c r="E14723" s="40" t="s">
        <v>11404</v>
      </c>
      <c r="F14723" s="40" t="s">
        <v>11404</v>
      </c>
      <c r="G14723" s="40" t="s">
        <v>11404</v>
      </c>
      <c r="H14723" s="40" t="s">
        <v>11404</v>
      </c>
    </row>
    <row r="14724">
      <c r="A14724" s="39"/>
      <c r="E14724" s="40" t="s">
        <v>11404</v>
      </c>
      <c r="F14724" s="40" t="s">
        <v>11404</v>
      </c>
      <c r="G14724" s="40" t="s">
        <v>11404</v>
      </c>
      <c r="H14724" s="40" t="s">
        <v>11404</v>
      </c>
    </row>
    <row r="14725">
      <c r="A14725" s="39"/>
      <c r="E14725" s="40" t="s">
        <v>11404</v>
      </c>
      <c r="F14725" s="40" t="s">
        <v>11404</v>
      </c>
      <c r="G14725" s="40" t="s">
        <v>11404</v>
      </c>
      <c r="H14725" s="40" t="s">
        <v>11404</v>
      </c>
    </row>
    <row r="14726">
      <c r="A14726" s="39"/>
      <c r="E14726" s="40" t="s">
        <v>11404</v>
      </c>
      <c r="F14726" s="40" t="s">
        <v>11404</v>
      </c>
      <c r="G14726" s="40" t="s">
        <v>11404</v>
      </c>
      <c r="H14726" s="40" t="s">
        <v>11404</v>
      </c>
    </row>
    <row r="14727">
      <c r="A14727" s="39"/>
      <c r="E14727" s="40" t="s">
        <v>11404</v>
      </c>
      <c r="F14727" s="40" t="s">
        <v>11404</v>
      </c>
      <c r="G14727" s="40" t="s">
        <v>11404</v>
      </c>
      <c r="H14727" s="40" t="s">
        <v>11404</v>
      </c>
    </row>
    <row r="14728">
      <c r="A14728" s="39"/>
      <c r="E14728" s="40" t="s">
        <v>11404</v>
      </c>
      <c r="F14728" s="40" t="s">
        <v>11404</v>
      </c>
      <c r="G14728" s="40" t="s">
        <v>11404</v>
      </c>
      <c r="H14728" s="40" t="s">
        <v>11404</v>
      </c>
    </row>
    <row r="14729">
      <c r="A14729" s="39"/>
      <c r="E14729" s="40" t="s">
        <v>11404</v>
      </c>
      <c r="F14729" s="40" t="s">
        <v>11404</v>
      </c>
      <c r="G14729" s="40" t="s">
        <v>11404</v>
      </c>
      <c r="H14729" s="40" t="s">
        <v>11404</v>
      </c>
    </row>
    <row r="14730">
      <c r="A14730" s="39"/>
      <c r="E14730" s="40" t="s">
        <v>11404</v>
      </c>
      <c r="F14730" s="40" t="s">
        <v>11404</v>
      </c>
      <c r="G14730" s="40" t="s">
        <v>11404</v>
      </c>
      <c r="H14730" s="40" t="s">
        <v>11404</v>
      </c>
    </row>
    <row r="14731">
      <c r="A14731" s="39"/>
      <c r="E14731" s="40" t="s">
        <v>11404</v>
      </c>
      <c r="F14731" s="40" t="s">
        <v>11404</v>
      </c>
      <c r="G14731" s="40" t="s">
        <v>11404</v>
      </c>
      <c r="H14731" s="40" t="s">
        <v>11404</v>
      </c>
    </row>
    <row r="14732">
      <c r="A14732" s="39"/>
      <c r="E14732" s="40" t="s">
        <v>11404</v>
      </c>
      <c r="F14732" s="40" t="s">
        <v>11404</v>
      </c>
      <c r="G14732" s="40" t="s">
        <v>11404</v>
      </c>
      <c r="H14732" s="40" t="s">
        <v>11404</v>
      </c>
    </row>
    <row r="14733">
      <c r="A14733" s="39"/>
      <c r="E14733" s="40" t="s">
        <v>11404</v>
      </c>
      <c r="F14733" s="40" t="s">
        <v>11404</v>
      </c>
      <c r="G14733" s="40" t="s">
        <v>11404</v>
      </c>
      <c r="H14733" s="40" t="s">
        <v>11404</v>
      </c>
    </row>
    <row r="14734">
      <c r="A14734" s="39"/>
      <c r="E14734" s="40" t="s">
        <v>11404</v>
      </c>
      <c r="F14734" s="40" t="s">
        <v>11404</v>
      </c>
      <c r="G14734" s="40" t="s">
        <v>11404</v>
      </c>
      <c r="H14734" s="40" t="s">
        <v>11404</v>
      </c>
    </row>
    <row r="14735">
      <c r="A14735" s="39"/>
      <c r="E14735" s="40" t="s">
        <v>11404</v>
      </c>
      <c r="F14735" s="40" t="s">
        <v>11404</v>
      </c>
      <c r="G14735" s="40" t="s">
        <v>11404</v>
      </c>
      <c r="H14735" s="40" t="s">
        <v>11404</v>
      </c>
    </row>
    <row r="14736">
      <c r="A14736" s="39"/>
      <c r="E14736" s="40" t="s">
        <v>11404</v>
      </c>
      <c r="F14736" s="40" t="s">
        <v>11404</v>
      </c>
      <c r="G14736" s="40" t="s">
        <v>11404</v>
      </c>
      <c r="H14736" s="40" t="s">
        <v>11404</v>
      </c>
    </row>
    <row r="14737">
      <c r="A14737" s="39"/>
      <c r="E14737" s="40" t="s">
        <v>11404</v>
      </c>
      <c r="F14737" s="40" t="s">
        <v>11404</v>
      </c>
      <c r="G14737" s="40" t="s">
        <v>11404</v>
      </c>
      <c r="H14737" s="40" t="s">
        <v>11404</v>
      </c>
    </row>
    <row r="14738">
      <c r="A14738" s="39"/>
      <c r="E14738" s="40" t="s">
        <v>11404</v>
      </c>
      <c r="F14738" s="40" t="s">
        <v>11404</v>
      </c>
      <c r="G14738" s="40" t="s">
        <v>11404</v>
      </c>
      <c r="H14738" s="40" t="s">
        <v>11404</v>
      </c>
    </row>
    <row r="14739">
      <c r="A14739" s="39"/>
      <c r="E14739" s="40" t="s">
        <v>11404</v>
      </c>
      <c r="F14739" s="40" t="s">
        <v>11404</v>
      </c>
      <c r="G14739" s="40" t="s">
        <v>11404</v>
      </c>
      <c r="H14739" s="40" t="s">
        <v>11404</v>
      </c>
    </row>
    <row r="14740">
      <c r="A14740" s="39"/>
      <c r="E14740" s="40" t="s">
        <v>11404</v>
      </c>
      <c r="F14740" s="40" t="s">
        <v>11404</v>
      </c>
      <c r="G14740" s="40" t="s">
        <v>11404</v>
      </c>
      <c r="H14740" s="40" t="s">
        <v>11404</v>
      </c>
    </row>
    <row r="14741">
      <c r="A14741" s="39"/>
      <c r="E14741" s="40" t="s">
        <v>11404</v>
      </c>
      <c r="F14741" s="40" t="s">
        <v>11404</v>
      </c>
      <c r="G14741" s="40" t="s">
        <v>11404</v>
      </c>
      <c r="H14741" s="40" t="s">
        <v>11404</v>
      </c>
    </row>
    <row r="14742">
      <c r="A14742" s="39"/>
      <c r="E14742" s="40" t="s">
        <v>11404</v>
      </c>
      <c r="F14742" s="40" t="s">
        <v>11404</v>
      </c>
      <c r="G14742" s="40" t="s">
        <v>11404</v>
      </c>
      <c r="H14742" s="40" t="s">
        <v>11404</v>
      </c>
    </row>
    <row r="14743">
      <c r="A14743" s="39"/>
      <c r="E14743" s="40" t="s">
        <v>11404</v>
      </c>
      <c r="F14743" s="40" t="s">
        <v>11404</v>
      </c>
      <c r="G14743" s="40" t="s">
        <v>11404</v>
      </c>
      <c r="H14743" s="40" t="s">
        <v>11404</v>
      </c>
    </row>
    <row r="14744">
      <c r="A14744" s="39"/>
      <c r="E14744" s="40" t="s">
        <v>11404</v>
      </c>
      <c r="F14744" s="40" t="s">
        <v>11404</v>
      </c>
      <c r="G14744" s="40" t="s">
        <v>11404</v>
      </c>
      <c r="H14744" s="40" t="s">
        <v>11404</v>
      </c>
    </row>
    <row r="14745">
      <c r="A14745" s="39"/>
      <c r="E14745" s="40" t="s">
        <v>11404</v>
      </c>
      <c r="F14745" s="40" t="s">
        <v>11404</v>
      </c>
      <c r="G14745" s="40" t="s">
        <v>11404</v>
      </c>
      <c r="H14745" s="40" t="s">
        <v>11404</v>
      </c>
    </row>
    <row r="14746">
      <c r="A14746" s="39"/>
      <c r="E14746" s="40" t="s">
        <v>11404</v>
      </c>
      <c r="F14746" s="40" t="s">
        <v>11404</v>
      </c>
      <c r="G14746" s="40" t="s">
        <v>11404</v>
      </c>
      <c r="H14746" s="40" t="s">
        <v>11404</v>
      </c>
    </row>
    <row r="14747">
      <c r="A14747" s="39"/>
      <c r="E14747" s="40" t="s">
        <v>11404</v>
      </c>
      <c r="F14747" s="40" t="s">
        <v>11404</v>
      </c>
      <c r="G14747" s="40" t="s">
        <v>11404</v>
      </c>
      <c r="H14747" s="40" t="s">
        <v>11404</v>
      </c>
    </row>
    <row r="14748">
      <c r="A14748" s="39"/>
      <c r="E14748" s="40" t="s">
        <v>11404</v>
      </c>
      <c r="F14748" s="40" t="s">
        <v>11404</v>
      </c>
      <c r="G14748" s="40" t="s">
        <v>11404</v>
      </c>
      <c r="H14748" s="40" t="s">
        <v>11404</v>
      </c>
    </row>
    <row r="14749">
      <c r="A14749" s="39"/>
      <c r="E14749" s="40" t="s">
        <v>11404</v>
      </c>
      <c r="F14749" s="40" t="s">
        <v>11404</v>
      </c>
      <c r="G14749" s="40" t="s">
        <v>11404</v>
      </c>
      <c r="H14749" s="40" t="s">
        <v>11404</v>
      </c>
    </row>
    <row r="14750">
      <c r="A14750" s="39"/>
      <c r="E14750" s="40" t="s">
        <v>11404</v>
      </c>
      <c r="F14750" s="40" t="s">
        <v>11404</v>
      </c>
      <c r="G14750" s="40" t="s">
        <v>11404</v>
      </c>
      <c r="H14750" s="40" t="s">
        <v>11404</v>
      </c>
    </row>
    <row r="14751">
      <c r="A14751" s="39"/>
      <c r="E14751" s="40" t="s">
        <v>11404</v>
      </c>
      <c r="F14751" s="40" t="s">
        <v>11404</v>
      </c>
      <c r="G14751" s="40" t="s">
        <v>11404</v>
      </c>
      <c r="H14751" s="40" t="s">
        <v>11404</v>
      </c>
    </row>
    <row r="14752">
      <c r="A14752" s="39"/>
      <c r="E14752" s="40" t="s">
        <v>11404</v>
      </c>
      <c r="F14752" s="40" t="s">
        <v>11404</v>
      </c>
      <c r="G14752" s="40" t="s">
        <v>11404</v>
      </c>
      <c r="H14752" s="40" t="s">
        <v>11404</v>
      </c>
    </row>
    <row r="14753">
      <c r="A14753" s="39"/>
      <c r="E14753" s="40" t="s">
        <v>11404</v>
      </c>
      <c r="F14753" s="40" t="s">
        <v>11404</v>
      </c>
      <c r="G14753" s="40" t="s">
        <v>11404</v>
      </c>
      <c r="H14753" s="40" t="s">
        <v>11404</v>
      </c>
    </row>
    <row r="14754">
      <c r="A14754" s="39"/>
      <c r="E14754" s="40" t="s">
        <v>11404</v>
      </c>
      <c r="F14754" s="40" t="s">
        <v>11404</v>
      </c>
      <c r="G14754" s="40" t="s">
        <v>11404</v>
      </c>
      <c r="H14754" s="40" t="s">
        <v>11404</v>
      </c>
    </row>
    <row r="14755">
      <c r="A14755" s="39"/>
      <c r="E14755" s="40" t="s">
        <v>11404</v>
      </c>
      <c r="F14755" s="40" t="s">
        <v>11404</v>
      </c>
      <c r="G14755" s="40" t="s">
        <v>11404</v>
      </c>
      <c r="H14755" s="40" t="s">
        <v>11404</v>
      </c>
    </row>
    <row r="14756">
      <c r="A14756" s="39"/>
      <c r="E14756" s="40" t="s">
        <v>11404</v>
      </c>
      <c r="F14756" s="40" t="s">
        <v>11404</v>
      </c>
      <c r="G14756" s="40" t="s">
        <v>11404</v>
      </c>
      <c r="H14756" s="40" t="s">
        <v>11404</v>
      </c>
    </row>
    <row r="14757">
      <c r="A14757" s="39"/>
      <c r="E14757" s="40" t="s">
        <v>11404</v>
      </c>
      <c r="F14757" s="40" t="s">
        <v>11404</v>
      </c>
      <c r="G14757" s="40" t="s">
        <v>11404</v>
      </c>
      <c r="H14757" s="40" t="s">
        <v>11404</v>
      </c>
    </row>
    <row r="14758">
      <c r="A14758" s="39"/>
      <c r="E14758" s="40" t="s">
        <v>11404</v>
      </c>
      <c r="F14758" s="40" t="s">
        <v>11404</v>
      </c>
      <c r="G14758" s="40" t="s">
        <v>11404</v>
      </c>
      <c r="H14758" s="40" t="s">
        <v>11404</v>
      </c>
    </row>
    <row r="14759">
      <c r="A14759" s="39"/>
      <c r="E14759" s="40" t="s">
        <v>11404</v>
      </c>
      <c r="F14759" s="40" t="s">
        <v>11404</v>
      </c>
      <c r="G14759" s="40" t="s">
        <v>11404</v>
      </c>
      <c r="H14759" s="40" t="s">
        <v>11404</v>
      </c>
    </row>
    <row r="14760">
      <c r="A14760" s="39"/>
      <c r="E14760" s="40" t="s">
        <v>11404</v>
      </c>
      <c r="F14760" s="40" t="s">
        <v>11404</v>
      </c>
      <c r="G14760" s="40" t="s">
        <v>11404</v>
      </c>
      <c r="H14760" s="40" t="s">
        <v>11404</v>
      </c>
    </row>
    <row r="14761">
      <c r="A14761" s="39"/>
      <c r="E14761" s="40" t="s">
        <v>11404</v>
      </c>
      <c r="F14761" s="40" t="s">
        <v>11404</v>
      </c>
      <c r="G14761" s="40" t="s">
        <v>11404</v>
      </c>
      <c r="H14761" s="40" t="s">
        <v>11404</v>
      </c>
    </row>
    <row r="14762">
      <c r="A14762" s="39"/>
      <c r="E14762" s="40" t="s">
        <v>11404</v>
      </c>
      <c r="F14762" s="40" t="s">
        <v>11404</v>
      </c>
      <c r="G14762" s="40" t="s">
        <v>11404</v>
      </c>
      <c r="H14762" s="40" t="s">
        <v>11404</v>
      </c>
    </row>
    <row r="14763">
      <c r="A14763" s="39"/>
      <c r="E14763" s="40" t="s">
        <v>11404</v>
      </c>
      <c r="F14763" s="40" t="s">
        <v>11404</v>
      </c>
      <c r="G14763" s="40" t="s">
        <v>11404</v>
      </c>
      <c r="H14763" s="40" t="s">
        <v>11404</v>
      </c>
    </row>
    <row r="14764">
      <c r="A14764" s="39"/>
      <c r="E14764" s="40" t="s">
        <v>11404</v>
      </c>
      <c r="F14764" s="40" t="s">
        <v>11404</v>
      </c>
      <c r="G14764" s="40" t="s">
        <v>11404</v>
      </c>
      <c r="H14764" s="40" t="s">
        <v>11404</v>
      </c>
    </row>
    <row r="14765">
      <c r="A14765" s="39"/>
      <c r="E14765" s="40" t="s">
        <v>11404</v>
      </c>
      <c r="F14765" s="40" t="s">
        <v>11404</v>
      </c>
      <c r="G14765" s="40" t="s">
        <v>11404</v>
      </c>
      <c r="H14765" s="40" t="s">
        <v>11404</v>
      </c>
    </row>
    <row r="14766">
      <c r="A14766" s="39"/>
      <c r="E14766" s="40" t="s">
        <v>11404</v>
      </c>
      <c r="F14766" s="40" t="s">
        <v>11404</v>
      </c>
      <c r="G14766" s="40" t="s">
        <v>11404</v>
      </c>
      <c r="H14766" s="40" t="s">
        <v>11404</v>
      </c>
    </row>
    <row r="14767">
      <c r="A14767" s="39"/>
      <c r="E14767" s="40" t="s">
        <v>11404</v>
      </c>
      <c r="F14767" s="40" t="s">
        <v>11404</v>
      </c>
      <c r="G14767" s="40" t="s">
        <v>11404</v>
      </c>
      <c r="H14767" s="40" t="s">
        <v>11404</v>
      </c>
    </row>
    <row r="14768">
      <c r="A14768" s="39"/>
      <c r="E14768" s="40" t="s">
        <v>11404</v>
      </c>
      <c r="F14768" s="40" t="s">
        <v>11404</v>
      </c>
      <c r="G14768" s="40" t="s">
        <v>11404</v>
      </c>
      <c r="H14768" s="40" t="s">
        <v>11404</v>
      </c>
    </row>
    <row r="14769">
      <c r="A14769" s="39"/>
      <c r="E14769" s="40" t="s">
        <v>11404</v>
      </c>
      <c r="F14769" s="40" t="s">
        <v>11404</v>
      </c>
      <c r="G14769" s="40" t="s">
        <v>11404</v>
      </c>
      <c r="H14769" s="40" t="s">
        <v>11404</v>
      </c>
    </row>
    <row r="14770">
      <c r="A14770" s="39"/>
      <c r="E14770" s="40" t="s">
        <v>11404</v>
      </c>
      <c r="F14770" s="40" t="s">
        <v>11404</v>
      </c>
      <c r="G14770" s="40" t="s">
        <v>11404</v>
      </c>
      <c r="H14770" s="40" t="s">
        <v>11404</v>
      </c>
    </row>
    <row r="14771">
      <c r="A14771" s="39"/>
      <c r="E14771" s="40" t="s">
        <v>11404</v>
      </c>
      <c r="F14771" s="40" t="s">
        <v>11404</v>
      </c>
      <c r="G14771" s="40" t="s">
        <v>11404</v>
      </c>
      <c r="H14771" s="40" t="s">
        <v>11404</v>
      </c>
    </row>
    <row r="14772">
      <c r="A14772" s="39"/>
      <c r="E14772" s="40" t="s">
        <v>11404</v>
      </c>
      <c r="F14772" s="40" t="s">
        <v>11404</v>
      </c>
      <c r="G14772" s="40" t="s">
        <v>11404</v>
      </c>
      <c r="H14772" s="40" t="s">
        <v>11404</v>
      </c>
    </row>
    <row r="14773">
      <c r="A14773" s="39"/>
      <c r="E14773" s="40" t="s">
        <v>11404</v>
      </c>
      <c r="F14773" s="40" t="s">
        <v>11404</v>
      </c>
      <c r="G14773" s="40" t="s">
        <v>11404</v>
      </c>
      <c r="H14773" s="40" t="s">
        <v>11404</v>
      </c>
    </row>
    <row r="14774">
      <c r="A14774" s="39"/>
      <c r="E14774" s="40" t="s">
        <v>11404</v>
      </c>
      <c r="F14774" s="40" t="s">
        <v>11404</v>
      </c>
      <c r="G14774" s="40" t="s">
        <v>11404</v>
      </c>
      <c r="H14774" s="40" t="s">
        <v>11404</v>
      </c>
    </row>
    <row r="14775">
      <c r="A14775" s="39"/>
      <c r="E14775" s="40" t="s">
        <v>11404</v>
      </c>
      <c r="F14775" s="40" t="s">
        <v>11404</v>
      </c>
      <c r="G14775" s="40" t="s">
        <v>11404</v>
      </c>
      <c r="H14775" s="40" t="s">
        <v>11404</v>
      </c>
    </row>
    <row r="14776">
      <c r="A14776" s="39"/>
      <c r="E14776" s="40" t="s">
        <v>11404</v>
      </c>
      <c r="F14776" s="40" t="s">
        <v>11404</v>
      </c>
      <c r="G14776" s="40" t="s">
        <v>11404</v>
      </c>
      <c r="H14776" s="40" t="s">
        <v>11404</v>
      </c>
    </row>
    <row r="14777">
      <c r="A14777" s="39"/>
      <c r="E14777" s="40" t="s">
        <v>11404</v>
      </c>
      <c r="F14777" s="40" t="s">
        <v>11404</v>
      </c>
      <c r="G14777" s="40" t="s">
        <v>11404</v>
      </c>
      <c r="H14777" s="40" t="s">
        <v>11404</v>
      </c>
    </row>
    <row r="14778">
      <c r="A14778" s="39"/>
      <c r="E14778" s="40" t="s">
        <v>11404</v>
      </c>
      <c r="F14778" s="40" t="s">
        <v>11404</v>
      </c>
      <c r="G14778" s="40" t="s">
        <v>11404</v>
      </c>
      <c r="H14778" s="40" t="s">
        <v>11404</v>
      </c>
    </row>
    <row r="14779">
      <c r="A14779" s="39"/>
      <c r="E14779" s="40" t="s">
        <v>11404</v>
      </c>
      <c r="F14779" s="40" t="s">
        <v>11404</v>
      </c>
      <c r="G14779" s="40" t="s">
        <v>11404</v>
      </c>
      <c r="H14779" s="40" t="s">
        <v>11404</v>
      </c>
    </row>
    <row r="14780">
      <c r="A14780" s="39"/>
      <c r="E14780" s="40" t="s">
        <v>11404</v>
      </c>
      <c r="F14780" s="40" t="s">
        <v>11404</v>
      </c>
      <c r="G14780" s="40" t="s">
        <v>11404</v>
      </c>
      <c r="H14780" s="40" t="s">
        <v>11404</v>
      </c>
    </row>
    <row r="14781">
      <c r="A14781" s="39"/>
      <c r="E14781" s="40" t="s">
        <v>11404</v>
      </c>
      <c r="F14781" s="40" t="s">
        <v>11404</v>
      </c>
      <c r="G14781" s="40" t="s">
        <v>11404</v>
      </c>
      <c r="H14781" s="40" t="s">
        <v>11404</v>
      </c>
    </row>
    <row r="14782">
      <c r="A14782" s="39"/>
      <c r="E14782" s="40" t="s">
        <v>11404</v>
      </c>
      <c r="F14782" s="40" t="s">
        <v>11404</v>
      </c>
      <c r="G14782" s="40" t="s">
        <v>11404</v>
      </c>
      <c r="H14782" s="40" t="s">
        <v>11404</v>
      </c>
    </row>
    <row r="14783">
      <c r="A14783" s="39"/>
      <c r="E14783" s="40" t="s">
        <v>11404</v>
      </c>
      <c r="F14783" s="40" t="s">
        <v>11404</v>
      </c>
      <c r="G14783" s="40" t="s">
        <v>11404</v>
      </c>
      <c r="H14783" s="40" t="s">
        <v>11404</v>
      </c>
    </row>
    <row r="14784">
      <c r="A14784" s="39"/>
      <c r="E14784" s="40" t="s">
        <v>11404</v>
      </c>
      <c r="F14784" s="40" t="s">
        <v>11404</v>
      </c>
      <c r="G14784" s="40" t="s">
        <v>11404</v>
      </c>
      <c r="H14784" s="40" t="s">
        <v>11404</v>
      </c>
    </row>
    <row r="14785">
      <c r="A14785" s="39"/>
      <c r="E14785" s="40" t="s">
        <v>11404</v>
      </c>
      <c r="F14785" s="40" t="s">
        <v>11404</v>
      </c>
      <c r="G14785" s="40" t="s">
        <v>11404</v>
      </c>
      <c r="H14785" s="40" t="s">
        <v>11404</v>
      </c>
    </row>
    <row r="14786">
      <c r="A14786" s="39"/>
      <c r="E14786" s="40" t="s">
        <v>11404</v>
      </c>
      <c r="F14786" s="40" t="s">
        <v>11404</v>
      </c>
      <c r="G14786" s="40" t="s">
        <v>11404</v>
      </c>
      <c r="H14786" s="40" t="s">
        <v>11404</v>
      </c>
    </row>
    <row r="14787">
      <c r="A14787" s="39"/>
      <c r="E14787" s="40" t="s">
        <v>11404</v>
      </c>
      <c r="F14787" s="40" t="s">
        <v>11404</v>
      </c>
      <c r="G14787" s="40" t="s">
        <v>11404</v>
      </c>
      <c r="H14787" s="40" t="s">
        <v>11404</v>
      </c>
    </row>
    <row r="14788">
      <c r="A14788" s="39"/>
      <c r="E14788" s="40" t="s">
        <v>11404</v>
      </c>
      <c r="F14788" s="40" t="s">
        <v>11404</v>
      </c>
      <c r="G14788" s="40" t="s">
        <v>11404</v>
      </c>
      <c r="H14788" s="40" t="s">
        <v>11404</v>
      </c>
    </row>
    <row r="14789">
      <c r="A14789" s="39"/>
      <c r="E14789" s="40" t="s">
        <v>11404</v>
      </c>
      <c r="F14789" s="40" t="s">
        <v>11404</v>
      </c>
      <c r="G14789" s="40" t="s">
        <v>11404</v>
      </c>
      <c r="H14789" s="40" t="s">
        <v>11404</v>
      </c>
    </row>
    <row r="14790">
      <c r="A14790" s="39"/>
      <c r="E14790" s="40" t="s">
        <v>11404</v>
      </c>
      <c r="F14790" s="40" t="s">
        <v>11404</v>
      </c>
      <c r="G14790" s="40" t="s">
        <v>11404</v>
      </c>
      <c r="H14790" s="40" t="s">
        <v>11404</v>
      </c>
    </row>
    <row r="14791">
      <c r="A14791" s="39"/>
      <c r="E14791" s="40" t="s">
        <v>11404</v>
      </c>
      <c r="F14791" s="40" t="s">
        <v>11404</v>
      </c>
      <c r="G14791" s="40" t="s">
        <v>11404</v>
      </c>
      <c r="H14791" s="40" t="s">
        <v>11404</v>
      </c>
    </row>
    <row r="14792">
      <c r="A14792" s="39"/>
      <c r="E14792" s="40" t="s">
        <v>11404</v>
      </c>
      <c r="F14792" s="40" t="s">
        <v>11404</v>
      </c>
      <c r="G14792" s="40" t="s">
        <v>11404</v>
      </c>
      <c r="H14792" s="40" t="s">
        <v>11404</v>
      </c>
    </row>
    <row r="14793">
      <c r="A14793" s="39"/>
      <c r="E14793" s="40" t="s">
        <v>11404</v>
      </c>
      <c r="F14793" s="40" t="s">
        <v>11404</v>
      </c>
      <c r="G14793" s="40" t="s">
        <v>11404</v>
      </c>
      <c r="H14793" s="40" t="s">
        <v>11404</v>
      </c>
    </row>
    <row r="14794">
      <c r="A14794" s="39"/>
      <c r="E14794" s="40" t="s">
        <v>11404</v>
      </c>
      <c r="F14794" s="40" t="s">
        <v>11404</v>
      </c>
      <c r="G14794" s="40" t="s">
        <v>11404</v>
      </c>
      <c r="H14794" s="40" t="s">
        <v>11404</v>
      </c>
    </row>
    <row r="14795">
      <c r="A14795" s="39"/>
      <c r="E14795" s="40" t="s">
        <v>11404</v>
      </c>
      <c r="F14795" s="40" t="s">
        <v>11404</v>
      </c>
      <c r="G14795" s="40" t="s">
        <v>11404</v>
      </c>
      <c r="H14795" s="40" t="s">
        <v>11404</v>
      </c>
    </row>
    <row r="14796">
      <c r="A14796" s="39"/>
      <c r="E14796" s="40" t="s">
        <v>11404</v>
      </c>
      <c r="F14796" s="40" t="s">
        <v>11404</v>
      </c>
      <c r="G14796" s="40" t="s">
        <v>11404</v>
      </c>
      <c r="H14796" s="40" t="s">
        <v>11404</v>
      </c>
    </row>
    <row r="14797">
      <c r="A14797" s="39"/>
      <c r="E14797" s="40" t="s">
        <v>11404</v>
      </c>
      <c r="F14797" s="40" t="s">
        <v>11404</v>
      </c>
      <c r="G14797" s="40" t="s">
        <v>11404</v>
      </c>
      <c r="H14797" s="40" t="s">
        <v>11404</v>
      </c>
    </row>
    <row r="14798">
      <c r="A14798" s="39"/>
      <c r="E14798" s="40" t="s">
        <v>11404</v>
      </c>
      <c r="F14798" s="40" t="s">
        <v>11404</v>
      </c>
      <c r="G14798" s="40" t="s">
        <v>11404</v>
      </c>
      <c r="H14798" s="40" t="s">
        <v>11404</v>
      </c>
    </row>
    <row r="14799">
      <c r="A14799" s="39"/>
      <c r="E14799" s="40" t="s">
        <v>11404</v>
      </c>
      <c r="F14799" s="40" t="s">
        <v>11404</v>
      </c>
      <c r="G14799" s="40" t="s">
        <v>11404</v>
      </c>
      <c r="H14799" s="40" t="s">
        <v>11404</v>
      </c>
    </row>
    <row r="14800">
      <c r="A14800" s="39"/>
      <c r="E14800" s="40" t="s">
        <v>11404</v>
      </c>
      <c r="F14800" s="40" t="s">
        <v>11404</v>
      </c>
      <c r="G14800" s="40" t="s">
        <v>11404</v>
      </c>
      <c r="H14800" s="40" t="s">
        <v>11404</v>
      </c>
    </row>
    <row r="14801">
      <c r="A14801" s="39"/>
      <c r="E14801" s="40" t="s">
        <v>11404</v>
      </c>
      <c r="F14801" s="40" t="s">
        <v>11404</v>
      </c>
      <c r="G14801" s="40" t="s">
        <v>11404</v>
      </c>
      <c r="H14801" s="40" t="s">
        <v>11404</v>
      </c>
    </row>
    <row r="14802">
      <c r="A14802" s="39"/>
      <c r="E14802" s="40" t="s">
        <v>11404</v>
      </c>
      <c r="F14802" s="40" t="s">
        <v>11404</v>
      </c>
      <c r="G14802" s="40" t="s">
        <v>11404</v>
      </c>
      <c r="H14802" s="40" t="s">
        <v>11404</v>
      </c>
    </row>
    <row r="14803">
      <c r="A14803" s="39"/>
      <c r="E14803" s="40" t="s">
        <v>11404</v>
      </c>
      <c r="F14803" s="40" t="s">
        <v>11404</v>
      </c>
      <c r="G14803" s="40" t="s">
        <v>11404</v>
      </c>
      <c r="H14803" s="40" t="s">
        <v>11404</v>
      </c>
    </row>
    <row r="14804">
      <c r="A14804" s="39"/>
      <c r="E14804" s="40" t="s">
        <v>11404</v>
      </c>
      <c r="F14804" s="40" t="s">
        <v>11404</v>
      </c>
      <c r="G14804" s="40" t="s">
        <v>11404</v>
      </c>
      <c r="H14804" s="40" t="s">
        <v>11404</v>
      </c>
    </row>
    <row r="14805">
      <c r="A14805" s="39"/>
      <c r="E14805" s="40" t="s">
        <v>11404</v>
      </c>
      <c r="F14805" s="40" t="s">
        <v>11404</v>
      </c>
      <c r="G14805" s="40" t="s">
        <v>11404</v>
      </c>
      <c r="H14805" s="40" t="s">
        <v>11404</v>
      </c>
    </row>
    <row r="14806">
      <c r="A14806" s="39"/>
      <c r="E14806" s="40" t="s">
        <v>11404</v>
      </c>
      <c r="F14806" s="40" t="s">
        <v>11404</v>
      </c>
      <c r="G14806" s="40" t="s">
        <v>11404</v>
      </c>
      <c r="H14806" s="40" t="s">
        <v>11404</v>
      </c>
    </row>
    <row r="14807">
      <c r="A14807" s="39"/>
      <c r="E14807" s="40" t="s">
        <v>11404</v>
      </c>
      <c r="F14807" s="40" t="s">
        <v>11404</v>
      </c>
      <c r="G14807" s="40" t="s">
        <v>11404</v>
      </c>
      <c r="H14807" s="40" t="s">
        <v>11404</v>
      </c>
    </row>
    <row r="14808">
      <c r="A14808" s="39"/>
      <c r="E14808" s="40" t="s">
        <v>11404</v>
      </c>
      <c r="F14808" s="40" t="s">
        <v>11404</v>
      </c>
      <c r="G14808" s="40" t="s">
        <v>11404</v>
      </c>
      <c r="H14808" s="40" t="s">
        <v>11404</v>
      </c>
    </row>
    <row r="14809">
      <c r="A14809" s="39"/>
      <c r="E14809" s="40" t="s">
        <v>11404</v>
      </c>
      <c r="F14809" s="40" t="s">
        <v>11404</v>
      </c>
      <c r="G14809" s="40" t="s">
        <v>11404</v>
      </c>
      <c r="H14809" s="40" t="s">
        <v>11404</v>
      </c>
    </row>
    <row r="14810">
      <c r="A14810" s="39"/>
      <c r="E14810" s="40" t="s">
        <v>11404</v>
      </c>
      <c r="F14810" s="40" t="s">
        <v>11404</v>
      </c>
      <c r="G14810" s="40" t="s">
        <v>11404</v>
      </c>
      <c r="H14810" s="40" t="s">
        <v>11404</v>
      </c>
    </row>
    <row r="14811">
      <c r="A14811" s="39"/>
      <c r="E14811" s="40" t="s">
        <v>11404</v>
      </c>
      <c r="F14811" s="40" t="s">
        <v>11404</v>
      </c>
      <c r="G14811" s="40" t="s">
        <v>11404</v>
      </c>
      <c r="H14811" s="40" t="s">
        <v>11404</v>
      </c>
    </row>
    <row r="14812">
      <c r="A14812" s="39"/>
      <c r="E14812" s="40" t="s">
        <v>11404</v>
      </c>
      <c r="F14812" s="40" t="s">
        <v>11404</v>
      </c>
      <c r="G14812" s="40" t="s">
        <v>11404</v>
      </c>
      <c r="H14812" s="40" t="s">
        <v>11404</v>
      </c>
    </row>
    <row r="14813">
      <c r="A14813" s="39"/>
      <c r="E14813" s="40" t="s">
        <v>11404</v>
      </c>
      <c r="F14813" s="40" t="s">
        <v>11404</v>
      </c>
      <c r="G14813" s="40" t="s">
        <v>11404</v>
      </c>
      <c r="H14813" s="40" t="s">
        <v>11404</v>
      </c>
    </row>
    <row r="14814">
      <c r="A14814" s="39"/>
      <c r="E14814" s="40" t="s">
        <v>11404</v>
      </c>
      <c r="F14814" s="40" t="s">
        <v>11404</v>
      </c>
      <c r="G14814" s="40" t="s">
        <v>11404</v>
      </c>
      <c r="H14814" s="40" t="s">
        <v>11404</v>
      </c>
    </row>
    <row r="14815">
      <c r="A14815" s="39"/>
      <c r="E14815" s="40" t="s">
        <v>11404</v>
      </c>
      <c r="F14815" s="40" t="s">
        <v>11404</v>
      </c>
      <c r="G14815" s="40" t="s">
        <v>11404</v>
      </c>
      <c r="H14815" s="40" t="s">
        <v>11404</v>
      </c>
    </row>
    <row r="14816">
      <c r="A14816" s="39"/>
      <c r="E14816" s="40" t="s">
        <v>11404</v>
      </c>
      <c r="F14816" s="40" t="s">
        <v>11404</v>
      </c>
      <c r="G14816" s="40" t="s">
        <v>11404</v>
      </c>
      <c r="H14816" s="40" t="s">
        <v>11404</v>
      </c>
    </row>
    <row r="14817">
      <c r="A14817" s="39"/>
      <c r="E14817" s="40" t="s">
        <v>11404</v>
      </c>
      <c r="F14817" s="40" t="s">
        <v>11404</v>
      </c>
      <c r="G14817" s="40" t="s">
        <v>11404</v>
      </c>
      <c r="H14817" s="40" t="s">
        <v>11404</v>
      </c>
    </row>
    <row r="14818">
      <c r="A14818" s="39"/>
      <c r="E14818" s="40" t="s">
        <v>11404</v>
      </c>
      <c r="F14818" s="40" t="s">
        <v>11404</v>
      </c>
      <c r="G14818" s="40" t="s">
        <v>11404</v>
      </c>
      <c r="H14818" s="40" t="s">
        <v>11404</v>
      </c>
    </row>
    <row r="14819">
      <c r="A14819" s="39"/>
      <c r="E14819" s="40" t="s">
        <v>11404</v>
      </c>
      <c r="F14819" s="40" t="s">
        <v>11404</v>
      </c>
      <c r="G14819" s="40" t="s">
        <v>11404</v>
      </c>
      <c r="H14819" s="40" t="s">
        <v>11404</v>
      </c>
    </row>
    <row r="14820">
      <c r="A14820" s="39"/>
      <c r="E14820" s="40" t="s">
        <v>11404</v>
      </c>
      <c r="F14820" s="40" t="s">
        <v>11404</v>
      </c>
      <c r="G14820" s="40" t="s">
        <v>11404</v>
      </c>
      <c r="H14820" s="40" t="s">
        <v>11404</v>
      </c>
    </row>
    <row r="14821">
      <c r="A14821" s="39"/>
      <c r="E14821" s="40" t="s">
        <v>11404</v>
      </c>
      <c r="F14821" s="40" t="s">
        <v>11404</v>
      </c>
      <c r="G14821" s="40" t="s">
        <v>11404</v>
      </c>
      <c r="H14821" s="40" t="s">
        <v>11404</v>
      </c>
    </row>
    <row r="14822">
      <c r="A14822" s="39"/>
      <c r="E14822" s="40" t="s">
        <v>11404</v>
      </c>
      <c r="F14822" s="40" t="s">
        <v>11404</v>
      </c>
      <c r="G14822" s="40" t="s">
        <v>11404</v>
      </c>
      <c r="H14822" s="40" t="s">
        <v>11404</v>
      </c>
    </row>
    <row r="14823">
      <c r="A14823" s="39"/>
      <c r="E14823" s="40" t="s">
        <v>11404</v>
      </c>
      <c r="F14823" s="40" t="s">
        <v>11404</v>
      </c>
      <c r="G14823" s="40" t="s">
        <v>11404</v>
      </c>
      <c r="H14823" s="40" t="s">
        <v>11404</v>
      </c>
    </row>
    <row r="14824">
      <c r="A14824" s="39"/>
      <c r="E14824" s="40" t="s">
        <v>11404</v>
      </c>
      <c r="F14824" s="40" t="s">
        <v>11404</v>
      </c>
      <c r="G14824" s="40" t="s">
        <v>11404</v>
      </c>
      <c r="H14824" s="40" t="s">
        <v>11404</v>
      </c>
    </row>
    <row r="14825">
      <c r="A14825" s="39"/>
      <c r="E14825" s="40" t="s">
        <v>11404</v>
      </c>
      <c r="F14825" s="40" t="s">
        <v>11404</v>
      </c>
      <c r="G14825" s="40" t="s">
        <v>11404</v>
      </c>
      <c r="H14825" s="40" t="s">
        <v>11404</v>
      </c>
    </row>
    <row r="14826">
      <c r="A14826" s="39"/>
      <c r="E14826" s="40" t="s">
        <v>11404</v>
      </c>
      <c r="F14826" s="40" t="s">
        <v>11404</v>
      </c>
      <c r="G14826" s="40" t="s">
        <v>11404</v>
      </c>
      <c r="H14826" s="40" t="s">
        <v>11404</v>
      </c>
    </row>
    <row r="14827">
      <c r="A14827" s="39"/>
      <c r="E14827" s="40" t="s">
        <v>11404</v>
      </c>
      <c r="F14827" s="40" t="s">
        <v>11404</v>
      </c>
      <c r="G14827" s="40" t="s">
        <v>11404</v>
      </c>
      <c r="H14827" s="40" t="s">
        <v>11404</v>
      </c>
    </row>
    <row r="14828">
      <c r="A14828" s="39"/>
      <c r="E14828" s="40" t="s">
        <v>11404</v>
      </c>
      <c r="F14828" s="40" t="s">
        <v>11404</v>
      </c>
      <c r="G14828" s="40" t="s">
        <v>11404</v>
      </c>
      <c r="H14828" s="40" t="s">
        <v>11404</v>
      </c>
    </row>
    <row r="14829">
      <c r="A14829" s="39"/>
      <c r="E14829" s="40" t="s">
        <v>11404</v>
      </c>
      <c r="F14829" s="40" t="s">
        <v>11404</v>
      </c>
      <c r="G14829" s="40" t="s">
        <v>11404</v>
      </c>
      <c r="H14829" s="40" t="s">
        <v>11404</v>
      </c>
    </row>
    <row r="14830">
      <c r="A14830" s="39"/>
      <c r="E14830" s="40" t="s">
        <v>11404</v>
      </c>
      <c r="F14830" s="40" t="s">
        <v>11404</v>
      </c>
      <c r="G14830" s="40" t="s">
        <v>11404</v>
      </c>
      <c r="H14830" s="40" t="s">
        <v>11404</v>
      </c>
    </row>
    <row r="14831">
      <c r="A14831" s="39"/>
      <c r="E14831" s="40" t="s">
        <v>11404</v>
      </c>
      <c r="F14831" s="40" t="s">
        <v>11404</v>
      </c>
      <c r="G14831" s="40" t="s">
        <v>11404</v>
      </c>
      <c r="H14831" s="40" t="s">
        <v>11404</v>
      </c>
    </row>
    <row r="14832">
      <c r="A14832" s="39"/>
      <c r="E14832" s="40" t="s">
        <v>11404</v>
      </c>
      <c r="F14832" s="40" t="s">
        <v>11404</v>
      </c>
      <c r="G14832" s="40" t="s">
        <v>11404</v>
      </c>
      <c r="H14832" s="40" t="s">
        <v>11404</v>
      </c>
    </row>
    <row r="14833">
      <c r="A14833" s="39"/>
      <c r="E14833" s="40" t="s">
        <v>11404</v>
      </c>
      <c r="F14833" s="40" t="s">
        <v>11404</v>
      </c>
      <c r="G14833" s="40" t="s">
        <v>11404</v>
      </c>
      <c r="H14833" s="40" t="s">
        <v>11404</v>
      </c>
    </row>
    <row r="14834">
      <c r="A14834" s="39"/>
      <c r="E14834" s="40" t="s">
        <v>11404</v>
      </c>
      <c r="F14834" s="40" t="s">
        <v>11404</v>
      </c>
      <c r="G14834" s="40" t="s">
        <v>11404</v>
      </c>
      <c r="H14834" s="40" t="s">
        <v>11404</v>
      </c>
    </row>
    <row r="14835">
      <c r="A14835" s="39"/>
      <c r="E14835" s="40" t="s">
        <v>11404</v>
      </c>
      <c r="F14835" s="40" t="s">
        <v>11404</v>
      </c>
      <c r="G14835" s="40" t="s">
        <v>11404</v>
      </c>
      <c r="H14835" s="40" t="s">
        <v>11404</v>
      </c>
    </row>
    <row r="14836">
      <c r="A14836" s="39"/>
      <c r="E14836" s="40" t="s">
        <v>11404</v>
      </c>
      <c r="F14836" s="40" t="s">
        <v>11404</v>
      </c>
      <c r="G14836" s="40" t="s">
        <v>11404</v>
      </c>
      <c r="H14836" s="40" t="s">
        <v>11404</v>
      </c>
    </row>
    <row r="14837">
      <c r="A14837" s="39"/>
      <c r="E14837" s="40" t="s">
        <v>11404</v>
      </c>
      <c r="F14837" s="40" t="s">
        <v>11404</v>
      </c>
      <c r="G14837" s="40" t="s">
        <v>11404</v>
      </c>
      <c r="H14837" s="40" t="s">
        <v>11404</v>
      </c>
    </row>
    <row r="14838">
      <c r="A14838" s="39"/>
      <c r="E14838" s="40" t="s">
        <v>11404</v>
      </c>
      <c r="F14838" s="40" t="s">
        <v>11404</v>
      </c>
      <c r="G14838" s="40" t="s">
        <v>11404</v>
      </c>
      <c r="H14838" s="40" t="s">
        <v>11404</v>
      </c>
    </row>
    <row r="14839">
      <c r="A14839" s="39"/>
      <c r="E14839" s="40" t="s">
        <v>11404</v>
      </c>
      <c r="F14839" s="40" t="s">
        <v>11404</v>
      </c>
      <c r="G14839" s="40" t="s">
        <v>11404</v>
      </c>
      <c r="H14839" s="40" t="s">
        <v>11404</v>
      </c>
    </row>
    <row r="14840">
      <c r="A14840" s="39"/>
      <c r="E14840" s="40" t="s">
        <v>11404</v>
      </c>
      <c r="F14840" s="40" t="s">
        <v>11404</v>
      </c>
      <c r="G14840" s="40" t="s">
        <v>11404</v>
      </c>
      <c r="H14840" s="40" t="s">
        <v>11404</v>
      </c>
    </row>
    <row r="14841">
      <c r="A14841" s="39"/>
      <c r="E14841" s="40" t="s">
        <v>11404</v>
      </c>
      <c r="F14841" s="40" t="s">
        <v>11404</v>
      </c>
      <c r="G14841" s="40" t="s">
        <v>11404</v>
      </c>
      <c r="H14841" s="40" t="s">
        <v>11404</v>
      </c>
    </row>
    <row r="14842">
      <c r="A14842" s="39"/>
      <c r="E14842" s="40" t="s">
        <v>11404</v>
      </c>
      <c r="F14842" s="40" t="s">
        <v>11404</v>
      </c>
      <c r="G14842" s="40" t="s">
        <v>11404</v>
      </c>
      <c r="H14842" s="40" t="s">
        <v>11404</v>
      </c>
    </row>
    <row r="14843">
      <c r="A14843" s="39"/>
      <c r="E14843" s="40" t="s">
        <v>11404</v>
      </c>
      <c r="F14843" s="40" t="s">
        <v>11404</v>
      </c>
      <c r="G14843" s="40" t="s">
        <v>11404</v>
      </c>
      <c r="H14843" s="40" t="s">
        <v>11404</v>
      </c>
    </row>
    <row r="14844">
      <c r="A14844" s="39"/>
      <c r="E14844" s="40" t="s">
        <v>11404</v>
      </c>
      <c r="F14844" s="40" t="s">
        <v>11404</v>
      </c>
      <c r="G14844" s="40" t="s">
        <v>11404</v>
      </c>
      <c r="H14844" s="40" t="s">
        <v>11404</v>
      </c>
    </row>
    <row r="14845">
      <c r="A14845" s="39"/>
      <c r="E14845" s="40" t="s">
        <v>11404</v>
      </c>
      <c r="F14845" s="40" t="s">
        <v>11404</v>
      </c>
      <c r="G14845" s="40" t="s">
        <v>11404</v>
      </c>
      <c r="H14845" s="40" t="s">
        <v>11404</v>
      </c>
    </row>
    <row r="14846">
      <c r="A14846" s="39"/>
      <c r="E14846" s="40" t="s">
        <v>11404</v>
      </c>
      <c r="F14846" s="40" t="s">
        <v>11404</v>
      </c>
      <c r="G14846" s="40" t="s">
        <v>11404</v>
      </c>
      <c r="H14846" s="40" t="s">
        <v>11404</v>
      </c>
    </row>
    <row r="14847">
      <c r="A14847" s="39"/>
      <c r="E14847" s="40" t="s">
        <v>11404</v>
      </c>
      <c r="F14847" s="40" t="s">
        <v>11404</v>
      </c>
      <c r="G14847" s="40" t="s">
        <v>11404</v>
      </c>
      <c r="H14847" s="40" t="s">
        <v>11404</v>
      </c>
    </row>
    <row r="14848">
      <c r="A14848" s="39"/>
      <c r="E14848" s="40" t="s">
        <v>11404</v>
      </c>
      <c r="F14848" s="40" t="s">
        <v>11404</v>
      </c>
      <c r="G14848" s="40" t="s">
        <v>11404</v>
      </c>
      <c r="H14848" s="40" t="s">
        <v>11404</v>
      </c>
    </row>
    <row r="14849">
      <c r="A14849" s="39"/>
      <c r="E14849" s="40" t="s">
        <v>11404</v>
      </c>
      <c r="F14849" s="40" t="s">
        <v>11404</v>
      </c>
      <c r="G14849" s="40" t="s">
        <v>11404</v>
      </c>
      <c r="H14849" s="40" t="s">
        <v>11404</v>
      </c>
    </row>
    <row r="14850">
      <c r="A14850" s="39"/>
      <c r="E14850" s="40" t="s">
        <v>11404</v>
      </c>
      <c r="F14850" s="40" t="s">
        <v>11404</v>
      </c>
      <c r="G14850" s="40" t="s">
        <v>11404</v>
      </c>
      <c r="H14850" s="40" t="s">
        <v>11404</v>
      </c>
    </row>
    <row r="14851">
      <c r="A14851" s="39"/>
      <c r="E14851" s="40" t="s">
        <v>11404</v>
      </c>
      <c r="F14851" s="40" t="s">
        <v>11404</v>
      </c>
      <c r="G14851" s="40" t="s">
        <v>11404</v>
      </c>
      <c r="H14851" s="40" t="s">
        <v>11404</v>
      </c>
    </row>
    <row r="14852">
      <c r="A14852" s="39"/>
      <c r="E14852" s="40" t="s">
        <v>11404</v>
      </c>
      <c r="F14852" s="40" t="s">
        <v>11404</v>
      </c>
      <c r="G14852" s="40" t="s">
        <v>11404</v>
      </c>
      <c r="H14852" s="40" t="s">
        <v>11404</v>
      </c>
    </row>
    <row r="14853">
      <c r="A14853" s="39"/>
      <c r="E14853" s="40" t="s">
        <v>11404</v>
      </c>
      <c r="F14853" s="40" t="s">
        <v>11404</v>
      </c>
      <c r="G14853" s="40" t="s">
        <v>11404</v>
      </c>
      <c r="H14853" s="40" t="s">
        <v>11404</v>
      </c>
    </row>
    <row r="14854">
      <c r="A14854" s="39"/>
      <c r="E14854" s="40" t="s">
        <v>11404</v>
      </c>
      <c r="F14854" s="40" t="s">
        <v>11404</v>
      </c>
      <c r="G14854" s="40" t="s">
        <v>11404</v>
      </c>
      <c r="H14854" s="40" t="s">
        <v>11404</v>
      </c>
    </row>
    <row r="14855">
      <c r="A14855" s="39"/>
      <c r="E14855" s="40" t="s">
        <v>11404</v>
      </c>
      <c r="F14855" s="40" t="s">
        <v>11404</v>
      </c>
      <c r="G14855" s="40" t="s">
        <v>11404</v>
      </c>
      <c r="H14855" s="40" t="s">
        <v>11404</v>
      </c>
    </row>
    <row r="14856">
      <c r="A14856" s="39"/>
      <c r="E14856" s="40" t="s">
        <v>11404</v>
      </c>
      <c r="F14856" s="40" t="s">
        <v>11404</v>
      </c>
      <c r="G14856" s="40" t="s">
        <v>11404</v>
      </c>
      <c r="H14856" s="40" t="s">
        <v>11404</v>
      </c>
    </row>
    <row r="14857">
      <c r="A14857" s="39"/>
      <c r="E14857" s="40" t="s">
        <v>11404</v>
      </c>
      <c r="F14857" s="40" t="s">
        <v>11404</v>
      </c>
      <c r="G14857" s="40" t="s">
        <v>11404</v>
      </c>
      <c r="H14857" s="40" t="s">
        <v>11404</v>
      </c>
    </row>
    <row r="14858">
      <c r="A14858" s="39"/>
      <c r="E14858" s="40" t="s">
        <v>11404</v>
      </c>
      <c r="F14858" s="40" t="s">
        <v>11404</v>
      </c>
      <c r="G14858" s="40" t="s">
        <v>11404</v>
      </c>
      <c r="H14858" s="40" t="s">
        <v>11404</v>
      </c>
    </row>
    <row r="14859">
      <c r="A14859" s="39"/>
      <c r="E14859" s="40" t="s">
        <v>11404</v>
      </c>
      <c r="F14859" s="40" t="s">
        <v>11404</v>
      </c>
      <c r="G14859" s="40" t="s">
        <v>11404</v>
      </c>
      <c r="H14859" s="40" t="s">
        <v>11404</v>
      </c>
    </row>
    <row r="14860">
      <c r="A14860" s="39"/>
      <c r="E14860" s="40" t="s">
        <v>11404</v>
      </c>
      <c r="F14860" s="40" t="s">
        <v>11404</v>
      </c>
      <c r="G14860" s="40" t="s">
        <v>11404</v>
      </c>
      <c r="H14860" s="40" t="s">
        <v>11404</v>
      </c>
    </row>
    <row r="14861">
      <c r="A14861" s="39"/>
      <c r="E14861" s="40" t="s">
        <v>11404</v>
      </c>
      <c r="F14861" s="40" t="s">
        <v>11404</v>
      </c>
      <c r="G14861" s="40" t="s">
        <v>11404</v>
      </c>
      <c r="H14861" s="40" t="s">
        <v>11404</v>
      </c>
    </row>
    <row r="14862">
      <c r="A14862" s="39"/>
      <c r="E14862" s="40" t="s">
        <v>11404</v>
      </c>
      <c r="F14862" s="40" t="s">
        <v>11404</v>
      </c>
      <c r="G14862" s="40" t="s">
        <v>11404</v>
      </c>
      <c r="H14862" s="40" t="s">
        <v>11404</v>
      </c>
    </row>
    <row r="14863">
      <c r="A14863" s="39"/>
      <c r="E14863" s="40" t="s">
        <v>11404</v>
      </c>
      <c r="F14863" s="40" t="s">
        <v>11404</v>
      </c>
      <c r="G14863" s="40" t="s">
        <v>11404</v>
      </c>
      <c r="H14863" s="40" t="s">
        <v>11404</v>
      </c>
    </row>
    <row r="14864">
      <c r="A14864" s="39"/>
      <c r="E14864" s="40" t="s">
        <v>11404</v>
      </c>
      <c r="F14864" s="40" t="s">
        <v>11404</v>
      </c>
      <c r="G14864" s="40" t="s">
        <v>11404</v>
      </c>
      <c r="H14864" s="40" t="s">
        <v>11404</v>
      </c>
    </row>
    <row r="14865">
      <c r="A14865" s="39"/>
      <c r="E14865" s="40" t="s">
        <v>11404</v>
      </c>
      <c r="F14865" s="40" t="s">
        <v>11404</v>
      </c>
      <c r="G14865" s="40" t="s">
        <v>11404</v>
      </c>
      <c r="H14865" s="40" t="s">
        <v>11404</v>
      </c>
    </row>
    <row r="14866">
      <c r="A14866" s="39"/>
      <c r="E14866" s="40" t="s">
        <v>11404</v>
      </c>
      <c r="F14866" s="40" t="s">
        <v>11404</v>
      </c>
      <c r="G14866" s="40" t="s">
        <v>11404</v>
      </c>
      <c r="H14866" s="40" t="s">
        <v>11404</v>
      </c>
    </row>
    <row r="14867">
      <c r="A14867" s="39"/>
      <c r="E14867" s="40" t="s">
        <v>11404</v>
      </c>
      <c r="F14867" s="40" t="s">
        <v>11404</v>
      </c>
      <c r="G14867" s="40" t="s">
        <v>11404</v>
      </c>
      <c r="H14867" s="40" t="s">
        <v>11404</v>
      </c>
    </row>
    <row r="14868">
      <c r="A14868" s="39"/>
      <c r="E14868" s="40" t="s">
        <v>11404</v>
      </c>
      <c r="F14868" s="40" t="s">
        <v>11404</v>
      </c>
      <c r="G14868" s="40" t="s">
        <v>11404</v>
      </c>
      <c r="H14868" s="40" t="s">
        <v>11404</v>
      </c>
    </row>
    <row r="14869">
      <c r="A14869" s="39"/>
      <c r="E14869" s="40" t="s">
        <v>11404</v>
      </c>
      <c r="F14869" s="40" t="s">
        <v>11404</v>
      </c>
      <c r="G14869" s="40" t="s">
        <v>11404</v>
      </c>
      <c r="H14869" s="40" t="s">
        <v>11404</v>
      </c>
    </row>
    <row r="14870">
      <c r="A14870" s="39"/>
      <c r="E14870" s="40" t="s">
        <v>11404</v>
      </c>
      <c r="F14870" s="40" t="s">
        <v>11404</v>
      </c>
      <c r="G14870" s="40" t="s">
        <v>11404</v>
      </c>
      <c r="H14870" s="40" t="s">
        <v>11404</v>
      </c>
    </row>
    <row r="14871">
      <c r="A14871" s="39"/>
      <c r="E14871" s="40" t="s">
        <v>11404</v>
      </c>
      <c r="F14871" s="40" t="s">
        <v>11404</v>
      </c>
      <c r="G14871" s="40" t="s">
        <v>11404</v>
      </c>
      <c r="H14871" s="40" t="s">
        <v>11404</v>
      </c>
    </row>
    <row r="14872">
      <c r="A14872" s="39"/>
      <c r="E14872" s="40" t="s">
        <v>11404</v>
      </c>
      <c r="F14872" s="40" t="s">
        <v>11404</v>
      </c>
      <c r="G14872" s="40" t="s">
        <v>11404</v>
      </c>
      <c r="H14872" s="40" t="s">
        <v>11404</v>
      </c>
    </row>
    <row r="14873">
      <c r="A14873" s="39"/>
      <c r="E14873" s="40" t="s">
        <v>11404</v>
      </c>
      <c r="F14873" s="40" t="s">
        <v>11404</v>
      </c>
      <c r="G14873" s="40" t="s">
        <v>11404</v>
      </c>
      <c r="H14873" s="40" t="s">
        <v>11404</v>
      </c>
    </row>
    <row r="14874">
      <c r="A14874" s="39"/>
      <c r="E14874" s="40" t="s">
        <v>11404</v>
      </c>
      <c r="F14874" s="40" t="s">
        <v>11404</v>
      </c>
      <c r="G14874" s="40" t="s">
        <v>11404</v>
      </c>
      <c r="H14874" s="40" t="s">
        <v>11404</v>
      </c>
    </row>
    <row r="14875">
      <c r="A14875" s="39"/>
      <c r="E14875" s="40" t="s">
        <v>11404</v>
      </c>
      <c r="F14875" s="40" t="s">
        <v>11404</v>
      </c>
      <c r="G14875" s="40" t="s">
        <v>11404</v>
      </c>
      <c r="H14875" s="40" t="s">
        <v>11404</v>
      </c>
    </row>
    <row r="14876">
      <c r="A14876" s="39"/>
      <c r="E14876" s="40" t="s">
        <v>11404</v>
      </c>
      <c r="F14876" s="40" t="s">
        <v>11404</v>
      </c>
      <c r="G14876" s="40" t="s">
        <v>11404</v>
      </c>
      <c r="H14876" s="40" t="s">
        <v>11404</v>
      </c>
    </row>
    <row r="14877">
      <c r="A14877" s="39"/>
      <c r="E14877" s="40" t="s">
        <v>11404</v>
      </c>
      <c r="F14877" s="40" t="s">
        <v>11404</v>
      </c>
      <c r="G14877" s="40" t="s">
        <v>11404</v>
      </c>
      <c r="H14877" s="40" t="s">
        <v>11404</v>
      </c>
    </row>
    <row r="14878">
      <c r="A14878" s="39"/>
      <c r="E14878" s="40" t="s">
        <v>11404</v>
      </c>
      <c r="F14878" s="40" t="s">
        <v>11404</v>
      </c>
      <c r="G14878" s="40" t="s">
        <v>11404</v>
      </c>
      <c r="H14878" s="40" t="s">
        <v>11404</v>
      </c>
    </row>
    <row r="14879">
      <c r="A14879" s="39"/>
      <c r="E14879" s="40" t="s">
        <v>11404</v>
      </c>
      <c r="F14879" s="40" t="s">
        <v>11404</v>
      </c>
      <c r="G14879" s="40" t="s">
        <v>11404</v>
      </c>
      <c r="H14879" s="40" t="s">
        <v>11404</v>
      </c>
    </row>
    <row r="14880">
      <c r="A14880" s="39"/>
      <c r="E14880" s="40" t="s">
        <v>11404</v>
      </c>
      <c r="F14880" s="40" t="s">
        <v>11404</v>
      </c>
      <c r="G14880" s="40" t="s">
        <v>11404</v>
      </c>
      <c r="H14880" s="40" t="s">
        <v>11404</v>
      </c>
    </row>
    <row r="14881">
      <c r="A14881" s="39"/>
      <c r="E14881" s="40" t="s">
        <v>11404</v>
      </c>
      <c r="F14881" s="40" t="s">
        <v>11404</v>
      </c>
      <c r="G14881" s="40" t="s">
        <v>11404</v>
      </c>
      <c r="H14881" s="40" t="s">
        <v>11404</v>
      </c>
    </row>
    <row r="14882">
      <c r="A14882" s="39"/>
      <c r="E14882" s="40" t="s">
        <v>11404</v>
      </c>
      <c r="F14882" s="40" t="s">
        <v>11404</v>
      </c>
      <c r="G14882" s="40" t="s">
        <v>11404</v>
      </c>
      <c r="H14882" s="40" t="s">
        <v>11404</v>
      </c>
    </row>
    <row r="14883">
      <c r="A14883" s="39"/>
      <c r="E14883" s="40" t="s">
        <v>11404</v>
      </c>
      <c r="F14883" s="40" t="s">
        <v>11404</v>
      </c>
      <c r="G14883" s="40" t="s">
        <v>11404</v>
      </c>
      <c r="H14883" s="40" t="s">
        <v>11404</v>
      </c>
    </row>
    <row r="14884">
      <c r="A14884" s="39"/>
      <c r="E14884" s="40" t="s">
        <v>11404</v>
      </c>
      <c r="F14884" s="40" t="s">
        <v>11404</v>
      </c>
      <c r="G14884" s="40" t="s">
        <v>11404</v>
      </c>
      <c r="H14884" s="40" t="s">
        <v>11404</v>
      </c>
    </row>
    <row r="14885">
      <c r="A14885" s="39"/>
      <c r="E14885" s="40" t="s">
        <v>11404</v>
      </c>
      <c r="F14885" s="40" t="s">
        <v>11404</v>
      </c>
      <c r="G14885" s="40" t="s">
        <v>11404</v>
      </c>
      <c r="H14885" s="40" t="s">
        <v>11404</v>
      </c>
    </row>
    <row r="14886">
      <c r="A14886" s="39"/>
      <c r="E14886" s="40" t="s">
        <v>11404</v>
      </c>
      <c r="F14886" s="40" t="s">
        <v>11404</v>
      </c>
      <c r="G14886" s="40" t="s">
        <v>11404</v>
      </c>
      <c r="H14886" s="40" t="s">
        <v>11404</v>
      </c>
    </row>
    <row r="14887">
      <c r="A14887" s="39"/>
      <c r="E14887" s="40" t="s">
        <v>11404</v>
      </c>
      <c r="F14887" s="40" t="s">
        <v>11404</v>
      </c>
      <c r="G14887" s="40" t="s">
        <v>11404</v>
      </c>
      <c r="H14887" s="40" t="s">
        <v>11404</v>
      </c>
    </row>
    <row r="14888">
      <c r="A14888" s="39"/>
      <c r="E14888" s="40" t="s">
        <v>11404</v>
      </c>
      <c r="F14888" s="40" t="s">
        <v>11404</v>
      </c>
      <c r="G14888" s="40" t="s">
        <v>11404</v>
      </c>
      <c r="H14888" s="40" t="s">
        <v>11404</v>
      </c>
    </row>
    <row r="14889">
      <c r="A14889" s="39"/>
      <c r="E14889" s="40" t="s">
        <v>11404</v>
      </c>
      <c r="F14889" s="40" t="s">
        <v>11404</v>
      </c>
      <c r="G14889" s="40" t="s">
        <v>11404</v>
      </c>
      <c r="H14889" s="40" t="s">
        <v>11404</v>
      </c>
    </row>
    <row r="14890">
      <c r="A14890" s="39"/>
      <c r="E14890" s="40" t="s">
        <v>11404</v>
      </c>
      <c r="F14890" s="40" t="s">
        <v>11404</v>
      </c>
      <c r="G14890" s="40" t="s">
        <v>11404</v>
      </c>
      <c r="H14890" s="40" t="s">
        <v>11404</v>
      </c>
    </row>
    <row r="14891">
      <c r="A14891" s="39"/>
      <c r="E14891" s="40" t="s">
        <v>11404</v>
      </c>
      <c r="F14891" s="40" t="s">
        <v>11404</v>
      </c>
      <c r="G14891" s="40" t="s">
        <v>11404</v>
      </c>
      <c r="H14891" s="40" t="s">
        <v>11404</v>
      </c>
    </row>
    <row r="14892">
      <c r="A14892" s="39"/>
      <c r="E14892" s="40" t="s">
        <v>11404</v>
      </c>
      <c r="F14892" s="40" t="s">
        <v>11404</v>
      </c>
      <c r="G14892" s="40" t="s">
        <v>11404</v>
      </c>
      <c r="H14892" s="40" t="s">
        <v>11404</v>
      </c>
    </row>
    <row r="14893">
      <c r="A14893" s="39"/>
      <c r="E14893" s="40" t="s">
        <v>11404</v>
      </c>
      <c r="F14893" s="40" t="s">
        <v>11404</v>
      </c>
      <c r="G14893" s="40" t="s">
        <v>11404</v>
      </c>
      <c r="H14893" s="40" t="s">
        <v>11404</v>
      </c>
    </row>
    <row r="14894">
      <c r="A14894" s="39"/>
      <c r="E14894" s="40" t="s">
        <v>11404</v>
      </c>
      <c r="F14894" s="40" t="s">
        <v>11404</v>
      </c>
      <c r="G14894" s="40" t="s">
        <v>11404</v>
      </c>
      <c r="H14894" s="40" t="s">
        <v>11404</v>
      </c>
    </row>
    <row r="14895">
      <c r="A14895" s="39"/>
      <c r="E14895" s="40" t="s">
        <v>11404</v>
      </c>
      <c r="F14895" s="40" t="s">
        <v>11404</v>
      </c>
      <c r="G14895" s="40" t="s">
        <v>11404</v>
      </c>
      <c r="H14895" s="40" t="s">
        <v>11404</v>
      </c>
    </row>
    <row r="14896">
      <c r="A14896" s="39"/>
      <c r="E14896" s="40" t="s">
        <v>11404</v>
      </c>
      <c r="F14896" s="40" t="s">
        <v>11404</v>
      </c>
      <c r="G14896" s="40" t="s">
        <v>11404</v>
      </c>
      <c r="H14896" s="40" t="s">
        <v>11404</v>
      </c>
    </row>
    <row r="14897">
      <c r="A14897" s="39"/>
      <c r="E14897" s="40" t="s">
        <v>11404</v>
      </c>
      <c r="F14897" s="40" t="s">
        <v>11404</v>
      </c>
      <c r="G14897" s="40" t="s">
        <v>11404</v>
      </c>
      <c r="H14897" s="40" t="s">
        <v>11404</v>
      </c>
    </row>
    <row r="14898">
      <c r="A14898" s="39"/>
      <c r="E14898" s="40" t="s">
        <v>11404</v>
      </c>
      <c r="F14898" s="40" t="s">
        <v>11404</v>
      </c>
      <c r="G14898" s="40" t="s">
        <v>11404</v>
      </c>
      <c r="H14898" s="40" t="s">
        <v>11404</v>
      </c>
    </row>
    <row r="14899">
      <c r="A14899" s="39"/>
      <c r="E14899" s="40" t="s">
        <v>11404</v>
      </c>
      <c r="F14899" s="40" t="s">
        <v>11404</v>
      </c>
      <c r="G14899" s="40" t="s">
        <v>11404</v>
      </c>
      <c r="H14899" s="40" t="s">
        <v>11404</v>
      </c>
    </row>
    <row r="14900">
      <c r="A14900" s="39"/>
      <c r="E14900" s="40" t="s">
        <v>11404</v>
      </c>
      <c r="F14900" s="40" t="s">
        <v>11404</v>
      </c>
      <c r="G14900" s="40" t="s">
        <v>11404</v>
      </c>
      <c r="H14900" s="40" t="s">
        <v>11404</v>
      </c>
    </row>
    <row r="14901">
      <c r="A14901" s="39"/>
      <c r="E14901" s="40" t="s">
        <v>11404</v>
      </c>
      <c r="F14901" s="40" t="s">
        <v>11404</v>
      </c>
      <c r="G14901" s="40" t="s">
        <v>11404</v>
      </c>
      <c r="H14901" s="40" t="s">
        <v>11404</v>
      </c>
    </row>
    <row r="14902">
      <c r="A14902" s="39"/>
      <c r="E14902" s="40" t="s">
        <v>11404</v>
      </c>
      <c r="F14902" s="40" t="s">
        <v>11404</v>
      </c>
      <c r="G14902" s="40" t="s">
        <v>11404</v>
      </c>
      <c r="H14902" s="40" t="s">
        <v>11404</v>
      </c>
    </row>
    <row r="14903">
      <c r="A14903" s="39"/>
      <c r="E14903" s="40" t="s">
        <v>11404</v>
      </c>
      <c r="F14903" s="40" t="s">
        <v>11404</v>
      </c>
      <c r="G14903" s="40" t="s">
        <v>11404</v>
      </c>
      <c r="H14903" s="40" t="s">
        <v>11404</v>
      </c>
    </row>
    <row r="14904">
      <c r="A14904" s="39"/>
      <c r="E14904" s="40" t="s">
        <v>11404</v>
      </c>
      <c r="F14904" s="40" t="s">
        <v>11404</v>
      </c>
      <c r="G14904" s="40" t="s">
        <v>11404</v>
      </c>
      <c r="H14904" s="40" t="s">
        <v>11404</v>
      </c>
    </row>
    <row r="14905">
      <c r="A14905" s="39"/>
      <c r="E14905" s="40" t="s">
        <v>11404</v>
      </c>
      <c r="F14905" s="40" t="s">
        <v>11404</v>
      </c>
      <c r="G14905" s="40" t="s">
        <v>11404</v>
      </c>
      <c r="H14905" s="40" t="s">
        <v>11404</v>
      </c>
    </row>
    <row r="14906">
      <c r="A14906" s="39"/>
      <c r="E14906" s="40" t="s">
        <v>11404</v>
      </c>
      <c r="F14906" s="40" t="s">
        <v>11404</v>
      </c>
      <c r="G14906" s="40" t="s">
        <v>11404</v>
      </c>
      <c r="H14906" s="40" t="s">
        <v>11404</v>
      </c>
    </row>
    <row r="14907">
      <c r="A14907" s="39"/>
      <c r="E14907" s="40" t="s">
        <v>11404</v>
      </c>
      <c r="F14907" s="40" t="s">
        <v>11404</v>
      </c>
      <c r="G14907" s="40" t="s">
        <v>11404</v>
      </c>
      <c r="H14907" s="40" t="s">
        <v>11404</v>
      </c>
    </row>
    <row r="14908">
      <c r="A14908" s="39"/>
      <c r="E14908" s="40" t="s">
        <v>11404</v>
      </c>
      <c r="F14908" s="40" t="s">
        <v>11404</v>
      </c>
      <c r="G14908" s="40" t="s">
        <v>11404</v>
      </c>
      <c r="H14908" s="40" t="s">
        <v>11404</v>
      </c>
    </row>
    <row r="14909">
      <c r="A14909" s="39"/>
      <c r="E14909" s="40" t="s">
        <v>11404</v>
      </c>
      <c r="F14909" s="40" t="s">
        <v>11404</v>
      </c>
      <c r="G14909" s="40" t="s">
        <v>11404</v>
      </c>
      <c r="H14909" s="40" t="s">
        <v>11404</v>
      </c>
    </row>
    <row r="14910">
      <c r="A14910" s="39"/>
      <c r="E14910" s="40" t="s">
        <v>11404</v>
      </c>
      <c r="F14910" s="40" t="s">
        <v>11404</v>
      </c>
      <c r="G14910" s="40" t="s">
        <v>11404</v>
      </c>
      <c r="H14910" s="40" t="s">
        <v>11404</v>
      </c>
    </row>
    <row r="14911">
      <c r="A14911" s="39"/>
      <c r="E14911" s="40" t="s">
        <v>11404</v>
      </c>
      <c r="F14911" s="40" t="s">
        <v>11404</v>
      </c>
      <c r="G14911" s="40" t="s">
        <v>11404</v>
      </c>
      <c r="H14911" s="40" t="s">
        <v>11404</v>
      </c>
    </row>
    <row r="14912">
      <c r="A14912" s="39"/>
      <c r="E14912" s="40" t="s">
        <v>11404</v>
      </c>
      <c r="F14912" s="40" t="s">
        <v>11404</v>
      </c>
      <c r="G14912" s="40" t="s">
        <v>11404</v>
      </c>
      <c r="H14912" s="40" t="s">
        <v>11404</v>
      </c>
    </row>
    <row r="14913">
      <c r="A14913" s="39"/>
      <c r="E14913" s="40" t="s">
        <v>11404</v>
      </c>
      <c r="F14913" s="40" t="s">
        <v>11404</v>
      </c>
      <c r="G14913" s="40" t="s">
        <v>11404</v>
      </c>
      <c r="H14913" s="40" t="s">
        <v>11404</v>
      </c>
    </row>
    <row r="14914">
      <c r="A14914" s="39"/>
      <c r="E14914" s="40" t="s">
        <v>11404</v>
      </c>
      <c r="F14914" s="40" t="s">
        <v>11404</v>
      </c>
      <c r="G14914" s="40" t="s">
        <v>11404</v>
      </c>
      <c r="H14914" s="40" t="s">
        <v>11404</v>
      </c>
    </row>
    <row r="14915">
      <c r="A14915" s="39"/>
      <c r="E14915" s="40" t="s">
        <v>11404</v>
      </c>
      <c r="F14915" s="40" t="s">
        <v>11404</v>
      </c>
      <c r="G14915" s="40" t="s">
        <v>11404</v>
      </c>
      <c r="H14915" s="40" t="s">
        <v>11404</v>
      </c>
    </row>
    <row r="14916">
      <c r="A14916" s="39"/>
      <c r="E14916" s="40" t="s">
        <v>11404</v>
      </c>
      <c r="F14916" s="40" t="s">
        <v>11404</v>
      </c>
      <c r="G14916" s="40" t="s">
        <v>11404</v>
      </c>
      <c r="H14916" s="40" t="s">
        <v>11404</v>
      </c>
    </row>
    <row r="14917">
      <c r="A14917" s="39"/>
      <c r="E14917" s="40" t="s">
        <v>11404</v>
      </c>
      <c r="F14917" s="40" t="s">
        <v>11404</v>
      </c>
      <c r="G14917" s="40" t="s">
        <v>11404</v>
      </c>
      <c r="H14917" s="40" t="s">
        <v>11404</v>
      </c>
    </row>
    <row r="14918">
      <c r="A14918" s="39"/>
      <c r="E14918" s="40" t="s">
        <v>11404</v>
      </c>
      <c r="F14918" s="40" t="s">
        <v>11404</v>
      </c>
      <c r="G14918" s="40" t="s">
        <v>11404</v>
      </c>
      <c r="H14918" s="40" t="s">
        <v>11404</v>
      </c>
    </row>
    <row r="14919">
      <c r="A14919" s="39"/>
      <c r="E14919" s="40" t="s">
        <v>11404</v>
      </c>
      <c r="F14919" s="40" t="s">
        <v>11404</v>
      </c>
      <c r="G14919" s="40" t="s">
        <v>11404</v>
      </c>
      <c r="H14919" s="40" t="s">
        <v>11404</v>
      </c>
    </row>
    <row r="14920">
      <c r="A14920" s="39"/>
      <c r="E14920" s="40" t="s">
        <v>11404</v>
      </c>
      <c r="F14920" s="40" t="s">
        <v>11404</v>
      </c>
      <c r="G14920" s="40" t="s">
        <v>11404</v>
      </c>
      <c r="H14920" s="40" t="s">
        <v>11404</v>
      </c>
    </row>
    <row r="14921">
      <c r="A14921" s="39"/>
      <c r="E14921" s="40" t="s">
        <v>11404</v>
      </c>
      <c r="F14921" s="40" t="s">
        <v>11404</v>
      </c>
      <c r="G14921" s="40" t="s">
        <v>11404</v>
      </c>
      <c r="H14921" s="40" t="s">
        <v>11404</v>
      </c>
    </row>
    <row r="14922">
      <c r="A14922" s="39"/>
      <c r="E14922" s="40" t="s">
        <v>11404</v>
      </c>
      <c r="F14922" s="40" t="s">
        <v>11404</v>
      </c>
      <c r="G14922" s="40" t="s">
        <v>11404</v>
      </c>
      <c r="H14922" s="40" t="s">
        <v>11404</v>
      </c>
    </row>
    <row r="14923">
      <c r="A14923" s="39"/>
      <c r="E14923" s="40" t="s">
        <v>11404</v>
      </c>
      <c r="F14923" s="40" t="s">
        <v>11404</v>
      </c>
      <c r="G14923" s="40" t="s">
        <v>11404</v>
      </c>
      <c r="H14923" s="40" t="s">
        <v>11404</v>
      </c>
    </row>
    <row r="14924">
      <c r="A14924" s="39"/>
      <c r="E14924" s="40" t="s">
        <v>11404</v>
      </c>
      <c r="F14924" s="40" t="s">
        <v>11404</v>
      </c>
      <c r="G14924" s="40" t="s">
        <v>11404</v>
      </c>
      <c r="H14924" s="40" t="s">
        <v>11404</v>
      </c>
    </row>
    <row r="14925">
      <c r="A14925" s="39"/>
      <c r="E14925" s="40" t="s">
        <v>11404</v>
      </c>
      <c r="F14925" s="40" t="s">
        <v>11404</v>
      </c>
      <c r="G14925" s="40" t="s">
        <v>11404</v>
      </c>
      <c r="H14925" s="40" t="s">
        <v>11404</v>
      </c>
    </row>
    <row r="14926">
      <c r="A14926" s="39"/>
      <c r="E14926" s="40" t="s">
        <v>11404</v>
      </c>
      <c r="F14926" s="40" t="s">
        <v>11404</v>
      </c>
      <c r="G14926" s="40" t="s">
        <v>11404</v>
      </c>
      <c r="H14926" s="40" t="s">
        <v>11404</v>
      </c>
    </row>
    <row r="14927">
      <c r="A14927" s="39"/>
      <c r="E14927" s="40" t="s">
        <v>11404</v>
      </c>
      <c r="F14927" s="40" t="s">
        <v>11404</v>
      </c>
      <c r="G14927" s="40" t="s">
        <v>11404</v>
      </c>
      <c r="H14927" s="40" t="s">
        <v>11404</v>
      </c>
    </row>
    <row r="14928">
      <c r="A14928" s="39"/>
      <c r="E14928" s="40" t="s">
        <v>11404</v>
      </c>
      <c r="F14928" s="40" t="s">
        <v>11404</v>
      </c>
      <c r="G14928" s="40" t="s">
        <v>11404</v>
      </c>
      <c r="H14928" s="40" t="s">
        <v>11404</v>
      </c>
    </row>
    <row r="14929">
      <c r="A14929" s="39"/>
      <c r="E14929" s="40" t="s">
        <v>11404</v>
      </c>
      <c r="F14929" s="40" t="s">
        <v>11404</v>
      </c>
      <c r="G14929" s="40" t="s">
        <v>11404</v>
      </c>
      <c r="H14929" s="40" t="s">
        <v>11404</v>
      </c>
    </row>
    <row r="14930">
      <c r="A14930" s="39"/>
      <c r="E14930" s="40" t="s">
        <v>11404</v>
      </c>
      <c r="F14930" s="40" t="s">
        <v>11404</v>
      </c>
      <c r="G14930" s="40" t="s">
        <v>11404</v>
      </c>
      <c r="H14930" s="40" t="s">
        <v>11404</v>
      </c>
    </row>
    <row r="14931">
      <c r="A14931" s="39"/>
      <c r="E14931" s="40" t="s">
        <v>11404</v>
      </c>
      <c r="F14931" s="40" t="s">
        <v>11404</v>
      </c>
      <c r="G14931" s="40" t="s">
        <v>11404</v>
      </c>
      <c r="H14931" s="40" t="s">
        <v>11404</v>
      </c>
    </row>
    <row r="14932">
      <c r="A14932" s="39"/>
      <c r="E14932" s="40" t="s">
        <v>11404</v>
      </c>
      <c r="F14932" s="40" t="s">
        <v>11404</v>
      </c>
      <c r="G14932" s="40" t="s">
        <v>11404</v>
      </c>
      <c r="H14932" s="40" t="s">
        <v>11404</v>
      </c>
    </row>
    <row r="14933">
      <c r="A14933" s="39"/>
      <c r="E14933" s="40" t="s">
        <v>11404</v>
      </c>
      <c r="F14933" s="40" t="s">
        <v>11404</v>
      </c>
      <c r="G14933" s="40" t="s">
        <v>11404</v>
      </c>
      <c r="H14933" s="40" t="s">
        <v>11404</v>
      </c>
    </row>
    <row r="14934">
      <c r="A14934" s="39"/>
      <c r="E14934" s="40" t="s">
        <v>11404</v>
      </c>
      <c r="F14934" s="40" t="s">
        <v>11404</v>
      </c>
      <c r="G14934" s="40" t="s">
        <v>11404</v>
      </c>
      <c r="H14934" s="40" t="s">
        <v>11404</v>
      </c>
    </row>
    <row r="14935">
      <c r="A14935" s="39"/>
      <c r="E14935" s="40" t="s">
        <v>11404</v>
      </c>
      <c r="F14935" s="40" t="s">
        <v>11404</v>
      </c>
      <c r="G14935" s="40" t="s">
        <v>11404</v>
      </c>
      <c r="H14935" s="40" t="s">
        <v>11404</v>
      </c>
    </row>
    <row r="14936">
      <c r="A14936" s="39"/>
      <c r="E14936" s="40" t="s">
        <v>11404</v>
      </c>
      <c r="F14936" s="40" t="s">
        <v>11404</v>
      </c>
      <c r="G14936" s="40" t="s">
        <v>11404</v>
      </c>
      <c r="H14936" s="40" t="s">
        <v>11404</v>
      </c>
    </row>
    <row r="14937">
      <c r="A14937" s="39"/>
      <c r="E14937" s="40" t="s">
        <v>11404</v>
      </c>
      <c r="F14937" s="40" t="s">
        <v>11404</v>
      </c>
      <c r="G14937" s="40" t="s">
        <v>11404</v>
      </c>
      <c r="H14937" s="40" t="s">
        <v>11404</v>
      </c>
    </row>
    <row r="14938">
      <c r="A14938" s="39"/>
      <c r="E14938" s="40" t="s">
        <v>11404</v>
      </c>
      <c r="F14938" s="40" t="s">
        <v>11404</v>
      </c>
      <c r="G14938" s="40" t="s">
        <v>11404</v>
      </c>
      <c r="H14938" s="40" t="s">
        <v>11404</v>
      </c>
    </row>
    <row r="14939">
      <c r="A14939" s="39"/>
      <c r="E14939" s="40" t="s">
        <v>11404</v>
      </c>
      <c r="F14939" s="40" t="s">
        <v>11404</v>
      </c>
      <c r="G14939" s="40" t="s">
        <v>11404</v>
      </c>
      <c r="H14939" s="40" t="s">
        <v>11404</v>
      </c>
    </row>
    <row r="14940">
      <c r="A14940" s="39"/>
      <c r="E14940" s="40" t="s">
        <v>11404</v>
      </c>
      <c r="F14940" s="40" t="s">
        <v>11404</v>
      </c>
      <c r="G14940" s="40" t="s">
        <v>11404</v>
      </c>
      <c r="H14940" s="40" t="s">
        <v>11404</v>
      </c>
    </row>
    <row r="14941">
      <c r="A14941" s="39"/>
      <c r="E14941" s="40" t="s">
        <v>11404</v>
      </c>
      <c r="F14941" s="40" t="s">
        <v>11404</v>
      </c>
      <c r="G14941" s="40" t="s">
        <v>11404</v>
      </c>
      <c r="H14941" s="40" t="s">
        <v>11404</v>
      </c>
    </row>
    <row r="14942">
      <c r="A14942" s="39"/>
      <c r="E14942" s="40" t="s">
        <v>11404</v>
      </c>
      <c r="F14942" s="40" t="s">
        <v>11404</v>
      </c>
      <c r="G14942" s="40" t="s">
        <v>11404</v>
      </c>
      <c r="H14942" s="40" t="s">
        <v>11404</v>
      </c>
    </row>
    <row r="14943">
      <c r="A14943" s="39"/>
      <c r="E14943" s="40" t="s">
        <v>11404</v>
      </c>
      <c r="F14943" s="40" t="s">
        <v>11404</v>
      </c>
      <c r="G14943" s="40" t="s">
        <v>11404</v>
      </c>
      <c r="H14943" s="40" t="s">
        <v>11404</v>
      </c>
    </row>
    <row r="14944">
      <c r="A14944" s="39"/>
      <c r="E14944" s="40" t="s">
        <v>11404</v>
      </c>
      <c r="F14944" s="40" t="s">
        <v>11404</v>
      </c>
      <c r="G14944" s="40" t="s">
        <v>11404</v>
      </c>
      <c r="H14944" s="40" t="s">
        <v>11404</v>
      </c>
    </row>
    <row r="14945">
      <c r="A14945" s="39"/>
      <c r="E14945" s="40" t="s">
        <v>11404</v>
      </c>
      <c r="F14945" s="40" t="s">
        <v>11404</v>
      </c>
      <c r="G14945" s="40" t="s">
        <v>11404</v>
      </c>
      <c r="H14945" s="40" t="s">
        <v>11404</v>
      </c>
    </row>
    <row r="14946">
      <c r="A14946" s="39"/>
      <c r="E14946" s="40" t="s">
        <v>11404</v>
      </c>
      <c r="F14946" s="40" t="s">
        <v>11404</v>
      </c>
      <c r="G14946" s="40" t="s">
        <v>11404</v>
      </c>
      <c r="H14946" s="40" t="s">
        <v>11404</v>
      </c>
    </row>
    <row r="14947">
      <c r="A14947" s="39"/>
      <c r="E14947" s="40" t="s">
        <v>11404</v>
      </c>
      <c r="F14947" s="40" t="s">
        <v>11404</v>
      </c>
      <c r="G14947" s="40" t="s">
        <v>11404</v>
      </c>
      <c r="H14947" s="40" t="s">
        <v>11404</v>
      </c>
    </row>
    <row r="14948">
      <c r="A14948" s="39"/>
      <c r="E14948" s="40" t="s">
        <v>11404</v>
      </c>
      <c r="F14948" s="40" t="s">
        <v>11404</v>
      </c>
      <c r="G14948" s="40" t="s">
        <v>11404</v>
      </c>
      <c r="H14948" s="40" t="s">
        <v>11404</v>
      </c>
    </row>
    <row r="14949">
      <c r="A14949" s="39"/>
      <c r="E14949" s="40" t="s">
        <v>11404</v>
      </c>
      <c r="F14949" s="40" t="s">
        <v>11404</v>
      </c>
      <c r="G14949" s="40" t="s">
        <v>11404</v>
      </c>
      <c r="H14949" s="40" t="s">
        <v>11404</v>
      </c>
    </row>
    <row r="14950">
      <c r="A14950" s="39"/>
      <c r="E14950" s="40" t="s">
        <v>11404</v>
      </c>
      <c r="F14950" s="40" t="s">
        <v>11404</v>
      </c>
      <c r="G14950" s="40" t="s">
        <v>11404</v>
      </c>
      <c r="H14950" s="40" t="s">
        <v>11404</v>
      </c>
    </row>
    <row r="14951">
      <c r="A14951" s="39"/>
      <c r="E14951" s="40" t="s">
        <v>11404</v>
      </c>
      <c r="F14951" s="40" t="s">
        <v>11404</v>
      </c>
      <c r="G14951" s="40" t="s">
        <v>11404</v>
      </c>
      <c r="H14951" s="40" t="s">
        <v>11404</v>
      </c>
    </row>
    <row r="14952">
      <c r="A14952" s="39"/>
      <c r="E14952" s="40" t="s">
        <v>11404</v>
      </c>
      <c r="F14952" s="40" t="s">
        <v>11404</v>
      </c>
      <c r="G14952" s="40" t="s">
        <v>11404</v>
      </c>
      <c r="H14952" s="40" t="s">
        <v>11404</v>
      </c>
    </row>
    <row r="14953">
      <c r="A14953" s="39"/>
      <c r="E14953" s="40" t="s">
        <v>11404</v>
      </c>
      <c r="F14953" s="40" t="s">
        <v>11404</v>
      </c>
      <c r="G14953" s="40" t="s">
        <v>11404</v>
      </c>
      <c r="H14953" s="40" t="s">
        <v>11404</v>
      </c>
    </row>
    <row r="14954">
      <c r="A14954" s="39"/>
      <c r="E14954" s="40" t="s">
        <v>11404</v>
      </c>
      <c r="F14954" s="40" t="s">
        <v>11404</v>
      </c>
      <c r="G14954" s="40" t="s">
        <v>11404</v>
      </c>
      <c r="H14954" s="40" t="s">
        <v>11404</v>
      </c>
    </row>
    <row r="14955">
      <c r="A14955" s="39"/>
      <c r="E14955" s="40" t="s">
        <v>11404</v>
      </c>
      <c r="F14955" s="40" t="s">
        <v>11404</v>
      </c>
      <c r="G14955" s="40" t="s">
        <v>11404</v>
      </c>
      <c r="H14955" s="40" t="s">
        <v>11404</v>
      </c>
    </row>
    <row r="14956">
      <c r="A14956" s="39"/>
      <c r="E14956" s="40" t="s">
        <v>11404</v>
      </c>
      <c r="F14956" s="40" t="s">
        <v>11404</v>
      </c>
      <c r="G14956" s="40" t="s">
        <v>11404</v>
      </c>
      <c r="H14956" s="40" t="s">
        <v>11404</v>
      </c>
    </row>
    <row r="14957">
      <c r="A14957" s="39"/>
      <c r="E14957" s="40" t="s">
        <v>11404</v>
      </c>
      <c r="F14957" s="40" t="s">
        <v>11404</v>
      </c>
      <c r="G14957" s="40" t="s">
        <v>11404</v>
      </c>
      <c r="H14957" s="40" t="s">
        <v>11404</v>
      </c>
    </row>
    <row r="14958">
      <c r="A14958" s="39"/>
      <c r="E14958" s="40" t="s">
        <v>11404</v>
      </c>
      <c r="F14958" s="40" t="s">
        <v>11404</v>
      </c>
      <c r="G14958" s="40" t="s">
        <v>11404</v>
      </c>
      <c r="H14958" s="40" t="s">
        <v>11404</v>
      </c>
    </row>
    <row r="14959">
      <c r="A14959" s="39"/>
      <c r="E14959" s="40" t="s">
        <v>11404</v>
      </c>
      <c r="F14959" s="40" t="s">
        <v>11404</v>
      </c>
      <c r="G14959" s="40" t="s">
        <v>11404</v>
      </c>
      <c r="H14959" s="40" t="s">
        <v>11404</v>
      </c>
    </row>
    <row r="14960">
      <c r="A14960" s="39"/>
      <c r="E14960" s="40" t="s">
        <v>11404</v>
      </c>
      <c r="F14960" s="40" t="s">
        <v>11404</v>
      </c>
      <c r="G14960" s="40" t="s">
        <v>11404</v>
      </c>
      <c r="H14960" s="40" t="s">
        <v>11404</v>
      </c>
    </row>
    <row r="14961">
      <c r="A14961" s="39"/>
      <c r="E14961" s="40" t="s">
        <v>11404</v>
      </c>
      <c r="F14961" s="40" t="s">
        <v>11404</v>
      </c>
      <c r="G14961" s="40" t="s">
        <v>11404</v>
      </c>
      <c r="H14961" s="40" t="s">
        <v>11404</v>
      </c>
    </row>
    <row r="14962">
      <c r="A14962" s="39"/>
      <c r="E14962" s="40" t="s">
        <v>11404</v>
      </c>
      <c r="F14962" s="40" t="s">
        <v>11404</v>
      </c>
      <c r="G14962" s="40" t="s">
        <v>11404</v>
      </c>
      <c r="H14962" s="40" t="s">
        <v>11404</v>
      </c>
    </row>
    <row r="14963">
      <c r="A14963" s="39"/>
      <c r="E14963" s="40" t="s">
        <v>11404</v>
      </c>
      <c r="F14963" s="40" t="s">
        <v>11404</v>
      </c>
      <c r="G14963" s="40" t="s">
        <v>11404</v>
      </c>
      <c r="H14963" s="40" t="s">
        <v>11404</v>
      </c>
    </row>
    <row r="14964">
      <c r="A14964" s="39"/>
      <c r="E14964" s="40" t="s">
        <v>11404</v>
      </c>
      <c r="F14964" s="40" t="s">
        <v>11404</v>
      </c>
      <c r="G14964" s="40" t="s">
        <v>11404</v>
      </c>
      <c r="H14964" s="40" t="s">
        <v>11404</v>
      </c>
    </row>
    <row r="14965">
      <c r="A14965" s="39"/>
      <c r="E14965" s="40" t="s">
        <v>11404</v>
      </c>
      <c r="F14965" s="40" t="s">
        <v>11404</v>
      </c>
      <c r="G14965" s="40" t="s">
        <v>11404</v>
      </c>
      <c r="H14965" s="40" t="s">
        <v>11404</v>
      </c>
    </row>
    <row r="14966">
      <c r="A14966" s="39"/>
      <c r="E14966" s="40" t="s">
        <v>11404</v>
      </c>
      <c r="F14966" s="40" t="s">
        <v>11404</v>
      </c>
      <c r="G14966" s="40" t="s">
        <v>11404</v>
      </c>
      <c r="H14966" s="40" t="s">
        <v>11404</v>
      </c>
    </row>
    <row r="14967">
      <c r="A14967" s="39"/>
      <c r="E14967" s="40" t="s">
        <v>11404</v>
      </c>
      <c r="F14967" s="40" t="s">
        <v>11404</v>
      </c>
      <c r="G14967" s="40" t="s">
        <v>11404</v>
      </c>
      <c r="H14967" s="40" t="s">
        <v>11404</v>
      </c>
    </row>
    <row r="14968">
      <c r="A14968" s="39"/>
      <c r="E14968" s="40" t="s">
        <v>11404</v>
      </c>
      <c r="F14968" s="40" t="s">
        <v>11404</v>
      </c>
      <c r="G14968" s="40" t="s">
        <v>11404</v>
      </c>
      <c r="H14968" s="40" t="s">
        <v>11404</v>
      </c>
    </row>
    <row r="14969">
      <c r="A14969" s="39"/>
      <c r="E14969" s="40" t="s">
        <v>11404</v>
      </c>
      <c r="F14969" s="40" t="s">
        <v>11404</v>
      </c>
      <c r="G14969" s="40" t="s">
        <v>11404</v>
      </c>
      <c r="H14969" s="40" t="s">
        <v>11404</v>
      </c>
    </row>
    <row r="14970">
      <c r="A14970" s="39"/>
      <c r="E14970" s="40" t="s">
        <v>11404</v>
      </c>
      <c r="F14970" s="40" t="s">
        <v>11404</v>
      </c>
      <c r="G14970" s="40" t="s">
        <v>11404</v>
      </c>
      <c r="H14970" s="40" t="s">
        <v>11404</v>
      </c>
    </row>
    <row r="14971">
      <c r="A14971" s="39"/>
      <c r="E14971" s="40" t="s">
        <v>11404</v>
      </c>
      <c r="F14971" s="40" t="s">
        <v>11404</v>
      </c>
      <c r="G14971" s="40" t="s">
        <v>11404</v>
      </c>
      <c r="H14971" s="40" t="s">
        <v>11404</v>
      </c>
    </row>
    <row r="14972">
      <c r="A14972" s="39"/>
      <c r="E14972" s="40" t="s">
        <v>11404</v>
      </c>
      <c r="F14972" s="40" t="s">
        <v>11404</v>
      </c>
      <c r="G14972" s="40" t="s">
        <v>11404</v>
      </c>
      <c r="H14972" s="40" t="s">
        <v>11404</v>
      </c>
    </row>
    <row r="14973">
      <c r="A14973" s="39"/>
      <c r="E14973" s="40" t="s">
        <v>11404</v>
      </c>
      <c r="F14973" s="40" t="s">
        <v>11404</v>
      </c>
      <c r="G14973" s="40" t="s">
        <v>11404</v>
      </c>
      <c r="H14973" s="40" t="s">
        <v>11404</v>
      </c>
    </row>
    <row r="14974">
      <c r="A14974" s="39"/>
      <c r="E14974" s="40" t="s">
        <v>11404</v>
      </c>
      <c r="F14974" s="40" t="s">
        <v>11404</v>
      </c>
      <c r="G14974" s="40" t="s">
        <v>11404</v>
      </c>
      <c r="H14974" s="40" t="s">
        <v>11404</v>
      </c>
    </row>
    <row r="14975">
      <c r="A14975" s="39"/>
      <c r="E14975" s="40" t="s">
        <v>11404</v>
      </c>
      <c r="F14975" s="40" t="s">
        <v>11404</v>
      </c>
      <c r="G14975" s="40" t="s">
        <v>11404</v>
      </c>
      <c r="H14975" s="40" t="s">
        <v>11404</v>
      </c>
    </row>
    <row r="14976">
      <c r="A14976" s="39"/>
      <c r="E14976" s="40" t="s">
        <v>11404</v>
      </c>
      <c r="F14976" s="40" t="s">
        <v>11404</v>
      </c>
      <c r="G14976" s="40" t="s">
        <v>11404</v>
      </c>
      <c r="H14976" s="40" t="s">
        <v>11404</v>
      </c>
    </row>
    <row r="14977">
      <c r="A14977" s="39"/>
      <c r="E14977" s="40" t="s">
        <v>11404</v>
      </c>
      <c r="F14977" s="40" t="s">
        <v>11404</v>
      </c>
      <c r="G14977" s="40" t="s">
        <v>11404</v>
      </c>
      <c r="H14977" s="40" t="s">
        <v>11404</v>
      </c>
    </row>
    <row r="14978">
      <c r="A14978" s="39"/>
      <c r="E14978" s="40" t="s">
        <v>11404</v>
      </c>
      <c r="F14978" s="40" t="s">
        <v>11404</v>
      </c>
      <c r="G14978" s="40" t="s">
        <v>11404</v>
      </c>
      <c r="H14978" s="40" t="s">
        <v>11404</v>
      </c>
    </row>
    <row r="14979">
      <c r="A14979" s="39"/>
      <c r="E14979" s="40" t="s">
        <v>11404</v>
      </c>
      <c r="F14979" s="40" t="s">
        <v>11404</v>
      </c>
      <c r="G14979" s="40" t="s">
        <v>11404</v>
      </c>
      <c r="H14979" s="40" t="s">
        <v>11404</v>
      </c>
    </row>
    <row r="14980">
      <c r="A14980" s="39"/>
      <c r="E14980" s="40" t="s">
        <v>11404</v>
      </c>
      <c r="F14980" s="40" t="s">
        <v>11404</v>
      </c>
      <c r="G14980" s="40" t="s">
        <v>11404</v>
      </c>
      <c r="H14980" s="40" t="s">
        <v>11404</v>
      </c>
    </row>
    <row r="14981">
      <c r="A14981" s="39"/>
      <c r="E14981" s="40" t="s">
        <v>11404</v>
      </c>
      <c r="F14981" s="40" t="s">
        <v>11404</v>
      </c>
      <c r="G14981" s="40" t="s">
        <v>11404</v>
      </c>
      <c r="H14981" s="40" t="s">
        <v>11404</v>
      </c>
    </row>
    <row r="14982">
      <c r="A14982" s="39"/>
      <c r="E14982" s="40" t="s">
        <v>11404</v>
      </c>
      <c r="F14982" s="40" t="s">
        <v>11404</v>
      </c>
      <c r="G14982" s="40" t="s">
        <v>11404</v>
      </c>
      <c r="H14982" s="40" t="s">
        <v>11404</v>
      </c>
    </row>
    <row r="14983">
      <c r="A14983" s="39"/>
      <c r="E14983" s="40" t="s">
        <v>11404</v>
      </c>
      <c r="F14983" s="40" t="s">
        <v>11404</v>
      </c>
      <c r="G14983" s="40" t="s">
        <v>11404</v>
      </c>
      <c r="H14983" s="40" t="s">
        <v>11404</v>
      </c>
    </row>
    <row r="14984">
      <c r="A14984" s="39"/>
      <c r="E14984" s="40" t="s">
        <v>11404</v>
      </c>
      <c r="F14984" s="40" t="s">
        <v>11404</v>
      </c>
      <c r="G14984" s="40" t="s">
        <v>11404</v>
      </c>
      <c r="H14984" s="40" t="s">
        <v>11404</v>
      </c>
    </row>
    <row r="14985">
      <c r="A14985" s="39"/>
      <c r="E14985" s="40" t="s">
        <v>11404</v>
      </c>
      <c r="F14985" s="40" t="s">
        <v>11404</v>
      </c>
      <c r="G14985" s="40" t="s">
        <v>11404</v>
      </c>
      <c r="H14985" s="40" t="s">
        <v>11404</v>
      </c>
    </row>
    <row r="14986">
      <c r="A14986" s="39"/>
      <c r="E14986" s="40" t="s">
        <v>11404</v>
      </c>
      <c r="F14986" s="40" t="s">
        <v>11404</v>
      </c>
      <c r="G14986" s="40" t="s">
        <v>11404</v>
      </c>
      <c r="H14986" s="40" t="s">
        <v>11404</v>
      </c>
    </row>
    <row r="14987">
      <c r="A14987" s="39"/>
      <c r="E14987" s="40" t="s">
        <v>11404</v>
      </c>
      <c r="F14987" s="40" t="s">
        <v>11404</v>
      </c>
      <c r="G14987" s="40" t="s">
        <v>11404</v>
      </c>
      <c r="H14987" s="40" t="s">
        <v>11404</v>
      </c>
    </row>
    <row r="14988">
      <c r="A14988" s="39"/>
      <c r="E14988" s="40" t="s">
        <v>11404</v>
      </c>
      <c r="F14988" s="40" t="s">
        <v>11404</v>
      </c>
      <c r="G14988" s="40" t="s">
        <v>11404</v>
      </c>
      <c r="H14988" s="40" t="s">
        <v>11404</v>
      </c>
    </row>
    <row r="14989">
      <c r="A14989" s="39"/>
      <c r="E14989" s="40" t="s">
        <v>11404</v>
      </c>
      <c r="F14989" s="40" t="s">
        <v>11404</v>
      </c>
      <c r="G14989" s="40" t="s">
        <v>11404</v>
      </c>
      <c r="H14989" s="40" t="s">
        <v>11404</v>
      </c>
    </row>
    <row r="14990">
      <c r="A14990" s="39"/>
      <c r="E14990" s="40" t="s">
        <v>11404</v>
      </c>
      <c r="F14990" s="40" t="s">
        <v>11404</v>
      </c>
      <c r="G14990" s="40" t="s">
        <v>11404</v>
      </c>
      <c r="H14990" s="40" t="s">
        <v>11404</v>
      </c>
    </row>
    <row r="14991">
      <c r="A14991" s="39"/>
      <c r="E14991" s="40" t="s">
        <v>11404</v>
      </c>
      <c r="F14991" s="40" t="s">
        <v>11404</v>
      </c>
      <c r="G14991" s="40" t="s">
        <v>11404</v>
      </c>
      <c r="H14991" s="40" t="s">
        <v>11404</v>
      </c>
    </row>
    <row r="14992">
      <c r="A14992" s="39"/>
      <c r="E14992" s="40" t="s">
        <v>11404</v>
      </c>
      <c r="F14992" s="40" t="s">
        <v>11404</v>
      </c>
      <c r="G14992" s="40" t="s">
        <v>11404</v>
      </c>
      <c r="H14992" s="40" t="s">
        <v>11404</v>
      </c>
    </row>
    <row r="14993">
      <c r="A14993" s="39"/>
      <c r="E14993" s="40" t="s">
        <v>11404</v>
      </c>
      <c r="F14993" s="40" t="s">
        <v>11404</v>
      </c>
      <c r="G14993" s="40" t="s">
        <v>11404</v>
      </c>
      <c r="H14993" s="40" t="s">
        <v>11404</v>
      </c>
    </row>
    <row r="14994">
      <c r="A14994" s="39"/>
      <c r="E14994" s="40" t="s">
        <v>11404</v>
      </c>
      <c r="F14994" s="40" t="s">
        <v>11404</v>
      </c>
      <c r="G14994" s="40" t="s">
        <v>11404</v>
      </c>
      <c r="H14994" s="40" t="s">
        <v>11404</v>
      </c>
    </row>
    <row r="14995">
      <c r="A14995" s="39"/>
      <c r="E14995" s="40" t="s">
        <v>11404</v>
      </c>
      <c r="F14995" s="40" t="s">
        <v>11404</v>
      </c>
      <c r="G14995" s="40" t="s">
        <v>11404</v>
      </c>
      <c r="H14995" s="40" t="s">
        <v>11404</v>
      </c>
    </row>
    <row r="14996">
      <c r="A14996" s="39"/>
      <c r="E14996" s="40" t="s">
        <v>11404</v>
      </c>
      <c r="F14996" s="40" t="s">
        <v>11404</v>
      </c>
      <c r="G14996" s="40" t="s">
        <v>11404</v>
      </c>
      <c r="H14996" s="40" t="s">
        <v>11404</v>
      </c>
    </row>
    <row r="14997">
      <c r="A14997" s="39"/>
      <c r="E14997" s="40" t="s">
        <v>11404</v>
      </c>
      <c r="F14997" s="40" t="s">
        <v>11404</v>
      </c>
      <c r="G14997" s="40" t="s">
        <v>11404</v>
      </c>
      <c r="H14997" s="40" t="s">
        <v>11404</v>
      </c>
    </row>
    <row r="14998">
      <c r="A14998" s="39"/>
      <c r="E14998" s="40" t="s">
        <v>11404</v>
      </c>
      <c r="F14998" s="40" t="s">
        <v>11404</v>
      </c>
      <c r="G14998" s="40" t="s">
        <v>11404</v>
      </c>
      <c r="H14998" s="40" t="s">
        <v>11404</v>
      </c>
    </row>
    <row r="14999">
      <c r="A14999" s="39"/>
      <c r="E14999" s="40" t="s">
        <v>11404</v>
      </c>
      <c r="F14999" s="40" t="s">
        <v>11404</v>
      </c>
      <c r="G14999" s="40" t="s">
        <v>11404</v>
      </c>
      <c r="H14999" s="40" t="s">
        <v>11404</v>
      </c>
    </row>
    <row r="15000">
      <c r="A15000" s="39"/>
      <c r="E15000" s="40" t="s">
        <v>11404</v>
      </c>
      <c r="F15000" s="40" t="s">
        <v>11404</v>
      </c>
      <c r="G15000" s="40" t="s">
        <v>11404</v>
      </c>
      <c r="H15000" s="40" t="s">
        <v>11404</v>
      </c>
    </row>
    <row r="15001">
      <c r="A15001" s="39"/>
      <c r="E15001" s="40" t="s">
        <v>11404</v>
      </c>
      <c r="F15001" s="40" t="s">
        <v>11404</v>
      </c>
      <c r="G15001" s="40" t="s">
        <v>11404</v>
      </c>
      <c r="H15001" s="40" t="s">
        <v>11404</v>
      </c>
    </row>
    <row r="15002">
      <c r="A15002" s="39"/>
      <c r="E15002" s="40" t="s">
        <v>11404</v>
      </c>
      <c r="F15002" s="40" t="s">
        <v>11404</v>
      </c>
      <c r="G15002" s="40" t="s">
        <v>11404</v>
      </c>
      <c r="H15002" s="40" t="s">
        <v>11404</v>
      </c>
    </row>
    <row r="15003">
      <c r="A15003" s="39"/>
      <c r="E15003" s="40" t="s">
        <v>11404</v>
      </c>
      <c r="F15003" s="40" t="s">
        <v>11404</v>
      </c>
      <c r="G15003" s="40" t="s">
        <v>11404</v>
      </c>
      <c r="H15003" s="40" t="s">
        <v>11404</v>
      </c>
    </row>
    <row r="15004">
      <c r="A15004" s="39"/>
      <c r="E15004" s="40" t="s">
        <v>11404</v>
      </c>
      <c r="F15004" s="40" t="s">
        <v>11404</v>
      </c>
      <c r="G15004" s="40" t="s">
        <v>11404</v>
      </c>
      <c r="H15004" s="40" t="s">
        <v>11404</v>
      </c>
    </row>
    <row r="15005">
      <c r="A15005" s="39"/>
      <c r="E15005" s="40" t="s">
        <v>11404</v>
      </c>
      <c r="F15005" s="40" t="s">
        <v>11404</v>
      </c>
      <c r="G15005" s="40" t="s">
        <v>11404</v>
      </c>
      <c r="H15005" s="40" t="s">
        <v>11404</v>
      </c>
    </row>
    <row r="15006">
      <c r="A15006" s="39"/>
      <c r="E15006" s="40" t="s">
        <v>11404</v>
      </c>
      <c r="F15006" s="40" t="s">
        <v>11404</v>
      </c>
      <c r="G15006" s="40" t="s">
        <v>11404</v>
      </c>
      <c r="H15006" s="40" t="s">
        <v>11404</v>
      </c>
    </row>
    <row r="15007">
      <c r="A15007" s="39"/>
      <c r="E15007" s="40" t="s">
        <v>11404</v>
      </c>
      <c r="F15007" s="40" t="s">
        <v>11404</v>
      </c>
      <c r="G15007" s="40" t="s">
        <v>11404</v>
      </c>
      <c r="H15007" s="40" t="s">
        <v>11404</v>
      </c>
    </row>
    <row r="15008">
      <c r="A15008" s="39"/>
      <c r="E15008" s="40" t="s">
        <v>11404</v>
      </c>
      <c r="F15008" s="40" t="s">
        <v>11404</v>
      </c>
      <c r="G15008" s="40" t="s">
        <v>11404</v>
      </c>
      <c r="H15008" s="40" t="s">
        <v>11404</v>
      </c>
    </row>
    <row r="15009">
      <c r="A15009" s="39"/>
      <c r="E15009" s="40" t="s">
        <v>11404</v>
      </c>
      <c r="F15009" s="40" t="s">
        <v>11404</v>
      </c>
      <c r="G15009" s="40" t="s">
        <v>11404</v>
      </c>
      <c r="H15009" s="40" t="s">
        <v>11404</v>
      </c>
    </row>
    <row r="15010">
      <c r="A15010" s="39"/>
      <c r="E15010" s="40" t="s">
        <v>11404</v>
      </c>
      <c r="F15010" s="40" t="s">
        <v>11404</v>
      </c>
      <c r="G15010" s="40" t="s">
        <v>11404</v>
      </c>
      <c r="H15010" s="40" t="s">
        <v>11404</v>
      </c>
    </row>
    <row r="15011">
      <c r="A15011" s="39"/>
      <c r="E15011" s="40" t="s">
        <v>11404</v>
      </c>
      <c r="F15011" s="40" t="s">
        <v>11404</v>
      </c>
      <c r="G15011" s="40" t="s">
        <v>11404</v>
      </c>
      <c r="H15011" s="40" t="s">
        <v>11404</v>
      </c>
    </row>
    <row r="15012">
      <c r="A15012" s="39"/>
      <c r="E15012" s="40" t="s">
        <v>11404</v>
      </c>
      <c r="F15012" s="40" t="s">
        <v>11404</v>
      </c>
      <c r="G15012" s="40" t="s">
        <v>11404</v>
      </c>
      <c r="H15012" s="40" t="s">
        <v>11404</v>
      </c>
    </row>
    <row r="15013">
      <c r="A15013" s="39"/>
      <c r="E15013" s="40" t="s">
        <v>11404</v>
      </c>
      <c r="F15013" s="40" t="s">
        <v>11404</v>
      </c>
      <c r="G15013" s="40" t="s">
        <v>11404</v>
      </c>
      <c r="H15013" s="40" t="s">
        <v>11404</v>
      </c>
    </row>
    <row r="15014">
      <c r="A15014" s="39"/>
      <c r="E15014" s="40" t="s">
        <v>11404</v>
      </c>
      <c r="F15014" s="40" t="s">
        <v>11404</v>
      </c>
      <c r="G15014" s="40" t="s">
        <v>11404</v>
      </c>
      <c r="H15014" s="40" t="s">
        <v>11404</v>
      </c>
    </row>
    <row r="15015">
      <c r="A15015" s="39"/>
      <c r="E15015" s="40" t="s">
        <v>11404</v>
      </c>
      <c r="F15015" s="40" t="s">
        <v>11404</v>
      </c>
      <c r="G15015" s="40" t="s">
        <v>11404</v>
      </c>
      <c r="H15015" s="40" t="s">
        <v>11404</v>
      </c>
    </row>
    <row r="15016">
      <c r="A15016" s="39"/>
      <c r="E15016" s="40" t="s">
        <v>11404</v>
      </c>
      <c r="F15016" s="40" t="s">
        <v>11404</v>
      </c>
      <c r="G15016" s="40" t="s">
        <v>11404</v>
      </c>
      <c r="H15016" s="40" t="s">
        <v>11404</v>
      </c>
    </row>
    <row r="15017">
      <c r="A15017" s="39"/>
      <c r="E15017" s="40" t="s">
        <v>11404</v>
      </c>
      <c r="F15017" s="40" t="s">
        <v>11404</v>
      </c>
      <c r="G15017" s="40" t="s">
        <v>11404</v>
      </c>
      <c r="H15017" s="40" t="s">
        <v>11404</v>
      </c>
    </row>
    <row r="15018">
      <c r="A15018" s="39"/>
      <c r="E15018" s="40" t="s">
        <v>11404</v>
      </c>
      <c r="F15018" s="40" t="s">
        <v>11404</v>
      </c>
      <c r="G15018" s="40" t="s">
        <v>11404</v>
      </c>
      <c r="H15018" s="40" t="s">
        <v>11404</v>
      </c>
    </row>
    <row r="15019">
      <c r="A15019" s="39"/>
      <c r="E15019" s="40" t="s">
        <v>11404</v>
      </c>
      <c r="F15019" s="40" t="s">
        <v>11404</v>
      </c>
      <c r="G15019" s="40" t="s">
        <v>11404</v>
      </c>
      <c r="H15019" s="40" t="s">
        <v>11404</v>
      </c>
    </row>
    <row r="15020">
      <c r="A15020" s="39"/>
      <c r="E15020" s="40" t="s">
        <v>11404</v>
      </c>
      <c r="F15020" s="40" t="s">
        <v>11404</v>
      </c>
      <c r="G15020" s="40" t="s">
        <v>11404</v>
      </c>
      <c r="H15020" s="40" t="s">
        <v>11404</v>
      </c>
    </row>
    <row r="15021">
      <c r="A15021" s="39"/>
      <c r="E15021" s="40" t="s">
        <v>11404</v>
      </c>
      <c r="F15021" s="40" t="s">
        <v>11404</v>
      </c>
      <c r="G15021" s="40" t="s">
        <v>11404</v>
      </c>
      <c r="H15021" s="40" t="s">
        <v>11404</v>
      </c>
    </row>
    <row r="15022">
      <c r="A15022" s="39"/>
      <c r="E15022" s="40" t="s">
        <v>11404</v>
      </c>
      <c r="F15022" s="40" t="s">
        <v>11404</v>
      </c>
      <c r="G15022" s="40" t="s">
        <v>11404</v>
      </c>
      <c r="H15022" s="40" t="s">
        <v>11404</v>
      </c>
    </row>
    <row r="15023">
      <c r="A15023" s="39"/>
      <c r="E15023" s="40" t="s">
        <v>11404</v>
      </c>
      <c r="F15023" s="40" t="s">
        <v>11404</v>
      </c>
      <c r="G15023" s="40" t="s">
        <v>11404</v>
      </c>
      <c r="H15023" s="40" t="s">
        <v>11404</v>
      </c>
    </row>
    <row r="15024">
      <c r="A15024" s="39"/>
      <c r="E15024" s="40" t="s">
        <v>11404</v>
      </c>
      <c r="F15024" s="40" t="s">
        <v>11404</v>
      </c>
      <c r="G15024" s="40" t="s">
        <v>11404</v>
      </c>
      <c r="H15024" s="40" t="s">
        <v>11404</v>
      </c>
    </row>
    <row r="15025">
      <c r="A15025" s="39"/>
      <c r="E15025" s="40" t="s">
        <v>11404</v>
      </c>
      <c r="F15025" s="40" t="s">
        <v>11404</v>
      </c>
      <c r="G15025" s="40" t="s">
        <v>11404</v>
      </c>
      <c r="H15025" s="40" t="s">
        <v>11404</v>
      </c>
    </row>
    <row r="15026">
      <c r="A15026" s="39"/>
      <c r="E15026" s="40" t="s">
        <v>11404</v>
      </c>
      <c r="F15026" s="40" t="s">
        <v>11404</v>
      </c>
      <c r="G15026" s="40" t="s">
        <v>11404</v>
      </c>
      <c r="H15026" s="40" t="s">
        <v>11404</v>
      </c>
    </row>
    <row r="15027">
      <c r="A15027" s="39"/>
      <c r="E15027" s="40" t="s">
        <v>11404</v>
      </c>
      <c r="F15027" s="40" t="s">
        <v>11404</v>
      </c>
      <c r="G15027" s="40" t="s">
        <v>11404</v>
      </c>
      <c r="H15027" s="40" t="s">
        <v>11404</v>
      </c>
    </row>
    <row r="15028">
      <c r="A15028" s="39"/>
      <c r="E15028" s="40" t="s">
        <v>11404</v>
      </c>
      <c r="F15028" s="40" t="s">
        <v>11404</v>
      </c>
      <c r="G15028" s="40" t="s">
        <v>11404</v>
      </c>
      <c r="H15028" s="40" t="s">
        <v>11404</v>
      </c>
    </row>
    <row r="15029">
      <c r="A15029" s="39"/>
      <c r="E15029" s="40" t="s">
        <v>11404</v>
      </c>
      <c r="F15029" s="40" t="s">
        <v>11404</v>
      </c>
      <c r="G15029" s="40" t="s">
        <v>11404</v>
      </c>
      <c r="H15029" s="40" t="s">
        <v>11404</v>
      </c>
    </row>
    <row r="15030">
      <c r="A15030" s="39"/>
      <c r="E15030" s="40" t="s">
        <v>11404</v>
      </c>
      <c r="F15030" s="40" t="s">
        <v>11404</v>
      </c>
      <c r="G15030" s="40" t="s">
        <v>11404</v>
      </c>
      <c r="H15030" s="40" t="s">
        <v>11404</v>
      </c>
    </row>
    <row r="15031">
      <c r="A15031" s="39"/>
      <c r="E15031" s="40" t="s">
        <v>11404</v>
      </c>
      <c r="F15031" s="40" t="s">
        <v>11404</v>
      </c>
      <c r="G15031" s="40" t="s">
        <v>11404</v>
      </c>
      <c r="H15031" s="40" t="s">
        <v>11404</v>
      </c>
    </row>
    <row r="15032">
      <c r="A15032" s="39"/>
      <c r="E15032" s="40" t="s">
        <v>11404</v>
      </c>
      <c r="F15032" s="40" t="s">
        <v>11404</v>
      </c>
      <c r="G15032" s="40" t="s">
        <v>11404</v>
      </c>
      <c r="H15032" s="40" t="s">
        <v>11404</v>
      </c>
    </row>
    <row r="15033">
      <c r="A15033" s="39"/>
      <c r="E15033" s="40" t="s">
        <v>11404</v>
      </c>
      <c r="F15033" s="40" t="s">
        <v>11404</v>
      </c>
      <c r="G15033" s="40" t="s">
        <v>11404</v>
      </c>
      <c r="H15033" s="40" t="s">
        <v>11404</v>
      </c>
    </row>
    <row r="15034">
      <c r="A15034" s="39"/>
      <c r="E15034" s="40" t="s">
        <v>11404</v>
      </c>
      <c r="F15034" s="40" t="s">
        <v>11404</v>
      </c>
      <c r="G15034" s="40" t="s">
        <v>11404</v>
      </c>
      <c r="H15034" s="40" t="s">
        <v>11404</v>
      </c>
    </row>
    <row r="15035">
      <c r="A15035" s="39"/>
      <c r="E15035" s="40" t="s">
        <v>11404</v>
      </c>
      <c r="F15035" s="40" t="s">
        <v>11404</v>
      </c>
      <c r="G15035" s="40" t="s">
        <v>11404</v>
      </c>
      <c r="H15035" s="40" t="s">
        <v>11404</v>
      </c>
    </row>
    <row r="15036">
      <c r="A15036" s="39"/>
      <c r="E15036" s="40" t="s">
        <v>11404</v>
      </c>
      <c r="F15036" s="40" t="s">
        <v>11404</v>
      </c>
      <c r="G15036" s="40" t="s">
        <v>11404</v>
      </c>
      <c r="H15036" s="40" t="s">
        <v>11404</v>
      </c>
    </row>
    <row r="15037">
      <c r="A15037" s="39"/>
      <c r="E15037" s="40" t="s">
        <v>11404</v>
      </c>
      <c r="F15037" s="40" t="s">
        <v>11404</v>
      </c>
      <c r="G15037" s="40" t="s">
        <v>11404</v>
      </c>
      <c r="H15037" s="40" t="s">
        <v>11404</v>
      </c>
    </row>
    <row r="15038">
      <c r="A15038" s="39"/>
      <c r="E15038" s="40" t="s">
        <v>11404</v>
      </c>
      <c r="F15038" s="40" t="s">
        <v>11404</v>
      </c>
      <c r="G15038" s="40" t="s">
        <v>11404</v>
      </c>
      <c r="H15038" s="40" t="s">
        <v>11404</v>
      </c>
    </row>
    <row r="15039">
      <c r="A15039" s="39"/>
      <c r="E15039" s="40" t="s">
        <v>11404</v>
      </c>
      <c r="F15039" s="40" t="s">
        <v>11404</v>
      </c>
      <c r="G15039" s="40" t="s">
        <v>11404</v>
      </c>
      <c r="H15039" s="40" t="s">
        <v>11404</v>
      </c>
    </row>
    <row r="15040">
      <c r="A15040" s="39"/>
      <c r="E15040" s="40" t="s">
        <v>11404</v>
      </c>
      <c r="F15040" s="40" t="s">
        <v>11404</v>
      </c>
      <c r="G15040" s="40" t="s">
        <v>11404</v>
      </c>
      <c r="H15040" s="40" t="s">
        <v>11404</v>
      </c>
    </row>
    <row r="15041">
      <c r="A15041" s="39"/>
      <c r="E15041" s="40" t="s">
        <v>11404</v>
      </c>
      <c r="F15041" s="40" t="s">
        <v>11404</v>
      </c>
      <c r="G15041" s="40" t="s">
        <v>11404</v>
      </c>
      <c r="H15041" s="40" t="s">
        <v>11404</v>
      </c>
    </row>
    <row r="15042">
      <c r="A15042" s="39"/>
      <c r="E15042" s="40" t="s">
        <v>11404</v>
      </c>
      <c r="F15042" s="40" t="s">
        <v>11404</v>
      </c>
      <c r="G15042" s="40" t="s">
        <v>11404</v>
      </c>
      <c r="H15042" s="40" t="s">
        <v>11404</v>
      </c>
    </row>
    <row r="15043">
      <c r="A15043" s="39"/>
      <c r="E15043" s="40" t="s">
        <v>11404</v>
      </c>
      <c r="F15043" s="40" t="s">
        <v>11404</v>
      </c>
      <c r="G15043" s="40" t="s">
        <v>11404</v>
      </c>
      <c r="H15043" s="40" t="s">
        <v>11404</v>
      </c>
    </row>
    <row r="15044">
      <c r="A15044" s="39"/>
      <c r="E15044" s="40" t="s">
        <v>11404</v>
      </c>
      <c r="F15044" s="40" t="s">
        <v>11404</v>
      </c>
      <c r="G15044" s="40" t="s">
        <v>11404</v>
      </c>
      <c r="H15044" s="40" t="s">
        <v>11404</v>
      </c>
    </row>
    <row r="15045">
      <c r="A15045" s="39"/>
      <c r="E15045" s="40" t="s">
        <v>11404</v>
      </c>
      <c r="F15045" s="40" t="s">
        <v>11404</v>
      </c>
      <c r="G15045" s="40" t="s">
        <v>11404</v>
      </c>
      <c r="H15045" s="40" t="s">
        <v>11404</v>
      </c>
    </row>
    <row r="15046">
      <c r="A15046" s="39"/>
      <c r="E15046" s="40" t="s">
        <v>11404</v>
      </c>
      <c r="F15046" s="40" t="s">
        <v>11404</v>
      </c>
      <c r="G15046" s="40" t="s">
        <v>11404</v>
      </c>
      <c r="H15046" s="40" t="s">
        <v>11404</v>
      </c>
    </row>
    <row r="15047">
      <c r="A15047" s="39"/>
      <c r="E15047" s="40" t="s">
        <v>11404</v>
      </c>
      <c r="F15047" s="40" t="s">
        <v>11404</v>
      </c>
      <c r="G15047" s="40" t="s">
        <v>11404</v>
      </c>
      <c r="H15047" s="40" t="s">
        <v>11404</v>
      </c>
    </row>
    <row r="15048">
      <c r="A15048" s="39"/>
      <c r="E15048" s="40" t="s">
        <v>11404</v>
      </c>
      <c r="F15048" s="40" t="s">
        <v>11404</v>
      </c>
      <c r="G15048" s="40" t="s">
        <v>11404</v>
      </c>
      <c r="H15048" s="40" t="s">
        <v>11404</v>
      </c>
    </row>
    <row r="15049">
      <c r="A15049" s="39"/>
      <c r="E15049" s="40" t="s">
        <v>11404</v>
      </c>
      <c r="F15049" s="40" t="s">
        <v>11404</v>
      </c>
      <c r="G15049" s="40" t="s">
        <v>11404</v>
      </c>
      <c r="H15049" s="40" t="s">
        <v>11404</v>
      </c>
    </row>
    <row r="15050">
      <c r="A15050" s="39"/>
      <c r="E15050" s="40" t="s">
        <v>11404</v>
      </c>
      <c r="F15050" s="40" t="s">
        <v>11404</v>
      </c>
      <c r="G15050" s="40" t="s">
        <v>11404</v>
      </c>
      <c r="H15050" s="40" t="s">
        <v>11404</v>
      </c>
    </row>
    <row r="15051">
      <c r="A15051" s="39"/>
      <c r="E15051" s="40" t="s">
        <v>11404</v>
      </c>
      <c r="F15051" s="40" t="s">
        <v>11404</v>
      </c>
      <c r="G15051" s="40" t="s">
        <v>11404</v>
      </c>
      <c r="H15051" s="40" t="s">
        <v>11404</v>
      </c>
    </row>
    <row r="15052">
      <c r="A15052" s="39"/>
      <c r="E15052" s="40" t="s">
        <v>11404</v>
      </c>
      <c r="F15052" s="40" t="s">
        <v>11404</v>
      </c>
      <c r="G15052" s="40" t="s">
        <v>11404</v>
      </c>
      <c r="H15052" s="40" t="s">
        <v>11404</v>
      </c>
    </row>
    <row r="15053">
      <c r="A15053" s="39"/>
      <c r="E15053" s="40" t="s">
        <v>11404</v>
      </c>
      <c r="F15053" s="40" t="s">
        <v>11404</v>
      </c>
      <c r="G15053" s="40" t="s">
        <v>11404</v>
      </c>
      <c r="H15053" s="40" t="s">
        <v>11404</v>
      </c>
    </row>
    <row r="15054">
      <c r="A15054" s="39"/>
      <c r="E15054" s="40" t="s">
        <v>11404</v>
      </c>
      <c r="F15054" s="40" t="s">
        <v>11404</v>
      </c>
      <c r="G15054" s="40" t="s">
        <v>11404</v>
      </c>
      <c r="H15054" s="40" t="s">
        <v>11404</v>
      </c>
    </row>
    <row r="15055">
      <c r="A15055" s="39"/>
      <c r="E15055" s="40" t="s">
        <v>11404</v>
      </c>
      <c r="F15055" s="40" t="s">
        <v>11404</v>
      </c>
      <c r="G15055" s="40" t="s">
        <v>11404</v>
      </c>
      <c r="H15055" s="40" t="s">
        <v>11404</v>
      </c>
    </row>
    <row r="15056">
      <c r="A15056" s="39"/>
      <c r="E15056" s="40" t="s">
        <v>11404</v>
      </c>
      <c r="F15056" s="40" t="s">
        <v>11404</v>
      </c>
      <c r="G15056" s="40" t="s">
        <v>11404</v>
      </c>
      <c r="H15056" s="40" t="s">
        <v>11404</v>
      </c>
    </row>
    <row r="15057">
      <c r="A15057" s="39"/>
      <c r="E15057" s="40" t="s">
        <v>11404</v>
      </c>
      <c r="F15057" s="40" t="s">
        <v>11404</v>
      </c>
      <c r="G15057" s="40" t="s">
        <v>11404</v>
      </c>
      <c r="H15057" s="40" t="s">
        <v>11404</v>
      </c>
    </row>
    <row r="15058">
      <c r="A15058" s="39"/>
      <c r="E15058" s="40" t="s">
        <v>11404</v>
      </c>
      <c r="F15058" s="40" t="s">
        <v>11404</v>
      </c>
      <c r="G15058" s="40" t="s">
        <v>11404</v>
      </c>
      <c r="H15058" s="40" t="s">
        <v>11404</v>
      </c>
    </row>
    <row r="15059">
      <c r="A15059" s="39"/>
      <c r="E15059" s="40" t="s">
        <v>11404</v>
      </c>
      <c r="F15059" s="40" t="s">
        <v>11404</v>
      </c>
      <c r="G15059" s="40" t="s">
        <v>11404</v>
      </c>
      <c r="H15059" s="40" t="s">
        <v>11404</v>
      </c>
    </row>
    <row r="15060">
      <c r="A15060" s="39"/>
      <c r="E15060" s="40" t="s">
        <v>11404</v>
      </c>
      <c r="F15060" s="40" t="s">
        <v>11404</v>
      </c>
      <c r="G15060" s="40" t="s">
        <v>11404</v>
      </c>
      <c r="H15060" s="40" t="s">
        <v>11404</v>
      </c>
    </row>
    <row r="15061">
      <c r="A15061" s="39"/>
      <c r="E15061" s="40" t="s">
        <v>11404</v>
      </c>
      <c r="F15061" s="40" t="s">
        <v>11404</v>
      </c>
      <c r="G15061" s="40" t="s">
        <v>11404</v>
      </c>
      <c r="H15061" s="40" t="s">
        <v>11404</v>
      </c>
    </row>
    <row r="15062">
      <c r="A15062" s="39"/>
      <c r="E15062" s="40" t="s">
        <v>11404</v>
      </c>
      <c r="F15062" s="40" t="s">
        <v>11404</v>
      </c>
      <c r="G15062" s="40" t="s">
        <v>11404</v>
      </c>
      <c r="H15062" s="40" t="s">
        <v>11404</v>
      </c>
    </row>
    <row r="15063">
      <c r="A15063" s="39"/>
      <c r="E15063" s="40" t="s">
        <v>11404</v>
      </c>
      <c r="F15063" s="40" t="s">
        <v>11404</v>
      </c>
      <c r="G15063" s="40" t="s">
        <v>11404</v>
      </c>
      <c r="H15063" s="40" t="s">
        <v>11404</v>
      </c>
    </row>
    <row r="15064">
      <c r="A15064" s="39"/>
      <c r="E15064" s="40" t="s">
        <v>11404</v>
      </c>
      <c r="F15064" s="40" t="s">
        <v>11404</v>
      </c>
      <c r="G15064" s="40" t="s">
        <v>11404</v>
      </c>
      <c r="H15064" s="40" t="s">
        <v>11404</v>
      </c>
    </row>
    <row r="15065">
      <c r="A15065" s="39"/>
      <c r="E15065" s="40" t="s">
        <v>11404</v>
      </c>
      <c r="F15065" s="40" t="s">
        <v>11404</v>
      </c>
      <c r="G15065" s="40" t="s">
        <v>11404</v>
      </c>
      <c r="H15065" s="40" t="s">
        <v>11404</v>
      </c>
    </row>
    <row r="15066">
      <c r="A15066" s="39"/>
      <c r="E15066" s="40" t="s">
        <v>11404</v>
      </c>
      <c r="F15066" s="40" t="s">
        <v>11404</v>
      </c>
      <c r="G15066" s="40" t="s">
        <v>11404</v>
      </c>
      <c r="H15066" s="40" t="s">
        <v>11404</v>
      </c>
    </row>
    <row r="15067">
      <c r="A15067" s="39"/>
      <c r="E15067" s="40" t="s">
        <v>11404</v>
      </c>
      <c r="F15067" s="40" t="s">
        <v>11404</v>
      </c>
      <c r="G15067" s="40" t="s">
        <v>11404</v>
      </c>
      <c r="H15067" s="40" t="s">
        <v>11404</v>
      </c>
    </row>
    <row r="15068">
      <c r="A15068" s="39"/>
      <c r="E15068" s="40" t="s">
        <v>11404</v>
      </c>
      <c r="F15068" s="40" t="s">
        <v>11404</v>
      </c>
      <c r="G15068" s="40" t="s">
        <v>11404</v>
      </c>
      <c r="H15068" s="40" t="s">
        <v>11404</v>
      </c>
    </row>
    <row r="15069">
      <c r="A15069" s="39"/>
      <c r="E15069" s="40" t="s">
        <v>11404</v>
      </c>
      <c r="F15069" s="40" t="s">
        <v>11404</v>
      </c>
      <c r="G15069" s="40" t="s">
        <v>11404</v>
      </c>
      <c r="H15069" s="40" t="s">
        <v>11404</v>
      </c>
    </row>
    <row r="15070">
      <c r="A15070" s="39"/>
      <c r="E15070" s="40" t="s">
        <v>11404</v>
      </c>
      <c r="F15070" s="40" t="s">
        <v>11404</v>
      </c>
      <c r="G15070" s="40" t="s">
        <v>11404</v>
      </c>
      <c r="H15070" s="40" t="s">
        <v>11404</v>
      </c>
    </row>
    <row r="15071">
      <c r="A15071" s="39"/>
      <c r="E15071" s="40" t="s">
        <v>11404</v>
      </c>
      <c r="F15071" s="40" t="s">
        <v>11404</v>
      </c>
      <c r="G15071" s="40" t="s">
        <v>11404</v>
      </c>
      <c r="H15071" s="40" t="s">
        <v>11404</v>
      </c>
    </row>
    <row r="15072">
      <c r="A15072" s="39"/>
      <c r="E15072" s="40" t="s">
        <v>11404</v>
      </c>
      <c r="F15072" s="40" t="s">
        <v>11404</v>
      </c>
      <c r="G15072" s="40" t="s">
        <v>11404</v>
      </c>
      <c r="H15072" s="40" t="s">
        <v>11404</v>
      </c>
    </row>
    <row r="15073">
      <c r="A15073" s="39"/>
      <c r="E15073" s="40" t="s">
        <v>11404</v>
      </c>
      <c r="F15073" s="40" t="s">
        <v>11404</v>
      </c>
      <c r="G15073" s="40" t="s">
        <v>11404</v>
      </c>
      <c r="H15073" s="40" t="s">
        <v>11404</v>
      </c>
    </row>
    <row r="15074">
      <c r="A15074" s="39"/>
      <c r="E15074" s="40" t="s">
        <v>11404</v>
      </c>
      <c r="F15074" s="40" t="s">
        <v>11404</v>
      </c>
      <c r="G15074" s="40" t="s">
        <v>11404</v>
      </c>
      <c r="H15074" s="40" t="s">
        <v>11404</v>
      </c>
    </row>
    <row r="15075">
      <c r="A15075" s="39"/>
      <c r="E15075" s="40" t="s">
        <v>11404</v>
      </c>
      <c r="F15075" s="40" t="s">
        <v>11404</v>
      </c>
      <c r="G15075" s="40" t="s">
        <v>11404</v>
      </c>
      <c r="H15075" s="40" t="s">
        <v>11404</v>
      </c>
    </row>
    <row r="15076">
      <c r="A15076" s="39"/>
      <c r="E15076" s="40" t="s">
        <v>11404</v>
      </c>
      <c r="F15076" s="40" t="s">
        <v>11404</v>
      </c>
      <c r="G15076" s="40" t="s">
        <v>11404</v>
      </c>
      <c r="H15076" s="40" t="s">
        <v>11404</v>
      </c>
    </row>
    <row r="15077">
      <c r="A15077" s="39"/>
      <c r="E15077" s="40" t="s">
        <v>11404</v>
      </c>
      <c r="F15077" s="40" t="s">
        <v>11404</v>
      </c>
      <c r="G15077" s="40" t="s">
        <v>11404</v>
      </c>
      <c r="H15077" s="40" t="s">
        <v>11404</v>
      </c>
    </row>
    <row r="15078">
      <c r="A15078" s="39"/>
      <c r="E15078" s="40" t="s">
        <v>11404</v>
      </c>
      <c r="F15078" s="40" t="s">
        <v>11404</v>
      </c>
      <c r="G15078" s="40" t="s">
        <v>11404</v>
      </c>
      <c r="H15078" s="40" t="s">
        <v>11404</v>
      </c>
    </row>
    <row r="15079">
      <c r="A15079" s="39"/>
      <c r="E15079" s="40" t="s">
        <v>11404</v>
      </c>
      <c r="F15079" s="40" t="s">
        <v>11404</v>
      </c>
      <c r="G15079" s="40" t="s">
        <v>11404</v>
      </c>
      <c r="H15079" s="40" t="s">
        <v>11404</v>
      </c>
    </row>
    <row r="15080">
      <c r="A15080" s="39"/>
      <c r="E15080" s="40" t="s">
        <v>11404</v>
      </c>
      <c r="F15080" s="40" t="s">
        <v>11404</v>
      </c>
      <c r="G15080" s="40" t="s">
        <v>11404</v>
      </c>
      <c r="H15080" s="40" t="s">
        <v>11404</v>
      </c>
    </row>
    <row r="15081">
      <c r="A15081" s="39"/>
      <c r="E15081" s="40" t="s">
        <v>11404</v>
      </c>
      <c r="F15081" s="40" t="s">
        <v>11404</v>
      </c>
      <c r="G15081" s="40" t="s">
        <v>11404</v>
      </c>
      <c r="H15081" s="40" t="s">
        <v>11404</v>
      </c>
    </row>
    <row r="15082">
      <c r="A15082" s="39"/>
      <c r="E15082" s="40" t="s">
        <v>11404</v>
      </c>
      <c r="F15082" s="40" t="s">
        <v>11404</v>
      </c>
      <c r="G15082" s="40" t="s">
        <v>11404</v>
      </c>
      <c r="H15082" s="40" t="s">
        <v>11404</v>
      </c>
    </row>
    <row r="15083">
      <c r="A15083" s="39"/>
      <c r="E15083" s="40" t="s">
        <v>11404</v>
      </c>
      <c r="F15083" s="40" t="s">
        <v>11404</v>
      </c>
      <c r="G15083" s="40" t="s">
        <v>11404</v>
      </c>
      <c r="H15083" s="40" t="s">
        <v>11404</v>
      </c>
    </row>
    <row r="15084">
      <c r="A15084" s="39"/>
      <c r="E15084" s="40" t="s">
        <v>11404</v>
      </c>
      <c r="F15084" s="40" t="s">
        <v>11404</v>
      </c>
      <c r="G15084" s="40" t="s">
        <v>11404</v>
      </c>
      <c r="H15084" s="40" t="s">
        <v>11404</v>
      </c>
    </row>
    <row r="15085">
      <c r="A15085" s="39"/>
      <c r="E15085" s="40" t="s">
        <v>11404</v>
      </c>
      <c r="F15085" s="40" t="s">
        <v>11404</v>
      </c>
      <c r="G15085" s="40" t="s">
        <v>11404</v>
      </c>
      <c r="H15085" s="40" t="s">
        <v>11404</v>
      </c>
    </row>
    <row r="15086">
      <c r="A15086" s="39"/>
      <c r="E15086" s="40" t="s">
        <v>11404</v>
      </c>
      <c r="F15086" s="40" t="s">
        <v>11404</v>
      </c>
      <c r="G15086" s="40" t="s">
        <v>11404</v>
      </c>
      <c r="H15086" s="40" t="s">
        <v>11404</v>
      </c>
    </row>
    <row r="15087">
      <c r="A15087" s="39"/>
      <c r="E15087" s="40" t="s">
        <v>11404</v>
      </c>
      <c r="F15087" s="40" t="s">
        <v>11404</v>
      </c>
      <c r="G15087" s="40" t="s">
        <v>11404</v>
      </c>
      <c r="H15087" s="40" t="s">
        <v>11404</v>
      </c>
    </row>
    <row r="15088">
      <c r="A15088" s="39"/>
      <c r="E15088" s="40" t="s">
        <v>11404</v>
      </c>
      <c r="F15088" s="40" t="s">
        <v>11404</v>
      </c>
      <c r="G15088" s="40" t="s">
        <v>11404</v>
      </c>
      <c r="H15088" s="40" t="s">
        <v>11404</v>
      </c>
    </row>
    <row r="15089">
      <c r="A15089" s="39"/>
      <c r="E15089" s="40" t="s">
        <v>11404</v>
      </c>
      <c r="F15089" s="40" t="s">
        <v>11404</v>
      </c>
      <c r="G15089" s="40" t="s">
        <v>11404</v>
      </c>
      <c r="H15089" s="40" t="s">
        <v>11404</v>
      </c>
    </row>
    <row r="15090">
      <c r="A15090" s="39"/>
      <c r="E15090" s="40" t="s">
        <v>11404</v>
      </c>
      <c r="F15090" s="40" t="s">
        <v>11404</v>
      </c>
      <c r="G15090" s="40" t="s">
        <v>11404</v>
      </c>
      <c r="H15090" s="40" t="s">
        <v>11404</v>
      </c>
    </row>
    <row r="15091">
      <c r="A15091" s="39"/>
      <c r="E15091" s="40" t="s">
        <v>11404</v>
      </c>
      <c r="F15091" s="40" t="s">
        <v>11404</v>
      </c>
      <c r="G15091" s="40" t="s">
        <v>11404</v>
      </c>
      <c r="H15091" s="40" t="s">
        <v>11404</v>
      </c>
    </row>
    <row r="15092">
      <c r="A15092" s="39"/>
      <c r="E15092" s="40" t="s">
        <v>11404</v>
      </c>
      <c r="F15092" s="40" t="s">
        <v>11404</v>
      </c>
      <c r="G15092" s="40" t="s">
        <v>11404</v>
      </c>
      <c r="H15092" s="40" t="s">
        <v>11404</v>
      </c>
    </row>
    <row r="15093">
      <c r="A15093" s="39"/>
      <c r="E15093" s="40" t="s">
        <v>11404</v>
      </c>
      <c r="F15093" s="40" t="s">
        <v>11404</v>
      </c>
      <c r="G15093" s="40" t="s">
        <v>11404</v>
      </c>
      <c r="H15093" s="40" t="s">
        <v>11404</v>
      </c>
    </row>
    <row r="15094">
      <c r="A15094" s="39"/>
      <c r="E15094" s="40" t="s">
        <v>11404</v>
      </c>
      <c r="F15094" s="40" t="s">
        <v>11404</v>
      </c>
      <c r="G15094" s="40" t="s">
        <v>11404</v>
      </c>
      <c r="H15094" s="40" t="s">
        <v>11404</v>
      </c>
    </row>
    <row r="15095">
      <c r="A15095" s="39"/>
      <c r="E15095" s="40" t="s">
        <v>11404</v>
      </c>
      <c r="F15095" s="40" t="s">
        <v>11404</v>
      </c>
      <c r="G15095" s="40" t="s">
        <v>11404</v>
      </c>
      <c r="H15095" s="40" t="s">
        <v>11404</v>
      </c>
    </row>
    <row r="15096">
      <c r="A15096" s="39"/>
      <c r="E15096" s="40" t="s">
        <v>11404</v>
      </c>
      <c r="F15096" s="40" t="s">
        <v>11404</v>
      </c>
      <c r="G15096" s="40" t="s">
        <v>11404</v>
      </c>
      <c r="H15096" s="40" t="s">
        <v>11404</v>
      </c>
    </row>
    <row r="15097">
      <c r="A15097" s="39"/>
      <c r="E15097" s="40" t="s">
        <v>11404</v>
      </c>
      <c r="F15097" s="40" t="s">
        <v>11404</v>
      </c>
      <c r="G15097" s="40" t="s">
        <v>11404</v>
      </c>
      <c r="H15097" s="40" t="s">
        <v>11404</v>
      </c>
    </row>
    <row r="15098">
      <c r="A15098" s="39"/>
      <c r="E15098" s="40" t="s">
        <v>11404</v>
      </c>
      <c r="F15098" s="40" t="s">
        <v>11404</v>
      </c>
      <c r="G15098" s="40" t="s">
        <v>11404</v>
      </c>
      <c r="H15098" s="40" t="s">
        <v>11404</v>
      </c>
    </row>
    <row r="15099">
      <c r="A15099" s="39"/>
      <c r="E15099" s="40" t="s">
        <v>11404</v>
      </c>
      <c r="F15099" s="40" t="s">
        <v>11404</v>
      </c>
      <c r="G15099" s="40" t="s">
        <v>11404</v>
      </c>
      <c r="H15099" s="40" t="s">
        <v>11404</v>
      </c>
    </row>
    <row r="15100">
      <c r="A15100" s="39"/>
      <c r="E15100" s="40" t="s">
        <v>11404</v>
      </c>
      <c r="F15100" s="40" t="s">
        <v>11404</v>
      </c>
      <c r="G15100" s="40" t="s">
        <v>11404</v>
      </c>
      <c r="H15100" s="40" t="s">
        <v>11404</v>
      </c>
    </row>
    <row r="15101">
      <c r="A15101" s="39"/>
      <c r="E15101" s="40" t="s">
        <v>11404</v>
      </c>
      <c r="F15101" s="40" t="s">
        <v>11404</v>
      </c>
      <c r="G15101" s="40" t="s">
        <v>11404</v>
      </c>
      <c r="H15101" s="40" t="s">
        <v>11404</v>
      </c>
    </row>
    <row r="15102">
      <c r="A15102" s="39"/>
      <c r="E15102" s="40" t="s">
        <v>11404</v>
      </c>
      <c r="F15102" s="40" t="s">
        <v>11404</v>
      </c>
      <c r="G15102" s="40" t="s">
        <v>11404</v>
      </c>
      <c r="H15102" s="40" t="s">
        <v>11404</v>
      </c>
    </row>
    <row r="15103">
      <c r="A15103" s="39"/>
      <c r="E15103" s="40" t="s">
        <v>11404</v>
      </c>
      <c r="F15103" s="40" t="s">
        <v>11404</v>
      </c>
      <c r="G15103" s="40" t="s">
        <v>11404</v>
      </c>
      <c r="H15103" s="40" t="s">
        <v>11404</v>
      </c>
    </row>
    <row r="15104">
      <c r="A15104" s="39"/>
      <c r="E15104" s="40" t="s">
        <v>11404</v>
      </c>
      <c r="F15104" s="40" t="s">
        <v>11404</v>
      </c>
      <c r="G15104" s="40" t="s">
        <v>11404</v>
      </c>
      <c r="H15104" s="40" t="s">
        <v>11404</v>
      </c>
    </row>
    <row r="15105">
      <c r="A15105" s="39"/>
      <c r="E15105" s="40" t="s">
        <v>11404</v>
      </c>
      <c r="F15105" s="40" t="s">
        <v>11404</v>
      </c>
      <c r="G15105" s="40" t="s">
        <v>11404</v>
      </c>
      <c r="H15105" s="40" t="s">
        <v>11404</v>
      </c>
    </row>
    <row r="15106">
      <c r="A15106" s="39"/>
      <c r="E15106" s="40" t="s">
        <v>11404</v>
      </c>
      <c r="F15106" s="40" t="s">
        <v>11404</v>
      </c>
      <c r="G15106" s="40" t="s">
        <v>11404</v>
      </c>
      <c r="H15106" s="40" t="s">
        <v>11404</v>
      </c>
    </row>
    <row r="15107">
      <c r="A15107" s="39"/>
      <c r="E15107" s="40" t="s">
        <v>11404</v>
      </c>
      <c r="F15107" s="40" t="s">
        <v>11404</v>
      </c>
      <c r="G15107" s="40" t="s">
        <v>11404</v>
      </c>
      <c r="H15107" s="40" t="s">
        <v>11404</v>
      </c>
    </row>
    <row r="15108">
      <c r="A15108" s="39"/>
      <c r="E15108" s="40" t="s">
        <v>11404</v>
      </c>
      <c r="F15108" s="40" t="s">
        <v>11404</v>
      </c>
      <c r="G15108" s="40" t="s">
        <v>11404</v>
      </c>
      <c r="H15108" s="40" t="s">
        <v>11404</v>
      </c>
    </row>
    <row r="15109">
      <c r="A15109" s="39"/>
      <c r="E15109" s="40" t="s">
        <v>11404</v>
      </c>
      <c r="F15109" s="40" t="s">
        <v>11404</v>
      </c>
      <c r="G15109" s="40" t="s">
        <v>11404</v>
      </c>
      <c r="H15109" s="40" t="s">
        <v>11404</v>
      </c>
    </row>
    <row r="15110">
      <c r="A15110" s="39"/>
      <c r="E15110" s="40" t="s">
        <v>11404</v>
      </c>
      <c r="F15110" s="40" t="s">
        <v>11404</v>
      </c>
      <c r="G15110" s="40" t="s">
        <v>11404</v>
      </c>
      <c r="H15110" s="40" t="s">
        <v>11404</v>
      </c>
    </row>
    <row r="15111">
      <c r="A15111" s="39"/>
      <c r="E15111" s="40" t="s">
        <v>11404</v>
      </c>
      <c r="F15111" s="40" t="s">
        <v>11404</v>
      </c>
      <c r="G15111" s="40" t="s">
        <v>11404</v>
      </c>
      <c r="H15111" s="40" t="s">
        <v>11404</v>
      </c>
    </row>
    <row r="15112">
      <c r="A15112" s="39"/>
      <c r="E15112" s="40" t="s">
        <v>11404</v>
      </c>
      <c r="F15112" s="40" t="s">
        <v>11404</v>
      </c>
      <c r="G15112" s="40" t="s">
        <v>11404</v>
      </c>
      <c r="H15112" s="40" t="s">
        <v>11404</v>
      </c>
    </row>
    <row r="15113">
      <c r="A15113" s="39"/>
      <c r="E15113" s="40" t="s">
        <v>11404</v>
      </c>
      <c r="F15113" s="40" t="s">
        <v>11404</v>
      </c>
      <c r="G15113" s="40" t="s">
        <v>11404</v>
      </c>
      <c r="H15113" s="40" t="s">
        <v>11404</v>
      </c>
    </row>
    <row r="15114">
      <c r="A15114" s="39"/>
      <c r="E15114" s="40" t="s">
        <v>11404</v>
      </c>
      <c r="F15114" s="40" t="s">
        <v>11404</v>
      </c>
      <c r="G15114" s="40" t="s">
        <v>11404</v>
      </c>
      <c r="H15114" s="40" t="s">
        <v>11404</v>
      </c>
    </row>
    <row r="15115">
      <c r="A15115" s="39"/>
      <c r="E15115" s="40" t="s">
        <v>11404</v>
      </c>
      <c r="F15115" s="40" t="s">
        <v>11404</v>
      </c>
      <c r="G15115" s="40" t="s">
        <v>11404</v>
      </c>
      <c r="H15115" s="40" t="s">
        <v>11404</v>
      </c>
    </row>
    <row r="15116">
      <c r="A15116" s="39"/>
      <c r="E15116" s="40" t="s">
        <v>11404</v>
      </c>
      <c r="F15116" s="40" t="s">
        <v>11404</v>
      </c>
      <c r="G15116" s="40" t="s">
        <v>11404</v>
      </c>
      <c r="H15116" s="40" t="s">
        <v>11404</v>
      </c>
    </row>
    <row r="15117">
      <c r="A15117" s="39"/>
      <c r="E15117" s="40" t="s">
        <v>11404</v>
      </c>
      <c r="F15117" s="40" t="s">
        <v>11404</v>
      </c>
      <c r="G15117" s="40" t="s">
        <v>11404</v>
      </c>
      <c r="H15117" s="40" t="s">
        <v>11404</v>
      </c>
    </row>
    <row r="15118">
      <c r="A15118" s="39"/>
      <c r="E15118" s="40" t="s">
        <v>11404</v>
      </c>
      <c r="F15118" s="40" t="s">
        <v>11404</v>
      </c>
      <c r="G15118" s="40" t="s">
        <v>11404</v>
      </c>
      <c r="H15118" s="40" t="s">
        <v>11404</v>
      </c>
    </row>
    <row r="15119">
      <c r="A15119" s="39"/>
      <c r="E15119" s="40" t="s">
        <v>11404</v>
      </c>
      <c r="F15119" s="40" t="s">
        <v>11404</v>
      </c>
      <c r="G15119" s="40" t="s">
        <v>11404</v>
      </c>
      <c r="H15119" s="40" t="s">
        <v>11404</v>
      </c>
    </row>
    <row r="15120">
      <c r="A15120" s="39"/>
      <c r="E15120" s="40" t="s">
        <v>11404</v>
      </c>
      <c r="F15120" s="40" t="s">
        <v>11404</v>
      </c>
      <c r="G15120" s="40" t="s">
        <v>11404</v>
      </c>
      <c r="H15120" s="40" t="s">
        <v>11404</v>
      </c>
    </row>
    <row r="15121">
      <c r="A15121" s="39"/>
      <c r="E15121" s="40" t="s">
        <v>11404</v>
      </c>
      <c r="F15121" s="40" t="s">
        <v>11404</v>
      </c>
      <c r="G15121" s="40" t="s">
        <v>11404</v>
      </c>
      <c r="H15121" s="40" t="s">
        <v>11404</v>
      </c>
    </row>
    <row r="15122">
      <c r="A15122" s="39"/>
      <c r="E15122" s="40" t="s">
        <v>11404</v>
      </c>
      <c r="F15122" s="40" t="s">
        <v>11404</v>
      </c>
      <c r="G15122" s="40" t="s">
        <v>11404</v>
      </c>
      <c r="H15122" s="40" t="s">
        <v>11404</v>
      </c>
    </row>
    <row r="15123">
      <c r="A15123" s="39"/>
      <c r="E15123" s="40" t="s">
        <v>11404</v>
      </c>
      <c r="F15123" s="40" t="s">
        <v>11404</v>
      </c>
      <c r="G15123" s="40" t="s">
        <v>11404</v>
      </c>
      <c r="H15123" s="40" t="s">
        <v>11404</v>
      </c>
    </row>
    <row r="15124">
      <c r="A15124" s="39"/>
      <c r="E15124" s="40" t="s">
        <v>11404</v>
      </c>
      <c r="F15124" s="40" t="s">
        <v>11404</v>
      </c>
      <c r="G15124" s="40" t="s">
        <v>11404</v>
      </c>
      <c r="H15124" s="40" t="s">
        <v>11404</v>
      </c>
    </row>
    <row r="15125">
      <c r="A15125" s="39"/>
      <c r="E15125" s="40" t="s">
        <v>11404</v>
      </c>
      <c r="F15125" s="40" t="s">
        <v>11404</v>
      </c>
      <c r="G15125" s="40" t="s">
        <v>11404</v>
      </c>
      <c r="H15125" s="40" t="s">
        <v>11404</v>
      </c>
    </row>
    <row r="15126">
      <c r="A15126" s="39"/>
      <c r="E15126" s="40" t="s">
        <v>11404</v>
      </c>
      <c r="F15126" s="40" t="s">
        <v>11404</v>
      </c>
      <c r="G15126" s="40" t="s">
        <v>11404</v>
      </c>
      <c r="H15126" s="40" t="s">
        <v>11404</v>
      </c>
    </row>
    <row r="15127">
      <c r="A15127" s="39"/>
      <c r="E15127" s="40" t="s">
        <v>11404</v>
      </c>
      <c r="F15127" s="40" t="s">
        <v>11404</v>
      </c>
      <c r="G15127" s="40" t="s">
        <v>11404</v>
      </c>
      <c r="H15127" s="40" t="s">
        <v>11404</v>
      </c>
    </row>
    <row r="15128">
      <c r="A15128" s="39"/>
      <c r="E15128" s="40" t="s">
        <v>11404</v>
      </c>
      <c r="F15128" s="40" t="s">
        <v>11404</v>
      </c>
      <c r="G15128" s="40" t="s">
        <v>11404</v>
      </c>
      <c r="H15128" s="40" t="s">
        <v>11404</v>
      </c>
    </row>
    <row r="15129">
      <c r="A15129" s="39"/>
      <c r="E15129" s="40" t="s">
        <v>11404</v>
      </c>
      <c r="F15129" s="40" t="s">
        <v>11404</v>
      </c>
      <c r="G15129" s="40" t="s">
        <v>11404</v>
      </c>
      <c r="H15129" s="40" t="s">
        <v>11404</v>
      </c>
    </row>
    <row r="15130">
      <c r="A15130" s="39"/>
      <c r="E15130" s="40" t="s">
        <v>11404</v>
      </c>
      <c r="F15130" s="40" t="s">
        <v>11404</v>
      </c>
      <c r="G15130" s="40" t="s">
        <v>11404</v>
      </c>
      <c r="H15130" s="40" t="s">
        <v>11404</v>
      </c>
    </row>
    <row r="15131">
      <c r="A15131" s="39"/>
      <c r="E15131" s="40" t="s">
        <v>11404</v>
      </c>
      <c r="F15131" s="40" t="s">
        <v>11404</v>
      </c>
      <c r="G15131" s="40" t="s">
        <v>11404</v>
      </c>
      <c r="H15131" s="40" t="s">
        <v>11404</v>
      </c>
    </row>
    <row r="15132">
      <c r="A15132" s="39"/>
      <c r="E15132" s="40" t="s">
        <v>11404</v>
      </c>
      <c r="F15132" s="40" t="s">
        <v>11404</v>
      </c>
      <c r="G15132" s="40" t="s">
        <v>11404</v>
      </c>
      <c r="H15132" s="40" t="s">
        <v>11404</v>
      </c>
    </row>
    <row r="15133">
      <c r="A15133" s="39"/>
      <c r="E15133" s="40" t="s">
        <v>11404</v>
      </c>
      <c r="F15133" s="40" t="s">
        <v>11404</v>
      </c>
      <c r="G15133" s="40" t="s">
        <v>11404</v>
      </c>
      <c r="H15133" s="40" t="s">
        <v>11404</v>
      </c>
    </row>
    <row r="15134">
      <c r="A15134" s="39"/>
      <c r="E15134" s="40" t="s">
        <v>11404</v>
      </c>
      <c r="F15134" s="40" t="s">
        <v>11404</v>
      </c>
      <c r="G15134" s="40" t="s">
        <v>11404</v>
      </c>
      <c r="H15134" s="40" t="s">
        <v>11404</v>
      </c>
    </row>
    <row r="15135">
      <c r="A15135" s="39"/>
      <c r="E15135" s="40" t="s">
        <v>11404</v>
      </c>
      <c r="F15135" s="40" t="s">
        <v>11404</v>
      </c>
      <c r="G15135" s="40" t="s">
        <v>11404</v>
      </c>
      <c r="H15135" s="40" t="s">
        <v>11404</v>
      </c>
    </row>
    <row r="15136">
      <c r="A15136" s="39"/>
      <c r="E15136" s="40" t="s">
        <v>11404</v>
      </c>
      <c r="F15136" s="40" t="s">
        <v>11404</v>
      </c>
      <c r="G15136" s="40" t="s">
        <v>11404</v>
      </c>
      <c r="H15136" s="40" t="s">
        <v>11404</v>
      </c>
    </row>
    <row r="15137">
      <c r="A15137" s="39"/>
      <c r="E15137" s="40" t="s">
        <v>11404</v>
      </c>
      <c r="F15137" s="40" t="s">
        <v>11404</v>
      </c>
      <c r="G15137" s="40" t="s">
        <v>11404</v>
      </c>
      <c r="H15137" s="40" t="s">
        <v>11404</v>
      </c>
    </row>
    <row r="15138">
      <c r="A15138" s="39"/>
      <c r="E15138" s="40" t="s">
        <v>11404</v>
      </c>
      <c r="F15138" s="40" t="s">
        <v>11404</v>
      </c>
      <c r="G15138" s="40" t="s">
        <v>11404</v>
      </c>
      <c r="H15138" s="40" t="s">
        <v>11404</v>
      </c>
    </row>
    <row r="15139">
      <c r="A15139" s="39"/>
      <c r="E15139" s="40" t="s">
        <v>11404</v>
      </c>
      <c r="F15139" s="40" t="s">
        <v>11404</v>
      </c>
      <c r="G15139" s="40" t="s">
        <v>11404</v>
      </c>
      <c r="H15139" s="40" t="s">
        <v>11404</v>
      </c>
    </row>
    <row r="15140">
      <c r="A15140" s="39"/>
      <c r="E15140" s="40" t="s">
        <v>11404</v>
      </c>
      <c r="F15140" s="40" t="s">
        <v>11404</v>
      </c>
      <c r="G15140" s="40" t="s">
        <v>11404</v>
      </c>
      <c r="H15140" s="40" t="s">
        <v>11404</v>
      </c>
    </row>
    <row r="15141">
      <c r="A15141" s="39"/>
      <c r="E15141" s="40" t="s">
        <v>11404</v>
      </c>
      <c r="F15141" s="40" t="s">
        <v>11404</v>
      </c>
      <c r="G15141" s="40" t="s">
        <v>11404</v>
      </c>
      <c r="H15141" s="40" t="s">
        <v>11404</v>
      </c>
    </row>
    <row r="15142">
      <c r="A15142" s="39"/>
      <c r="E15142" s="40" t="s">
        <v>11404</v>
      </c>
      <c r="F15142" s="40" t="s">
        <v>11404</v>
      </c>
      <c r="G15142" s="40" t="s">
        <v>11404</v>
      </c>
      <c r="H15142" s="40" t="s">
        <v>11404</v>
      </c>
    </row>
    <row r="15143">
      <c r="A15143" s="39"/>
      <c r="E15143" s="40" t="s">
        <v>11404</v>
      </c>
      <c r="F15143" s="40" t="s">
        <v>11404</v>
      </c>
      <c r="G15143" s="40" t="s">
        <v>11404</v>
      </c>
      <c r="H15143" s="40" t="s">
        <v>11404</v>
      </c>
    </row>
    <row r="15144">
      <c r="A15144" s="39"/>
      <c r="E15144" s="40" t="s">
        <v>11404</v>
      </c>
      <c r="F15144" s="40" t="s">
        <v>11404</v>
      </c>
      <c r="G15144" s="40" t="s">
        <v>11404</v>
      </c>
      <c r="H15144" s="40" t="s">
        <v>11404</v>
      </c>
    </row>
    <row r="15145">
      <c r="A15145" s="39"/>
      <c r="E15145" s="40" t="s">
        <v>11404</v>
      </c>
      <c r="F15145" s="40" t="s">
        <v>11404</v>
      </c>
      <c r="G15145" s="40" t="s">
        <v>11404</v>
      </c>
      <c r="H15145" s="40" t="s">
        <v>11404</v>
      </c>
    </row>
    <row r="15146">
      <c r="A15146" s="39"/>
      <c r="E15146" s="40" t="s">
        <v>11404</v>
      </c>
      <c r="F15146" s="40" t="s">
        <v>11404</v>
      </c>
      <c r="G15146" s="40" t="s">
        <v>11404</v>
      </c>
      <c r="H15146" s="40" t="s">
        <v>11404</v>
      </c>
    </row>
    <row r="15147">
      <c r="A15147" s="39"/>
      <c r="E15147" s="40" t="s">
        <v>11404</v>
      </c>
      <c r="F15147" s="40" t="s">
        <v>11404</v>
      </c>
      <c r="G15147" s="40" t="s">
        <v>11404</v>
      </c>
      <c r="H15147" s="40" t="s">
        <v>11404</v>
      </c>
    </row>
    <row r="15148">
      <c r="A15148" s="39"/>
      <c r="E15148" s="40" t="s">
        <v>11404</v>
      </c>
      <c r="F15148" s="40" t="s">
        <v>11404</v>
      </c>
      <c r="G15148" s="40" t="s">
        <v>11404</v>
      </c>
      <c r="H15148" s="40" t="s">
        <v>11404</v>
      </c>
    </row>
    <row r="15149">
      <c r="A15149" s="39"/>
      <c r="E15149" s="40" t="s">
        <v>11404</v>
      </c>
      <c r="F15149" s="40" t="s">
        <v>11404</v>
      </c>
      <c r="G15149" s="40" t="s">
        <v>11404</v>
      </c>
      <c r="H15149" s="40" t="s">
        <v>11404</v>
      </c>
    </row>
    <row r="15150">
      <c r="A15150" s="39"/>
      <c r="E15150" s="40" t="s">
        <v>11404</v>
      </c>
      <c r="F15150" s="40" t="s">
        <v>11404</v>
      </c>
      <c r="G15150" s="40" t="s">
        <v>11404</v>
      </c>
      <c r="H15150" s="40" t="s">
        <v>11404</v>
      </c>
    </row>
    <row r="15151">
      <c r="A15151" s="39"/>
      <c r="E15151" s="40" t="s">
        <v>11404</v>
      </c>
      <c r="F15151" s="40" t="s">
        <v>11404</v>
      </c>
      <c r="G15151" s="40" t="s">
        <v>11404</v>
      </c>
      <c r="H15151" s="40" t="s">
        <v>11404</v>
      </c>
    </row>
    <row r="15152">
      <c r="A15152" s="39"/>
      <c r="E15152" s="40" t="s">
        <v>11404</v>
      </c>
      <c r="F15152" s="40" t="s">
        <v>11404</v>
      </c>
      <c r="G15152" s="40" t="s">
        <v>11404</v>
      </c>
      <c r="H15152" s="40" t="s">
        <v>11404</v>
      </c>
    </row>
    <row r="15153">
      <c r="A15153" s="39"/>
      <c r="E15153" s="40" t="s">
        <v>11404</v>
      </c>
      <c r="F15153" s="40" t="s">
        <v>11404</v>
      </c>
      <c r="G15153" s="40" t="s">
        <v>11404</v>
      </c>
      <c r="H15153" s="40" t="s">
        <v>11404</v>
      </c>
    </row>
    <row r="15154">
      <c r="A15154" s="39"/>
      <c r="E15154" s="40" t="s">
        <v>11404</v>
      </c>
      <c r="F15154" s="40" t="s">
        <v>11404</v>
      </c>
      <c r="G15154" s="40" t="s">
        <v>11404</v>
      </c>
      <c r="H15154" s="40" t="s">
        <v>11404</v>
      </c>
    </row>
    <row r="15155">
      <c r="A15155" s="39"/>
      <c r="E15155" s="40" t="s">
        <v>11404</v>
      </c>
      <c r="F15155" s="40" t="s">
        <v>11404</v>
      </c>
      <c r="G15155" s="40" t="s">
        <v>11404</v>
      </c>
      <c r="H15155" s="40" t="s">
        <v>11404</v>
      </c>
    </row>
    <row r="15156">
      <c r="A15156" s="39"/>
      <c r="E15156" s="40" t="s">
        <v>11404</v>
      </c>
      <c r="F15156" s="40" t="s">
        <v>11404</v>
      </c>
      <c r="G15156" s="40" t="s">
        <v>11404</v>
      </c>
      <c r="H15156" s="40" t="s">
        <v>11404</v>
      </c>
    </row>
    <row r="15157">
      <c r="A15157" s="39"/>
      <c r="E15157" s="40" t="s">
        <v>11404</v>
      </c>
      <c r="F15157" s="40" t="s">
        <v>11404</v>
      </c>
      <c r="G15157" s="40" t="s">
        <v>11404</v>
      </c>
      <c r="H15157" s="40" t="s">
        <v>11404</v>
      </c>
    </row>
    <row r="15158">
      <c r="A15158" s="39"/>
      <c r="E15158" s="40" t="s">
        <v>11404</v>
      </c>
      <c r="F15158" s="40" t="s">
        <v>11404</v>
      </c>
      <c r="G15158" s="40" t="s">
        <v>11404</v>
      </c>
      <c r="H15158" s="40" t="s">
        <v>11404</v>
      </c>
    </row>
    <row r="15159">
      <c r="A15159" s="39"/>
      <c r="E15159" s="40" t="s">
        <v>11404</v>
      </c>
      <c r="F15159" s="40" t="s">
        <v>11404</v>
      </c>
      <c r="G15159" s="40" t="s">
        <v>11404</v>
      </c>
      <c r="H15159" s="40" t="s">
        <v>11404</v>
      </c>
    </row>
    <row r="15160">
      <c r="A15160" s="39"/>
      <c r="E15160" s="40" t="s">
        <v>11404</v>
      </c>
      <c r="F15160" s="40" t="s">
        <v>11404</v>
      </c>
      <c r="G15160" s="40" t="s">
        <v>11404</v>
      </c>
      <c r="H15160" s="40" t="s">
        <v>11404</v>
      </c>
    </row>
    <row r="15161">
      <c r="A15161" s="39"/>
      <c r="E15161" s="40" t="s">
        <v>11404</v>
      </c>
      <c r="F15161" s="40" t="s">
        <v>11404</v>
      </c>
      <c r="G15161" s="40" t="s">
        <v>11404</v>
      </c>
      <c r="H15161" s="40" t="s">
        <v>11404</v>
      </c>
    </row>
    <row r="15162">
      <c r="A15162" s="39"/>
      <c r="E15162" s="40" t="s">
        <v>11404</v>
      </c>
      <c r="F15162" s="40" t="s">
        <v>11404</v>
      </c>
      <c r="G15162" s="40" t="s">
        <v>11404</v>
      </c>
      <c r="H15162" s="40" t="s">
        <v>11404</v>
      </c>
    </row>
    <row r="15163">
      <c r="A15163" s="39"/>
      <c r="E15163" s="40" t="s">
        <v>11404</v>
      </c>
      <c r="F15163" s="40" t="s">
        <v>11404</v>
      </c>
      <c r="G15163" s="40" t="s">
        <v>11404</v>
      </c>
      <c r="H15163" s="40" t="s">
        <v>11404</v>
      </c>
    </row>
    <row r="15164">
      <c r="A15164" s="39"/>
      <c r="E15164" s="40" t="s">
        <v>11404</v>
      </c>
      <c r="F15164" s="40" t="s">
        <v>11404</v>
      </c>
      <c r="G15164" s="40" t="s">
        <v>11404</v>
      </c>
      <c r="H15164" s="40" t="s">
        <v>11404</v>
      </c>
    </row>
    <row r="15165">
      <c r="A15165" s="39"/>
      <c r="E15165" s="40" t="s">
        <v>11404</v>
      </c>
      <c r="F15165" s="40" t="s">
        <v>11404</v>
      </c>
      <c r="G15165" s="40" t="s">
        <v>11404</v>
      </c>
      <c r="H15165" s="40" t="s">
        <v>11404</v>
      </c>
    </row>
    <row r="15166">
      <c r="A15166" s="39"/>
      <c r="E15166" s="40" t="s">
        <v>11404</v>
      </c>
      <c r="F15166" s="40" t="s">
        <v>11404</v>
      </c>
      <c r="G15166" s="40" t="s">
        <v>11404</v>
      </c>
      <c r="H15166" s="40" t="s">
        <v>11404</v>
      </c>
    </row>
    <row r="15167">
      <c r="A15167" s="39"/>
      <c r="E15167" s="40" t="s">
        <v>11404</v>
      </c>
      <c r="F15167" s="40" t="s">
        <v>11404</v>
      </c>
      <c r="G15167" s="40" t="s">
        <v>11404</v>
      </c>
      <c r="H15167" s="40" t="s">
        <v>11404</v>
      </c>
    </row>
    <row r="15168">
      <c r="A15168" s="39"/>
      <c r="E15168" s="40" t="s">
        <v>11404</v>
      </c>
      <c r="F15168" s="40" t="s">
        <v>11404</v>
      </c>
      <c r="G15168" s="40" t="s">
        <v>11404</v>
      </c>
      <c r="H15168" s="40" t="s">
        <v>11404</v>
      </c>
    </row>
    <row r="15169">
      <c r="A15169" s="39"/>
      <c r="E15169" s="40" t="s">
        <v>11404</v>
      </c>
      <c r="F15169" s="40" t="s">
        <v>11404</v>
      </c>
      <c r="G15169" s="40" t="s">
        <v>11404</v>
      </c>
      <c r="H15169" s="40" t="s">
        <v>11404</v>
      </c>
    </row>
    <row r="15170">
      <c r="A15170" s="39"/>
      <c r="E15170" s="40" t="s">
        <v>11404</v>
      </c>
      <c r="F15170" s="40" t="s">
        <v>11404</v>
      </c>
      <c r="G15170" s="40" t="s">
        <v>11404</v>
      </c>
      <c r="H15170" s="40" t="s">
        <v>11404</v>
      </c>
    </row>
    <row r="15171">
      <c r="A15171" s="39"/>
      <c r="E15171" s="40" t="s">
        <v>11404</v>
      </c>
      <c r="F15171" s="40" t="s">
        <v>11404</v>
      </c>
      <c r="G15171" s="40" t="s">
        <v>11404</v>
      </c>
      <c r="H15171" s="40" t="s">
        <v>11404</v>
      </c>
    </row>
    <row r="15172">
      <c r="A15172" s="39"/>
      <c r="E15172" s="40" t="s">
        <v>11404</v>
      </c>
      <c r="F15172" s="40" t="s">
        <v>11404</v>
      </c>
      <c r="G15172" s="40" t="s">
        <v>11404</v>
      </c>
      <c r="H15172" s="40" t="s">
        <v>11404</v>
      </c>
    </row>
    <row r="15173">
      <c r="A15173" s="39"/>
      <c r="E15173" s="40" t="s">
        <v>11404</v>
      </c>
      <c r="F15173" s="40" t="s">
        <v>11404</v>
      </c>
      <c r="G15173" s="40" t="s">
        <v>11404</v>
      </c>
      <c r="H15173" s="40" t="s">
        <v>11404</v>
      </c>
    </row>
    <row r="15174">
      <c r="A15174" s="39"/>
      <c r="E15174" s="40" t="s">
        <v>11404</v>
      </c>
      <c r="F15174" s="40" t="s">
        <v>11404</v>
      </c>
      <c r="G15174" s="40" t="s">
        <v>11404</v>
      </c>
      <c r="H15174" s="40" t="s">
        <v>11404</v>
      </c>
    </row>
    <row r="15175">
      <c r="A15175" s="39"/>
      <c r="E15175" s="40" t="s">
        <v>11404</v>
      </c>
      <c r="F15175" s="40" t="s">
        <v>11404</v>
      </c>
      <c r="G15175" s="40" t="s">
        <v>11404</v>
      </c>
      <c r="H15175" s="40" t="s">
        <v>11404</v>
      </c>
    </row>
    <row r="15176">
      <c r="A15176" s="39"/>
      <c r="E15176" s="40" t="s">
        <v>11404</v>
      </c>
      <c r="F15176" s="40" t="s">
        <v>11404</v>
      </c>
      <c r="G15176" s="40" t="s">
        <v>11404</v>
      </c>
      <c r="H15176" s="40" t="s">
        <v>11404</v>
      </c>
    </row>
    <row r="15177">
      <c r="A15177" s="39"/>
      <c r="E15177" s="40" t="s">
        <v>11404</v>
      </c>
      <c r="F15177" s="40" t="s">
        <v>11404</v>
      </c>
      <c r="G15177" s="40" t="s">
        <v>11404</v>
      </c>
      <c r="H15177" s="40" t="s">
        <v>11404</v>
      </c>
    </row>
    <row r="15178">
      <c r="A15178" s="39"/>
      <c r="E15178" s="40" t="s">
        <v>11404</v>
      </c>
      <c r="F15178" s="40" t="s">
        <v>11404</v>
      </c>
      <c r="G15178" s="40" t="s">
        <v>11404</v>
      </c>
      <c r="H15178" s="40" t="s">
        <v>11404</v>
      </c>
    </row>
    <row r="15179">
      <c r="A15179" s="39"/>
      <c r="E15179" s="40" t="s">
        <v>11404</v>
      </c>
      <c r="F15179" s="40" t="s">
        <v>11404</v>
      </c>
      <c r="G15179" s="40" t="s">
        <v>11404</v>
      </c>
      <c r="H15179" s="40" t="s">
        <v>11404</v>
      </c>
    </row>
    <row r="15180">
      <c r="A15180" s="39"/>
      <c r="E15180" s="40" t="s">
        <v>11404</v>
      </c>
      <c r="F15180" s="40" t="s">
        <v>11404</v>
      </c>
      <c r="G15180" s="40" t="s">
        <v>11404</v>
      </c>
      <c r="H15180" s="40" t="s">
        <v>11404</v>
      </c>
    </row>
    <row r="15181">
      <c r="A15181" s="39"/>
      <c r="E15181" s="40" t="s">
        <v>11404</v>
      </c>
      <c r="F15181" s="40" t="s">
        <v>11404</v>
      </c>
      <c r="G15181" s="40" t="s">
        <v>11404</v>
      </c>
      <c r="H15181" s="40" t="s">
        <v>11404</v>
      </c>
    </row>
    <row r="15182">
      <c r="A15182" s="39"/>
      <c r="E15182" s="40" t="s">
        <v>11404</v>
      </c>
      <c r="F15182" s="40" t="s">
        <v>11404</v>
      </c>
      <c r="G15182" s="40" t="s">
        <v>11404</v>
      </c>
      <c r="H15182" s="40" t="s">
        <v>11404</v>
      </c>
    </row>
    <row r="15183">
      <c r="A15183" s="39"/>
      <c r="E15183" s="40" t="s">
        <v>11404</v>
      </c>
      <c r="F15183" s="40" t="s">
        <v>11404</v>
      </c>
      <c r="G15183" s="40" t="s">
        <v>11404</v>
      </c>
      <c r="H15183" s="40" t="s">
        <v>11404</v>
      </c>
    </row>
    <row r="15184">
      <c r="A15184" s="39"/>
      <c r="E15184" s="40" t="s">
        <v>11404</v>
      </c>
      <c r="F15184" s="40" t="s">
        <v>11404</v>
      </c>
      <c r="G15184" s="40" t="s">
        <v>11404</v>
      </c>
      <c r="H15184" s="40" t="s">
        <v>11404</v>
      </c>
    </row>
    <row r="15185">
      <c r="A15185" s="39"/>
      <c r="E15185" s="40" t="s">
        <v>11404</v>
      </c>
      <c r="F15185" s="40" t="s">
        <v>11404</v>
      </c>
      <c r="G15185" s="40" t="s">
        <v>11404</v>
      </c>
      <c r="H15185" s="40" t="s">
        <v>11404</v>
      </c>
    </row>
    <row r="15186">
      <c r="A15186" s="39"/>
      <c r="E15186" s="40" t="s">
        <v>11404</v>
      </c>
      <c r="F15186" s="40" t="s">
        <v>11404</v>
      </c>
      <c r="G15186" s="40" t="s">
        <v>11404</v>
      </c>
      <c r="H15186" s="40" t="s">
        <v>11404</v>
      </c>
    </row>
    <row r="15187">
      <c r="A15187" s="39"/>
      <c r="E15187" s="40" t="s">
        <v>11404</v>
      </c>
      <c r="F15187" s="40" t="s">
        <v>11404</v>
      </c>
      <c r="G15187" s="40" t="s">
        <v>11404</v>
      </c>
      <c r="H15187" s="40" t="s">
        <v>11404</v>
      </c>
    </row>
    <row r="15188">
      <c r="A15188" s="39"/>
      <c r="E15188" s="40" t="s">
        <v>11404</v>
      </c>
      <c r="F15188" s="40" t="s">
        <v>11404</v>
      </c>
      <c r="G15188" s="40" t="s">
        <v>11404</v>
      </c>
      <c r="H15188" s="40" t="s">
        <v>11404</v>
      </c>
    </row>
    <row r="15189">
      <c r="A15189" s="39"/>
      <c r="E15189" s="40" t="s">
        <v>11404</v>
      </c>
      <c r="F15189" s="40" t="s">
        <v>11404</v>
      </c>
      <c r="G15189" s="40" t="s">
        <v>11404</v>
      </c>
      <c r="H15189" s="40" t="s">
        <v>11404</v>
      </c>
    </row>
    <row r="15190">
      <c r="A15190" s="39"/>
      <c r="E15190" s="40" t="s">
        <v>11404</v>
      </c>
      <c r="F15190" s="40" t="s">
        <v>11404</v>
      </c>
      <c r="G15190" s="40" t="s">
        <v>11404</v>
      </c>
      <c r="H15190" s="40" t="s">
        <v>11404</v>
      </c>
    </row>
    <row r="15191">
      <c r="A15191" s="39"/>
      <c r="E15191" s="40" t="s">
        <v>11404</v>
      </c>
      <c r="F15191" s="40" t="s">
        <v>11404</v>
      </c>
      <c r="G15191" s="40" t="s">
        <v>11404</v>
      </c>
      <c r="H15191" s="40" t="s">
        <v>11404</v>
      </c>
    </row>
    <row r="15192">
      <c r="A15192" s="39"/>
      <c r="E15192" s="40" t="s">
        <v>11404</v>
      </c>
      <c r="F15192" s="40" t="s">
        <v>11404</v>
      </c>
      <c r="G15192" s="40" t="s">
        <v>11404</v>
      </c>
      <c r="H15192" s="40" t="s">
        <v>11404</v>
      </c>
    </row>
    <row r="15193">
      <c r="A15193" s="39"/>
      <c r="E15193" s="40" t="s">
        <v>11404</v>
      </c>
      <c r="F15193" s="40" t="s">
        <v>11404</v>
      </c>
      <c r="G15193" s="40" t="s">
        <v>11404</v>
      </c>
      <c r="H15193" s="40" t="s">
        <v>11404</v>
      </c>
    </row>
    <row r="15194">
      <c r="A15194" s="39"/>
      <c r="E15194" s="40" t="s">
        <v>11404</v>
      </c>
      <c r="F15194" s="40" t="s">
        <v>11404</v>
      </c>
      <c r="G15194" s="40" t="s">
        <v>11404</v>
      </c>
      <c r="H15194" s="40" t="s">
        <v>11404</v>
      </c>
    </row>
    <row r="15195">
      <c r="A15195" s="39"/>
      <c r="E15195" s="40" t="s">
        <v>11404</v>
      </c>
      <c r="F15195" s="40" t="s">
        <v>11404</v>
      </c>
      <c r="G15195" s="40" t="s">
        <v>11404</v>
      </c>
      <c r="H15195" s="40" t="s">
        <v>11404</v>
      </c>
    </row>
    <row r="15196">
      <c r="A15196" s="39"/>
      <c r="E15196" s="40" t="s">
        <v>11404</v>
      </c>
      <c r="F15196" s="40" t="s">
        <v>11404</v>
      </c>
      <c r="G15196" s="40" t="s">
        <v>11404</v>
      </c>
      <c r="H15196" s="40" t="s">
        <v>11404</v>
      </c>
    </row>
    <row r="15197">
      <c r="A15197" s="39"/>
      <c r="E15197" s="40" t="s">
        <v>11404</v>
      </c>
      <c r="F15197" s="40" t="s">
        <v>11404</v>
      </c>
      <c r="G15197" s="40" t="s">
        <v>11404</v>
      </c>
      <c r="H15197" s="40" t="s">
        <v>11404</v>
      </c>
    </row>
    <row r="15198">
      <c r="A15198" s="39"/>
      <c r="E15198" s="40" t="s">
        <v>11404</v>
      </c>
      <c r="F15198" s="40" t="s">
        <v>11404</v>
      </c>
      <c r="G15198" s="40" t="s">
        <v>11404</v>
      </c>
      <c r="H15198" s="40" t="s">
        <v>11404</v>
      </c>
    </row>
    <row r="15199">
      <c r="A15199" s="39"/>
      <c r="E15199" s="40" t="s">
        <v>11404</v>
      </c>
      <c r="F15199" s="40" t="s">
        <v>11404</v>
      </c>
      <c r="G15199" s="40" t="s">
        <v>11404</v>
      </c>
      <c r="H15199" s="40" t="s">
        <v>11404</v>
      </c>
    </row>
    <row r="15200">
      <c r="A15200" s="39"/>
      <c r="E15200" s="40" t="s">
        <v>11404</v>
      </c>
      <c r="F15200" s="40" t="s">
        <v>11404</v>
      </c>
      <c r="G15200" s="40" t="s">
        <v>11404</v>
      </c>
      <c r="H15200" s="40" t="s">
        <v>11404</v>
      </c>
    </row>
    <row r="15201">
      <c r="A15201" s="39"/>
      <c r="E15201" s="40" t="s">
        <v>11404</v>
      </c>
      <c r="F15201" s="40" t="s">
        <v>11404</v>
      </c>
      <c r="G15201" s="40" t="s">
        <v>11404</v>
      </c>
      <c r="H15201" s="40" t="s">
        <v>11404</v>
      </c>
    </row>
    <row r="15202">
      <c r="A15202" s="39"/>
      <c r="E15202" s="40" t="s">
        <v>11404</v>
      </c>
      <c r="F15202" s="40" t="s">
        <v>11404</v>
      </c>
      <c r="G15202" s="40" t="s">
        <v>11404</v>
      </c>
      <c r="H15202" s="40" t="s">
        <v>11404</v>
      </c>
    </row>
    <row r="15203">
      <c r="A15203" s="39"/>
      <c r="E15203" s="40" t="s">
        <v>11404</v>
      </c>
      <c r="F15203" s="40" t="s">
        <v>11404</v>
      </c>
      <c r="G15203" s="40" t="s">
        <v>11404</v>
      </c>
      <c r="H15203" s="40" t="s">
        <v>11404</v>
      </c>
    </row>
    <row r="15204">
      <c r="A15204" s="39"/>
      <c r="E15204" s="40" t="s">
        <v>11404</v>
      </c>
      <c r="F15204" s="40" t="s">
        <v>11404</v>
      </c>
      <c r="G15204" s="40" t="s">
        <v>11404</v>
      </c>
      <c r="H15204" s="40" t="s">
        <v>11404</v>
      </c>
    </row>
    <row r="15205">
      <c r="A15205" s="39"/>
      <c r="E15205" s="40" t="s">
        <v>11404</v>
      </c>
      <c r="F15205" s="40" t="s">
        <v>11404</v>
      </c>
      <c r="G15205" s="40" t="s">
        <v>11404</v>
      </c>
      <c r="H15205" s="40" t="s">
        <v>11404</v>
      </c>
    </row>
    <row r="15206">
      <c r="A15206" s="39"/>
      <c r="E15206" s="40" t="s">
        <v>11404</v>
      </c>
      <c r="F15206" s="40" t="s">
        <v>11404</v>
      </c>
      <c r="G15206" s="40" t="s">
        <v>11404</v>
      </c>
      <c r="H15206" s="40" t="s">
        <v>11404</v>
      </c>
    </row>
    <row r="15207">
      <c r="A15207" s="39"/>
      <c r="E15207" s="40" t="s">
        <v>11404</v>
      </c>
      <c r="F15207" s="40" t="s">
        <v>11404</v>
      </c>
      <c r="G15207" s="40" t="s">
        <v>11404</v>
      </c>
      <c r="H15207" s="40" t="s">
        <v>11404</v>
      </c>
    </row>
    <row r="15208">
      <c r="A15208" s="39"/>
      <c r="E15208" s="40" t="s">
        <v>11404</v>
      </c>
      <c r="F15208" s="40" t="s">
        <v>11404</v>
      </c>
      <c r="G15208" s="40" t="s">
        <v>11404</v>
      </c>
      <c r="H15208" s="40" t="s">
        <v>11404</v>
      </c>
    </row>
    <row r="15209">
      <c r="A15209" s="39"/>
      <c r="E15209" s="40" t="s">
        <v>11404</v>
      </c>
      <c r="F15209" s="40" t="s">
        <v>11404</v>
      </c>
      <c r="G15209" s="40" t="s">
        <v>11404</v>
      </c>
      <c r="H15209" s="40" t="s">
        <v>11404</v>
      </c>
    </row>
    <row r="15210">
      <c r="A15210" s="39"/>
      <c r="E15210" s="40" t="s">
        <v>11404</v>
      </c>
      <c r="F15210" s="40" t="s">
        <v>11404</v>
      </c>
      <c r="G15210" s="40" t="s">
        <v>11404</v>
      </c>
      <c r="H15210" s="40" t="s">
        <v>11404</v>
      </c>
    </row>
    <row r="15211">
      <c r="A15211" s="39"/>
      <c r="E15211" s="40" t="s">
        <v>11404</v>
      </c>
      <c r="F15211" s="40" t="s">
        <v>11404</v>
      </c>
      <c r="G15211" s="40" t="s">
        <v>11404</v>
      </c>
      <c r="H15211" s="40" t="s">
        <v>11404</v>
      </c>
    </row>
    <row r="15212">
      <c r="A15212" s="39"/>
      <c r="E15212" s="40" t="s">
        <v>11404</v>
      </c>
      <c r="F15212" s="40" t="s">
        <v>11404</v>
      </c>
      <c r="G15212" s="40" t="s">
        <v>11404</v>
      </c>
      <c r="H15212" s="40" t="s">
        <v>11404</v>
      </c>
    </row>
    <row r="15213">
      <c r="A15213" s="39"/>
      <c r="E15213" s="40" t="s">
        <v>11404</v>
      </c>
      <c r="F15213" s="40" t="s">
        <v>11404</v>
      </c>
      <c r="G15213" s="40" t="s">
        <v>11404</v>
      </c>
      <c r="H15213" s="40" t="s">
        <v>11404</v>
      </c>
    </row>
    <row r="15214">
      <c r="A15214" s="39"/>
      <c r="E15214" s="40" t="s">
        <v>11404</v>
      </c>
      <c r="F15214" s="40" t="s">
        <v>11404</v>
      </c>
      <c r="G15214" s="40" t="s">
        <v>11404</v>
      </c>
      <c r="H15214" s="40" t="s">
        <v>11404</v>
      </c>
    </row>
    <row r="15215">
      <c r="A15215" s="39"/>
      <c r="E15215" s="40" t="s">
        <v>11404</v>
      </c>
      <c r="F15215" s="40" t="s">
        <v>11404</v>
      </c>
      <c r="G15215" s="40" t="s">
        <v>11404</v>
      </c>
      <c r="H15215" s="40" t="s">
        <v>11404</v>
      </c>
    </row>
    <row r="15216">
      <c r="A15216" s="39"/>
      <c r="E15216" s="40" t="s">
        <v>11404</v>
      </c>
      <c r="F15216" s="40" t="s">
        <v>11404</v>
      </c>
      <c r="G15216" s="40" t="s">
        <v>11404</v>
      </c>
      <c r="H15216" s="40" t="s">
        <v>11404</v>
      </c>
    </row>
    <row r="15217">
      <c r="A15217" s="39"/>
      <c r="E15217" s="40" t="s">
        <v>11404</v>
      </c>
      <c r="F15217" s="40" t="s">
        <v>11404</v>
      </c>
      <c r="G15217" s="40" t="s">
        <v>11404</v>
      </c>
      <c r="H15217" s="40" t="s">
        <v>11404</v>
      </c>
    </row>
    <row r="15218">
      <c r="A15218" s="39"/>
      <c r="E15218" s="40" t="s">
        <v>11404</v>
      </c>
      <c r="F15218" s="40" t="s">
        <v>11404</v>
      </c>
      <c r="G15218" s="40" t="s">
        <v>11404</v>
      </c>
      <c r="H15218" s="40" t="s">
        <v>11404</v>
      </c>
    </row>
    <row r="15219">
      <c r="A15219" s="39"/>
      <c r="E15219" s="40" t="s">
        <v>11404</v>
      </c>
      <c r="F15219" s="40" t="s">
        <v>11404</v>
      </c>
      <c r="G15219" s="40" t="s">
        <v>11404</v>
      </c>
      <c r="H15219" s="40" t="s">
        <v>11404</v>
      </c>
    </row>
    <row r="15220">
      <c r="A15220" s="39"/>
      <c r="E15220" s="40" t="s">
        <v>11404</v>
      </c>
      <c r="F15220" s="40" t="s">
        <v>11404</v>
      </c>
      <c r="G15220" s="40" t="s">
        <v>11404</v>
      </c>
      <c r="H15220" s="40" t="s">
        <v>11404</v>
      </c>
    </row>
    <row r="15221">
      <c r="A15221" s="39"/>
      <c r="E15221" s="40" t="s">
        <v>11404</v>
      </c>
      <c r="F15221" s="40" t="s">
        <v>11404</v>
      </c>
      <c r="G15221" s="40" t="s">
        <v>11404</v>
      </c>
      <c r="H15221" s="40" t="s">
        <v>11404</v>
      </c>
    </row>
    <row r="15222">
      <c r="A15222" s="39"/>
      <c r="E15222" s="40" t="s">
        <v>11404</v>
      </c>
      <c r="F15222" s="40" t="s">
        <v>11404</v>
      </c>
      <c r="G15222" s="40" t="s">
        <v>11404</v>
      </c>
      <c r="H15222" s="40" t="s">
        <v>11404</v>
      </c>
    </row>
    <row r="15223">
      <c r="A15223" s="39"/>
      <c r="E15223" s="40" t="s">
        <v>11404</v>
      </c>
      <c r="F15223" s="40" t="s">
        <v>11404</v>
      </c>
      <c r="G15223" s="40" t="s">
        <v>11404</v>
      </c>
      <c r="H15223" s="40" t="s">
        <v>11404</v>
      </c>
    </row>
    <row r="15224">
      <c r="A15224" s="39"/>
      <c r="E15224" s="40" t="s">
        <v>11404</v>
      </c>
      <c r="F15224" s="40" t="s">
        <v>11404</v>
      </c>
      <c r="G15224" s="40" t="s">
        <v>11404</v>
      </c>
      <c r="H15224" s="40" t="s">
        <v>11404</v>
      </c>
    </row>
    <row r="15225">
      <c r="A15225" s="39"/>
      <c r="E15225" s="40" t="s">
        <v>11404</v>
      </c>
      <c r="F15225" s="40" t="s">
        <v>11404</v>
      </c>
      <c r="G15225" s="40" t="s">
        <v>11404</v>
      </c>
      <c r="H15225" s="40" t="s">
        <v>11404</v>
      </c>
    </row>
    <row r="15226">
      <c r="A15226" s="39"/>
      <c r="E15226" s="40" t="s">
        <v>11404</v>
      </c>
      <c r="F15226" s="40" t="s">
        <v>11404</v>
      </c>
      <c r="G15226" s="40" t="s">
        <v>11404</v>
      </c>
      <c r="H15226" s="40" t="s">
        <v>11404</v>
      </c>
    </row>
    <row r="15227">
      <c r="A15227" s="39"/>
      <c r="E15227" s="40" t="s">
        <v>11404</v>
      </c>
      <c r="F15227" s="40" t="s">
        <v>11404</v>
      </c>
      <c r="G15227" s="40" t="s">
        <v>11404</v>
      </c>
      <c r="H15227" s="40" t="s">
        <v>11404</v>
      </c>
    </row>
    <row r="15228">
      <c r="A15228" s="39"/>
      <c r="E15228" s="40" t="s">
        <v>11404</v>
      </c>
      <c r="F15228" s="40" t="s">
        <v>11404</v>
      </c>
      <c r="G15228" s="40" t="s">
        <v>11404</v>
      </c>
      <c r="H15228" s="40" t="s">
        <v>11404</v>
      </c>
    </row>
    <row r="15229">
      <c r="A15229" s="39"/>
      <c r="E15229" s="40" t="s">
        <v>11404</v>
      </c>
      <c r="F15229" s="40" t="s">
        <v>11404</v>
      </c>
      <c r="G15229" s="40" t="s">
        <v>11404</v>
      </c>
      <c r="H15229" s="40" t="s">
        <v>11404</v>
      </c>
    </row>
    <row r="15230">
      <c r="A15230" s="39"/>
      <c r="E15230" s="40" t="s">
        <v>11404</v>
      </c>
      <c r="F15230" s="40" t="s">
        <v>11404</v>
      </c>
      <c r="G15230" s="40" t="s">
        <v>11404</v>
      </c>
      <c r="H15230" s="40" t="s">
        <v>11404</v>
      </c>
    </row>
    <row r="15231">
      <c r="A15231" s="39"/>
      <c r="E15231" s="40" t="s">
        <v>11404</v>
      </c>
      <c r="F15231" s="40" t="s">
        <v>11404</v>
      </c>
      <c r="G15231" s="40" t="s">
        <v>11404</v>
      </c>
      <c r="H15231" s="40" t="s">
        <v>11404</v>
      </c>
    </row>
    <row r="15232">
      <c r="A15232" s="39"/>
      <c r="E15232" s="40" t="s">
        <v>11404</v>
      </c>
      <c r="F15232" s="40" t="s">
        <v>11404</v>
      </c>
      <c r="G15232" s="40" t="s">
        <v>11404</v>
      </c>
      <c r="H15232" s="40" t="s">
        <v>11404</v>
      </c>
    </row>
    <row r="15233">
      <c r="A15233" s="39"/>
      <c r="E15233" s="40" t="s">
        <v>11404</v>
      </c>
      <c r="F15233" s="40" t="s">
        <v>11404</v>
      </c>
      <c r="G15233" s="40" t="s">
        <v>11404</v>
      </c>
      <c r="H15233" s="40" t="s">
        <v>11404</v>
      </c>
    </row>
    <row r="15234">
      <c r="A15234" s="39"/>
      <c r="E15234" s="40" t="s">
        <v>11404</v>
      </c>
      <c r="F15234" s="40" t="s">
        <v>11404</v>
      </c>
      <c r="G15234" s="40" t="s">
        <v>11404</v>
      </c>
      <c r="H15234" s="40" t="s">
        <v>11404</v>
      </c>
    </row>
    <row r="15235">
      <c r="A15235" s="39"/>
      <c r="E15235" s="40" t="s">
        <v>11404</v>
      </c>
      <c r="F15235" s="40" t="s">
        <v>11404</v>
      </c>
      <c r="G15235" s="40" t="s">
        <v>11404</v>
      </c>
      <c r="H15235" s="40" t="s">
        <v>11404</v>
      </c>
    </row>
    <row r="15236">
      <c r="A15236" s="39"/>
      <c r="E15236" s="40" t="s">
        <v>11404</v>
      </c>
      <c r="F15236" s="40" t="s">
        <v>11404</v>
      </c>
      <c r="G15236" s="40" t="s">
        <v>11404</v>
      </c>
      <c r="H15236" s="40" t="s">
        <v>11404</v>
      </c>
    </row>
    <row r="15237">
      <c r="A15237" s="39"/>
      <c r="E15237" s="40" t="s">
        <v>11404</v>
      </c>
      <c r="F15237" s="40" t="s">
        <v>11404</v>
      </c>
      <c r="G15237" s="40" t="s">
        <v>11404</v>
      </c>
      <c r="H15237" s="40" t="s">
        <v>11404</v>
      </c>
    </row>
    <row r="15238">
      <c r="A15238" s="39"/>
      <c r="E15238" s="40" t="s">
        <v>11404</v>
      </c>
      <c r="F15238" s="40" t="s">
        <v>11404</v>
      </c>
      <c r="G15238" s="40" t="s">
        <v>11404</v>
      </c>
      <c r="H15238" s="40" t="s">
        <v>11404</v>
      </c>
    </row>
    <row r="15239">
      <c r="A15239" s="39"/>
      <c r="E15239" s="40" t="s">
        <v>11404</v>
      </c>
      <c r="F15239" s="40" t="s">
        <v>11404</v>
      </c>
      <c r="G15239" s="40" t="s">
        <v>11404</v>
      </c>
      <c r="H15239" s="40" t="s">
        <v>11404</v>
      </c>
    </row>
    <row r="15240">
      <c r="A15240" s="39"/>
      <c r="E15240" s="40" t="s">
        <v>11404</v>
      </c>
      <c r="F15240" s="40" t="s">
        <v>11404</v>
      </c>
      <c r="G15240" s="40" t="s">
        <v>11404</v>
      </c>
      <c r="H15240" s="40" t="s">
        <v>11404</v>
      </c>
    </row>
    <row r="15241">
      <c r="A15241" s="39"/>
      <c r="E15241" s="40" t="s">
        <v>11404</v>
      </c>
      <c r="F15241" s="40" t="s">
        <v>11404</v>
      </c>
      <c r="G15241" s="40" t="s">
        <v>11404</v>
      </c>
      <c r="H15241" s="40" t="s">
        <v>11404</v>
      </c>
    </row>
    <row r="15242">
      <c r="A15242" s="39"/>
      <c r="E15242" s="40" t="s">
        <v>11404</v>
      </c>
      <c r="F15242" s="40" t="s">
        <v>11404</v>
      </c>
      <c r="G15242" s="40" t="s">
        <v>11404</v>
      </c>
      <c r="H15242" s="40" t="s">
        <v>11404</v>
      </c>
    </row>
    <row r="15243">
      <c r="A15243" s="39"/>
      <c r="E15243" s="40" t="s">
        <v>11404</v>
      </c>
      <c r="F15243" s="40" t="s">
        <v>11404</v>
      </c>
      <c r="G15243" s="40" t="s">
        <v>11404</v>
      </c>
      <c r="H15243" s="40" t="s">
        <v>11404</v>
      </c>
    </row>
    <row r="15244">
      <c r="A15244" s="39"/>
      <c r="E15244" s="40" t="s">
        <v>11404</v>
      </c>
      <c r="F15244" s="40" t="s">
        <v>11404</v>
      </c>
      <c r="G15244" s="40" t="s">
        <v>11404</v>
      </c>
      <c r="H15244" s="40" t="s">
        <v>11404</v>
      </c>
    </row>
    <row r="15245">
      <c r="A15245" s="39"/>
      <c r="E15245" s="40" t="s">
        <v>11404</v>
      </c>
      <c r="F15245" s="40" t="s">
        <v>11404</v>
      </c>
      <c r="G15245" s="40" t="s">
        <v>11404</v>
      </c>
      <c r="H15245" s="40" t="s">
        <v>11404</v>
      </c>
    </row>
    <row r="15246">
      <c r="A15246" s="39"/>
      <c r="E15246" s="40" t="s">
        <v>11404</v>
      </c>
      <c r="F15246" s="40" t="s">
        <v>11404</v>
      </c>
      <c r="G15246" s="40" t="s">
        <v>11404</v>
      </c>
      <c r="H15246" s="40" t="s">
        <v>11404</v>
      </c>
    </row>
    <row r="15247">
      <c r="A15247" s="39"/>
      <c r="E15247" s="40" t="s">
        <v>11404</v>
      </c>
      <c r="F15247" s="40" t="s">
        <v>11404</v>
      </c>
      <c r="G15247" s="40" t="s">
        <v>11404</v>
      </c>
      <c r="H15247" s="40" t="s">
        <v>11404</v>
      </c>
    </row>
    <row r="15248">
      <c r="A15248" s="39"/>
      <c r="E15248" s="40" t="s">
        <v>11404</v>
      </c>
      <c r="F15248" s="40" t="s">
        <v>11404</v>
      </c>
      <c r="G15248" s="40" t="s">
        <v>11404</v>
      </c>
      <c r="H15248" s="40" t="s">
        <v>11404</v>
      </c>
    </row>
    <row r="15249">
      <c r="A15249" s="39"/>
      <c r="E15249" s="40" t="s">
        <v>11404</v>
      </c>
      <c r="F15249" s="40" t="s">
        <v>11404</v>
      </c>
      <c r="G15249" s="40" t="s">
        <v>11404</v>
      </c>
      <c r="H15249" s="40" t="s">
        <v>11404</v>
      </c>
    </row>
    <row r="15250">
      <c r="A15250" s="39"/>
      <c r="E15250" s="40" t="s">
        <v>11404</v>
      </c>
      <c r="F15250" s="40" t="s">
        <v>11404</v>
      </c>
      <c r="G15250" s="40" t="s">
        <v>11404</v>
      </c>
      <c r="H15250" s="40" t="s">
        <v>11404</v>
      </c>
    </row>
    <row r="15251">
      <c r="A15251" s="39"/>
      <c r="E15251" s="40" t="s">
        <v>11404</v>
      </c>
      <c r="F15251" s="40" t="s">
        <v>11404</v>
      </c>
      <c r="G15251" s="40" t="s">
        <v>11404</v>
      </c>
      <c r="H15251" s="40" t="s">
        <v>11404</v>
      </c>
    </row>
    <row r="15252">
      <c r="A15252" s="39"/>
      <c r="E15252" s="40" t="s">
        <v>11404</v>
      </c>
      <c r="F15252" s="40" t="s">
        <v>11404</v>
      </c>
      <c r="G15252" s="40" t="s">
        <v>11404</v>
      </c>
      <c r="H15252" s="40" t="s">
        <v>11404</v>
      </c>
    </row>
    <row r="15253">
      <c r="A15253" s="39"/>
      <c r="E15253" s="40" t="s">
        <v>11404</v>
      </c>
      <c r="F15253" s="40" t="s">
        <v>11404</v>
      </c>
      <c r="G15253" s="40" t="s">
        <v>11404</v>
      </c>
      <c r="H15253" s="40" t="s">
        <v>11404</v>
      </c>
    </row>
    <row r="15254">
      <c r="A15254" s="39"/>
      <c r="E15254" s="40" t="s">
        <v>11404</v>
      </c>
      <c r="F15254" s="40" t="s">
        <v>11404</v>
      </c>
      <c r="G15254" s="40" t="s">
        <v>11404</v>
      </c>
      <c r="H15254" s="40" t="s">
        <v>11404</v>
      </c>
    </row>
    <row r="15255">
      <c r="A15255" s="39"/>
      <c r="E15255" s="40" t="s">
        <v>11404</v>
      </c>
      <c r="F15255" s="40" t="s">
        <v>11404</v>
      </c>
      <c r="G15255" s="40" t="s">
        <v>11404</v>
      </c>
      <c r="H15255" s="40" t="s">
        <v>11404</v>
      </c>
    </row>
    <row r="15256">
      <c r="A15256" s="39"/>
      <c r="E15256" s="40" t="s">
        <v>11404</v>
      </c>
      <c r="F15256" s="40" t="s">
        <v>11404</v>
      </c>
      <c r="G15256" s="40" t="s">
        <v>11404</v>
      </c>
      <c r="H15256" s="40" t="s">
        <v>11404</v>
      </c>
    </row>
    <row r="15257">
      <c r="A15257" s="39"/>
      <c r="E15257" s="40" t="s">
        <v>11404</v>
      </c>
      <c r="F15257" s="40" t="s">
        <v>11404</v>
      </c>
      <c r="G15257" s="40" t="s">
        <v>11404</v>
      </c>
      <c r="H15257" s="40" t="s">
        <v>11404</v>
      </c>
    </row>
    <row r="15258">
      <c r="A15258" s="39"/>
      <c r="E15258" s="40" t="s">
        <v>11404</v>
      </c>
      <c r="F15258" s="40" t="s">
        <v>11404</v>
      </c>
      <c r="G15258" s="40" t="s">
        <v>11404</v>
      </c>
      <c r="H15258" s="40" t="s">
        <v>11404</v>
      </c>
    </row>
    <row r="15259">
      <c r="A15259" s="39"/>
      <c r="E15259" s="40" t="s">
        <v>11404</v>
      </c>
      <c r="F15259" s="40" t="s">
        <v>11404</v>
      </c>
      <c r="G15259" s="40" t="s">
        <v>11404</v>
      </c>
      <c r="H15259" s="40" t="s">
        <v>11404</v>
      </c>
    </row>
    <row r="15260">
      <c r="A15260" s="39"/>
      <c r="E15260" s="40" t="s">
        <v>11404</v>
      </c>
      <c r="F15260" s="40" t="s">
        <v>11404</v>
      </c>
      <c r="G15260" s="40" t="s">
        <v>11404</v>
      </c>
      <c r="H15260" s="40" t="s">
        <v>11404</v>
      </c>
    </row>
    <row r="15261">
      <c r="A15261" s="39"/>
      <c r="E15261" s="40" t="s">
        <v>11404</v>
      </c>
      <c r="F15261" s="40" t="s">
        <v>11404</v>
      </c>
      <c r="G15261" s="40" t="s">
        <v>11404</v>
      </c>
      <c r="H15261" s="40" t="s">
        <v>11404</v>
      </c>
    </row>
    <row r="15262">
      <c r="A15262" s="39"/>
      <c r="E15262" s="40" t="s">
        <v>11404</v>
      </c>
      <c r="F15262" s="40" t="s">
        <v>11404</v>
      </c>
      <c r="G15262" s="40" t="s">
        <v>11404</v>
      </c>
      <c r="H15262" s="40" t="s">
        <v>11404</v>
      </c>
    </row>
    <row r="15263">
      <c r="A15263" s="39"/>
      <c r="E15263" s="40" t="s">
        <v>11404</v>
      </c>
      <c r="F15263" s="40" t="s">
        <v>11404</v>
      </c>
      <c r="G15263" s="40" t="s">
        <v>11404</v>
      </c>
      <c r="H15263" s="40" t="s">
        <v>11404</v>
      </c>
    </row>
    <row r="15264">
      <c r="A15264" s="39"/>
      <c r="E15264" s="40" t="s">
        <v>11404</v>
      </c>
      <c r="F15264" s="40" t="s">
        <v>11404</v>
      </c>
      <c r="G15264" s="40" t="s">
        <v>11404</v>
      </c>
      <c r="H15264" s="40" t="s">
        <v>11404</v>
      </c>
    </row>
    <row r="15265">
      <c r="A15265" s="39"/>
      <c r="E15265" s="40" t="s">
        <v>11404</v>
      </c>
      <c r="F15265" s="40" t="s">
        <v>11404</v>
      </c>
      <c r="G15265" s="40" t="s">
        <v>11404</v>
      </c>
      <c r="H15265" s="40" t="s">
        <v>11404</v>
      </c>
    </row>
    <row r="15266">
      <c r="A15266" s="39"/>
      <c r="E15266" s="40" t="s">
        <v>11404</v>
      </c>
      <c r="F15266" s="40" t="s">
        <v>11404</v>
      </c>
      <c r="G15266" s="40" t="s">
        <v>11404</v>
      </c>
      <c r="H15266" s="40" t="s">
        <v>11404</v>
      </c>
    </row>
    <row r="15267">
      <c r="A15267" s="39"/>
      <c r="E15267" s="40" t="s">
        <v>11404</v>
      </c>
      <c r="F15267" s="40" t="s">
        <v>11404</v>
      </c>
      <c r="G15267" s="40" t="s">
        <v>11404</v>
      </c>
      <c r="H15267" s="40" t="s">
        <v>11404</v>
      </c>
    </row>
    <row r="15268">
      <c r="A15268" s="39"/>
      <c r="E15268" s="40" t="s">
        <v>11404</v>
      </c>
      <c r="F15268" s="40" t="s">
        <v>11404</v>
      </c>
      <c r="G15268" s="40" t="s">
        <v>11404</v>
      </c>
      <c r="H15268" s="40" t="s">
        <v>11404</v>
      </c>
    </row>
    <row r="15269">
      <c r="A15269" s="39"/>
      <c r="E15269" s="40" t="s">
        <v>11404</v>
      </c>
      <c r="F15269" s="40" t="s">
        <v>11404</v>
      </c>
      <c r="G15269" s="40" t="s">
        <v>11404</v>
      </c>
      <c r="H15269" s="40" t="s">
        <v>11404</v>
      </c>
    </row>
    <row r="15270">
      <c r="A15270" s="39"/>
      <c r="E15270" s="40" t="s">
        <v>11404</v>
      </c>
      <c r="F15270" s="40" t="s">
        <v>11404</v>
      </c>
      <c r="G15270" s="40" t="s">
        <v>11404</v>
      </c>
      <c r="H15270" s="40" t="s">
        <v>11404</v>
      </c>
    </row>
    <row r="15271">
      <c r="A15271" s="39"/>
      <c r="E15271" s="40" t="s">
        <v>11404</v>
      </c>
      <c r="F15271" s="40" t="s">
        <v>11404</v>
      </c>
      <c r="G15271" s="40" t="s">
        <v>11404</v>
      </c>
      <c r="H15271" s="40" t="s">
        <v>11404</v>
      </c>
    </row>
    <row r="15272">
      <c r="A15272" s="39"/>
      <c r="E15272" s="40" t="s">
        <v>11404</v>
      </c>
      <c r="F15272" s="40" t="s">
        <v>11404</v>
      </c>
      <c r="G15272" s="40" t="s">
        <v>11404</v>
      </c>
      <c r="H15272" s="40" t="s">
        <v>11404</v>
      </c>
    </row>
    <row r="15273">
      <c r="A15273" s="39"/>
      <c r="E15273" s="40" t="s">
        <v>11404</v>
      </c>
      <c r="F15273" s="40" t="s">
        <v>11404</v>
      </c>
      <c r="G15273" s="40" t="s">
        <v>11404</v>
      </c>
      <c r="H15273" s="40" t="s">
        <v>11404</v>
      </c>
    </row>
    <row r="15274">
      <c r="A15274" s="39"/>
      <c r="E15274" s="40" t="s">
        <v>11404</v>
      </c>
      <c r="F15274" s="40" t="s">
        <v>11404</v>
      </c>
      <c r="G15274" s="40" t="s">
        <v>11404</v>
      </c>
      <c r="H15274" s="40" t="s">
        <v>11404</v>
      </c>
    </row>
    <row r="15275">
      <c r="A15275" s="39"/>
      <c r="E15275" s="40" t="s">
        <v>11404</v>
      </c>
      <c r="F15275" s="40" t="s">
        <v>11404</v>
      </c>
      <c r="G15275" s="40" t="s">
        <v>11404</v>
      </c>
      <c r="H15275" s="40" t="s">
        <v>11404</v>
      </c>
    </row>
    <row r="15276">
      <c r="A15276" s="39"/>
      <c r="E15276" s="40" t="s">
        <v>11404</v>
      </c>
      <c r="F15276" s="40" t="s">
        <v>11404</v>
      </c>
      <c r="G15276" s="40" t="s">
        <v>11404</v>
      </c>
      <c r="H15276" s="40" t="s">
        <v>11404</v>
      </c>
    </row>
    <row r="15277">
      <c r="A15277" s="39"/>
      <c r="E15277" s="40" t="s">
        <v>11404</v>
      </c>
      <c r="F15277" s="40" t="s">
        <v>11404</v>
      </c>
      <c r="G15277" s="40" t="s">
        <v>11404</v>
      </c>
      <c r="H15277" s="40" t="s">
        <v>11404</v>
      </c>
    </row>
    <row r="15278">
      <c r="A15278" s="39"/>
      <c r="E15278" s="40" t="s">
        <v>11404</v>
      </c>
      <c r="F15278" s="40" t="s">
        <v>11404</v>
      </c>
      <c r="G15278" s="40" t="s">
        <v>11404</v>
      </c>
      <c r="H15278" s="40" t="s">
        <v>11404</v>
      </c>
    </row>
    <row r="15279">
      <c r="A15279" s="39"/>
      <c r="E15279" s="40" t="s">
        <v>11404</v>
      </c>
      <c r="F15279" s="40" t="s">
        <v>11404</v>
      </c>
      <c r="G15279" s="40" t="s">
        <v>11404</v>
      </c>
      <c r="H15279" s="40" t="s">
        <v>11404</v>
      </c>
    </row>
    <row r="15280">
      <c r="A15280" s="39"/>
      <c r="E15280" s="40" t="s">
        <v>11404</v>
      </c>
      <c r="F15280" s="40" t="s">
        <v>11404</v>
      </c>
      <c r="G15280" s="40" t="s">
        <v>11404</v>
      </c>
      <c r="H15280" s="40" t="s">
        <v>11404</v>
      </c>
    </row>
    <row r="15281">
      <c r="A15281" s="39"/>
      <c r="E15281" s="40" t="s">
        <v>11404</v>
      </c>
      <c r="F15281" s="40" t="s">
        <v>11404</v>
      </c>
      <c r="G15281" s="40" t="s">
        <v>11404</v>
      </c>
      <c r="H15281" s="40" t="s">
        <v>11404</v>
      </c>
    </row>
    <row r="15282">
      <c r="A15282" s="39"/>
      <c r="E15282" s="40" t="s">
        <v>11404</v>
      </c>
      <c r="F15282" s="40" t="s">
        <v>11404</v>
      </c>
      <c r="G15282" s="40" t="s">
        <v>11404</v>
      </c>
      <c r="H15282" s="40" t="s">
        <v>11404</v>
      </c>
    </row>
    <row r="15283">
      <c r="A15283" s="39"/>
      <c r="E15283" s="40" t="s">
        <v>11404</v>
      </c>
      <c r="F15283" s="40" t="s">
        <v>11404</v>
      </c>
      <c r="G15283" s="40" t="s">
        <v>11404</v>
      </c>
      <c r="H15283" s="40" t="s">
        <v>11404</v>
      </c>
    </row>
    <row r="15284">
      <c r="A15284" s="39"/>
      <c r="E15284" s="40" t="s">
        <v>11404</v>
      </c>
      <c r="F15284" s="40" t="s">
        <v>11404</v>
      </c>
      <c r="G15284" s="40" t="s">
        <v>11404</v>
      </c>
      <c r="H15284" s="40" t="s">
        <v>11404</v>
      </c>
    </row>
    <row r="15285">
      <c r="A15285" s="39"/>
      <c r="E15285" s="40" t="s">
        <v>11404</v>
      </c>
      <c r="F15285" s="40" t="s">
        <v>11404</v>
      </c>
      <c r="G15285" s="40" t="s">
        <v>11404</v>
      </c>
      <c r="H15285" s="40" t="s">
        <v>11404</v>
      </c>
    </row>
    <row r="15286">
      <c r="A15286" s="39"/>
      <c r="E15286" s="40" t="s">
        <v>11404</v>
      </c>
      <c r="F15286" s="40" t="s">
        <v>11404</v>
      </c>
      <c r="G15286" s="40" t="s">
        <v>11404</v>
      </c>
      <c r="H15286" s="40" t="s">
        <v>11404</v>
      </c>
    </row>
    <row r="15287">
      <c r="A15287" s="39"/>
      <c r="E15287" s="40" t="s">
        <v>11404</v>
      </c>
      <c r="F15287" s="40" t="s">
        <v>11404</v>
      </c>
      <c r="G15287" s="40" t="s">
        <v>11404</v>
      </c>
      <c r="H15287" s="40" t="s">
        <v>11404</v>
      </c>
    </row>
    <row r="15288">
      <c r="A15288" s="39"/>
      <c r="E15288" s="40" t="s">
        <v>11404</v>
      </c>
      <c r="F15288" s="40" t="s">
        <v>11404</v>
      </c>
      <c r="G15288" s="40" t="s">
        <v>11404</v>
      </c>
      <c r="H15288" s="40" t="s">
        <v>11404</v>
      </c>
    </row>
    <row r="15289">
      <c r="A15289" s="39"/>
      <c r="E15289" s="40" t="s">
        <v>11404</v>
      </c>
      <c r="F15289" s="40" t="s">
        <v>11404</v>
      </c>
      <c r="G15289" s="40" t="s">
        <v>11404</v>
      </c>
      <c r="H15289" s="40" t="s">
        <v>11404</v>
      </c>
    </row>
    <row r="15290">
      <c r="A15290" s="39"/>
      <c r="E15290" s="40" t="s">
        <v>11404</v>
      </c>
      <c r="F15290" s="40" t="s">
        <v>11404</v>
      </c>
      <c r="G15290" s="40" t="s">
        <v>11404</v>
      </c>
      <c r="H15290" s="40" t="s">
        <v>11404</v>
      </c>
    </row>
    <row r="15291">
      <c r="A15291" s="39"/>
      <c r="E15291" s="40" t="s">
        <v>11404</v>
      </c>
      <c r="F15291" s="40" t="s">
        <v>11404</v>
      </c>
      <c r="G15291" s="40" t="s">
        <v>11404</v>
      </c>
      <c r="H15291" s="40" t="s">
        <v>11404</v>
      </c>
    </row>
    <row r="15292">
      <c r="A15292" s="39"/>
      <c r="E15292" s="40" t="s">
        <v>11404</v>
      </c>
      <c r="F15292" s="40" t="s">
        <v>11404</v>
      </c>
      <c r="G15292" s="40" t="s">
        <v>11404</v>
      </c>
      <c r="H15292" s="40" t="s">
        <v>11404</v>
      </c>
    </row>
    <row r="15293">
      <c r="A15293" s="39"/>
      <c r="E15293" s="40" t="s">
        <v>11404</v>
      </c>
      <c r="F15293" s="40" t="s">
        <v>11404</v>
      </c>
      <c r="G15293" s="40" t="s">
        <v>11404</v>
      </c>
      <c r="H15293" s="40" t="s">
        <v>11404</v>
      </c>
    </row>
    <row r="15294">
      <c r="A15294" s="39"/>
      <c r="E15294" s="40" t="s">
        <v>11404</v>
      </c>
      <c r="F15294" s="40" t="s">
        <v>11404</v>
      </c>
      <c r="G15294" s="40" t="s">
        <v>11404</v>
      </c>
      <c r="H15294" s="40" t="s">
        <v>11404</v>
      </c>
    </row>
    <row r="15295">
      <c r="A15295" s="39"/>
      <c r="E15295" s="40" t="s">
        <v>11404</v>
      </c>
      <c r="F15295" s="40" t="s">
        <v>11404</v>
      </c>
      <c r="G15295" s="40" t="s">
        <v>11404</v>
      </c>
      <c r="H15295" s="40" t="s">
        <v>11404</v>
      </c>
    </row>
    <row r="15296">
      <c r="A15296" s="39"/>
      <c r="E15296" s="40" t="s">
        <v>11404</v>
      </c>
      <c r="F15296" s="40" t="s">
        <v>11404</v>
      </c>
      <c r="G15296" s="40" t="s">
        <v>11404</v>
      </c>
      <c r="H15296" s="40" t="s">
        <v>11404</v>
      </c>
    </row>
    <row r="15297">
      <c r="A15297" s="39"/>
      <c r="E15297" s="40" t="s">
        <v>11404</v>
      </c>
      <c r="F15297" s="40" t="s">
        <v>11404</v>
      </c>
      <c r="G15297" s="40" t="s">
        <v>11404</v>
      </c>
      <c r="H15297" s="40" t="s">
        <v>11404</v>
      </c>
    </row>
    <row r="15298">
      <c r="A15298" s="39"/>
      <c r="E15298" s="40" t="s">
        <v>11404</v>
      </c>
      <c r="F15298" s="40" t="s">
        <v>11404</v>
      </c>
      <c r="G15298" s="40" t="s">
        <v>11404</v>
      </c>
      <c r="H15298" s="40" t="s">
        <v>11404</v>
      </c>
    </row>
    <row r="15299">
      <c r="A15299" s="39"/>
      <c r="E15299" s="40" t="s">
        <v>11404</v>
      </c>
      <c r="F15299" s="40" t="s">
        <v>11404</v>
      </c>
      <c r="G15299" s="40" t="s">
        <v>11404</v>
      </c>
      <c r="H15299" s="40" t="s">
        <v>11404</v>
      </c>
    </row>
    <row r="15300">
      <c r="A15300" s="39"/>
      <c r="E15300" s="40" t="s">
        <v>11404</v>
      </c>
      <c r="F15300" s="40" t="s">
        <v>11404</v>
      </c>
      <c r="G15300" s="40" t="s">
        <v>11404</v>
      </c>
      <c r="H15300" s="40" t="s">
        <v>11404</v>
      </c>
    </row>
    <row r="15301">
      <c r="A15301" s="39"/>
      <c r="E15301" s="40" t="s">
        <v>11404</v>
      </c>
      <c r="F15301" s="40" t="s">
        <v>11404</v>
      </c>
      <c r="G15301" s="40" t="s">
        <v>11404</v>
      </c>
      <c r="H15301" s="40" t="s">
        <v>11404</v>
      </c>
    </row>
    <row r="15302">
      <c r="A15302" s="39"/>
      <c r="E15302" s="40" t="s">
        <v>11404</v>
      </c>
      <c r="F15302" s="40" t="s">
        <v>11404</v>
      </c>
      <c r="G15302" s="40" t="s">
        <v>11404</v>
      </c>
      <c r="H15302" s="40" t="s">
        <v>11404</v>
      </c>
    </row>
    <row r="15303">
      <c r="A15303" s="39"/>
      <c r="E15303" s="40" t="s">
        <v>11404</v>
      </c>
      <c r="F15303" s="40" t="s">
        <v>11404</v>
      </c>
      <c r="G15303" s="40" t="s">
        <v>11404</v>
      </c>
      <c r="H15303" s="40" t="s">
        <v>11404</v>
      </c>
    </row>
    <row r="15304">
      <c r="A15304" s="39"/>
      <c r="E15304" s="40" t="s">
        <v>11404</v>
      </c>
      <c r="F15304" s="40" t="s">
        <v>11404</v>
      </c>
      <c r="G15304" s="40" t="s">
        <v>11404</v>
      </c>
      <c r="H15304" s="40" t="s">
        <v>11404</v>
      </c>
    </row>
    <row r="15305">
      <c r="A15305" s="39"/>
      <c r="E15305" s="40" t="s">
        <v>11404</v>
      </c>
      <c r="F15305" s="40" t="s">
        <v>11404</v>
      </c>
      <c r="G15305" s="40" t="s">
        <v>11404</v>
      </c>
      <c r="H15305" s="40" t="s">
        <v>11404</v>
      </c>
    </row>
    <row r="15306">
      <c r="A15306" s="39"/>
      <c r="E15306" s="40" t="s">
        <v>11404</v>
      </c>
      <c r="F15306" s="40" t="s">
        <v>11404</v>
      </c>
      <c r="G15306" s="40" t="s">
        <v>11404</v>
      </c>
      <c r="H15306" s="40" t="s">
        <v>11404</v>
      </c>
    </row>
    <row r="15307">
      <c r="A15307" s="39"/>
      <c r="E15307" s="40" t="s">
        <v>11404</v>
      </c>
      <c r="F15307" s="40" t="s">
        <v>11404</v>
      </c>
      <c r="G15307" s="40" t="s">
        <v>11404</v>
      </c>
      <c r="H15307" s="40" t="s">
        <v>11404</v>
      </c>
    </row>
    <row r="15308">
      <c r="A15308" s="39"/>
      <c r="E15308" s="40" t="s">
        <v>11404</v>
      </c>
      <c r="F15308" s="40" t="s">
        <v>11404</v>
      </c>
      <c r="G15308" s="40" t="s">
        <v>11404</v>
      </c>
      <c r="H15308" s="40" t="s">
        <v>11404</v>
      </c>
    </row>
    <row r="15309">
      <c r="A15309" s="39"/>
      <c r="E15309" s="40" t="s">
        <v>11404</v>
      </c>
      <c r="F15309" s="40" t="s">
        <v>11404</v>
      </c>
      <c r="G15309" s="40" t="s">
        <v>11404</v>
      </c>
      <c r="H15309" s="40" t="s">
        <v>11404</v>
      </c>
    </row>
    <row r="15310">
      <c r="A15310" s="39"/>
      <c r="E15310" s="40" t="s">
        <v>11404</v>
      </c>
      <c r="F15310" s="40" t="s">
        <v>11404</v>
      </c>
      <c r="G15310" s="40" t="s">
        <v>11404</v>
      </c>
      <c r="H15310" s="40" t="s">
        <v>11404</v>
      </c>
    </row>
    <row r="15311">
      <c r="A15311" s="39"/>
      <c r="E15311" s="40" t="s">
        <v>11404</v>
      </c>
      <c r="F15311" s="40" t="s">
        <v>11404</v>
      </c>
      <c r="G15311" s="40" t="s">
        <v>11404</v>
      </c>
      <c r="H15311" s="40" t="s">
        <v>11404</v>
      </c>
    </row>
    <row r="15312">
      <c r="A15312" s="39"/>
      <c r="E15312" s="40" t="s">
        <v>11404</v>
      </c>
      <c r="F15312" s="40" t="s">
        <v>11404</v>
      </c>
      <c r="G15312" s="40" t="s">
        <v>11404</v>
      </c>
      <c r="H15312" s="40" t="s">
        <v>11404</v>
      </c>
    </row>
    <row r="15313">
      <c r="A15313" s="39"/>
      <c r="E15313" s="40" t="s">
        <v>11404</v>
      </c>
      <c r="F15313" s="40" t="s">
        <v>11404</v>
      </c>
      <c r="G15313" s="40" t="s">
        <v>11404</v>
      </c>
      <c r="H15313" s="40" t="s">
        <v>11404</v>
      </c>
    </row>
    <row r="15314">
      <c r="A15314" s="39"/>
      <c r="E15314" s="40" t="s">
        <v>11404</v>
      </c>
      <c r="F15314" s="40" t="s">
        <v>11404</v>
      </c>
      <c r="G15314" s="40" t="s">
        <v>11404</v>
      </c>
      <c r="H15314" s="40" t="s">
        <v>11404</v>
      </c>
    </row>
    <row r="15315">
      <c r="A15315" s="39"/>
      <c r="E15315" s="40" t="s">
        <v>11404</v>
      </c>
      <c r="F15315" s="40" t="s">
        <v>11404</v>
      </c>
      <c r="G15315" s="40" t="s">
        <v>11404</v>
      </c>
      <c r="H15315" s="40" t="s">
        <v>11404</v>
      </c>
    </row>
    <row r="15316">
      <c r="A15316" s="39"/>
      <c r="E15316" s="40" t="s">
        <v>11404</v>
      </c>
      <c r="F15316" s="40" t="s">
        <v>11404</v>
      </c>
      <c r="G15316" s="40" t="s">
        <v>11404</v>
      </c>
      <c r="H15316" s="40" t="s">
        <v>11404</v>
      </c>
    </row>
    <row r="15317">
      <c r="A15317" s="39"/>
      <c r="E15317" s="40" t="s">
        <v>11404</v>
      </c>
      <c r="F15317" s="40" t="s">
        <v>11404</v>
      </c>
      <c r="G15317" s="40" t="s">
        <v>11404</v>
      </c>
      <c r="H15317" s="40" t="s">
        <v>11404</v>
      </c>
    </row>
    <row r="15318">
      <c r="A15318" s="39"/>
      <c r="E15318" s="40" t="s">
        <v>11404</v>
      </c>
      <c r="F15318" s="40" t="s">
        <v>11404</v>
      </c>
      <c r="G15318" s="40" t="s">
        <v>11404</v>
      </c>
      <c r="H15318" s="40" t="s">
        <v>11404</v>
      </c>
    </row>
    <row r="15319">
      <c r="A15319" s="39"/>
      <c r="E15319" s="40" t="s">
        <v>11404</v>
      </c>
      <c r="F15319" s="40" t="s">
        <v>11404</v>
      </c>
      <c r="G15319" s="40" t="s">
        <v>11404</v>
      </c>
      <c r="H15319" s="40" t="s">
        <v>11404</v>
      </c>
    </row>
    <row r="15320">
      <c r="A15320" s="39"/>
      <c r="E15320" s="40" t="s">
        <v>11404</v>
      </c>
      <c r="F15320" s="40" t="s">
        <v>11404</v>
      </c>
      <c r="G15320" s="40" t="s">
        <v>11404</v>
      </c>
      <c r="H15320" s="40" t="s">
        <v>11404</v>
      </c>
    </row>
    <row r="15321">
      <c r="A15321" s="39"/>
      <c r="E15321" s="40" t="s">
        <v>11404</v>
      </c>
      <c r="F15321" s="40" t="s">
        <v>11404</v>
      </c>
      <c r="G15321" s="40" t="s">
        <v>11404</v>
      </c>
      <c r="H15321" s="40" t="s">
        <v>11404</v>
      </c>
    </row>
    <row r="15322">
      <c r="A15322" s="39"/>
      <c r="E15322" s="40" t="s">
        <v>11404</v>
      </c>
      <c r="F15322" s="40" t="s">
        <v>11404</v>
      </c>
      <c r="G15322" s="40" t="s">
        <v>11404</v>
      </c>
      <c r="H15322" s="40" t="s">
        <v>11404</v>
      </c>
    </row>
    <row r="15323">
      <c r="A15323" s="39"/>
      <c r="E15323" s="40" t="s">
        <v>11404</v>
      </c>
      <c r="F15323" s="40" t="s">
        <v>11404</v>
      </c>
      <c r="G15323" s="40" t="s">
        <v>11404</v>
      </c>
      <c r="H15323" s="40" t="s">
        <v>11404</v>
      </c>
    </row>
    <row r="15324">
      <c r="A15324" s="39"/>
      <c r="E15324" s="40" t="s">
        <v>11404</v>
      </c>
      <c r="F15324" s="40" t="s">
        <v>11404</v>
      </c>
      <c r="G15324" s="40" t="s">
        <v>11404</v>
      </c>
      <c r="H15324" s="40" t="s">
        <v>11404</v>
      </c>
    </row>
    <row r="15325">
      <c r="A15325" s="39"/>
      <c r="E15325" s="40" t="s">
        <v>11404</v>
      </c>
      <c r="F15325" s="40" t="s">
        <v>11404</v>
      </c>
      <c r="G15325" s="40" t="s">
        <v>11404</v>
      </c>
      <c r="H15325" s="40" t="s">
        <v>11404</v>
      </c>
    </row>
    <row r="15326">
      <c r="A15326" s="39"/>
      <c r="E15326" s="40" t="s">
        <v>11404</v>
      </c>
      <c r="F15326" s="40" t="s">
        <v>11404</v>
      </c>
      <c r="G15326" s="40" t="s">
        <v>11404</v>
      </c>
      <c r="H15326" s="40" t="s">
        <v>11404</v>
      </c>
    </row>
    <row r="15327">
      <c r="A15327" s="39"/>
      <c r="E15327" s="40" t="s">
        <v>11404</v>
      </c>
      <c r="F15327" s="40" t="s">
        <v>11404</v>
      </c>
      <c r="G15327" s="40" t="s">
        <v>11404</v>
      </c>
      <c r="H15327" s="40" t="s">
        <v>11404</v>
      </c>
    </row>
    <row r="15328">
      <c r="A15328" s="39"/>
      <c r="E15328" s="40" t="s">
        <v>11404</v>
      </c>
      <c r="F15328" s="40" t="s">
        <v>11404</v>
      </c>
      <c r="G15328" s="40" t="s">
        <v>11404</v>
      </c>
      <c r="H15328" s="40" t="s">
        <v>11404</v>
      </c>
    </row>
    <row r="15329">
      <c r="A15329" s="39"/>
      <c r="E15329" s="40" t="s">
        <v>11404</v>
      </c>
      <c r="F15329" s="40" t="s">
        <v>11404</v>
      </c>
      <c r="G15329" s="40" t="s">
        <v>11404</v>
      </c>
      <c r="H15329" s="40" t="s">
        <v>11404</v>
      </c>
    </row>
    <row r="15330">
      <c r="A15330" s="39"/>
      <c r="E15330" s="40" t="s">
        <v>11404</v>
      </c>
      <c r="F15330" s="40" t="s">
        <v>11404</v>
      </c>
      <c r="G15330" s="40" t="s">
        <v>11404</v>
      </c>
      <c r="H15330" s="40" t="s">
        <v>11404</v>
      </c>
    </row>
    <row r="15331">
      <c r="A15331" s="39"/>
      <c r="E15331" s="40" t="s">
        <v>11404</v>
      </c>
      <c r="F15331" s="40" t="s">
        <v>11404</v>
      </c>
      <c r="G15331" s="40" t="s">
        <v>11404</v>
      </c>
      <c r="H15331" s="40" t="s">
        <v>11404</v>
      </c>
    </row>
    <row r="15332">
      <c r="A15332" s="39"/>
      <c r="E15332" s="40" t="s">
        <v>11404</v>
      </c>
      <c r="F15332" s="40" t="s">
        <v>11404</v>
      </c>
      <c r="G15332" s="40" t="s">
        <v>11404</v>
      </c>
      <c r="H15332" s="40" t="s">
        <v>11404</v>
      </c>
    </row>
    <row r="15333">
      <c r="A15333" s="39"/>
      <c r="E15333" s="40" t="s">
        <v>11404</v>
      </c>
      <c r="F15333" s="40" t="s">
        <v>11404</v>
      </c>
      <c r="G15333" s="40" t="s">
        <v>11404</v>
      </c>
      <c r="H15333" s="40" t="s">
        <v>11404</v>
      </c>
    </row>
    <row r="15334">
      <c r="A15334" s="39"/>
      <c r="E15334" s="40" t="s">
        <v>11404</v>
      </c>
      <c r="F15334" s="40" t="s">
        <v>11404</v>
      </c>
      <c r="G15334" s="40" t="s">
        <v>11404</v>
      </c>
      <c r="H15334" s="40" t="s">
        <v>11404</v>
      </c>
    </row>
    <row r="15335">
      <c r="A15335" s="39"/>
      <c r="E15335" s="40" t="s">
        <v>11404</v>
      </c>
      <c r="F15335" s="40" t="s">
        <v>11404</v>
      </c>
      <c r="G15335" s="40" t="s">
        <v>11404</v>
      </c>
      <c r="H15335" s="40" t="s">
        <v>11404</v>
      </c>
    </row>
    <row r="15336">
      <c r="A15336" s="39"/>
      <c r="E15336" s="40" t="s">
        <v>11404</v>
      </c>
      <c r="F15336" s="40" t="s">
        <v>11404</v>
      </c>
      <c r="G15336" s="40" t="s">
        <v>11404</v>
      </c>
      <c r="H15336" s="40" t="s">
        <v>11404</v>
      </c>
    </row>
    <row r="15337">
      <c r="A15337" s="39"/>
      <c r="E15337" s="40" t="s">
        <v>11404</v>
      </c>
      <c r="F15337" s="40" t="s">
        <v>11404</v>
      </c>
      <c r="G15337" s="40" t="s">
        <v>11404</v>
      </c>
      <c r="H15337" s="40" t="s">
        <v>11404</v>
      </c>
    </row>
    <row r="15338">
      <c r="A15338" s="39"/>
      <c r="E15338" s="40" t="s">
        <v>11404</v>
      </c>
      <c r="F15338" s="40" t="s">
        <v>11404</v>
      </c>
      <c r="G15338" s="40" t="s">
        <v>11404</v>
      </c>
      <c r="H15338" s="40" t="s">
        <v>11404</v>
      </c>
    </row>
    <row r="15339">
      <c r="A15339" s="39"/>
      <c r="E15339" s="40" t="s">
        <v>11404</v>
      </c>
      <c r="F15339" s="40" t="s">
        <v>11404</v>
      </c>
      <c r="G15339" s="40" t="s">
        <v>11404</v>
      </c>
      <c r="H15339" s="40" t="s">
        <v>11404</v>
      </c>
    </row>
    <row r="15340">
      <c r="A15340" s="39"/>
      <c r="E15340" s="40" t="s">
        <v>11404</v>
      </c>
      <c r="F15340" s="40" t="s">
        <v>11404</v>
      </c>
      <c r="G15340" s="40" t="s">
        <v>11404</v>
      </c>
      <c r="H15340" s="40" t="s">
        <v>11404</v>
      </c>
    </row>
    <row r="15341">
      <c r="A15341" s="39"/>
      <c r="E15341" s="40" t="s">
        <v>11404</v>
      </c>
      <c r="F15341" s="40" t="s">
        <v>11404</v>
      </c>
      <c r="G15341" s="40" t="s">
        <v>11404</v>
      </c>
      <c r="H15341" s="40" t="s">
        <v>11404</v>
      </c>
    </row>
    <row r="15342">
      <c r="A15342" s="39"/>
      <c r="E15342" s="40" t="s">
        <v>11404</v>
      </c>
      <c r="F15342" s="40" t="s">
        <v>11404</v>
      </c>
      <c r="G15342" s="40" t="s">
        <v>11404</v>
      </c>
      <c r="H15342" s="40" t="s">
        <v>11404</v>
      </c>
    </row>
    <row r="15343">
      <c r="A15343" s="39"/>
      <c r="E15343" s="40" t="s">
        <v>11404</v>
      </c>
      <c r="F15343" s="40" t="s">
        <v>11404</v>
      </c>
      <c r="G15343" s="40" t="s">
        <v>11404</v>
      </c>
      <c r="H15343" s="40" t="s">
        <v>11404</v>
      </c>
    </row>
    <row r="15344">
      <c r="A15344" s="39"/>
      <c r="E15344" s="40" t="s">
        <v>11404</v>
      </c>
      <c r="F15344" s="40" t="s">
        <v>11404</v>
      </c>
      <c r="G15344" s="40" t="s">
        <v>11404</v>
      </c>
      <c r="H15344" s="40" t="s">
        <v>11404</v>
      </c>
    </row>
    <row r="15345">
      <c r="A15345" s="39"/>
      <c r="E15345" s="40" t="s">
        <v>11404</v>
      </c>
      <c r="F15345" s="40" t="s">
        <v>11404</v>
      </c>
      <c r="G15345" s="40" t="s">
        <v>11404</v>
      </c>
      <c r="H15345" s="40" t="s">
        <v>11404</v>
      </c>
    </row>
    <row r="15346">
      <c r="A15346" s="39"/>
      <c r="E15346" s="40" t="s">
        <v>11404</v>
      </c>
      <c r="F15346" s="40" t="s">
        <v>11404</v>
      </c>
      <c r="G15346" s="40" t="s">
        <v>11404</v>
      </c>
      <c r="H15346" s="40" t="s">
        <v>11404</v>
      </c>
    </row>
    <row r="15347">
      <c r="A15347" s="39"/>
      <c r="E15347" s="40" t="s">
        <v>11404</v>
      </c>
      <c r="F15347" s="40" t="s">
        <v>11404</v>
      </c>
      <c r="G15347" s="40" t="s">
        <v>11404</v>
      </c>
      <c r="H15347" s="40" t="s">
        <v>11404</v>
      </c>
    </row>
    <row r="15348">
      <c r="A15348" s="39"/>
      <c r="E15348" s="40" t="s">
        <v>11404</v>
      </c>
      <c r="F15348" s="40" t="s">
        <v>11404</v>
      </c>
      <c r="G15348" s="40" t="s">
        <v>11404</v>
      </c>
      <c r="H15348" s="40" t="s">
        <v>11404</v>
      </c>
    </row>
    <row r="15349">
      <c r="A15349" s="39"/>
      <c r="E15349" s="40" t="s">
        <v>11404</v>
      </c>
      <c r="F15349" s="40" t="s">
        <v>11404</v>
      </c>
      <c r="G15349" s="40" t="s">
        <v>11404</v>
      </c>
      <c r="H15349" s="40" t="s">
        <v>11404</v>
      </c>
    </row>
    <row r="15350">
      <c r="A15350" s="39"/>
      <c r="E15350" s="40" t="s">
        <v>11404</v>
      </c>
      <c r="F15350" s="40" t="s">
        <v>11404</v>
      </c>
      <c r="G15350" s="40" t="s">
        <v>11404</v>
      </c>
      <c r="H15350" s="40" t="s">
        <v>11404</v>
      </c>
    </row>
    <row r="15351">
      <c r="A15351" s="39"/>
      <c r="E15351" s="40" t="s">
        <v>11404</v>
      </c>
      <c r="F15351" s="40" t="s">
        <v>11404</v>
      </c>
      <c r="G15351" s="40" t="s">
        <v>11404</v>
      </c>
      <c r="H15351" s="40" t="s">
        <v>11404</v>
      </c>
    </row>
    <row r="15352">
      <c r="A15352" s="39"/>
      <c r="E15352" s="40" t="s">
        <v>11404</v>
      </c>
      <c r="F15352" s="40" t="s">
        <v>11404</v>
      </c>
      <c r="G15352" s="40" t="s">
        <v>11404</v>
      </c>
      <c r="H15352" s="40" t="s">
        <v>11404</v>
      </c>
    </row>
    <row r="15353">
      <c r="A15353" s="39"/>
      <c r="E15353" s="40" t="s">
        <v>11404</v>
      </c>
      <c r="F15353" s="40" t="s">
        <v>11404</v>
      </c>
      <c r="G15353" s="40" t="s">
        <v>11404</v>
      </c>
      <c r="H15353" s="40" t="s">
        <v>11404</v>
      </c>
    </row>
    <row r="15354">
      <c r="A15354" s="39"/>
      <c r="E15354" s="40" t="s">
        <v>11404</v>
      </c>
      <c r="F15354" s="40" t="s">
        <v>11404</v>
      </c>
      <c r="G15354" s="40" t="s">
        <v>11404</v>
      </c>
      <c r="H15354" s="40" t="s">
        <v>11404</v>
      </c>
    </row>
    <row r="15355">
      <c r="A15355" s="39"/>
      <c r="E15355" s="40" t="s">
        <v>11404</v>
      </c>
      <c r="F15355" s="40" t="s">
        <v>11404</v>
      </c>
      <c r="G15355" s="40" t="s">
        <v>11404</v>
      </c>
      <c r="H15355" s="40" t="s">
        <v>11404</v>
      </c>
    </row>
    <row r="15356">
      <c r="A15356" s="39"/>
      <c r="E15356" s="40" t="s">
        <v>11404</v>
      </c>
      <c r="F15356" s="40" t="s">
        <v>11404</v>
      </c>
      <c r="G15356" s="40" t="s">
        <v>11404</v>
      </c>
      <c r="H15356" s="40" t="s">
        <v>11404</v>
      </c>
    </row>
    <row r="15357">
      <c r="A15357" s="39"/>
      <c r="E15357" s="40" t="s">
        <v>11404</v>
      </c>
      <c r="F15357" s="40" t="s">
        <v>11404</v>
      </c>
      <c r="G15357" s="40" t="s">
        <v>11404</v>
      </c>
      <c r="H15357" s="40" t="s">
        <v>11404</v>
      </c>
    </row>
    <row r="15358">
      <c r="A15358" s="39"/>
      <c r="E15358" s="40" t="s">
        <v>11404</v>
      </c>
      <c r="F15358" s="40" t="s">
        <v>11404</v>
      </c>
      <c r="G15358" s="40" t="s">
        <v>11404</v>
      </c>
      <c r="H15358" s="40" t="s">
        <v>11404</v>
      </c>
    </row>
    <row r="15359">
      <c r="A15359" s="39"/>
      <c r="E15359" s="40" t="s">
        <v>11404</v>
      </c>
      <c r="F15359" s="40" t="s">
        <v>11404</v>
      </c>
      <c r="G15359" s="40" t="s">
        <v>11404</v>
      </c>
      <c r="H15359" s="40" t="s">
        <v>11404</v>
      </c>
    </row>
    <row r="15360">
      <c r="A15360" s="39"/>
      <c r="E15360" s="40" t="s">
        <v>11404</v>
      </c>
      <c r="F15360" s="40" t="s">
        <v>11404</v>
      </c>
      <c r="G15360" s="40" t="s">
        <v>11404</v>
      </c>
      <c r="H15360" s="40" t="s">
        <v>11404</v>
      </c>
    </row>
    <row r="15361">
      <c r="A15361" s="39"/>
      <c r="E15361" s="40" t="s">
        <v>11404</v>
      </c>
      <c r="F15361" s="40" t="s">
        <v>11404</v>
      </c>
      <c r="G15361" s="40" t="s">
        <v>11404</v>
      </c>
      <c r="H15361" s="40" t="s">
        <v>11404</v>
      </c>
    </row>
    <row r="15362">
      <c r="A15362" s="39"/>
      <c r="E15362" s="40" t="s">
        <v>11404</v>
      </c>
      <c r="F15362" s="40" t="s">
        <v>11404</v>
      </c>
      <c r="G15362" s="40" t="s">
        <v>11404</v>
      </c>
      <c r="H15362" s="40" t="s">
        <v>11404</v>
      </c>
    </row>
    <row r="15363">
      <c r="A15363" s="39"/>
      <c r="E15363" s="40" t="s">
        <v>11404</v>
      </c>
      <c r="F15363" s="40" t="s">
        <v>11404</v>
      </c>
      <c r="G15363" s="40" t="s">
        <v>11404</v>
      </c>
      <c r="H15363" s="40" t="s">
        <v>11404</v>
      </c>
    </row>
    <row r="15364">
      <c r="A15364" s="39"/>
      <c r="E15364" s="40" t="s">
        <v>11404</v>
      </c>
      <c r="F15364" s="40" t="s">
        <v>11404</v>
      </c>
      <c r="G15364" s="40" t="s">
        <v>11404</v>
      </c>
      <c r="H15364" s="40" t="s">
        <v>11404</v>
      </c>
    </row>
    <row r="15365">
      <c r="A15365" s="39"/>
      <c r="E15365" s="40" t="s">
        <v>11404</v>
      </c>
      <c r="F15365" s="40" t="s">
        <v>11404</v>
      </c>
      <c r="G15365" s="40" t="s">
        <v>11404</v>
      </c>
      <c r="H15365" s="40" t="s">
        <v>11404</v>
      </c>
    </row>
    <row r="15366">
      <c r="A15366" s="39"/>
      <c r="E15366" s="40" t="s">
        <v>11404</v>
      </c>
      <c r="F15366" s="40" t="s">
        <v>11404</v>
      </c>
      <c r="G15366" s="40" t="s">
        <v>11404</v>
      </c>
      <c r="H15366" s="40" t="s">
        <v>11404</v>
      </c>
    </row>
    <row r="15367">
      <c r="A15367" s="39"/>
      <c r="E15367" s="40" t="s">
        <v>11404</v>
      </c>
      <c r="F15367" s="40" t="s">
        <v>11404</v>
      </c>
      <c r="G15367" s="40" t="s">
        <v>11404</v>
      </c>
      <c r="H15367" s="40" t="s">
        <v>11404</v>
      </c>
    </row>
    <row r="15368">
      <c r="A15368" s="39"/>
      <c r="E15368" s="40" t="s">
        <v>11404</v>
      </c>
      <c r="F15368" s="40" t="s">
        <v>11404</v>
      </c>
      <c r="G15368" s="40" t="s">
        <v>11404</v>
      </c>
      <c r="H15368" s="40" t="s">
        <v>11404</v>
      </c>
    </row>
    <row r="15369">
      <c r="A15369" s="39"/>
      <c r="E15369" s="40" t="s">
        <v>11404</v>
      </c>
      <c r="F15369" s="40" t="s">
        <v>11404</v>
      </c>
      <c r="G15369" s="40" t="s">
        <v>11404</v>
      </c>
      <c r="H15369" s="40" t="s">
        <v>11404</v>
      </c>
    </row>
    <row r="15370">
      <c r="A15370" s="39"/>
      <c r="E15370" s="40" t="s">
        <v>11404</v>
      </c>
      <c r="F15370" s="40" t="s">
        <v>11404</v>
      </c>
      <c r="G15370" s="40" t="s">
        <v>11404</v>
      </c>
      <c r="H15370" s="40" t="s">
        <v>11404</v>
      </c>
    </row>
    <row r="15371">
      <c r="A15371" s="39"/>
      <c r="E15371" s="40" t="s">
        <v>11404</v>
      </c>
      <c r="F15371" s="40" t="s">
        <v>11404</v>
      </c>
      <c r="G15371" s="40" t="s">
        <v>11404</v>
      </c>
      <c r="H15371" s="40" t="s">
        <v>11404</v>
      </c>
    </row>
    <row r="15372">
      <c r="A15372" s="39"/>
      <c r="E15372" s="40" t="s">
        <v>11404</v>
      </c>
      <c r="F15372" s="40" t="s">
        <v>11404</v>
      </c>
      <c r="G15372" s="40" t="s">
        <v>11404</v>
      </c>
      <c r="H15372" s="40" t="s">
        <v>11404</v>
      </c>
    </row>
    <row r="15373">
      <c r="A15373" s="39"/>
      <c r="E15373" s="40" t="s">
        <v>11404</v>
      </c>
      <c r="F15373" s="40" t="s">
        <v>11404</v>
      </c>
      <c r="G15373" s="40" t="s">
        <v>11404</v>
      </c>
      <c r="H15373" s="40" t="s">
        <v>11404</v>
      </c>
    </row>
    <row r="15374">
      <c r="A15374" s="39"/>
      <c r="E15374" s="40" t="s">
        <v>11404</v>
      </c>
      <c r="F15374" s="40" t="s">
        <v>11404</v>
      </c>
      <c r="G15374" s="40" t="s">
        <v>11404</v>
      </c>
      <c r="H15374" s="40" t="s">
        <v>11404</v>
      </c>
    </row>
    <row r="15375">
      <c r="A15375" s="39"/>
      <c r="E15375" s="40" t="s">
        <v>11404</v>
      </c>
      <c r="F15375" s="40" t="s">
        <v>11404</v>
      </c>
      <c r="G15375" s="40" t="s">
        <v>11404</v>
      </c>
      <c r="H15375" s="40" t="s">
        <v>11404</v>
      </c>
    </row>
    <row r="15376">
      <c r="A15376" s="39"/>
      <c r="E15376" s="40" t="s">
        <v>11404</v>
      </c>
      <c r="F15376" s="40" t="s">
        <v>11404</v>
      </c>
      <c r="G15376" s="40" t="s">
        <v>11404</v>
      </c>
      <c r="H15376" s="40" t="s">
        <v>11404</v>
      </c>
    </row>
    <row r="15377">
      <c r="A15377" s="39"/>
      <c r="E15377" s="40" t="s">
        <v>11404</v>
      </c>
      <c r="F15377" s="40" t="s">
        <v>11404</v>
      </c>
      <c r="G15377" s="40" t="s">
        <v>11404</v>
      </c>
      <c r="H15377" s="40" t="s">
        <v>11404</v>
      </c>
    </row>
    <row r="15378">
      <c r="A15378" s="39"/>
      <c r="E15378" s="40" t="s">
        <v>11404</v>
      </c>
      <c r="F15378" s="40" t="s">
        <v>11404</v>
      </c>
      <c r="G15378" s="40" t="s">
        <v>11404</v>
      </c>
      <c r="H15378" s="40" t="s">
        <v>11404</v>
      </c>
    </row>
    <row r="15379">
      <c r="A15379" s="39"/>
      <c r="E15379" s="40" t="s">
        <v>11404</v>
      </c>
      <c r="F15379" s="40" t="s">
        <v>11404</v>
      </c>
      <c r="G15379" s="40" t="s">
        <v>11404</v>
      </c>
      <c r="H15379" s="40" t="s">
        <v>11404</v>
      </c>
    </row>
    <row r="15380">
      <c r="A15380" s="39"/>
      <c r="E15380" s="40" t="s">
        <v>11404</v>
      </c>
      <c r="F15380" s="40" t="s">
        <v>11404</v>
      </c>
      <c r="G15380" s="40" t="s">
        <v>11404</v>
      </c>
      <c r="H15380" s="40" t="s">
        <v>11404</v>
      </c>
    </row>
    <row r="15381">
      <c r="A15381" s="39"/>
      <c r="E15381" s="40" t="s">
        <v>11404</v>
      </c>
      <c r="F15381" s="40" t="s">
        <v>11404</v>
      </c>
      <c r="G15381" s="40" t="s">
        <v>11404</v>
      </c>
      <c r="H15381" s="40" t="s">
        <v>11404</v>
      </c>
    </row>
    <row r="15382">
      <c r="A15382" s="39"/>
      <c r="E15382" s="40" t="s">
        <v>11404</v>
      </c>
      <c r="F15382" s="40" t="s">
        <v>11404</v>
      </c>
      <c r="G15382" s="40" t="s">
        <v>11404</v>
      </c>
      <c r="H15382" s="40" t="s">
        <v>11404</v>
      </c>
    </row>
    <row r="15383">
      <c r="A15383" s="39"/>
      <c r="E15383" s="40" t="s">
        <v>11404</v>
      </c>
      <c r="F15383" s="40" t="s">
        <v>11404</v>
      </c>
      <c r="G15383" s="40" t="s">
        <v>11404</v>
      </c>
      <c r="H15383" s="40" t="s">
        <v>11404</v>
      </c>
    </row>
    <row r="15384">
      <c r="A15384" s="39"/>
      <c r="E15384" s="40" t="s">
        <v>11404</v>
      </c>
      <c r="F15384" s="40" t="s">
        <v>11404</v>
      </c>
      <c r="G15384" s="40" t="s">
        <v>11404</v>
      </c>
      <c r="H15384" s="40" t="s">
        <v>11404</v>
      </c>
    </row>
    <row r="15385">
      <c r="A15385" s="39"/>
      <c r="E15385" s="40" t="s">
        <v>11404</v>
      </c>
      <c r="F15385" s="40" t="s">
        <v>11404</v>
      </c>
      <c r="G15385" s="40" t="s">
        <v>11404</v>
      </c>
      <c r="H15385" s="40" t="s">
        <v>11404</v>
      </c>
    </row>
    <row r="15386">
      <c r="A15386" s="39"/>
      <c r="E15386" s="40" t="s">
        <v>11404</v>
      </c>
      <c r="F15386" s="40" t="s">
        <v>11404</v>
      </c>
      <c r="G15386" s="40" t="s">
        <v>11404</v>
      </c>
      <c r="H15386" s="40" t="s">
        <v>11404</v>
      </c>
    </row>
    <row r="15387">
      <c r="A15387" s="39"/>
      <c r="E15387" s="40" t="s">
        <v>11404</v>
      </c>
      <c r="F15387" s="40" t="s">
        <v>11404</v>
      </c>
      <c r="G15387" s="40" t="s">
        <v>11404</v>
      </c>
      <c r="H15387" s="40" t="s">
        <v>11404</v>
      </c>
    </row>
    <row r="15388">
      <c r="A15388" s="39"/>
      <c r="E15388" s="40" t="s">
        <v>11404</v>
      </c>
      <c r="F15388" s="40" t="s">
        <v>11404</v>
      </c>
      <c r="G15388" s="40" t="s">
        <v>11404</v>
      </c>
      <c r="H15388" s="40" t="s">
        <v>11404</v>
      </c>
    </row>
    <row r="15389">
      <c r="A15389" s="39"/>
      <c r="E15389" s="40" t="s">
        <v>11404</v>
      </c>
      <c r="F15389" s="40" t="s">
        <v>11404</v>
      </c>
      <c r="G15389" s="40" t="s">
        <v>11404</v>
      </c>
      <c r="H15389" s="40" t="s">
        <v>11404</v>
      </c>
    </row>
    <row r="15390">
      <c r="A15390" s="39"/>
      <c r="E15390" s="40" t="s">
        <v>11404</v>
      </c>
      <c r="F15390" s="40" t="s">
        <v>11404</v>
      </c>
      <c r="G15390" s="40" t="s">
        <v>11404</v>
      </c>
      <c r="H15390" s="40" t="s">
        <v>11404</v>
      </c>
    </row>
    <row r="15391">
      <c r="A15391" s="39"/>
      <c r="E15391" s="40" t="s">
        <v>11404</v>
      </c>
      <c r="F15391" s="40" t="s">
        <v>11404</v>
      </c>
      <c r="G15391" s="40" t="s">
        <v>11404</v>
      </c>
      <c r="H15391" s="40" t="s">
        <v>11404</v>
      </c>
    </row>
    <row r="15392">
      <c r="A15392" s="39"/>
      <c r="E15392" s="40" t="s">
        <v>11404</v>
      </c>
      <c r="F15392" s="40" t="s">
        <v>11404</v>
      </c>
      <c r="G15392" s="40" t="s">
        <v>11404</v>
      </c>
      <c r="H15392" s="40" t="s">
        <v>11404</v>
      </c>
    </row>
    <row r="15393">
      <c r="A15393" s="39"/>
      <c r="E15393" s="40" t="s">
        <v>11404</v>
      </c>
      <c r="F15393" s="40" t="s">
        <v>11404</v>
      </c>
      <c r="G15393" s="40" t="s">
        <v>11404</v>
      </c>
      <c r="H15393" s="40" t="s">
        <v>11404</v>
      </c>
    </row>
    <row r="15394">
      <c r="A15394" s="39"/>
      <c r="E15394" s="40" t="s">
        <v>11404</v>
      </c>
      <c r="F15394" s="40" t="s">
        <v>11404</v>
      </c>
      <c r="G15394" s="40" t="s">
        <v>11404</v>
      </c>
      <c r="H15394" s="40" t="s">
        <v>11404</v>
      </c>
    </row>
    <row r="15395">
      <c r="A15395" s="39"/>
      <c r="E15395" s="40" t="s">
        <v>11404</v>
      </c>
      <c r="F15395" s="40" t="s">
        <v>11404</v>
      </c>
      <c r="G15395" s="40" t="s">
        <v>11404</v>
      </c>
      <c r="H15395" s="40" t="s">
        <v>11404</v>
      </c>
    </row>
    <row r="15396">
      <c r="A15396" s="39"/>
      <c r="E15396" s="40" t="s">
        <v>11404</v>
      </c>
      <c r="F15396" s="40" t="s">
        <v>11404</v>
      </c>
      <c r="G15396" s="40" t="s">
        <v>11404</v>
      </c>
      <c r="H15396" s="40" t="s">
        <v>11404</v>
      </c>
    </row>
    <row r="15397">
      <c r="A15397" s="39"/>
      <c r="E15397" s="40" t="s">
        <v>11404</v>
      </c>
      <c r="F15397" s="40" t="s">
        <v>11404</v>
      </c>
      <c r="G15397" s="40" t="s">
        <v>11404</v>
      </c>
      <c r="H15397" s="40" t="s">
        <v>11404</v>
      </c>
    </row>
    <row r="15398">
      <c r="A15398" s="39"/>
      <c r="E15398" s="40" t="s">
        <v>11404</v>
      </c>
      <c r="F15398" s="40" t="s">
        <v>11404</v>
      </c>
      <c r="G15398" s="40" t="s">
        <v>11404</v>
      </c>
      <c r="H15398" s="40" t="s">
        <v>11404</v>
      </c>
    </row>
    <row r="15399">
      <c r="A15399" s="39"/>
      <c r="E15399" s="40" t="s">
        <v>11404</v>
      </c>
      <c r="F15399" s="40" t="s">
        <v>11404</v>
      </c>
      <c r="G15399" s="40" t="s">
        <v>11404</v>
      </c>
      <c r="H15399" s="40" t="s">
        <v>11404</v>
      </c>
    </row>
    <row r="15400">
      <c r="A15400" s="39"/>
      <c r="E15400" s="40" t="s">
        <v>11404</v>
      </c>
      <c r="F15400" s="40" t="s">
        <v>11404</v>
      </c>
      <c r="G15400" s="40" t="s">
        <v>11404</v>
      </c>
      <c r="H15400" s="40" t="s">
        <v>11404</v>
      </c>
    </row>
    <row r="15401">
      <c r="A15401" s="39"/>
      <c r="E15401" s="40" t="s">
        <v>11404</v>
      </c>
      <c r="F15401" s="40" t="s">
        <v>11404</v>
      </c>
      <c r="G15401" s="40" t="s">
        <v>11404</v>
      </c>
      <c r="H15401" s="40" t="s">
        <v>11404</v>
      </c>
    </row>
    <row r="15402">
      <c r="A15402" s="39"/>
      <c r="E15402" s="40" t="s">
        <v>11404</v>
      </c>
      <c r="F15402" s="40" t="s">
        <v>11404</v>
      </c>
      <c r="G15402" s="40" t="s">
        <v>11404</v>
      </c>
      <c r="H15402" s="40" t="s">
        <v>11404</v>
      </c>
    </row>
    <row r="15403">
      <c r="A15403" s="39"/>
      <c r="E15403" s="40" t="s">
        <v>11404</v>
      </c>
      <c r="F15403" s="40" t="s">
        <v>11404</v>
      </c>
      <c r="G15403" s="40" t="s">
        <v>11404</v>
      </c>
      <c r="H15403" s="40" t="s">
        <v>11404</v>
      </c>
    </row>
    <row r="15404">
      <c r="A15404" s="39"/>
      <c r="E15404" s="40" t="s">
        <v>11404</v>
      </c>
      <c r="F15404" s="40" t="s">
        <v>11404</v>
      </c>
      <c r="G15404" s="40" t="s">
        <v>11404</v>
      </c>
      <c r="H15404" s="40" t="s">
        <v>11404</v>
      </c>
    </row>
    <row r="15405">
      <c r="A15405" s="39"/>
      <c r="E15405" s="40" t="s">
        <v>11404</v>
      </c>
      <c r="F15405" s="40" t="s">
        <v>11404</v>
      </c>
      <c r="G15405" s="40" t="s">
        <v>11404</v>
      </c>
      <c r="H15405" s="40" t="s">
        <v>11404</v>
      </c>
    </row>
    <row r="15406">
      <c r="A15406" s="39"/>
      <c r="E15406" s="40" t="s">
        <v>11404</v>
      </c>
      <c r="F15406" s="40" t="s">
        <v>11404</v>
      </c>
      <c r="G15406" s="40" t="s">
        <v>11404</v>
      </c>
      <c r="H15406" s="40" t="s">
        <v>11404</v>
      </c>
    </row>
    <row r="15407">
      <c r="A15407" s="39"/>
      <c r="E15407" s="40" t="s">
        <v>11404</v>
      </c>
      <c r="F15407" s="40" t="s">
        <v>11404</v>
      </c>
      <c r="G15407" s="40" t="s">
        <v>11404</v>
      </c>
      <c r="H15407" s="40" t="s">
        <v>11404</v>
      </c>
    </row>
    <row r="15408">
      <c r="A15408" s="39"/>
      <c r="E15408" s="40" t="s">
        <v>11404</v>
      </c>
      <c r="F15408" s="40" t="s">
        <v>11404</v>
      </c>
      <c r="G15408" s="40" t="s">
        <v>11404</v>
      </c>
      <c r="H15408" s="40" t="s">
        <v>11404</v>
      </c>
    </row>
    <row r="15409">
      <c r="A15409" s="39"/>
      <c r="E15409" s="40" t="s">
        <v>11404</v>
      </c>
      <c r="F15409" s="40" t="s">
        <v>11404</v>
      </c>
      <c r="G15409" s="40" t="s">
        <v>11404</v>
      </c>
      <c r="H15409" s="40" t="s">
        <v>11404</v>
      </c>
    </row>
    <row r="15410">
      <c r="A15410" s="39"/>
      <c r="E15410" s="40" t="s">
        <v>11404</v>
      </c>
      <c r="F15410" s="40" t="s">
        <v>11404</v>
      </c>
      <c r="G15410" s="40" t="s">
        <v>11404</v>
      </c>
      <c r="H15410" s="40" t="s">
        <v>11404</v>
      </c>
    </row>
    <row r="15411">
      <c r="A15411" s="39"/>
      <c r="E15411" s="40" t="s">
        <v>11404</v>
      </c>
      <c r="F15411" s="40" t="s">
        <v>11404</v>
      </c>
      <c r="G15411" s="40" t="s">
        <v>11404</v>
      </c>
      <c r="H15411" s="40" t="s">
        <v>11404</v>
      </c>
    </row>
    <row r="15412">
      <c r="A15412" s="39"/>
      <c r="E15412" s="40" t="s">
        <v>11404</v>
      </c>
      <c r="F15412" s="40" t="s">
        <v>11404</v>
      </c>
      <c r="G15412" s="40" t="s">
        <v>11404</v>
      </c>
      <c r="H15412" s="40" t="s">
        <v>11404</v>
      </c>
    </row>
    <row r="15413">
      <c r="A15413" s="39"/>
      <c r="E15413" s="40" t="s">
        <v>11404</v>
      </c>
      <c r="F15413" s="40" t="s">
        <v>11404</v>
      </c>
      <c r="G15413" s="40" t="s">
        <v>11404</v>
      </c>
      <c r="H15413" s="40" t="s">
        <v>11404</v>
      </c>
    </row>
    <row r="15414">
      <c r="A15414" s="39"/>
      <c r="E15414" s="40" t="s">
        <v>11404</v>
      </c>
      <c r="F15414" s="40" t="s">
        <v>11404</v>
      </c>
      <c r="G15414" s="40" t="s">
        <v>11404</v>
      </c>
      <c r="H15414" s="40" t="s">
        <v>11404</v>
      </c>
    </row>
    <row r="15415">
      <c r="A15415" s="39"/>
      <c r="E15415" s="40" t="s">
        <v>11404</v>
      </c>
      <c r="F15415" s="40" t="s">
        <v>11404</v>
      </c>
      <c r="G15415" s="40" t="s">
        <v>11404</v>
      </c>
      <c r="H15415" s="40" t="s">
        <v>11404</v>
      </c>
    </row>
    <row r="15416">
      <c r="A15416" s="39"/>
      <c r="E15416" s="40" t="s">
        <v>11404</v>
      </c>
      <c r="F15416" s="40" t="s">
        <v>11404</v>
      </c>
      <c r="G15416" s="40" t="s">
        <v>11404</v>
      </c>
      <c r="H15416" s="40" t="s">
        <v>11404</v>
      </c>
    </row>
    <row r="15417">
      <c r="A15417" s="39"/>
      <c r="E15417" s="40" t="s">
        <v>11404</v>
      </c>
      <c r="F15417" s="40" t="s">
        <v>11404</v>
      </c>
      <c r="G15417" s="40" t="s">
        <v>11404</v>
      </c>
      <c r="H15417" s="40" t="s">
        <v>11404</v>
      </c>
    </row>
    <row r="15418">
      <c r="A15418" s="39"/>
      <c r="E15418" s="40" t="s">
        <v>11404</v>
      </c>
      <c r="F15418" s="40" t="s">
        <v>11404</v>
      </c>
      <c r="G15418" s="40" t="s">
        <v>11404</v>
      </c>
      <c r="H15418" s="40" t="s">
        <v>11404</v>
      </c>
    </row>
    <row r="15419">
      <c r="A15419" s="39"/>
      <c r="E15419" s="40" t="s">
        <v>11404</v>
      </c>
      <c r="F15419" s="40" t="s">
        <v>11404</v>
      </c>
      <c r="G15419" s="40" t="s">
        <v>11404</v>
      </c>
      <c r="H15419" s="40" t="s">
        <v>11404</v>
      </c>
    </row>
    <row r="15420">
      <c r="A15420" s="39"/>
      <c r="E15420" s="40" t="s">
        <v>11404</v>
      </c>
      <c r="F15420" s="40" t="s">
        <v>11404</v>
      </c>
      <c r="G15420" s="40" t="s">
        <v>11404</v>
      </c>
      <c r="H15420" s="40" t="s">
        <v>11404</v>
      </c>
    </row>
    <row r="15421">
      <c r="A15421" s="39"/>
      <c r="E15421" s="40" t="s">
        <v>11404</v>
      </c>
      <c r="F15421" s="40" t="s">
        <v>11404</v>
      </c>
      <c r="G15421" s="40" t="s">
        <v>11404</v>
      </c>
      <c r="H15421" s="40" t="s">
        <v>11404</v>
      </c>
    </row>
    <row r="15422">
      <c r="A15422" s="39"/>
      <c r="E15422" s="40" t="s">
        <v>11404</v>
      </c>
      <c r="F15422" s="40" t="s">
        <v>11404</v>
      </c>
      <c r="G15422" s="40" t="s">
        <v>11404</v>
      </c>
      <c r="H15422" s="40" t="s">
        <v>11404</v>
      </c>
    </row>
    <row r="15423">
      <c r="A15423" s="39"/>
      <c r="E15423" s="40" t="s">
        <v>11404</v>
      </c>
      <c r="F15423" s="40" t="s">
        <v>11404</v>
      </c>
      <c r="G15423" s="40" t="s">
        <v>11404</v>
      </c>
      <c r="H15423" s="40" t="s">
        <v>11404</v>
      </c>
    </row>
    <row r="15424">
      <c r="A15424" s="39"/>
      <c r="E15424" s="40" t="s">
        <v>11404</v>
      </c>
      <c r="F15424" s="40" t="s">
        <v>11404</v>
      </c>
      <c r="G15424" s="40" t="s">
        <v>11404</v>
      </c>
      <c r="H15424" s="40" t="s">
        <v>11404</v>
      </c>
    </row>
    <row r="15425">
      <c r="A15425" s="39"/>
      <c r="E15425" s="40" t="s">
        <v>11404</v>
      </c>
      <c r="F15425" s="40" t="s">
        <v>11404</v>
      </c>
      <c r="G15425" s="40" t="s">
        <v>11404</v>
      </c>
      <c r="H15425" s="40" t="s">
        <v>11404</v>
      </c>
    </row>
    <row r="15426">
      <c r="A15426" s="39"/>
      <c r="E15426" s="40" t="s">
        <v>11404</v>
      </c>
      <c r="F15426" s="40" t="s">
        <v>11404</v>
      </c>
      <c r="G15426" s="40" t="s">
        <v>11404</v>
      </c>
      <c r="H15426" s="40" t="s">
        <v>11404</v>
      </c>
    </row>
    <row r="15427">
      <c r="A15427" s="39"/>
      <c r="E15427" s="40" t="s">
        <v>11404</v>
      </c>
      <c r="F15427" s="40" t="s">
        <v>11404</v>
      </c>
      <c r="G15427" s="40" t="s">
        <v>11404</v>
      </c>
      <c r="H15427" s="40" t="s">
        <v>11404</v>
      </c>
    </row>
    <row r="15428">
      <c r="A15428" s="39"/>
      <c r="E15428" s="40" t="s">
        <v>11404</v>
      </c>
      <c r="F15428" s="40" t="s">
        <v>11404</v>
      </c>
      <c r="G15428" s="40" t="s">
        <v>11404</v>
      </c>
      <c r="H15428" s="40" t="s">
        <v>11404</v>
      </c>
    </row>
    <row r="15429">
      <c r="A15429" s="39"/>
      <c r="E15429" s="40" t="s">
        <v>11404</v>
      </c>
      <c r="F15429" s="40" t="s">
        <v>11404</v>
      </c>
      <c r="G15429" s="40" t="s">
        <v>11404</v>
      </c>
      <c r="H15429" s="40" t="s">
        <v>11404</v>
      </c>
    </row>
    <row r="15430">
      <c r="A15430" s="39"/>
      <c r="E15430" s="40" t="s">
        <v>11404</v>
      </c>
      <c r="F15430" s="40" t="s">
        <v>11404</v>
      </c>
      <c r="G15430" s="40" t="s">
        <v>11404</v>
      </c>
      <c r="H15430" s="40" t="s">
        <v>11404</v>
      </c>
    </row>
    <row r="15431">
      <c r="A15431" s="39"/>
      <c r="E15431" s="40" t="s">
        <v>11404</v>
      </c>
      <c r="F15431" s="40" t="s">
        <v>11404</v>
      </c>
      <c r="G15431" s="40" t="s">
        <v>11404</v>
      </c>
      <c r="H15431" s="40" t="s">
        <v>11404</v>
      </c>
    </row>
    <row r="15432">
      <c r="A15432" s="39"/>
      <c r="E15432" s="40" t="s">
        <v>11404</v>
      </c>
      <c r="F15432" s="40" t="s">
        <v>11404</v>
      </c>
      <c r="G15432" s="40" t="s">
        <v>11404</v>
      </c>
      <c r="H15432" s="40" t="s">
        <v>11404</v>
      </c>
    </row>
    <row r="15433">
      <c r="A15433" s="39"/>
      <c r="E15433" s="40" t="s">
        <v>11404</v>
      </c>
      <c r="F15433" s="40" t="s">
        <v>11404</v>
      </c>
      <c r="G15433" s="40" t="s">
        <v>11404</v>
      </c>
      <c r="H15433" s="40" t="s">
        <v>11404</v>
      </c>
    </row>
    <row r="15434">
      <c r="A15434" s="39"/>
      <c r="E15434" s="40" t="s">
        <v>11404</v>
      </c>
      <c r="F15434" s="40" t="s">
        <v>11404</v>
      </c>
      <c r="G15434" s="40" t="s">
        <v>11404</v>
      </c>
      <c r="H15434" s="40" t="s">
        <v>11404</v>
      </c>
    </row>
    <row r="15435">
      <c r="A15435" s="39"/>
      <c r="E15435" s="40" t="s">
        <v>11404</v>
      </c>
      <c r="F15435" s="40" t="s">
        <v>11404</v>
      </c>
      <c r="G15435" s="40" t="s">
        <v>11404</v>
      </c>
      <c r="H15435" s="40" t="s">
        <v>11404</v>
      </c>
    </row>
    <row r="15436">
      <c r="A15436" s="39"/>
      <c r="E15436" s="40" t="s">
        <v>11404</v>
      </c>
      <c r="F15436" s="40" t="s">
        <v>11404</v>
      </c>
      <c r="G15436" s="40" t="s">
        <v>11404</v>
      </c>
      <c r="H15436" s="40" t="s">
        <v>11404</v>
      </c>
    </row>
    <row r="15437">
      <c r="A15437" s="39"/>
      <c r="E15437" s="40" t="s">
        <v>11404</v>
      </c>
      <c r="F15437" s="40" t="s">
        <v>11404</v>
      </c>
      <c r="G15437" s="40" t="s">
        <v>11404</v>
      </c>
      <c r="H15437" s="40" t="s">
        <v>11404</v>
      </c>
    </row>
    <row r="15438">
      <c r="A15438" s="39"/>
      <c r="E15438" s="40" t="s">
        <v>11404</v>
      </c>
      <c r="F15438" s="40" t="s">
        <v>11404</v>
      </c>
      <c r="G15438" s="40" t="s">
        <v>11404</v>
      </c>
      <c r="H15438" s="40" t="s">
        <v>11404</v>
      </c>
    </row>
    <row r="15439">
      <c r="A15439" s="39"/>
      <c r="E15439" s="40" t="s">
        <v>11404</v>
      </c>
      <c r="F15439" s="40" t="s">
        <v>11404</v>
      </c>
      <c r="G15439" s="40" t="s">
        <v>11404</v>
      </c>
      <c r="H15439" s="40" t="s">
        <v>11404</v>
      </c>
    </row>
    <row r="15440">
      <c r="A15440" s="39"/>
      <c r="E15440" s="40" t="s">
        <v>11404</v>
      </c>
      <c r="F15440" s="40" t="s">
        <v>11404</v>
      </c>
      <c r="G15440" s="40" t="s">
        <v>11404</v>
      </c>
      <c r="H15440" s="40" t="s">
        <v>11404</v>
      </c>
    </row>
    <row r="15441">
      <c r="A15441" s="39"/>
      <c r="E15441" s="40" t="s">
        <v>11404</v>
      </c>
      <c r="F15441" s="40" t="s">
        <v>11404</v>
      </c>
      <c r="G15441" s="40" t="s">
        <v>11404</v>
      </c>
      <c r="H15441" s="40" t="s">
        <v>11404</v>
      </c>
    </row>
    <row r="15442">
      <c r="A15442" s="39"/>
      <c r="E15442" s="40" t="s">
        <v>11404</v>
      </c>
      <c r="F15442" s="40" t="s">
        <v>11404</v>
      </c>
      <c r="G15442" s="40" t="s">
        <v>11404</v>
      </c>
      <c r="H15442" s="40" t="s">
        <v>11404</v>
      </c>
    </row>
    <row r="15443">
      <c r="A15443" s="39"/>
      <c r="E15443" s="40" t="s">
        <v>11404</v>
      </c>
      <c r="F15443" s="40" t="s">
        <v>11404</v>
      </c>
      <c r="G15443" s="40" t="s">
        <v>11404</v>
      </c>
      <c r="H15443" s="40" t="s">
        <v>11404</v>
      </c>
    </row>
    <row r="15444">
      <c r="A15444" s="39"/>
      <c r="E15444" s="40" t="s">
        <v>11404</v>
      </c>
      <c r="F15444" s="40" t="s">
        <v>11404</v>
      </c>
      <c r="G15444" s="40" t="s">
        <v>11404</v>
      </c>
      <c r="H15444" s="40" t="s">
        <v>11404</v>
      </c>
    </row>
    <row r="15445">
      <c r="A15445" s="39"/>
      <c r="E15445" s="40" t="s">
        <v>11404</v>
      </c>
      <c r="F15445" s="40" t="s">
        <v>11404</v>
      </c>
      <c r="G15445" s="40" t="s">
        <v>11404</v>
      </c>
      <c r="H15445" s="40" t="s">
        <v>11404</v>
      </c>
    </row>
    <row r="15446">
      <c r="A15446" s="39"/>
      <c r="E15446" s="40" t="s">
        <v>11404</v>
      </c>
      <c r="F15446" s="40" t="s">
        <v>11404</v>
      </c>
      <c r="G15446" s="40" t="s">
        <v>11404</v>
      </c>
      <c r="H15446" s="40" t="s">
        <v>11404</v>
      </c>
    </row>
    <row r="15447">
      <c r="A15447" s="39"/>
      <c r="E15447" s="40" t="s">
        <v>11404</v>
      </c>
      <c r="F15447" s="40" t="s">
        <v>11404</v>
      </c>
      <c r="G15447" s="40" t="s">
        <v>11404</v>
      </c>
      <c r="H15447" s="40" t="s">
        <v>11404</v>
      </c>
    </row>
    <row r="15448">
      <c r="A15448" s="39"/>
      <c r="E15448" s="40" t="s">
        <v>11404</v>
      </c>
      <c r="F15448" s="40" t="s">
        <v>11404</v>
      </c>
      <c r="G15448" s="40" t="s">
        <v>11404</v>
      </c>
      <c r="H15448" s="40" t="s">
        <v>11404</v>
      </c>
    </row>
    <row r="15449">
      <c r="A15449" s="39"/>
      <c r="E15449" s="40" t="s">
        <v>11404</v>
      </c>
      <c r="F15449" s="40" t="s">
        <v>11404</v>
      </c>
      <c r="G15449" s="40" t="s">
        <v>11404</v>
      </c>
      <c r="H15449" s="40" t="s">
        <v>11404</v>
      </c>
    </row>
    <row r="15450">
      <c r="A15450" s="39"/>
      <c r="E15450" s="40" t="s">
        <v>11404</v>
      </c>
      <c r="F15450" s="40" t="s">
        <v>11404</v>
      </c>
      <c r="G15450" s="40" t="s">
        <v>11404</v>
      </c>
      <c r="H15450" s="40" t="s">
        <v>11404</v>
      </c>
    </row>
    <row r="15451">
      <c r="A15451" s="39"/>
      <c r="E15451" s="40" t="s">
        <v>11404</v>
      </c>
      <c r="F15451" s="40" t="s">
        <v>11404</v>
      </c>
      <c r="G15451" s="40" t="s">
        <v>11404</v>
      </c>
      <c r="H15451" s="40" t="s">
        <v>11404</v>
      </c>
    </row>
    <row r="15452">
      <c r="A15452" s="39"/>
      <c r="E15452" s="40" t="s">
        <v>11404</v>
      </c>
      <c r="F15452" s="40" t="s">
        <v>11404</v>
      </c>
      <c r="G15452" s="40" t="s">
        <v>11404</v>
      </c>
      <c r="H15452" s="40" t="s">
        <v>11404</v>
      </c>
    </row>
    <row r="15453">
      <c r="A15453" s="39"/>
      <c r="E15453" s="40" t="s">
        <v>11404</v>
      </c>
      <c r="F15453" s="40" t="s">
        <v>11404</v>
      </c>
      <c r="G15453" s="40" t="s">
        <v>11404</v>
      </c>
      <c r="H15453" s="40" t="s">
        <v>11404</v>
      </c>
    </row>
    <row r="15454">
      <c r="A15454" s="39"/>
      <c r="E15454" s="40" t="s">
        <v>11404</v>
      </c>
      <c r="F15454" s="40" t="s">
        <v>11404</v>
      </c>
      <c r="G15454" s="40" t="s">
        <v>11404</v>
      </c>
      <c r="H15454" s="40" t="s">
        <v>11404</v>
      </c>
    </row>
    <row r="15455">
      <c r="A15455" s="39"/>
      <c r="E15455" s="40" t="s">
        <v>11404</v>
      </c>
      <c r="F15455" s="40" t="s">
        <v>11404</v>
      </c>
      <c r="G15455" s="40" t="s">
        <v>11404</v>
      </c>
      <c r="H15455" s="40" t="s">
        <v>11404</v>
      </c>
    </row>
    <row r="15456">
      <c r="A15456" s="39"/>
      <c r="E15456" s="40" t="s">
        <v>11404</v>
      </c>
      <c r="F15456" s="40" t="s">
        <v>11404</v>
      </c>
      <c r="G15456" s="40" t="s">
        <v>11404</v>
      </c>
      <c r="H15456" s="40" t="s">
        <v>11404</v>
      </c>
    </row>
    <row r="15457">
      <c r="A15457" s="39"/>
      <c r="E15457" s="40" t="s">
        <v>11404</v>
      </c>
      <c r="F15457" s="40" t="s">
        <v>11404</v>
      </c>
      <c r="G15457" s="40" t="s">
        <v>11404</v>
      </c>
      <c r="H15457" s="40" t="s">
        <v>11404</v>
      </c>
    </row>
    <row r="15458">
      <c r="A15458" s="39"/>
      <c r="E15458" s="40" t="s">
        <v>11404</v>
      </c>
      <c r="F15458" s="40" t="s">
        <v>11404</v>
      </c>
      <c r="G15458" s="40" t="s">
        <v>11404</v>
      </c>
      <c r="H15458" s="40" t="s">
        <v>11404</v>
      </c>
    </row>
    <row r="15459">
      <c r="A15459" s="39"/>
      <c r="E15459" s="40" t="s">
        <v>11404</v>
      </c>
      <c r="F15459" s="40" t="s">
        <v>11404</v>
      </c>
      <c r="G15459" s="40" t="s">
        <v>11404</v>
      </c>
      <c r="H15459" s="40" t="s">
        <v>11404</v>
      </c>
    </row>
    <row r="15460">
      <c r="A15460" s="39"/>
      <c r="E15460" s="40" t="s">
        <v>11404</v>
      </c>
      <c r="F15460" s="40" t="s">
        <v>11404</v>
      </c>
      <c r="G15460" s="40" t="s">
        <v>11404</v>
      </c>
      <c r="H15460" s="40" t="s">
        <v>11404</v>
      </c>
    </row>
    <row r="15461">
      <c r="A15461" s="39"/>
      <c r="E15461" s="40" t="s">
        <v>11404</v>
      </c>
      <c r="F15461" s="40" t="s">
        <v>11404</v>
      </c>
      <c r="G15461" s="40" t="s">
        <v>11404</v>
      </c>
      <c r="H15461" s="40" t="s">
        <v>11404</v>
      </c>
    </row>
    <row r="15462">
      <c r="A15462" s="39"/>
      <c r="E15462" s="40" t="s">
        <v>11404</v>
      </c>
      <c r="F15462" s="40" t="s">
        <v>11404</v>
      </c>
      <c r="G15462" s="40" t="s">
        <v>11404</v>
      </c>
      <c r="H15462" s="40" t="s">
        <v>11404</v>
      </c>
    </row>
    <row r="15463">
      <c r="A15463" s="39"/>
      <c r="E15463" s="40" t="s">
        <v>11404</v>
      </c>
      <c r="F15463" s="40" t="s">
        <v>11404</v>
      </c>
      <c r="G15463" s="40" t="s">
        <v>11404</v>
      </c>
      <c r="H15463" s="40" t="s">
        <v>11404</v>
      </c>
    </row>
    <row r="15464">
      <c r="A15464" s="39"/>
      <c r="E15464" s="40" t="s">
        <v>11404</v>
      </c>
      <c r="F15464" s="40" t="s">
        <v>11404</v>
      </c>
      <c r="G15464" s="40" t="s">
        <v>11404</v>
      </c>
      <c r="H15464" s="40" t="s">
        <v>11404</v>
      </c>
    </row>
    <row r="15465">
      <c r="A15465" s="39"/>
      <c r="E15465" s="40" t="s">
        <v>11404</v>
      </c>
      <c r="F15465" s="40" t="s">
        <v>11404</v>
      </c>
      <c r="G15465" s="40" t="s">
        <v>11404</v>
      </c>
      <c r="H15465" s="40" t="s">
        <v>11404</v>
      </c>
    </row>
    <row r="15466">
      <c r="A15466" s="39"/>
      <c r="E15466" s="40" t="s">
        <v>11404</v>
      </c>
      <c r="F15466" s="40" t="s">
        <v>11404</v>
      </c>
      <c r="G15466" s="40" t="s">
        <v>11404</v>
      </c>
      <c r="H15466" s="40" t="s">
        <v>11404</v>
      </c>
    </row>
    <row r="15467">
      <c r="A15467" s="39"/>
      <c r="E15467" s="40" t="s">
        <v>11404</v>
      </c>
      <c r="F15467" s="40" t="s">
        <v>11404</v>
      </c>
      <c r="G15467" s="40" t="s">
        <v>11404</v>
      </c>
      <c r="H15467" s="40" t="s">
        <v>11404</v>
      </c>
    </row>
    <row r="15468">
      <c r="A15468" s="39"/>
      <c r="E15468" s="40" t="s">
        <v>11404</v>
      </c>
      <c r="F15468" s="40" t="s">
        <v>11404</v>
      </c>
      <c r="G15468" s="40" t="s">
        <v>11404</v>
      </c>
      <c r="H15468" s="40" t="s">
        <v>11404</v>
      </c>
    </row>
    <row r="15469">
      <c r="A15469" s="39"/>
      <c r="E15469" s="40" t="s">
        <v>11404</v>
      </c>
      <c r="F15469" s="40" t="s">
        <v>11404</v>
      </c>
      <c r="G15469" s="40" t="s">
        <v>11404</v>
      </c>
      <c r="H15469" s="40" t="s">
        <v>11404</v>
      </c>
    </row>
    <row r="15470">
      <c r="A15470" s="39"/>
      <c r="E15470" s="40" t="s">
        <v>11404</v>
      </c>
      <c r="F15470" s="40" t="s">
        <v>11404</v>
      </c>
      <c r="G15470" s="40" t="s">
        <v>11404</v>
      </c>
      <c r="H15470" s="40" t="s">
        <v>11404</v>
      </c>
    </row>
    <row r="15471">
      <c r="A15471" s="39"/>
      <c r="E15471" s="40" t="s">
        <v>11404</v>
      </c>
      <c r="F15471" s="40" t="s">
        <v>11404</v>
      </c>
      <c r="G15471" s="40" t="s">
        <v>11404</v>
      </c>
      <c r="H15471" s="40" t="s">
        <v>11404</v>
      </c>
    </row>
    <row r="15472">
      <c r="A15472" s="39"/>
      <c r="E15472" s="40" t="s">
        <v>11404</v>
      </c>
      <c r="F15472" s="40" t="s">
        <v>11404</v>
      </c>
      <c r="G15472" s="40" t="s">
        <v>11404</v>
      </c>
      <c r="H15472" s="40" t="s">
        <v>11404</v>
      </c>
    </row>
    <row r="15473">
      <c r="A15473" s="39"/>
      <c r="E15473" s="40" t="s">
        <v>11404</v>
      </c>
      <c r="F15473" s="40" t="s">
        <v>11404</v>
      </c>
      <c r="G15473" s="40" t="s">
        <v>11404</v>
      </c>
      <c r="H15473" s="40" t="s">
        <v>11404</v>
      </c>
    </row>
    <row r="15474">
      <c r="A15474" s="39"/>
      <c r="E15474" s="40" t="s">
        <v>11404</v>
      </c>
      <c r="F15474" s="40" t="s">
        <v>11404</v>
      </c>
      <c r="G15474" s="40" t="s">
        <v>11404</v>
      </c>
      <c r="H15474" s="40" t="s">
        <v>11404</v>
      </c>
    </row>
    <row r="15475">
      <c r="A15475" s="39"/>
      <c r="E15475" s="40" t="s">
        <v>11404</v>
      </c>
      <c r="F15475" s="40" t="s">
        <v>11404</v>
      </c>
      <c r="G15475" s="40" t="s">
        <v>11404</v>
      </c>
      <c r="H15475" s="40" t="s">
        <v>11404</v>
      </c>
    </row>
    <row r="15476">
      <c r="A15476" s="39"/>
      <c r="E15476" s="40" t="s">
        <v>11404</v>
      </c>
      <c r="F15476" s="40" t="s">
        <v>11404</v>
      </c>
      <c r="G15476" s="40" t="s">
        <v>11404</v>
      </c>
      <c r="H15476" s="40" t="s">
        <v>11404</v>
      </c>
    </row>
    <row r="15477">
      <c r="A15477" s="39"/>
      <c r="E15477" s="40" t="s">
        <v>11404</v>
      </c>
      <c r="F15477" s="40" t="s">
        <v>11404</v>
      </c>
      <c r="G15477" s="40" t="s">
        <v>11404</v>
      </c>
      <c r="H15477" s="40" t="s">
        <v>11404</v>
      </c>
    </row>
    <row r="15478">
      <c r="A15478" s="39"/>
      <c r="E15478" s="40" t="s">
        <v>11404</v>
      </c>
      <c r="F15478" s="40" t="s">
        <v>11404</v>
      </c>
      <c r="G15478" s="40" t="s">
        <v>11404</v>
      </c>
      <c r="H15478" s="40" t="s">
        <v>11404</v>
      </c>
    </row>
    <row r="15479">
      <c r="A15479" s="39"/>
      <c r="E15479" s="40" t="s">
        <v>11404</v>
      </c>
      <c r="F15479" s="40" t="s">
        <v>11404</v>
      </c>
      <c r="G15479" s="40" t="s">
        <v>11404</v>
      </c>
      <c r="H15479" s="40" t="s">
        <v>11404</v>
      </c>
    </row>
    <row r="15480">
      <c r="A15480" s="39"/>
      <c r="E15480" s="40" t="s">
        <v>11404</v>
      </c>
      <c r="F15480" s="40" t="s">
        <v>11404</v>
      </c>
      <c r="G15480" s="40" t="s">
        <v>11404</v>
      </c>
      <c r="H15480" s="40" t="s">
        <v>11404</v>
      </c>
    </row>
    <row r="15481">
      <c r="A15481" s="39"/>
      <c r="E15481" s="40" t="s">
        <v>11404</v>
      </c>
      <c r="F15481" s="40" t="s">
        <v>11404</v>
      </c>
      <c r="G15481" s="40" t="s">
        <v>11404</v>
      </c>
      <c r="H15481" s="40" t="s">
        <v>11404</v>
      </c>
    </row>
    <row r="15482">
      <c r="A15482" s="39"/>
      <c r="E15482" s="40" t="s">
        <v>11404</v>
      </c>
      <c r="F15482" s="40" t="s">
        <v>11404</v>
      </c>
      <c r="G15482" s="40" t="s">
        <v>11404</v>
      </c>
      <c r="H15482" s="40" t="s">
        <v>11404</v>
      </c>
    </row>
    <row r="15483">
      <c r="A15483" s="39"/>
      <c r="E15483" s="40" t="s">
        <v>11404</v>
      </c>
      <c r="F15483" s="40" t="s">
        <v>11404</v>
      </c>
      <c r="G15483" s="40" t="s">
        <v>11404</v>
      </c>
      <c r="H15483" s="40" t="s">
        <v>11404</v>
      </c>
    </row>
    <row r="15484">
      <c r="A15484" s="39"/>
      <c r="E15484" s="40" t="s">
        <v>11404</v>
      </c>
      <c r="F15484" s="40" t="s">
        <v>11404</v>
      </c>
      <c r="G15484" s="40" t="s">
        <v>11404</v>
      </c>
      <c r="H15484" s="40" t="s">
        <v>11404</v>
      </c>
    </row>
    <row r="15485">
      <c r="A15485" s="39"/>
      <c r="E15485" s="40" t="s">
        <v>11404</v>
      </c>
      <c r="F15485" s="40" t="s">
        <v>11404</v>
      </c>
      <c r="G15485" s="40" t="s">
        <v>11404</v>
      </c>
      <c r="H15485" s="40" t="s">
        <v>11404</v>
      </c>
    </row>
    <row r="15486">
      <c r="A15486" s="39"/>
      <c r="E15486" s="40" t="s">
        <v>11404</v>
      </c>
      <c r="F15486" s="40" t="s">
        <v>11404</v>
      </c>
      <c r="G15486" s="40" t="s">
        <v>11404</v>
      </c>
      <c r="H15486" s="40" t="s">
        <v>11404</v>
      </c>
    </row>
    <row r="15487">
      <c r="A15487" s="39"/>
      <c r="E15487" s="40" t="s">
        <v>11404</v>
      </c>
      <c r="F15487" s="40" t="s">
        <v>11404</v>
      </c>
      <c r="G15487" s="40" t="s">
        <v>11404</v>
      </c>
      <c r="H15487" s="40" t="s">
        <v>11404</v>
      </c>
    </row>
    <row r="15488">
      <c r="A15488" s="39"/>
      <c r="E15488" s="40" t="s">
        <v>11404</v>
      </c>
      <c r="F15488" s="40" t="s">
        <v>11404</v>
      </c>
      <c r="G15488" s="40" t="s">
        <v>11404</v>
      </c>
      <c r="H15488" s="40" t="s">
        <v>11404</v>
      </c>
    </row>
    <row r="15489">
      <c r="A15489" s="39"/>
      <c r="E15489" s="40" t="s">
        <v>11404</v>
      </c>
      <c r="F15489" s="40" t="s">
        <v>11404</v>
      </c>
      <c r="G15489" s="40" t="s">
        <v>11404</v>
      </c>
      <c r="H15489" s="40" t="s">
        <v>11404</v>
      </c>
    </row>
    <row r="15490">
      <c r="A15490" s="39"/>
      <c r="E15490" s="40" t="s">
        <v>11404</v>
      </c>
      <c r="F15490" s="40" t="s">
        <v>11404</v>
      </c>
      <c r="G15490" s="40" t="s">
        <v>11404</v>
      </c>
      <c r="H15490" s="40" t="s">
        <v>11404</v>
      </c>
    </row>
    <row r="15491">
      <c r="A15491" s="39"/>
      <c r="E15491" s="40" t="s">
        <v>11404</v>
      </c>
      <c r="F15491" s="40" t="s">
        <v>11404</v>
      </c>
      <c r="G15491" s="40" t="s">
        <v>11404</v>
      </c>
      <c r="H15491" s="40" t="s">
        <v>11404</v>
      </c>
    </row>
    <row r="15492">
      <c r="A15492" s="39"/>
      <c r="E15492" s="40" t="s">
        <v>11404</v>
      </c>
      <c r="F15492" s="40" t="s">
        <v>11404</v>
      </c>
      <c r="G15492" s="40" t="s">
        <v>11404</v>
      </c>
      <c r="H15492" s="40" t="s">
        <v>11404</v>
      </c>
    </row>
    <row r="15493">
      <c r="A15493" s="39"/>
      <c r="E15493" s="40" t="s">
        <v>11404</v>
      </c>
      <c r="F15493" s="40" t="s">
        <v>11404</v>
      </c>
      <c r="G15493" s="40" t="s">
        <v>11404</v>
      </c>
      <c r="H15493" s="40" t="s">
        <v>11404</v>
      </c>
    </row>
    <row r="15494">
      <c r="A15494" s="39"/>
      <c r="E15494" s="40" t="s">
        <v>11404</v>
      </c>
      <c r="F15494" s="40" t="s">
        <v>11404</v>
      </c>
      <c r="G15494" s="40" t="s">
        <v>11404</v>
      </c>
      <c r="H15494" s="40" t="s">
        <v>11404</v>
      </c>
    </row>
    <row r="15495">
      <c r="A15495" s="39"/>
      <c r="E15495" s="40" t="s">
        <v>11404</v>
      </c>
      <c r="F15495" s="40" t="s">
        <v>11404</v>
      </c>
      <c r="G15495" s="40" t="s">
        <v>11404</v>
      </c>
      <c r="H15495" s="40" t="s">
        <v>11404</v>
      </c>
    </row>
    <row r="15496">
      <c r="A15496" s="39"/>
      <c r="E15496" s="40" t="s">
        <v>11404</v>
      </c>
      <c r="F15496" s="40" t="s">
        <v>11404</v>
      </c>
      <c r="G15496" s="40" t="s">
        <v>11404</v>
      </c>
      <c r="H15496" s="40" t="s">
        <v>11404</v>
      </c>
    </row>
    <row r="15497">
      <c r="A15497" s="39"/>
      <c r="E15497" s="40" t="s">
        <v>11404</v>
      </c>
      <c r="F15497" s="40" t="s">
        <v>11404</v>
      </c>
      <c r="G15497" s="40" t="s">
        <v>11404</v>
      </c>
      <c r="H15497" s="40" t="s">
        <v>11404</v>
      </c>
    </row>
    <row r="15498">
      <c r="A15498" s="39"/>
      <c r="E15498" s="40" t="s">
        <v>11404</v>
      </c>
      <c r="F15498" s="40" t="s">
        <v>11404</v>
      </c>
      <c r="G15498" s="40" t="s">
        <v>11404</v>
      </c>
      <c r="H15498" s="40" t="s">
        <v>11404</v>
      </c>
    </row>
    <row r="15499">
      <c r="A15499" s="39"/>
      <c r="E15499" s="40" t="s">
        <v>11404</v>
      </c>
      <c r="F15499" s="40" t="s">
        <v>11404</v>
      </c>
      <c r="G15499" s="40" t="s">
        <v>11404</v>
      </c>
      <c r="H15499" s="40" t="s">
        <v>11404</v>
      </c>
    </row>
    <row r="15500">
      <c r="A15500" s="39"/>
      <c r="E15500" s="40" t="s">
        <v>11404</v>
      </c>
      <c r="F15500" s="40" t="s">
        <v>11404</v>
      </c>
      <c r="G15500" s="40" t="s">
        <v>11404</v>
      </c>
      <c r="H15500" s="40" t="s">
        <v>11404</v>
      </c>
    </row>
    <row r="15501">
      <c r="A15501" s="39"/>
      <c r="E15501" s="40" t="s">
        <v>11404</v>
      </c>
      <c r="F15501" s="40" t="s">
        <v>11404</v>
      </c>
      <c r="G15501" s="40" t="s">
        <v>11404</v>
      </c>
      <c r="H15501" s="40" t="s">
        <v>11404</v>
      </c>
    </row>
    <row r="15502">
      <c r="A15502" s="39"/>
      <c r="E15502" s="40" t="s">
        <v>11404</v>
      </c>
      <c r="F15502" s="40" t="s">
        <v>11404</v>
      </c>
      <c r="G15502" s="40" t="s">
        <v>11404</v>
      </c>
      <c r="H15502" s="40" t="s">
        <v>11404</v>
      </c>
    </row>
    <row r="15503">
      <c r="A15503" s="39"/>
      <c r="E15503" s="40" t="s">
        <v>11404</v>
      </c>
      <c r="F15503" s="40" t="s">
        <v>11404</v>
      </c>
      <c r="G15503" s="40" t="s">
        <v>11404</v>
      </c>
      <c r="H15503" s="40" t="s">
        <v>11404</v>
      </c>
    </row>
    <row r="15504">
      <c r="A15504" s="39"/>
      <c r="E15504" s="40" t="s">
        <v>11404</v>
      </c>
      <c r="F15504" s="40" t="s">
        <v>11404</v>
      </c>
      <c r="G15504" s="40" t="s">
        <v>11404</v>
      </c>
      <c r="H15504" s="40" t="s">
        <v>11404</v>
      </c>
    </row>
    <row r="15505">
      <c r="A15505" s="39"/>
      <c r="E15505" s="40" t="s">
        <v>11404</v>
      </c>
      <c r="F15505" s="40" t="s">
        <v>11404</v>
      </c>
      <c r="G15505" s="40" t="s">
        <v>11404</v>
      </c>
      <c r="H15505" s="40" t="s">
        <v>11404</v>
      </c>
    </row>
    <row r="15506">
      <c r="A15506" s="39"/>
      <c r="E15506" s="40" t="s">
        <v>11404</v>
      </c>
      <c r="F15506" s="40" t="s">
        <v>11404</v>
      </c>
      <c r="G15506" s="40" t="s">
        <v>11404</v>
      </c>
      <c r="H15506" s="40" t="s">
        <v>11404</v>
      </c>
    </row>
    <row r="15507">
      <c r="A15507" s="39"/>
      <c r="E15507" s="40" t="s">
        <v>11404</v>
      </c>
      <c r="F15507" s="40" t="s">
        <v>11404</v>
      </c>
      <c r="G15507" s="40" t="s">
        <v>11404</v>
      </c>
      <c r="H15507" s="40" t="s">
        <v>11404</v>
      </c>
    </row>
    <row r="15508">
      <c r="A15508" s="39"/>
      <c r="E15508" s="40" t="s">
        <v>11404</v>
      </c>
      <c r="F15508" s="40" t="s">
        <v>11404</v>
      </c>
      <c r="G15508" s="40" t="s">
        <v>11404</v>
      </c>
      <c r="H15508" s="40" t="s">
        <v>11404</v>
      </c>
    </row>
    <row r="15509">
      <c r="A15509" s="39"/>
      <c r="E15509" s="40" t="s">
        <v>11404</v>
      </c>
      <c r="F15509" s="40" t="s">
        <v>11404</v>
      </c>
      <c r="G15509" s="40" t="s">
        <v>11404</v>
      </c>
      <c r="H15509" s="40" t="s">
        <v>11404</v>
      </c>
    </row>
    <row r="15510">
      <c r="A15510" s="39"/>
      <c r="E15510" s="40" t="s">
        <v>11404</v>
      </c>
      <c r="F15510" s="40" t="s">
        <v>11404</v>
      </c>
      <c r="G15510" s="40" t="s">
        <v>11404</v>
      </c>
      <c r="H15510" s="40" t="s">
        <v>11404</v>
      </c>
    </row>
    <row r="15511">
      <c r="A15511" s="39"/>
      <c r="E15511" s="40" t="s">
        <v>11404</v>
      </c>
      <c r="F15511" s="40" t="s">
        <v>11404</v>
      </c>
      <c r="G15511" s="40" t="s">
        <v>11404</v>
      </c>
      <c r="H15511" s="40" t="s">
        <v>11404</v>
      </c>
    </row>
    <row r="15512">
      <c r="A15512" s="39"/>
      <c r="E15512" s="40" t="s">
        <v>11404</v>
      </c>
      <c r="F15512" s="40" t="s">
        <v>11404</v>
      </c>
      <c r="G15512" s="40" t="s">
        <v>11404</v>
      </c>
      <c r="H15512" s="40" t="s">
        <v>11404</v>
      </c>
    </row>
    <row r="15513">
      <c r="A15513" s="39"/>
      <c r="E15513" s="40" t="s">
        <v>11404</v>
      </c>
      <c r="F15513" s="40" t="s">
        <v>11404</v>
      </c>
      <c r="G15513" s="40" t="s">
        <v>11404</v>
      </c>
      <c r="H15513" s="40" t="s">
        <v>11404</v>
      </c>
    </row>
    <row r="15514">
      <c r="A15514" s="39"/>
      <c r="E15514" s="40" t="s">
        <v>11404</v>
      </c>
      <c r="F15514" s="40" t="s">
        <v>11404</v>
      </c>
      <c r="G15514" s="40" t="s">
        <v>11404</v>
      </c>
      <c r="H15514" s="40" t="s">
        <v>11404</v>
      </c>
    </row>
    <row r="15515">
      <c r="A15515" s="39"/>
      <c r="E15515" s="40" t="s">
        <v>11404</v>
      </c>
      <c r="F15515" s="40" t="s">
        <v>11404</v>
      </c>
      <c r="G15515" s="40" t="s">
        <v>11404</v>
      </c>
      <c r="H15515" s="40" t="s">
        <v>11404</v>
      </c>
    </row>
    <row r="15516">
      <c r="A15516" s="39"/>
      <c r="E15516" s="40" t="s">
        <v>11404</v>
      </c>
      <c r="F15516" s="40" t="s">
        <v>11404</v>
      </c>
      <c r="G15516" s="40" t="s">
        <v>11404</v>
      </c>
      <c r="H15516" s="40" t="s">
        <v>11404</v>
      </c>
    </row>
    <row r="15517">
      <c r="A15517" s="39"/>
      <c r="E15517" s="40" t="s">
        <v>11404</v>
      </c>
      <c r="F15517" s="40" t="s">
        <v>11404</v>
      </c>
      <c r="G15517" s="40" t="s">
        <v>11404</v>
      </c>
      <c r="H15517" s="40" t="s">
        <v>11404</v>
      </c>
    </row>
    <row r="15518">
      <c r="A15518" s="39"/>
      <c r="E15518" s="40" t="s">
        <v>11404</v>
      </c>
      <c r="F15518" s="40" t="s">
        <v>11404</v>
      </c>
      <c r="G15518" s="40" t="s">
        <v>11404</v>
      </c>
      <c r="H15518" s="40" t="s">
        <v>11404</v>
      </c>
    </row>
    <row r="15519">
      <c r="A15519" s="39"/>
      <c r="E15519" s="40" t="s">
        <v>11404</v>
      </c>
      <c r="F15519" s="40" t="s">
        <v>11404</v>
      </c>
      <c r="G15519" s="40" t="s">
        <v>11404</v>
      </c>
      <c r="H15519" s="40" t="s">
        <v>11404</v>
      </c>
    </row>
    <row r="15520">
      <c r="A15520" s="39"/>
      <c r="E15520" s="40" t="s">
        <v>11404</v>
      </c>
      <c r="F15520" s="40" t="s">
        <v>11404</v>
      </c>
      <c r="G15520" s="40" t="s">
        <v>11404</v>
      </c>
      <c r="H15520" s="40" t="s">
        <v>11404</v>
      </c>
    </row>
    <row r="15521">
      <c r="A15521" s="39"/>
      <c r="E15521" s="40" t="s">
        <v>11404</v>
      </c>
      <c r="F15521" s="40" t="s">
        <v>11404</v>
      </c>
      <c r="G15521" s="40" t="s">
        <v>11404</v>
      </c>
      <c r="H15521" s="40" t="s">
        <v>11404</v>
      </c>
    </row>
    <row r="15522">
      <c r="A15522" s="39"/>
      <c r="E15522" s="40" t="s">
        <v>11404</v>
      </c>
      <c r="F15522" s="40" t="s">
        <v>11404</v>
      </c>
      <c r="G15522" s="40" t="s">
        <v>11404</v>
      </c>
      <c r="H15522" s="40" t="s">
        <v>11404</v>
      </c>
    </row>
    <row r="15523">
      <c r="A15523" s="39"/>
      <c r="E15523" s="40" t="s">
        <v>11404</v>
      </c>
      <c r="F15523" s="40" t="s">
        <v>11404</v>
      </c>
      <c r="G15523" s="40" t="s">
        <v>11404</v>
      </c>
      <c r="H15523" s="40" t="s">
        <v>11404</v>
      </c>
    </row>
    <row r="15524">
      <c r="A15524" s="39"/>
      <c r="E15524" s="40" t="s">
        <v>11404</v>
      </c>
      <c r="F15524" s="40" t="s">
        <v>11404</v>
      </c>
      <c r="G15524" s="40" t="s">
        <v>11404</v>
      </c>
      <c r="H15524" s="40" t="s">
        <v>11404</v>
      </c>
    </row>
    <row r="15525">
      <c r="A15525" s="39"/>
      <c r="E15525" s="40" t="s">
        <v>11404</v>
      </c>
      <c r="F15525" s="40" t="s">
        <v>11404</v>
      </c>
      <c r="G15525" s="40" t="s">
        <v>11404</v>
      </c>
      <c r="H15525" s="40" t="s">
        <v>11404</v>
      </c>
    </row>
    <row r="15526">
      <c r="A15526" s="39"/>
      <c r="E15526" s="40" t="s">
        <v>11404</v>
      </c>
      <c r="F15526" s="40" t="s">
        <v>11404</v>
      </c>
      <c r="G15526" s="40" t="s">
        <v>11404</v>
      </c>
      <c r="H15526" s="40" t="s">
        <v>11404</v>
      </c>
    </row>
    <row r="15527">
      <c r="A15527" s="39"/>
      <c r="E15527" s="40" t="s">
        <v>11404</v>
      </c>
      <c r="F15527" s="40" t="s">
        <v>11404</v>
      </c>
      <c r="G15527" s="40" t="s">
        <v>11404</v>
      </c>
      <c r="H15527" s="40" t="s">
        <v>11404</v>
      </c>
    </row>
    <row r="15528">
      <c r="A15528" s="39"/>
      <c r="E15528" s="40" t="s">
        <v>11404</v>
      </c>
      <c r="F15528" s="40" t="s">
        <v>11404</v>
      </c>
      <c r="G15528" s="40" t="s">
        <v>11404</v>
      </c>
      <c r="H15528" s="40" t="s">
        <v>11404</v>
      </c>
    </row>
    <row r="15529">
      <c r="A15529" s="39"/>
      <c r="E15529" s="40" t="s">
        <v>11404</v>
      </c>
      <c r="F15529" s="40" t="s">
        <v>11404</v>
      </c>
      <c r="G15529" s="40" t="s">
        <v>11404</v>
      </c>
      <c r="H15529" s="40" t="s">
        <v>11404</v>
      </c>
    </row>
    <row r="15530">
      <c r="A15530" s="39"/>
      <c r="E15530" s="40" t="s">
        <v>11404</v>
      </c>
      <c r="F15530" s="40" t="s">
        <v>11404</v>
      </c>
      <c r="G15530" s="40" t="s">
        <v>11404</v>
      </c>
      <c r="H15530" s="40" t="s">
        <v>11404</v>
      </c>
    </row>
    <row r="15531">
      <c r="A15531" s="39"/>
      <c r="E15531" s="40" t="s">
        <v>11404</v>
      </c>
      <c r="F15531" s="40" t="s">
        <v>11404</v>
      </c>
      <c r="G15531" s="40" t="s">
        <v>11404</v>
      </c>
      <c r="H15531" s="40" t="s">
        <v>11404</v>
      </c>
    </row>
    <row r="15532">
      <c r="A15532" s="39"/>
      <c r="E15532" s="40" t="s">
        <v>11404</v>
      </c>
      <c r="F15532" s="40" t="s">
        <v>11404</v>
      </c>
      <c r="G15532" s="40" t="s">
        <v>11404</v>
      </c>
      <c r="H15532" s="40" t="s">
        <v>11404</v>
      </c>
    </row>
    <row r="15533">
      <c r="A15533" s="39"/>
      <c r="E15533" s="40" t="s">
        <v>11404</v>
      </c>
      <c r="F15533" s="40" t="s">
        <v>11404</v>
      </c>
      <c r="G15533" s="40" t="s">
        <v>11404</v>
      </c>
      <c r="H15533" s="40" t="s">
        <v>11404</v>
      </c>
    </row>
    <row r="15534">
      <c r="A15534" s="39"/>
      <c r="E15534" s="40" t="s">
        <v>11404</v>
      </c>
      <c r="F15534" s="40" t="s">
        <v>11404</v>
      </c>
      <c r="G15534" s="40" t="s">
        <v>11404</v>
      </c>
      <c r="H15534" s="40" t="s">
        <v>11404</v>
      </c>
    </row>
    <row r="15535">
      <c r="A15535" s="39"/>
      <c r="E15535" s="40" t="s">
        <v>11404</v>
      </c>
      <c r="F15535" s="40" t="s">
        <v>11404</v>
      </c>
      <c r="G15535" s="40" t="s">
        <v>11404</v>
      </c>
      <c r="H15535" s="40" t="s">
        <v>11404</v>
      </c>
    </row>
    <row r="15536">
      <c r="A15536" s="39"/>
      <c r="E15536" s="40" t="s">
        <v>11404</v>
      </c>
      <c r="F15536" s="40" t="s">
        <v>11404</v>
      </c>
      <c r="G15536" s="40" t="s">
        <v>11404</v>
      </c>
      <c r="H15536" s="40" t="s">
        <v>11404</v>
      </c>
    </row>
    <row r="15537">
      <c r="A15537" s="39"/>
      <c r="E15537" s="40" t="s">
        <v>11404</v>
      </c>
      <c r="F15537" s="40" t="s">
        <v>11404</v>
      </c>
      <c r="G15537" s="40" t="s">
        <v>11404</v>
      </c>
      <c r="H15537" s="40" t="s">
        <v>11404</v>
      </c>
    </row>
    <row r="15538">
      <c r="A15538" s="39"/>
      <c r="E15538" s="40" t="s">
        <v>11404</v>
      </c>
      <c r="F15538" s="40" t="s">
        <v>11404</v>
      </c>
      <c r="G15538" s="40" t="s">
        <v>11404</v>
      </c>
      <c r="H15538" s="40" t="s">
        <v>11404</v>
      </c>
    </row>
    <row r="15539">
      <c r="A15539" s="39"/>
      <c r="E15539" s="40" t="s">
        <v>11404</v>
      </c>
      <c r="F15539" s="40" t="s">
        <v>11404</v>
      </c>
      <c r="G15539" s="40" t="s">
        <v>11404</v>
      </c>
      <c r="H15539" s="40" t="s">
        <v>11404</v>
      </c>
    </row>
    <row r="15540">
      <c r="A15540" s="39"/>
      <c r="E15540" s="40" t="s">
        <v>11404</v>
      </c>
      <c r="F15540" s="40" t="s">
        <v>11404</v>
      </c>
      <c r="G15540" s="40" t="s">
        <v>11404</v>
      </c>
      <c r="H15540" s="40" t="s">
        <v>11404</v>
      </c>
    </row>
    <row r="15541">
      <c r="A15541" s="39"/>
      <c r="E15541" s="40" t="s">
        <v>11404</v>
      </c>
      <c r="F15541" s="40" t="s">
        <v>11404</v>
      </c>
      <c r="G15541" s="40" t="s">
        <v>11404</v>
      </c>
      <c r="H15541" s="40" t="s">
        <v>11404</v>
      </c>
    </row>
    <row r="15542">
      <c r="A15542" s="39"/>
      <c r="E15542" s="40" t="s">
        <v>11404</v>
      </c>
      <c r="F15542" s="40" t="s">
        <v>11404</v>
      </c>
      <c r="G15542" s="40" t="s">
        <v>11404</v>
      </c>
      <c r="H15542" s="40" t="s">
        <v>11404</v>
      </c>
    </row>
    <row r="15543">
      <c r="A15543" s="39"/>
      <c r="E15543" s="40" t="s">
        <v>11404</v>
      </c>
      <c r="F15543" s="40" t="s">
        <v>11404</v>
      </c>
      <c r="G15543" s="40" t="s">
        <v>11404</v>
      </c>
      <c r="H15543" s="40" t="s">
        <v>11404</v>
      </c>
    </row>
    <row r="15544">
      <c r="A15544" s="39"/>
      <c r="E15544" s="40" t="s">
        <v>11404</v>
      </c>
      <c r="F15544" s="40" t="s">
        <v>11404</v>
      </c>
      <c r="G15544" s="40" t="s">
        <v>11404</v>
      </c>
      <c r="H15544" s="40" t="s">
        <v>11404</v>
      </c>
    </row>
    <row r="15545">
      <c r="A15545" s="39"/>
      <c r="E15545" s="40" t="s">
        <v>11404</v>
      </c>
      <c r="F15545" s="40" t="s">
        <v>11404</v>
      </c>
      <c r="G15545" s="40" t="s">
        <v>11404</v>
      </c>
      <c r="H15545" s="40" t="s">
        <v>11404</v>
      </c>
    </row>
    <row r="15546">
      <c r="A15546" s="39"/>
      <c r="E15546" s="40" t="s">
        <v>11404</v>
      </c>
      <c r="F15546" s="40" t="s">
        <v>11404</v>
      </c>
      <c r="G15546" s="40" t="s">
        <v>11404</v>
      </c>
      <c r="H15546" s="40" t="s">
        <v>11404</v>
      </c>
    </row>
    <row r="15547">
      <c r="A15547" s="39"/>
      <c r="E15547" s="40" t="s">
        <v>11404</v>
      </c>
      <c r="F15547" s="40" t="s">
        <v>11404</v>
      </c>
      <c r="G15547" s="40" t="s">
        <v>11404</v>
      </c>
      <c r="H15547" s="40" t="s">
        <v>11404</v>
      </c>
    </row>
    <row r="15548">
      <c r="A15548" s="39"/>
      <c r="E15548" s="40" t="s">
        <v>11404</v>
      </c>
      <c r="F15548" s="40" t="s">
        <v>11404</v>
      </c>
      <c r="G15548" s="40" t="s">
        <v>11404</v>
      </c>
      <c r="H15548" s="40" t="s">
        <v>11404</v>
      </c>
    </row>
    <row r="15549">
      <c r="A15549" s="39"/>
      <c r="E15549" s="40" t="s">
        <v>11404</v>
      </c>
      <c r="F15549" s="40" t="s">
        <v>11404</v>
      </c>
      <c r="G15549" s="40" t="s">
        <v>11404</v>
      </c>
      <c r="H15549" s="40" t="s">
        <v>11404</v>
      </c>
    </row>
    <row r="15550">
      <c r="A15550" s="39"/>
      <c r="E15550" s="40" t="s">
        <v>11404</v>
      </c>
      <c r="F15550" s="40" t="s">
        <v>11404</v>
      </c>
      <c r="G15550" s="40" t="s">
        <v>11404</v>
      </c>
      <c r="H15550" s="40" t="s">
        <v>11404</v>
      </c>
    </row>
    <row r="15551">
      <c r="A15551" s="39"/>
      <c r="E15551" s="40" t="s">
        <v>11404</v>
      </c>
      <c r="F15551" s="40" t="s">
        <v>11404</v>
      </c>
      <c r="G15551" s="40" t="s">
        <v>11404</v>
      </c>
      <c r="H15551" s="40" t="s">
        <v>11404</v>
      </c>
    </row>
    <row r="15552">
      <c r="A15552" s="39"/>
      <c r="E15552" s="40" t="s">
        <v>11404</v>
      </c>
      <c r="F15552" s="40" t="s">
        <v>11404</v>
      </c>
      <c r="G15552" s="40" t="s">
        <v>11404</v>
      </c>
      <c r="H15552" s="40" t="s">
        <v>11404</v>
      </c>
    </row>
    <row r="15553">
      <c r="A15553" s="39"/>
      <c r="E15553" s="40" t="s">
        <v>11404</v>
      </c>
      <c r="F15553" s="40" t="s">
        <v>11404</v>
      </c>
      <c r="G15553" s="40" t="s">
        <v>11404</v>
      </c>
      <c r="H15553" s="40" t="s">
        <v>11404</v>
      </c>
    </row>
    <row r="15554">
      <c r="A15554" s="39"/>
      <c r="E15554" s="40" t="s">
        <v>11404</v>
      </c>
      <c r="F15554" s="40" t="s">
        <v>11404</v>
      </c>
      <c r="G15554" s="40" t="s">
        <v>11404</v>
      </c>
      <c r="H15554" s="40" t="s">
        <v>11404</v>
      </c>
    </row>
    <row r="15555">
      <c r="A15555" s="39"/>
      <c r="E15555" s="40" t="s">
        <v>11404</v>
      </c>
      <c r="F15555" s="40" t="s">
        <v>11404</v>
      </c>
      <c r="G15555" s="40" t="s">
        <v>11404</v>
      </c>
      <c r="H15555" s="40" t="s">
        <v>11404</v>
      </c>
    </row>
    <row r="15556">
      <c r="A15556" s="39"/>
      <c r="E15556" s="40" t="s">
        <v>11404</v>
      </c>
      <c r="F15556" s="40" t="s">
        <v>11404</v>
      </c>
      <c r="G15556" s="40" t="s">
        <v>11404</v>
      </c>
      <c r="H15556" s="40" t="s">
        <v>11404</v>
      </c>
    </row>
    <row r="15557">
      <c r="A15557" s="39"/>
      <c r="E15557" s="40" t="s">
        <v>11404</v>
      </c>
      <c r="F15557" s="40" t="s">
        <v>11404</v>
      </c>
      <c r="G15557" s="40" t="s">
        <v>11404</v>
      </c>
      <c r="H15557" s="40" t="s">
        <v>11404</v>
      </c>
    </row>
    <row r="15558">
      <c r="A15558" s="39"/>
      <c r="E15558" s="40" t="s">
        <v>11404</v>
      </c>
      <c r="F15558" s="40" t="s">
        <v>11404</v>
      </c>
      <c r="G15558" s="40" t="s">
        <v>11404</v>
      </c>
      <c r="H15558" s="40" t="s">
        <v>11404</v>
      </c>
    </row>
    <row r="15559">
      <c r="A15559" s="39"/>
      <c r="E15559" s="40" t="s">
        <v>11404</v>
      </c>
      <c r="F15559" s="40" t="s">
        <v>11404</v>
      </c>
      <c r="G15559" s="40" t="s">
        <v>11404</v>
      </c>
      <c r="H15559" s="40" t="s">
        <v>11404</v>
      </c>
    </row>
    <row r="15560">
      <c r="A15560" s="39"/>
      <c r="E15560" s="40" t="s">
        <v>11404</v>
      </c>
      <c r="F15560" s="40" t="s">
        <v>11404</v>
      </c>
      <c r="G15560" s="40" t="s">
        <v>11404</v>
      </c>
      <c r="H15560" s="40" t="s">
        <v>11404</v>
      </c>
    </row>
    <row r="15561">
      <c r="A15561" s="39"/>
      <c r="E15561" s="40" t="s">
        <v>11404</v>
      </c>
      <c r="F15561" s="40" t="s">
        <v>11404</v>
      </c>
      <c r="G15561" s="40" t="s">
        <v>11404</v>
      </c>
      <c r="H15561" s="40" t="s">
        <v>11404</v>
      </c>
    </row>
    <row r="15562">
      <c r="A15562" s="39"/>
      <c r="E15562" s="40" t="s">
        <v>11404</v>
      </c>
      <c r="F15562" s="40" t="s">
        <v>11404</v>
      </c>
      <c r="G15562" s="40" t="s">
        <v>11404</v>
      </c>
      <c r="H15562" s="40" t="s">
        <v>11404</v>
      </c>
    </row>
    <row r="15563">
      <c r="A15563" s="39"/>
      <c r="E15563" s="40" t="s">
        <v>11404</v>
      </c>
      <c r="F15563" s="40" t="s">
        <v>11404</v>
      </c>
      <c r="G15563" s="40" t="s">
        <v>11404</v>
      </c>
      <c r="H15563" s="40" t="s">
        <v>11404</v>
      </c>
    </row>
    <row r="15564">
      <c r="A15564" s="39"/>
      <c r="E15564" s="40" t="s">
        <v>11404</v>
      </c>
      <c r="F15564" s="40" t="s">
        <v>11404</v>
      </c>
      <c r="G15564" s="40" t="s">
        <v>11404</v>
      </c>
      <c r="H15564" s="40" t="s">
        <v>11404</v>
      </c>
    </row>
    <row r="15565">
      <c r="A15565" s="39"/>
      <c r="E15565" s="40" t="s">
        <v>11404</v>
      </c>
      <c r="F15565" s="40" t="s">
        <v>11404</v>
      </c>
      <c r="G15565" s="40" t="s">
        <v>11404</v>
      </c>
      <c r="H15565" s="40" t="s">
        <v>11404</v>
      </c>
    </row>
    <row r="15566">
      <c r="A15566" s="39"/>
      <c r="E15566" s="40" t="s">
        <v>11404</v>
      </c>
      <c r="F15566" s="40" t="s">
        <v>11404</v>
      </c>
      <c r="G15566" s="40" t="s">
        <v>11404</v>
      </c>
      <c r="H15566" s="40" t="s">
        <v>11404</v>
      </c>
    </row>
    <row r="15567">
      <c r="A15567" s="39"/>
      <c r="E15567" s="40" t="s">
        <v>11404</v>
      </c>
      <c r="F15567" s="40" t="s">
        <v>11404</v>
      </c>
      <c r="G15567" s="40" t="s">
        <v>11404</v>
      </c>
      <c r="H15567" s="40" t="s">
        <v>11404</v>
      </c>
    </row>
    <row r="15568">
      <c r="A15568" s="39"/>
      <c r="E15568" s="40" t="s">
        <v>11404</v>
      </c>
      <c r="F15568" s="40" t="s">
        <v>11404</v>
      </c>
      <c r="G15568" s="40" t="s">
        <v>11404</v>
      </c>
      <c r="H15568" s="40" t="s">
        <v>11404</v>
      </c>
    </row>
    <row r="15569">
      <c r="A15569" s="39"/>
      <c r="E15569" s="40" t="s">
        <v>11404</v>
      </c>
      <c r="F15569" s="40" t="s">
        <v>11404</v>
      </c>
      <c r="G15569" s="40" t="s">
        <v>11404</v>
      </c>
      <c r="H15569" s="40" t="s">
        <v>11404</v>
      </c>
    </row>
    <row r="15570">
      <c r="A15570" s="39"/>
      <c r="E15570" s="40" t="s">
        <v>11404</v>
      </c>
      <c r="F15570" s="40" t="s">
        <v>11404</v>
      </c>
      <c r="G15570" s="40" t="s">
        <v>11404</v>
      </c>
      <c r="H15570" s="40" t="s">
        <v>11404</v>
      </c>
    </row>
    <row r="15571">
      <c r="A15571" s="39"/>
      <c r="E15571" s="40" t="s">
        <v>11404</v>
      </c>
      <c r="F15571" s="40" t="s">
        <v>11404</v>
      </c>
      <c r="G15571" s="40" t="s">
        <v>11404</v>
      </c>
      <c r="H15571" s="40" t="s">
        <v>11404</v>
      </c>
    </row>
    <row r="15572">
      <c r="A15572" s="39"/>
      <c r="E15572" s="40" t="s">
        <v>11404</v>
      </c>
      <c r="F15572" s="40" t="s">
        <v>11404</v>
      </c>
      <c r="G15572" s="40" t="s">
        <v>11404</v>
      </c>
      <c r="H15572" s="40" t="s">
        <v>11404</v>
      </c>
    </row>
    <row r="15573">
      <c r="A15573" s="39"/>
      <c r="E15573" s="40" t="s">
        <v>11404</v>
      </c>
      <c r="F15573" s="40" t="s">
        <v>11404</v>
      </c>
      <c r="G15573" s="40" t="s">
        <v>11404</v>
      </c>
      <c r="H15573" s="40" t="s">
        <v>11404</v>
      </c>
    </row>
    <row r="15574">
      <c r="A15574" s="39"/>
      <c r="E15574" s="40" t="s">
        <v>11404</v>
      </c>
      <c r="F15574" s="40" t="s">
        <v>11404</v>
      </c>
      <c r="G15574" s="40" t="s">
        <v>11404</v>
      </c>
      <c r="H15574" s="40" t="s">
        <v>11404</v>
      </c>
    </row>
    <row r="15575">
      <c r="A15575" s="39"/>
      <c r="E15575" s="40" t="s">
        <v>11404</v>
      </c>
      <c r="F15575" s="40" t="s">
        <v>11404</v>
      </c>
      <c r="G15575" s="40" t="s">
        <v>11404</v>
      </c>
      <c r="H15575" s="40" t="s">
        <v>11404</v>
      </c>
    </row>
    <row r="15576">
      <c r="A15576" s="39"/>
      <c r="E15576" s="40" t="s">
        <v>11404</v>
      </c>
      <c r="F15576" s="40" t="s">
        <v>11404</v>
      </c>
      <c r="G15576" s="40" t="s">
        <v>11404</v>
      </c>
      <c r="H15576" s="40" t="s">
        <v>11404</v>
      </c>
    </row>
    <row r="15577">
      <c r="A15577" s="39"/>
      <c r="E15577" s="40" t="s">
        <v>11404</v>
      </c>
      <c r="F15577" s="40" t="s">
        <v>11404</v>
      </c>
      <c r="G15577" s="40" t="s">
        <v>11404</v>
      </c>
      <c r="H15577" s="40" t="s">
        <v>11404</v>
      </c>
    </row>
    <row r="15578">
      <c r="A15578" s="39"/>
      <c r="E15578" s="40" t="s">
        <v>11404</v>
      </c>
      <c r="F15578" s="40" t="s">
        <v>11404</v>
      </c>
      <c r="G15578" s="40" t="s">
        <v>11404</v>
      </c>
      <c r="H15578" s="40" t="s">
        <v>11404</v>
      </c>
    </row>
    <row r="15579">
      <c r="A15579" s="39"/>
      <c r="E15579" s="40" t="s">
        <v>11404</v>
      </c>
      <c r="F15579" s="40" t="s">
        <v>11404</v>
      </c>
      <c r="G15579" s="40" t="s">
        <v>11404</v>
      </c>
      <c r="H15579" s="40" t="s">
        <v>11404</v>
      </c>
    </row>
    <row r="15580">
      <c r="A15580" s="39"/>
      <c r="E15580" s="40" t="s">
        <v>11404</v>
      </c>
      <c r="F15580" s="40" t="s">
        <v>11404</v>
      </c>
      <c r="G15580" s="40" t="s">
        <v>11404</v>
      </c>
      <c r="H15580" s="40" t="s">
        <v>11404</v>
      </c>
    </row>
    <row r="15581">
      <c r="A15581" s="39"/>
      <c r="E15581" s="40" t="s">
        <v>11404</v>
      </c>
      <c r="F15581" s="40" t="s">
        <v>11404</v>
      </c>
      <c r="G15581" s="40" t="s">
        <v>11404</v>
      </c>
      <c r="H15581" s="40" t="s">
        <v>11404</v>
      </c>
    </row>
    <row r="15582">
      <c r="A15582" s="39"/>
      <c r="E15582" s="40" t="s">
        <v>11404</v>
      </c>
      <c r="F15582" s="40" t="s">
        <v>11404</v>
      </c>
      <c r="G15582" s="40" t="s">
        <v>11404</v>
      </c>
      <c r="H15582" s="40" t="s">
        <v>11404</v>
      </c>
    </row>
    <row r="15583">
      <c r="A15583" s="39"/>
      <c r="E15583" s="40" t="s">
        <v>11404</v>
      </c>
      <c r="F15583" s="40" t="s">
        <v>11404</v>
      </c>
      <c r="G15583" s="40" t="s">
        <v>11404</v>
      </c>
      <c r="H15583" s="40" t="s">
        <v>11404</v>
      </c>
    </row>
    <row r="15584">
      <c r="A15584" s="39"/>
      <c r="E15584" s="40" t="s">
        <v>11404</v>
      </c>
      <c r="F15584" s="40" t="s">
        <v>11404</v>
      </c>
      <c r="G15584" s="40" t="s">
        <v>11404</v>
      </c>
      <c r="H15584" s="40" t="s">
        <v>11404</v>
      </c>
    </row>
    <row r="15585">
      <c r="A15585" s="39"/>
      <c r="E15585" s="40" t="s">
        <v>11404</v>
      </c>
      <c r="F15585" s="40" t="s">
        <v>11404</v>
      </c>
      <c r="G15585" s="40" t="s">
        <v>11404</v>
      </c>
      <c r="H15585" s="40" t="s">
        <v>11404</v>
      </c>
    </row>
    <row r="15586">
      <c r="A15586" s="39"/>
      <c r="E15586" s="40" t="s">
        <v>11404</v>
      </c>
      <c r="F15586" s="40" t="s">
        <v>11404</v>
      </c>
      <c r="G15586" s="40" t="s">
        <v>11404</v>
      </c>
      <c r="H15586" s="40" t="s">
        <v>11404</v>
      </c>
    </row>
    <row r="15587">
      <c r="A15587" s="39"/>
      <c r="E15587" s="40" t="s">
        <v>11404</v>
      </c>
      <c r="F15587" s="40" t="s">
        <v>11404</v>
      </c>
      <c r="G15587" s="40" t="s">
        <v>11404</v>
      </c>
      <c r="H15587" s="40" t="s">
        <v>11404</v>
      </c>
    </row>
    <row r="15588">
      <c r="A15588" s="39"/>
      <c r="E15588" s="40" t="s">
        <v>11404</v>
      </c>
      <c r="F15588" s="40" t="s">
        <v>11404</v>
      </c>
      <c r="G15588" s="40" t="s">
        <v>11404</v>
      </c>
      <c r="H15588" s="40" t="s">
        <v>11404</v>
      </c>
    </row>
    <row r="15589">
      <c r="A15589" s="39"/>
      <c r="E15589" s="40" t="s">
        <v>11404</v>
      </c>
      <c r="F15589" s="40" t="s">
        <v>11404</v>
      </c>
      <c r="G15589" s="40" t="s">
        <v>11404</v>
      </c>
      <c r="H15589" s="40" t="s">
        <v>11404</v>
      </c>
    </row>
    <row r="15590">
      <c r="A15590" s="39"/>
      <c r="E15590" s="40" t="s">
        <v>11404</v>
      </c>
      <c r="F15590" s="40" t="s">
        <v>11404</v>
      </c>
      <c r="G15590" s="40" t="s">
        <v>11404</v>
      </c>
      <c r="H15590" s="40" t="s">
        <v>11404</v>
      </c>
    </row>
    <row r="15591">
      <c r="A15591" s="39"/>
      <c r="E15591" s="40" t="s">
        <v>11404</v>
      </c>
      <c r="F15591" s="40" t="s">
        <v>11404</v>
      </c>
      <c r="G15591" s="40" t="s">
        <v>11404</v>
      </c>
      <c r="H15591" s="40" t="s">
        <v>11404</v>
      </c>
    </row>
    <row r="15592">
      <c r="A15592" s="39"/>
      <c r="E15592" s="40" t="s">
        <v>11404</v>
      </c>
      <c r="F15592" s="40" t="s">
        <v>11404</v>
      </c>
      <c r="G15592" s="40" t="s">
        <v>11404</v>
      </c>
      <c r="H15592" s="40" t="s">
        <v>11404</v>
      </c>
    </row>
    <row r="15593">
      <c r="A15593" s="39"/>
      <c r="E15593" s="40" t="s">
        <v>11404</v>
      </c>
      <c r="F15593" s="40" t="s">
        <v>11404</v>
      </c>
      <c r="G15593" s="40" t="s">
        <v>11404</v>
      </c>
      <c r="H15593" s="40" t="s">
        <v>11404</v>
      </c>
    </row>
    <row r="15594">
      <c r="A15594" s="39"/>
      <c r="E15594" s="40" t="s">
        <v>11404</v>
      </c>
      <c r="F15594" s="40" t="s">
        <v>11404</v>
      </c>
      <c r="G15594" s="40" t="s">
        <v>11404</v>
      </c>
      <c r="H15594" s="40" t="s">
        <v>11404</v>
      </c>
    </row>
    <row r="15595">
      <c r="A15595" s="39"/>
      <c r="E15595" s="40" t="s">
        <v>11404</v>
      </c>
      <c r="F15595" s="40" t="s">
        <v>11404</v>
      </c>
      <c r="G15595" s="40" t="s">
        <v>11404</v>
      </c>
      <c r="H15595" s="40" t="s">
        <v>11404</v>
      </c>
    </row>
    <row r="15596">
      <c r="A15596" s="39"/>
      <c r="E15596" s="40" t="s">
        <v>11404</v>
      </c>
      <c r="F15596" s="40" t="s">
        <v>11404</v>
      </c>
      <c r="G15596" s="40" t="s">
        <v>11404</v>
      </c>
      <c r="H15596" s="40" t="s">
        <v>11404</v>
      </c>
    </row>
    <row r="15597">
      <c r="A15597" s="39"/>
      <c r="E15597" s="40" t="s">
        <v>11404</v>
      </c>
      <c r="F15597" s="40" t="s">
        <v>11404</v>
      </c>
      <c r="G15597" s="40" t="s">
        <v>11404</v>
      </c>
      <c r="H15597" s="40" t="s">
        <v>11404</v>
      </c>
    </row>
    <row r="15598">
      <c r="A15598" s="39"/>
      <c r="E15598" s="40" t="s">
        <v>11404</v>
      </c>
      <c r="F15598" s="40" t="s">
        <v>11404</v>
      </c>
      <c r="G15598" s="40" t="s">
        <v>11404</v>
      </c>
      <c r="H15598" s="40" t="s">
        <v>11404</v>
      </c>
    </row>
    <row r="15599">
      <c r="A15599" s="39"/>
      <c r="E15599" s="40" t="s">
        <v>11404</v>
      </c>
      <c r="F15599" s="40" t="s">
        <v>11404</v>
      </c>
      <c r="G15599" s="40" t="s">
        <v>11404</v>
      </c>
      <c r="H15599" s="40" t="s">
        <v>11404</v>
      </c>
    </row>
    <row r="15600">
      <c r="A15600" s="39"/>
      <c r="E15600" s="40" t="s">
        <v>11404</v>
      </c>
      <c r="F15600" s="40" t="s">
        <v>11404</v>
      </c>
      <c r="G15600" s="40" t="s">
        <v>11404</v>
      </c>
      <c r="H15600" s="40" t="s">
        <v>11404</v>
      </c>
    </row>
    <row r="15601">
      <c r="A15601" s="39"/>
      <c r="E15601" s="40" t="s">
        <v>11404</v>
      </c>
      <c r="F15601" s="40" t="s">
        <v>11404</v>
      </c>
      <c r="G15601" s="40" t="s">
        <v>11404</v>
      </c>
      <c r="H15601" s="40" t="s">
        <v>11404</v>
      </c>
    </row>
    <row r="15602">
      <c r="A15602" s="39"/>
      <c r="E15602" s="40" t="s">
        <v>11404</v>
      </c>
      <c r="F15602" s="40" t="s">
        <v>11404</v>
      </c>
      <c r="G15602" s="40" t="s">
        <v>11404</v>
      </c>
      <c r="H15602" s="40" t="s">
        <v>11404</v>
      </c>
    </row>
    <row r="15603">
      <c r="A15603" s="39"/>
      <c r="E15603" s="40" t="s">
        <v>11404</v>
      </c>
      <c r="F15603" s="40" t="s">
        <v>11404</v>
      </c>
      <c r="G15603" s="40" t="s">
        <v>11404</v>
      </c>
      <c r="H15603" s="40" t="s">
        <v>11404</v>
      </c>
    </row>
    <row r="15604">
      <c r="A15604" s="39"/>
      <c r="E15604" s="40" t="s">
        <v>11404</v>
      </c>
      <c r="F15604" s="40" t="s">
        <v>11404</v>
      </c>
      <c r="G15604" s="40" t="s">
        <v>11404</v>
      </c>
      <c r="H15604" s="40" t="s">
        <v>11404</v>
      </c>
    </row>
    <row r="15605">
      <c r="A15605" s="39"/>
      <c r="E15605" s="40" t="s">
        <v>11404</v>
      </c>
      <c r="F15605" s="40" t="s">
        <v>11404</v>
      </c>
      <c r="G15605" s="40" t="s">
        <v>11404</v>
      </c>
      <c r="H15605" s="40" t="s">
        <v>11404</v>
      </c>
    </row>
    <row r="15606">
      <c r="A15606" s="39"/>
      <c r="E15606" s="40" t="s">
        <v>11404</v>
      </c>
      <c r="F15606" s="40" t="s">
        <v>11404</v>
      </c>
      <c r="G15606" s="40" t="s">
        <v>11404</v>
      </c>
      <c r="H15606" s="40" t="s">
        <v>11404</v>
      </c>
    </row>
    <row r="15607">
      <c r="A15607" s="39"/>
      <c r="E15607" s="40" t="s">
        <v>11404</v>
      </c>
      <c r="F15607" s="40" t="s">
        <v>11404</v>
      </c>
      <c r="G15607" s="40" t="s">
        <v>11404</v>
      </c>
      <c r="H15607" s="40" t="s">
        <v>11404</v>
      </c>
    </row>
    <row r="15608">
      <c r="A15608" s="39"/>
      <c r="E15608" s="40" t="s">
        <v>11404</v>
      </c>
      <c r="F15608" s="40" t="s">
        <v>11404</v>
      </c>
      <c r="G15608" s="40" t="s">
        <v>11404</v>
      </c>
      <c r="H15608" s="40" t="s">
        <v>11404</v>
      </c>
    </row>
    <row r="15609">
      <c r="A15609" s="39"/>
      <c r="E15609" s="40" t="s">
        <v>11404</v>
      </c>
      <c r="F15609" s="40" t="s">
        <v>11404</v>
      </c>
      <c r="G15609" s="40" t="s">
        <v>11404</v>
      </c>
      <c r="H15609" s="40" t="s">
        <v>11404</v>
      </c>
    </row>
    <row r="15610">
      <c r="A15610" s="39"/>
      <c r="E15610" s="40" t="s">
        <v>11404</v>
      </c>
      <c r="F15610" s="40" t="s">
        <v>11404</v>
      </c>
      <c r="G15610" s="40" t="s">
        <v>11404</v>
      </c>
      <c r="H15610" s="40" t="s">
        <v>11404</v>
      </c>
    </row>
    <row r="15611">
      <c r="A15611" s="39"/>
      <c r="E15611" s="40" t="s">
        <v>11404</v>
      </c>
      <c r="F15611" s="40" t="s">
        <v>11404</v>
      </c>
      <c r="G15611" s="40" t="s">
        <v>11404</v>
      </c>
      <c r="H15611" s="40" t="s">
        <v>11404</v>
      </c>
    </row>
    <row r="15612">
      <c r="A15612" s="39"/>
      <c r="E15612" s="40" t="s">
        <v>11404</v>
      </c>
      <c r="F15612" s="40" t="s">
        <v>11404</v>
      </c>
      <c r="G15612" s="40" t="s">
        <v>11404</v>
      </c>
      <c r="H15612" s="40" t="s">
        <v>11404</v>
      </c>
    </row>
    <row r="15613">
      <c r="A15613" s="39"/>
      <c r="E15613" s="40" t="s">
        <v>11404</v>
      </c>
      <c r="F15613" s="40" t="s">
        <v>11404</v>
      </c>
      <c r="G15613" s="40" t="s">
        <v>11404</v>
      </c>
      <c r="H15613" s="40" t="s">
        <v>11404</v>
      </c>
    </row>
    <row r="15614">
      <c r="A15614" s="39"/>
      <c r="E15614" s="40" t="s">
        <v>11404</v>
      </c>
      <c r="F15614" s="40" t="s">
        <v>11404</v>
      </c>
      <c r="G15614" s="40" t="s">
        <v>11404</v>
      </c>
      <c r="H15614" s="40" t="s">
        <v>11404</v>
      </c>
    </row>
    <row r="15615">
      <c r="A15615" s="39"/>
      <c r="E15615" s="40" t="s">
        <v>11404</v>
      </c>
      <c r="F15615" s="40" t="s">
        <v>11404</v>
      </c>
      <c r="G15615" s="40" t="s">
        <v>11404</v>
      </c>
      <c r="H15615" s="40" t="s">
        <v>11404</v>
      </c>
    </row>
    <row r="15616">
      <c r="A15616" s="39"/>
      <c r="E15616" s="40" t="s">
        <v>11404</v>
      </c>
      <c r="F15616" s="40" t="s">
        <v>11404</v>
      </c>
      <c r="G15616" s="40" t="s">
        <v>11404</v>
      </c>
      <c r="H15616" s="40" t="s">
        <v>11404</v>
      </c>
    </row>
    <row r="15617">
      <c r="A15617" s="39"/>
      <c r="E15617" s="40" t="s">
        <v>11404</v>
      </c>
      <c r="F15617" s="40" t="s">
        <v>11404</v>
      </c>
      <c r="G15617" s="40" t="s">
        <v>11404</v>
      </c>
      <c r="H15617" s="40" t="s">
        <v>11404</v>
      </c>
    </row>
    <row r="15618">
      <c r="A15618" s="39"/>
      <c r="E15618" s="40" t="s">
        <v>11404</v>
      </c>
      <c r="F15618" s="40" t="s">
        <v>11404</v>
      </c>
      <c r="G15618" s="40" t="s">
        <v>11404</v>
      </c>
      <c r="H15618" s="40" t="s">
        <v>11404</v>
      </c>
    </row>
    <row r="15619">
      <c r="A15619" s="39"/>
      <c r="E15619" s="40" t="s">
        <v>11404</v>
      </c>
      <c r="F15619" s="40" t="s">
        <v>11404</v>
      </c>
      <c r="G15619" s="40" t="s">
        <v>11404</v>
      </c>
      <c r="H15619" s="40" t="s">
        <v>11404</v>
      </c>
    </row>
    <row r="15620">
      <c r="A15620" s="39"/>
      <c r="E15620" s="40" t="s">
        <v>11404</v>
      </c>
      <c r="F15620" s="40" t="s">
        <v>11404</v>
      </c>
      <c r="G15620" s="40" t="s">
        <v>11404</v>
      </c>
      <c r="H15620" s="40" t="s">
        <v>11404</v>
      </c>
    </row>
    <row r="15621">
      <c r="A15621" s="39"/>
      <c r="E15621" s="40" t="s">
        <v>11404</v>
      </c>
      <c r="F15621" s="40" t="s">
        <v>11404</v>
      </c>
      <c r="G15621" s="40" t="s">
        <v>11404</v>
      </c>
      <c r="H15621" s="40" t="s">
        <v>11404</v>
      </c>
    </row>
    <row r="15622">
      <c r="A15622" s="39"/>
      <c r="E15622" s="40" t="s">
        <v>11404</v>
      </c>
      <c r="F15622" s="40" t="s">
        <v>11404</v>
      </c>
      <c r="G15622" s="40" t="s">
        <v>11404</v>
      </c>
      <c r="H15622" s="40" t="s">
        <v>11404</v>
      </c>
    </row>
    <row r="15623">
      <c r="A15623" s="39"/>
      <c r="E15623" s="40" t="s">
        <v>11404</v>
      </c>
      <c r="F15623" s="40" t="s">
        <v>11404</v>
      </c>
      <c r="G15623" s="40" t="s">
        <v>11404</v>
      </c>
      <c r="H15623" s="40" t="s">
        <v>11404</v>
      </c>
    </row>
    <row r="15624">
      <c r="A15624" s="39"/>
      <c r="E15624" s="40" t="s">
        <v>11404</v>
      </c>
      <c r="F15624" s="40" t="s">
        <v>11404</v>
      </c>
      <c r="G15624" s="40" t="s">
        <v>11404</v>
      </c>
      <c r="H15624" s="40" t="s">
        <v>11404</v>
      </c>
    </row>
    <row r="15625">
      <c r="A15625" s="39"/>
      <c r="E15625" s="40" t="s">
        <v>11404</v>
      </c>
      <c r="F15625" s="40" t="s">
        <v>11404</v>
      </c>
      <c r="G15625" s="40" t="s">
        <v>11404</v>
      </c>
      <c r="H15625" s="40" t="s">
        <v>11404</v>
      </c>
    </row>
    <row r="15626">
      <c r="A15626" s="39"/>
      <c r="E15626" s="40" t="s">
        <v>11404</v>
      </c>
      <c r="F15626" s="40" t="s">
        <v>11404</v>
      </c>
      <c r="G15626" s="40" t="s">
        <v>11404</v>
      </c>
      <c r="H15626" s="40" t="s">
        <v>11404</v>
      </c>
    </row>
    <row r="15627">
      <c r="A15627" s="39"/>
      <c r="E15627" s="40" t="s">
        <v>11404</v>
      </c>
      <c r="F15627" s="40" t="s">
        <v>11404</v>
      </c>
      <c r="G15627" s="40" t="s">
        <v>11404</v>
      </c>
      <c r="H15627" s="40" t="s">
        <v>11404</v>
      </c>
    </row>
    <row r="15628">
      <c r="A15628" s="39"/>
      <c r="E15628" s="40" t="s">
        <v>11404</v>
      </c>
      <c r="F15628" s="40" t="s">
        <v>11404</v>
      </c>
      <c r="G15628" s="40" t="s">
        <v>11404</v>
      </c>
      <c r="H15628" s="40" t="s">
        <v>11404</v>
      </c>
    </row>
    <row r="15629">
      <c r="A15629" s="39"/>
      <c r="E15629" s="40" t="s">
        <v>11404</v>
      </c>
      <c r="F15629" s="40" t="s">
        <v>11404</v>
      </c>
      <c r="G15629" s="40" t="s">
        <v>11404</v>
      </c>
      <c r="H15629" s="40" t="s">
        <v>11404</v>
      </c>
    </row>
    <row r="15630">
      <c r="A15630" s="39"/>
      <c r="E15630" s="40" t="s">
        <v>11404</v>
      </c>
      <c r="F15630" s="40" t="s">
        <v>11404</v>
      </c>
      <c r="G15630" s="40" t="s">
        <v>11404</v>
      </c>
      <c r="H15630" s="40" t="s">
        <v>11404</v>
      </c>
    </row>
    <row r="15631">
      <c r="A15631" s="39"/>
      <c r="E15631" s="40" t="s">
        <v>11404</v>
      </c>
      <c r="F15631" s="40" t="s">
        <v>11404</v>
      </c>
      <c r="G15631" s="40" t="s">
        <v>11404</v>
      </c>
      <c r="H15631" s="40" t="s">
        <v>11404</v>
      </c>
    </row>
    <row r="15632">
      <c r="A15632" s="39"/>
      <c r="E15632" s="40" t="s">
        <v>11404</v>
      </c>
      <c r="F15632" s="40" t="s">
        <v>11404</v>
      </c>
      <c r="G15632" s="40" t="s">
        <v>11404</v>
      </c>
      <c r="H15632" s="40" t="s">
        <v>11404</v>
      </c>
    </row>
    <row r="15633">
      <c r="A15633" s="39"/>
      <c r="E15633" s="40" t="s">
        <v>11404</v>
      </c>
      <c r="F15633" s="40" t="s">
        <v>11404</v>
      </c>
      <c r="G15633" s="40" t="s">
        <v>11404</v>
      </c>
      <c r="H15633" s="40" t="s">
        <v>11404</v>
      </c>
    </row>
    <row r="15634">
      <c r="A15634" s="39"/>
      <c r="E15634" s="40" t="s">
        <v>11404</v>
      </c>
      <c r="F15634" s="40" t="s">
        <v>11404</v>
      </c>
      <c r="G15634" s="40" t="s">
        <v>11404</v>
      </c>
      <c r="H15634" s="40" t="s">
        <v>11404</v>
      </c>
    </row>
    <row r="15635">
      <c r="A15635" s="39"/>
      <c r="E15635" s="40" t="s">
        <v>11404</v>
      </c>
      <c r="F15635" s="40" t="s">
        <v>11404</v>
      </c>
      <c r="G15635" s="40" t="s">
        <v>11404</v>
      </c>
      <c r="H15635" s="40" t="s">
        <v>11404</v>
      </c>
    </row>
    <row r="15636">
      <c r="A15636" s="39"/>
      <c r="E15636" s="40" t="s">
        <v>11404</v>
      </c>
      <c r="F15636" s="40" t="s">
        <v>11404</v>
      </c>
      <c r="G15636" s="40" t="s">
        <v>11404</v>
      </c>
      <c r="H15636" s="40" t="s">
        <v>11404</v>
      </c>
    </row>
    <row r="15637">
      <c r="A15637" s="39"/>
      <c r="E15637" s="40" t="s">
        <v>11404</v>
      </c>
      <c r="F15637" s="40" t="s">
        <v>11404</v>
      </c>
      <c r="G15637" s="40" t="s">
        <v>11404</v>
      </c>
      <c r="H15637" s="40" t="s">
        <v>11404</v>
      </c>
    </row>
    <row r="15638">
      <c r="A15638" s="39"/>
      <c r="E15638" s="40" t="s">
        <v>11404</v>
      </c>
      <c r="F15638" s="40" t="s">
        <v>11404</v>
      </c>
      <c r="G15638" s="40" t="s">
        <v>11404</v>
      </c>
      <c r="H15638" s="40" t="s">
        <v>11404</v>
      </c>
    </row>
    <row r="15639">
      <c r="A15639" s="39"/>
      <c r="E15639" s="40" t="s">
        <v>11404</v>
      </c>
      <c r="F15639" s="40" t="s">
        <v>11404</v>
      </c>
      <c r="G15639" s="40" t="s">
        <v>11404</v>
      </c>
      <c r="H15639" s="40" t="s">
        <v>11404</v>
      </c>
    </row>
    <row r="15640">
      <c r="A15640" s="39"/>
      <c r="E15640" s="40" t="s">
        <v>11404</v>
      </c>
      <c r="F15640" s="40" t="s">
        <v>11404</v>
      </c>
      <c r="G15640" s="40" t="s">
        <v>11404</v>
      </c>
      <c r="H15640" s="40" t="s">
        <v>11404</v>
      </c>
    </row>
    <row r="15641">
      <c r="A15641" s="39"/>
      <c r="E15641" s="40" t="s">
        <v>11404</v>
      </c>
      <c r="F15641" s="40" t="s">
        <v>11404</v>
      </c>
      <c r="G15641" s="40" t="s">
        <v>11404</v>
      </c>
      <c r="H15641" s="40" t="s">
        <v>11404</v>
      </c>
    </row>
    <row r="15642">
      <c r="A15642" s="39"/>
      <c r="E15642" s="40" t="s">
        <v>11404</v>
      </c>
      <c r="F15642" s="40" t="s">
        <v>11404</v>
      </c>
      <c r="G15642" s="40" t="s">
        <v>11404</v>
      </c>
      <c r="H15642" s="40" t="s">
        <v>11404</v>
      </c>
    </row>
    <row r="15643">
      <c r="A15643" s="39"/>
      <c r="E15643" s="40" t="s">
        <v>11404</v>
      </c>
      <c r="F15643" s="40" t="s">
        <v>11404</v>
      </c>
      <c r="G15643" s="40" t="s">
        <v>11404</v>
      </c>
      <c r="H15643" s="40" t="s">
        <v>11404</v>
      </c>
    </row>
    <row r="15644">
      <c r="A15644" s="39"/>
      <c r="E15644" s="40" t="s">
        <v>11404</v>
      </c>
      <c r="F15644" s="40" t="s">
        <v>11404</v>
      </c>
      <c r="G15644" s="40" t="s">
        <v>11404</v>
      </c>
      <c r="H15644" s="40" t="s">
        <v>11404</v>
      </c>
    </row>
    <row r="15645">
      <c r="A15645" s="39"/>
      <c r="E15645" s="40" t="s">
        <v>11404</v>
      </c>
      <c r="F15645" s="40" t="s">
        <v>11404</v>
      </c>
      <c r="G15645" s="40" t="s">
        <v>11404</v>
      </c>
      <c r="H15645" s="40" t="s">
        <v>11404</v>
      </c>
    </row>
    <row r="15646">
      <c r="A15646" s="39"/>
      <c r="E15646" s="40" t="s">
        <v>11404</v>
      </c>
      <c r="F15646" s="40" t="s">
        <v>11404</v>
      </c>
      <c r="G15646" s="40" t="s">
        <v>11404</v>
      </c>
      <c r="H15646" s="40" t="s">
        <v>11404</v>
      </c>
    </row>
    <row r="15647">
      <c r="A15647" s="39"/>
      <c r="E15647" s="40" t="s">
        <v>11404</v>
      </c>
      <c r="F15647" s="40" t="s">
        <v>11404</v>
      </c>
      <c r="G15647" s="40" t="s">
        <v>11404</v>
      </c>
      <c r="H15647" s="40" t="s">
        <v>11404</v>
      </c>
    </row>
    <row r="15648">
      <c r="A15648" s="39"/>
      <c r="E15648" s="40" t="s">
        <v>11404</v>
      </c>
      <c r="F15648" s="40" t="s">
        <v>11404</v>
      </c>
      <c r="G15648" s="40" t="s">
        <v>11404</v>
      </c>
      <c r="H15648" s="40" t="s">
        <v>11404</v>
      </c>
    </row>
    <row r="15649">
      <c r="A15649" s="39"/>
      <c r="E15649" s="40" t="s">
        <v>11404</v>
      </c>
      <c r="F15649" s="40" t="s">
        <v>11404</v>
      </c>
      <c r="G15649" s="40" t="s">
        <v>11404</v>
      </c>
      <c r="H15649" s="40" t="s">
        <v>11404</v>
      </c>
    </row>
    <row r="15650">
      <c r="A15650" s="39"/>
      <c r="E15650" s="40" t="s">
        <v>11404</v>
      </c>
      <c r="F15650" s="40" t="s">
        <v>11404</v>
      </c>
      <c r="G15650" s="40" t="s">
        <v>11404</v>
      </c>
      <c r="H15650" s="40" t="s">
        <v>11404</v>
      </c>
    </row>
    <row r="15651">
      <c r="A15651" s="39"/>
      <c r="E15651" s="40" t="s">
        <v>11404</v>
      </c>
      <c r="F15651" s="40" t="s">
        <v>11404</v>
      </c>
      <c r="G15651" s="40" t="s">
        <v>11404</v>
      </c>
      <c r="H15651" s="40" t="s">
        <v>11404</v>
      </c>
    </row>
    <row r="15652">
      <c r="A15652" s="39"/>
      <c r="E15652" s="40" t="s">
        <v>11404</v>
      </c>
      <c r="F15652" s="40" t="s">
        <v>11404</v>
      </c>
      <c r="G15652" s="40" t="s">
        <v>11404</v>
      </c>
      <c r="H15652" s="40" t="s">
        <v>11404</v>
      </c>
    </row>
    <row r="15653">
      <c r="A15653" s="39"/>
      <c r="E15653" s="40" t="s">
        <v>11404</v>
      </c>
      <c r="F15653" s="40" t="s">
        <v>11404</v>
      </c>
      <c r="G15653" s="40" t="s">
        <v>11404</v>
      </c>
      <c r="H15653" s="40" t="s">
        <v>11404</v>
      </c>
    </row>
    <row r="15654">
      <c r="A15654" s="39"/>
      <c r="E15654" s="40" t="s">
        <v>11404</v>
      </c>
      <c r="F15654" s="40" t="s">
        <v>11404</v>
      </c>
      <c r="G15654" s="40" t="s">
        <v>11404</v>
      </c>
      <c r="H15654" s="40" t="s">
        <v>11404</v>
      </c>
    </row>
    <row r="15655">
      <c r="A15655" s="39"/>
      <c r="E15655" s="40" t="s">
        <v>11404</v>
      </c>
      <c r="F15655" s="40" t="s">
        <v>11404</v>
      </c>
      <c r="G15655" s="40" t="s">
        <v>11404</v>
      </c>
      <c r="H15655" s="40" t="s">
        <v>11404</v>
      </c>
    </row>
    <row r="15656">
      <c r="A15656" s="39"/>
      <c r="E15656" s="40" t="s">
        <v>11404</v>
      </c>
      <c r="F15656" s="40" t="s">
        <v>11404</v>
      </c>
      <c r="G15656" s="40" t="s">
        <v>11404</v>
      </c>
      <c r="H15656" s="40" t="s">
        <v>11404</v>
      </c>
    </row>
    <row r="15657">
      <c r="A15657" s="39"/>
      <c r="E15657" s="40" t="s">
        <v>11404</v>
      </c>
      <c r="F15657" s="40" t="s">
        <v>11404</v>
      </c>
      <c r="G15657" s="40" t="s">
        <v>11404</v>
      </c>
      <c r="H15657" s="40" t="s">
        <v>11404</v>
      </c>
    </row>
    <row r="15658">
      <c r="A15658" s="39"/>
      <c r="E15658" s="40" t="s">
        <v>11404</v>
      </c>
      <c r="F15658" s="40" t="s">
        <v>11404</v>
      </c>
      <c r="G15658" s="40" t="s">
        <v>11404</v>
      </c>
      <c r="H15658" s="40" t="s">
        <v>11404</v>
      </c>
    </row>
    <row r="15659">
      <c r="A15659" s="39"/>
      <c r="E15659" s="40" t="s">
        <v>11404</v>
      </c>
      <c r="F15659" s="40" t="s">
        <v>11404</v>
      </c>
      <c r="G15659" s="40" t="s">
        <v>11404</v>
      </c>
      <c r="H15659" s="40" t="s">
        <v>11404</v>
      </c>
    </row>
    <row r="15660">
      <c r="A15660" s="39"/>
      <c r="E15660" s="40" t="s">
        <v>11404</v>
      </c>
      <c r="F15660" s="40" t="s">
        <v>11404</v>
      </c>
      <c r="G15660" s="40" t="s">
        <v>11404</v>
      </c>
      <c r="H15660" s="40" t="s">
        <v>11404</v>
      </c>
    </row>
    <row r="15661">
      <c r="A15661" s="39"/>
      <c r="E15661" s="40" t="s">
        <v>11404</v>
      </c>
      <c r="F15661" s="40" t="s">
        <v>11404</v>
      </c>
      <c r="G15661" s="40" t="s">
        <v>11404</v>
      </c>
      <c r="H15661" s="40" t="s">
        <v>11404</v>
      </c>
    </row>
    <row r="15662">
      <c r="A15662" s="39"/>
      <c r="E15662" s="40" t="s">
        <v>11404</v>
      </c>
      <c r="F15662" s="40" t="s">
        <v>11404</v>
      </c>
      <c r="G15662" s="40" t="s">
        <v>11404</v>
      </c>
      <c r="H15662" s="40" t="s">
        <v>11404</v>
      </c>
    </row>
    <row r="15663">
      <c r="A15663" s="39"/>
      <c r="E15663" s="40" t="s">
        <v>11404</v>
      </c>
      <c r="F15663" s="40" t="s">
        <v>11404</v>
      </c>
      <c r="G15663" s="40" t="s">
        <v>11404</v>
      </c>
      <c r="H15663" s="40" t="s">
        <v>11404</v>
      </c>
    </row>
    <row r="15664">
      <c r="A15664" s="39"/>
      <c r="E15664" s="40" t="s">
        <v>11404</v>
      </c>
      <c r="F15664" s="40" t="s">
        <v>11404</v>
      </c>
      <c r="G15664" s="40" t="s">
        <v>11404</v>
      </c>
      <c r="H15664" s="40" t="s">
        <v>11404</v>
      </c>
    </row>
    <row r="15665">
      <c r="A15665" s="39"/>
      <c r="E15665" s="40" t="s">
        <v>11404</v>
      </c>
      <c r="F15665" s="40" t="s">
        <v>11404</v>
      </c>
      <c r="G15665" s="40" t="s">
        <v>11404</v>
      </c>
      <c r="H15665" s="40" t="s">
        <v>11404</v>
      </c>
    </row>
    <row r="15666">
      <c r="A15666" s="39"/>
      <c r="E15666" s="40" t="s">
        <v>11404</v>
      </c>
      <c r="F15666" s="40" t="s">
        <v>11404</v>
      </c>
      <c r="G15666" s="40" t="s">
        <v>11404</v>
      </c>
      <c r="H15666" s="40" t="s">
        <v>11404</v>
      </c>
    </row>
    <row r="15667">
      <c r="A15667" s="39"/>
      <c r="E15667" s="40" t="s">
        <v>11404</v>
      </c>
      <c r="F15667" s="40" t="s">
        <v>11404</v>
      </c>
      <c r="G15667" s="40" t="s">
        <v>11404</v>
      </c>
      <c r="H15667" s="40" t="s">
        <v>11404</v>
      </c>
    </row>
    <row r="15668">
      <c r="A15668" s="39"/>
      <c r="E15668" s="40" t="s">
        <v>11404</v>
      </c>
      <c r="F15668" s="40" t="s">
        <v>11404</v>
      </c>
      <c r="G15668" s="40" t="s">
        <v>11404</v>
      </c>
      <c r="H15668" s="40" t="s">
        <v>11404</v>
      </c>
    </row>
    <row r="15669">
      <c r="A15669" s="39"/>
      <c r="E15669" s="40" t="s">
        <v>11404</v>
      </c>
      <c r="F15669" s="40" t="s">
        <v>11404</v>
      </c>
      <c r="G15669" s="40" t="s">
        <v>11404</v>
      </c>
      <c r="H15669" s="40" t="s">
        <v>11404</v>
      </c>
    </row>
    <row r="15670">
      <c r="A15670" s="39"/>
      <c r="E15670" s="40" t="s">
        <v>11404</v>
      </c>
      <c r="F15670" s="40" t="s">
        <v>11404</v>
      </c>
      <c r="G15670" s="40" t="s">
        <v>11404</v>
      </c>
      <c r="H15670" s="40" t="s">
        <v>11404</v>
      </c>
    </row>
    <row r="15671">
      <c r="A15671" s="39"/>
      <c r="E15671" s="40" t="s">
        <v>11404</v>
      </c>
      <c r="F15671" s="40" t="s">
        <v>11404</v>
      </c>
      <c r="G15671" s="40" t="s">
        <v>11404</v>
      </c>
      <c r="H15671" s="40" t="s">
        <v>11404</v>
      </c>
    </row>
    <row r="15672">
      <c r="A15672" s="39"/>
      <c r="E15672" s="40" t="s">
        <v>11404</v>
      </c>
      <c r="F15672" s="40" t="s">
        <v>11404</v>
      </c>
      <c r="G15672" s="40" t="s">
        <v>11404</v>
      </c>
      <c r="H15672" s="40" t="s">
        <v>11404</v>
      </c>
    </row>
    <row r="15673">
      <c r="A15673" s="39"/>
      <c r="E15673" s="40" t="s">
        <v>11404</v>
      </c>
      <c r="F15673" s="40" t="s">
        <v>11404</v>
      </c>
      <c r="G15673" s="40" t="s">
        <v>11404</v>
      </c>
      <c r="H15673" s="40" t="s">
        <v>11404</v>
      </c>
    </row>
    <row r="15674">
      <c r="A15674" s="39"/>
      <c r="E15674" s="40" t="s">
        <v>11404</v>
      </c>
      <c r="F15674" s="40" t="s">
        <v>11404</v>
      </c>
      <c r="G15674" s="40" t="s">
        <v>11404</v>
      </c>
      <c r="H15674" s="40" t="s">
        <v>11404</v>
      </c>
    </row>
    <row r="15675">
      <c r="A15675" s="39"/>
      <c r="E15675" s="40" t="s">
        <v>11404</v>
      </c>
      <c r="F15675" s="40" t="s">
        <v>11404</v>
      </c>
      <c r="G15675" s="40" t="s">
        <v>11404</v>
      </c>
      <c r="H15675" s="40" t="s">
        <v>11404</v>
      </c>
    </row>
    <row r="15676">
      <c r="A15676" s="39"/>
      <c r="E15676" s="40" t="s">
        <v>11404</v>
      </c>
      <c r="F15676" s="40" t="s">
        <v>11404</v>
      </c>
      <c r="G15676" s="40" t="s">
        <v>11404</v>
      </c>
      <c r="H15676" s="40" t="s">
        <v>11404</v>
      </c>
    </row>
    <row r="15677">
      <c r="A15677" s="39"/>
      <c r="E15677" s="40" t="s">
        <v>11404</v>
      </c>
      <c r="F15677" s="40" t="s">
        <v>11404</v>
      </c>
      <c r="G15677" s="40" t="s">
        <v>11404</v>
      </c>
      <c r="H15677" s="40" t="s">
        <v>11404</v>
      </c>
    </row>
    <row r="15678">
      <c r="A15678" s="39"/>
      <c r="E15678" s="40" t="s">
        <v>11404</v>
      </c>
      <c r="F15678" s="40" t="s">
        <v>11404</v>
      </c>
      <c r="G15678" s="40" t="s">
        <v>11404</v>
      </c>
      <c r="H15678" s="40" t="s">
        <v>11404</v>
      </c>
    </row>
    <row r="15679">
      <c r="A15679" s="39"/>
      <c r="E15679" s="40" t="s">
        <v>11404</v>
      </c>
      <c r="F15679" s="40" t="s">
        <v>11404</v>
      </c>
      <c r="G15679" s="40" t="s">
        <v>11404</v>
      </c>
      <c r="H15679" s="40" t="s">
        <v>11404</v>
      </c>
    </row>
    <row r="15680">
      <c r="A15680" s="39"/>
      <c r="E15680" s="40" t="s">
        <v>11404</v>
      </c>
      <c r="F15680" s="40" t="s">
        <v>11404</v>
      </c>
      <c r="G15680" s="40" t="s">
        <v>11404</v>
      </c>
      <c r="H15680" s="40" t="s">
        <v>11404</v>
      </c>
    </row>
    <row r="15681">
      <c r="A15681" s="39"/>
      <c r="E15681" s="40" t="s">
        <v>11404</v>
      </c>
      <c r="F15681" s="40" t="s">
        <v>11404</v>
      </c>
      <c r="G15681" s="40" t="s">
        <v>11404</v>
      </c>
      <c r="H15681" s="40" t="s">
        <v>11404</v>
      </c>
    </row>
    <row r="15682">
      <c r="A15682" s="39"/>
      <c r="E15682" s="40" t="s">
        <v>11404</v>
      </c>
      <c r="F15682" s="40" t="s">
        <v>11404</v>
      </c>
      <c r="G15682" s="40" t="s">
        <v>11404</v>
      </c>
      <c r="H15682" s="40" t="s">
        <v>11404</v>
      </c>
    </row>
    <row r="15683">
      <c r="A15683" s="39"/>
      <c r="E15683" s="40" t="s">
        <v>11404</v>
      </c>
      <c r="F15683" s="40" t="s">
        <v>11404</v>
      </c>
      <c r="G15683" s="40" t="s">
        <v>11404</v>
      </c>
      <c r="H15683" s="40" t="s">
        <v>11404</v>
      </c>
    </row>
    <row r="15684">
      <c r="A15684" s="39"/>
      <c r="E15684" s="40" t="s">
        <v>11404</v>
      </c>
      <c r="F15684" s="40" t="s">
        <v>11404</v>
      </c>
      <c r="G15684" s="40" t="s">
        <v>11404</v>
      </c>
      <c r="H15684" s="40" t="s">
        <v>11404</v>
      </c>
    </row>
    <row r="15685">
      <c r="A15685" s="39"/>
      <c r="E15685" s="40" t="s">
        <v>11404</v>
      </c>
      <c r="F15685" s="40" t="s">
        <v>11404</v>
      </c>
      <c r="G15685" s="40" t="s">
        <v>11404</v>
      </c>
      <c r="H15685" s="40" t="s">
        <v>11404</v>
      </c>
    </row>
    <row r="15686">
      <c r="A15686" s="39"/>
      <c r="E15686" s="40" t="s">
        <v>11404</v>
      </c>
      <c r="F15686" s="40" t="s">
        <v>11404</v>
      </c>
      <c r="G15686" s="40" t="s">
        <v>11404</v>
      </c>
      <c r="H15686" s="40" t="s">
        <v>11404</v>
      </c>
    </row>
    <row r="15687">
      <c r="A15687" s="39"/>
      <c r="E15687" s="40" t="s">
        <v>11404</v>
      </c>
      <c r="F15687" s="40" t="s">
        <v>11404</v>
      </c>
      <c r="G15687" s="40" t="s">
        <v>11404</v>
      </c>
      <c r="H15687" s="40" t="s">
        <v>11404</v>
      </c>
    </row>
    <row r="15688">
      <c r="A15688" s="39"/>
      <c r="E15688" s="40" t="s">
        <v>11404</v>
      </c>
      <c r="F15688" s="40" t="s">
        <v>11404</v>
      </c>
      <c r="G15688" s="40" t="s">
        <v>11404</v>
      </c>
      <c r="H15688" s="40" t="s">
        <v>11404</v>
      </c>
    </row>
    <row r="15689">
      <c r="A15689" s="39"/>
      <c r="E15689" s="40" t="s">
        <v>11404</v>
      </c>
      <c r="F15689" s="40" t="s">
        <v>11404</v>
      </c>
      <c r="G15689" s="40" t="s">
        <v>11404</v>
      </c>
      <c r="H15689" s="40" t="s">
        <v>11404</v>
      </c>
    </row>
    <row r="15690">
      <c r="A15690" s="39"/>
      <c r="E15690" s="40" t="s">
        <v>11404</v>
      </c>
      <c r="F15690" s="40" t="s">
        <v>11404</v>
      </c>
      <c r="G15690" s="40" t="s">
        <v>11404</v>
      </c>
      <c r="H15690" s="40" t="s">
        <v>11404</v>
      </c>
    </row>
    <row r="15691">
      <c r="A15691" s="39"/>
      <c r="E15691" s="40" t="s">
        <v>11404</v>
      </c>
      <c r="F15691" s="40" t="s">
        <v>11404</v>
      </c>
      <c r="G15691" s="40" t="s">
        <v>11404</v>
      </c>
      <c r="H15691" s="40" t="s">
        <v>11404</v>
      </c>
    </row>
    <row r="15692">
      <c r="A15692" s="39"/>
      <c r="E15692" s="40" t="s">
        <v>11404</v>
      </c>
      <c r="F15692" s="40" t="s">
        <v>11404</v>
      </c>
      <c r="G15692" s="40" t="s">
        <v>11404</v>
      </c>
      <c r="H15692" s="40" t="s">
        <v>11404</v>
      </c>
    </row>
    <row r="15693">
      <c r="A15693" s="39"/>
      <c r="E15693" s="40" t="s">
        <v>11404</v>
      </c>
      <c r="F15693" s="40" t="s">
        <v>11404</v>
      </c>
      <c r="G15693" s="40" t="s">
        <v>11404</v>
      </c>
      <c r="H15693" s="40" t="s">
        <v>11404</v>
      </c>
    </row>
    <row r="15694">
      <c r="A15694" s="39"/>
      <c r="E15694" s="40" t="s">
        <v>11404</v>
      </c>
      <c r="F15694" s="40" t="s">
        <v>11404</v>
      </c>
      <c r="G15694" s="40" t="s">
        <v>11404</v>
      </c>
      <c r="H15694" s="40" t="s">
        <v>11404</v>
      </c>
    </row>
    <row r="15695">
      <c r="A15695" s="39"/>
      <c r="E15695" s="40" t="s">
        <v>11404</v>
      </c>
      <c r="F15695" s="40" t="s">
        <v>11404</v>
      </c>
      <c r="G15695" s="40" t="s">
        <v>11404</v>
      </c>
      <c r="H15695" s="40" t="s">
        <v>11404</v>
      </c>
    </row>
    <row r="15696">
      <c r="A15696" s="39"/>
      <c r="E15696" s="40" t="s">
        <v>11404</v>
      </c>
      <c r="F15696" s="40" t="s">
        <v>11404</v>
      </c>
      <c r="G15696" s="40" t="s">
        <v>11404</v>
      </c>
      <c r="H15696" s="40" t="s">
        <v>11404</v>
      </c>
    </row>
    <row r="15697">
      <c r="A15697" s="39"/>
      <c r="E15697" s="40" t="s">
        <v>11404</v>
      </c>
      <c r="F15697" s="40" t="s">
        <v>11404</v>
      </c>
      <c r="G15697" s="40" t="s">
        <v>11404</v>
      </c>
      <c r="H15697" s="40" t="s">
        <v>11404</v>
      </c>
    </row>
    <row r="15698">
      <c r="A15698" s="39"/>
      <c r="E15698" s="40" t="s">
        <v>11404</v>
      </c>
      <c r="F15698" s="40" t="s">
        <v>11404</v>
      </c>
      <c r="G15698" s="40" t="s">
        <v>11404</v>
      </c>
      <c r="H15698" s="40" t="s">
        <v>11404</v>
      </c>
    </row>
    <row r="15699">
      <c r="A15699" s="39"/>
      <c r="E15699" s="40" t="s">
        <v>11404</v>
      </c>
      <c r="F15699" s="40" t="s">
        <v>11404</v>
      </c>
      <c r="G15699" s="40" t="s">
        <v>11404</v>
      </c>
      <c r="H15699" s="40" t="s">
        <v>11404</v>
      </c>
    </row>
    <row r="15700">
      <c r="A15700" s="39"/>
      <c r="E15700" s="40" t="s">
        <v>11404</v>
      </c>
      <c r="F15700" s="40" t="s">
        <v>11404</v>
      </c>
      <c r="G15700" s="40" t="s">
        <v>11404</v>
      </c>
      <c r="H15700" s="40" t="s">
        <v>11404</v>
      </c>
    </row>
    <row r="15701">
      <c r="A15701" s="39"/>
      <c r="E15701" s="40" t="s">
        <v>11404</v>
      </c>
      <c r="F15701" s="40" t="s">
        <v>11404</v>
      </c>
      <c r="G15701" s="40" t="s">
        <v>11404</v>
      </c>
      <c r="H15701" s="40" t="s">
        <v>11404</v>
      </c>
    </row>
    <row r="15702">
      <c r="A15702" s="39"/>
      <c r="E15702" s="40" t="s">
        <v>11404</v>
      </c>
      <c r="F15702" s="40" t="s">
        <v>11404</v>
      </c>
      <c r="G15702" s="40" t="s">
        <v>11404</v>
      </c>
      <c r="H15702" s="40" t="s">
        <v>11404</v>
      </c>
    </row>
    <row r="15703">
      <c r="A15703" s="39"/>
      <c r="E15703" s="40" t="s">
        <v>11404</v>
      </c>
      <c r="F15703" s="40" t="s">
        <v>11404</v>
      </c>
      <c r="G15703" s="40" t="s">
        <v>11404</v>
      </c>
      <c r="H15703" s="40" t="s">
        <v>11404</v>
      </c>
    </row>
    <row r="15704">
      <c r="A15704" s="39"/>
      <c r="E15704" s="40" t="s">
        <v>11404</v>
      </c>
      <c r="F15704" s="40" t="s">
        <v>11404</v>
      </c>
      <c r="G15704" s="40" t="s">
        <v>11404</v>
      </c>
      <c r="H15704" s="40" t="s">
        <v>11404</v>
      </c>
    </row>
    <row r="15705">
      <c r="A15705" s="39"/>
      <c r="E15705" s="40" t="s">
        <v>11404</v>
      </c>
      <c r="F15705" s="40" t="s">
        <v>11404</v>
      </c>
      <c r="G15705" s="40" t="s">
        <v>11404</v>
      </c>
      <c r="H15705" s="40" t="s">
        <v>11404</v>
      </c>
    </row>
    <row r="15706">
      <c r="A15706" s="39"/>
      <c r="E15706" s="40" t="s">
        <v>11404</v>
      </c>
      <c r="F15706" s="40" t="s">
        <v>11404</v>
      </c>
      <c r="G15706" s="40" t="s">
        <v>11404</v>
      </c>
      <c r="H15706" s="40" t="s">
        <v>11404</v>
      </c>
    </row>
    <row r="15707">
      <c r="A15707" s="39"/>
      <c r="E15707" s="40" t="s">
        <v>11404</v>
      </c>
      <c r="F15707" s="40" t="s">
        <v>11404</v>
      </c>
      <c r="G15707" s="40" t="s">
        <v>11404</v>
      </c>
      <c r="H15707" s="40" t="s">
        <v>11404</v>
      </c>
    </row>
    <row r="15708">
      <c r="A15708" s="39"/>
      <c r="E15708" s="40" t="s">
        <v>11404</v>
      </c>
      <c r="F15708" s="40" t="s">
        <v>11404</v>
      </c>
      <c r="G15708" s="40" t="s">
        <v>11404</v>
      </c>
      <c r="H15708" s="40" t="s">
        <v>11404</v>
      </c>
    </row>
    <row r="15709">
      <c r="A15709" s="39"/>
      <c r="E15709" s="40" t="s">
        <v>11404</v>
      </c>
      <c r="F15709" s="40" t="s">
        <v>11404</v>
      </c>
      <c r="G15709" s="40" t="s">
        <v>11404</v>
      </c>
      <c r="H15709" s="40" t="s">
        <v>11404</v>
      </c>
    </row>
    <row r="15710">
      <c r="A15710" s="39"/>
      <c r="E15710" s="40" t="s">
        <v>11404</v>
      </c>
      <c r="F15710" s="40" t="s">
        <v>11404</v>
      </c>
      <c r="G15710" s="40" t="s">
        <v>11404</v>
      </c>
      <c r="H15710" s="40" t="s">
        <v>11404</v>
      </c>
    </row>
    <row r="15711">
      <c r="A15711" s="39"/>
      <c r="E15711" s="40" t="s">
        <v>11404</v>
      </c>
      <c r="F15711" s="40" t="s">
        <v>11404</v>
      </c>
      <c r="G15711" s="40" t="s">
        <v>11404</v>
      </c>
      <c r="H15711" s="40" t="s">
        <v>11404</v>
      </c>
    </row>
    <row r="15712">
      <c r="A15712" s="39"/>
      <c r="E15712" s="40" t="s">
        <v>11404</v>
      </c>
      <c r="F15712" s="40" t="s">
        <v>11404</v>
      </c>
      <c r="G15712" s="40" t="s">
        <v>11404</v>
      </c>
      <c r="H15712" s="40" t="s">
        <v>11404</v>
      </c>
    </row>
    <row r="15713">
      <c r="A15713" s="39"/>
      <c r="E15713" s="40" t="s">
        <v>11404</v>
      </c>
      <c r="F15713" s="40" t="s">
        <v>11404</v>
      </c>
      <c r="G15713" s="40" t="s">
        <v>11404</v>
      </c>
      <c r="H15713" s="40" t="s">
        <v>11404</v>
      </c>
    </row>
    <row r="15714">
      <c r="A15714" s="39"/>
      <c r="E15714" s="40" t="s">
        <v>11404</v>
      </c>
      <c r="F15714" s="40" t="s">
        <v>11404</v>
      </c>
      <c r="G15714" s="40" t="s">
        <v>11404</v>
      </c>
      <c r="H15714" s="40" t="s">
        <v>11404</v>
      </c>
    </row>
    <row r="15715">
      <c r="A15715" s="39"/>
      <c r="E15715" s="40" t="s">
        <v>11404</v>
      </c>
      <c r="F15715" s="40" t="s">
        <v>11404</v>
      </c>
      <c r="G15715" s="40" t="s">
        <v>11404</v>
      </c>
      <c r="H15715" s="40" t="s">
        <v>11404</v>
      </c>
    </row>
    <row r="15716">
      <c r="A15716" s="39"/>
      <c r="E15716" s="40" t="s">
        <v>11404</v>
      </c>
      <c r="F15716" s="40" t="s">
        <v>11404</v>
      </c>
      <c r="G15716" s="40" t="s">
        <v>11404</v>
      </c>
      <c r="H15716" s="40" t="s">
        <v>11404</v>
      </c>
    </row>
    <row r="15717">
      <c r="A15717" s="39"/>
      <c r="E15717" s="40" t="s">
        <v>11404</v>
      </c>
      <c r="F15717" s="40" t="s">
        <v>11404</v>
      </c>
      <c r="G15717" s="40" t="s">
        <v>11404</v>
      </c>
      <c r="H15717" s="40" t="s">
        <v>11404</v>
      </c>
    </row>
    <row r="15718">
      <c r="A15718" s="39"/>
      <c r="E15718" s="40" t="s">
        <v>11404</v>
      </c>
      <c r="F15718" s="40" t="s">
        <v>11404</v>
      </c>
      <c r="G15718" s="40" t="s">
        <v>11404</v>
      </c>
      <c r="H15718" s="40" t="s">
        <v>11404</v>
      </c>
    </row>
    <row r="15719">
      <c r="A15719" s="39"/>
      <c r="E15719" s="40" t="s">
        <v>11404</v>
      </c>
      <c r="F15719" s="40" t="s">
        <v>11404</v>
      </c>
      <c r="G15719" s="40" t="s">
        <v>11404</v>
      </c>
      <c r="H15719" s="40" t="s">
        <v>11404</v>
      </c>
    </row>
    <row r="15720">
      <c r="A15720" s="39"/>
      <c r="E15720" s="40" t="s">
        <v>11404</v>
      </c>
      <c r="F15720" s="40" t="s">
        <v>11404</v>
      </c>
      <c r="G15720" s="40" t="s">
        <v>11404</v>
      </c>
      <c r="H15720" s="40" t="s">
        <v>11404</v>
      </c>
    </row>
    <row r="15721">
      <c r="A15721" s="39"/>
      <c r="E15721" s="40" t="s">
        <v>11404</v>
      </c>
      <c r="F15721" s="40" t="s">
        <v>11404</v>
      </c>
      <c r="G15721" s="40" t="s">
        <v>11404</v>
      </c>
      <c r="H15721" s="40" t="s">
        <v>11404</v>
      </c>
    </row>
    <row r="15722">
      <c r="A15722" s="39"/>
      <c r="E15722" s="40" t="s">
        <v>11404</v>
      </c>
      <c r="F15722" s="40" t="s">
        <v>11404</v>
      </c>
      <c r="G15722" s="40" t="s">
        <v>11404</v>
      </c>
      <c r="H15722" s="40" t="s">
        <v>11404</v>
      </c>
    </row>
    <row r="15723">
      <c r="A15723" s="39"/>
      <c r="E15723" s="40" t="s">
        <v>11404</v>
      </c>
      <c r="F15723" s="40" t="s">
        <v>11404</v>
      </c>
      <c r="G15723" s="40" t="s">
        <v>11404</v>
      </c>
      <c r="H15723" s="40" t="s">
        <v>11404</v>
      </c>
    </row>
    <row r="15724">
      <c r="A15724" s="39"/>
      <c r="E15724" s="40" t="s">
        <v>11404</v>
      </c>
      <c r="F15724" s="40" t="s">
        <v>11404</v>
      </c>
      <c r="G15724" s="40" t="s">
        <v>11404</v>
      </c>
      <c r="H15724" s="40" t="s">
        <v>11404</v>
      </c>
    </row>
    <row r="15725">
      <c r="A15725" s="39"/>
      <c r="E15725" s="40" t="s">
        <v>11404</v>
      </c>
      <c r="F15725" s="40" t="s">
        <v>11404</v>
      </c>
      <c r="G15725" s="40" t="s">
        <v>11404</v>
      </c>
      <c r="H15725" s="40" t="s">
        <v>11404</v>
      </c>
    </row>
    <row r="15726">
      <c r="A15726" s="39"/>
      <c r="E15726" s="40" t="s">
        <v>11404</v>
      </c>
      <c r="F15726" s="40" t="s">
        <v>11404</v>
      </c>
      <c r="G15726" s="40" t="s">
        <v>11404</v>
      </c>
      <c r="H15726" s="40" t="s">
        <v>11404</v>
      </c>
    </row>
    <row r="15727">
      <c r="A15727" s="39"/>
      <c r="E15727" s="40" t="s">
        <v>11404</v>
      </c>
      <c r="F15727" s="40" t="s">
        <v>11404</v>
      </c>
      <c r="G15727" s="40" t="s">
        <v>11404</v>
      </c>
      <c r="H15727" s="40" t="s">
        <v>11404</v>
      </c>
    </row>
    <row r="15728">
      <c r="A15728" s="39"/>
      <c r="E15728" s="40" t="s">
        <v>11404</v>
      </c>
      <c r="F15728" s="40" t="s">
        <v>11404</v>
      </c>
      <c r="G15728" s="40" t="s">
        <v>11404</v>
      </c>
      <c r="H15728" s="40" t="s">
        <v>11404</v>
      </c>
    </row>
    <row r="15729">
      <c r="A15729" s="39"/>
      <c r="E15729" s="40" t="s">
        <v>11404</v>
      </c>
      <c r="F15729" s="40" t="s">
        <v>11404</v>
      </c>
      <c r="G15729" s="40" t="s">
        <v>11404</v>
      </c>
      <c r="H15729" s="40" t="s">
        <v>11404</v>
      </c>
    </row>
    <row r="15730">
      <c r="A15730" s="39"/>
      <c r="E15730" s="40" t="s">
        <v>11404</v>
      </c>
      <c r="F15730" s="40" t="s">
        <v>11404</v>
      </c>
      <c r="G15730" s="40" t="s">
        <v>11404</v>
      </c>
      <c r="H15730" s="40" t="s">
        <v>11404</v>
      </c>
    </row>
    <row r="15731">
      <c r="A15731" s="39"/>
      <c r="E15731" s="40" t="s">
        <v>11404</v>
      </c>
      <c r="F15731" s="40" t="s">
        <v>11404</v>
      </c>
      <c r="G15731" s="40" t="s">
        <v>11404</v>
      </c>
      <c r="H15731" s="40" t="s">
        <v>11404</v>
      </c>
    </row>
    <row r="15732">
      <c r="A15732" s="39"/>
      <c r="E15732" s="40" t="s">
        <v>11404</v>
      </c>
      <c r="F15732" s="40" t="s">
        <v>11404</v>
      </c>
      <c r="G15732" s="40" t="s">
        <v>11404</v>
      </c>
      <c r="H15732" s="40" t="s">
        <v>11404</v>
      </c>
    </row>
    <row r="15733">
      <c r="A15733" s="39"/>
      <c r="E15733" s="40" t="s">
        <v>11404</v>
      </c>
      <c r="F15733" s="40" t="s">
        <v>11404</v>
      </c>
      <c r="G15733" s="40" t="s">
        <v>11404</v>
      </c>
      <c r="H15733" s="40" t="s">
        <v>11404</v>
      </c>
    </row>
    <row r="15734">
      <c r="A15734" s="39"/>
      <c r="E15734" s="40" t="s">
        <v>11404</v>
      </c>
      <c r="F15734" s="40" t="s">
        <v>11404</v>
      </c>
      <c r="G15734" s="40" t="s">
        <v>11404</v>
      </c>
      <c r="H15734" s="40" t="s">
        <v>11404</v>
      </c>
    </row>
    <row r="15735">
      <c r="A15735" s="39"/>
      <c r="E15735" s="40" t="s">
        <v>11404</v>
      </c>
      <c r="F15735" s="40" t="s">
        <v>11404</v>
      </c>
      <c r="G15735" s="40" t="s">
        <v>11404</v>
      </c>
      <c r="H15735" s="40" t="s">
        <v>11404</v>
      </c>
    </row>
    <row r="15736">
      <c r="A15736" s="39"/>
      <c r="E15736" s="40" t="s">
        <v>11404</v>
      </c>
      <c r="F15736" s="40" t="s">
        <v>11404</v>
      </c>
      <c r="G15736" s="40" t="s">
        <v>11404</v>
      </c>
      <c r="H15736" s="40" t="s">
        <v>11404</v>
      </c>
    </row>
    <row r="15737">
      <c r="A15737" s="39"/>
      <c r="E15737" s="40" t="s">
        <v>11404</v>
      </c>
      <c r="F15737" s="40" t="s">
        <v>11404</v>
      </c>
      <c r="G15737" s="40" t="s">
        <v>11404</v>
      </c>
      <c r="H15737" s="40" t="s">
        <v>11404</v>
      </c>
    </row>
    <row r="15738">
      <c r="A15738" s="39"/>
      <c r="E15738" s="40" t="s">
        <v>11404</v>
      </c>
      <c r="F15738" s="40" t="s">
        <v>11404</v>
      </c>
      <c r="G15738" s="40" t="s">
        <v>11404</v>
      </c>
      <c r="H15738" s="40" t="s">
        <v>11404</v>
      </c>
    </row>
    <row r="15739">
      <c r="A15739" s="39"/>
      <c r="E15739" s="40" t="s">
        <v>11404</v>
      </c>
      <c r="F15739" s="40" t="s">
        <v>11404</v>
      </c>
      <c r="G15739" s="40" t="s">
        <v>11404</v>
      </c>
      <c r="H15739" s="40" t="s">
        <v>11404</v>
      </c>
    </row>
    <row r="15740">
      <c r="A15740" s="39"/>
      <c r="E15740" s="40" t="s">
        <v>11404</v>
      </c>
      <c r="F15740" s="40" t="s">
        <v>11404</v>
      </c>
      <c r="G15740" s="40" t="s">
        <v>11404</v>
      </c>
      <c r="H15740" s="40" t="s">
        <v>11404</v>
      </c>
    </row>
    <row r="15741">
      <c r="A15741" s="39"/>
      <c r="E15741" s="40" t="s">
        <v>11404</v>
      </c>
      <c r="F15741" s="40" t="s">
        <v>11404</v>
      </c>
      <c r="G15741" s="40" t="s">
        <v>11404</v>
      </c>
      <c r="H15741" s="40" t="s">
        <v>11404</v>
      </c>
    </row>
    <row r="15742">
      <c r="A15742" s="39"/>
      <c r="E15742" s="40" t="s">
        <v>11404</v>
      </c>
      <c r="F15742" s="40" t="s">
        <v>11404</v>
      </c>
      <c r="G15742" s="40" t="s">
        <v>11404</v>
      </c>
      <c r="H15742" s="40" t="s">
        <v>11404</v>
      </c>
    </row>
    <row r="15743">
      <c r="A15743" s="39"/>
      <c r="E15743" s="40" t="s">
        <v>11404</v>
      </c>
      <c r="F15743" s="40" t="s">
        <v>11404</v>
      </c>
      <c r="G15743" s="40" t="s">
        <v>11404</v>
      </c>
      <c r="H15743" s="40" t="s">
        <v>11404</v>
      </c>
    </row>
    <row r="15744">
      <c r="A15744" s="39"/>
      <c r="E15744" s="40" t="s">
        <v>11404</v>
      </c>
      <c r="F15744" s="40" t="s">
        <v>11404</v>
      </c>
      <c r="G15744" s="40" t="s">
        <v>11404</v>
      </c>
      <c r="H15744" s="40" t="s">
        <v>11404</v>
      </c>
    </row>
    <row r="15745">
      <c r="A15745" s="39"/>
      <c r="E15745" s="40" t="s">
        <v>11404</v>
      </c>
      <c r="F15745" s="40" t="s">
        <v>11404</v>
      </c>
      <c r="G15745" s="40" t="s">
        <v>11404</v>
      </c>
      <c r="H15745" s="40" t="s">
        <v>11404</v>
      </c>
    </row>
    <row r="15746">
      <c r="A15746" s="39"/>
      <c r="E15746" s="40" t="s">
        <v>11404</v>
      </c>
      <c r="F15746" s="40" t="s">
        <v>11404</v>
      </c>
      <c r="G15746" s="40" t="s">
        <v>11404</v>
      </c>
      <c r="H15746" s="40" t="s">
        <v>11404</v>
      </c>
    </row>
    <row r="15747">
      <c r="A15747" s="39"/>
      <c r="E15747" s="40" t="s">
        <v>11404</v>
      </c>
      <c r="F15747" s="40" t="s">
        <v>11404</v>
      </c>
      <c r="G15747" s="40" t="s">
        <v>11404</v>
      </c>
      <c r="H15747" s="40" t="s">
        <v>11404</v>
      </c>
    </row>
    <row r="15748">
      <c r="A15748" s="39"/>
      <c r="E15748" s="40" t="s">
        <v>11404</v>
      </c>
      <c r="F15748" s="40" t="s">
        <v>11404</v>
      </c>
      <c r="G15748" s="40" t="s">
        <v>11404</v>
      </c>
      <c r="H15748" s="40" t="s">
        <v>11404</v>
      </c>
    </row>
    <row r="15749">
      <c r="A15749" s="39"/>
      <c r="E15749" s="40" t="s">
        <v>11404</v>
      </c>
      <c r="F15749" s="40" t="s">
        <v>11404</v>
      </c>
      <c r="G15749" s="40" t="s">
        <v>11404</v>
      </c>
      <c r="H15749" s="40" t="s">
        <v>11404</v>
      </c>
    </row>
    <row r="15750">
      <c r="A15750" s="39"/>
      <c r="E15750" s="40" t="s">
        <v>11404</v>
      </c>
      <c r="F15750" s="40" t="s">
        <v>11404</v>
      </c>
      <c r="G15750" s="40" t="s">
        <v>11404</v>
      </c>
      <c r="H15750" s="40" t="s">
        <v>11404</v>
      </c>
    </row>
    <row r="15751">
      <c r="A15751" s="39"/>
      <c r="E15751" s="40" t="s">
        <v>11404</v>
      </c>
      <c r="F15751" s="40" t="s">
        <v>11404</v>
      </c>
      <c r="G15751" s="40" t="s">
        <v>11404</v>
      </c>
      <c r="H15751" s="40" t="s">
        <v>11404</v>
      </c>
    </row>
    <row r="15752">
      <c r="A15752" s="39"/>
      <c r="E15752" s="40" t="s">
        <v>11404</v>
      </c>
      <c r="F15752" s="40" t="s">
        <v>11404</v>
      </c>
      <c r="G15752" s="40" t="s">
        <v>11404</v>
      </c>
      <c r="H15752" s="40" t="s">
        <v>11404</v>
      </c>
    </row>
    <row r="15753">
      <c r="A15753" s="39"/>
      <c r="E15753" s="40" t="s">
        <v>11404</v>
      </c>
      <c r="F15753" s="40" t="s">
        <v>11404</v>
      </c>
      <c r="G15753" s="40" t="s">
        <v>11404</v>
      </c>
      <c r="H15753" s="40" t="s">
        <v>11404</v>
      </c>
    </row>
    <row r="15754">
      <c r="A15754" s="39"/>
      <c r="E15754" s="40" t="s">
        <v>11404</v>
      </c>
      <c r="F15754" s="40" t="s">
        <v>11404</v>
      </c>
      <c r="G15754" s="40" t="s">
        <v>11404</v>
      </c>
      <c r="H15754" s="40" t="s">
        <v>11404</v>
      </c>
    </row>
    <row r="15755">
      <c r="A15755" s="39"/>
      <c r="E15755" s="40" t="s">
        <v>11404</v>
      </c>
      <c r="F15755" s="40" t="s">
        <v>11404</v>
      </c>
      <c r="G15755" s="40" t="s">
        <v>11404</v>
      </c>
      <c r="H15755" s="40" t="s">
        <v>11404</v>
      </c>
    </row>
    <row r="15756">
      <c r="A15756" s="39"/>
      <c r="E15756" s="40" t="s">
        <v>11404</v>
      </c>
      <c r="F15756" s="40" t="s">
        <v>11404</v>
      </c>
      <c r="G15756" s="40" t="s">
        <v>11404</v>
      </c>
      <c r="H15756" s="40" t="s">
        <v>11404</v>
      </c>
    </row>
    <row r="15757">
      <c r="A15757" s="39"/>
      <c r="E15757" s="40" t="s">
        <v>11404</v>
      </c>
      <c r="F15757" s="40" t="s">
        <v>11404</v>
      </c>
      <c r="G15757" s="40" t="s">
        <v>11404</v>
      </c>
      <c r="H15757" s="40" t="s">
        <v>11404</v>
      </c>
    </row>
    <row r="15758">
      <c r="A15758" s="39"/>
      <c r="E15758" s="40" t="s">
        <v>11404</v>
      </c>
      <c r="F15758" s="40" t="s">
        <v>11404</v>
      </c>
      <c r="G15758" s="40" t="s">
        <v>11404</v>
      </c>
      <c r="H15758" s="40" t="s">
        <v>11404</v>
      </c>
    </row>
    <row r="15759">
      <c r="A15759" s="39"/>
      <c r="E15759" s="40" t="s">
        <v>11404</v>
      </c>
      <c r="F15759" s="40" t="s">
        <v>11404</v>
      </c>
      <c r="G15759" s="40" t="s">
        <v>11404</v>
      </c>
      <c r="H15759" s="40" t="s">
        <v>11404</v>
      </c>
    </row>
    <row r="15760">
      <c r="A15760" s="39"/>
      <c r="E15760" s="40" t="s">
        <v>11404</v>
      </c>
      <c r="F15760" s="40" t="s">
        <v>11404</v>
      </c>
      <c r="G15760" s="40" t="s">
        <v>11404</v>
      </c>
      <c r="H15760" s="40" t="s">
        <v>11404</v>
      </c>
    </row>
    <row r="15761">
      <c r="A15761" s="39"/>
      <c r="E15761" s="40" t="s">
        <v>11404</v>
      </c>
      <c r="F15761" s="40" t="s">
        <v>11404</v>
      </c>
      <c r="G15761" s="40" t="s">
        <v>11404</v>
      </c>
      <c r="H15761" s="40" t="s">
        <v>11404</v>
      </c>
    </row>
    <row r="15762">
      <c r="A15762" s="39"/>
      <c r="E15762" s="40" t="s">
        <v>11404</v>
      </c>
      <c r="F15762" s="40" t="s">
        <v>11404</v>
      </c>
      <c r="G15762" s="40" t="s">
        <v>11404</v>
      </c>
      <c r="H15762" s="40" t="s">
        <v>11404</v>
      </c>
    </row>
    <row r="15763">
      <c r="A15763" s="39"/>
      <c r="E15763" s="40" t="s">
        <v>11404</v>
      </c>
      <c r="F15763" s="40" t="s">
        <v>11404</v>
      </c>
      <c r="G15763" s="40" t="s">
        <v>11404</v>
      </c>
      <c r="H15763" s="40" t="s">
        <v>11404</v>
      </c>
    </row>
    <row r="15764">
      <c r="A15764" s="39"/>
      <c r="E15764" s="40" t="s">
        <v>11404</v>
      </c>
      <c r="F15764" s="40" t="s">
        <v>11404</v>
      </c>
      <c r="G15764" s="40" t="s">
        <v>11404</v>
      </c>
      <c r="H15764" s="40" t="s">
        <v>11404</v>
      </c>
    </row>
    <row r="15765">
      <c r="A15765" s="39"/>
      <c r="E15765" s="40" t="s">
        <v>11404</v>
      </c>
      <c r="F15765" s="40" t="s">
        <v>11404</v>
      </c>
      <c r="G15765" s="40" t="s">
        <v>11404</v>
      </c>
      <c r="H15765" s="40" t="s">
        <v>11404</v>
      </c>
    </row>
    <row r="15766">
      <c r="A15766" s="39"/>
      <c r="E15766" s="40" t="s">
        <v>11404</v>
      </c>
      <c r="F15766" s="40" t="s">
        <v>11404</v>
      </c>
      <c r="G15766" s="40" t="s">
        <v>11404</v>
      </c>
      <c r="H15766" s="40" t="s">
        <v>11404</v>
      </c>
    </row>
    <row r="15767">
      <c r="A15767" s="39"/>
      <c r="E15767" s="40" t="s">
        <v>11404</v>
      </c>
      <c r="F15767" s="40" t="s">
        <v>11404</v>
      </c>
      <c r="G15767" s="40" t="s">
        <v>11404</v>
      </c>
      <c r="H15767" s="40" t="s">
        <v>11404</v>
      </c>
    </row>
    <row r="15768">
      <c r="A15768" s="39"/>
      <c r="E15768" s="40" t="s">
        <v>11404</v>
      </c>
      <c r="F15768" s="40" t="s">
        <v>11404</v>
      </c>
      <c r="G15768" s="40" t="s">
        <v>11404</v>
      </c>
      <c r="H15768" s="40" t="s">
        <v>11404</v>
      </c>
    </row>
    <row r="15769">
      <c r="A15769" s="39"/>
      <c r="E15769" s="40" t="s">
        <v>11404</v>
      </c>
      <c r="F15769" s="40" t="s">
        <v>11404</v>
      </c>
      <c r="G15769" s="40" t="s">
        <v>11404</v>
      </c>
      <c r="H15769" s="40" t="s">
        <v>11404</v>
      </c>
    </row>
    <row r="15770">
      <c r="A15770" s="39"/>
      <c r="E15770" s="40" t="s">
        <v>11404</v>
      </c>
      <c r="F15770" s="40" t="s">
        <v>11404</v>
      </c>
      <c r="G15770" s="40" t="s">
        <v>11404</v>
      </c>
      <c r="H15770" s="40" t="s">
        <v>11404</v>
      </c>
    </row>
    <row r="15771">
      <c r="A15771" s="39"/>
      <c r="E15771" s="40" t="s">
        <v>11404</v>
      </c>
      <c r="F15771" s="40" t="s">
        <v>11404</v>
      </c>
      <c r="G15771" s="40" t="s">
        <v>11404</v>
      </c>
      <c r="H15771" s="40" t="s">
        <v>11404</v>
      </c>
    </row>
    <row r="15772">
      <c r="A15772" s="39"/>
      <c r="E15772" s="40" t="s">
        <v>11404</v>
      </c>
      <c r="F15772" s="40" t="s">
        <v>11404</v>
      </c>
      <c r="G15772" s="40" t="s">
        <v>11404</v>
      </c>
      <c r="H15772" s="40" t="s">
        <v>11404</v>
      </c>
    </row>
    <row r="15773">
      <c r="A15773" s="39"/>
      <c r="E15773" s="40" t="s">
        <v>11404</v>
      </c>
      <c r="F15773" s="40" t="s">
        <v>11404</v>
      </c>
      <c r="G15773" s="40" t="s">
        <v>11404</v>
      </c>
      <c r="H15773" s="40" t="s">
        <v>11404</v>
      </c>
    </row>
    <row r="15774">
      <c r="A15774" s="39"/>
      <c r="E15774" s="40" t="s">
        <v>11404</v>
      </c>
      <c r="F15774" s="40" t="s">
        <v>11404</v>
      </c>
      <c r="G15774" s="40" t="s">
        <v>11404</v>
      </c>
      <c r="H15774" s="40" t="s">
        <v>11404</v>
      </c>
    </row>
    <row r="15775">
      <c r="A15775" s="39"/>
      <c r="E15775" s="40" t="s">
        <v>11404</v>
      </c>
      <c r="F15775" s="40" t="s">
        <v>11404</v>
      </c>
      <c r="G15775" s="40" t="s">
        <v>11404</v>
      </c>
      <c r="H15775" s="40" t="s">
        <v>11404</v>
      </c>
    </row>
    <row r="15776">
      <c r="A15776" s="39"/>
      <c r="E15776" s="40" t="s">
        <v>11404</v>
      </c>
      <c r="F15776" s="40" t="s">
        <v>11404</v>
      </c>
      <c r="G15776" s="40" t="s">
        <v>11404</v>
      </c>
      <c r="H15776" s="40" t="s">
        <v>11404</v>
      </c>
    </row>
    <row r="15777">
      <c r="A15777" s="39"/>
      <c r="E15777" s="40" t="s">
        <v>11404</v>
      </c>
      <c r="F15777" s="40" t="s">
        <v>11404</v>
      </c>
      <c r="G15777" s="40" t="s">
        <v>11404</v>
      </c>
      <c r="H15777" s="40" t="s">
        <v>11404</v>
      </c>
    </row>
    <row r="15778">
      <c r="A15778" s="39"/>
      <c r="E15778" s="40" t="s">
        <v>11404</v>
      </c>
      <c r="F15778" s="40" t="s">
        <v>11404</v>
      </c>
      <c r="G15778" s="40" t="s">
        <v>11404</v>
      </c>
      <c r="H15778" s="40" t="s">
        <v>11404</v>
      </c>
    </row>
    <row r="15779">
      <c r="A15779" s="39"/>
      <c r="E15779" s="40" t="s">
        <v>11404</v>
      </c>
      <c r="F15779" s="40" t="s">
        <v>11404</v>
      </c>
      <c r="G15779" s="40" t="s">
        <v>11404</v>
      </c>
      <c r="H15779" s="40" t="s">
        <v>11404</v>
      </c>
    </row>
    <row r="15780">
      <c r="A15780" s="39"/>
      <c r="E15780" s="40" t="s">
        <v>11404</v>
      </c>
      <c r="F15780" s="40" t="s">
        <v>11404</v>
      </c>
      <c r="G15780" s="40" t="s">
        <v>11404</v>
      </c>
      <c r="H15780" s="40" t="s">
        <v>11404</v>
      </c>
    </row>
    <row r="15781">
      <c r="A15781" s="39"/>
      <c r="E15781" s="40" t="s">
        <v>11404</v>
      </c>
      <c r="F15781" s="40" t="s">
        <v>11404</v>
      </c>
      <c r="G15781" s="40" t="s">
        <v>11404</v>
      </c>
      <c r="H15781" s="40" t="s">
        <v>11404</v>
      </c>
    </row>
    <row r="15782">
      <c r="A15782" s="39"/>
      <c r="E15782" s="40" t="s">
        <v>11404</v>
      </c>
      <c r="F15782" s="40" t="s">
        <v>11404</v>
      </c>
      <c r="G15782" s="40" t="s">
        <v>11404</v>
      </c>
      <c r="H15782" s="40" t="s">
        <v>11404</v>
      </c>
    </row>
    <row r="15783">
      <c r="A15783" s="39"/>
      <c r="E15783" s="40" t="s">
        <v>11404</v>
      </c>
      <c r="F15783" s="40" t="s">
        <v>11404</v>
      </c>
      <c r="G15783" s="40" t="s">
        <v>11404</v>
      </c>
      <c r="H15783" s="40" t="s">
        <v>11404</v>
      </c>
    </row>
    <row r="15784">
      <c r="A15784" s="39"/>
      <c r="E15784" s="40" t="s">
        <v>11404</v>
      </c>
      <c r="F15784" s="40" t="s">
        <v>11404</v>
      </c>
      <c r="G15784" s="40" t="s">
        <v>11404</v>
      </c>
      <c r="H15784" s="40" t="s">
        <v>11404</v>
      </c>
    </row>
    <row r="15785">
      <c r="A15785" s="39"/>
      <c r="E15785" s="40" t="s">
        <v>11404</v>
      </c>
      <c r="F15785" s="40" t="s">
        <v>11404</v>
      </c>
      <c r="G15785" s="40" t="s">
        <v>11404</v>
      </c>
      <c r="H15785" s="40" t="s">
        <v>11404</v>
      </c>
    </row>
    <row r="15786">
      <c r="A15786" s="39"/>
      <c r="E15786" s="40" t="s">
        <v>11404</v>
      </c>
      <c r="F15786" s="40" t="s">
        <v>11404</v>
      </c>
      <c r="G15786" s="40" t="s">
        <v>11404</v>
      </c>
      <c r="H15786" s="40" t="s">
        <v>11404</v>
      </c>
    </row>
    <row r="15787">
      <c r="A15787" s="39"/>
      <c r="E15787" s="40" t="s">
        <v>11404</v>
      </c>
      <c r="F15787" s="40" t="s">
        <v>11404</v>
      </c>
      <c r="G15787" s="40" t="s">
        <v>11404</v>
      </c>
      <c r="H15787" s="40" t="s">
        <v>11404</v>
      </c>
    </row>
    <row r="15788">
      <c r="A15788" s="39"/>
      <c r="E15788" s="40" t="s">
        <v>11404</v>
      </c>
      <c r="F15788" s="40" t="s">
        <v>11404</v>
      </c>
      <c r="G15788" s="40" t="s">
        <v>11404</v>
      </c>
      <c r="H15788" s="40" t="s">
        <v>11404</v>
      </c>
    </row>
    <row r="15789">
      <c r="A15789" s="39"/>
      <c r="E15789" s="40" t="s">
        <v>11404</v>
      </c>
      <c r="F15789" s="40" t="s">
        <v>11404</v>
      </c>
      <c r="G15789" s="40" t="s">
        <v>11404</v>
      </c>
      <c r="H15789" s="40" t="s">
        <v>11404</v>
      </c>
    </row>
    <row r="15790">
      <c r="A15790" s="39"/>
      <c r="E15790" s="40" t="s">
        <v>11404</v>
      </c>
      <c r="F15790" s="40" t="s">
        <v>11404</v>
      </c>
      <c r="G15790" s="40" t="s">
        <v>11404</v>
      </c>
      <c r="H15790" s="40" t="s">
        <v>11404</v>
      </c>
    </row>
    <row r="15791">
      <c r="A15791" s="39"/>
      <c r="E15791" s="40" t="s">
        <v>11404</v>
      </c>
      <c r="F15791" s="40" t="s">
        <v>11404</v>
      </c>
      <c r="G15791" s="40" t="s">
        <v>11404</v>
      </c>
      <c r="H15791" s="40" t="s">
        <v>11404</v>
      </c>
    </row>
    <row r="15792">
      <c r="A15792" s="39"/>
      <c r="E15792" s="40" t="s">
        <v>11404</v>
      </c>
      <c r="F15792" s="40" t="s">
        <v>11404</v>
      </c>
      <c r="G15792" s="40" t="s">
        <v>11404</v>
      </c>
      <c r="H15792" s="40" t="s">
        <v>11404</v>
      </c>
    </row>
    <row r="15793">
      <c r="A15793" s="39"/>
      <c r="E15793" s="40" t="s">
        <v>11404</v>
      </c>
      <c r="F15793" s="40" t="s">
        <v>11404</v>
      </c>
      <c r="G15793" s="40" t="s">
        <v>11404</v>
      </c>
      <c r="H15793" s="40" t="s">
        <v>11404</v>
      </c>
    </row>
    <row r="15794">
      <c r="A15794" s="39"/>
      <c r="E15794" s="40" t="s">
        <v>11404</v>
      </c>
      <c r="F15794" s="40" t="s">
        <v>11404</v>
      </c>
      <c r="G15794" s="40" t="s">
        <v>11404</v>
      </c>
      <c r="H15794" s="40" t="s">
        <v>11404</v>
      </c>
    </row>
    <row r="15795">
      <c r="A15795" s="39"/>
      <c r="E15795" s="40" t="s">
        <v>11404</v>
      </c>
      <c r="F15795" s="40" t="s">
        <v>11404</v>
      </c>
      <c r="G15795" s="40" t="s">
        <v>11404</v>
      </c>
      <c r="H15795" s="40" t="s">
        <v>11404</v>
      </c>
    </row>
    <row r="15796">
      <c r="A15796" s="39"/>
      <c r="E15796" s="40" t="s">
        <v>11404</v>
      </c>
      <c r="F15796" s="40" t="s">
        <v>11404</v>
      </c>
      <c r="G15796" s="40" t="s">
        <v>11404</v>
      </c>
      <c r="H15796" s="40" t="s">
        <v>11404</v>
      </c>
    </row>
    <row r="15797">
      <c r="A15797" s="39"/>
      <c r="E15797" s="40" t="s">
        <v>11404</v>
      </c>
      <c r="F15797" s="40" t="s">
        <v>11404</v>
      </c>
      <c r="G15797" s="40" t="s">
        <v>11404</v>
      </c>
      <c r="H15797" s="40" t="s">
        <v>11404</v>
      </c>
    </row>
    <row r="15798">
      <c r="A15798" s="39"/>
      <c r="E15798" s="40" t="s">
        <v>11404</v>
      </c>
      <c r="F15798" s="40" t="s">
        <v>11404</v>
      </c>
      <c r="G15798" s="40" t="s">
        <v>11404</v>
      </c>
      <c r="H15798" s="40" t="s">
        <v>11404</v>
      </c>
    </row>
    <row r="15799">
      <c r="A15799" s="39"/>
      <c r="E15799" s="40" t="s">
        <v>11404</v>
      </c>
      <c r="F15799" s="40" t="s">
        <v>11404</v>
      </c>
      <c r="G15799" s="40" t="s">
        <v>11404</v>
      </c>
      <c r="H15799" s="40" t="s">
        <v>11404</v>
      </c>
    </row>
    <row r="15800">
      <c r="A15800" s="39"/>
      <c r="E15800" s="40" t="s">
        <v>11404</v>
      </c>
      <c r="F15800" s="40" t="s">
        <v>11404</v>
      </c>
      <c r="G15800" s="40" t="s">
        <v>11404</v>
      </c>
      <c r="H15800" s="40" t="s">
        <v>11404</v>
      </c>
    </row>
    <row r="15801">
      <c r="A15801" s="39"/>
      <c r="E15801" s="40" t="s">
        <v>11404</v>
      </c>
      <c r="F15801" s="40" t="s">
        <v>11404</v>
      </c>
      <c r="G15801" s="40" t="s">
        <v>11404</v>
      </c>
      <c r="H15801" s="40" t="s">
        <v>11404</v>
      </c>
    </row>
    <row r="15802">
      <c r="A15802" s="39"/>
      <c r="E15802" s="40" t="s">
        <v>11404</v>
      </c>
      <c r="F15802" s="40" t="s">
        <v>11404</v>
      </c>
      <c r="G15802" s="40" t="s">
        <v>11404</v>
      </c>
      <c r="H15802" s="40" t="s">
        <v>11404</v>
      </c>
    </row>
    <row r="15803">
      <c r="A15803" s="39"/>
      <c r="E15803" s="40" t="s">
        <v>11404</v>
      </c>
      <c r="F15803" s="40" t="s">
        <v>11404</v>
      </c>
      <c r="G15803" s="40" t="s">
        <v>11404</v>
      </c>
      <c r="H15803" s="40" t="s">
        <v>11404</v>
      </c>
    </row>
    <row r="15804">
      <c r="A15804" s="39"/>
      <c r="E15804" s="40" t="s">
        <v>11404</v>
      </c>
      <c r="F15804" s="40" t="s">
        <v>11404</v>
      </c>
      <c r="G15804" s="40" t="s">
        <v>11404</v>
      </c>
      <c r="H15804" s="40" t="s">
        <v>11404</v>
      </c>
    </row>
    <row r="15805">
      <c r="A15805" s="39"/>
      <c r="E15805" s="40" t="s">
        <v>11404</v>
      </c>
      <c r="F15805" s="40" t="s">
        <v>11404</v>
      </c>
      <c r="G15805" s="40" t="s">
        <v>11404</v>
      </c>
      <c r="H15805" s="40" t="s">
        <v>11404</v>
      </c>
    </row>
    <row r="15806">
      <c r="A15806" s="39"/>
      <c r="E15806" s="40" t="s">
        <v>11404</v>
      </c>
      <c r="F15806" s="40" t="s">
        <v>11404</v>
      </c>
      <c r="G15806" s="40" t="s">
        <v>11404</v>
      </c>
      <c r="H15806" s="40" t="s">
        <v>11404</v>
      </c>
    </row>
    <row r="15807">
      <c r="A15807" s="39"/>
      <c r="E15807" s="40" t="s">
        <v>11404</v>
      </c>
      <c r="F15807" s="40" t="s">
        <v>11404</v>
      </c>
      <c r="G15807" s="40" t="s">
        <v>11404</v>
      </c>
      <c r="H15807" s="40" t="s">
        <v>11404</v>
      </c>
    </row>
    <row r="15808">
      <c r="A15808" s="39"/>
      <c r="E15808" s="40" t="s">
        <v>11404</v>
      </c>
      <c r="F15808" s="40" t="s">
        <v>11404</v>
      </c>
      <c r="G15808" s="40" t="s">
        <v>11404</v>
      </c>
      <c r="H15808" s="40" t="s">
        <v>11404</v>
      </c>
    </row>
    <row r="15809">
      <c r="A15809" s="39"/>
      <c r="E15809" s="40" t="s">
        <v>11404</v>
      </c>
      <c r="F15809" s="40" t="s">
        <v>11404</v>
      </c>
      <c r="G15809" s="40" t="s">
        <v>11404</v>
      </c>
      <c r="H15809" s="40" t="s">
        <v>11404</v>
      </c>
    </row>
    <row r="15810">
      <c r="A15810" s="39"/>
      <c r="E15810" s="40" t="s">
        <v>11404</v>
      </c>
      <c r="F15810" s="40" t="s">
        <v>11404</v>
      </c>
      <c r="G15810" s="40" t="s">
        <v>11404</v>
      </c>
      <c r="H15810" s="40" t="s">
        <v>11404</v>
      </c>
    </row>
    <row r="15811">
      <c r="A15811" s="39"/>
      <c r="E15811" s="40" t="s">
        <v>11404</v>
      </c>
      <c r="F15811" s="40" t="s">
        <v>11404</v>
      </c>
      <c r="G15811" s="40" t="s">
        <v>11404</v>
      </c>
      <c r="H15811" s="40" t="s">
        <v>11404</v>
      </c>
    </row>
    <row r="15812">
      <c r="A15812" s="39"/>
      <c r="E15812" s="40" t="s">
        <v>11404</v>
      </c>
      <c r="F15812" s="40" t="s">
        <v>11404</v>
      </c>
      <c r="G15812" s="40" t="s">
        <v>11404</v>
      </c>
      <c r="H15812" s="40" t="s">
        <v>11404</v>
      </c>
    </row>
    <row r="15813">
      <c r="A15813" s="39"/>
      <c r="E15813" s="40" t="s">
        <v>11404</v>
      </c>
      <c r="F15813" s="40" t="s">
        <v>11404</v>
      </c>
      <c r="G15813" s="40" t="s">
        <v>11404</v>
      </c>
      <c r="H15813" s="40" t="s">
        <v>11404</v>
      </c>
    </row>
    <row r="15814">
      <c r="A15814" s="39"/>
      <c r="E15814" s="40" t="s">
        <v>11404</v>
      </c>
      <c r="F15814" s="40" t="s">
        <v>11404</v>
      </c>
      <c r="G15814" s="40" t="s">
        <v>11404</v>
      </c>
      <c r="H15814" s="40" t="s">
        <v>11404</v>
      </c>
    </row>
    <row r="15815">
      <c r="A15815" s="39"/>
      <c r="E15815" s="40" t="s">
        <v>11404</v>
      </c>
      <c r="F15815" s="40" t="s">
        <v>11404</v>
      </c>
      <c r="G15815" s="40" t="s">
        <v>11404</v>
      </c>
      <c r="H15815" s="40" t="s">
        <v>11404</v>
      </c>
    </row>
    <row r="15816">
      <c r="A15816" s="39"/>
      <c r="E15816" s="40" t="s">
        <v>11404</v>
      </c>
      <c r="F15816" s="40" t="s">
        <v>11404</v>
      </c>
      <c r="G15816" s="40" t="s">
        <v>11404</v>
      </c>
      <c r="H15816" s="40" t="s">
        <v>11404</v>
      </c>
    </row>
    <row r="15817">
      <c r="A15817" s="39"/>
      <c r="E15817" s="40" t="s">
        <v>11404</v>
      </c>
      <c r="F15817" s="40" t="s">
        <v>11404</v>
      </c>
      <c r="G15817" s="40" t="s">
        <v>11404</v>
      </c>
      <c r="H15817" s="40" t="s">
        <v>11404</v>
      </c>
    </row>
    <row r="15818">
      <c r="A15818" s="39"/>
      <c r="E15818" s="40" t="s">
        <v>11404</v>
      </c>
      <c r="F15818" s="40" t="s">
        <v>11404</v>
      </c>
      <c r="G15818" s="40" t="s">
        <v>11404</v>
      </c>
      <c r="H15818" s="40" t="s">
        <v>11404</v>
      </c>
    </row>
    <row r="15819">
      <c r="A15819" s="39"/>
      <c r="E15819" s="40" t="s">
        <v>11404</v>
      </c>
      <c r="F15819" s="40" t="s">
        <v>11404</v>
      </c>
      <c r="G15819" s="40" t="s">
        <v>11404</v>
      </c>
      <c r="H15819" s="40" t="s">
        <v>11404</v>
      </c>
    </row>
    <row r="15820">
      <c r="A15820" s="39"/>
      <c r="E15820" s="40" t="s">
        <v>11404</v>
      </c>
      <c r="F15820" s="40" t="s">
        <v>11404</v>
      </c>
      <c r="G15820" s="40" t="s">
        <v>11404</v>
      </c>
      <c r="H15820" s="40" t="s">
        <v>11404</v>
      </c>
    </row>
    <row r="15821">
      <c r="A15821" s="39"/>
      <c r="E15821" s="40" t="s">
        <v>11404</v>
      </c>
      <c r="F15821" s="40" t="s">
        <v>11404</v>
      </c>
      <c r="G15821" s="40" t="s">
        <v>11404</v>
      </c>
      <c r="H15821" s="40" t="s">
        <v>11404</v>
      </c>
    </row>
    <row r="15822">
      <c r="A15822" s="39"/>
      <c r="E15822" s="40" t="s">
        <v>11404</v>
      </c>
      <c r="F15822" s="40" t="s">
        <v>11404</v>
      </c>
      <c r="G15822" s="40" t="s">
        <v>11404</v>
      </c>
      <c r="H15822" s="40" t="s">
        <v>11404</v>
      </c>
    </row>
    <row r="15823">
      <c r="A15823" s="39"/>
      <c r="E15823" s="40" t="s">
        <v>11404</v>
      </c>
      <c r="F15823" s="40" t="s">
        <v>11404</v>
      </c>
      <c r="G15823" s="40" t="s">
        <v>11404</v>
      </c>
      <c r="H15823" s="40" t="s">
        <v>11404</v>
      </c>
    </row>
    <row r="15824">
      <c r="A15824" s="39"/>
      <c r="E15824" s="40" t="s">
        <v>11404</v>
      </c>
      <c r="F15824" s="40" t="s">
        <v>11404</v>
      </c>
      <c r="G15824" s="40" t="s">
        <v>11404</v>
      </c>
      <c r="H15824" s="40" t="s">
        <v>11404</v>
      </c>
    </row>
    <row r="15825">
      <c r="A15825" s="39"/>
      <c r="E15825" s="40" t="s">
        <v>11404</v>
      </c>
      <c r="F15825" s="40" t="s">
        <v>11404</v>
      </c>
      <c r="G15825" s="40" t="s">
        <v>11404</v>
      </c>
      <c r="H15825" s="40" t="s">
        <v>11404</v>
      </c>
    </row>
    <row r="15826">
      <c r="A15826" s="39"/>
      <c r="E15826" s="40" t="s">
        <v>11404</v>
      </c>
      <c r="F15826" s="40" t="s">
        <v>11404</v>
      </c>
      <c r="G15826" s="40" t="s">
        <v>11404</v>
      </c>
      <c r="H15826" s="40" t="s">
        <v>11404</v>
      </c>
    </row>
    <row r="15827">
      <c r="A15827" s="39"/>
      <c r="E15827" s="40" t="s">
        <v>11404</v>
      </c>
      <c r="F15827" s="40" t="s">
        <v>11404</v>
      </c>
      <c r="G15827" s="40" t="s">
        <v>11404</v>
      </c>
      <c r="H15827" s="40" t="s">
        <v>11404</v>
      </c>
    </row>
    <row r="15828">
      <c r="A15828" s="39"/>
      <c r="E15828" s="40" t="s">
        <v>11404</v>
      </c>
      <c r="F15828" s="40" t="s">
        <v>11404</v>
      </c>
      <c r="G15828" s="40" t="s">
        <v>11404</v>
      </c>
      <c r="H15828" s="40" t="s">
        <v>11404</v>
      </c>
    </row>
    <row r="15829">
      <c r="A15829" s="39"/>
      <c r="E15829" s="40" t="s">
        <v>11404</v>
      </c>
      <c r="F15829" s="40" t="s">
        <v>11404</v>
      </c>
      <c r="G15829" s="40" t="s">
        <v>11404</v>
      </c>
      <c r="H15829" s="40" t="s">
        <v>11404</v>
      </c>
    </row>
    <row r="15830">
      <c r="A15830" s="39"/>
      <c r="E15830" s="40" t="s">
        <v>11404</v>
      </c>
      <c r="F15830" s="40" t="s">
        <v>11404</v>
      </c>
      <c r="G15830" s="40" t="s">
        <v>11404</v>
      </c>
      <c r="H15830" s="40" t="s">
        <v>11404</v>
      </c>
    </row>
    <row r="15831">
      <c r="A15831" s="39"/>
      <c r="E15831" s="40" t="s">
        <v>11404</v>
      </c>
      <c r="F15831" s="40" t="s">
        <v>11404</v>
      </c>
      <c r="G15831" s="40" t="s">
        <v>11404</v>
      </c>
      <c r="H15831" s="40" t="s">
        <v>11404</v>
      </c>
    </row>
    <row r="15832">
      <c r="A15832" s="39"/>
      <c r="E15832" s="40" t="s">
        <v>11404</v>
      </c>
      <c r="F15832" s="40" t="s">
        <v>11404</v>
      </c>
      <c r="G15832" s="40" t="s">
        <v>11404</v>
      </c>
      <c r="H15832" s="40" t="s">
        <v>11404</v>
      </c>
    </row>
    <row r="15833">
      <c r="A15833" s="39"/>
      <c r="E15833" s="40" t="s">
        <v>11404</v>
      </c>
      <c r="F15833" s="40" t="s">
        <v>11404</v>
      </c>
      <c r="G15833" s="40" t="s">
        <v>11404</v>
      </c>
      <c r="H15833" s="40" t="s">
        <v>11404</v>
      </c>
    </row>
    <row r="15834">
      <c r="A15834" s="39"/>
      <c r="E15834" s="40" t="s">
        <v>11404</v>
      </c>
      <c r="F15834" s="40" t="s">
        <v>11404</v>
      </c>
      <c r="G15834" s="40" t="s">
        <v>11404</v>
      </c>
      <c r="H15834" s="40" t="s">
        <v>11404</v>
      </c>
    </row>
    <row r="15835">
      <c r="A15835" s="39"/>
      <c r="E15835" s="40" t="s">
        <v>11404</v>
      </c>
      <c r="F15835" s="40" t="s">
        <v>11404</v>
      </c>
      <c r="G15835" s="40" t="s">
        <v>11404</v>
      </c>
      <c r="H15835" s="40" t="s">
        <v>11404</v>
      </c>
    </row>
    <row r="15836">
      <c r="A15836" s="39"/>
      <c r="E15836" s="40" t="s">
        <v>11404</v>
      </c>
      <c r="F15836" s="40" t="s">
        <v>11404</v>
      </c>
      <c r="G15836" s="40" t="s">
        <v>11404</v>
      </c>
      <c r="H15836" s="40" t="s">
        <v>11404</v>
      </c>
    </row>
    <row r="15837">
      <c r="A15837" s="39"/>
      <c r="E15837" s="40" t="s">
        <v>11404</v>
      </c>
      <c r="F15837" s="40" t="s">
        <v>11404</v>
      </c>
      <c r="G15837" s="40" t="s">
        <v>11404</v>
      </c>
      <c r="H15837" s="40" t="s">
        <v>11404</v>
      </c>
    </row>
    <row r="15838">
      <c r="A15838" s="39"/>
      <c r="E15838" s="40" t="s">
        <v>11404</v>
      </c>
      <c r="F15838" s="40" t="s">
        <v>11404</v>
      </c>
      <c r="G15838" s="40" t="s">
        <v>11404</v>
      </c>
      <c r="H15838" s="40" t="s">
        <v>11404</v>
      </c>
    </row>
    <row r="15839">
      <c r="A15839" s="39"/>
      <c r="E15839" s="40" t="s">
        <v>11404</v>
      </c>
      <c r="F15839" s="40" t="s">
        <v>11404</v>
      </c>
      <c r="G15839" s="40" t="s">
        <v>11404</v>
      </c>
      <c r="H15839" s="40" t="s">
        <v>11404</v>
      </c>
    </row>
    <row r="15840">
      <c r="A15840" s="39"/>
      <c r="E15840" s="40" t="s">
        <v>11404</v>
      </c>
      <c r="F15840" s="40" t="s">
        <v>11404</v>
      </c>
      <c r="G15840" s="40" t="s">
        <v>11404</v>
      </c>
      <c r="H15840" s="40" t="s">
        <v>11404</v>
      </c>
    </row>
    <row r="15841">
      <c r="A15841" s="39"/>
      <c r="E15841" s="40" t="s">
        <v>11404</v>
      </c>
      <c r="F15841" s="40" t="s">
        <v>11404</v>
      </c>
      <c r="G15841" s="40" t="s">
        <v>11404</v>
      </c>
      <c r="H15841" s="40" t="s">
        <v>11404</v>
      </c>
    </row>
    <row r="15842">
      <c r="A15842" s="39"/>
      <c r="E15842" s="40" t="s">
        <v>11404</v>
      </c>
      <c r="F15842" s="40" t="s">
        <v>11404</v>
      </c>
      <c r="G15842" s="40" t="s">
        <v>11404</v>
      </c>
      <c r="H15842" s="40" t="s">
        <v>11404</v>
      </c>
    </row>
    <row r="15843">
      <c r="A15843" s="39"/>
      <c r="E15843" s="40" t="s">
        <v>11404</v>
      </c>
      <c r="F15843" s="40" t="s">
        <v>11404</v>
      </c>
      <c r="G15843" s="40" t="s">
        <v>11404</v>
      </c>
      <c r="H15843" s="40" t="s">
        <v>11404</v>
      </c>
    </row>
    <row r="15844">
      <c r="A15844" s="39"/>
      <c r="E15844" s="40" t="s">
        <v>11404</v>
      </c>
      <c r="F15844" s="40" t="s">
        <v>11404</v>
      </c>
      <c r="G15844" s="40" t="s">
        <v>11404</v>
      </c>
      <c r="H15844" s="40" t="s">
        <v>11404</v>
      </c>
    </row>
    <row r="15845">
      <c r="A15845" s="39"/>
      <c r="E15845" s="40" t="s">
        <v>11404</v>
      </c>
      <c r="F15845" s="40" t="s">
        <v>11404</v>
      </c>
      <c r="G15845" s="40" t="s">
        <v>11404</v>
      </c>
      <c r="H15845" s="40" t="s">
        <v>11404</v>
      </c>
    </row>
    <row r="15846">
      <c r="A15846" s="39"/>
      <c r="E15846" s="40" t="s">
        <v>11404</v>
      </c>
      <c r="F15846" s="40" t="s">
        <v>11404</v>
      </c>
      <c r="G15846" s="40" t="s">
        <v>11404</v>
      </c>
      <c r="H15846" s="40" t="s">
        <v>11404</v>
      </c>
    </row>
    <row r="15847">
      <c r="A15847" s="39"/>
      <c r="E15847" s="40" t="s">
        <v>11404</v>
      </c>
      <c r="F15847" s="40" t="s">
        <v>11404</v>
      </c>
      <c r="G15847" s="40" t="s">
        <v>11404</v>
      </c>
      <c r="H15847" s="40" t="s">
        <v>11404</v>
      </c>
    </row>
    <row r="15848">
      <c r="A15848" s="39"/>
      <c r="E15848" s="40" t="s">
        <v>11404</v>
      </c>
      <c r="F15848" s="40" t="s">
        <v>11404</v>
      </c>
      <c r="G15848" s="40" t="s">
        <v>11404</v>
      </c>
      <c r="H15848" s="40" t="s">
        <v>11404</v>
      </c>
    </row>
    <row r="15849">
      <c r="A15849" s="39"/>
      <c r="E15849" s="40" t="s">
        <v>11404</v>
      </c>
      <c r="F15849" s="40" t="s">
        <v>11404</v>
      </c>
      <c r="G15849" s="40" t="s">
        <v>11404</v>
      </c>
      <c r="H15849" s="40" t="s">
        <v>11404</v>
      </c>
    </row>
    <row r="15850">
      <c r="A15850" s="39"/>
      <c r="E15850" s="40" t="s">
        <v>11404</v>
      </c>
      <c r="F15850" s="40" t="s">
        <v>11404</v>
      </c>
      <c r="G15850" s="40" t="s">
        <v>11404</v>
      </c>
      <c r="H15850" s="40" t="s">
        <v>11404</v>
      </c>
    </row>
    <row r="15851">
      <c r="A15851" s="39"/>
      <c r="E15851" s="40" t="s">
        <v>11404</v>
      </c>
      <c r="F15851" s="40" t="s">
        <v>11404</v>
      </c>
      <c r="G15851" s="40" t="s">
        <v>11404</v>
      </c>
      <c r="H15851" s="40" t="s">
        <v>11404</v>
      </c>
    </row>
    <row r="15852">
      <c r="A15852" s="39"/>
      <c r="E15852" s="40" t="s">
        <v>11404</v>
      </c>
      <c r="F15852" s="40" t="s">
        <v>11404</v>
      </c>
      <c r="G15852" s="40" t="s">
        <v>11404</v>
      </c>
      <c r="H15852" s="40" t="s">
        <v>11404</v>
      </c>
    </row>
    <row r="15853">
      <c r="A15853" s="39"/>
      <c r="E15853" s="40" t="s">
        <v>11404</v>
      </c>
      <c r="F15853" s="40" t="s">
        <v>11404</v>
      </c>
      <c r="G15853" s="40" t="s">
        <v>11404</v>
      </c>
      <c r="H15853" s="40" t="s">
        <v>11404</v>
      </c>
    </row>
    <row r="15854">
      <c r="A15854" s="39"/>
      <c r="E15854" s="40" t="s">
        <v>11404</v>
      </c>
      <c r="F15854" s="40" t="s">
        <v>11404</v>
      </c>
      <c r="G15854" s="40" t="s">
        <v>11404</v>
      </c>
      <c r="H15854" s="40" t="s">
        <v>11404</v>
      </c>
    </row>
    <row r="15855">
      <c r="A15855" s="39"/>
      <c r="E15855" s="40" t="s">
        <v>11404</v>
      </c>
      <c r="F15855" s="40" t="s">
        <v>11404</v>
      </c>
      <c r="G15855" s="40" t="s">
        <v>11404</v>
      </c>
      <c r="H15855" s="40" t="s">
        <v>11404</v>
      </c>
    </row>
    <row r="15856">
      <c r="A15856" s="39"/>
      <c r="E15856" s="40" t="s">
        <v>11404</v>
      </c>
      <c r="F15856" s="40" t="s">
        <v>11404</v>
      </c>
      <c r="G15856" s="40" t="s">
        <v>11404</v>
      </c>
      <c r="H15856" s="40" t="s">
        <v>11404</v>
      </c>
    </row>
    <row r="15857">
      <c r="A15857" s="39"/>
      <c r="E15857" s="40" t="s">
        <v>11404</v>
      </c>
      <c r="F15857" s="40" t="s">
        <v>11404</v>
      </c>
      <c r="G15857" s="40" t="s">
        <v>11404</v>
      </c>
      <c r="H15857" s="40" t="s">
        <v>11404</v>
      </c>
    </row>
    <row r="15858">
      <c r="A15858" s="39"/>
      <c r="E15858" s="40" t="s">
        <v>11404</v>
      </c>
      <c r="F15858" s="40" t="s">
        <v>11404</v>
      </c>
      <c r="G15858" s="40" t="s">
        <v>11404</v>
      </c>
      <c r="H15858" s="40" t="s">
        <v>11404</v>
      </c>
    </row>
    <row r="15859">
      <c r="A15859" s="39"/>
      <c r="E15859" s="40" t="s">
        <v>11404</v>
      </c>
      <c r="F15859" s="40" t="s">
        <v>11404</v>
      </c>
      <c r="G15859" s="40" t="s">
        <v>11404</v>
      </c>
      <c r="H15859" s="40" t="s">
        <v>11404</v>
      </c>
    </row>
    <row r="15860">
      <c r="A15860" s="39"/>
      <c r="E15860" s="40" t="s">
        <v>11404</v>
      </c>
      <c r="F15860" s="40" t="s">
        <v>11404</v>
      </c>
      <c r="G15860" s="40" t="s">
        <v>11404</v>
      </c>
      <c r="H15860" s="40" t="s">
        <v>11404</v>
      </c>
    </row>
    <row r="15861">
      <c r="A15861" s="39"/>
      <c r="E15861" s="40" t="s">
        <v>11404</v>
      </c>
      <c r="F15861" s="40" t="s">
        <v>11404</v>
      </c>
      <c r="G15861" s="40" t="s">
        <v>11404</v>
      </c>
      <c r="H15861" s="40" t="s">
        <v>11404</v>
      </c>
    </row>
    <row r="15862">
      <c r="A15862" s="39"/>
      <c r="E15862" s="40" t="s">
        <v>11404</v>
      </c>
      <c r="F15862" s="40" t="s">
        <v>11404</v>
      </c>
      <c r="G15862" s="40" t="s">
        <v>11404</v>
      </c>
      <c r="H15862" s="40" t="s">
        <v>11404</v>
      </c>
    </row>
    <row r="15863">
      <c r="A15863" s="39"/>
      <c r="E15863" s="40" t="s">
        <v>11404</v>
      </c>
      <c r="F15863" s="40" t="s">
        <v>11404</v>
      </c>
      <c r="G15863" s="40" t="s">
        <v>11404</v>
      </c>
      <c r="H15863" s="40" t="s">
        <v>11404</v>
      </c>
    </row>
    <row r="15864">
      <c r="A15864" s="39"/>
      <c r="E15864" s="40" t="s">
        <v>11404</v>
      </c>
      <c r="F15864" s="40" t="s">
        <v>11404</v>
      </c>
      <c r="G15864" s="40" t="s">
        <v>11404</v>
      </c>
      <c r="H15864" s="40" t="s">
        <v>11404</v>
      </c>
    </row>
    <row r="15865">
      <c r="A15865" s="39"/>
      <c r="E15865" s="40" t="s">
        <v>11404</v>
      </c>
      <c r="F15865" s="40" t="s">
        <v>11404</v>
      </c>
      <c r="G15865" s="40" t="s">
        <v>11404</v>
      </c>
      <c r="H15865" s="40" t="s">
        <v>11404</v>
      </c>
    </row>
    <row r="15866">
      <c r="A15866" s="39"/>
      <c r="E15866" s="40" t="s">
        <v>11404</v>
      </c>
      <c r="F15866" s="40" t="s">
        <v>11404</v>
      </c>
      <c r="G15866" s="40" t="s">
        <v>11404</v>
      </c>
      <c r="H15866" s="40" t="s">
        <v>11404</v>
      </c>
    </row>
    <row r="15867">
      <c r="A15867" s="39"/>
      <c r="E15867" s="40" t="s">
        <v>11404</v>
      </c>
      <c r="F15867" s="40" t="s">
        <v>11404</v>
      </c>
      <c r="G15867" s="40" t="s">
        <v>11404</v>
      </c>
      <c r="H15867" s="40" t="s">
        <v>11404</v>
      </c>
    </row>
    <row r="15868">
      <c r="A15868" s="39"/>
      <c r="E15868" s="40" t="s">
        <v>11404</v>
      </c>
      <c r="F15868" s="40" t="s">
        <v>11404</v>
      </c>
      <c r="G15868" s="40" t="s">
        <v>11404</v>
      </c>
      <c r="H15868" s="40" t="s">
        <v>11404</v>
      </c>
    </row>
    <row r="15869">
      <c r="A15869" s="39"/>
      <c r="E15869" s="40" t="s">
        <v>11404</v>
      </c>
      <c r="F15869" s="40" t="s">
        <v>11404</v>
      </c>
      <c r="G15869" s="40" t="s">
        <v>11404</v>
      </c>
      <c r="H15869" s="40" t="s">
        <v>11404</v>
      </c>
    </row>
    <row r="15870">
      <c r="A15870" s="39"/>
      <c r="E15870" s="40" t="s">
        <v>11404</v>
      </c>
      <c r="F15870" s="40" t="s">
        <v>11404</v>
      </c>
      <c r="G15870" s="40" t="s">
        <v>11404</v>
      </c>
      <c r="H15870" s="40" t="s">
        <v>11404</v>
      </c>
    </row>
    <row r="15871">
      <c r="A15871" s="39"/>
      <c r="E15871" s="40" t="s">
        <v>11404</v>
      </c>
      <c r="F15871" s="40" t="s">
        <v>11404</v>
      </c>
      <c r="G15871" s="40" t="s">
        <v>11404</v>
      </c>
      <c r="H15871" s="40" t="s">
        <v>11404</v>
      </c>
    </row>
    <row r="15872">
      <c r="A15872" s="39"/>
      <c r="E15872" s="40" t="s">
        <v>11404</v>
      </c>
      <c r="F15872" s="40" t="s">
        <v>11404</v>
      </c>
      <c r="G15872" s="40" t="s">
        <v>11404</v>
      </c>
      <c r="H15872" s="40" t="s">
        <v>11404</v>
      </c>
    </row>
    <row r="15873">
      <c r="A15873" s="39"/>
      <c r="E15873" s="40" t="s">
        <v>11404</v>
      </c>
      <c r="F15873" s="40" t="s">
        <v>11404</v>
      </c>
      <c r="G15873" s="40" t="s">
        <v>11404</v>
      </c>
      <c r="H15873" s="40" t="s">
        <v>11404</v>
      </c>
    </row>
    <row r="15874">
      <c r="A15874" s="39"/>
      <c r="E15874" s="40" t="s">
        <v>11404</v>
      </c>
      <c r="F15874" s="40" t="s">
        <v>11404</v>
      </c>
      <c r="G15874" s="40" t="s">
        <v>11404</v>
      </c>
      <c r="H15874" s="40" t="s">
        <v>11404</v>
      </c>
    </row>
    <row r="15875">
      <c r="A15875" s="39"/>
      <c r="E15875" s="40" t="s">
        <v>11404</v>
      </c>
      <c r="F15875" s="40" t="s">
        <v>11404</v>
      </c>
      <c r="G15875" s="40" t="s">
        <v>11404</v>
      </c>
      <c r="H15875" s="40" t="s">
        <v>11404</v>
      </c>
    </row>
    <row r="15876">
      <c r="A15876" s="39"/>
      <c r="E15876" s="40" t="s">
        <v>11404</v>
      </c>
      <c r="F15876" s="40" t="s">
        <v>11404</v>
      </c>
      <c r="G15876" s="40" t="s">
        <v>11404</v>
      </c>
      <c r="H15876" s="40" t="s">
        <v>11404</v>
      </c>
    </row>
    <row r="15877">
      <c r="A15877" s="39"/>
      <c r="E15877" s="40" t="s">
        <v>11404</v>
      </c>
      <c r="F15877" s="40" t="s">
        <v>11404</v>
      </c>
      <c r="G15877" s="40" t="s">
        <v>11404</v>
      </c>
      <c r="H15877" s="40" t="s">
        <v>11404</v>
      </c>
    </row>
    <row r="15878">
      <c r="A15878" s="39"/>
      <c r="E15878" s="40" t="s">
        <v>11404</v>
      </c>
      <c r="F15878" s="40" t="s">
        <v>11404</v>
      </c>
      <c r="G15878" s="40" t="s">
        <v>11404</v>
      </c>
      <c r="H15878" s="40" t="s">
        <v>11404</v>
      </c>
    </row>
    <row r="15879">
      <c r="A15879" s="39"/>
      <c r="E15879" s="40" t="s">
        <v>11404</v>
      </c>
      <c r="F15879" s="40" t="s">
        <v>11404</v>
      </c>
      <c r="G15879" s="40" t="s">
        <v>11404</v>
      </c>
      <c r="H15879" s="40" t="s">
        <v>11404</v>
      </c>
    </row>
    <row r="15880">
      <c r="A15880" s="39"/>
      <c r="E15880" s="40" t="s">
        <v>11404</v>
      </c>
      <c r="F15880" s="40" t="s">
        <v>11404</v>
      </c>
      <c r="G15880" s="40" t="s">
        <v>11404</v>
      </c>
      <c r="H15880" s="40" t="s">
        <v>11404</v>
      </c>
    </row>
    <row r="15881">
      <c r="A15881" s="39"/>
      <c r="E15881" s="40" t="s">
        <v>11404</v>
      </c>
      <c r="F15881" s="40" t="s">
        <v>11404</v>
      </c>
      <c r="G15881" s="40" t="s">
        <v>11404</v>
      </c>
      <c r="H15881" s="40" t="s">
        <v>11404</v>
      </c>
    </row>
    <row r="15882">
      <c r="A15882" s="39"/>
      <c r="E15882" s="40" t="s">
        <v>11404</v>
      </c>
      <c r="F15882" s="40" t="s">
        <v>11404</v>
      </c>
      <c r="G15882" s="40" t="s">
        <v>11404</v>
      </c>
      <c r="H15882" s="40" t="s">
        <v>11404</v>
      </c>
    </row>
    <row r="15883">
      <c r="A15883" s="39"/>
      <c r="E15883" s="40" t="s">
        <v>11404</v>
      </c>
      <c r="F15883" s="40" t="s">
        <v>11404</v>
      </c>
      <c r="G15883" s="40" t="s">
        <v>11404</v>
      </c>
      <c r="H15883" s="40" t="s">
        <v>11404</v>
      </c>
    </row>
    <row r="15884">
      <c r="A15884" s="39"/>
      <c r="E15884" s="40" t="s">
        <v>11404</v>
      </c>
      <c r="F15884" s="40" t="s">
        <v>11404</v>
      </c>
      <c r="G15884" s="40" t="s">
        <v>11404</v>
      </c>
      <c r="H15884" s="40" t="s">
        <v>11404</v>
      </c>
    </row>
    <row r="15885">
      <c r="A15885" s="39"/>
      <c r="E15885" s="40" t="s">
        <v>11404</v>
      </c>
      <c r="F15885" s="40" t="s">
        <v>11404</v>
      </c>
      <c r="G15885" s="40" t="s">
        <v>11404</v>
      </c>
      <c r="H15885" s="40" t="s">
        <v>11404</v>
      </c>
    </row>
    <row r="15886">
      <c r="A15886" s="39"/>
      <c r="E15886" s="40" t="s">
        <v>11404</v>
      </c>
      <c r="F15886" s="40" t="s">
        <v>11404</v>
      </c>
      <c r="G15886" s="40" t="s">
        <v>11404</v>
      </c>
      <c r="H15886" s="40" t="s">
        <v>11404</v>
      </c>
    </row>
    <row r="15887">
      <c r="A15887" s="39"/>
      <c r="E15887" s="40" t="s">
        <v>11404</v>
      </c>
      <c r="F15887" s="40" t="s">
        <v>11404</v>
      </c>
      <c r="G15887" s="40" t="s">
        <v>11404</v>
      </c>
      <c r="H15887" s="40" t="s">
        <v>11404</v>
      </c>
    </row>
    <row r="15888">
      <c r="A15888" s="39"/>
      <c r="E15888" s="40" t="s">
        <v>11404</v>
      </c>
      <c r="F15888" s="40" t="s">
        <v>11404</v>
      </c>
      <c r="G15888" s="40" t="s">
        <v>11404</v>
      </c>
      <c r="H15888" s="40" t="s">
        <v>11404</v>
      </c>
    </row>
    <row r="15889">
      <c r="A15889" s="39"/>
      <c r="E15889" s="40" t="s">
        <v>11404</v>
      </c>
      <c r="F15889" s="40" t="s">
        <v>11404</v>
      </c>
      <c r="G15889" s="40" t="s">
        <v>11404</v>
      </c>
      <c r="H15889" s="40" t="s">
        <v>11404</v>
      </c>
    </row>
    <row r="15890">
      <c r="A15890" s="39"/>
      <c r="E15890" s="40" t="s">
        <v>11404</v>
      </c>
      <c r="F15890" s="40" t="s">
        <v>11404</v>
      </c>
      <c r="G15890" s="40" t="s">
        <v>11404</v>
      </c>
      <c r="H15890" s="40" t="s">
        <v>11404</v>
      </c>
    </row>
    <row r="15891">
      <c r="A15891" s="39"/>
      <c r="E15891" s="40" t="s">
        <v>11404</v>
      </c>
      <c r="F15891" s="40" t="s">
        <v>11404</v>
      </c>
      <c r="G15891" s="40" t="s">
        <v>11404</v>
      </c>
      <c r="H15891" s="40" t="s">
        <v>11404</v>
      </c>
    </row>
    <row r="15892">
      <c r="A15892" s="39"/>
      <c r="E15892" s="40" t="s">
        <v>11404</v>
      </c>
      <c r="F15892" s="40" t="s">
        <v>11404</v>
      </c>
      <c r="G15892" s="40" t="s">
        <v>11404</v>
      </c>
      <c r="H15892" s="40" t="s">
        <v>11404</v>
      </c>
    </row>
    <row r="15893">
      <c r="A15893" s="39"/>
      <c r="E15893" s="40" t="s">
        <v>11404</v>
      </c>
      <c r="F15893" s="40" t="s">
        <v>11404</v>
      </c>
      <c r="G15893" s="40" t="s">
        <v>11404</v>
      </c>
      <c r="H15893" s="40" t="s">
        <v>11404</v>
      </c>
    </row>
    <row r="15894">
      <c r="A15894" s="39"/>
      <c r="E15894" s="40" t="s">
        <v>11404</v>
      </c>
      <c r="F15894" s="40" t="s">
        <v>11404</v>
      </c>
      <c r="G15894" s="40" t="s">
        <v>11404</v>
      </c>
      <c r="H15894" s="40" t="s">
        <v>11404</v>
      </c>
    </row>
    <row r="15895">
      <c r="A15895" s="39"/>
      <c r="E15895" s="40" t="s">
        <v>11404</v>
      </c>
      <c r="F15895" s="40" t="s">
        <v>11404</v>
      </c>
      <c r="G15895" s="40" t="s">
        <v>11404</v>
      </c>
      <c r="H15895" s="40" t="s">
        <v>11404</v>
      </c>
    </row>
    <row r="15896">
      <c r="A15896" s="39"/>
      <c r="E15896" s="40" t="s">
        <v>11404</v>
      </c>
      <c r="F15896" s="40" t="s">
        <v>11404</v>
      </c>
      <c r="G15896" s="40" t="s">
        <v>11404</v>
      </c>
      <c r="H15896" s="40" t="s">
        <v>11404</v>
      </c>
    </row>
    <row r="15897">
      <c r="A15897" s="39"/>
      <c r="E15897" s="40" t="s">
        <v>11404</v>
      </c>
      <c r="F15897" s="40" t="s">
        <v>11404</v>
      </c>
      <c r="G15897" s="40" t="s">
        <v>11404</v>
      </c>
      <c r="H15897" s="40" t="s">
        <v>11404</v>
      </c>
    </row>
    <row r="15898">
      <c r="A15898" s="39"/>
      <c r="E15898" s="40" t="s">
        <v>11404</v>
      </c>
      <c r="F15898" s="40" t="s">
        <v>11404</v>
      </c>
      <c r="G15898" s="40" t="s">
        <v>11404</v>
      </c>
      <c r="H15898" s="40" t="s">
        <v>11404</v>
      </c>
    </row>
    <row r="15899">
      <c r="A15899" s="39"/>
      <c r="E15899" s="40" t="s">
        <v>11404</v>
      </c>
      <c r="F15899" s="40" t="s">
        <v>11404</v>
      </c>
      <c r="G15899" s="40" t="s">
        <v>11404</v>
      </c>
      <c r="H15899" s="40" t="s">
        <v>11404</v>
      </c>
    </row>
    <row r="15900">
      <c r="A15900" s="39"/>
      <c r="E15900" s="40" t="s">
        <v>11404</v>
      </c>
      <c r="F15900" s="40" t="s">
        <v>11404</v>
      </c>
      <c r="G15900" s="40" t="s">
        <v>11404</v>
      </c>
      <c r="H15900" s="40" t="s">
        <v>11404</v>
      </c>
    </row>
    <row r="15901">
      <c r="A15901" s="39"/>
      <c r="E15901" s="40" t="s">
        <v>11404</v>
      </c>
      <c r="F15901" s="40" t="s">
        <v>11404</v>
      </c>
      <c r="G15901" s="40" t="s">
        <v>11404</v>
      </c>
      <c r="H15901" s="40" t="s">
        <v>11404</v>
      </c>
    </row>
    <row r="15902">
      <c r="A15902" s="39"/>
      <c r="E15902" s="40" t="s">
        <v>11404</v>
      </c>
      <c r="F15902" s="40" t="s">
        <v>11404</v>
      </c>
      <c r="G15902" s="40" t="s">
        <v>11404</v>
      </c>
      <c r="H15902" s="40" t="s">
        <v>11404</v>
      </c>
    </row>
    <row r="15903">
      <c r="A15903" s="39"/>
      <c r="E15903" s="40" t="s">
        <v>11404</v>
      </c>
      <c r="F15903" s="40" t="s">
        <v>11404</v>
      </c>
      <c r="G15903" s="40" t="s">
        <v>11404</v>
      </c>
      <c r="H15903" s="40" t="s">
        <v>11404</v>
      </c>
    </row>
    <row r="15904">
      <c r="A15904" s="39"/>
      <c r="E15904" s="40" t="s">
        <v>11404</v>
      </c>
      <c r="F15904" s="40" t="s">
        <v>11404</v>
      </c>
      <c r="G15904" s="40" t="s">
        <v>11404</v>
      </c>
      <c r="H15904" s="40" t="s">
        <v>11404</v>
      </c>
    </row>
    <row r="15905">
      <c r="A15905" s="39"/>
      <c r="E15905" s="40" t="s">
        <v>11404</v>
      </c>
      <c r="F15905" s="40" t="s">
        <v>11404</v>
      </c>
      <c r="G15905" s="40" t="s">
        <v>11404</v>
      </c>
      <c r="H15905" s="40" t="s">
        <v>11404</v>
      </c>
    </row>
    <row r="15906">
      <c r="A15906" s="39"/>
      <c r="E15906" s="40" t="s">
        <v>11404</v>
      </c>
      <c r="F15906" s="40" t="s">
        <v>11404</v>
      </c>
      <c r="G15906" s="40" t="s">
        <v>11404</v>
      </c>
      <c r="H15906" s="40" t="s">
        <v>11404</v>
      </c>
    </row>
    <row r="15907">
      <c r="A15907" s="39"/>
      <c r="E15907" s="40" t="s">
        <v>11404</v>
      </c>
      <c r="F15907" s="40" t="s">
        <v>11404</v>
      </c>
      <c r="G15907" s="40" t="s">
        <v>11404</v>
      </c>
      <c r="H15907" s="40" t="s">
        <v>11404</v>
      </c>
    </row>
    <row r="15908">
      <c r="A15908" s="39"/>
      <c r="E15908" s="40" t="s">
        <v>11404</v>
      </c>
      <c r="F15908" s="40" t="s">
        <v>11404</v>
      </c>
      <c r="G15908" s="40" t="s">
        <v>11404</v>
      </c>
      <c r="H15908" s="40" t="s">
        <v>11404</v>
      </c>
    </row>
    <row r="15909">
      <c r="A15909" s="39"/>
      <c r="E15909" s="40" t="s">
        <v>11404</v>
      </c>
      <c r="F15909" s="40" t="s">
        <v>11404</v>
      </c>
      <c r="G15909" s="40" t="s">
        <v>11404</v>
      </c>
      <c r="H15909" s="40" t="s">
        <v>11404</v>
      </c>
    </row>
    <row r="15910">
      <c r="A15910" s="39"/>
      <c r="E15910" s="40" t="s">
        <v>11404</v>
      </c>
      <c r="F15910" s="40" t="s">
        <v>11404</v>
      </c>
      <c r="G15910" s="40" t="s">
        <v>11404</v>
      </c>
      <c r="H15910" s="40" t="s">
        <v>11404</v>
      </c>
    </row>
    <row r="15911">
      <c r="A15911" s="39"/>
      <c r="E15911" s="40" t="s">
        <v>11404</v>
      </c>
      <c r="F15911" s="40" t="s">
        <v>11404</v>
      </c>
      <c r="G15911" s="40" t="s">
        <v>11404</v>
      </c>
      <c r="H15911" s="40" t="s">
        <v>11404</v>
      </c>
    </row>
    <row r="15912">
      <c r="A15912" s="39"/>
      <c r="E15912" s="40" t="s">
        <v>11404</v>
      </c>
      <c r="F15912" s="40" t="s">
        <v>11404</v>
      </c>
      <c r="G15912" s="40" t="s">
        <v>11404</v>
      </c>
      <c r="H15912" s="40" t="s">
        <v>11404</v>
      </c>
    </row>
    <row r="15913">
      <c r="A15913" s="39"/>
      <c r="E15913" s="40" t="s">
        <v>11404</v>
      </c>
      <c r="F15913" s="40" t="s">
        <v>11404</v>
      </c>
      <c r="G15913" s="40" t="s">
        <v>11404</v>
      </c>
      <c r="H15913" s="40" t="s">
        <v>11404</v>
      </c>
    </row>
    <row r="15914">
      <c r="A15914" s="39"/>
      <c r="E15914" s="40" t="s">
        <v>11404</v>
      </c>
      <c r="F15914" s="40" t="s">
        <v>11404</v>
      </c>
      <c r="G15914" s="40" t="s">
        <v>11404</v>
      </c>
      <c r="H15914" s="40" t="s">
        <v>11404</v>
      </c>
    </row>
    <row r="15915">
      <c r="A15915" s="39"/>
      <c r="E15915" s="40" t="s">
        <v>11404</v>
      </c>
      <c r="F15915" s="40" t="s">
        <v>11404</v>
      </c>
      <c r="G15915" s="40" t="s">
        <v>11404</v>
      </c>
      <c r="H15915" s="40" t="s">
        <v>11404</v>
      </c>
    </row>
    <row r="15916">
      <c r="A15916" s="39"/>
      <c r="E15916" s="40" t="s">
        <v>11404</v>
      </c>
      <c r="F15916" s="40" t="s">
        <v>11404</v>
      </c>
      <c r="G15916" s="40" t="s">
        <v>11404</v>
      </c>
      <c r="H15916" s="40" t="s">
        <v>11404</v>
      </c>
    </row>
    <row r="15917">
      <c r="A15917" s="39"/>
      <c r="E15917" s="40" t="s">
        <v>11404</v>
      </c>
      <c r="F15917" s="40" t="s">
        <v>11404</v>
      </c>
      <c r="G15917" s="40" t="s">
        <v>11404</v>
      </c>
      <c r="H15917" s="40" t="s">
        <v>11404</v>
      </c>
    </row>
    <row r="15918">
      <c r="A15918" s="39"/>
      <c r="E15918" s="40" t="s">
        <v>11404</v>
      </c>
      <c r="F15918" s="40" t="s">
        <v>11404</v>
      </c>
      <c r="G15918" s="40" t="s">
        <v>11404</v>
      </c>
      <c r="H15918" s="40" t="s">
        <v>11404</v>
      </c>
    </row>
    <row r="15919">
      <c r="A15919" s="39"/>
      <c r="E15919" s="40" t="s">
        <v>11404</v>
      </c>
      <c r="F15919" s="40" t="s">
        <v>11404</v>
      </c>
      <c r="G15919" s="40" t="s">
        <v>11404</v>
      </c>
      <c r="H15919" s="40" t="s">
        <v>11404</v>
      </c>
    </row>
    <row r="15920">
      <c r="A15920" s="39"/>
      <c r="E15920" s="40" t="s">
        <v>11404</v>
      </c>
      <c r="F15920" s="40" t="s">
        <v>11404</v>
      </c>
      <c r="G15920" s="40" t="s">
        <v>11404</v>
      </c>
      <c r="H15920" s="40" t="s">
        <v>11404</v>
      </c>
    </row>
    <row r="15921">
      <c r="A15921" s="39"/>
      <c r="E15921" s="40" t="s">
        <v>11404</v>
      </c>
      <c r="F15921" s="40" t="s">
        <v>11404</v>
      </c>
      <c r="G15921" s="40" t="s">
        <v>11404</v>
      </c>
      <c r="H15921" s="40" t="s">
        <v>11404</v>
      </c>
    </row>
    <row r="15922">
      <c r="A15922" s="39"/>
      <c r="E15922" s="40" t="s">
        <v>11404</v>
      </c>
      <c r="F15922" s="40" t="s">
        <v>11404</v>
      </c>
      <c r="G15922" s="40" t="s">
        <v>11404</v>
      </c>
      <c r="H15922" s="40" t="s">
        <v>11404</v>
      </c>
    </row>
    <row r="15923">
      <c r="A15923" s="39"/>
      <c r="E15923" s="40" t="s">
        <v>11404</v>
      </c>
      <c r="F15923" s="40" t="s">
        <v>11404</v>
      </c>
      <c r="G15923" s="40" t="s">
        <v>11404</v>
      </c>
      <c r="H15923" s="40" t="s">
        <v>11404</v>
      </c>
    </row>
    <row r="15924">
      <c r="A15924" s="39"/>
      <c r="E15924" s="40" t="s">
        <v>11404</v>
      </c>
      <c r="F15924" s="40" t="s">
        <v>11404</v>
      </c>
      <c r="G15924" s="40" t="s">
        <v>11404</v>
      </c>
      <c r="H15924" s="40" t="s">
        <v>11404</v>
      </c>
    </row>
    <row r="15925">
      <c r="A15925" s="39"/>
      <c r="E15925" s="40" t="s">
        <v>11404</v>
      </c>
      <c r="F15925" s="40" t="s">
        <v>11404</v>
      </c>
      <c r="G15925" s="40" t="s">
        <v>11404</v>
      </c>
      <c r="H15925" s="40" t="s">
        <v>11404</v>
      </c>
    </row>
    <row r="15926">
      <c r="A15926" s="39"/>
      <c r="E15926" s="40" t="s">
        <v>11404</v>
      </c>
      <c r="F15926" s="40" t="s">
        <v>11404</v>
      </c>
      <c r="G15926" s="40" t="s">
        <v>11404</v>
      </c>
      <c r="H15926" s="40" t="s">
        <v>11404</v>
      </c>
    </row>
    <row r="15927">
      <c r="A15927" s="39"/>
      <c r="E15927" s="40" t="s">
        <v>11404</v>
      </c>
      <c r="F15927" s="40" t="s">
        <v>11404</v>
      </c>
      <c r="G15927" s="40" t="s">
        <v>11404</v>
      </c>
      <c r="H15927" s="40" t="s">
        <v>11404</v>
      </c>
    </row>
    <row r="15928">
      <c r="A15928" s="39"/>
      <c r="E15928" s="40" t="s">
        <v>11404</v>
      </c>
      <c r="F15928" s="40" t="s">
        <v>11404</v>
      </c>
      <c r="G15928" s="40" t="s">
        <v>11404</v>
      </c>
      <c r="H15928" s="40" t="s">
        <v>11404</v>
      </c>
    </row>
    <row r="15929">
      <c r="A15929" s="39"/>
      <c r="E15929" s="40" t="s">
        <v>11404</v>
      </c>
      <c r="F15929" s="40" t="s">
        <v>11404</v>
      </c>
      <c r="G15929" s="40" t="s">
        <v>11404</v>
      </c>
      <c r="H15929" s="40" t="s">
        <v>11404</v>
      </c>
    </row>
    <row r="15930">
      <c r="A15930" s="39"/>
      <c r="E15930" s="40" t="s">
        <v>11404</v>
      </c>
      <c r="F15930" s="40" t="s">
        <v>11404</v>
      </c>
      <c r="G15930" s="40" t="s">
        <v>11404</v>
      </c>
      <c r="H15930" s="40" t="s">
        <v>11404</v>
      </c>
    </row>
    <row r="15931">
      <c r="A15931" s="39"/>
      <c r="E15931" s="40" t="s">
        <v>11404</v>
      </c>
      <c r="F15931" s="40" t="s">
        <v>11404</v>
      </c>
      <c r="G15931" s="40" t="s">
        <v>11404</v>
      </c>
      <c r="H15931" s="40" t="s">
        <v>11404</v>
      </c>
    </row>
    <row r="15932">
      <c r="A15932" s="39"/>
      <c r="E15932" s="40" t="s">
        <v>11404</v>
      </c>
      <c r="F15932" s="40" t="s">
        <v>11404</v>
      </c>
      <c r="G15932" s="40" t="s">
        <v>11404</v>
      </c>
      <c r="H15932" s="40" t="s">
        <v>11404</v>
      </c>
    </row>
    <row r="15933">
      <c r="A15933" s="39"/>
      <c r="E15933" s="40" t="s">
        <v>11404</v>
      </c>
      <c r="F15933" s="40" t="s">
        <v>11404</v>
      </c>
      <c r="G15933" s="40" t="s">
        <v>11404</v>
      </c>
      <c r="H15933" s="40" t="s">
        <v>11404</v>
      </c>
    </row>
    <row r="15934">
      <c r="A15934" s="39"/>
      <c r="E15934" s="40" t="s">
        <v>11404</v>
      </c>
      <c r="F15934" s="40" t="s">
        <v>11404</v>
      </c>
      <c r="G15934" s="40" t="s">
        <v>11404</v>
      </c>
      <c r="H15934" s="40" t="s">
        <v>11404</v>
      </c>
    </row>
    <row r="15935">
      <c r="A15935" s="39"/>
      <c r="E15935" s="40" t="s">
        <v>11404</v>
      </c>
      <c r="F15935" s="40" t="s">
        <v>11404</v>
      </c>
      <c r="G15935" s="40" t="s">
        <v>11404</v>
      </c>
      <c r="H15935" s="40" t="s">
        <v>11404</v>
      </c>
    </row>
    <row r="15936">
      <c r="A15936" s="39"/>
      <c r="E15936" s="40" t="s">
        <v>11404</v>
      </c>
      <c r="F15936" s="40" t="s">
        <v>11404</v>
      </c>
      <c r="G15936" s="40" t="s">
        <v>11404</v>
      </c>
      <c r="H15936" s="40" t="s">
        <v>11404</v>
      </c>
    </row>
    <row r="15937">
      <c r="A15937" s="39"/>
      <c r="E15937" s="40" t="s">
        <v>11404</v>
      </c>
      <c r="F15937" s="40" t="s">
        <v>11404</v>
      </c>
      <c r="G15937" s="40" t="s">
        <v>11404</v>
      </c>
      <c r="H15937" s="40" t="s">
        <v>11404</v>
      </c>
    </row>
    <row r="15938">
      <c r="A15938" s="39"/>
      <c r="E15938" s="40" t="s">
        <v>11404</v>
      </c>
      <c r="F15938" s="40" t="s">
        <v>11404</v>
      </c>
      <c r="G15938" s="40" t="s">
        <v>11404</v>
      </c>
      <c r="H15938" s="40" t="s">
        <v>11404</v>
      </c>
    </row>
    <row r="15939">
      <c r="A15939" s="39"/>
      <c r="E15939" s="40" t="s">
        <v>11404</v>
      </c>
      <c r="F15939" s="40" t="s">
        <v>11404</v>
      </c>
      <c r="G15939" s="40" t="s">
        <v>11404</v>
      </c>
      <c r="H15939" s="40" t="s">
        <v>11404</v>
      </c>
    </row>
    <row r="15940">
      <c r="A15940" s="39"/>
      <c r="E15940" s="40" t="s">
        <v>11404</v>
      </c>
      <c r="F15940" s="40" t="s">
        <v>11404</v>
      </c>
      <c r="G15940" s="40" t="s">
        <v>11404</v>
      </c>
      <c r="H15940" s="40" t="s">
        <v>11404</v>
      </c>
    </row>
    <row r="15941">
      <c r="A15941" s="39"/>
      <c r="E15941" s="40" t="s">
        <v>11404</v>
      </c>
      <c r="F15941" s="40" t="s">
        <v>11404</v>
      </c>
      <c r="G15941" s="40" t="s">
        <v>11404</v>
      </c>
      <c r="H15941" s="40" t="s">
        <v>11404</v>
      </c>
    </row>
    <row r="15942">
      <c r="A15942" s="39"/>
      <c r="E15942" s="40" t="s">
        <v>11404</v>
      </c>
      <c r="F15942" s="40" t="s">
        <v>11404</v>
      </c>
      <c r="G15942" s="40" t="s">
        <v>11404</v>
      </c>
      <c r="H15942" s="40" t="s">
        <v>11404</v>
      </c>
    </row>
    <row r="15943">
      <c r="A15943" s="39"/>
      <c r="E15943" s="40" t="s">
        <v>11404</v>
      </c>
      <c r="F15943" s="40" t="s">
        <v>11404</v>
      </c>
      <c r="G15943" s="40" t="s">
        <v>11404</v>
      </c>
      <c r="H15943" s="40" t="s">
        <v>11404</v>
      </c>
    </row>
    <row r="15944">
      <c r="A15944" s="39"/>
      <c r="E15944" s="40" t="s">
        <v>11404</v>
      </c>
      <c r="F15944" s="40" t="s">
        <v>11404</v>
      </c>
      <c r="G15944" s="40" t="s">
        <v>11404</v>
      </c>
      <c r="H15944" s="40" t="s">
        <v>11404</v>
      </c>
    </row>
    <row r="15945">
      <c r="A15945" s="39"/>
      <c r="E15945" s="40" t="s">
        <v>11404</v>
      </c>
      <c r="F15945" s="40" t="s">
        <v>11404</v>
      </c>
      <c r="G15945" s="40" t="s">
        <v>11404</v>
      </c>
      <c r="H15945" s="40" t="s">
        <v>11404</v>
      </c>
    </row>
    <row r="15946">
      <c r="A15946" s="39"/>
      <c r="E15946" s="40" t="s">
        <v>11404</v>
      </c>
      <c r="F15946" s="40" t="s">
        <v>11404</v>
      </c>
      <c r="G15946" s="40" t="s">
        <v>11404</v>
      </c>
      <c r="H15946" s="40" t="s">
        <v>11404</v>
      </c>
    </row>
    <row r="15947">
      <c r="A15947" s="39"/>
      <c r="E15947" s="40" t="s">
        <v>11404</v>
      </c>
      <c r="F15947" s="40" t="s">
        <v>11404</v>
      </c>
      <c r="G15947" s="40" t="s">
        <v>11404</v>
      </c>
      <c r="H15947" s="40" t="s">
        <v>11404</v>
      </c>
    </row>
    <row r="15948">
      <c r="A15948" s="39"/>
      <c r="E15948" s="40" t="s">
        <v>11404</v>
      </c>
      <c r="F15948" s="40" t="s">
        <v>11404</v>
      </c>
      <c r="G15948" s="40" t="s">
        <v>11404</v>
      </c>
      <c r="H15948" s="40" t="s">
        <v>11404</v>
      </c>
    </row>
    <row r="15949">
      <c r="A15949" s="39"/>
      <c r="E15949" s="40" t="s">
        <v>11404</v>
      </c>
      <c r="F15949" s="40" t="s">
        <v>11404</v>
      </c>
      <c r="G15949" s="40" t="s">
        <v>11404</v>
      </c>
      <c r="H15949" s="40" t="s">
        <v>11404</v>
      </c>
    </row>
    <row r="15950">
      <c r="A15950" s="39"/>
      <c r="E15950" s="40" t="s">
        <v>11404</v>
      </c>
      <c r="F15950" s="40" t="s">
        <v>11404</v>
      </c>
      <c r="G15950" s="40" t="s">
        <v>11404</v>
      </c>
      <c r="H15950" s="40" t="s">
        <v>11404</v>
      </c>
    </row>
    <row r="15951">
      <c r="A15951" s="39"/>
      <c r="E15951" s="40" t="s">
        <v>11404</v>
      </c>
      <c r="F15951" s="40" t="s">
        <v>11404</v>
      </c>
      <c r="G15951" s="40" t="s">
        <v>11404</v>
      </c>
      <c r="H15951" s="40" t="s">
        <v>11404</v>
      </c>
    </row>
    <row r="15952">
      <c r="A15952" s="39"/>
      <c r="E15952" s="40" t="s">
        <v>11404</v>
      </c>
      <c r="F15952" s="40" t="s">
        <v>11404</v>
      </c>
      <c r="G15952" s="40" t="s">
        <v>11404</v>
      </c>
      <c r="H15952" s="40" t="s">
        <v>11404</v>
      </c>
    </row>
    <row r="15953">
      <c r="A15953" s="39"/>
      <c r="E15953" s="40" t="s">
        <v>11404</v>
      </c>
      <c r="F15953" s="40" t="s">
        <v>11404</v>
      </c>
      <c r="G15953" s="40" t="s">
        <v>11404</v>
      </c>
      <c r="H15953" s="40" t="s">
        <v>11404</v>
      </c>
    </row>
    <row r="15954">
      <c r="A15954" s="39"/>
      <c r="E15954" s="40" t="s">
        <v>11404</v>
      </c>
      <c r="F15954" s="40" t="s">
        <v>11404</v>
      </c>
      <c r="G15954" s="40" t="s">
        <v>11404</v>
      </c>
      <c r="H15954" s="40" t="s">
        <v>11404</v>
      </c>
    </row>
    <row r="15955">
      <c r="A15955" s="39"/>
      <c r="E15955" s="40" t="s">
        <v>11404</v>
      </c>
      <c r="F15955" s="40" t="s">
        <v>11404</v>
      </c>
      <c r="G15955" s="40" t="s">
        <v>11404</v>
      </c>
      <c r="H15955" s="40" t="s">
        <v>11404</v>
      </c>
    </row>
    <row r="15956">
      <c r="A15956" s="39"/>
      <c r="E15956" s="40" t="s">
        <v>11404</v>
      </c>
      <c r="F15956" s="40" t="s">
        <v>11404</v>
      </c>
      <c r="G15956" s="40" t="s">
        <v>11404</v>
      </c>
      <c r="H15956" s="40" t="s">
        <v>11404</v>
      </c>
    </row>
    <row r="15957">
      <c r="A15957" s="39"/>
      <c r="E15957" s="40" t="s">
        <v>11404</v>
      </c>
      <c r="F15957" s="40" t="s">
        <v>11404</v>
      </c>
      <c r="G15957" s="40" t="s">
        <v>11404</v>
      </c>
      <c r="H15957" s="40" t="s">
        <v>11404</v>
      </c>
    </row>
    <row r="15958">
      <c r="A15958" s="39"/>
      <c r="E15958" s="40" t="s">
        <v>11404</v>
      </c>
      <c r="F15958" s="40" t="s">
        <v>11404</v>
      </c>
      <c r="G15958" s="40" t="s">
        <v>11404</v>
      </c>
      <c r="H15958" s="40" t="s">
        <v>11404</v>
      </c>
    </row>
    <row r="15959">
      <c r="A15959" s="39"/>
      <c r="E15959" s="40" t="s">
        <v>11404</v>
      </c>
      <c r="F15959" s="40" t="s">
        <v>11404</v>
      </c>
      <c r="G15959" s="40" t="s">
        <v>11404</v>
      </c>
      <c r="H15959" s="40" t="s">
        <v>11404</v>
      </c>
    </row>
    <row r="15960">
      <c r="A15960" s="39"/>
      <c r="E15960" s="40" t="s">
        <v>11404</v>
      </c>
      <c r="F15960" s="40" t="s">
        <v>11404</v>
      </c>
      <c r="G15960" s="40" t="s">
        <v>11404</v>
      </c>
      <c r="H15960" s="40" t="s">
        <v>11404</v>
      </c>
    </row>
    <row r="15961">
      <c r="A15961" s="39"/>
      <c r="E15961" s="40" t="s">
        <v>11404</v>
      </c>
      <c r="F15961" s="40" t="s">
        <v>11404</v>
      </c>
      <c r="G15961" s="40" t="s">
        <v>11404</v>
      </c>
      <c r="H15961" s="40" t="s">
        <v>11404</v>
      </c>
    </row>
    <row r="15962">
      <c r="A15962" s="39"/>
      <c r="E15962" s="40" t="s">
        <v>11404</v>
      </c>
      <c r="F15962" s="40" t="s">
        <v>11404</v>
      </c>
      <c r="G15962" s="40" t="s">
        <v>11404</v>
      </c>
      <c r="H15962" s="40" t="s">
        <v>11404</v>
      </c>
    </row>
    <row r="15963">
      <c r="A15963" s="39"/>
      <c r="E15963" s="40" t="s">
        <v>11404</v>
      </c>
      <c r="F15963" s="40" t="s">
        <v>11404</v>
      </c>
      <c r="G15963" s="40" t="s">
        <v>11404</v>
      </c>
      <c r="H15963" s="40" t="s">
        <v>11404</v>
      </c>
    </row>
    <row r="15964">
      <c r="A15964" s="39"/>
      <c r="E15964" s="40" t="s">
        <v>11404</v>
      </c>
      <c r="F15964" s="40" t="s">
        <v>11404</v>
      </c>
      <c r="G15964" s="40" t="s">
        <v>11404</v>
      </c>
      <c r="H15964" s="40" t="s">
        <v>11404</v>
      </c>
    </row>
    <row r="15965">
      <c r="A15965" s="39"/>
      <c r="E15965" s="40" t="s">
        <v>11404</v>
      </c>
      <c r="F15965" s="40" t="s">
        <v>11404</v>
      </c>
      <c r="G15965" s="40" t="s">
        <v>11404</v>
      </c>
      <c r="H15965" s="40" t="s">
        <v>11404</v>
      </c>
    </row>
    <row r="15966">
      <c r="A15966" s="39"/>
      <c r="E15966" s="40" t="s">
        <v>11404</v>
      </c>
      <c r="F15966" s="40" t="s">
        <v>11404</v>
      </c>
      <c r="G15966" s="40" t="s">
        <v>11404</v>
      </c>
      <c r="H15966" s="40" t="s">
        <v>11404</v>
      </c>
    </row>
    <row r="15967">
      <c r="A15967" s="39"/>
      <c r="E15967" s="40" t="s">
        <v>11404</v>
      </c>
      <c r="F15967" s="40" t="s">
        <v>11404</v>
      </c>
      <c r="G15967" s="40" t="s">
        <v>11404</v>
      </c>
      <c r="H15967" s="40" t="s">
        <v>11404</v>
      </c>
    </row>
    <row r="15968">
      <c r="A15968" s="39"/>
      <c r="E15968" s="40" t="s">
        <v>11404</v>
      </c>
      <c r="F15968" s="40" t="s">
        <v>11404</v>
      </c>
      <c r="G15968" s="40" t="s">
        <v>11404</v>
      </c>
      <c r="H15968" s="40" t="s">
        <v>11404</v>
      </c>
    </row>
    <row r="15969">
      <c r="A15969" s="39"/>
      <c r="E15969" s="40" t="s">
        <v>11404</v>
      </c>
      <c r="F15969" s="40" t="s">
        <v>11404</v>
      </c>
      <c r="G15969" s="40" t="s">
        <v>11404</v>
      </c>
      <c r="H15969" s="40" t="s">
        <v>11404</v>
      </c>
    </row>
    <row r="15970">
      <c r="A15970" s="39"/>
      <c r="E15970" s="40" t="s">
        <v>11404</v>
      </c>
      <c r="F15970" s="40" t="s">
        <v>11404</v>
      </c>
      <c r="G15970" s="40" t="s">
        <v>11404</v>
      </c>
      <c r="H15970" s="40" t="s">
        <v>11404</v>
      </c>
    </row>
    <row r="15971">
      <c r="A15971" s="39"/>
      <c r="E15971" s="40" t="s">
        <v>11404</v>
      </c>
      <c r="F15971" s="40" t="s">
        <v>11404</v>
      </c>
      <c r="G15971" s="40" t="s">
        <v>11404</v>
      </c>
      <c r="H15971" s="40" t="s">
        <v>11404</v>
      </c>
    </row>
    <row r="15972">
      <c r="A15972" s="39"/>
      <c r="E15972" s="40" t="s">
        <v>11404</v>
      </c>
      <c r="F15972" s="40" t="s">
        <v>11404</v>
      </c>
      <c r="G15972" s="40" t="s">
        <v>11404</v>
      </c>
      <c r="H15972" s="40" t="s">
        <v>11404</v>
      </c>
    </row>
    <row r="15973">
      <c r="A15973" s="39"/>
      <c r="E15973" s="40" t="s">
        <v>11404</v>
      </c>
      <c r="F15973" s="40" t="s">
        <v>11404</v>
      </c>
      <c r="G15973" s="40" t="s">
        <v>11404</v>
      </c>
      <c r="H15973" s="40" t="s">
        <v>11404</v>
      </c>
    </row>
    <row r="15974">
      <c r="A15974" s="39"/>
      <c r="E15974" s="40" t="s">
        <v>11404</v>
      </c>
      <c r="F15974" s="40" t="s">
        <v>11404</v>
      </c>
      <c r="G15974" s="40" t="s">
        <v>11404</v>
      </c>
      <c r="H15974" s="40" t="s">
        <v>11404</v>
      </c>
    </row>
    <row r="15975">
      <c r="A15975" s="39"/>
      <c r="E15975" s="40" t="s">
        <v>11404</v>
      </c>
      <c r="F15975" s="40" t="s">
        <v>11404</v>
      </c>
      <c r="G15975" s="40" t="s">
        <v>11404</v>
      </c>
      <c r="H15975" s="40" t="s">
        <v>11404</v>
      </c>
    </row>
    <row r="15976">
      <c r="A15976" s="39"/>
      <c r="E15976" s="40" t="s">
        <v>11404</v>
      </c>
      <c r="F15976" s="40" t="s">
        <v>11404</v>
      </c>
      <c r="G15976" s="40" t="s">
        <v>11404</v>
      </c>
      <c r="H15976" s="40" t="s">
        <v>11404</v>
      </c>
    </row>
    <row r="15977">
      <c r="A15977" s="39"/>
      <c r="E15977" s="40" t="s">
        <v>11404</v>
      </c>
      <c r="F15977" s="40" t="s">
        <v>11404</v>
      </c>
      <c r="G15977" s="40" t="s">
        <v>11404</v>
      </c>
      <c r="H15977" s="40" t="s">
        <v>11404</v>
      </c>
    </row>
    <row r="15978">
      <c r="A15978" s="39"/>
      <c r="E15978" s="40" t="s">
        <v>11404</v>
      </c>
      <c r="F15978" s="40" t="s">
        <v>11404</v>
      </c>
      <c r="G15978" s="40" t="s">
        <v>11404</v>
      </c>
      <c r="H15978" s="40" t="s">
        <v>11404</v>
      </c>
    </row>
    <row r="15979">
      <c r="A15979" s="39"/>
      <c r="E15979" s="40" t="s">
        <v>11404</v>
      </c>
      <c r="F15979" s="40" t="s">
        <v>11404</v>
      </c>
      <c r="G15979" s="40" t="s">
        <v>11404</v>
      </c>
      <c r="H15979" s="40" t="s">
        <v>11404</v>
      </c>
    </row>
    <row r="15980">
      <c r="A15980" s="39"/>
      <c r="E15980" s="40" t="s">
        <v>11404</v>
      </c>
      <c r="F15980" s="40" t="s">
        <v>11404</v>
      </c>
      <c r="G15980" s="40" t="s">
        <v>11404</v>
      </c>
      <c r="H15980" s="40" t="s">
        <v>11404</v>
      </c>
    </row>
    <row r="15981">
      <c r="A15981" s="39"/>
      <c r="E15981" s="40" t="s">
        <v>11404</v>
      </c>
      <c r="F15981" s="40" t="s">
        <v>11404</v>
      </c>
      <c r="G15981" s="40" t="s">
        <v>11404</v>
      </c>
      <c r="H15981" s="40" t="s">
        <v>11404</v>
      </c>
    </row>
    <row r="15982">
      <c r="A15982" s="39"/>
      <c r="E15982" s="40" t="s">
        <v>11404</v>
      </c>
      <c r="F15982" s="40" t="s">
        <v>11404</v>
      </c>
      <c r="G15982" s="40" t="s">
        <v>11404</v>
      </c>
      <c r="H15982" s="40" t="s">
        <v>11404</v>
      </c>
    </row>
    <row r="15983">
      <c r="A15983" s="39"/>
      <c r="E15983" s="40" t="s">
        <v>11404</v>
      </c>
      <c r="F15983" s="40" t="s">
        <v>11404</v>
      </c>
      <c r="G15983" s="40" t="s">
        <v>11404</v>
      </c>
      <c r="H15983" s="40" t="s">
        <v>11404</v>
      </c>
    </row>
    <row r="15984">
      <c r="A15984" s="39"/>
      <c r="E15984" s="40" t="s">
        <v>11404</v>
      </c>
      <c r="F15984" s="40" t="s">
        <v>11404</v>
      </c>
      <c r="G15984" s="40" t="s">
        <v>11404</v>
      </c>
      <c r="H15984" s="40" t="s">
        <v>11404</v>
      </c>
    </row>
    <row r="15985">
      <c r="A15985" s="39"/>
      <c r="E15985" s="40" t="s">
        <v>11404</v>
      </c>
      <c r="F15985" s="40" t="s">
        <v>11404</v>
      </c>
      <c r="G15985" s="40" t="s">
        <v>11404</v>
      </c>
      <c r="H15985" s="40" t="s">
        <v>11404</v>
      </c>
    </row>
    <row r="15986">
      <c r="A15986" s="39"/>
      <c r="E15986" s="40" t="s">
        <v>11404</v>
      </c>
      <c r="F15986" s="40" t="s">
        <v>11404</v>
      </c>
      <c r="G15986" s="40" t="s">
        <v>11404</v>
      </c>
      <c r="H15986" s="40" t="s">
        <v>11404</v>
      </c>
    </row>
    <row r="15987">
      <c r="A15987" s="39"/>
      <c r="E15987" s="40" t="s">
        <v>11404</v>
      </c>
      <c r="F15987" s="40" t="s">
        <v>11404</v>
      </c>
      <c r="G15987" s="40" t="s">
        <v>11404</v>
      </c>
      <c r="H15987" s="40" t="s">
        <v>11404</v>
      </c>
    </row>
    <row r="15988">
      <c r="A15988" s="39"/>
      <c r="E15988" s="40" t="s">
        <v>11404</v>
      </c>
      <c r="F15988" s="40" t="s">
        <v>11404</v>
      </c>
      <c r="G15988" s="40" t="s">
        <v>11404</v>
      </c>
      <c r="H15988" s="40" t="s">
        <v>11404</v>
      </c>
    </row>
    <row r="15989">
      <c r="A15989" s="39"/>
      <c r="E15989" s="40" t="s">
        <v>11404</v>
      </c>
      <c r="F15989" s="40" t="s">
        <v>11404</v>
      </c>
      <c r="G15989" s="40" t="s">
        <v>11404</v>
      </c>
      <c r="H15989" s="40" t="s">
        <v>11404</v>
      </c>
    </row>
    <row r="15990">
      <c r="A15990" s="39"/>
      <c r="E15990" s="40" t="s">
        <v>11404</v>
      </c>
      <c r="F15990" s="40" t="s">
        <v>11404</v>
      </c>
      <c r="G15990" s="40" t="s">
        <v>11404</v>
      </c>
      <c r="H15990" s="40" t="s">
        <v>11404</v>
      </c>
    </row>
    <row r="15991">
      <c r="A15991" s="39"/>
      <c r="E15991" s="40" t="s">
        <v>11404</v>
      </c>
      <c r="F15991" s="40" t="s">
        <v>11404</v>
      </c>
      <c r="G15991" s="40" t="s">
        <v>11404</v>
      </c>
      <c r="H15991" s="40" t="s">
        <v>11404</v>
      </c>
    </row>
    <row r="15992">
      <c r="A15992" s="39"/>
      <c r="E15992" s="40" t="s">
        <v>11404</v>
      </c>
      <c r="F15992" s="40" t="s">
        <v>11404</v>
      </c>
      <c r="G15992" s="40" t="s">
        <v>11404</v>
      </c>
      <c r="H15992" s="40" t="s">
        <v>11404</v>
      </c>
    </row>
    <row r="15993">
      <c r="A15993" s="39"/>
      <c r="E15993" s="40" t="s">
        <v>11404</v>
      </c>
      <c r="F15993" s="40" t="s">
        <v>11404</v>
      </c>
      <c r="G15993" s="40" t="s">
        <v>11404</v>
      </c>
      <c r="H15993" s="40" t="s">
        <v>11404</v>
      </c>
    </row>
    <row r="15994">
      <c r="A15994" s="39"/>
      <c r="E15994" s="40" t="s">
        <v>11404</v>
      </c>
      <c r="F15994" s="40" t="s">
        <v>11404</v>
      </c>
      <c r="G15994" s="40" t="s">
        <v>11404</v>
      </c>
      <c r="H15994" s="40" t="s">
        <v>11404</v>
      </c>
    </row>
    <row r="15995">
      <c r="A15995" s="39"/>
      <c r="E15995" s="40" t="s">
        <v>11404</v>
      </c>
      <c r="F15995" s="40" t="s">
        <v>11404</v>
      </c>
      <c r="G15995" s="40" t="s">
        <v>11404</v>
      </c>
      <c r="H15995" s="40" t="s">
        <v>11404</v>
      </c>
    </row>
    <row r="15996">
      <c r="A15996" s="39"/>
      <c r="E15996" s="40" t="s">
        <v>11404</v>
      </c>
      <c r="F15996" s="40" t="s">
        <v>11404</v>
      </c>
      <c r="G15996" s="40" t="s">
        <v>11404</v>
      </c>
      <c r="H15996" s="40" t="s">
        <v>11404</v>
      </c>
    </row>
    <row r="15997">
      <c r="A15997" s="39"/>
      <c r="E15997" s="40" t="s">
        <v>11404</v>
      </c>
      <c r="F15997" s="40" t="s">
        <v>11404</v>
      </c>
      <c r="G15997" s="40" t="s">
        <v>11404</v>
      </c>
      <c r="H15997" s="40" t="s">
        <v>11404</v>
      </c>
    </row>
    <row r="15998">
      <c r="A15998" s="39"/>
      <c r="E15998" s="40" t="s">
        <v>11404</v>
      </c>
      <c r="F15998" s="40" t="s">
        <v>11404</v>
      </c>
      <c r="G15998" s="40" t="s">
        <v>11404</v>
      </c>
      <c r="H15998" s="40" t="s">
        <v>11404</v>
      </c>
    </row>
    <row r="15999">
      <c r="A15999" s="39"/>
      <c r="E15999" s="40" t="s">
        <v>11404</v>
      </c>
      <c r="F15999" s="40" t="s">
        <v>11404</v>
      </c>
      <c r="G15999" s="40" t="s">
        <v>11404</v>
      </c>
      <c r="H15999" s="40" t="s">
        <v>11404</v>
      </c>
    </row>
    <row r="16000">
      <c r="A16000" s="39"/>
      <c r="E16000" s="40" t="s">
        <v>11404</v>
      </c>
      <c r="F16000" s="40" t="s">
        <v>11404</v>
      </c>
      <c r="G16000" s="40" t="s">
        <v>11404</v>
      </c>
      <c r="H16000" s="40" t="s">
        <v>11404</v>
      </c>
    </row>
    <row r="16001">
      <c r="A16001" s="39"/>
      <c r="E16001" s="40" t="s">
        <v>11404</v>
      </c>
      <c r="F16001" s="40" t="s">
        <v>11404</v>
      </c>
      <c r="G16001" s="40" t="s">
        <v>11404</v>
      </c>
      <c r="H16001" s="40" t="s">
        <v>11404</v>
      </c>
    </row>
    <row r="16002">
      <c r="A16002" s="39"/>
      <c r="E16002" s="40" t="s">
        <v>11404</v>
      </c>
      <c r="F16002" s="40" t="s">
        <v>11404</v>
      </c>
      <c r="G16002" s="40" t="s">
        <v>11404</v>
      </c>
      <c r="H16002" s="40" t="s">
        <v>11404</v>
      </c>
    </row>
    <row r="16003">
      <c r="A16003" s="39"/>
      <c r="E16003" s="40" t="s">
        <v>11404</v>
      </c>
      <c r="F16003" s="40" t="s">
        <v>11404</v>
      </c>
      <c r="G16003" s="40" t="s">
        <v>11404</v>
      </c>
      <c r="H16003" s="40" t="s">
        <v>11404</v>
      </c>
    </row>
    <row r="16004">
      <c r="A16004" s="39"/>
      <c r="E16004" s="40" t="s">
        <v>11404</v>
      </c>
      <c r="F16004" s="40" t="s">
        <v>11404</v>
      </c>
      <c r="G16004" s="40" t="s">
        <v>11404</v>
      </c>
      <c r="H16004" s="40" t="s">
        <v>11404</v>
      </c>
    </row>
    <row r="16005">
      <c r="A16005" s="39"/>
      <c r="E16005" s="40" t="s">
        <v>11404</v>
      </c>
      <c r="F16005" s="40" t="s">
        <v>11404</v>
      </c>
      <c r="G16005" s="40" t="s">
        <v>11404</v>
      </c>
      <c r="H16005" s="40" t="s">
        <v>11404</v>
      </c>
    </row>
    <row r="16006">
      <c r="A16006" s="39"/>
      <c r="E16006" s="40" t="s">
        <v>11404</v>
      </c>
      <c r="F16006" s="40" t="s">
        <v>11404</v>
      </c>
      <c r="G16006" s="40" t="s">
        <v>11404</v>
      </c>
      <c r="H16006" s="40" t="s">
        <v>11404</v>
      </c>
    </row>
    <row r="16007">
      <c r="A16007" s="39"/>
      <c r="E16007" s="40" t="s">
        <v>11404</v>
      </c>
      <c r="F16007" s="40" t="s">
        <v>11404</v>
      </c>
      <c r="G16007" s="40" t="s">
        <v>11404</v>
      </c>
      <c r="H16007" s="40" t="s">
        <v>11404</v>
      </c>
    </row>
    <row r="16008">
      <c r="A16008" s="39"/>
      <c r="E16008" s="40" t="s">
        <v>11404</v>
      </c>
      <c r="F16008" s="40" t="s">
        <v>11404</v>
      </c>
      <c r="G16008" s="40" t="s">
        <v>11404</v>
      </c>
      <c r="H16008" s="40" t="s">
        <v>11404</v>
      </c>
    </row>
    <row r="16009">
      <c r="A16009" s="39"/>
      <c r="E16009" s="40" t="s">
        <v>11404</v>
      </c>
      <c r="F16009" s="40" t="s">
        <v>11404</v>
      </c>
      <c r="G16009" s="40" t="s">
        <v>11404</v>
      </c>
      <c r="H16009" s="40" t="s">
        <v>11404</v>
      </c>
    </row>
    <row r="16010">
      <c r="A16010" s="39"/>
      <c r="E16010" s="40" t="s">
        <v>11404</v>
      </c>
      <c r="F16010" s="40" t="s">
        <v>11404</v>
      </c>
      <c r="G16010" s="40" t="s">
        <v>11404</v>
      </c>
      <c r="H16010" s="40" t="s">
        <v>11404</v>
      </c>
    </row>
    <row r="16011">
      <c r="A16011" s="39"/>
      <c r="E16011" s="40" t="s">
        <v>11404</v>
      </c>
      <c r="F16011" s="40" t="s">
        <v>11404</v>
      </c>
      <c r="G16011" s="40" t="s">
        <v>11404</v>
      </c>
      <c r="H16011" s="40" t="s">
        <v>11404</v>
      </c>
    </row>
    <row r="16012">
      <c r="A16012" s="39"/>
      <c r="E16012" s="40" t="s">
        <v>11404</v>
      </c>
      <c r="F16012" s="40" t="s">
        <v>11404</v>
      </c>
      <c r="G16012" s="40" t="s">
        <v>11404</v>
      </c>
      <c r="H16012" s="40" t="s">
        <v>11404</v>
      </c>
    </row>
    <row r="16013">
      <c r="A16013" s="39"/>
      <c r="E16013" s="40" t="s">
        <v>11404</v>
      </c>
      <c r="F16013" s="40" t="s">
        <v>11404</v>
      </c>
      <c r="G16013" s="40" t="s">
        <v>11404</v>
      </c>
      <c r="H16013" s="40" t="s">
        <v>11404</v>
      </c>
    </row>
    <row r="16014">
      <c r="A16014" s="39"/>
      <c r="E16014" s="40" t="s">
        <v>11404</v>
      </c>
      <c r="F16014" s="40" t="s">
        <v>11404</v>
      </c>
      <c r="G16014" s="40" t="s">
        <v>11404</v>
      </c>
      <c r="H16014" s="40" t="s">
        <v>11404</v>
      </c>
    </row>
    <row r="16015">
      <c r="A16015" s="39"/>
      <c r="E16015" s="40" t="s">
        <v>11404</v>
      </c>
      <c r="F16015" s="40" t="s">
        <v>11404</v>
      </c>
      <c r="G16015" s="40" t="s">
        <v>11404</v>
      </c>
      <c r="H16015" s="40" t="s">
        <v>11404</v>
      </c>
    </row>
    <row r="16016">
      <c r="A16016" s="39"/>
      <c r="E16016" s="40" t="s">
        <v>11404</v>
      </c>
      <c r="F16016" s="40" t="s">
        <v>11404</v>
      </c>
      <c r="G16016" s="40" t="s">
        <v>11404</v>
      </c>
      <c r="H16016" s="40" t="s">
        <v>11404</v>
      </c>
    </row>
    <row r="16017">
      <c r="A16017" s="39"/>
      <c r="E16017" s="40" t="s">
        <v>11404</v>
      </c>
      <c r="F16017" s="40" t="s">
        <v>11404</v>
      </c>
      <c r="G16017" s="40" t="s">
        <v>11404</v>
      </c>
      <c r="H16017" s="40" t="s">
        <v>11404</v>
      </c>
    </row>
    <row r="16018">
      <c r="A16018" s="39"/>
      <c r="E16018" s="40" t="s">
        <v>11404</v>
      </c>
      <c r="F16018" s="40" t="s">
        <v>11404</v>
      </c>
      <c r="G16018" s="40" t="s">
        <v>11404</v>
      </c>
      <c r="H16018" s="40" t="s">
        <v>11404</v>
      </c>
    </row>
    <row r="16019">
      <c r="A16019" s="39"/>
      <c r="E16019" s="40" t="s">
        <v>11404</v>
      </c>
      <c r="F16019" s="40" t="s">
        <v>11404</v>
      </c>
      <c r="G16019" s="40" t="s">
        <v>11404</v>
      </c>
      <c r="H16019" s="40" t="s">
        <v>11404</v>
      </c>
    </row>
    <row r="16020">
      <c r="A16020" s="39"/>
      <c r="E16020" s="40" t="s">
        <v>11404</v>
      </c>
      <c r="F16020" s="40" t="s">
        <v>11404</v>
      </c>
      <c r="G16020" s="40" t="s">
        <v>11404</v>
      </c>
      <c r="H16020" s="40" t="s">
        <v>11404</v>
      </c>
    </row>
    <row r="16021">
      <c r="A16021" s="39"/>
      <c r="E16021" s="40" t="s">
        <v>11404</v>
      </c>
      <c r="F16021" s="40" t="s">
        <v>11404</v>
      </c>
      <c r="G16021" s="40" t="s">
        <v>11404</v>
      </c>
      <c r="H16021" s="40" t="s">
        <v>11404</v>
      </c>
    </row>
    <row r="16022">
      <c r="A16022" s="39"/>
      <c r="E16022" s="40" t="s">
        <v>11404</v>
      </c>
      <c r="F16022" s="40" t="s">
        <v>11404</v>
      </c>
      <c r="G16022" s="40" t="s">
        <v>11404</v>
      </c>
      <c r="H16022" s="40" t="s">
        <v>11404</v>
      </c>
    </row>
    <row r="16023">
      <c r="A16023" s="39"/>
      <c r="E16023" s="40" t="s">
        <v>11404</v>
      </c>
      <c r="F16023" s="40" t="s">
        <v>11404</v>
      </c>
      <c r="G16023" s="40" t="s">
        <v>11404</v>
      </c>
      <c r="H16023" s="40" t="s">
        <v>11404</v>
      </c>
    </row>
    <row r="16024">
      <c r="A16024" s="39"/>
      <c r="E16024" s="40" t="s">
        <v>11404</v>
      </c>
      <c r="F16024" s="40" t="s">
        <v>11404</v>
      </c>
      <c r="G16024" s="40" t="s">
        <v>11404</v>
      </c>
      <c r="H16024" s="40" t="s">
        <v>11404</v>
      </c>
    </row>
    <row r="16025">
      <c r="A16025" s="39"/>
      <c r="E16025" s="40" t="s">
        <v>11404</v>
      </c>
      <c r="F16025" s="40" t="s">
        <v>11404</v>
      </c>
      <c r="G16025" s="40" t="s">
        <v>11404</v>
      </c>
      <c r="H16025" s="40" t="s">
        <v>11404</v>
      </c>
    </row>
    <row r="16026">
      <c r="A16026" s="39"/>
      <c r="E16026" s="40" t="s">
        <v>11404</v>
      </c>
      <c r="F16026" s="40" t="s">
        <v>11404</v>
      </c>
      <c r="G16026" s="40" t="s">
        <v>11404</v>
      </c>
      <c r="H16026" s="40" t="s">
        <v>11404</v>
      </c>
    </row>
    <row r="16027">
      <c r="A16027" s="39"/>
      <c r="E16027" s="40" t="s">
        <v>11404</v>
      </c>
      <c r="F16027" s="40" t="s">
        <v>11404</v>
      </c>
      <c r="G16027" s="40" t="s">
        <v>11404</v>
      </c>
      <c r="H16027" s="40" t="s">
        <v>11404</v>
      </c>
    </row>
    <row r="16028">
      <c r="A16028" s="39"/>
      <c r="E16028" s="40" t="s">
        <v>11404</v>
      </c>
      <c r="F16028" s="40" t="s">
        <v>11404</v>
      </c>
      <c r="G16028" s="40" t="s">
        <v>11404</v>
      </c>
      <c r="H16028" s="40" t="s">
        <v>11404</v>
      </c>
    </row>
    <row r="16029">
      <c r="A16029" s="39"/>
      <c r="E16029" s="40" t="s">
        <v>11404</v>
      </c>
      <c r="F16029" s="40" t="s">
        <v>11404</v>
      </c>
      <c r="G16029" s="40" t="s">
        <v>11404</v>
      </c>
      <c r="H16029" s="40" t="s">
        <v>11404</v>
      </c>
    </row>
    <row r="16030">
      <c r="A16030" s="39"/>
      <c r="E16030" s="40" t="s">
        <v>11404</v>
      </c>
      <c r="F16030" s="40" t="s">
        <v>11404</v>
      </c>
      <c r="G16030" s="40" t="s">
        <v>11404</v>
      </c>
      <c r="H16030" s="40" t="s">
        <v>11404</v>
      </c>
    </row>
    <row r="16031">
      <c r="A16031" s="39"/>
      <c r="E16031" s="40" t="s">
        <v>11404</v>
      </c>
      <c r="F16031" s="40" t="s">
        <v>11404</v>
      </c>
      <c r="G16031" s="40" t="s">
        <v>11404</v>
      </c>
      <c r="H16031" s="40" t="s">
        <v>11404</v>
      </c>
    </row>
    <row r="16032">
      <c r="A16032" s="39"/>
      <c r="E16032" s="40" t="s">
        <v>11404</v>
      </c>
      <c r="F16032" s="40" t="s">
        <v>11404</v>
      </c>
      <c r="G16032" s="40" t="s">
        <v>11404</v>
      </c>
      <c r="H16032" s="40" t="s">
        <v>11404</v>
      </c>
    </row>
    <row r="16033">
      <c r="A16033" s="39"/>
      <c r="E16033" s="40" t="s">
        <v>11404</v>
      </c>
      <c r="F16033" s="40" t="s">
        <v>11404</v>
      </c>
      <c r="G16033" s="40" t="s">
        <v>11404</v>
      </c>
      <c r="H16033" s="40" t="s">
        <v>11404</v>
      </c>
    </row>
    <row r="16034">
      <c r="A16034" s="39"/>
      <c r="E16034" s="40" t="s">
        <v>11404</v>
      </c>
      <c r="F16034" s="40" t="s">
        <v>11404</v>
      </c>
      <c r="G16034" s="40" t="s">
        <v>11404</v>
      </c>
      <c r="H16034" s="40" t="s">
        <v>11404</v>
      </c>
    </row>
    <row r="16035">
      <c r="A16035" s="39"/>
      <c r="E16035" s="40" t="s">
        <v>11404</v>
      </c>
      <c r="F16035" s="40" t="s">
        <v>11404</v>
      </c>
      <c r="G16035" s="40" t="s">
        <v>11404</v>
      </c>
      <c r="H16035" s="40" t="s">
        <v>11404</v>
      </c>
    </row>
    <row r="16036">
      <c r="A16036" s="39"/>
      <c r="E16036" s="40" t="s">
        <v>11404</v>
      </c>
      <c r="F16036" s="40" t="s">
        <v>11404</v>
      </c>
      <c r="G16036" s="40" t="s">
        <v>11404</v>
      </c>
      <c r="H16036" s="40" t="s">
        <v>11404</v>
      </c>
    </row>
    <row r="16037">
      <c r="A16037" s="39"/>
      <c r="E16037" s="40" t="s">
        <v>11404</v>
      </c>
      <c r="F16037" s="40" t="s">
        <v>11404</v>
      </c>
      <c r="G16037" s="40" t="s">
        <v>11404</v>
      </c>
      <c r="H16037" s="40" t="s">
        <v>11404</v>
      </c>
    </row>
    <row r="16038">
      <c r="A16038" s="39"/>
      <c r="E16038" s="40" t="s">
        <v>11404</v>
      </c>
      <c r="F16038" s="40" t="s">
        <v>11404</v>
      </c>
      <c r="G16038" s="40" t="s">
        <v>11404</v>
      </c>
      <c r="H16038" s="40" t="s">
        <v>11404</v>
      </c>
    </row>
    <row r="16039">
      <c r="A16039" s="39"/>
      <c r="E16039" s="40" t="s">
        <v>11404</v>
      </c>
      <c r="F16039" s="40" t="s">
        <v>11404</v>
      </c>
      <c r="G16039" s="40" t="s">
        <v>11404</v>
      </c>
      <c r="H16039" s="40" t="s">
        <v>11404</v>
      </c>
    </row>
    <row r="16040">
      <c r="A16040" s="39"/>
      <c r="E16040" s="40" t="s">
        <v>11404</v>
      </c>
      <c r="F16040" s="40" t="s">
        <v>11404</v>
      </c>
      <c r="G16040" s="40" t="s">
        <v>11404</v>
      </c>
      <c r="H16040" s="40" t="s">
        <v>11404</v>
      </c>
    </row>
    <row r="16041">
      <c r="A16041" s="39"/>
      <c r="E16041" s="40" t="s">
        <v>11404</v>
      </c>
      <c r="F16041" s="40" t="s">
        <v>11404</v>
      </c>
      <c r="G16041" s="40" t="s">
        <v>11404</v>
      </c>
      <c r="H16041" s="40" t="s">
        <v>11404</v>
      </c>
    </row>
    <row r="16042">
      <c r="A16042" s="39"/>
      <c r="E16042" s="40" t="s">
        <v>11404</v>
      </c>
      <c r="F16042" s="40" t="s">
        <v>11404</v>
      </c>
      <c r="G16042" s="40" t="s">
        <v>11404</v>
      </c>
      <c r="H16042" s="40" t="s">
        <v>11404</v>
      </c>
    </row>
    <row r="16043">
      <c r="A16043" s="39"/>
      <c r="E16043" s="40" t="s">
        <v>11404</v>
      </c>
      <c r="F16043" s="40" t="s">
        <v>11404</v>
      </c>
      <c r="G16043" s="40" t="s">
        <v>11404</v>
      </c>
      <c r="H16043" s="40" t="s">
        <v>11404</v>
      </c>
    </row>
    <row r="16044">
      <c r="A16044" s="39"/>
      <c r="E16044" s="40" t="s">
        <v>11404</v>
      </c>
      <c r="F16044" s="40" t="s">
        <v>11404</v>
      </c>
      <c r="G16044" s="40" t="s">
        <v>11404</v>
      </c>
      <c r="H16044" s="40" t="s">
        <v>11404</v>
      </c>
    </row>
    <row r="16045">
      <c r="A16045" s="39"/>
      <c r="E16045" s="40" t="s">
        <v>11404</v>
      </c>
      <c r="F16045" s="40" t="s">
        <v>11404</v>
      </c>
      <c r="G16045" s="40" t="s">
        <v>11404</v>
      </c>
      <c r="H16045" s="40" t="s">
        <v>11404</v>
      </c>
    </row>
    <row r="16046">
      <c r="A16046" s="39"/>
      <c r="E16046" s="40" t="s">
        <v>11404</v>
      </c>
      <c r="F16046" s="40" t="s">
        <v>11404</v>
      </c>
      <c r="G16046" s="40" t="s">
        <v>11404</v>
      </c>
      <c r="H16046" s="40" t="s">
        <v>11404</v>
      </c>
    </row>
    <row r="16047">
      <c r="A16047" s="39"/>
      <c r="E16047" s="40" t="s">
        <v>11404</v>
      </c>
      <c r="F16047" s="40" t="s">
        <v>11404</v>
      </c>
      <c r="G16047" s="40" t="s">
        <v>11404</v>
      </c>
      <c r="H16047" s="40" t="s">
        <v>11404</v>
      </c>
    </row>
    <row r="16048">
      <c r="A16048" s="39"/>
      <c r="E16048" s="40" t="s">
        <v>11404</v>
      </c>
      <c r="F16048" s="40" t="s">
        <v>11404</v>
      </c>
      <c r="G16048" s="40" t="s">
        <v>11404</v>
      </c>
      <c r="H16048" s="40" t="s">
        <v>11404</v>
      </c>
    </row>
    <row r="16049">
      <c r="A16049" s="39"/>
      <c r="E16049" s="40" t="s">
        <v>11404</v>
      </c>
      <c r="F16049" s="40" t="s">
        <v>11404</v>
      </c>
      <c r="G16049" s="40" t="s">
        <v>11404</v>
      </c>
      <c r="H16049" s="40" t="s">
        <v>11404</v>
      </c>
    </row>
    <row r="16050">
      <c r="A16050" s="39"/>
      <c r="E16050" s="40" t="s">
        <v>11404</v>
      </c>
      <c r="F16050" s="40" t="s">
        <v>11404</v>
      </c>
      <c r="G16050" s="40" t="s">
        <v>11404</v>
      </c>
      <c r="H16050" s="40" t="s">
        <v>11404</v>
      </c>
    </row>
    <row r="16051">
      <c r="A16051" s="39"/>
      <c r="E16051" s="40" t="s">
        <v>11404</v>
      </c>
      <c r="F16051" s="40" t="s">
        <v>11404</v>
      </c>
      <c r="G16051" s="40" t="s">
        <v>11404</v>
      </c>
      <c r="H16051" s="40" t="s">
        <v>11404</v>
      </c>
    </row>
    <row r="16052">
      <c r="A16052" s="39"/>
      <c r="E16052" s="40" t="s">
        <v>11404</v>
      </c>
      <c r="F16052" s="40" t="s">
        <v>11404</v>
      </c>
      <c r="G16052" s="40" t="s">
        <v>11404</v>
      </c>
      <c r="H16052" s="40" t="s">
        <v>11404</v>
      </c>
    </row>
    <row r="16053">
      <c r="A16053" s="39"/>
      <c r="E16053" s="40" t="s">
        <v>11404</v>
      </c>
      <c r="F16053" s="40" t="s">
        <v>11404</v>
      </c>
      <c r="G16053" s="40" t="s">
        <v>11404</v>
      </c>
      <c r="H16053" s="40" t="s">
        <v>11404</v>
      </c>
    </row>
    <row r="16054">
      <c r="A16054" s="39"/>
      <c r="E16054" s="40" t="s">
        <v>11404</v>
      </c>
      <c r="F16054" s="40" t="s">
        <v>11404</v>
      </c>
      <c r="G16054" s="40" t="s">
        <v>11404</v>
      </c>
      <c r="H16054" s="40" t="s">
        <v>11404</v>
      </c>
    </row>
    <row r="16055">
      <c r="A16055" s="39"/>
      <c r="E16055" s="40" t="s">
        <v>11404</v>
      </c>
      <c r="F16055" s="40" t="s">
        <v>11404</v>
      </c>
      <c r="G16055" s="40" t="s">
        <v>11404</v>
      </c>
      <c r="H16055" s="40" t="s">
        <v>11404</v>
      </c>
    </row>
    <row r="16056">
      <c r="A16056" s="39"/>
      <c r="E16056" s="40" t="s">
        <v>11404</v>
      </c>
      <c r="F16056" s="40" t="s">
        <v>11404</v>
      </c>
      <c r="G16056" s="40" t="s">
        <v>11404</v>
      </c>
      <c r="H16056" s="40" t="s">
        <v>11404</v>
      </c>
    </row>
    <row r="16057">
      <c r="A16057" s="39"/>
      <c r="E16057" s="40" t="s">
        <v>11404</v>
      </c>
      <c r="F16057" s="40" t="s">
        <v>11404</v>
      </c>
      <c r="G16057" s="40" t="s">
        <v>11404</v>
      </c>
      <c r="H16057" s="40" t="s">
        <v>11404</v>
      </c>
    </row>
    <row r="16058">
      <c r="A16058" s="39"/>
      <c r="E16058" s="40" t="s">
        <v>11404</v>
      </c>
      <c r="F16058" s="40" t="s">
        <v>11404</v>
      </c>
      <c r="G16058" s="40" t="s">
        <v>11404</v>
      </c>
      <c r="H16058" s="40" t="s">
        <v>11404</v>
      </c>
    </row>
    <row r="16059">
      <c r="A16059" s="39"/>
      <c r="E16059" s="40" t="s">
        <v>11404</v>
      </c>
      <c r="F16059" s="40" t="s">
        <v>11404</v>
      </c>
      <c r="G16059" s="40" t="s">
        <v>11404</v>
      </c>
      <c r="H16059" s="40" t="s">
        <v>11404</v>
      </c>
    </row>
    <row r="16060">
      <c r="A16060" s="39"/>
      <c r="E16060" s="40" t="s">
        <v>11404</v>
      </c>
      <c r="F16060" s="40" t="s">
        <v>11404</v>
      </c>
      <c r="G16060" s="40" t="s">
        <v>11404</v>
      </c>
      <c r="H16060" s="40" t="s">
        <v>11404</v>
      </c>
    </row>
    <row r="16061">
      <c r="A16061" s="39"/>
      <c r="E16061" s="40" t="s">
        <v>11404</v>
      </c>
      <c r="F16061" s="40" t="s">
        <v>11404</v>
      </c>
      <c r="G16061" s="40" t="s">
        <v>11404</v>
      </c>
      <c r="H16061" s="40" t="s">
        <v>11404</v>
      </c>
    </row>
    <row r="16062">
      <c r="A16062" s="39"/>
      <c r="E16062" s="40" t="s">
        <v>11404</v>
      </c>
      <c r="F16062" s="40" t="s">
        <v>11404</v>
      </c>
      <c r="G16062" s="40" t="s">
        <v>11404</v>
      </c>
      <c r="H16062" s="40" t="s">
        <v>11404</v>
      </c>
    </row>
    <row r="16063">
      <c r="A16063" s="39"/>
      <c r="E16063" s="40" t="s">
        <v>11404</v>
      </c>
      <c r="F16063" s="40" t="s">
        <v>11404</v>
      </c>
      <c r="G16063" s="40" t="s">
        <v>11404</v>
      </c>
      <c r="H16063" s="40" t="s">
        <v>11404</v>
      </c>
    </row>
    <row r="16064">
      <c r="A16064" s="39"/>
      <c r="E16064" s="40" t="s">
        <v>11404</v>
      </c>
      <c r="F16064" s="40" t="s">
        <v>11404</v>
      </c>
      <c r="G16064" s="40" t="s">
        <v>11404</v>
      </c>
      <c r="H16064" s="40" t="s">
        <v>11404</v>
      </c>
    </row>
    <row r="16065">
      <c r="A16065" s="39"/>
      <c r="E16065" s="40" t="s">
        <v>11404</v>
      </c>
      <c r="F16065" s="40" t="s">
        <v>11404</v>
      </c>
      <c r="G16065" s="40" t="s">
        <v>11404</v>
      </c>
      <c r="H16065" s="40" t="s">
        <v>11404</v>
      </c>
    </row>
    <row r="16066">
      <c r="A16066" s="39"/>
      <c r="E16066" s="40" t="s">
        <v>11404</v>
      </c>
      <c r="F16066" s="40" t="s">
        <v>11404</v>
      </c>
      <c r="G16066" s="40" t="s">
        <v>11404</v>
      </c>
      <c r="H16066" s="40" t="s">
        <v>11404</v>
      </c>
    </row>
    <row r="16067">
      <c r="A16067" s="39"/>
      <c r="E16067" s="40" t="s">
        <v>11404</v>
      </c>
      <c r="F16067" s="40" t="s">
        <v>11404</v>
      </c>
      <c r="G16067" s="40" t="s">
        <v>11404</v>
      </c>
      <c r="H16067" s="40" t="s">
        <v>11404</v>
      </c>
    </row>
    <row r="16068">
      <c r="A16068" s="39"/>
      <c r="E16068" s="40" t="s">
        <v>11404</v>
      </c>
      <c r="F16068" s="40" t="s">
        <v>11404</v>
      </c>
      <c r="G16068" s="40" t="s">
        <v>11404</v>
      </c>
      <c r="H16068" s="40" t="s">
        <v>11404</v>
      </c>
    </row>
    <row r="16069">
      <c r="A16069" s="39"/>
      <c r="E16069" s="40" t="s">
        <v>11404</v>
      </c>
      <c r="F16069" s="40" t="s">
        <v>11404</v>
      </c>
      <c r="G16069" s="40" t="s">
        <v>11404</v>
      </c>
      <c r="H16069" s="40" t="s">
        <v>11404</v>
      </c>
    </row>
    <row r="16070">
      <c r="A16070" s="39"/>
      <c r="E16070" s="40" t="s">
        <v>11404</v>
      </c>
      <c r="F16070" s="40" t="s">
        <v>11404</v>
      </c>
      <c r="G16070" s="40" t="s">
        <v>11404</v>
      </c>
      <c r="H16070" s="40" t="s">
        <v>11404</v>
      </c>
    </row>
    <row r="16071">
      <c r="A16071" s="39"/>
      <c r="E16071" s="40" t="s">
        <v>11404</v>
      </c>
      <c r="F16071" s="40" t="s">
        <v>11404</v>
      </c>
      <c r="G16071" s="40" t="s">
        <v>11404</v>
      </c>
      <c r="H16071" s="40" t="s">
        <v>11404</v>
      </c>
    </row>
    <row r="16072">
      <c r="A16072" s="39"/>
      <c r="E16072" s="40" t="s">
        <v>11404</v>
      </c>
      <c r="F16072" s="40" t="s">
        <v>11404</v>
      </c>
      <c r="G16072" s="40" t="s">
        <v>11404</v>
      </c>
      <c r="H16072" s="40" t="s">
        <v>11404</v>
      </c>
    </row>
    <row r="16073">
      <c r="A16073" s="39"/>
      <c r="E16073" s="40" t="s">
        <v>11404</v>
      </c>
      <c r="F16073" s="40" t="s">
        <v>11404</v>
      </c>
      <c r="G16073" s="40" t="s">
        <v>11404</v>
      </c>
      <c r="H16073" s="40" t="s">
        <v>11404</v>
      </c>
    </row>
    <row r="16074">
      <c r="A16074" s="39"/>
      <c r="E16074" s="40" t="s">
        <v>11404</v>
      </c>
      <c r="F16074" s="40" t="s">
        <v>11404</v>
      </c>
      <c r="G16074" s="40" t="s">
        <v>11404</v>
      </c>
      <c r="H16074" s="40" t="s">
        <v>11404</v>
      </c>
    </row>
    <row r="16075">
      <c r="A16075" s="39"/>
      <c r="E16075" s="40" t="s">
        <v>11404</v>
      </c>
      <c r="F16075" s="40" t="s">
        <v>11404</v>
      </c>
      <c r="G16075" s="40" t="s">
        <v>11404</v>
      </c>
      <c r="H16075" s="40" t="s">
        <v>11404</v>
      </c>
    </row>
    <row r="16076">
      <c r="A16076" s="39"/>
      <c r="E16076" s="40" t="s">
        <v>11404</v>
      </c>
      <c r="F16076" s="40" t="s">
        <v>11404</v>
      </c>
      <c r="G16076" s="40" t="s">
        <v>11404</v>
      </c>
      <c r="H16076" s="40" t="s">
        <v>11404</v>
      </c>
    </row>
    <row r="16077">
      <c r="A16077" s="39"/>
      <c r="E16077" s="40" t="s">
        <v>11404</v>
      </c>
      <c r="F16077" s="40" t="s">
        <v>11404</v>
      </c>
      <c r="G16077" s="40" t="s">
        <v>11404</v>
      </c>
      <c r="H16077" s="40" t="s">
        <v>11404</v>
      </c>
    </row>
    <row r="16078">
      <c r="A16078" s="39"/>
      <c r="E16078" s="40" t="s">
        <v>11404</v>
      </c>
      <c r="F16078" s="40" t="s">
        <v>11404</v>
      </c>
      <c r="G16078" s="40" t="s">
        <v>11404</v>
      </c>
      <c r="H16078" s="40" t="s">
        <v>11404</v>
      </c>
    </row>
    <row r="16079">
      <c r="A16079" s="39"/>
      <c r="E16079" s="40" t="s">
        <v>11404</v>
      </c>
      <c r="F16079" s="40" t="s">
        <v>11404</v>
      </c>
      <c r="G16079" s="40" t="s">
        <v>11404</v>
      </c>
      <c r="H16079" s="40" t="s">
        <v>11404</v>
      </c>
    </row>
    <row r="16080">
      <c r="A16080" s="39"/>
      <c r="E16080" s="40" t="s">
        <v>11404</v>
      </c>
      <c r="F16080" s="40" t="s">
        <v>11404</v>
      </c>
      <c r="G16080" s="40" t="s">
        <v>11404</v>
      </c>
      <c r="H16080" s="40" t="s">
        <v>11404</v>
      </c>
    </row>
    <row r="16081">
      <c r="A16081" s="39"/>
      <c r="E16081" s="40" t="s">
        <v>11404</v>
      </c>
      <c r="F16081" s="40" t="s">
        <v>11404</v>
      </c>
      <c r="G16081" s="40" t="s">
        <v>11404</v>
      </c>
      <c r="H16081" s="40" t="s">
        <v>11404</v>
      </c>
    </row>
    <row r="16082">
      <c r="A16082" s="39"/>
      <c r="E16082" s="40" t="s">
        <v>11404</v>
      </c>
      <c r="F16082" s="40" t="s">
        <v>11404</v>
      </c>
      <c r="G16082" s="40" t="s">
        <v>11404</v>
      </c>
      <c r="H16082" s="40" t="s">
        <v>11404</v>
      </c>
    </row>
    <row r="16083">
      <c r="A16083" s="39"/>
      <c r="E16083" s="40" t="s">
        <v>11404</v>
      </c>
      <c r="F16083" s="40" t="s">
        <v>11404</v>
      </c>
      <c r="G16083" s="40" t="s">
        <v>11404</v>
      </c>
      <c r="H16083" s="40" t="s">
        <v>11404</v>
      </c>
    </row>
    <row r="16084">
      <c r="A16084" s="39"/>
      <c r="E16084" s="40" t="s">
        <v>11404</v>
      </c>
      <c r="F16084" s="40" t="s">
        <v>11404</v>
      </c>
      <c r="G16084" s="40" t="s">
        <v>11404</v>
      </c>
      <c r="H16084" s="40" t="s">
        <v>11404</v>
      </c>
    </row>
    <row r="16085">
      <c r="A16085" s="39"/>
      <c r="E16085" s="40" t="s">
        <v>11404</v>
      </c>
      <c r="F16085" s="40" t="s">
        <v>11404</v>
      </c>
      <c r="G16085" s="40" t="s">
        <v>11404</v>
      </c>
      <c r="H16085" s="40" t="s">
        <v>11404</v>
      </c>
    </row>
    <row r="16086">
      <c r="A16086" s="39"/>
      <c r="E16086" s="40" t="s">
        <v>11404</v>
      </c>
      <c r="F16086" s="40" t="s">
        <v>11404</v>
      </c>
      <c r="G16086" s="40" t="s">
        <v>11404</v>
      </c>
      <c r="H16086" s="40" t="s">
        <v>11404</v>
      </c>
    </row>
    <row r="16087">
      <c r="A16087" s="39"/>
      <c r="E16087" s="40" t="s">
        <v>11404</v>
      </c>
      <c r="F16087" s="40" t="s">
        <v>11404</v>
      </c>
      <c r="G16087" s="40" t="s">
        <v>11404</v>
      </c>
      <c r="H16087" s="40" t="s">
        <v>11404</v>
      </c>
    </row>
    <row r="16088">
      <c r="A16088" s="39"/>
      <c r="E16088" s="40" t="s">
        <v>11404</v>
      </c>
      <c r="F16088" s="40" t="s">
        <v>11404</v>
      </c>
      <c r="G16088" s="40" t="s">
        <v>11404</v>
      </c>
      <c r="H16088" s="40" t="s">
        <v>11404</v>
      </c>
    </row>
    <row r="16089">
      <c r="A16089" s="39"/>
      <c r="E16089" s="40" t="s">
        <v>11404</v>
      </c>
      <c r="F16089" s="40" t="s">
        <v>11404</v>
      </c>
      <c r="G16089" s="40" t="s">
        <v>11404</v>
      </c>
      <c r="H16089" s="40" t="s">
        <v>11404</v>
      </c>
    </row>
    <row r="16090">
      <c r="A16090" s="39"/>
      <c r="E16090" s="40" t="s">
        <v>11404</v>
      </c>
      <c r="F16090" s="40" t="s">
        <v>11404</v>
      </c>
      <c r="G16090" s="40" t="s">
        <v>11404</v>
      </c>
      <c r="H16090" s="40" t="s">
        <v>11404</v>
      </c>
    </row>
    <row r="16091">
      <c r="A16091" s="39"/>
      <c r="E16091" s="40" t="s">
        <v>11404</v>
      </c>
      <c r="F16091" s="40" t="s">
        <v>11404</v>
      </c>
      <c r="G16091" s="40" t="s">
        <v>11404</v>
      </c>
      <c r="H16091" s="40" t="s">
        <v>11404</v>
      </c>
    </row>
    <row r="16092">
      <c r="A16092" s="39"/>
      <c r="E16092" s="40" t="s">
        <v>11404</v>
      </c>
      <c r="F16092" s="40" t="s">
        <v>11404</v>
      </c>
      <c r="G16092" s="40" t="s">
        <v>11404</v>
      </c>
      <c r="H16092" s="40" t="s">
        <v>11404</v>
      </c>
    </row>
    <row r="16093">
      <c r="A16093" s="39"/>
      <c r="E16093" s="40" t="s">
        <v>11404</v>
      </c>
      <c r="F16093" s="40" t="s">
        <v>11404</v>
      </c>
      <c r="G16093" s="40" t="s">
        <v>11404</v>
      </c>
      <c r="H16093" s="40" t="s">
        <v>11404</v>
      </c>
    </row>
    <row r="16094">
      <c r="A16094" s="39"/>
      <c r="E16094" s="40" t="s">
        <v>11404</v>
      </c>
      <c r="F16094" s="40" t="s">
        <v>11404</v>
      </c>
      <c r="G16094" s="40" t="s">
        <v>11404</v>
      </c>
      <c r="H16094" s="40" t="s">
        <v>11404</v>
      </c>
    </row>
    <row r="16095">
      <c r="A16095" s="39"/>
      <c r="E16095" s="40" t="s">
        <v>11404</v>
      </c>
      <c r="F16095" s="40" t="s">
        <v>11404</v>
      </c>
      <c r="G16095" s="40" t="s">
        <v>11404</v>
      </c>
      <c r="H16095" s="40" t="s">
        <v>11404</v>
      </c>
    </row>
    <row r="16096">
      <c r="A16096" s="39"/>
      <c r="E16096" s="40" t="s">
        <v>11404</v>
      </c>
      <c r="F16096" s="40" t="s">
        <v>11404</v>
      </c>
      <c r="G16096" s="40" t="s">
        <v>11404</v>
      </c>
      <c r="H16096" s="40" t="s">
        <v>11404</v>
      </c>
    </row>
    <row r="16097">
      <c r="A16097" s="39"/>
      <c r="E16097" s="40" t="s">
        <v>11404</v>
      </c>
      <c r="F16097" s="40" t="s">
        <v>11404</v>
      </c>
      <c r="G16097" s="40" t="s">
        <v>11404</v>
      </c>
      <c r="H16097" s="40" t="s">
        <v>11404</v>
      </c>
    </row>
    <row r="16098">
      <c r="A16098" s="39"/>
      <c r="E16098" s="40" t="s">
        <v>11404</v>
      </c>
      <c r="F16098" s="40" t="s">
        <v>11404</v>
      </c>
      <c r="G16098" s="40" t="s">
        <v>11404</v>
      </c>
      <c r="H16098" s="40" t="s">
        <v>11404</v>
      </c>
    </row>
    <row r="16099">
      <c r="A16099" s="39"/>
      <c r="E16099" s="40" t="s">
        <v>11404</v>
      </c>
      <c r="F16099" s="40" t="s">
        <v>11404</v>
      </c>
      <c r="G16099" s="40" t="s">
        <v>11404</v>
      </c>
      <c r="H16099" s="40" t="s">
        <v>11404</v>
      </c>
    </row>
    <row r="16100">
      <c r="A16100" s="39"/>
      <c r="E16100" s="40" t="s">
        <v>11404</v>
      </c>
      <c r="F16100" s="40" t="s">
        <v>11404</v>
      </c>
      <c r="G16100" s="40" t="s">
        <v>11404</v>
      </c>
      <c r="H16100" s="40" t="s">
        <v>11404</v>
      </c>
    </row>
    <row r="16101">
      <c r="A16101" s="39"/>
      <c r="E16101" s="40" t="s">
        <v>11404</v>
      </c>
      <c r="F16101" s="40" t="s">
        <v>11404</v>
      </c>
      <c r="G16101" s="40" t="s">
        <v>11404</v>
      </c>
      <c r="H16101" s="40" t="s">
        <v>11404</v>
      </c>
    </row>
    <row r="16102">
      <c r="A16102" s="39"/>
      <c r="E16102" s="40" t="s">
        <v>11404</v>
      </c>
      <c r="F16102" s="40" t="s">
        <v>11404</v>
      </c>
      <c r="G16102" s="40" t="s">
        <v>11404</v>
      </c>
      <c r="H16102" s="40" t="s">
        <v>11404</v>
      </c>
    </row>
    <row r="16103">
      <c r="A16103" s="39"/>
      <c r="E16103" s="40" t="s">
        <v>11404</v>
      </c>
      <c r="F16103" s="40" t="s">
        <v>11404</v>
      </c>
      <c r="G16103" s="40" t="s">
        <v>11404</v>
      </c>
      <c r="H16103" s="40" t="s">
        <v>11404</v>
      </c>
    </row>
    <row r="16104">
      <c r="A16104" s="39"/>
      <c r="E16104" s="40" t="s">
        <v>11404</v>
      </c>
      <c r="F16104" s="40" t="s">
        <v>11404</v>
      </c>
      <c r="G16104" s="40" t="s">
        <v>11404</v>
      </c>
      <c r="H16104" s="40" t="s">
        <v>11404</v>
      </c>
    </row>
    <row r="16105">
      <c r="A16105" s="39"/>
      <c r="E16105" s="40" t="s">
        <v>11404</v>
      </c>
      <c r="F16105" s="40" t="s">
        <v>11404</v>
      </c>
      <c r="G16105" s="40" t="s">
        <v>11404</v>
      </c>
      <c r="H16105" s="40" t="s">
        <v>11404</v>
      </c>
    </row>
    <row r="16106">
      <c r="A16106" s="39"/>
      <c r="E16106" s="40" t="s">
        <v>11404</v>
      </c>
      <c r="F16106" s="40" t="s">
        <v>11404</v>
      </c>
      <c r="G16106" s="40" t="s">
        <v>11404</v>
      </c>
      <c r="H16106" s="40" t="s">
        <v>11404</v>
      </c>
    </row>
    <row r="16107">
      <c r="A16107" s="39"/>
      <c r="E16107" s="40" t="s">
        <v>11404</v>
      </c>
      <c r="F16107" s="40" t="s">
        <v>11404</v>
      </c>
      <c r="G16107" s="40" t="s">
        <v>11404</v>
      </c>
      <c r="H16107" s="40" t="s">
        <v>11404</v>
      </c>
    </row>
    <row r="16108">
      <c r="A16108" s="39"/>
      <c r="E16108" s="40" t="s">
        <v>11404</v>
      </c>
      <c r="F16108" s="40" t="s">
        <v>11404</v>
      </c>
      <c r="G16108" s="40" t="s">
        <v>11404</v>
      </c>
      <c r="H16108" s="40" t="s">
        <v>11404</v>
      </c>
    </row>
    <row r="16109">
      <c r="A16109" s="39"/>
      <c r="E16109" s="40" t="s">
        <v>11404</v>
      </c>
      <c r="F16109" s="40" t="s">
        <v>11404</v>
      </c>
      <c r="G16109" s="40" t="s">
        <v>11404</v>
      </c>
      <c r="H16109" s="40" t="s">
        <v>11404</v>
      </c>
    </row>
    <row r="16110">
      <c r="A16110" s="39"/>
      <c r="E16110" s="40" t="s">
        <v>11404</v>
      </c>
      <c r="F16110" s="40" t="s">
        <v>11404</v>
      </c>
      <c r="G16110" s="40" t="s">
        <v>11404</v>
      </c>
      <c r="H16110" s="40" t="s">
        <v>11404</v>
      </c>
    </row>
    <row r="16111">
      <c r="A16111" s="39"/>
      <c r="E16111" s="40" t="s">
        <v>11404</v>
      </c>
      <c r="F16111" s="40" t="s">
        <v>11404</v>
      </c>
      <c r="G16111" s="40" t="s">
        <v>11404</v>
      </c>
      <c r="H16111" s="40" t="s">
        <v>11404</v>
      </c>
    </row>
    <row r="16112">
      <c r="A16112" s="39"/>
      <c r="E16112" s="40" t="s">
        <v>11404</v>
      </c>
      <c r="F16112" s="40" t="s">
        <v>11404</v>
      </c>
      <c r="G16112" s="40" t="s">
        <v>11404</v>
      </c>
      <c r="H16112" s="40" t="s">
        <v>11404</v>
      </c>
    </row>
    <row r="16113">
      <c r="A16113" s="39"/>
      <c r="E16113" s="40" t="s">
        <v>11404</v>
      </c>
      <c r="F16113" s="40" t="s">
        <v>11404</v>
      </c>
      <c r="G16113" s="40" t="s">
        <v>11404</v>
      </c>
      <c r="H16113" s="40" t="s">
        <v>11404</v>
      </c>
    </row>
    <row r="16114">
      <c r="A16114" s="39"/>
      <c r="E16114" s="40" t="s">
        <v>11404</v>
      </c>
      <c r="F16114" s="40" t="s">
        <v>11404</v>
      </c>
      <c r="G16114" s="40" t="s">
        <v>11404</v>
      </c>
      <c r="H16114" s="40" t="s">
        <v>11404</v>
      </c>
    </row>
    <row r="16115">
      <c r="A16115" s="39"/>
      <c r="E16115" s="40" t="s">
        <v>11404</v>
      </c>
      <c r="F16115" s="40" t="s">
        <v>11404</v>
      </c>
      <c r="G16115" s="40" t="s">
        <v>11404</v>
      </c>
      <c r="H16115" s="40" t="s">
        <v>11404</v>
      </c>
    </row>
    <row r="16116">
      <c r="A16116" s="39"/>
      <c r="E16116" s="40" t="s">
        <v>11404</v>
      </c>
      <c r="F16116" s="40" t="s">
        <v>11404</v>
      </c>
      <c r="G16116" s="40" t="s">
        <v>11404</v>
      </c>
      <c r="H16116" s="40" t="s">
        <v>11404</v>
      </c>
    </row>
    <row r="16117">
      <c r="A16117" s="39"/>
      <c r="E16117" s="40" t="s">
        <v>11404</v>
      </c>
      <c r="F16117" s="40" t="s">
        <v>11404</v>
      </c>
      <c r="G16117" s="40" t="s">
        <v>11404</v>
      </c>
      <c r="H16117" s="40" t="s">
        <v>11404</v>
      </c>
    </row>
    <row r="16118">
      <c r="A16118" s="39"/>
      <c r="E16118" s="40" t="s">
        <v>11404</v>
      </c>
      <c r="F16118" s="40" t="s">
        <v>11404</v>
      </c>
      <c r="G16118" s="40" t="s">
        <v>11404</v>
      </c>
      <c r="H16118" s="40" t="s">
        <v>11404</v>
      </c>
    </row>
    <row r="16119">
      <c r="A16119" s="39"/>
      <c r="E16119" s="40" t="s">
        <v>11404</v>
      </c>
      <c r="F16119" s="40" t="s">
        <v>11404</v>
      </c>
      <c r="G16119" s="40" t="s">
        <v>11404</v>
      </c>
      <c r="H16119" s="40" t="s">
        <v>11404</v>
      </c>
    </row>
    <row r="16120">
      <c r="A16120" s="39"/>
      <c r="E16120" s="40" t="s">
        <v>11404</v>
      </c>
      <c r="F16120" s="40" t="s">
        <v>11404</v>
      </c>
      <c r="G16120" s="40" t="s">
        <v>11404</v>
      </c>
      <c r="H16120" s="40" t="s">
        <v>11404</v>
      </c>
    </row>
    <row r="16121">
      <c r="A16121" s="39"/>
      <c r="E16121" s="40" t="s">
        <v>11404</v>
      </c>
      <c r="F16121" s="40" t="s">
        <v>11404</v>
      </c>
      <c r="G16121" s="40" t="s">
        <v>11404</v>
      </c>
      <c r="H16121" s="40" t="s">
        <v>11404</v>
      </c>
    </row>
    <row r="16122">
      <c r="A16122" s="39"/>
      <c r="E16122" s="40" t="s">
        <v>11404</v>
      </c>
      <c r="F16122" s="40" t="s">
        <v>11404</v>
      </c>
      <c r="G16122" s="40" t="s">
        <v>11404</v>
      </c>
      <c r="H16122" s="40" t="s">
        <v>11404</v>
      </c>
    </row>
    <row r="16123">
      <c r="A16123" s="39"/>
      <c r="E16123" s="40" t="s">
        <v>11404</v>
      </c>
      <c r="F16123" s="40" t="s">
        <v>11404</v>
      </c>
      <c r="G16123" s="40" t="s">
        <v>11404</v>
      </c>
      <c r="H16123" s="40" t="s">
        <v>11404</v>
      </c>
    </row>
    <row r="16124">
      <c r="A16124" s="39"/>
      <c r="E16124" s="40" t="s">
        <v>11404</v>
      </c>
      <c r="F16124" s="40" t="s">
        <v>11404</v>
      </c>
      <c r="G16124" s="40" t="s">
        <v>11404</v>
      </c>
      <c r="H16124" s="40" t="s">
        <v>11404</v>
      </c>
    </row>
    <row r="16125">
      <c r="A16125" s="39"/>
      <c r="E16125" s="40" t="s">
        <v>11404</v>
      </c>
      <c r="F16125" s="40" t="s">
        <v>11404</v>
      </c>
      <c r="G16125" s="40" t="s">
        <v>11404</v>
      </c>
      <c r="H16125" s="40" t="s">
        <v>11404</v>
      </c>
    </row>
    <row r="16126">
      <c r="A16126" s="39"/>
      <c r="E16126" s="40" t="s">
        <v>11404</v>
      </c>
      <c r="F16126" s="40" t="s">
        <v>11404</v>
      </c>
      <c r="G16126" s="40" t="s">
        <v>11404</v>
      </c>
      <c r="H16126" s="40" t="s">
        <v>11404</v>
      </c>
    </row>
    <row r="16127">
      <c r="A16127" s="39"/>
      <c r="E16127" s="40" t="s">
        <v>11404</v>
      </c>
      <c r="F16127" s="40" t="s">
        <v>11404</v>
      </c>
      <c r="G16127" s="40" t="s">
        <v>11404</v>
      </c>
      <c r="H16127" s="40" t="s">
        <v>11404</v>
      </c>
    </row>
    <row r="16128">
      <c r="A16128" s="39"/>
      <c r="E16128" s="40" t="s">
        <v>11404</v>
      </c>
      <c r="F16128" s="40" t="s">
        <v>11404</v>
      </c>
      <c r="G16128" s="40" t="s">
        <v>11404</v>
      </c>
      <c r="H16128" s="40" t="s">
        <v>11404</v>
      </c>
    </row>
    <row r="16129">
      <c r="A16129" s="39"/>
      <c r="E16129" s="40" t="s">
        <v>11404</v>
      </c>
      <c r="F16129" s="40" t="s">
        <v>11404</v>
      </c>
      <c r="G16129" s="40" t="s">
        <v>11404</v>
      </c>
      <c r="H16129" s="40" t="s">
        <v>11404</v>
      </c>
    </row>
    <row r="16130">
      <c r="A16130" s="39"/>
      <c r="E16130" s="40" t="s">
        <v>11404</v>
      </c>
      <c r="F16130" s="40" t="s">
        <v>11404</v>
      </c>
      <c r="G16130" s="40" t="s">
        <v>11404</v>
      </c>
      <c r="H16130" s="40" t="s">
        <v>11404</v>
      </c>
    </row>
    <row r="16131">
      <c r="A16131" s="39"/>
      <c r="E16131" s="40" t="s">
        <v>11404</v>
      </c>
      <c r="F16131" s="40" t="s">
        <v>11404</v>
      </c>
      <c r="G16131" s="40" t="s">
        <v>11404</v>
      </c>
      <c r="H16131" s="40" t="s">
        <v>11404</v>
      </c>
    </row>
    <row r="16132">
      <c r="A16132" s="39"/>
      <c r="E16132" s="40" t="s">
        <v>11404</v>
      </c>
      <c r="F16132" s="40" t="s">
        <v>11404</v>
      </c>
      <c r="G16132" s="40" t="s">
        <v>11404</v>
      </c>
      <c r="H16132" s="40" t="s">
        <v>11404</v>
      </c>
    </row>
    <row r="16133">
      <c r="A16133" s="39"/>
      <c r="E16133" s="40" t="s">
        <v>11404</v>
      </c>
      <c r="F16133" s="40" t="s">
        <v>11404</v>
      </c>
      <c r="G16133" s="40" t="s">
        <v>11404</v>
      </c>
      <c r="H16133" s="40" t="s">
        <v>11404</v>
      </c>
    </row>
    <row r="16134">
      <c r="A16134" s="39"/>
      <c r="E16134" s="40" t="s">
        <v>11404</v>
      </c>
      <c r="F16134" s="40" t="s">
        <v>11404</v>
      </c>
      <c r="G16134" s="40" t="s">
        <v>11404</v>
      </c>
      <c r="H16134" s="40" t="s">
        <v>11404</v>
      </c>
    </row>
    <row r="16135">
      <c r="A16135" s="39"/>
      <c r="E16135" s="40" t="s">
        <v>11404</v>
      </c>
      <c r="F16135" s="40" t="s">
        <v>11404</v>
      </c>
      <c r="G16135" s="40" t="s">
        <v>11404</v>
      </c>
      <c r="H16135" s="40" t="s">
        <v>11404</v>
      </c>
    </row>
    <row r="16136">
      <c r="A16136" s="39"/>
      <c r="E16136" s="40" t="s">
        <v>11404</v>
      </c>
      <c r="F16136" s="40" t="s">
        <v>11404</v>
      </c>
      <c r="G16136" s="40" t="s">
        <v>11404</v>
      </c>
      <c r="H16136" s="40" t="s">
        <v>11404</v>
      </c>
    </row>
    <row r="16137">
      <c r="A16137" s="39"/>
      <c r="E16137" s="40" t="s">
        <v>11404</v>
      </c>
      <c r="F16137" s="40" t="s">
        <v>11404</v>
      </c>
      <c r="G16137" s="40" t="s">
        <v>11404</v>
      </c>
      <c r="H16137" s="40" t="s">
        <v>11404</v>
      </c>
    </row>
    <row r="16138">
      <c r="A16138" s="39"/>
      <c r="E16138" s="40" t="s">
        <v>11404</v>
      </c>
      <c r="F16138" s="40" t="s">
        <v>11404</v>
      </c>
      <c r="G16138" s="40" t="s">
        <v>11404</v>
      </c>
      <c r="H16138" s="40" t="s">
        <v>11404</v>
      </c>
    </row>
    <row r="16139">
      <c r="A16139" s="39"/>
      <c r="E16139" s="40" t="s">
        <v>11404</v>
      </c>
      <c r="F16139" s="40" t="s">
        <v>11404</v>
      </c>
      <c r="G16139" s="40" t="s">
        <v>11404</v>
      </c>
      <c r="H16139" s="40" t="s">
        <v>11404</v>
      </c>
    </row>
    <row r="16140">
      <c r="A16140" s="39"/>
      <c r="E16140" s="40" t="s">
        <v>11404</v>
      </c>
      <c r="F16140" s="40" t="s">
        <v>11404</v>
      </c>
      <c r="G16140" s="40" t="s">
        <v>11404</v>
      </c>
      <c r="H16140" s="40" t="s">
        <v>11404</v>
      </c>
    </row>
    <row r="16141">
      <c r="A16141" s="39"/>
      <c r="E16141" s="40" t="s">
        <v>11404</v>
      </c>
      <c r="F16141" s="40" t="s">
        <v>11404</v>
      </c>
      <c r="G16141" s="40" t="s">
        <v>11404</v>
      </c>
      <c r="H16141" s="40" t="s">
        <v>11404</v>
      </c>
    </row>
    <row r="16142">
      <c r="A16142" s="39"/>
      <c r="E16142" s="40" t="s">
        <v>11404</v>
      </c>
      <c r="F16142" s="40" t="s">
        <v>11404</v>
      </c>
      <c r="G16142" s="40" t="s">
        <v>11404</v>
      </c>
      <c r="H16142" s="40" t="s">
        <v>11404</v>
      </c>
    </row>
    <row r="16143">
      <c r="A16143" s="39"/>
      <c r="E16143" s="40" t="s">
        <v>11404</v>
      </c>
      <c r="F16143" s="40" t="s">
        <v>11404</v>
      </c>
      <c r="G16143" s="40" t="s">
        <v>11404</v>
      </c>
      <c r="H16143" s="40" t="s">
        <v>11404</v>
      </c>
    </row>
    <row r="16144">
      <c r="A16144" s="39"/>
      <c r="E16144" s="40" t="s">
        <v>11404</v>
      </c>
      <c r="F16144" s="40" t="s">
        <v>11404</v>
      </c>
      <c r="G16144" s="40" t="s">
        <v>11404</v>
      </c>
      <c r="H16144" s="40" t="s">
        <v>11404</v>
      </c>
    </row>
    <row r="16145">
      <c r="A16145" s="39"/>
      <c r="E16145" s="40" t="s">
        <v>11404</v>
      </c>
      <c r="F16145" s="40" t="s">
        <v>11404</v>
      </c>
      <c r="G16145" s="40" t="s">
        <v>11404</v>
      </c>
      <c r="H16145" s="40" t="s">
        <v>11404</v>
      </c>
    </row>
    <row r="16146">
      <c r="A16146" s="39"/>
      <c r="E16146" s="40" t="s">
        <v>11404</v>
      </c>
      <c r="F16146" s="40" t="s">
        <v>11404</v>
      </c>
      <c r="G16146" s="40" t="s">
        <v>11404</v>
      </c>
      <c r="H16146" s="40" t="s">
        <v>11404</v>
      </c>
    </row>
    <row r="16147">
      <c r="A16147" s="39"/>
      <c r="E16147" s="40" t="s">
        <v>11404</v>
      </c>
      <c r="F16147" s="40" t="s">
        <v>11404</v>
      </c>
      <c r="G16147" s="40" t="s">
        <v>11404</v>
      </c>
      <c r="H16147" s="40" t="s">
        <v>11404</v>
      </c>
    </row>
    <row r="16148">
      <c r="A16148" s="39"/>
      <c r="E16148" s="40" t="s">
        <v>11404</v>
      </c>
      <c r="F16148" s="40" t="s">
        <v>11404</v>
      </c>
      <c r="G16148" s="40" t="s">
        <v>11404</v>
      </c>
      <c r="H16148" s="40" t="s">
        <v>11404</v>
      </c>
    </row>
    <row r="16149">
      <c r="A16149" s="39"/>
      <c r="E16149" s="40" t="s">
        <v>11404</v>
      </c>
      <c r="F16149" s="40" t="s">
        <v>11404</v>
      </c>
      <c r="G16149" s="40" t="s">
        <v>11404</v>
      </c>
      <c r="H16149" s="40" t="s">
        <v>11404</v>
      </c>
    </row>
    <row r="16150">
      <c r="A16150" s="39"/>
      <c r="E16150" s="40" t="s">
        <v>11404</v>
      </c>
      <c r="F16150" s="40" t="s">
        <v>11404</v>
      </c>
      <c r="G16150" s="40" t="s">
        <v>11404</v>
      </c>
      <c r="H16150" s="40" t="s">
        <v>11404</v>
      </c>
    </row>
    <row r="16151">
      <c r="A16151" s="39"/>
      <c r="E16151" s="40" t="s">
        <v>11404</v>
      </c>
      <c r="F16151" s="40" t="s">
        <v>11404</v>
      </c>
      <c r="G16151" s="40" t="s">
        <v>11404</v>
      </c>
      <c r="H16151" s="40" t="s">
        <v>11404</v>
      </c>
    </row>
    <row r="16152">
      <c r="A16152" s="39"/>
      <c r="E16152" s="40" t="s">
        <v>11404</v>
      </c>
      <c r="F16152" s="40" t="s">
        <v>11404</v>
      </c>
      <c r="G16152" s="40" t="s">
        <v>11404</v>
      </c>
      <c r="H16152" s="40" t="s">
        <v>11404</v>
      </c>
    </row>
    <row r="16153">
      <c r="A16153" s="39"/>
      <c r="E16153" s="40" t="s">
        <v>11404</v>
      </c>
      <c r="F16153" s="40" t="s">
        <v>11404</v>
      </c>
      <c r="G16153" s="40" t="s">
        <v>11404</v>
      </c>
      <c r="H16153" s="40" t="s">
        <v>11404</v>
      </c>
    </row>
    <row r="16154">
      <c r="A16154" s="39"/>
      <c r="E16154" s="40" t="s">
        <v>11404</v>
      </c>
      <c r="F16154" s="40" t="s">
        <v>11404</v>
      </c>
      <c r="G16154" s="40" t="s">
        <v>11404</v>
      </c>
      <c r="H16154" s="40" t="s">
        <v>11404</v>
      </c>
    </row>
    <row r="16155">
      <c r="A16155" s="39"/>
      <c r="E16155" s="40" t="s">
        <v>11404</v>
      </c>
      <c r="F16155" s="40" t="s">
        <v>11404</v>
      </c>
      <c r="G16155" s="40" t="s">
        <v>11404</v>
      </c>
      <c r="H16155" s="40" t="s">
        <v>11404</v>
      </c>
    </row>
    <row r="16156">
      <c r="A16156" s="39"/>
      <c r="E16156" s="40" t="s">
        <v>11404</v>
      </c>
      <c r="F16156" s="40" t="s">
        <v>11404</v>
      </c>
      <c r="G16156" s="40" t="s">
        <v>11404</v>
      </c>
      <c r="H16156" s="40" t="s">
        <v>11404</v>
      </c>
    </row>
    <row r="16157">
      <c r="A16157" s="39"/>
      <c r="E16157" s="40" t="s">
        <v>11404</v>
      </c>
      <c r="F16157" s="40" t="s">
        <v>11404</v>
      </c>
      <c r="G16157" s="40" t="s">
        <v>11404</v>
      </c>
      <c r="H16157" s="40" t="s">
        <v>11404</v>
      </c>
    </row>
    <row r="16158">
      <c r="A16158" s="39"/>
      <c r="E16158" s="40" t="s">
        <v>11404</v>
      </c>
      <c r="F16158" s="40" t="s">
        <v>11404</v>
      </c>
      <c r="G16158" s="40" t="s">
        <v>11404</v>
      </c>
      <c r="H16158" s="40" t="s">
        <v>11404</v>
      </c>
    </row>
    <row r="16159">
      <c r="A16159" s="39"/>
      <c r="E16159" s="40" t="s">
        <v>11404</v>
      </c>
      <c r="F16159" s="40" t="s">
        <v>11404</v>
      </c>
      <c r="G16159" s="40" t="s">
        <v>11404</v>
      </c>
      <c r="H16159" s="40" t="s">
        <v>11404</v>
      </c>
    </row>
    <row r="16160">
      <c r="A16160" s="39"/>
      <c r="E16160" s="40" t="s">
        <v>11404</v>
      </c>
      <c r="F16160" s="40" t="s">
        <v>11404</v>
      </c>
      <c r="G16160" s="40" t="s">
        <v>11404</v>
      </c>
      <c r="H16160" s="40" t="s">
        <v>11404</v>
      </c>
    </row>
    <row r="16161">
      <c r="A16161" s="39"/>
      <c r="E16161" s="40" t="s">
        <v>11404</v>
      </c>
      <c r="F16161" s="40" t="s">
        <v>11404</v>
      </c>
      <c r="G16161" s="40" t="s">
        <v>11404</v>
      </c>
      <c r="H16161" s="40" t="s">
        <v>11404</v>
      </c>
    </row>
    <row r="16162">
      <c r="A16162" s="39"/>
      <c r="E16162" s="40" t="s">
        <v>11404</v>
      </c>
      <c r="F16162" s="40" t="s">
        <v>11404</v>
      </c>
      <c r="G16162" s="40" t="s">
        <v>11404</v>
      </c>
      <c r="H16162" s="40" t="s">
        <v>11404</v>
      </c>
    </row>
    <row r="16163">
      <c r="A16163" s="39"/>
      <c r="E16163" s="40" t="s">
        <v>11404</v>
      </c>
      <c r="F16163" s="40" t="s">
        <v>11404</v>
      </c>
      <c r="G16163" s="40" t="s">
        <v>11404</v>
      </c>
      <c r="H16163" s="40" t="s">
        <v>11404</v>
      </c>
    </row>
    <row r="16164">
      <c r="A16164" s="39"/>
      <c r="E16164" s="40" t="s">
        <v>11404</v>
      </c>
      <c r="F16164" s="40" t="s">
        <v>11404</v>
      </c>
      <c r="G16164" s="40" t="s">
        <v>11404</v>
      </c>
      <c r="H16164" s="40" t="s">
        <v>11404</v>
      </c>
    </row>
    <row r="16165">
      <c r="A16165" s="39"/>
      <c r="E16165" s="40" t="s">
        <v>11404</v>
      </c>
      <c r="F16165" s="40" t="s">
        <v>11404</v>
      </c>
      <c r="G16165" s="40" t="s">
        <v>11404</v>
      </c>
      <c r="H16165" s="40" t="s">
        <v>11404</v>
      </c>
    </row>
    <row r="16166">
      <c r="A16166" s="39"/>
      <c r="E16166" s="40" t="s">
        <v>11404</v>
      </c>
      <c r="F16166" s="40" t="s">
        <v>11404</v>
      </c>
      <c r="G16166" s="40" t="s">
        <v>11404</v>
      </c>
      <c r="H16166" s="40" t="s">
        <v>11404</v>
      </c>
    </row>
    <row r="16167">
      <c r="A16167" s="39"/>
      <c r="E16167" s="40" t="s">
        <v>11404</v>
      </c>
      <c r="F16167" s="40" t="s">
        <v>11404</v>
      </c>
      <c r="G16167" s="40" t="s">
        <v>11404</v>
      </c>
      <c r="H16167" s="40" t="s">
        <v>11404</v>
      </c>
    </row>
    <row r="16168">
      <c r="A16168" s="39"/>
      <c r="E16168" s="40" t="s">
        <v>11404</v>
      </c>
      <c r="F16168" s="40" t="s">
        <v>11404</v>
      </c>
      <c r="G16168" s="40" t="s">
        <v>11404</v>
      </c>
      <c r="H16168" s="40" t="s">
        <v>11404</v>
      </c>
    </row>
    <row r="16169">
      <c r="A16169" s="39"/>
      <c r="E16169" s="40" t="s">
        <v>11404</v>
      </c>
      <c r="F16169" s="40" t="s">
        <v>11404</v>
      </c>
      <c r="G16169" s="40" t="s">
        <v>11404</v>
      </c>
      <c r="H16169" s="40" t="s">
        <v>11404</v>
      </c>
    </row>
    <row r="16170">
      <c r="A16170" s="39"/>
      <c r="E16170" s="40" t="s">
        <v>11404</v>
      </c>
      <c r="F16170" s="40" t="s">
        <v>11404</v>
      </c>
      <c r="G16170" s="40" t="s">
        <v>11404</v>
      </c>
      <c r="H16170" s="40" t="s">
        <v>11404</v>
      </c>
    </row>
    <row r="16171">
      <c r="A16171" s="39"/>
      <c r="E16171" s="40" t="s">
        <v>11404</v>
      </c>
      <c r="F16171" s="40" t="s">
        <v>11404</v>
      </c>
      <c r="G16171" s="40" t="s">
        <v>11404</v>
      </c>
      <c r="H16171" s="40" t="s">
        <v>11404</v>
      </c>
    </row>
    <row r="16172">
      <c r="A16172" s="39"/>
      <c r="E16172" s="40" t="s">
        <v>11404</v>
      </c>
      <c r="F16172" s="40" t="s">
        <v>11404</v>
      </c>
      <c r="G16172" s="40" t="s">
        <v>11404</v>
      </c>
      <c r="H16172" s="40" t="s">
        <v>11404</v>
      </c>
    </row>
    <row r="16173">
      <c r="A16173" s="39"/>
      <c r="E16173" s="40" t="s">
        <v>11404</v>
      </c>
      <c r="F16173" s="40" t="s">
        <v>11404</v>
      </c>
      <c r="G16173" s="40" t="s">
        <v>11404</v>
      </c>
      <c r="H16173" s="40" t="s">
        <v>11404</v>
      </c>
    </row>
    <row r="16174">
      <c r="A16174" s="39"/>
      <c r="E16174" s="40" t="s">
        <v>11404</v>
      </c>
      <c r="F16174" s="40" t="s">
        <v>11404</v>
      </c>
      <c r="G16174" s="40" t="s">
        <v>11404</v>
      </c>
      <c r="H16174" s="40" t="s">
        <v>11404</v>
      </c>
    </row>
    <row r="16175">
      <c r="A16175" s="39"/>
      <c r="E16175" s="40" t="s">
        <v>11404</v>
      </c>
      <c r="F16175" s="40" t="s">
        <v>11404</v>
      </c>
      <c r="G16175" s="40" t="s">
        <v>11404</v>
      </c>
      <c r="H16175" s="40" t="s">
        <v>11404</v>
      </c>
    </row>
    <row r="16176">
      <c r="A16176" s="39"/>
      <c r="E16176" s="40" t="s">
        <v>11404</v>
      </c>
      <c r="F16176" s="40" t="s">
        <v>11404</v>
      </c>
      <c r="G16176" s="40" t="s">
        <v>11404</v>
      </c>
      <c r="H16176" s="40" t="s">
        <v>11404</v>
      </c>
    </row>
    <row r="16177">
      <c r="A16177" s="39"/>
      <c r="E16177" s="40" t="s">
        <v>11404</v>
      </c>
      <c r="F16177" s="40" t="s">
        <v>11404</v>
      </c>
      <c r="G16177" s="40" t="s">
        <v>11404</v>
      </c>
      <c r="H16177" s="40" t="s">
        <v>11404</v>
      </c>
    </row>
    <row r="16178">
      <c r="A16178" s="39"/>
      <c r="E16178" s="40" t="s">
        <v>11404</v>
      </c>
      <c r="F16178" s="40" t="s">
        <v>11404</v>
      </c>
      <c r="G16178" s="40" t="s">
        <v>11404</v>
      </c>
      <c r="H16178" s="40" t="s">
        <v>11404</v>
      </c>
    </row>
    <row r="16179">
      <c r="A16179" s="39"/>
      <c r="E16179" s="40" t="s">
        <v>11404</v>
      </c>
      <c r="F16179" s="40" t="s">
        <v>11404</v>
      </c>
      <c r="G16179" s="40" t="s">
        <v>11404</v>
      </c>
      <c r="H16179" s="40" t="s">
        <v>11404</v>
      </c>
    </row>
    <row r="16180">
      <c r="A16180" s="39"/>
      <c r="E16180" s="40" t="s">
        <v>11404</v>
      </c>
      <c r="F16180" s="40" t="s">
        <v>11404</v>
      </c>
      <c r="G16180" s="40" t="s">
        <v>11404</v>
      </c>
      <c r="H16180" s="40" t="s">
        <v>11404</v>
      </c>
    </row>
    <row r="16181">
      <c r="A16181" s="39"/>
      <c r="E16181" s="40" t="s">
        <v>11404</v>
      </c>
      <c r="F16181" s="40" t="s">
        <v>11404</v>
      </c>
      <c r="G16181" s="40" t="s">
        <v>11404</v>
      </c>
      <c r="H16181" s="40" t="s">
        <v>11404</v>
      </c>
    </row>
    <row r="16182">
      <c r="A16182" s="39"/>
      <c r="E16182" s="40" t="s">
        <v>11404</v>
      </c>
      <c r="F16182" s="40" t="s">
        <v>11404</v>
      </c>
      <c r="G16182" s="40" t="s">
        <v>11404</v>
      </c>
      <c r="H16182" s="40" t="s">
        <v>11404</v>
      </c>
    </row>
    <row r="16183">
      <c r="A16183" s="39"/>
      <c r="E16183" s="40" t="s">
        <v>11404</v>
      </c>
      <c r="F16183" s="40" t="s">
        <v>11404</v>
      </c>
      <c r="G16183" s="40" t="s">
        <v>11404</v>
      </c>
      <c r="H16183" s="40" t="s">
        <v>11404</v>
      </c>
    </row>
    <row r="16184">
      <c r="A16184" s="39"/>
      <c r="E16184" s="40" t="s">
        <v>11404</v>
      </c>
      <c r="F16184" s="40" t="s">
        <v>11404</v>
      </c>
      <c r="G16184" s="40" t="s">
        <v>11404</v>
      </c>
      <c r="H16184" s="40" t="s">
        <v>11404</v>
      </c>
    </row>
    <row r="16185">
      <c r="A16185" s="39"/>
      <c r="E16185" s="40" t="s">
        <v>11404</v>
      </c>
      <c r="F16185" s="40" t="s">
        <v>11404</v>
      </c>
      <c r="G16185" s="40" t="s">
        <v>11404</v>
      </c>
      <c r="H16185" s="40" t="s">
        <v>11404</v>
      </c>
    </row>
    <row r="16186">
      <c r="A16186" s="39"/>
      <c r="E16186" s="40" t="s">
        <v>11404</v>
      </c>
      <c r="F16186" s="40" t="s">
        <v>11404</v>
      </c>
      <c r="G16186" s="40" t="s">
        <v>11404</v>
      </c>
      <c r="H16186" s="40" t="s">
        <v>11404</v>
      </c>
    </row>
    <row r="16187">
      <c r="A16187" s="39"/>
      <c r="E16187" s="40" t="s">
        <v>11404</v>
      </c>
      <c r="F16187" s="40" t="s">
        <v>11404</v>
      </c>
      <c r="G16187" s="40" t="s">
        <v>11404</v>
      </c>
      <c r="H16187" s="40" t="s">
        <v>11404</v>
      </c>
    </row>
    <row r="16188">
      <c r="A16188" s="39"/>
      <c r="E16188" s="40" t="s">
        <v>11404</v>
      </c>
      <c r="F16188" s="40" t="s">
        <v>11404</v>
      </c>
      <c r="G16188" s="40" t="s">
        <v>11404</v>
      </c>
      <c r="H16188" s="40" t="s">
        <v>11404</v>
      </c>
    </row>
    <row r="16189">
      <c r="A16189" s="39"/>
      <c r="E16189" s="40" t="s">
        <v>11404</v>
      </c>
      <c r="F16189" s="40" t="s">
        <v>11404</v>
      </c>
      <c r="G16189" s="40" t="s">
        <v>11404</v>
      </c>
      <c r="H16189" s="40" t="s">
        <v>11404</v>
      </c>
    </row>
    <row r="16190">
      <c r="A16190" s="39"/>
      <c r="E16190" s="40" t="s">
        <v>11404</v>
      </c>
      <c r="F16190" s="40" t="s">
        <v>11404</v>
      </c>
      <c r="G16190" s="40" t="s">
        <v>11404</v>
      </c>
      <c r="H16190" s="40" t="s">
        <v>11404</v>
      </c>
    </row>
    <row r="16191">
      <c r="A16191" s="39"/>
      <c r="E16191" s="40" t="s">
        <v>11404</v>
      </c>
      <c r="F16191" s="40" t="s">
        <v>11404</v>
      </c>
      <c r="G16191" s="40" t="s">
        <v>11404</v>
      </c>
      <c r="H16191" s="40" t="s">
        <v>11404</v>
      </c>
    </row>
    <row r="16192">
      <c r="A16192" s="39"/>
      <c r="E16192" s="40" t="s">
        <v>11404</v>
      </c>
      <c r="F16192" s="40" t="s">
        <v>11404</v>
      </c>
      <c r="G16192" s="40" t="s">
        <v>11404</v>
      </c>
      <c r="H16192" s="40" t="s">
        <v>11404</v>
      </c>
    </row>
    <row r="16193">
      <c r="A16193" s="39"/>
      <c r="E16193" s="40" t="s">
        <v>11404</v>
      </c>
      <c r="F16193" s="40" t="s">
        <v>11404</v>
      </c>
      <c r="G16193" s="40" t="s">
        <v>11404</v>
      </c>
      <c r="H16193" s="40" t="s">
        <v>11404</v>
      </c>
    </row>
    <row r="16194">
      <c r="A16194" s="39"/>
      <c r="E16194" s="40" t="s">
        <v>11404</v>
      </c>
      <c r="F16194" s="40" t="s">
        <v>11404</v>
      </c>
      <c r="G16194" s="40" t="s">
        <v>11404</v>
      </c>
      <c r="H16194" s="40" t="s">
        <v>11404</v>
      </c>
    </row>
    <row r="16195">
      <c r="A16195" s="39"/>
      <c r="E16195" s="40" t="s">
        <v>11404</v>
      </c>
      <c r="F16195" s="40" t="s">
        <v>11404</v>
      </c>
      <c r="G16195" s="40" t="s">
        <v>11404</v>
      </c>
      <c r="H16195" s="40" t="s">
        <v>11404</v>
      </c>
    </row>
    <row r="16196">
      <c r="A16196" s="39"/>
      <c r="E16196" s="40" t="s">
        <v>11404</v>
      </c>
      <c r="F16196" s="40" t="s">
        <v>11404</v>
      </c>
      <c r="G16196" s="40" t="s">
        <v>11404</v>
      </c>
      <c r="H16196" s="40" t="s">
        <v>11404</v>
      </c>
    </row>
    <row r="16197">
      <c r="A16197" s="39"/>
      <c r="E16197" s="40" t="s">
        <v>11404</v>
      </c>
      <c r="F16197" s="40" t="s">
        <v>11404</v>
      </c>
      <c r="G16197" s="40" t="s">
        <v>11404</v>
      </c>
      <c r="H16197" s="40" t="s">
        <v>11404</v>
      </c>
    </row>
    <row r="16198">
      <c r="A16198" s="39"/>
      <c r="E16198" s="40" t="s">
        <v>11404</v>
      </c>
      <c r="F16198" s="40" t="s">
        <v>11404</v>
      </c>
      <c r="G16198" s="40" t="s">
        <v>11404</v>
      </c>
      <c r="H16198" s="40" t="s">
        <v>11404</v>
      </c>
    </row>
    <row r="16199">
      <c r="A16199" s="39"/>
      <c r="E16199" s="40" t="s">
        <v>11404</v>
      </c>
      <c r="F16199" s="40" t="s">
        <v>11404</v>
      </c>
      <c r="G16199" s="40" t="s">
        <v>11404</v>
      </c>
      <c r="H16199" s="40" t="s">
        <v>11404</v>
      </c>
    </row>
    <row r="16200">
      <c r="A16200" s="39"/>
      <c r="E16200" s="40" t="s">
        <v>11404</v>
      </c>
      <c r="F16200" s="40" t="s">
        <v>11404</v>
      </c>
      <c r="G16200" s="40" t="s">
        <v>11404</v>
      </c>
      <c r="H16200" s="40" t="s">
        <v>11404</v>
      </c>
    </row>
    <row r="16201">
      <c r="A16201" s="39"/>
      <c r="E16201" s="40" t="s">
        <v>11404</v>
      </c>
      <c r="F16201" s="40" t="s">
        <v>11404</v>
      </c>
      <c r="G16201" s="40" t="s">
        <v>11404</v>
      </c>
      <c r="H16201" s="40" t="s">
        <v>11404</v>
      </c>
    </row>
    <row r="16202">
      <c r="A16202" s="39"/>
      <c r="E16202" s="40" t="s">
        <v>11404</v>
      </c>
      <c r="F16202" s="40" t="s">
        <v>11404</v>
      </c>
      <c r="G16202" s="40" t="s">
        <v>11404</v>
      </c>
      <c r="H16202" s="40" t="s">
        <v>11404</v>
      </c>
    </row>
    <row r="16203">
      <c r="A16203" s="39"/>
      <c r="E16203" s="40" t="s">
        <v>11404</v>
      </c>
      <c r="F16203" s="40" t="s">
        <v>11404</v>
      </c>
      <c r="G16203" s="40" t="s">
        <v>11404</v>
      </c>
      <c r="H16203" s="40" t="s">
        <v>11404</v>
      </c>
    </row>
    <row r="16204">
      <c r="A16204" s="39"/>
      <c r="E16204" s="40" t="s">
        <v>11404</v>
      </c>
      <c r="F16204" s="40" t="s">
        <v>11404</v>
      </c>
      <c r="G16204" s="40" t="s">
        <v>11404</v>
      </c>
      <c r="H16204" s="40" t="s">
        <v>11404</v>
      </c>
    </row>
    <row r="16205">
      <c r="A16205" s="39"/>
      <c r="E16205" s="40" t="s">
        <v>11404</v>
      </c>
      <c r="F16205" s="40" t="s">
        <v>11404</v>
      </c>
      <c r="G16205" s="40" t="s">
        <v>11404</v>
      </c>
      <c r="H16205" s="40" t="s">
        <v>11404</v>
      </c>
    </row>
    <row r="16206">
      <c r="A16206" s="39"/>
      <c r="E16206" s="40" t="s">
        <v>11404</v>
      </c>
      <c r="F16206" s="40" t="s">
        <v>11404</v>
      </c>
      <c r="G16206" s="40" t="s">
        <v>11404</v>
      </c>
      <c r="H16206" s="40" t="s">
        <v>11404</v>
      </c>
    </row>
    <row r="16207">
      <c r="A16207" s="39"/>
      <c r="E16207" s="40" t="s">
        <v>11404</v>
      </c>
      <c r="F16207" s="40" t="s">
        <v>11404</v>
      </c>
      <c r="G16207" s="40" t="s">
        <v>11404</v>
      </c>
      <c r="H16207" s="40" t="s">
        <v>11404</v>
      </c>
    </row>
    <row r="16208">
      <c r="A16208" s="39"/>
      <c r="E16208" s="40" t="s">
        <v>11404</v>
      </c>
      <c r="F16208" s="40" t="s">
        <v>11404</v>
      </c>
      <c r="G16208" s="40" t="s">
        <v>11404</v>
      </c>
      <c r="H16208" s="40" t="s">
        <v>11404</v>
      </c>
    </row>
    <row r="16209">
      <c r="A16209" s="39"/>
      <c r="E16209" s="40" t="s">
        <v>11404</v>
      </c>
      <c r="F16209" s="40" t="s">
        <v>11404</v>
      </c>
      <c r="G16209" s="40" t="s">
        <v>11404</v>
      </c>
      <c r="H16209" s="40" t="s">
        <v>11404</v>
      </c>
    </row>
    <row r="16210">
      <c r="A16210" s="39"/>
      <c r="E16210" s="40" t="s">
        <v>11404</v>
      </c>
      <c r="F16210" s="40" t="s">
        <v>11404</v>
      </c>
      <c r="G16210" s="40" t="s">
        <v>11404</v>
      </c>
      <c r="H16210" s="40" t="s">
        <v>11404</v>
      </c>
    </row>
    <row r="16211">
      <c r="A16211" s="39"/>
      <c r="E16211" s="40" t="s">
        <v>11404</v>
      </c>
      <c r="F16211" s="40" t="s">
        <v>11404</v>
      </c>
      <c r="G16211" s="40" t="s">
        <v>11404</v>
      </c>
      <c r="H16211" s="40" t="s">
        <v>11404</v>
      </c>
    </row>
    <row r="16212">
      <c r="A16212" s="39"/>
      <c r="E16212" s="40" t="s">
        <v>11404</v>
      </c>
      <c r="F16212" s="40" t="s">
        <v>11404</v>
      </c>
      <c r="G16212" s="40" t="s">
        <v>11404</v>
      </c>
      <c r="H16212" s="40" t="s">
        <v>11404</v>
      </c>
    </row>
    <row r="16213">
      <c r="A16213" s="39"/>
      <c r="E16213" s="40" t="s">
        <v>11404</v>
      </c>
      <c r="F16213" s="40" t="s">
        <v>11404</v>
      </c>
      <c r="G16213" s="40" t="s">
        <v>11404</v>
      </c>
      <c r="H16213" s="40" t="s">
        <v>11404</v>
      </c>
    </row>
    <row r="16214">
      <c r="A16214" s="39"/>
      <c r="E16214" s="40" t="s">
        <v>11404</v>
      </c>
      <c r="F16214" s="40" t="s">
        <v>11404</v>
      </c>
      <c r="G16214" s="40" t="s">
        <v>11404</v>
      </c>
      <c r="H16214" s="40" t="s">
        <v>11404</v>
      </c>
    </row>
    <row r="16215">
      <c r="A16215" s="39"/>
      <c r="E16215" s="40" t="s">
        <v>11404</v>
      </c>
      <c r="F16215" s="40" t="s">
        <v>11404</v>
      </c>
      <c r="G16215" s="40" t="s">
        <v>11404</v>
      </c>
      <c r="H16215" s="40" t="s">
        <v>11404</v>
      </c>
    </row>
    <row r="16216">
      <c r="A16216" s="39"/>
      <c r="E16216" s="40" t="s">
        <v>11404</v>
      </c>
      <c r="F16216" s="40" t="s">
        <v>11404</v>
      </c>
      <c r="G16216" s="40" t="s">
        <v>11404</v>
      </c>
      <c r="H16216" s="40" t="s">
        <v>11404</v>
      </c>
    </row>
    <row r="16217">
      <c r="A16217" s="39"/>
      <c r="E16217" s="40" t="s">
        <v>11404</v>
      </c>
      <c r="F16217" s="40" t="s">
        <v>11404</v>
      </c>
      <c r="G16217" s="40" t="s">
        <v>11404</v>
      </c>
      <c r="H16217" s="40" t="s">
        <v>11404</v>
      </c>
    </row>
    <row r="16218">
      <c r="A16218" s="39"/>
      <c r="E16218" s="40" t="s">
        <v>11404</v>
      </c>
      <c r="F16218" s="40" t="s">
        <v>11404</v>
      </c>
      <c r="G16218" s="40" t="s">
        <v>11404</v>
      </c>
      <c r="H16218" s="40" t="s">
        <v>11404</v>
      </c>
    </row>
    <row r="16219">
      <c r="A16219" s="39"/>
      <c r="E16219" s="40" t="s">
        <v>11404</v>
      </c>
      <c r="F16219" s="40" t="s">
        <v>11404</v>
      </c>
      <c r="G16219" s="40" t="s">
        <v>11404</v>
      </c>
      <c r="H16219" s="40" t="s">
        <v>11404</v>
      </c>
    </row>
    <row r="16220">
      <c r="A16220" s="39"/>
      <c r="E16220" s="40" t="s">
        <v>11404</v>
      </c>
      <c r="F16220" s="40" t="s">
        <v>11404</v>
      </c>
      <c r="G16220" s="40" t="s">
        <v>11404</v>
      </c>
      <c r="H16220" s="40" t="s">
        <v>11404</v>
      </c>
    </row>
    <row r="16221">
      <c r="A16221" s="39"/>
      <c r="E16221" s="40" t="s">
        <v>11404</v>
      </c>
      <c r="F16221" s="40" t="s">
        <v>11404</v>
      </c>
      <c r="G16221" s="40" t="s">
        <v>11404</v>
      </c>
      <c r="H16221" s="40" t="s">
        <v>11404</v>
      </c>
    </row>
    <row r="16222">
      <c r="A16222" s="39"/>
      <c r="E16222" s="40" t="s">
        <v>11404</v>
      </c>
      <c r="F16222" s="40" t="s">
        <v>11404</v>
      </c>
      <c r="G16222" s="40" t="s">
        <v>11404</v>
      </c>
      <c r="H16222" s="40" t="s">
        <v>11404</v>
      </c>
    </row>
    <row r="16223">
      <c r="A16223" s="39"/>
      <c r="E16223" s="40" t="s">
        <v>11404</v>
      </c>
      <c r="F16223" s="40" t="s">
        <v>11404</v>
      </c>
      <c r="G16223" s="40" t="s">
        <v>11404</v>
      </c>
      <c r="H16223" s="40" t="s">
        <v>11404</v>
      </c>
    </row>
    <row r="16224">
      <c r="A16224" s="39"/>
      <c r="E16224" s="40" t="s">
        <v>11404</v>
      </c>
      <c r="F16224" s="40" t="s">
        <v>11404</v>
      </c>
      <c r="G16224" s="40" t="s">
        <v>11404</v>
      </c>
      <c r="H16224" s="40" t="s">
        <v>11404</v>
      </c>
    </row>
    <row r="16225">
      <c r="A16225" s="39"/>
      <c r="E16225" s="40" t="s">
        <v>11404</v>
      </c>
      <c r="F16225" s="40" t="s">
        <v>11404</v>
      </c>
      <c r="G16225" s="40" t="s">
        <v>11404</v>
      </c>
      <c r="H16225" s="40" t="s">
        <v>11404</v>
      </c>
    </row>
    <row r="16226">
      <c r="A16226" s="39"/>
      <c r="E16226" s="40" t="s">
        <v>11404</v>
      </c>
      <c r="F16226" s="40" t="s">
        <v>11404</v>
      </c>
      <c r="G16226" s="40" t="s">
        <v>11404</v>
      </c>
      <c r="H16226" s="40" t="s">
        <v>11404</v>
      </c>
    </row>
    <row r="16227">
      <c r="A16227" s="39"/>
      <c r="E16227" s="40" t="s">
        <v>11404</v>
      </c>
      <c r="F16227" s="40" t="s">
        <v>11404</v>
      </c>
      <c r="G16227" s="40" t="s">
        <v>11404</v>
      </c>
      <c r="H16227" s="40" t="s">
        <v>11404</v>
      </c>
    </row>
    <row r="16228">
      <c r="A16228" s="39"/>
      <c r="E16228" s="40" t="s">
        <v>11404</v>
      </c>
      <c r="F16228" s="40" t="s">
        <v>11404</v>
      </c>
      <c r="G16228" s="40" t="s">
        <v>11404</v>
      </c>
      <c r="H16228" s="40" t="s">
        <v>11404</v>
      </c>
    </row>
    <row r="16229">
      <c r="A16229" s="39"/>
      <c r="E16229" s="40" t="s">
        <v>11404</v>
      </c>
      <c r="F16229" s="40" t="s">
        <v>11404</v>
      </c>
      <c r="G16229" s="40" t="s">
        <v>11404</v>
      </c>
      <c r="H16229" s="40" t="s">
        <v>11404</v>
      </c>
    </row>
    <row r="16230">
      <c r="A16230" s="39"/>
      <c r="E16230" s="40" t="s">
        <v>11404</v>
      </c>
      <c r="F16230" s="40" t="s">
        <v>11404</v>
      </c>
      <c r="G16230" s="40" t="s">
        <v>11404</v>
      </c>
      <c r="H16230" s="40" t="s">
        <v>11404</v>
      </c>
    </row>
    <row r="16231">
      <c r="A16231" s="39"/>
      <c r="E16231" s="40" t="s">
        <v>11404</v>
      </c>
      <c r="F16231" s="40" t="s">
        <v>11404</v>
      </c>
      <c r="G16231" s="40" t="s">
        <v>11404</v>
      </c>
      <c r="H16231" s="40" t="s">
        <v>11404</v>
      </c>
    </row>
    <row r="16232">
      <c r="A16232" s="39"/>
      <c r="E16232" s="40" t="s">
        <v>11404</v>
      </c>
      <c r="F16232" s="40" t="s">
        <v>11404</v>
      </c>
      <c r="G16232" s="40" t="s">
        <v>11404</v>
      </c>
      <c r="H16232" s="40" t="s">
        <v>11404</v>
      </c>
    </row>
    <row r="16233">
      <c r="A16233" s="39"/>
      <c r="E16233" s="40" t="s">
        <v>11404</v>
      </c>
      <c r="F16233" s="40" t="s">
        <v>11404</v>
      </c>
      <c r="G16233" s="40" t="s">
        <v>11404</v>
      </c>
      <c r="H16233" s="40" t="s">
        <v>11404</v>
      </c>
    </row>
    <row r="16234">
      <c r="A16234" s="39"/>
      <c r="E16234" s="40" t="s">
        <v>11404</v>
      </c>
      <c r="F16234" s="40" t="s">
        <v>11404</v>
      </c>
      <c r="G16234" s="40" t="s">
        <v>11404</v>
      </c>
      <c r="H16234" s="40" t="s">
        <v>11404</v>
      </c>
    </row>
    <row r="16235">
      <c r="A16235" s="39"/>
      <c r="E16235" s="40" t="s">
        <v>11404</v>
      </c>
      <c r="F16235" s="40" t="s">
        <v>11404</v>
      </c>
      <c r="G16235" s="40" t="s">
        <v>11404</v>
      </c>
      <c r="H16235" s="40" t="s">
        <v>11404</v>
      </c>
    </row>
    <row r="16236">
      <c r="A16236" s="39"/>
      <c r="E16236" s="40" t="s">
        <v>11404</v>
      </c>
      <c r="F16236" s="40" t="s">
        <v>11404</v>
      </c>
      <c r="G16236" s="40" t="s">
        <v>11404</v>
      </c>
      <c r="H16236" s="40" t="s">
        <v>11404</v>
      </c>
    </row>
    <row r="16237">
      <c r="A16237" s="39"/>
      <c r="E16237" s="40" t="s">
        <v>11404</v>
      </c>
      <c r="F16237" s="40" t="s">
        <v>11404</v>
      </c>
      <c r="G16237" s="40" t="s">
        <v>11404</v>
      </c>
      <c r="H16237" s="40" t="s">
        <v>11404</v>
      </c>
    </row>
    <row r="16238">
      <c r="A16238" s="39"/>
      <c r="E16238" s="40" t="s">
        <v>11404</v>
      </c>
      <c r="F16238" s="40" t="s">
        <v>11404</v>
      </c>
      <c r="G16238" s="40" t="s">
        <v>11404</v>
      </c>
      <c r="H16238" s="40" t="s">
        <v>11404</v>
      </c>
    </row>
    <row r="16239">
      <c r="A16239" s="39"/>
      <c r="E16239" s="40" t="s">
        <v>11404</v>
      </c>
      <c r="F16239" s="40" t="s">
        <v>11404</v>
      </c>
      <c r="G16239" s="40" t="s">
        <v>11404</v>
      </c>
      <c r="H16239" s="40" t="s">
        <v>11404</v>
      </c>
    </row>
    <row r="16240">
      <c r="A16240" s="39"/>
      <c r="E16240" s="40" t="s">
        <v>11404</v>
      </c>
      <c r="F16240" s="40" t="s">
        <v>11404</v>
      </c>
      <c r="G16240" s="40" t="s">
        <v>11404</v>
      </c>
      <c r="H16240" s="40" t="s">
        <v>11404</v>
      </c>
    </row>
    <row r="16241">
      <c r="A16241" s="39"/>
      <c r="E16241" s="40" t="s">
        <v>11404</v>
      </c>
      <c r="F16241" s="40" t="s">
        <v>11404</v>
      </c>
      <c r="G16241" s="40" t="s">
        <v>11404</v>
      </c>
      <c r="H16241" s="40" t="s">
        <v>11404</v>
      </c>
    </row>
    <row r="16242">
      <c r="A16242" s="39"/>
      <c r="E16242" s="40" t="s">
        <v>11404</v>
      </c>
      <c r="F16242" s="40" t="s">
        <v>11404</v>
      </c>
      <c r="G16242" s="40" t="s">
        <v>11404</v>
      </c>
      <c r="H16242" s="40" t="s">
        <v>11404</v>
      </c>
    </row>
    <row r="16243">
      <c r="A16243" s="39"/>
      <c r="E16243" s="40" t="s">
        <v>11404</v>
      </c>
      <c r="F16243" s="40" t="s">
        <v>11404</v>
      </c>
      <c r="G16243" s="40" t="s">
        <v>11404</v>
      </c>
      <c r="H16243" s="40" t="s">
        <v>11404</v>
      </c>
    </row>
    <row r="16244">
      <c r="A16244" s="39"/>
      <c r="E16244" s="40" t="s">
        <v>11404</v>
      </c>
      <c r="F16244" s="40" t="s">
        <v>11404</v>
      </c>
      <c r="G16244" s="40" t="s">
        <v>11404</v>
      </c>
      <c r="H16244" s="40" t="s">
        <v>11404</v>
      </c>
    </row>
    <row r="16245">
      <c r="A16245" s="39"/>
      <c r="E16245" s="40" t="s">
        <v>11404</v>
      </c>
      <c r="F16245" s="40" t="s">
        <v>11404</v>
      </c>
      <c r="G16245" s="40" t="s">
        <v>11404</v>
      </c>
      <c r="H16245" s="40" t="s">
        <v>11404</v>
      </c>
    </row>
    <row r="16246">
      <c r="A16246" s="39"/>
      <c r="E16246" s="40" t="s">
        <v>11404</v>
      </c>
      <c r="F16246" s="40" t="s">
        <v>11404</v>
      </c>
      <c r="G16246" s="40" t="s">
        <v>11404</v>
      </c>
      <c r="H16246" s="40" t="s">
        <v>11404</v>
      </c>
    </row>
    <row r="16247">
      <c r="A16247" s="39"/>
      <c r="E16247" s="40" t="s">
        <v>11404</v>
      </c>
      <c r="F16247" s="40" t="s">
        <v>11404</v>
      </c>
      <c r="G16247" s="40" t="s">
        <v>11404</v>
      </c>
      <c r="H16247" s="40" t="s">
        <v>11404</v>
      </c>
    </row>
    <row r="16248">
      <c r="A16248" s="39"/>
      <c r="E16248" s="40" t="s">
        <v>11404</v>
      </c>
      <c r="F16248" s="40" t="s">
        <v>11404</v>
      </c>
      <c r="G16248" s="40" t="s">
        <v>11404</v>
      </c>
      <c r="H16248" s="40" t="s">
        <v>11404</v>
      </c>
    </row>
    <row r="16249">
      <c r="A16249" s="39"/>
      <c r="E16249" s="40" t="s">
        <v>11404</v>
      </c>
      <c r="F16249" s="40" t="s">
        <v>11404</v>
      </c>
      <c r="G16249" s="40" t="s">
        <v>11404</v>
      </c>
      <c r="H16249" s="40" t="s">
        <v>11404</v>
      </c>
    </row>
    <row r="16250">
      <c r="A16250" s="39"/>
      <c r="E16250" s="40" t="s">
        <v>11404</v>
      </c>
      <c r="F16250" s="40" t="s">
        <v>11404</v>
      </c>
      <c r="G16250" s="40" t="s">
        <v>11404</v>
      </c>
      <c r="H16250" s="40" t="s">
        <v>11404</v>
      </c>
    </row>
    <row r="16251">
      <c r="A16251" s="39"/>
      <c r="E16251" s="40" t="s">
        <v>11404</v>
      </c>
      <c r="F16251" s="40" t="s">
        <v>11404</v>
      </c>
      <c r="G16251" s="40" t="s">
        <v>11404</v>
      </c>
      <c r="H16251" s="40" t="s">
        <v>11404</v>
      </c>
    </row>
    <row r="16252">
      <c r="A16252" s="39"/>
      <c r="E16252" s="40" t="s">
        <v>11404</v>
      </c>
      <c r="F16252" s="40" t="s">
        <v>11404</v>
      </c>
      <c r="G16252" s="40" t="s">
        <v>11404</v>
      </c>
      <c r="H16252" s="40" t="s">
        <v>11404</v>
      </c>
    </row>
    <row r="16253">
      <c r="A16253" s="39"/>
      <c r="E16253" s="40" t="s">
        <v>11404</v>
      </c>
      <c r="F16253" s="40" t="s">
        <v>11404</v>
      </c>
      <c r="G16253" s="40" t="s">
        <v>11404</v>
      </c>
      <c r="H16253" s="40" t="s">
        <v>11404</v>
      </c>
    </row>
    <row r="16254">
      <c r="A16254" s="39"/>
      <c r="E16254" s="40" t="s">
        <v>11404</v>
      </c>
      <c r="F16254" s="40" t="s">
        <v>11404</v>
      </c>
      <c r="G16254" s="40" t="s">
        <v>11404</v>
      </c>
      <c r="H16254" s="40" t="s">
        <v>11404</v>
      </c>
    </row>
    <row r="16255">
      <c r="A16255" s="39"/>
      <c r="E16255" s="40" t="s">
        <v>11404</v>
      </c>
      <c r="F16255" s="40" t="s">
        <v>11404</v>
      </c>
      <c r="G16255" s="40" t="s">
        <v>11404</v>
      </c>
      <c r="H16255" s="40" t="s">
        <v>11404</v>
      </c>
    </row>
    <row r="16256">
      <c r="A16256" s="39"/>
      <c r="E16256" s="40" t="s">
        <v>11404</v>
      </c>
      <c r="F16256" s="40" t="s">
        <v>11404</v>
      </c>
      <c r="G16256" s="40" t="s">
        <v>11404</v>
      </c>
      <c r="H16256" s="40" t="s">
        <v>11404</v>
      </c>
    </row>
    <row r="16257">
      <c r="A16257" s="39"/>
      <c r="E16257" s="40" t="s">
        <v>11404</v>
      </c>
      <c r="F16257" s="40" t="s">
        <v>11404</v>
      </c>
      <c r="G16257" s="40" t="s">
        <v>11404</v>
      </c>
      <c r="H16257" s="40" t="s">
        <v>11404</v>
      </c>
    </row>
    <row r="16258">
      <c r="A16258" s="39"/>
      <c r="E16258" s="40" t="s">
        <v>11404</v>
      </c>
      <c r="F16258" s="40" t="s">
        <v>11404</v>
      </c>
      <c r="G16258" s="40" t="s">
        <v>11404</v>
      </c>
      <c r="H16258" s="40" t="s">
        <v>11404</v>
      </c>
    </row>
    <row r="16259">
      <c r="A16259" s="39"/>
      <c r="E16259" s="40" t="s">
        <v>11404</v>
      </c>
      <c r="F16259" s="40" t="s">
        <v>11404</v>
      </c>
      <c r="G16259" s="40" t="s">
        <v>11404</v>
      </c>
      <c r="H16259" s="40" t="s">
        <v>11404</v>
      </c>
    </row>
    <row r="16260">
      <c r="A16260" s="39"/>
      <c r="E16260" s="40" t="s">
        <v>11404</v>
      </c>
      <c r="F16260" s="40" t="s">
        <v>11404</v>
      </c>
      <c r="G16260" s="40" t="s">
        <v>11404</v>
      </c>
      <c r="H16260" s="40" t="s">
        <v>11404</v>
      </c>
    </row>
    <row r="16261">
      <c r="A16261" s="39"/>
      <c r="E16261" s="40" t="s">
        <v>11404</v>
      </c>
      <c r="F16261" s="40" t="s">
        <v>11404</v>
      </c>
      <c r="G16261" s="40" t="s">
        <v>11404</v>
      </c>
      <c r="H16261" s="40" t="s">
        <v>11404</v>
      </c>
    </row>
    <row r="16262">
      <c r="A16262" s="39"/>
      <c r="E16262" s="40" t="s">
        <v>11404</v>
      </c>
      <c r="F16262" s="40" t="s">
        <v>11404</v>
      </c>
      <c r="G16262" s="40" t="s">
        <v>11404</v>
      </c>
      <c r="H16262" s="40" t="s">
        <v>11404</v>
      </c>
    </row>
    <row r="16263">
      <c r="A16263" s="39"/>
      <c r="E16263" s="40" t="s">
        <v>11404</v>
      </c>
      <c r="F16263" s="40" t="s">
        <v>11404</v>
      </c>
      <c r="G16263" s="40" t="s">
        <v>11404</v>
      </c>
      <c r="H16263" s="40" t="s">
        <v>11404</v>
      </c>
    </row>
    <row r="16264">
      <c r="A16264" s="39"/>
      <c r="E16264" s="40" t="s">
        <v>11404</v>
      </c>
      <c r="F16264" s="40" t="s">
        <v>11404</v>
      </c>
      <c r="G16264" s="40" t="s">
        <v>11404</v>
      </c>
      <c r="H16264" s="40" t="s">
        <v>11404</v>
      </c>
    </row>
    <row r="16265">
      <c r="A16265" s="39"/>
      <c r="E16265" s="40" t="s">
        <v>11404</v>
      </c>
      <c r="F16265" s="40" t="s">
        <v>11404</v>
      </c>
      <c r="G16265" s="40" t="s">
        <v>11404</v>
      </c>
      <c r="H16265" s="40" t="s">
        <v>11404</v>
      </c>
    </row>
    <row r="16266">
      <c r="A16266" s="39"/>
      <c r="E16266" s="40" t="s">
        <v>11404</v>
      </c>
      <c r="F16266" s="40" t="s">
        <v>11404</v>
      </c>
      <c r="G16266" s="40" t="s">
        <v>11404</v>
      </c>
      <c r="H16266" s="40" t="s">
        <v>11404</v>
      </c>
    </row>
    <row r="16267">
      <c r="A16267" s="39"/>
      <c r="E16267" s="40" t="s">
        <v>11404</v>
      </c>
      <c r="F16267" s="40" t="s">
        <v>11404</v>
      </c>
      <c r="G16267" s="40" t="s">
        <v>11404</v>
      </c>
      <c r="H16267" s="40" t="s">
        <v>11404</v>
      </c>
    </row>
    <row r="16268">
      <c r="A16268" s="39"/>
      <c r="E16268" s="40" t="s">
        <v>11404</v>
      </c>
      <c r="F16268" s="40" t="s">
        <v>11404</v>
      </c>
      <c r="G16268" s="40" t="s">
        <v>11404</v>
      </c>
      <c r="H16268" s="40" t="s">
        <v>11404</v>
      </c>
    </row>
    <row r="16269">
      <c r="A16269" s="39"/>
      <c r="E16269" s="40" t="s">
        <v>11404</v>
      </c>
      <c r="F16269" s="40" t="s">
        <v>11404</v>
      </c>
      <c r="G16269" s="40" t="s">
        <v>11404</v>
      </c>
      <c r="H16269" s="40" t="s">
        <v>11404</v>
      </c>
    </row>
    <row r="16270">
      <c r="A16270" s="39"/>
      <c r="E16270" s="40" t="s">
        <v>11404</v>
      </c>
      <c r="F16270" s="40" t="s">
        <v>11404</v>
      </c>
      <c r="G16270" s="40" t="s">
        <v>11404</v>
      </c>
      <c r="H16270" s="40" t="s">
        <v>11404</v>
      </c>
    </row>
    <row r="16271">
      <c r="A16271" s="39"/>
      <c r="E16271" s="40" t="s">
        <v>11404</v>
      </c>
      <c r="F16271" s="40" t="s">
        <v>11404</v>
      </c>
      <c r="G16271" s="40" t="s">
        <v>11404</v>
      </c>
      <c r="H16271" s="40" t="s">
        <v>11404</v>
      </c>
    </row>
    <row r="16272">
      <c r="A16272" s="39"/>
      <c r="E16272" s="40" t="s">
        <v>11404</v>
      </c>
      <c r="F16272" s="40" t="s">
        <v>11404</v>
      </c>
      <c r="G16272" s="40" t="s">
        <v>11404</v>
      </c>
      <c r="H16272" s="40" t="s">
        <v>11404</v>
      </c>
    </row>
    <row r="16273">
      <c r="A16273" s="39"/>
      <c r="E16273" s="40" t="s">
        <v>11404</v>
      </c>
      <c r="F16273" s="40" t="s">
        <v>11404</v>
      </c>
      <c r="G16273" s="40" t="s">
        <v>11404</v>
      </c>
      <c r="H16273" s="40" t="s">
        <v>11404</v>
      </c>
    </row>
    <row r="16274">
      <c r="A16274" s="39"/>
      <c r="E16274" s="40" t="s">
        <v>11404</v>
      </c>
      <c r="F16274" s="40" t="s">
        <v>11404</v>
      </c>
      <c r="G16274" s="40" t="s">
        <v>11404</v>
      </c>
      <c r="H16274" s="40" t="s">
        <v>11404</v>
      </c>
    </row>
    <row r="16275">
      <c r="A16275" s="39"/>
      <c r="E16275" s="40" t="s">
        <v>11404</v>
      </c>
      <c r="F16275" s="40" t="s">
        <v>11404</v>
      </c>
      <c r="G16275" s="40" t="s">
        <v>11404</v>
      </c>
      <c r="H16275" s="40" t="s">
        <v>11404</v>
      </c>
    </row>
    <row r="16276">
      <c r="A16276" s="39"/>
      <c r="E16276" s="40" t="s">
        <v>11404</v>
      </c>
      <c r="F16276" s="40" t="s">
        <v>11404</v>
      </c>
      <c r="G16276" s="40" t="s">
        <v>11404</v>
      </c>
      <c r="H16276" s="40" t="s">
        <v>11404</v>
      </c>
    </row>
    <row r="16277">
      <c r="A16277" s="39"/>
      <c r="E16277" s="40" t="s">
        <v>11404</v>
      </c>
      <c r="F16277" s="40" t="s">
        <v>11404</v>
      </c>
      <c r="G16277" s="40" t="s">
        <v>11404</v>
      </c>
      <c r="H16277" s="40" t="s">
        <v>11404</v>
      </c>
    </row>
    <row r="16278">
      <c r="A16278" s="39"/>
      <c r="E16278" s="40" t="s">
        <v>11404</v>
      </c>
      <c r="F16278" s="40" t="s">
        <v>11404</v>
      </c>
      <c r="G16278" s="40" t="s">
        <v>11404</v>
      </c>
      <c r="H16278" s="40" t="s">
        <v>11404</v>
      </c>
    </row>
    <row r="16279">
      <c r="A16279" s="39"/>
      <c r="E16279" s="40" t="s">
        <v>11404</v>
      </c>
      <c r="F16279" s="40" t="s">
        <v>11404</v>
      </c>
      <c r="G16279" s="40" t="s">
        <v>11404</v>
      </c>
      <c r="H16279" s="40" t="s">
        <v>11404</v>
      </c>
    </row>
    <row r="16280">
      <c r="A16280" s="39"/>
      <c r="E16280" s="40" t="s">
        <v>11404</v>
      </c>
      <c r="F16280" s="40" t="s">
        <v>11404</v>
      </c>
      <c r="G16280" s="40" t="s">
        <v>11404</v>
      </c>
      <c r="H16280" s="40" t="s">
        <v>11404</v>
      </c>
    </row>
    <row r="16281">
      <c r="A16281" s="39"/>
      <c r="E16281" s="40" t="s">
        <v>11404</v>
      </c>
      <c r="F16281" s="40" t="s">
        <v>11404</v>
      </c>
      <c r="G16281" s="40" t="s">
        <v>11404</v>
      </c>
      <c r="H16281" s="40" t="s">
        <v>11404</v>
      </c>
    </row>
    <row r="16282">
      <c r="A16282" s="39"/>
      <c r="E16282" s="40" t="s">
        <v>11404</v>
      </c>
      <c r="F16282" s="40" t="s">
        <v>11404</v>
      </c>
      <c r="G16282" s="40" t="s">
        <v>11404</v>
      </c>
      <c r="H16282" s="40" t="s">
        <v>11404</v>
      </c>
    </row>
    <row r="16283">
      <c r="A16283" s="39"/>
      <c r="E16283" s="40" t="s">
        <v>11404</v>
      </c>
      <c r="F16283" s="40" t="s">
        <v>11404</v>
      </c>
      <c r="G16283" s="40" t="s">
        <v>11404</v>
      </c>
      <c r="H16283" s="40" t="s">
        <v>11404</v>
      </c>
    </row>
    <row r="16284">
      <c r="A16284" s="39"/>
      <c r="E16284" s="40" t="s">
        <v>11404</v>
      </c>
      <c r="F16284" s="40" t="s">
        <v>11404</v>
      </c>
      <c r="G16284" s="40" t="s">
        <v>11404</v>
      </c>
      <c r="H16284" s="40" t="s">
        <v>11404</v>
      </c>
    </row>
    <row r="16285">
      <c r="A16285" s="39"/>
      <c r="E16285" s="40" t="s">
        <v>11404</v>
      </c>
      <c r="F16285" s="40" t="s">
        <v>11404</v>
      </c>
      <c r="G16285" s="40" t="s">
        <v>11404</v>
      </c>
      <c r="H16285" s="40" t="s">
        <v>11404</v>
      </c>
    </row>
    <row r="16286">
      <c r="A16286" s="39"/>
      <c r="E16286" s="40" t="s">
        <v>11404</v>
      </c>
      <c r="F16286" s="40" t="s">
        <v>11404</v>
      </c>
      <c r="G16286" s="40" t="s">
        <v>11404</v>
      </c>
      <c r="H16286" s="40" t="s">
        <v>11404</v>
      </c>
    </row>
    <row r="16287">
      <c r="A16287" s="39"/>
      <c r="E16287" s="40" t="s">
        <v>11404</v>
      </c>
      <c r="F16287" s="40" t="s">
        <v>11404</v>
      </c>
      <c r="G16287" s="40" t="s">
        <v>11404</v>
      </c>
      <c r="H16287" s="40" t="s">
        <v>11404</v>
      </c>
    </row>
    <row r="16288">
      <c r="A16288" s="39"/>
      <c r="E16288" s="40" t="s">
        <v>11404</v>
      </c>
      <c r="F16288" s="40" t="s">
        <v>11404</v>
      </c>
      <c r="G16288" s="40" t="s">
        <v>11404</v>
      </c>
      <c r="H16288" s="40" t="s">
        <v>11404</v>
      </c>
    </row>
    <row r="16289">
      <c r="A16289" s="39"/>
      <c r="E16289" s="40" t="s">
        <v>11404</v>
      </c>
      <c r="F16289" s="40" t="s">
        <v>11404</v>
      </c>
      <c r="G16289" s="40" t="s">
        <v>11404</v>
      </c>
      <c r="H16289" s="40" t="s">
        <v>11404</v>
      </c>
    </row>
    <row r="16290">
      <c r="A16290" s="39"/>
      <c r="E16290" s="40" t="s">
        <v>11404</v>
      </c>
      <c r="F16290" s="40" t="s">
        <v>11404</v>
      </c>
      <c r="G16290" s="40" t="s">
        <v>11404</v>
      </c>
      <c r="H16290" s="40" t="s">
        <v>11404</v>
      </c>
    </row>
    <row r="16291">
      <c r="A16291" s="39"/>
      <c r="E16291" s="40" t="s">
        <v>11404</v>
      </c>
      <c r="F16291" s="40" t="s">
        <v>11404</v>
      </c>
      <c r="G16291" s="40" t="s">
        <v>11404</v>
      </c>
      <c r="H16291" s="40" t="s">
        <v>11404</v>
      </c>
    </row>
    <row r="16292">
      <c r="A16292" s="39"/>
      <c r="E16292" s="40" t="s">
        <v>11404</v>
      </c>
      <c r="F16292" s="40" t="s">
        <v>11404</v>
      </c>
      <c r="G16292" s="40" t="s">
        <v>11404</v>
      </c>
      <c r="H16292" s="40" t="s">
        <v>11404</v>
      </c>
    </row>
    <row r="16293">
      <c r="A16293" s="39"/>
      <c r="E16293" s="40" t="s">
        <v>11404</v>
      </c>
      <c r="F16293" s="40" t="s">
        <v>11404</v>
      </c>
      <c r="G16293" s="40" t="s">
        <v>11404</v>
      </c>
      <c r="H16293" s="40" t="s">
        <v>11404</v>
      </c>
    </row>
    <row r="16294">
      <c r="A16294" s="39"/>
      <c r="E16294" s="40" t="s">
        <v>11404</v>
      </c>
      <c r="F16294" s="40" t="s">
        <v>11404</v>
      </c>
      <c r="G16294" s="40" t="s">
        <v>11404</v>
      </c>
      <c r="H16294" s="40" t="s">
        <v>11404</v>
      </c>
    </row>
    <row r="16295">
      <c r="A16295" s="39"/>
      <c r="E16295" s="40" t="s">
        <v>11404</v>
      </c>
      <c r="F16295" s="40" t="s">
        <v>11404</v>
      </c>
      <c r="G16295" s="40" t="s">
        <v>11404</v>
      </c>
      <c r="H16295" s="40" t="s">
        <v>11404</v>
      </c>
    </row>
    <row r="16296">
      <c r="A16296" s="39"/>
      <c r="E16296" s="40" t="s">
        <v>11404</v>
      </c>
      <c r="F16296" s="40" t="s">
        <v>11404</v>
      </c>
      <c r="G16296" s="40" t="s">
        <v>11404</v>
      </c>
      <c r="H16296" s="40" t="s">
        <v>11404</v>
      </c>
    </row>
    <row r="16297">
      <c r="A16297" s="39"/>
      <c r="E16297" s="40" t="s">
        <v>11404</v>
      </c>
      <c r="F16297" s="40" t="s">
        <v>11404</v>
      </c>
      <c r="G16297" s="40" t="s">
        <v>11404</v>
      </c>
      <c r="H16297" s="40" t="s">
        <v>11404</v>
      </c>
    </row>
    <row r="16298">
      <c r="A16298" s="39"/>
      <c r="E16298" s="40" t="s">
        <v>11404</v>
      </c>
      <c r="F16298" s="40" t="s">
        <v>11404</v>
      </c>
      <c r="G16298" s="40" t="s">
        <v>11404</v>
      </c>
      <c r="H16298" s="40" t="s">
        <v>11404</v>
      </c>
    </row>
    <row r="16299">
      <c r="A16299" s="39"/>
      <c r="E16299" s="40" t="s">
        <v>11404</v>
      </c>
      <c r="F16299" s="40" t="s">
        <v>11404</v>
      </c>
      <c r="G16299" s="40" t="s">
        <v>11404</v>
      </c>
      <c r="H16299" s="40" t="s">
        <v>11404</v>
      </c>
    </row>
    <row r="16300">
      <c r="A16300" s="39"/>
      <c r="E16300" s="40" t="s">
        <v>11404</v>
      </c>
      <c r="F16300" s="40" t="s">
        <v>11404</v>
      </c>
      <c r="G16300" s="40" t="s">
        <v>11404</v>
      </c>
      <c r="H16300" s="40" t="s">
        <v>11404</v>
      </c>
    </row>
    <row r="16301">
      <c r="A16301" s="39"/>
      <c r="E16301" s="40" t="s">
        <v>11404</v>
      </c>
      <c r="F16301" s="40" t="s">
        <v>11404</v>
      </c>
      <c r="G16301" s="40" t="s">
        <v>11404</v>
      </c>
      <c r="H16301" s="40" t="s">
        <v>11404</v>
      </c>
    </row>
    <row r="16302">
      <c r="A16302" s="39"/>
      <c r="E16302" s="40" t="s">
        <v>11404</v>
      </c>
      <c r="F16302" s="40" t="s">
        <v>11404</v>
      </c>
      <c r="G16302" s="40" t="s">
        <v>11404</v>
      </c>
      <c r="H16302" s="40" t="s">
        <v>11404</v>
      </c>
    </row>
    <row r="16303">
      <c r="A16303" s="39"/>
      <c r="E16303" s="40" t="s">
        <v>11404</v>
      </c>
      <c r="F16303" s="40" t="s">
        <v>11404</v>
      </c>
      <c r="G16303" s="40" t="s">
        <v>11404</v>
      </c>
      <c r="H16303" s="40" t="s">
        <v>11404</v>
      </c>
    </row>
    <row r="16304">
      <c r="A16304" s="39"/>
      <c r="E16304" s="40" t="s">
        <v>11404</v>
      </c>
      <c r="F16304" s="40" t="s">
        <v>11404</v>
      </c>
      <c r="G16304" s="40" t="s">
        <v>11404</v>
      </c>
      <c r="H16304" s="40" t="s">
        <v>11404</v>
      </c>
    </row>
    <row r="16305">
      <c r="A16305" s="39"/>
      <c r="E16305" s="40" t="s">
        <v>11404</v>
      </c>
      <c r="F16305" s="40" t="s">
        <v>11404</v>
      </c>
      <c r="G16305" s="40" t="s">
        <v>11404</v>
      </c>
      <c r="H16305" s="40" t="s">
        <v>11404</v>
      </c>
    </row>
    <row r="16306">
      <c r="A16306" s="39"/>
      <c r="E16306" s="40" t="s">
        <v>11404</v>
      </c>
      <c r="F16306" s="40" t="s">
        <v>11404</v>
      </c>
      <c r="G16306" s="40" t="s">
        <v>11404</v>
      </c>
      <c r="H16306" s="40" t="s">
        <v>11404</v>
      </c>
    </row>
    <row r="16307">
      <c r="A16307" s="39"/>
      <c r="E16307" s="40" t="s">
        <v>11404</v>
      </c>
      <c r="F16307" s="40" t="s">
        <v>11404</v>
      </c>
      <c r="G16307" s="40" t="s">
        <v>11404</v>
      </c>
      <c r="H16307" s="40" t="s">
        <v>11404</v>
      </c>
    </row>
    <row r="16308">
      <c r="A16308" s="39"/>
      <c r="E16308" s="40" t="s">
        <v>11404</v>
      </c>
      <c r="F16308" s="40" t="s">
        <v>11404</v>
      </c>
      <c r="G16308" s="40" t="s">
        <v>11404</v>
      </c>
      <c r="H16308" s="40" t="s">
        <v>11404</v>
      </c>
    </row>
    <row r="16309">
      <c r="A16309" s="39"/>
      <c r="E16309" s="40" t="s">
        <v>11404</v>
      </c>
      <c r="F16309" s="40" t="s">
        <v>11404</v>
      </c>
      <c r="G16309" s="40" t="s">
        <v>11404</v>
      </c>
      <c r="H16309" s="40" t="s">
        <v>11404</v>
      </c>
    </row>
    <row r="16310">
      <c r="A16310" s="39"/>
      <c r="E16310" s="40" t="s">
        <v>11404</v>
      </c>
      <c r="F16310" s="40" t="s">
        <v>11404</v>
      </c>
      <c r="G16310" s="40" t="s">
        <v>11404</v>
      </c>
      <c r="H16310" s="40" t="s">
        <v>11404</v>
      </c>
    </row>
    <row r="16311">
      <c r="A16311" s="39"/>
      <c r="E16311" s="40" t="s">
        <v>11404</v>
      </c>
      <c r="F16311" s="40" t="s">
        <v>11404</v>
      </c>
      <c r="G16311" s="40" t="s">
        <v>11404</v>
      </c>
      <c r="H16311" s="40" t="s">
        <v>11404</v>
      </c>
    </row>
    <row r="16312">
      <c r="A16312" s="39"/>
      <c r="E16312" s="40" t="s">
        <v>11404</v>
      </c>
      <c r="F16312" s="40" t="s">
        <v>11404</v>
      </c>
      <c r="G16312" s="40" t="s">
        <v>11404</v>
      </c>
      <c r="H16312" s="40" t="s">
        <v>11404</v>
      </c>
    </row>
    <row r="16313">
      <c r="A16313" s="39"/>
      <c r="E16313" s="40" t="s">
        <v>11404</v>
      </c>
      <c r="F16313" s="40" t="s">
        <v>11404</v>
      </c>
      <c r="G16313" s="40" t="s">
        <v>11404</v>
      </c>
      <c r="H16313" s="40" t="s">
        <v>11404</v>
      </c>
    </row>
    <row r="16314">
      <c r="A16314" s="39"/>
      <c r="E16314" s="40" t="s">
        <v>11404</v>
      </c>
      <c r="F16314" s="40" t="s">
        <v>11404</v>
      </c>
      <c r="G16314" s="40" t="s">
        <v>11404</v>
      </c>
      <c r="H16314" s="40" t="s">
        <v>11404</v>
      </c>
    </row>
    <row r="16315">
      <c r="A16315" s="39"/>
      <c r="E16315" s="40" t="s">
        <v>11404</v>
      </c>
      <c r="F16315" s="40" t="s">
        <v>11404</v>
      </c>
      <c r="G16315" s="40" t="s">
        <v>11404</v>
      </c>
      <c r="H16315" s="40" t="s">
        <v>11404</v>
      </c>
    </row>
    <row r="16316">
      <c r="A16316" s="39"/>
      <c r="E16316" s="40" t="s">
        <v>11404</v>
      </c>
      <c r="F16316" s="40" t="s">
        <v>11404</v>
      </c>
      <c r="G16316" s="40" t="s">
        <v>11404</v>
      </c>
      <c r="H16316" s="40" t="s">
        <v>11404</v>
      </c>
    </row>
    <row r="16317">
      <c r="A16317" s="39"/>
      <c r="E16317" s="40" t="s">
        <v>11404</v>
      </c>
      <c r="F16317" s="40" t="s">
        <v>11404</v>
      </c>
      <c r="G16317" s="40" t="s">
        <v>11404</v>
      </c>
      <c r="H16317" s="40" t="s">
        <v>11404</v>
      </c>
    </row>
    <row r="16318">
      <c r="A16318" s="39"/>
      <c r="E16318" s="40" t="s">
        <v>11404</v>
      </c>
      <c r="F16318" s="40" t="s">
        <v>11404</v>
      </c>
      <c r="G16318" s="40" t="s">
        <v>11404</v>
      </c>
      <c r="H16318" s="40" t="s">
        <v>11404</v>
      </c>
    </row>
    <row r="16319">
      <c r="A16319" s="39"/>
      <c r="E16319" s="40" t="s">
        <v>11404</v>
      </c>
      <c r="F16319" s="40" t="s">
        <v>11404</v>
      </c>
      <c r="G16319" s="40" t="s">
        <v>11404</v>
      </c>
      <c r="H16319" s="40" t="s">
        <v>11404</v>
      </c>
    </row>
    <row r="16320">
      <c r="A16320" s="39"/>
      <c r="E16320" s="40" t="s">
        <v>11404</v>
      </c>
      <c r="F16320" s="40" t="s">
        <v>11404</v>
      </c>
      <c r="G16320" s="40" t="s">
        <v>11404</v>
      </c>
      <c r="H16320" s="40" t="s">
        <v>11404</v>
      </c>
    </row>
    <row r="16321">
      <c r="A16321" s="39"/>
      <c r="E16321" s="40" t="s">
        <v>11404</v>
      </c>
      <c r="F16321" s="40" t="s">
        <v>11404</v>
      </c>
      <c r="G16321" s="40" t="s">
        <v>11404</v>
      </c>
      <c r="H16321" s="40" t="s">
        <v>11404</v>
      </c>
    </row>
    <row r="16322">
      <c r="A16322" s="39"/>
      <c r="E16322" s="40" t="s">
        <v>11404</v>
      </c>
      <c r="F16322" s="40" t="s">
        <v>11404</v>
      </c>
      <c r="G16322" s="40" t="s">
        <v>11404</v>
      </c>
      <c r="H16322" s="40" t="s">
        <v>11404</v>
      </c>
    </row>
    <row r="16323">
      <c r="A16323" s="39"/>
      <c r="E16323" s="40" t="s">
        <v>11404</v>
      </c>
      <c r="F16323" s="40" t="s">
        <v>11404</v>
      </c>
      <c r="G16323" s="40" t="s">
        <v>11404</v>
      </c>
      <c r="H16323" s="40" t="s">
        <v>11404</v>
      </c>
    </row>
    <row r="16324">
      <c r="A16324" s="39"/>
      <c r="E16324" s="40" t="s">
        <v>11404</v>
      </c>
      <c r="F16324" s="40" t="s">
        <v>11404</v>
      </c>
      <c r="G16324" s="40" t="s">
        <v>11404</v>
      </c>
      <c r="H16324" s="40" t="s">
        <v>11404</v>
      </c>
    </row>
    <row r="16325">
      <c r="A16325" s="39"/>
      <c r="E16325" s="40" t="s">
        <v>11404</v>
      </c>
      <c r="F16325" s="40" t="s">
        <v>11404</v>
      </c>
      <c r="G16325" s="40" t="s">
        <v>11404</v>
      </c>
      <c r="H16325" s="40" t="s">
        <v>11404</v>
      </c>
    </row>
    <row r="16326">
      <c r="A16326" s="39"/>
      <c r="E16326" s="40" t="s">
        <v>11404</v>
      </c>
      <c r="F16326" s="40" t="s">
        <v>11404</v>
      </c>
      <c r="G16326" s="40" t="s">
        <v>11404</v>
      </c>
      <c r="H16326" s="40" t="s">
        <v>11404</v>
      </c>
    </row>
    <row r="16327">
      <c r="A16327" s="39"/>
      <c r="E16327" s="40" t="s">
        <v>11404</v>
      </c>
      <c r="F16327" s="40" t="s">
        <v>11404</v>
      </c>
      <c r="G16327" s="40" t="s">
        <v>11404</v>
      </c>
      <c r="H16327" s="40" t="s">
        <v>11404</v>
      </c>
    </row>
    <row r="16328">
      <c r="A16328" s="39"/>
      <c r="E16328" s="40" t="s">
        <v>11404</v>
      </c>
      <c r="F16328" s="40" t="s">
        <v>11404</v>
      </c>
      <c r="G16328" s="40" t="s">
        <v>11404</v>
      </c>
      <c r="H16328" s="40" t="s">
        <v>11404</v>
      </c>
    </row>
    <row r="16329">
      <c r="A16329" s="39"/>
      <c r="E16329" s="40" t="s">
        <v>11404</v>
      </c>
      <c r="F16329" s="40" t="s">
        <v>11404</v>
      </c>
      <c r="G16329" s="40" t="s">
        <v>11404</v>
      </c>
      <c r="H16329" s="40" t="s">
        <v>11404</v>
      </c>
    </row>
    <row r="16330">
      <c r="A16330" s="39"/>
      <c r="E16330" s="40" t="s">
        <v>11404</v>
      </c>
      <c r="F16330" s="40" t="s">
        <v>11404</v>
      </c>
      <c r="G16330" s="40" t="s">
        <v>11404</v>
      </c>
      <c r="H16330" s="40" t="s">
        <v>11404</v>
      </c>
    </row>
    <row r="16331">
      <c r="A16331" s="39"/>
      <c r="E16331" s="40" t="s">
        <v>11404</v>
      </c>
      <c r="F16331" s="40" t="s">
        <v>11404</v>
      </c>
      <c r="G16331" s="40" t="s">
        <v>11404</v>
      </c>
      <c r="H16331" s="40" t="s">
        <v>11404</v>
      </c>
    </row>
    <row r="16332">
      <c r="A16332" s="39"/>
      <c r="E16332" s="40" t="s">
        <v>11404</v>
      </c>
      <c r="F16332" s="40" t="s">
        <v>11404</v>
      </c>
      <c r="G16332" s="40" t="s">
        <v>11404</v>
      </c>
      <c r="H16332" s="40" t="s">
        <v>11404</v>
      </c>
    </row>
    <row r="16333">
      <c r="A16333" s="39"/>
      <c r="E16333" s="40" t="s">
        <v>11404</v>
      </c>
      <c r="F16333" s="40" t="s">
        <v>11404</v>
      </c>
      <c r="G16333" s="40" t="s">
        <v>11404</v>
      </c>
      <c r="H16333" s="40" t="s">
        <v>11404</v>
      </c>
    </row>
    <row r="16334">
      <c r="A16334" s="39"/>
      <c r="E16334" s="40" t="s">
        <v>11404</v>
      </c>
      <c r="F16334" s="40" t="s">
        <v>11404</v>
      </c>
      <c r="G16334" s="40" t="s">
        <v>11404</v>
      </c>
      <c r="H16334" s="40" t="s">
        <v>11404</v>
      </c>
    </row>
    <row r="16335">
      <c r="A16335" s="39"/>
      <c r="E16335" s="40" t="s">
        <v>11404</v>
      </c>
      <c r="F16335" s="40" t="s">
        <v>11404</v>
      </c>
      <c r="G16335" s="40" t="s">
        <v>11404</v>
      </c>
      <c r="H16335" s="40" t="s">
        <v>11404</v>
      </c>
    </row>
    <row r="16336">
      <c r="A16336" s="39"/>
      <c r="E16336" s="40" t="s">
        <v>11404</v>
      </c>
      <c r="F16336" s="40" t="s">
        <v>11404</v>
      </c>
      <c r="G16336" s="40" t="s">
        <v>11404</v>
      </c>
      <c r="H16336" s="40" t="s">
        <v>11404</v>
      </c>
    </row>
    <row r="16337">
      <c r="A16337" s="39"/>
      <c r="E16337" s="40" t="s">
        <v>11404</v>
      </c>
      <c r="F16337" s="40" t="s">
        <v>11404</v>
      </c>
      <c r="G16337" s="40" t="s">
        <v>11404</v>
      </c>
      <c r="H16337" s="40" t="s">
        <v>11404</v>
      </c>
    </row>
    <row r="16338">
      <c r="A16338" s="39"/>
      <c r="E16338" s="40" t="s">
        <v>11404</v>
      </c>
      <c r="F16338" s="40" t="s">
        <v>11404</v>
      </c>
      <c r="G16338" s="40" t="s">
        <v>11404</v>
      </c>
      <c r="H16338" s="40" t="s">
        <v>11404</v>
      </c>
    </row>
    <row r="16339">
      <c r="A16339" s="39"/>
      <c r="E16339" s="40" t="s">
        <v>11404</v>
      </c>
      <c r="F16339" s="40" t="s">
        <v>11404</v>
      </c>
      <c r="G16339" s="40" t="s">
        <v>11404</v>
      </c>
      <c r="H16339" s="40" t="s">
        <v>11404</v>
      </c>
    </row>
    <row r="16340">
      <c r="A16340" s="39"/>
      <c r="E16340" s="40" t="s">
        <v>11404</v>
      </c>
      <c r="F16340" s="40" t="s">
        <v>11404</v>
      </c>
      <c r="G16340" s="40" t="s">
        <v>11404</v>
      </c>
      <c r="H16340" s="40" t="s">
        <v>11404</v>
      </c>
    </row>
    <row r="16341">
      <c r="A16341" s="39"/>
      <c r="E16341" s="40" t="s">
        <v>11404</v>
      </c>
      <c r="F16341" s="40" t="s">
        <v>11404</v>
      </c>
      <c r="G16341" s="40" t="s">
        <v>11404</v>
      </c>
      <c r="H16341" s="40" t="s">
        <v>11404</v>
      </c>
    </row>
    <row r="16342">
      <c r="A16342" s="39"/>
      <c r="E16342" s="40" t="s">
        <v>11404</v>
      </c>
      <c r="F16342" s="40" t="s">
        <v>11404</v>
      </c>
      <c r="G16342" s="40" t="s">
        <v>11404</v>
      </c>
      <c r="H16342" s="40" t="s">
        <v>11404</v>
      </c>
    </row>
    <row r="16343">
      <c r="A16343" s="39"/>
      <c r="E16343" s="40" t="s">
        <v>11404</v>
      </c>
      <c r="F16343" s="40" t="s">
        <v>11404</v>
      </c>
      <c r="G16343" s="40" t="s">
        <v>11404</v>
      </c>
      <c r="H16343" s="40" t="s">
        <v>11404</v>
      </c>
    </row>
    <row r="16344">
      <c r="A16344" s="39"/>
      <c r="E16344" s="40" t="s">
        <v>11404</v>
      </c>
      <c r="F16344" s="40" t="s">
        <v>11404</v>
      </c>
      <c r="G16344" s="40" t="s">
        <v>11404</v>
      </c>
      <c r="H16344" s="40" t="s">
        <v>11404</v>
      </c>
    </row>
    <row r="16345">
      <c r="A16345" s="39"/>
      <c r="E16345" s="40" t="s">
        <v>11404</v>
      </c>
      <c r="F16345" s="40" t="s">
        <v>11404</v>
      </c>
      <c r="G16345" s="40" t="s">
        <v>11404</v>
      </c>
      <c r="H16345" s="40" t="s">
        <v>11404</v>
      </c>
    </row>
    <row r="16346">
      <c r="A16346" s="39"/>
      <c r="E16346" s="40" t="s">
        <v>11404</v>
      </c>
      <c r="F16346" s="40" t="s">
        <v>11404</v>
      </c>
      <c r="G16346" s="40" t="s">
        <v>11404</v>
      </c>
      <c r="H16346" s="40" t="s">
        <v>11404</v>
      </c>
    </row>
    <row r="16347">
      <c r="A16347" s="39"/>
      <c r="E16347" s="40" t="s">
        <v>11404</v>
      </c>
      <c r="F16347" s="40" t="s">
        <v>11404</v>
      </c>
      <c r="G16347" s="40" t="s">
        <v>11404</v>
      </c>
      <c r="H16347" s="40" t="s">
        <v>11404</v>
      </c>
    </row>
    <row r="16348">
      <c r="A16348" s="39"/>
      <c r="E16348" s="40" t="s">
        <v>11404</v>
      </c>
      <c r="F16348" s="40" t="s">
        <v>11404</v>
      </c>
      <c r="G16348" s="40" t="s">
        <v>11404</v>
      </c>
      <c r="H16348" s="40" t="s">
        <v>11404</v>
      </c>
    </row>
    <row r="16349">
      <c r="A16349" s="39"/>
      <c r="E16349" s="40" t="s">
        <v>11404</v>
      </c>
      <c r="F16349" s="40" t="s">
        <v>11404</v>
      </c>
      <c r="G16349" s="40" t="s">
        <v>11404</v>
      </c>
      <c r="H16349" s="40" t="s">
        <v>11404</v>
      </c>
    </row>
    <row r="16350">
      <c r="A16350" s="39"/>
      <c r="E16350" s="40" t="s">
        <v>11404</v>
      </c>
      <c r="F16350" s="40" t="s">
        <v>11404</v>
      </c>
      <c r="G16350" s="40" t="s">
        <v>11404</v>
      </c>
      <c r="H16350" s="40" t="s">
        <v>11404</v>
      </c>
    </row>
    <row r="16351">
      <c r="A16351" s="39"/>
      <c r="E16351" s="40" t="s">
        <v>11404</v>
      </c>
      <c r="F16351" s="40" t="s">
        <v>11404</v>
      </c>
      <c r="G16351" s="40" t="s">
        <v>11404</v>
      </c>
      <c r="H16351" s="40" t="s">
        <v>11404</v>
      </c>
    </row>
    <row r="16352">
      <c r="A16352" s="39"/>
      <c r="E16352" s="40" t="s">
        <v>11404</v>
      </c>
      <c r="F16352" s="40" t="s">
        <v>11404</v>
      </c>
      <c r="G16352" s="40" t="s">
        <v>11404</v>
      </c>
      <c r="H16352" s="40" t="s">
        <v>11404</v>
      </c>
    </row>
    <row r="16353">
      <c r="A16353" s="39"/>
      <c r="E16353" s="40" t="s">
        <v>11404</v>
      </c>
      <c r="F16353" s="40" t="s">
        <v>11404</v>
      </c>
      <c r="G16353" s="40" t="s">
        <v>11404</v>
      </c>
      <c r="H16353" s="40" t="s">
        <v>11404</v>
      </c>
    </row>
    <row r="16354">
      <c r="A16354" s="39"/>
      <c r="E16354" s="40" t="s">
        <v>11404</v>
      </c>
      <c r="F16354" s="40" t="s">
        <v>11404</v>
      </c>
      <c r="G16354" s="40" t="s">
        <v>11404</v>
      </c>
      <c r="H16354" s="40" t="s">
        <v>11404</v>
      </c>
    </row>
    <row r="16355">
      <c r="A16355" s="39"/>
      <c r="E16355" s="40" t="s">
        <v>11404</v>
      </c>
      <c r="F16355" s="40" t="s">
        <v>11404</v>
      </c>
      <c r="G16355" s="40" t="s">
        <v>11404</v>
      </c>
      <c r="H16355" s="40" t="s">
        <v>11404</v>
      </c>
    </row>
    <row r="16356">
      <c r="A16356" s="39"/>
      <c r="E16356" s="40" t="s">
        <v>11404</v>
      </c>
      <c r="F16356" s="40" t="s">
        <v>11404</v>
      </c>
      <c r="G16356" s="40" t="s">
        <v>11404</v>
      </c>
      <c r="H16356" s="40" t="s">
        <v>11404</v>
      </c>
    </row>
    <row r="16357">
      <c r="A16357" s="39"/>
      <c r="E16357" s="40" t="s">
        <v>11404</v>
      </c>
      <c r="F16357" s="40" t="s">
        <v>11404</v>
      </c>
      <c r="G16357" s="40" t="s">
        <v>11404</v>
      </c>
      <c r="H16357" s="40" t="s">
        <v>11404</v>
      </c>
    </row>
    <row r="16358">
      <c r="A16358" s="39"/>
      <c r="E16358" s="40" t="s">
        <v>11404</v>
      </c>
      <c r="F16358" s="40" t="s">
        <v>11404</v>
      </c>
      <c r="G16358" s="40" t="s">
        <v>11404</v>
      </c>
      <c r="H16358" s="40" t="s">
        <v>11404</v>
      </c>
    </row>
    <row r="16359">
      <c r="A16359" s="39"/>
      <c r="E16359" s="40" t="s">
        <v>11404</v>
      </c>
      <c r="F16359" s="40" t="s">
        <v>11404</v>
      </c>
      <c r="G16359" s="40" t="s">
        <v>11404</v>
      </c>
      <c r="H16359" s="40" t="s">
        <v>11404</v>
      </c>
    </row>
    <row r="16360">
      <c r="A16360" s="39"/>
      <c r="E16360" s="40" t="s">
        <v>11404</v>
      </c>
      <c r="F16360" s="40" t="s">
        <v>11404</v>
      </c>
      <c r="G16360" s="40" t="s">
        <v>11404</v>
      </c>
      <c r="H16360" s="40" t="s">
        <v>11404</v>
      </c>
    </row>
    <row r="16361">
      <c r="A16361" s="39"/>
      <c r="E16361" s="40" t="s">
        <v>11404</v>
      </c>
      <c r="F16361" s="40" t="s">
        <v>11404</v>
      </c>
      <c r="G16361" s="40" t="s">
        <v>11404</v>
      </c>
      <c r="H16361" s="40" t="s">
        <v>11404</v>
      </c>
    </row>
    <row r="16362">
      <c r="A16362" s="39"/>
      <c r="E16362" s="40" t="s">
        <v>11404</v>
      </c>
      <c r="F16362" s="40" t="s">
        <v>11404</v>
      </c>
      <c r="G16362" s="40" t="s">
        <v>11404</v>
      </c>
      <c r="H16362" s="40" t="s">
        <v>11404</v>
      </c>
    </row>
    <row r="16363">
      <c r="A16363" s="39"/>
      <c r="E16363" s="40" t="s">
        <v>11404</v>
      </c>
      <c r="F16363" s="40" t="s">
        <v>11404</v>
      </c>
      <c r="G16363" s="40" t="s">
        <v>11404</v>
      </c>
      <c r="H16363" s="40" t="s">
        <v>11404</v>
      </c>
    </row>
    <row r="16364">
      <c r="A16364" s="39"/>
      <c r="E16364" s="40" t="s">
        <v>11404</v>
      </c>
      <c r="F16364" s="40" t="s">
        <v>11404</v>
      </c>
      <c r="G16364" s="40" t="s">
        <v>11404</v>
      </c>
      <c r="H16364" s="40" t="s">
        <v>11404</v>
      </c>
    </row>
    <row r="16365">
      <c r="A16365" s="39"/>
      <c r="E16365" s="40" t="s">
        <v>11404</v>
      </c>
      <c r="F16365" s="40" t="s">
        <v>11404</v>
      </c>
      <c r="G16365" s="40" t="s">
        <v>11404</v>
      </c>
      <c r="H16365" s="40" t="s">
        <v>11404</v>
      </c>
    </row>
    <row r="16366">
      <c r="A16366" s="39"/>
      <c r="E16366" s="40" t="s">
        <v>11404</v>
      </c>
      <c r="F16366" s="40" t="s">
        <v>11404</v>
      </c>
      <c r="G16366" s="40" t="s">
        <v>11404</v>
      </c>
      <c r="H16366" s="40" t="s">
        <v>11404</v>
      </c>
    </row>
    <row r="16367">
      <c r="A16367" s="39"/>
      <c r="E16367" s="40" t="s">
        <v>11404</v>
      </c>
      <c r="F16367" s="40" t="s">
        <v>11404</v>
      </c>
      <c r="G16367" s="40" t="s">
        <v>11404</v>
      </c>
      <c r="H16367" s="40" t="s">
        <v>11404</v>
      </c>
    </row>
    <row r="16368">
      <c r="A16368" s="39"/>
      <c r="E16368" s="40" t="s">
        <v>11404</v>
      </c>
      <c r="F16368" s="40" t="s">
        <v>11404</v>
      </c>
      <c r="G16368" s="40" t="s">
        <v>11404</v>
      </c>
      <c r="H16368" s="40" t="s">
        <v>11404</v>
      </c>
    </row>
    <row r="16369">
      <c r="A16369" s="39"/>
      <c r="E16369" s="40" t="s">
        <v>11404</v>
      </c>
      <c r="F16369" s="40" t="s">
        <v>11404</v>
      </c>
      <c r="G16369" s="40" t="s">
        <v>11404</v>
      </c>
      <c r="H16369" s="40" t="s">
        <v>11404</v>
      </c>
    </row>
    <row r="16370">
      <c r="A16370" s="39"/>
      <c r="E16370" s="40" t="s">
        <v>11404</v>
      </c>
      <c r="F16370" s="40" t="s">
        <v>11404</v>
      </c>
      <c r="G16370" s="40" t="s">
        <v>11404</v>
      </c>
      <c r="H16370" s="40" t="s">
        <v>11404</v>
      </c>
    </row>
    <row r="16371">
      <c r="A16371" s="39"/>
      <c r="E16371" s="40" t="s">
        <v>11404</v>
      </c>
      <c r="F16371" s="40" t="s">
        <v>11404</v>
      </c>
      <c r="G16371" s="40" t="s">
        <v>11404</v>
      </c>
      <c r="H16371" s="40" t="s">
        <v>11404</v>
      </c>
    </row>
    <row r="16372">
      <c r="A16372" s="39"/>
      <c r="E16372" s="40" t="s">
        <v>11404</v>
      </c>
      <c r="F16372" s="40" t="s">
        <v>11404</v>
      </c>
      <c r="G16372" s="40" t="s">
        <v>11404</v>
      </c>
      <c r="H16372" s="40" t="s">
        <v>11404</v>
      </c>
    </row>
    <row r="16373">
      <c r="A16373" s="39"/>
      <c r="E16373" s="40" t="s">
        <v>11404</v>
      </c>
      <c r="F16373" s="40" t="s">
        <v>11404</v>
      </c>
      <c r="G16373" s="40" t="s">
        <v>11404</v>
      </c>
      <c r="H16373" s="40" t="s">
        <v>11404</v>
      </c>
    </row>
    <row r="16374">
      <c r="A16374" s="39"/>
      <c r="E16374" s="40" t="s">
        <v>11404</v>
      </c>
      <c r="F16374" s="40" t="s">
        <v>11404</v>
      </c>
      <c r="G16374" s="40" t="s">
        <v>11404</v>
      </c>
      <c r="H16374" s="40" t="s">
        <v>11404</v>
      </c>
    </row>
    <row r="16375">
      <c r="A16375" s="39"/>
      <c r="E16375" s="40" t="s">
        <v>11404</v>
      </c>
      <c r="F16375" s="40" t="s">
        <v>11404</v>
      </c>
      <c r="G16375" s="40" t="s">
        <v>11404</v>
      </c>
      <c r="H16375" s="40" t="s">
        <v>11404</v>
      </c>
    </row>
    <row r="16376">
      <c r="A16376" s="39"/>
      <c r="E16376" s="40" t="s">
        <v>11404</v>
      </c>
      <c r="F16376" s="40" t="s">
        <v>11404</v>
      </c>
      <c r="G16376" s="40" t="s">
        <v>11404</v>
      </c>
      <c r="H16376" s="40" t="s">
        <v>11404</v>
      </c>
    </row>
    <row r="16377">
      <c r="A16377" s="39"/>
      <c r="E16377" s="40" t="s">
        <v>11404</v>
      </c>
      <c r="F16377" s="40" t="s">
        <v>11404</v>
      </c>
      <c r="G16377" s="40" t="s">
        <v>11404</v>
      </c>
      <c r="H16377" s="40" t="s">
        <v>11404</v>
      </c>
    </row>
    <row r="16378">
      <c r="A16378" s="39"/>
      <c r="E16378" s="40" t="s">
        <v>11404</v>
      </c>
      <c r="F16378" s="40" t="s">
        <v>11404</v>
      </c>
      <c r="G16378" s="40" t="s">
        <v>11404</v>
      </c>
      <c r="H16378" s="40" t="s">
        <v>11404</v>
      </c>
    </row>
    <row r="16379">
      <c r="A16379" s="39"/>
      <c r="E16379" s="40" t="s">
        <v>11404</v>
      </c>
      <c r="F16379" s="40" t="s">
        <v>11404</v>
      </c>
      <c r="G16379" s="40" t="s">
        <v>11404</v>
      </c>
      <c r="H16379" s="40" t="s">
        <v>11404</v>
      </c>
    </row>
    <row r="16380">
      <c r="A16380" s="39"/>
      <c r="E16380" s="40" t="s">
        <v>11404</v>
      </c>
      <c r="F16380" s="40" t="s">
        <v>11404</v>
      </c>
      <c r="G16380" s="40" t="s">
        <v>11404</v>
      </c>
      <c r="H16380" s="40" t="s">
        <v>11404</v>
      </c>
    </row>
    <row r="16381">
      <c r="A16381" s="39"/>
      <c r="E16381" s="40" t="s">
        <v>11404</v>
      </c>
      <c r="F16381" s="40" t="s">
        <v>11404</v>
      </c>
      <c r="G16381" s="40" t="s">
        <v>11404</v>
      </c>
      <c r="H16381" s="40" t="s">
        <v>11404</v>
      </c>
    </row>
    <row r="16382">
      <c r="A16382" s="39"/>
      <c r="E16382" s="40" t="s">
        <v>11404</v>
      </c>
      <c r="F16382" s="40" t="s">
        <v>11404</v>
      </c>
      <c r="G16382" s="40" t="s">
        <v>11404</v>
      </c>
      <c r="H16382" s="40" t="s">
        <v>11404</v>
      </c>
    </row>
    <row r="16383">
      <c r="A16383" s="39"/>
      <c r="E16383" s="40" t="s">
        <v>11404</v>
      </c>
      <c r="F16383" s="40" t="s">
        <v>11404</v>
      </c>
      <c r="G16383" s="40" t="s">
        <v>11404</v>
      </c>
      <c r="H16383" s="40" t="s">
        <v>11404</v>
      </c>
    </row>
    <row r="16384">
      <c r="A16384" s="39"/>
      <c r="E16384" s="40" t="s">
        <v>11404</v>
      </c>
      <c r="F16384" s="40" t="s">
        <v>11404</v>
      </c>
      <c r="G16384" s="40" t="s">
        <v>11404</v>
      </c>
      <c r="H16384" s="40" t="s">
        <v>11404</v>
      </c>
    </row>
    <row r="16385">
      <c r="A16385" s="39"/>
      <c r="E16385" s="40" t="s">
        <v>11404</v>
      </c>
      <c r="F16385" s="40" t="s">
        <v>11404</v>
      </c>
      <c r="G16385" s="40" t="s">
        <v>11404</v>
      </c>
      <c r="H16385" s="40" t="s">
        <v>11404</v>
      </c>
    </row>
    <row r="16386">
      <c r="A16386" s="39"/>
      <c r="E16386" s="40" t="s">
        <v>11404</v>
      </c>
      <c r="F16386" s="40" t="s">
        <v>11404</v>
      </c>
      <c r="G16386" s="40" t="s">
        <v>11404</v>
      </c>
      <c r="H16386" s="40" t="s">
        <v>11404</v>
      </c>
    </row>
    <row r="16387">
      <c r="A16387" s="39"/>
      <c r="E16387" s="40" t="s">
        <v>11404</v>
      </c>
      <c r="F16387" s="40" t="s">
        <v>11404</v>
      </c>
      <c r="G16387" s="40" t="s">
        <v>11404</v>
      </c>
      <c r="H16387" s="40" t="s">
        <v>11404</v>
      </c>
    </row>
    <row r="16388">
      <c r="A16388" s="39"/>
      <c r="E16388" s="40" t="s">
        <v>11404</v>
      </c>
      <c r="F16388" s="40" t="s">
        <v>11404</v>
      </c>
      <c r="G16388" s="40" t="s">
        <v>11404</v>
      </c>
      <c r="H16388" s="40" t="s">
        <v>11404</v>
      </c>
    </row>
    <row r="16389">
      <c r="A16389" s="39"/>
      <c r="E16389" s="40" t="s">
        <v>11404</v>
      </c>
      <c r="F16389" s="40" t="s">
        <v>11404</v>
      </c>
      <c r="G16389" s="40" t="s">
        <v>11404</v>
      </c>
      <c r="H16389" s="40" t="s">
        <v>11404</v>
      </c>
    </row>
    <row r="16390">
      <c r="A16390" s="39"/>
      <c r="E16390" s="40" t="s">
        <v>11404</v>
      </c>
      <c r="F16390" s="40" t="s">
        <v>11404</v>
      </c>
      <c r="G16390" s="40" t="s">
        <v>11404</v>
      </c>
      <c r="H16390" s="40" t="s">
        <v>11404</v>
      </c>
    </row>
    <row r="16391">
      <c r="A16391" s="39"/>
      <c r="E16391" s="40" t="s">
        <v>11404</v>
      </c>
      <c r="F16391" s="40" t="s">
        <v>11404</v>
      </c>
      <c r="G16391" s="40" t="s">
        <v>11404</v>
      </c>
      <c r="H16391" s="40" t="s">
        <v>11404</v>
      </c>
    </row>
    <row r="16392">
      <c r="A16392" s="39"/>
      <c r="E16392" s="40" t="s">
        <v>11404</v>
      </c>
      <c r="F16392" s="40" t="s">
        <v>11404</v>
      </c>
      <c r="G16392" s="40" t="s">
        <v>11404</v>
      </c>
      <c r="H16392" s="40" t="s">
        <v>11404</v>
      </c>
    </row>
    <row r="16393">
      <c r="A16393" s="39"/>
      <c r="E16393" s="40" t="s">
        <v>11404</v>
      </c>
      <c r="F16393" s="40" t="s">
        <v>11404</v>
      </c>
      <c r="G16393" s="40" t="s">
        <v>11404</v>
      </c>
      <c r="H16393" s="40" t="s">
        <v>11404</v>
      </c>
    </row>
    <row r="16394">
      <c r="A16394" s="39"/>
      <c r="E16394" s="40" t="s">
        <v>11404</v>
      </c>
      <c r="F16394" s="40" t="s">
        <v>11404</v>
      </c>
      <c r="G16394" s="40" t="s">
        <v>11404</v>
      </c>
      <c r="H16394" s="40" t="s">
        <v>11404</v>
      </c>
    </row>
    <row r="16395">
      <c r="A16395" s="39"/>
      <c r="E16395" s="40" t="s">
        <v>11404</v>
      </c>
      <c r="F16395" s="40" t="s">
        <v>11404</v>
      </c>
      <c r="G16395" s="40" t="s">
        <v>11404</v>
      </c>
      <c r="H16395" s="40" t="s">
        <v>11404</v>
      </c>
    </row>
    <row r="16396">
      <c r="A16396" s="39"/>
      <c r="E16396" s="40" t="s">
        <v>11404</v>
      </c>
      <c r="F16396" s="40" t="s">
        <v>11404</v>
      </c>
      <c r="G16396" s="40" t="s">
        <v>11404</v>
      </c>
      <c r="H16396" s="40" t="s">
        <v>11404</v>
      </c>
    </row>
    <row r="16397">
      <c r="A16397" s="39"/>
      <c r="E16397" s="40" t="s">
        <v>11404</v>
      </c>
      <c r="F16397" s="40" t="s">
        <v>11404</v>
      </c>
      <c r="G16397" s="40" t="s">
        <v>11404</v>
      </c>
      <c r="H16397" s="40" t="s">
        <v>11404</v>
      </c>
    </row>
    <row r="16398">
      <c r="A16398" s="39"/>
      <c r="E16398" s="40" t="s">
        <v>11404</v>
      </c>
      <c r="F16398" s="40" t="s">
        <v>11404</v>
      </c>
      <c r="G16398" s="40" t="s">
        <v>11404</v>
      </c>
      <c r="H16398" s="40" t="s">
        <v>11404</v>
      </c>
    </row>
    <row r="16399">
      <c r="A16399" s="39"/>
      <c r="E16399" s="40" t="s">
        <v>11404</v>
      </c>
      <c r="F16399" s="40" t="s">
        <v>11404</v>
      </c>
      <c r="G16399" s="40" t="s">
        <v>11404</v>
      </c>
      <c r="H16399" s="40" t="s">
        <v>11404</v>
      </c>
    </row>
    <row r="16400">
      <c r="A16400" s="39"/>
      <c r="E16400" s="40" t="s">
        <v>11404</v>
      </c>
      <c r="F16400" s="40" t="s">
        <v>11404</v>
      </c>
      <c r="G16400" s="40" t="s">
        <v>11404</v>
      </c>
      <c r="H16400" s="40" t="s">
        <v>11404</v>
      </c>
    </row>
    <row r="16401">
      <c r="A16401" s="39"/>
      <c r="E16401" s="40" t="s">
        <v>11404</v>
      </c>
      <c r="F16401" s="40" t="s">
        <v>11404</v>
      </c>
      <c r="G16401" s="40" t="s">
        <v>11404</v>
      </c>
      <c r="H16401" s="40" t="s">
        <v>11404</v>
      </c>
    </row>
    <row r="16402">
      <c r="A16402" s="39"/>
      <c r="E16402" s="40" t="s">
        <v>11404</v>
      </c>
      <c r="F16402" s="40" t="s">
        <v>11404</v>
      </c>
      <c r="G16402" s="40" t="s">
        <v>11404</v>
      </c>
      <c r="H16402" s="40" t="s">
        <v>11404</v>
      </c>
    </row>
    <row r="16403">
      <c r="A16403" s="39"/>
      <c r="E16403" s="40" t="s">
        <v>11404</v>
      </c>
      <c r="F16403" s="40" t="s">
        <v>11404</v>
      </c>
      <c r="G16403" s="40" t="s">
        <v>11404</v>
      </c>
      <c r="H16403" s="40" t="s">
        <v>11404</v>
      </c>
    </row>
    <row r="16404">
      <c r="A16404" s="39"/>
      <c r="E16404" s="40" t="s">
        <v>11404</v>
      </c>
      <c r="F16404" s="40" t="s">
        <v>11404</v>
      </c>
      <c r="G16404" s="40" t="s">
        <v>11404</v>
      </c>
      <c r="H16404" s="40" t="s">
        <v>11404</v>
      </c>
    </row>
    <row r="16405">
      <c r="A16405" s="39"/>
      <c r="E16405" s="40" t="s">
        <v>11404</v>
      </c>
      <c r="F16405" s="40" t="s">
        <v>11404</v>
      </c>
      <c r="G16405" s="40" t="s">
        <v>11404</v>
      </c>
      <c r="H16405" s="40" t="s">
        <v>11404</v>
      </c>
    </row>
    <row r="16406">
      <c r="A16406" s="39"/>
      <c r="E16406" s="40" t="s">
        <v>11404</v>
      </c>
      <c r="F16406" s="40" t="s">
        <v>11404</v>
      </c>
      <c r="G16406" s="40" t="s">
        <v>11404</v>
      </c>
      <c r="H16406" s="40" t="s">
        <v>11404</v>
      </c>
    </row>
    <row r="16407">
      <c r="A16407" s="39"/>
      <c r="E16407" s="40" t="s">
        <v>11404</v>
      </c>
      <c r="F16407" s="40" t="s">
        <v>11404</v>
      </c>
      <c r="G16407" s="40" t="s">
        <v>11404</v>
      </c>
      <c r="H16407" s="40" t="s">
        <v>11404</v>
      </c>
    </row>
    <row r="16408">
      <c r="A16408" s="39"/>
      <c r="E16408" s="40" t="s">
        <v>11404</v>
      </c>
      <c r="F16408" s="40" t="s">
        <v>11404</v>
      </c>
      <c r="G16408" s="40" t="s">
        <v>11404</v>
      </c>
      <c r="H16408" s="40" t="s">
        <v>11404</v>
      </c>
    </row>
    <row r="16409">
      <c r="A16409" s="39"/>
      <c r="E16409" s="40" t="s">
        <v>11404</v>
      </c>
      <c r="F16409" s="40" t="s">
        <v>11404</v>
      </c>
      <c r="G16409" s="40" t="s">
        <v>11404</v>
      </c>
      <c r="H16409" s="40" t="s">
        <v>11404</v>
      </c>
    </row>
    <row r="16410">
      <c r="A16410" s="39"/>
      <c r="E16410" s="40" t="s">
        <v>11404</v>
      </c>
      <c r="F16410" s="40" t="s">
        <v>11404</v>
      </c>
      <c r="G16410" s="40" t="s">
        <v>11404</v>
      </c>
      <c r="H16410" s="40" t="s">
        <v>11404</v>
      </c>
    </row>
    <row r="16411">
      <c r="A16411" s="39"/>
      <c r="E16411" s="40" t="s">
        <v>11404</v>
      </c>
      <c r="F16411" s="40" t="s">
        <v>11404</v>
      </c>
      <c r="G16411" s="40" t="s">
        <v>11404</v>
      </c>
      <c r="H16411" s="40" t="s">
        <v>11404</v>
      </c>
    </row>
    <row r="16412">
      <c r="A16412" s="39"/>
      <c r="E16412" s="40" t="s">
        <v>11404</v>
      </c>
      <c r="F16412" s="40" t="s">
        <v>11404</v>
      </c>
      <c r="G16412" s="40" t="s">
        <v>11404</v>
      </c>
      <c r="H16412" s="40" t="s">
        <v>11404</v>
      </c>
    </row>
    <row r="16413">
      <c r="A16413" s="39"/>
      <c r="E16413" s="40" t="s">
        <v>11404</v>
      </c>
      <c r="F16413" s="40" t="s">
        <v>11404</v>
      </c>
      <c r="G16413" s="40" t="s">
        <v>11404</v>
      </c>
      <c r="H16413" s="40" t="s">
        <v>11404</v>
      </c>
    </row>
    <row r="16414">
      <c r="A16414" s="39"/>
      <c r="E16414" s="40" t="s">
        <v>11404</v>
      </c>
      <c r="F16414" s="40" t="s">
        <v>11404</v>
      </c>
      <c r="G16414" s="40" t="s">
        <v>11404</v>
      </c>
      <c r="H16414" s="40" t="s">
        <v>11404</v>
      </c>
    </row>
    <row r="16415">
      <c r="A16415" s="39"/>
      <c r="E16415" s="40" t="s">
        <v>11404</v>
      </c>
      <c r="F16415" s="40" t="s">
        <v>11404</v>
      </c>
      <c r="G16415" s="40" t="s">
        <v>11404</v>
      </c>
      <c r="H16415" s="40" t="s">
        <v>11404</v>
      </c>
    </row>
    <row r="16416">
      <c r="A16416" s="39"/>
      <c r="E16416" s="40" t="s">
        <v>11404</v>
      </c>
      <c r="F16416" s="40" t="s">
        <v>11404</v>
      </c>
      <c r="G16416" s="40" t="s">
        <v>11404</v>
      </c>
      <c r="H16416" s="40" t="s">
        <v>11404</v>
      </c>
    </row>
    <row r="16417">
      <c r="A16417" s="39"/>
      <c r="E16417" s="40" t="s">
        <v>11404</v>
      </c>
      <c r="F16417" s="40" t="s">
        <v>11404</v>
      </c>
      <c r="G16417" s="40" t="s">
        <v>11404</v>
      </c>
      <c r="H16417" s="40" t="s">
        <v>11404</v>
      </c>
    </row>
    <row r="16418">
      <c r="A16418" s="39"/>
      <c r="E16418" s="40" t="s">
        <v>11404</v>
      </c>
      <c r="F16418" s="40" t="s">
        <v>11404</v>
      </c>
      <c r="G16418" s="40" t="s">
        <v>11404</v>
      </c>
      <c r="H16418" s="40" t="s">
        <v>11404</v>
      </c>
    </row>
    <row r="16419">
      <c r="A16419" s="39"/>
      <c r="E16419" s="40" t="s">
        <v>11404</v>
      </c>
      <c r="F16419" s="40" t="s">
        <v>11404</v>
      </c>
      <c r="G16419" s="40" t="s">
        <v>11404</v>
      </c>
      <c r="H16419" s="40" t="s">
        <v>11404</v>
      </c>
    </row>
    <row r="16420">
      <c r="A16420" s="39"/>
      <c r="E16420" s="40" t="s">
        <v>11404</v>
      </c>
      <c r="F16420" s="40" t="s">
        <v>11404</v>
      </c>
      <c r="G16420" s="40" t="s">
        <v>11404</v>
      </c>
      <c r="H16420" s="40" t="s">
        <v>11404</v>
      </c>
    </row>
    <row r="16421">
      <c r="A16421" s="39"/>
      <c r="E16421" s="40" t="s">
        <v>11404</v>
      </c>
      <c r="F16421" s="40" t="s">
        <v>11404</v>
      </c>
      <c r="G16421" s="40" t="s">
        <v>11404</v>
      </c>
      <c r="H16421" s="40" t="s">
        <v>11404</v>
      </c>
    </row>
    <row r="16422">
      <c r="A16422" s="39"/>
      <c r="E16422" s="40" t="s">
        <v>11404</v>
      </c>
      <c r="F16422" s="40" t="s">
        <v>11404</v>
      </c>
      <c r="G16422" s="40" t="s">
        <v>11404</v>
      </c>
      <c r="H16422" s="40" t="s">
        <v>11404</v>
      </c>
    </row>
    <row r="16423">
      <c r="A16423" s="39"/>
      <c r="E16423" s="40" t="s">
        <v>11404</v>
      </c>
      <c r="F16423" s="40" t="s">
        <v>11404</v>
      </c>
      <c r="G16423" s="40" t="s">
        <v>11404</v>
      </c>
      <c r="H16423" s="40" t="s">
        <v>11404</v>
      </c>
    </row>
    <row r="16424">
      <c r="A16424" s="39"/>
      <c r="E16424" s="40" t="s">
        <v>11404</v>
      </c>
      <c r="F16424" s="40" t="s">
        <v>11404</v>
      </c>
      <c r="G16424" s="40" t="s">
        <v>11404</v>
      </c>
      <c r="H16424" s="40" t="s">
        <v>11404</v>
      </c>
    </row>
    <row r="16425">
      <c r="A16425" s="39"/>
      <c r="E16425" s="40" t="s">
        <v>11404</v>
      </c>
      <c r="F16425" s="40" t="s">
        <v>11404</v>
      </c>
      <c r="G16425" s="40" t="s">
        <v>11404</v>
      </c>
      <c r="H16425" s="40" t="s">
        <v>11404</v>
      </c>
    </row>
    <row r="16426">
      <c r="A16426" s="39"/>
      <c r="E16426" s="40" t="s">
        <v>11404</v>
      </c>
      <c r="F16426" s="40" t="s">
        <v>11404</v>
      </c>
      <c r="G16426" s="40" t="s">
        <v>11404</v>
      </c>
      <c r="H16426" s="40" t="s">
        <v>11404</v>
      </c>
    </row>
    <row r="16427">
      <c r="A16427" s="39"/>
      <c r="E16427" s="40" t="s">
        <v>11404</v>
      </c>
      <c r="F16427" s="40" t="s">
        <v>11404</v>
      </c>
      <c r="G16427" s="40" t="s">
        <v>11404</v>
      </c>
      <c r="H16427" s="40" t="s">
        <v>11404</v>
      </c>
    </row>
    <row r="16428">
      <c r="A16428" s="39"/>
      <c r="E16428" s="40" t="s">
        <v>11404</v>
      </c>
      <c r="F16428" s="40" t="s">
        <v>11404</v>
      </c>
      <c r="G16428" s="40" t="s">
        <v>11404</v>
      </c>
      <c r="H16428" s="40" t="s">
        <v>11404</v>
      </c>
    </row>
    <row r="16429">
      <c r="A16429" s="39"/>
      <c r="E16429" s="40" t="s">
        <v>11404</v>
      </c>
      <c r="F16429" s="40" t="s">
        <v>11404</v>
      </c>
      <c r="G16429" s="40" t="s">
        <v>11404</v>
      </c>
      <c r="H16429" s="40" t="s">
        <v>11404</v>
      </c>
    </row>
    <row r="16430">
      <c r="A16430" s="39"/>
      <c r="E16430" s="40" t="s">
        <v>11404</v>
      </c>
      <c r="F16430" s="40" t="s">
        <v>11404</v>
      </c>
      <c r="G16430" s="40" t="s">
        <v>11404</v>
      </c>
      <c r="H16430" s="40" t="s">
        <v>11404</v>
      </c>
    </row>
    <row r="16431">
      <c r="A16431" s="39"/>
      <c r="E16431" s="40" t="s">
        <v>11404</v>
      </c>
      <c r="F16431" s="40" t="s">
        <v>11404</v>
      </c>
      <c r="G16431" s="40" t="s">
        <v>11404</v>
      </c>
      <c r="H16431" s="40" t="s">
        <v>11404</v>
      </c>
    </row>
    <row r="16432">
      <c r="A16432" s="39"/>
      <c r="E16432" s="40" t="s">
        <v>11404</v>
      </c>
      <c r="F16432" s="40" t="s">
        <v>11404</v>
      </c>
      <c r="G16432" s="40" t="s">
        <v>11404</v>
      </c>
      <c r="H16432" s="40" t="s">
        <v>11404</v>
      </c>
    </row>
    <row r="16433">
      <c r="A16433" s="39"/>
      <c r="E16433" s="40" t="s">
        <v>11404</v>
      </c>
      <c r="F16433" s="40" t="s">
        <v>11404</v>
      </c>
      <c r="G16433" s="40" t="s">
        <v>11404</v>
      </c>
      <c r="H16433" s="40" t="s">
        <v>11404</v>
      </c>
    </row>
    <row r="16434">
      <c r="A16434" s="39"/>
      <c r="E16434" s="40" t="s">
        <v>11404</v>
      </c>
      <c r="F16434" s="40" t="s">
        <v>11404</v>
      </c>
      <c r="G16434" s="40" t="s">
        <v>11404</v>
      </c>
      <c r="H16434" s="40" t="s">
        <v>11404</v>
      </c>
    </row>
    <row r="16435">
      <c r="A16435" s="39"/>
      <c r="E16435" s="40" t="s">
        <v>11404</v>
      </c>
      <c r="F16435" s="40" t="s">
        <v>11404</v>
      </c>
      <c r="G16435" s="40" t="s">
        <v>11404</v>
      </c>
      <c r="H16435" s="40" t="s">
        <v>11404</v>
      </c>
    </row>
    <row r="16436">
      <c r="A16436" s="39"/>
      <c r="E16436" s="40" t="s">
        <v>11404</v>
      </c>
      <c r="F16436" s="40" t="s">
        <v>11404</v>
      </c>
      <c r="G16436" s="40" t="s">
        <v>11404</v>
      </c>
      <c r="H16436" s="40" t="s">
        <v>11404</v>
      </c>
    </row>
    <row r="16437">
      <c r="A16437" s="39"/>
      <c r="E16437" s="40" t="s">
        <v>11404</v>
      </c>
      <c r="F16437" s="40" t="s">
        <v>11404</v>
      </c>
      <c r="G16437" s="40" t="s">
        <v>11404</v>
      </c>
      <c r="H16437" s="40" t="s">
        <v>11404</v>
      </c>
    </row>
    <row r="16438">
      <c r="A16438" s="39"/>
      <c r="E16438" s="40" t="s">
        <v>11404</v>
      </c>
      <c r="F16438" s="40" t="s">
        <v>11404</v>
      </c>
      <c r="G16438" s="40" t="s">
        <v>11404</v>
      </c>
      <c r="H16438" s="40" t="s">
        <v>11404</v>
      </c>
    </row>
    <row r="16439">
      <c r="A16439" s="39"/>
      <c r="E16439" s="40" t="s">
        <v>11404</v>
      </c>
      <c r="F16439" s="40" t="s">
        <v>11404</v>
      </c>
      <c r="G16439" s="40" t="s">
        <v>11404</v>
      </c>
      <c r="H16439" s="40" t="s">
        <v>11404</v>
      </c>
    </row>
    <row r="16440">
      <c r="A16440" s="39"/>
      <c r="E16440" s="40" t="s">
        <v>11404</v>
      </c>
      <c r="F16440" s="40" t="s">
        <v>11404</v>
      </c>
      <c r="G16440" s="40" t="s">
        <v>11404</v>
      </c>
      <c r="H16440" s="40" t="s">
        <v>11404</v>
      </c>
    </row>
    <row r="16441">
      <c r="A16441" s="39"/>
      <c r="E16441" s="40" t="s">
        <v>11404</v>
      </c>
      <c r="F16441" s="40" t="s">
        <v>11404</v>
      </c>
      <c r="G16441" s="40" t="s">
        <v>11404</v>
      </c>
      <c r="H16441" s="40" t="s">
        <v>11404</v>
      </c>
    </row>
    <row r="16442">
      <c r="A16442" s="39"/>
      <c r="E16442" s="40" t="s">
        <v>11404</v>
      </c>
      <c r="F16442" s="40" t="s">
        <v>11404</v>
      </c>
      <c r="G16442" s="40" t="s">
        <v>11404</v>
      </c>
      <c r="H16442" s="40" t="s">
        <v>11404</v>
      </c>
    </row>
    <row r="16443">
      <c r="A16443" s="39"/>
      <c r="E16443" s="40" t="s">
        <v>11404</v>
      </c>
      <c r="F16443" s="40" t="s">
        <v>11404</v>
      </c>
      <c r="G16443" s="40" t="s">
        <v>11404</v>
      </c>
      <c r="H16443" s="40" t="s">
        <v>11404</v>
      </c>
    </row>
    <row r="16444">
      <c r="A16444" s="39"/>
      <c r="E16444" s="40" t="s">
        <v>11404</v>
      </c>
      <c r="F16444" s="40" t="s">
        <v>11404</v>
      </c>
      <c r="G16444" s="40" t="s">
        <v>11404</v>
      </c>
      <c r="H16444" s="40" t="s">
        <v>11404</v>
      </c>
    </row>
    <row r="16445">
      <c r="A16445" s="39"/>
      <c r="E16445" s="40" t="s">
        <v>11404</v>
      </c>
      <c r="F16445" s="40" t="s">
        <v>11404</v>
      </c>
      <c r="G16445" s="40" t="s">
        <v>11404</v>
      </c>
      <c r="H16445" s="40" t="s">
        <v>11404</v>
      </c>
    </row>
    <row r="16446">
      <c r="A16446" s="39"/>
      <c r="E16446" s="40" t="s">
        <v>11404</v>
      </c>
      <c r="F16446" s="40" t="s">
        <v>11404</v>
      </c>
      <c r="G16446" s="40" t="s">
        <v>11404</v>
      </c>
      <c r="H16446" s="40" t="s">
        <v>11404</v>
      </c>
    </row>
    <row r="16447">
      <c r="A16447" s="39"/>
      <c r="E16447" s="40" t="s">
        <v>11404</v>
      </c>
      <c r="F16447" s="40" t="s">
        <v>11404</v>
      </c>
      <c r="G16447" s="40" t="s">
        <v>11404</v>
      </c>
      <c r="H16447" s="40" t="s">
        <v>11404</v>
      </c>
    </row>
    <row r="16448">
      <c r="A16448" s="39"/>
      <c r="E16448" s="40" t="s">
        <v>11404</v>
      </c>
      <c r="F16448" s="40" t="s">
        <v>11404</v>
      </c>
      <c r="G16448" s="40" t="s">
        <v>11404</v>
      </c>
      <c r="H16448" s="40" t="s">
        <v>11404</v>
      </c>
    </row>
    <row r="16449">
      <c r="A16449" s="39"/>
      <c r="E16449" s="40" t="s">
        <v>11404</v>
      </c>
      <c r="F16449" s="40" t="s">
        <v>11404</v>
      </c>
      <c r="G16449" s="40" t="s">
        <v>11404</v>
      </c>
      <c r="H16449" s="40" t="s">
        <v>11404</v>
      </c>
    </row>
    <row r="16450">
      <c r="A16450" s="39"/>
      <c r="E16450" s="40" t="s">
        <v>11404</v>
      </c>
      <c r="F16450" s="40" t="s">
        <v>11404</v>
      </c>
      <c r="G16450" s="40" t="s">
        <v>11404</v>
      </c>
      <c r="H16450" s="40" t="s">
        <v>11404</v>
      </c>
    </row>
    <row r="16451">
      <c r="A16451" s="39"/>
      <c r="E16451" s="40" t="s">
        <v>11404</v>
      </c>
      <c r="F16451" s="40" t="s">
        <v>11404</v>
      </c>
      <c r="G16451" s="40" t="s">
        <v>11404</v>
      </c>
      <c r="H16451" s="40" t="s">
        <v>11404</v>
      </c>
    </row>
    <row r="16452">
      <c r="A16452" s="39"/>
      <c r="E16452" s="40" t="s">
        <v>11404</v>
      </c>
      <c r="F16452" s="40" t="s">
        <v>11404</v>
      </c>
      <c r="G16452" s="40" t="s">
        <v>11404</v>
      </c>
      <c r="H16452" s="40" t="s">
        <v>11404</v>
      </c>
    </row>
    <row r="16453">
      <c r="A16453" s="39"/>
      <c r="E16453" s="40" t="s">
        <v>11404</v>
      </c>
      <c r="F16453" s="40" t="s">
        <v>11404</v>
      </c>
      <c r="G16453" s="40" t="s">
        <v>11404</v>
      </c>
      <c r="H16453" s="40" t="s">
        <v>11404</v>
      </c>
    </row>
    <row r="16454">
      <c r="A16454" s="39"/>
      <c r="E16454" s="40" t="s">
        <v>11404</v>
      </c>
      <c r="F16454" s="40" t="s">
        <v>11404</v>
      </c>
      <c r="G16454" s="40" t="s">
        <v>11404</v>
      </c>
      <c r="H16454" s="40" t="s">
        <v>11404</v>
      </c>
    </row>
    <row r="16455">
      <c r="A16455" s="39"/>
      <c r="E16455" s="40" t="s">
        <v>11404</v>
      </c>
      <c r="F16455" s="40" t="s">
        <v>11404</v>
      </c>
      <c r="G16455" s="40" t="s">
        <v>11404</v>
      </c>
      <c r="H16455" s="40" t="s">
        <v>11404</v>
      </c>
    </row>
    <row r="16456">
      <c r="A16456" s="39"/>
      <c r="E16456" s="40" t="s">
        <v>11404</v>
      </c>
      <c r="F16456" s="40" t="s">
        <v>11404</v>
      </c>
      <c r="G16456" s="40" t="s">
        <v>11404</v>
      </c>
      <c r="H16456" s="40" t="s">
        <v>11404</v>
      </c>
    </row>
    <row r="16457">
      <c r="A16457" s="39"/>
      <c r="E16457" s="40" t="s">
        <v>11404</v>
      </c>
      <c r="F16457" s="40" t="s">
        <v>11404</v>
      </c>
      <c r="G16457" s="40" t="s">
        <v>11404</v>
      </c>
      <c r="H16457" s="40" t="s">
        <v>11404</v>
      </c>
    </row>
    <row r="16458">
      <c r="A16458" s="39"/>
      <c r="E16458" s="40" t="s">
        <v>11404</v>
      </c>
      <c r="F16458" s="40" t="s">
        <v>11404</v>
      </c>
      <c r="G16458" s="40" t="s">
        <v>11404</v>
      </c>
      <c r="H16458" s="40" t="s">
        <v>11404</v>
      </c>
    </row>
    <row r="16459">
      <c r="A16459" s="39"/>
      <c r="E16459" s="40" t="s">
        <v>11404</v>
      </c>
      <c r="F16459" s="40" t="s">
        <v>11404</v>
      </c>
      <c r="G16459" s="40" t="s">
        <v>11404</v>
      </c>
      <c r="H16459" s="40" t="s">
        <v>11404</v>
      </c>
    </row>
    <row r="16460">
      <c r="A16460" s="39"/>
      <c r="E16460" s="40" t="s">
        <v>11404</v>
      </c>
      <c r="F16460" s="40" t="s">
        <v>11404</v>
      </c>
      <c r="G16460" s="40" t="s">
        <v>11404</v>
      </c>
      <c r="H16460" s="40" t="s">
        <v>11404</v>
      </c>
    </row>
    <row r="16461">
      <c r="A16461" s="39"/>
      <c r="E16461" s="40" t="s">
        <v>11404</v>
      </c>
      <c r="F16461" s="40" t="s">
        <v>11404</v>
      </c>
      <c r="G16461" s="40" t="s">
        <v>11404</v>
      </c>
      <c r="H16461" s="40" t="s">
        <v>11404</v>
      </c>
    </row>
    <row r="16462">
      <c r="A16462" s="39"/>
      <c r="E16462" s="40" t="s">
        <v>11404</v>
      </c>
      <c r="F16462" s="40" t="s">
        <v>11404</v>
      </c>
      <c r="G16462" s="40" t="s">
        <v>11404</v>
      </c>
      <c r="H16462" s="40" t="s">
        <v>11404</v>
      </c>
    </row>
    <row r="16463">
      <c r="A16463" s="39"/>
      <c r="E16463" s="40" t="s">
        <v>11404</v>
      </c>
      <c r="F16463" s="40" t="s">
        <v>11404</v>
      </c>
      <c r="G16463" s="40" t="s">
        <v>11404</v>
      </c>
      <c r="H16463" s="40" t="s">
        <v>11404</v>
      </c>
    </row>
    <row r="16464">
      <c r="A16464" s="39"/>
      <c r="E16464" s="40" t="s">
        <v>11404</v>
      </c>
      <c r="F16464" s="40" t="s">
        <v>11404</v>
      </c>
      <c r="G16464" s="40" t="s">
        <v>11404</v>
      </c>
      <c r="H16464" s="40" t="s">
        <v>11404</v>
      </c>
    </row>
    <row r="16465">
      <c r="A16465" s="39"/>
      <c r="E16465" s="40" t="s">
        <v>11404</v>
      </c>
      <c r="F16465" s="40" t="s">
        <v>11404</v>
      </c>
      <c r="G16465" s="40" t="s">
        <v>11404</v>
      </c>
      <c r="H16465" s="40" t="s">
        <v>11404</v>
      </c>
    </row>
    <row r="16466">
      <c r="A16466" s="39"/>
      <c r="E16466" s="40" t="s">
        <v>11404</v>
      </c>
      <c r="F16466" s="40" t="s">
        <v>11404</v>
      </c>
      <c r="G16466" s="40" t="s">
        <v>11404</v>
      </c>
      <c r="H16466" s="40" t="s">
        <v>11404</v>
      </c>
    </row>
    <row r="16467">
      <c r="A16467" s="39"/>
      <c r="E16467" s="40" t="s">
        <v>11404</v>
      </c>
      <c r="F16467" s="40" t="s">
        <v>11404</v>
      </c>
      <c r="G16467" s="40" t="s">
        <v>11404</v>
      </c>
      <c r="H16467" s="40" t="s">
        <v>11404</v>
      </c>
    </row>
    <row r="16468">
      <c r="A16468" s="39"/>
      <c r="E16468" s="40" t="s">
        <v>11404</v>
      </c>
      <c r="F16468" s="40" t="s">
        <v>11404</v>
      </c>
      <c r="G16468" s="40" t="s">
        <v>11404</v>
      </c>
      <c r="H16468" s="40" t="s">
        <v>11404</v>
      </c>
    </row>
    <row r="16469">
      <c r="A16469" s="39"/>
      <c r="E16469" s="40" t="s">
        <v>11404</v>
      </c>
      <c r="F16469" s="40" t="s">
        <v>11404</v>
      </c>
      <c r="G16469" s="40" t="s">
        <v>11404</v>
      </c>
      <c r="H16469" s="40" t="s">
        <v>11404</v>
      </c>
    </row>
    <row r="16470">
      <c r="A16470" s="39"/>
      <c r="E16470" s="40" t="s">
        <v>11404</v>
      </c>
      <c r="F16470" s="40" t="s">
        <v>11404</v>
      </c>
      <c r="G16470" s="40" t="s">
        <v>11404</v>
      </c>
      <c r="H16470" s="40" t="s">
        <v>11404</v>
      </c>
    </row>
    <row r="16471">
      <c r="A16471" s="39"/>
      <c r="E16471" s="40" t="s">
        <v>11404</v>
      </c>
      <c r="F16471" s="40" t="s">
        <v>11404</v>
      </c>
      <c r="G16471" s="40" t="s">
        <v>11404</v>
      </c>
      <c r="H16471" s="40" t="s">
        <v>11404</v>
      </c>
    </row>
    <row r="16472">
      <c r="A16472" s="39"/>
      <c r="E16472" s="40" t="s">
        <v>11404</v>
      </c>
      <c r="F16472" s="40" t="s">
        <v>11404</v>
      </c>
      <c r="G16472" s="40" t="s">
        <v>11404</v>
      </c>
      <c r="H16472" s="40" t="s">
        <v>11404</v>
      </c>
    </row>
    <row r="16473">
      <c r="A16473" s="39"/>
      <c r="E16473" s="40" t="s">
        <v>11404</v>
      </c>
      <c r="F16473" s="40" t="s">
        <v>11404</v>
      </c>
      <c r="G16473" s="40" t="s">
        <v>11404</v>
      </c>
      <c r="H16473" s="40" t="s">
        <v>11404</v>
      </c>
    </row>
    <row r="16474">
      <c r="A16474" s="39"/>
      <c r="E16474" s="40" t="s">
        <v>11404</v>
      </c>
      <c r="F16474" s="40" t="s">
        <v>11404</v>
      </c>
      <c r="G16474" s="40" t="s">
        <v>11404</v>
      </c>
      <c r="H16474" s="40" t="s">
        <v>11404</v>
      </c>
    </row>
    <row r="16475">
      <c r="A16475" s="39"/>
      <c r="E16475" s="40" t="s">
        <v>11404</v>
      </c>
      <c r="F16475" s="40" t="s">
        <v>11404</v>
      </c>
      <c r="G16475" s="40" t="s">
        <v>11404</v>
      </c>
      <c r="H16475" s="40" t="s">
        <v>11404</v>
      </c>
    </row>
    <row r="16476">
      <c r="A16476" s="39"/>
      <c r="E16476" s="40" t="s">
        <v>11404</v>
      </c>
      <c r="F16476" s="40" t="s">
        <v>11404</v>
      </c>
      <c r="G16476" s="40" t="s">
        <v>11404</v>
      </c>
      <c r="H16476" s="40" t="s">
        <v>11404</v>
      </c>
    </row>
    <row r="16477">
      <c r="A16477" s="39"/>
      <c r="E16477" s="40" t="s">
        <v>11404</v>
      </c>
      <c r="F16477" s="40" t="s">
        <v>11404</v>
      </c>
      <c r="G16477" s="40" t="s">
        <v>11404</v>
      </c>
      <c r="H16477" s="40" t="s">
        <v>11404</v>
      </c>
    </row>
    <row r="16478">
      <c r="A16478" s="39"/>
      <c r="E16478" s="40" t="s">
        <v>11404</v>
      </c>
      <c r="F16478" s="40" t="s">
        <v>11404</v>
      </c>
      <c r="G16478" s="40" t="s">
        <v>11404</v>
      </c>
      <c r="H16478" s="40" t="s">
        <v>11404</v>
      </c>
    </row>
    <row r="16479">
      <c r="A16479" s="39"/>
      <c r="E16479" s="40" t="s">
        <v>11404</v>
      </c>
      <c r="F16479" s="40" t="s">
        <v>11404</v>
      </c>
      <c r="G16479" s="40" t="s">
        <v>11404</v>
      </c>
      <c r="H16479" s="40" t="s">
        <v>11404</v>
      </c>
    </row>
    <row r="16480">
      <c r="A16480" s="39"/>
      <c r="E16480" s="40" t="s">
        <v>11404</v>
      </c>
      <c r="F16480" s="40" t="s">
        <v>11404</v>
      </c>
      <c r="G16480" s="40" t="s">
        <v>11404</v>
      </c>
      <c r="H16480" s="40" t="s">
        <v>11404</v>
      </c>
    </row>
    <row r="16481">
      <c r="A16481" s="39"/>
      <c r="E16481" s="40" t="s">
        <v>11404</v>
      </c>
      <c r="F16481" s="40" t="s">
        <v>11404</v>
      </c>
      <c r="G16481" s="40" t="s">
        <v>11404</v>
      </c>
      <c r="H16481" s="40" t="s">
        <v>11404</v>
      </c>
    </row>
    <row r="16482">
      <c r="A16482" s="39"/>
      <c r="E16482" s="40" t="s">
        <v>11404</v>
      </c>
      <c r="F16482" s="40" t="s">
        <v>11404</v>
      </c>
      <c r="G16482" s="40" t="s">
        <v>11404</v>
      </c>
      <c r="H16482" s="40" t="s">
        <v>11404</v>
      </c>
    </row>
    <row r="16483">
      <c r="A16483" s="39"/>
      <c r="E16483" s="40" t="s">
        <v>11404</v>
      </c>
      <c r="F16483" s="40" t="s">
        <v>11404</v>
      </c>
      <c r="G16483" s="40" t="s">
        <v>11404</v>
      </c>
      <c r="H16483" s="40" t="s">
        <v>11404</v>
      </c>
    </row>
    <row r="16484">
      <c r="A16484" s="39"/>
      <c r="E16484" s="40" t="s">
        <v>11404</v>
      </c>
      <c r="F16484" s="40" t="s">
        <v>11404</v>
      </c>
      <c r="G16484" s="40" t="s">
        <v>11404</v>
      </c>
      <c r="H16484" s="40" t="s">
        <v>11404</v>
      </c>
    </row>
    <row r="16485">
      <c r="A16485" s="39"/>
      <c r="E16485" s="40" t="s">
        <v>11404</v>
      </c>
      <c r="F16485" s="40" t="s">
        <v>11404</v>
      </c>
      <c r="G16485" s="40" t="s">
        <v>11404</v>
      </c>
      <c r="H16485" s="40" t="s">
        <v>11404</v>
      </c>
    </row>
    <row r="16486">
      <c r="A16486" s="39"/>
      <c r="E16486" s="40" t="s">
        <v>11404</v>
      </c>
      <c r="F16486" s="40" t="s">
        <v>11404</v>
      </c>
      <c r="G16486" s="40" t="s">
        <v>11404</v>
      </c>
      <c r="H16486" s="40" t="s">
        <v>11404</v>
      </c>
    </row>
    <row r="16487">
      <c r="A16487" s="39"/>
      <c r="E16487" s="40" t="s">
        <v>11404</v>
      </c>
      <c r="F16487" s="40" t="s">
        <v>11404</v>
      </c>
      <c r="G16487" s="40" t="s">
        <v>11404</v>
      </c>
      <c r="H16487" s="40" t="s">
        <v>11404</v>
      </c>
    </row>
    <row r="16488">
      <c r="A16488" s="39"/>
      <c r="E16488" s="40" t="s">
        <v>11404</v>
      </c>
      <c r="F16488" s="40" t="s">
        <v>11404</v>
      </c>
      <c r="G16488" s="40" t="s">
        <v>11404</v>
      </c>
      <c r="H16488" s="40" t="s">
        <v>11404</v>
      </c>
    </row>
    <row r="16489">
      <c r="A16489" s="39"/>
      <c r="E16489" s="40" t="s">
        <v>11404</v>
      </c>
      <c r="F16489" s="40" t="s">
        <v>11404</v>
      </c>
      <c r="G16489" s="40" t="s">
        <v>11404</v>
      </c>
      <c r="H16489" s="40" t="s">
        <v>11404</v>
      </c>
    </row>
    <row r="16490">
      <c r="A16490" s="39"/>
      <c r="E16490" s="40" t="s">
        <v>11404</v>
      </c>
      <c r="F16490" s="40" t="s">
        <v>11404</v>
      </c>
      <c r="G16490" s="40" t="s">
        <v>11404</v>
      </c>
      <c r="H16490" s="40" t="s">
        <v>11404</v>
      </c>
    </row>
    <row r="16491">
      <c r="A16491" s="39"/>
      <c r="E16491" s="40" t="s">
        <v>11404</v>
      </c>
      <c r="F16491" s="40" t="s">
        <v>11404</v>
      </c>
      <c r="G16491" s="40" t="s">
        <v>11404</v>
      </c>
      <c r="H16491" s="40" t="s">
        <v>11404</v>
      </c>
    </row>
    <row r="16492">
      <c r="A16492" s="39"/>
      <c r="E16492" s="40" t="s">
        <v>11404</v>
      </c>
      <c r="F16492" s="40" t="s">
        <v>11404</v>
      </c>
      <c r="G16492" s="40" t="s">
        <v>11404</v>
      </c>
      <c r="H16492" s="40" t="s">
        <v>11404</v>
      </c>
    </row>
    <row r="16493">
      <c r="A16493" s="39"/>
      <c r="E16493" s="40" t="s">
        <v>11404</v>
      </c>
      <c r="F16493" s="40" t="s">
        <v>11404</v>
      </c>
      <c r="G16493" s="40" t="s">
        <v>11404</v>
      </c>
      <c r="H16493" s="40" t="s">
        <v>11404</v>
      </c>
    </row>
    <row r="16494">
      <c r="A16494" s="39"/>
      <c r="E16494" s="40" t="s">
        <v>11404</v>
      </c>
      <c r="F16494" s="40" t="s">
        <v>11404</v>
      </c>
      <c r="G16494" s="40" t="s">
        <v>11404</v>
      </c>
      <c r="H16494" s="40" t="s">
        <v>11404</v>
      </c>
    </row>
    <row r="16495">
      <c r="A16495" s="39"/>
      <c r="E16495" s="40" t="s">
        <v>11404</v>
      </c>
      <c r="F16495" s="40" t="s">
        <v>11404</v>
      </c>
      <c r="G16495" s="40" t="s">
        <v>11404</v>
      </c>
      <c r="H16495" s="40" t="s">
        <v>11404</v>
      </c>
    </row>
    <row r="16496">
      <c r="A16496" s="39"/>
      <c r="E16496" s="40" t="s">
        <v>11404</v>
      </c>
      <c r="F16496" s="40" t="s">
        <v>11404</v>
      </c>
      <c r="G16496" s="40" t="s">
        <v>11404</v>
      </c>
      <c r="H16496" s="40" t="s">
        <v>11404</v>
      </c>
    </row>
    <row r="16497">
      <c r="A16497" s="39"/>
      <c r="E16497" s="40" t="s">
        <v>11404</v>
      </c>
      <c r="F16497" s="40" t="s">
        <v>11404</v>
      </c>
      <c r="G16497" s="40" t="s">
        <v>11404</v>
      </c>
      <c r="H16497" s="40" t="s">
        <v>11404</v>
      </c>
    </row>
    <row r="16498">
      <c r="A16498" s="39"/>
      <c r="E16498" s="40" t="s">
        <v>11404</v>
      </c>
      <c r="F16498" s="40" t="s">
        <v>11404</v>
      </c>
      <c r="G16498" s="40" t="s">
        <v>11404</v>
      </c>
      <c r="H16498" s="40" t="s">
        <v>11404</v>
      </c>
    </row>
    <row r="16499">
      <c r="A16499" s="39"/>
      <c r="E16499" s="40" t="s">
        <v>11404</v>
      </c>
      <c r="F16499" s="40" t="s">
        <v>11404</v>
      </c>
      <c r="G16499" s="40" t="s">
        <v>11404</v>
      </c>
      <c r="H16499" s="40" t="s">
        <v>11404</v>
      </c>
    </row>
    <row r="16500">
      <c r="A16500" s="39"/>
      <c r="E16500" s="40" t="s">
        <v>11404</v>
      </c>
      <c r="F16500" s="40" t="s">
        <v>11404</v>
      </c>
      <c r="G16500" s="40" t="s">
        <v>11404</v>
      </c>
      <c r="H16500" s="40" t="s">
        <v>11404</v>
      </c>
    </row>
    <row r="16501">
      <c r="A16501" s="39"/>
      <c r="E16501" s="40" t="s">
        <v>11404</v>
      </c>
      <c r="F16501" s="40" t="s">
        <v>11404</v>
      </c>
      <c r="G16501" s="40" t="s">
        <v>11404</v>
      </c>
      <c r="H16501" s="40" t="s">
        <v>11404</v>
      </c>
    </row>
    <row r="16502">
      <c r="A16502" s="39"/>
      <c r="E16502" s="40" t="s">
        <v>11404</v>
      </c>
      <c r="F16502" s="40" t="s">
        <v>11404</v>
      </c>
      <c r="G16502" s="40" t="s">
        <v>11404</v>
      </c>
      <c r="H16502" s="40" t="s">
        <v>11404</v>
      </c>
    </row>
    <row r="16503">
      <c r="A16503" s="39"/>
      <c r="E16503" s="40" t="s">
        <v>11404</v>
      </c>
      <c r="F16503" s="40" t="s">
        <v>11404</v>
      </c>
      <c r="G16503" s="40" t="s">
        <v>11404</v>
      </c>
      <c r="H16503" s="40" t="s">
        <v>11404</v>
      </c>
    </row>
    <row r="16504">
      <c r="A16504" s="39"/>
      <c r="E16504" s="40" t="s">
        <v>11404</v>
      </c>
      <c r="F16504" s="40" t="s">
        <v>11404</v>
      </c>
      <c r="G16504" s="40" t="s">
        <v>11404</v>
      </c>
      <c r="H16504" s="40" t="s">
        <v>11404</v>
      </c>
    </row>
    <row r="16505">
      <c r="A16505" s="39"/>
      <c r="E16505" s="40" t="s">
        <v>11404</v>
      </c>
      <c r="F16505" s="40" t="s">
        <v>11404</v>
      </c>
      <c r="G16505" s="40" t="s">
        <v>11404</v>
      </c>
      <c r="H16505" s="40" t="s">
        <v>11404</v>
      </c>
    </row>
    <row r="16506">
      <c r="A16506" s="39"/>
      <c r="E16506" s="40" t="s">
        <v>11404</v>
      </c>
      <c r="F16506" s="40" t="s">
        <v>11404</v>
      </c>
      <c r="G16506" s="40" t="s">
        <v>11404</v>
      </c>
      <c r="H16506" s="40" t="s">
        <v>11404</v>
      </c>
    </row>
    <row r="16507">
      <c r="A16507" s="39"/>
      <c r="E16507" s="40" t="s">
        <v>11404</v>
      </c>
      <c r="F16507" s="40" t="s">
        <v>11404</v>
      </c>
      <c r="G16507" s="40" t="s">
        <v>11404</v>
      </c>
      <c r="H16507" s="40" t="s">
        <v>11404</v>
      </c>
    </row>
    <row r="16508">
      <c r="A16508" s="39"/>
      <c r="E16508" s="40" t="s">
        <v>11404</v>
      </c>
      <c r="F16508" s="40" t="s">
        <v>11404</v>
      </c>
      <c r="G16508" s="40" t="s">
        <v>11404</v>
      </c>
      <c r="H16508" s="40" t="s">
        <v>11404</v>
      </c>
    </row>
    <row r="16509">
      <c r="A16509" s="39"/>
      <c r="E16509" s="40" t="s">
        <v>11404</v>
      </c>
      <c r="F16509" s="40" t="s">
        <v>11404</v>
      </c>
      <c r="G16509" s="40" t="s">
        <v>11404</v>
      </c>
      <c r="H16509" s="40" t="s">
        <v>11404</v>
      </c>
    </row>
    <row r="16510">
      <c r="A16510" s="39"/>
      <c r="E16510" s="40" t="s">
        <v>11404</v>
      </c>
      <c r="F16510" s="40" t="s">
        <v>11404</v>
      </c>
      <c r="G16510" s="40" t="s">
        <v>11404</v>
      </c>
      <c r="H16510" s="40" t="s">
        <v>11404</v>
      </c>
    </row>
    <row r="16511">
      <c r="A16511" s="39"/>
      <c r="E16511" s="40" t="s">
        <v>11404</v>
      </c>
      <c r="F16511" s="40" t="s">
        <v>11404</v>
      </c>
      <c r="G16511" s="40" t="s">
        <v>11404</v>
      </c>
      <c r="H16511" s="40" t="s">
        <v>11404</v>
      </c>
    </row>
    <row r="16512">
      <c r="A16512" s="39"/>
      <c r="E16512" s="40" t="s">
        <v>11404</v>
      </c>
      <c r="F16512" s="40" t="s">
        <v>11404</v>
      </c>
      <c r="G16512" s="40" t="s">
        <v>11404</v>
      </c>
      <c r="H16512" s="40" t="s">
        <v>11404</v>
      </c>
    </row>
    <row r="16513">
      <c r="A16513" s="39"/>
      <c r="E16513" s="40" t="s">
        <v>11404</v>
      </c>
      <c r="F16513" s="40" t="s">
        <v>11404</v>
      </c>
      <c r="G16513" s="40" t="s">
        <v>11404</v>
      </c>
      <c r="H16513" s="40" t="s">
        <v>11404</v>
      </c>
    </row>
    <row r="16514">
      <c r="A16514" s="39"/>
      <c r="E16514" s="40" t="s">
        <v>11404</v>
      </c>
      <c r="F16514" s="40" t="s">
        <v>11404</v>
      </c>
      <c r="G16514" s="40" t="s">
        <v>11404</v>
      </c>
      <c r="H16514" s="40" t="s">
        <v>11404</v>
      </c>
    </row>
    <row r="16515">
      <c r="A16515" s="39"/>
      <c r="E16515" s="40" t="s">
        <v>11404</v>
      </c>
      <c r="F16515" s="40" t="s">
        <v>11404</v>
      </c>
      <c r="G16515" s="40" t="s">
        <v>11404</v>
      </c>
      <c r="H16515" s="40" t="s">
        <v>11404</v>
      </c>
    </row>
    <row r="16516">
      <c r="A16516" s="39"/>
      <c r="E16516" s="40" t="s">
        <v>11404</v>
      </c>
      <c r="F16516" s="40" t="s">
        <v>11404</v>
      </c>
      <c r="G16516" s="40" t="s">
        <v>11404</v>
      </c>
      <c r="H16516" s="40" t="s">
        <v>11404</v>
      </c>
    </row>
    <row r="16517">
      <c r="A16517" s="39"/>
      <c r="E16517" s="40" t="s">
        <v>11404</v>
      </c>
      <c r="F16517" s="40" t="s">
        <v>11404</v>
      </c>
      <c r="G16517" s="40" t="s">
        <v>11404</v>
      </c>
      <c r="H16517" s="40" t="s">
        <v>11404</v>
      </c>
    </row>
    <row r="16518">
      <c r="A16518" s="39"/>
      <c r="E16518" s="40" t="s">
        <v>11404</v>
      </c>
      <c r="F16518" s="40" t="s">
        <v>11404</v>
      </c>
      <c r="G16518" s="40" t="s">
        <v>11404</v>
      </c>
      <c r="H16518" s="40" t="s">
        <v>11404</v>
      </c>
    </row>
    <row r="16519">
      <c r="A16519" s="39"/>
      <c r="E16519" s="40" t="s">
        <v>11404</v>
      </c>
      <c r="F16519" s="40" t="s">
        <v>11404</v>
      </c>
      <c r="G16519" s="40" t="s">
        <v>11404</v>
      </c>
      <c r="H16519" s="40" t="s">
        <v>11404</v>
      </c>
    </row>
    <row r="16520">
      <c r="A16520" s="39"/>
      <c r="E16520" s="40" t="s">
        <v>11404</v>
      </c>
      <c r="F16520" s="40" t="s">
        <v>11404</v>
      </c>
      <c r="G16520" s="40" t="s">
        <v>11404</v>
      </c>
      <c r="H16520" s="40" t="s">
        <v>11404</v>
      </c>
    </row>
    <row r="16521">
      <c r="A16521" s="39"/>
      <c r="E16521" s="40" t="s">
        <v>11404</v>
      </c>
      <c r="F16521" s="40" t="s">
        <v>11404</v>
      </c>
      <c r="G16521" s="40" t="s">
        <v>11404</v>
      </c>
      <c r="H16521" s="40" t="s">
        <v>11404</v>
      </c>
    </row>
    <row r="16522">
      <c r="A16522" s="39"/>
      <c r="E16522" s="40" t="s">
        <v>11404</v>
      </c>
      <c r="F16522" s="40" t="s">
        <v>11404</v>
      </c>
      <c r="G16522" s="40" t="s">
        <v>11404</v>
      </c>
      <c r="H16522" s="40" t="s">
        <v>11404</v>
      </c>
    </row>
    <row r="16523">
      <c r="A16523" s="39"/>
      <c r="E16523" s="40" t="s">
        <v>11404</v>
      </c>
      <c r="F16523" s="40" t="s">
        <v>11404</v>
      </c>
      <c r="G16523" s="40" t="s">
        <v>11404</v>
      </c>
      <c r="H16523" s="40" t="s">
        <v>11404</v>
      </c>
    </row>
    <row r="16524">
      <c r="A16524" s="39"/>
      <c r="E16524" s="40" t="s">
        <v>11404</v>
      </c>
      <c r="F16524" s="40" t="s">
        <v>11404</v>
      </c>
      <c r="G16524" s="40" t="s">
        <v>11404</v>
      </c>
      <c r="H16524" s="40" t="s">
        <v>11404</v>
      </c>
    </row>
    <row r="16525">
      <c r="A16525" s="39"/>
      <c r="E16525" s="40" t="s">
        <v>11404</v>
      </c>
      <c r="F16525" s="40" t="s">
        <v>11404</v>
      </c>
      <c r="G16525" s="40" t="s">
        <v>11404</v>
      </c>
      <c r="H16525" s="40" t="s">
        <v>11404</v>
      </c>
    </row>
    <row r="16526">
      <c r="A16526" s="39"/>
      <c r="E16526" s="40" t="s">
        <v>11404</v>
      </c>
      <c r="F16526" s="40" t="s">
        <v>11404</v>
      </c>
      <c r="G16526" s="40" t="s">
        <v>11404</v>
      </c>
      <c r="H16526" s="40" t="s">
        <v>11404</v>
      </c>
    </row>
    <row r="16527">
      <c r="A16527" s="39"/>
      <c r="E16527" s="40" t="s">
        <v>11404</v>
      </c>
      <c r="F16527" s="40" t="s">
        <v>11404</v>
      </c>
      <c r="G16527" s="40" t="s">
        <v>11404</v>
      </c>
      <c r="H16527" s="40" t="s">
        <v>11404</v>
      </c>
    </row>
    <row r="16528">
      <c r="A16528" s="39"/>
      <c r="E16528" s="40" t="s">
        <v>11404</v>
      </c>
      <c r="F16528" s="40" t="s">
        <v>11404</v>
      </c>
      <c r="G16528" s="40" t="s">
        <v>11404</v>
      </c>
      <c r="H16528" s="40" t="s">
        <v>11404</v>
      </c>
    </row>
    <row r="16529">
      <c r="A16529" s="39"/>
      <c r="E16529" s="40" t="s">
        <v>11404</v>
      </c>
      <c r="F16529" s="40" t="s">
        <v>11404</v>
      </c>
      <c r="G16529" s="40" t="s">
        <v>11404</v>
      </c>
      <c r="H16529" s="40" t="s">
        <v>11404</v>
      </c>
    </row>
    <row r="16530">
      <c r="A16530" s="39"/>
      <c r="E16530" s="40" t="s">
        <v>11404</v>
      </c>
      <c r="F16530" s="40" t="s">
        <v>11404</v>
      </c>
      <c r="G16530" s="40" t="s">
        <v>11404</v>
      </c>
      <c r="H16530" s="40" t="s">
        <v>11404</v>
      </c>
    </row>
    <row r="16531">
      <c r="A16531" s="39"/>
      <c r="E16531" s="40" t="s">
        <v>11404</v>
      </c>
      <c r="F16531" s="40" t="s">
        <v>11404</v>
      </c>
      <c r="G16531" s="40" t="s">
        <v>11404</v>
      </c>
      <c r="H16531" s="40" t="s">
        <v>11404</v>
      </c>
    </row>
    <row r="16532">
      <c r="A16532" s="39"/>
      <c r="E16532" s="40" t="s">
        <v>11404</v>
      </c>
      <c r="F16532" s="40" t="s">
        <v>11404</v>
      </c>
      <c r="G16532" s="40" t="s">
        <v>11404</v>
      </c>
      <c r="H16532" s="40" t="s">
        <v>11404</v>
      </c>
    </row>
    <row r="16533">
      <c r="A16533" s="39"/>
      <c r="E16533" s="40" t="s">
        <v>11404</v>
      </c>
      <c r="F16533" s="40" t="s">
        <v>11404</v>
      </c>
      <c r="G16533" s="40" t="s">
        <v>11404</v>
      </c>
      <c r="H16533" s="40" t="s">
        <v>11404</v>
      </c>
    </row>
    <row r="16534">
      <c r="A16534" s="39"/>
      <c r="E16534" s="40" t="s">
        <v>11404</v>
      </c>
      <c r="F16534" s="40" t="s">
        <v>11404</v>
      </c>
      <c r="G16534" s="40" t="s">
        <v>11404</v>
      </c>
      <c r="H16534" s="40" t="s">
        <v>11404</v>
      </c>
    </row>
    <row r="16535">
      <c r="A16535" s="39"/>
      <c r="E16535" s="40" t="s">
        <v>11404</v>
      </c>
      <c r="F16535" s="40" t="s">
        <v>11404</v>
      </c>
      <c r="G16535" s="40" t="s">
        <v>11404</v>
      </c>
      <c r="H16535" s="40" t="s">
        <v>11404</v>
      </c>
    </row>
    <row r="16536">
      <c r="A16536" s="39"/>
      <c r="E16536" s="40" t="s">
        <v>11404</v>
      </c>
      <c r="F16536" s="40" t="s">
        <v>11404</v>
      </c>
      <c r="G16536" s="40" t="s">
        <v>11404</v>
      </c>
      <c r="H16536" s="40" t="s">
        <v>11404</v>
      </c>
    </row>
    <row r="16537">
      <c r="A16537" s="39"/>
      <c r="E16537" s="40" t="s">
        <v>11404</v>
      </c>
      <c r="F16537" s="40" t="s">
        <v>11404</v>
      </c>
      <c r="G16537" s="40" t="s">
        <v>11404</v>
      </c>
      <c r="H16537" s="40" t="s">
        <v>11404</v>
      </c>
    </row>
    <row r="16538">
      <c r="A16538" s="39"/>
      <c r="E16538" s="40" t="s">
        <v>11404</v>
      </c>
      <c r="F16538" s="40" t="s">
        <v>11404</v>
      </c>
      <c r="G16538" s="40" t="s">
        <v>11404</v>
      </c>
      <c r="H16538" s="40" t="s">
        <v>11404</v>
      </c>
    </row>
    <row r="16539">
      <c r="A16539" s="39"/>
      <c r="E16539" s="40" t="s">
        <v>11404</v>
      </c>
      <c r="F16539" s="40" t="s">
        <v>11404</v>
      </c>
      <c r="G16539" s="40" t="s">
        <v>11404</v>
      </c>
      <c r="H16539" s="40" t="s">
        <v>11404</v>
      </c>
    </row>
    <row r="16540">
      <c r="A16540" s="39"/>
      <c r="E16540" s="40" t="s">
        <v>11404</v>
      </c>
      <c r="F16540" s="40" t="s">
        <v>11404</v>
      </c>
      <c r="G16540" s="40" t="s">
        <v>11404</v>
      </c>
      <c r="H16540" s="40" t="s">
        <v>11404</v>
      </c>
    </row>
    <row r="16541">
      <c r="A16541" s="39"/>
      <c r="E16541" s="40" t="s">
        <v>11404</v>
      </c>
      <c r="F16541" s="40" t="s">
        <v>11404</v>
      </c>
      <c r="G16541" s="40" t="s">
        <v>11404</v>
      </c>
      <c r="H16541" s="40" t="s">
        <v>11404</v>
      </c>
    </row>
    <row r="16542">
      <c r="A16542" s="39"/>
      <c r="E16542" s="40" t="s">
        <v>11404</v>
      </c>
      <c r="F16542" s="40" t="s">
        <v>11404</v>
      </c>
      <c r="G16542" s="40" t="s">
        <v>11404</v>
      </c>
      <c r="H16542" s="40" t="s">
        <v>11404</v>
      </c>
    </row>
    <row r="16543">
      <c r="A16543" s="39"/>
      <c r="E16543" s="40" t="s">
        <v>11404</v>
      </c>
      <c r="F16543" s="40" t="s">
        <v>11404</v>
      </c>
      <c r="G16543" s="40" t="s">
        <v>11404</v>
      </c>
      <c r="H16543" s="40" t="s">
        <v>11404</v>
      </c>
    </row>
    <row r="16544">
      <c r="A16544" s="39"/>
      <c r="E16544" s="40" t="s">
        <v>11404</v>
      </c>
      <c r="F16544" s="40" t="s">
        <v>11404</v>
      </c>
      <c r="G16544" s="40" t="s">
        <v>11404</v>
      </c>
      <c r="H16544" s="40" t="s">
        <v>11404</v>
      </c>
    </row>
    <row r="16545">
      <c r="A16545" s="39"/>
      <c r="E16545" s="40" t="s">
        <v>11404</v>
      </c>
      <c r="F16545" s="40" t="s">
        <v>11404</v>
      </c>
      <c r="G16545" s="40" t="s">
        <v>11404</v>
      </c>
      <c r="H16545" s="40" t="s">
        <v>11404</v>
      </c>
    </row>
    <row r="16546">
      <c r="A16546" s="39"/>
      <c r="E16546" s="40" t="s">
        <v>11404</v>
      </c>
      <c r="F16546" s="40" t="s">
        <v>11404</v>
      </c>
      <c r="G16546" s="40" t="s">
        <v>11404</v>
      </c>
      <c r="H16546" s="40" t="s">
        <v>11404</v>
      </c>
    </row>
    <row r="16547">
      <c r="A16547" s="39"/>
      <c r="E16547" s="40" t="s">
        <v>11404</v>
      </c>
      <c r="F16547" s="40" t="s">
        <v>11404</v>
      </c>
      <c r="G16547" s="40" t="s">
        <v>11404</v>
      </c>
      <c r="H16547" s="40" t="s">
        <v>11404</v>
      </c>
    </row>
    <row r="16548">
      <c r="A16548" s="39"/>
      <c r="E16548" s="40" t="s">
        <v>11404</v>
      </c>
      <c r="F16548" s="40" t="s">
        <v>11404</v>
      </c>
      <c r="G16548" s="40" t="s">
        <v>11404</v>
      </c>
      <c r="H16548" s="40" t="s">
        <v>11404</v>
      </c>
    </row>
    <row r="16549">
      <c r="A16549" s="39"/>
      <c r="E16549" s="40" t="s">
        <v>11404</v>
      </c>
      <c r="F16549" s="40" t="s">
        <v>11404</v>
      </c>
      <c r="G16549" s="40" t="s">
        <v>11404</v>
      </c>
      <c r="H16549" s="40" t="s">
        <v>11404</v>
      </c>
    </row>
    <row r="16550">
      <c r="A16550" s="39"/>
      <c r="E16550" s="40" t="s">
        <v>11404</v>
      </c>
      <c r="F16550" s="40" t="s">
        <v>11404</v>
      </c>
      <c r="G16550" s="40" t="s">
        <v>11404</v>
      </c>
      <c r="H16550" s="40" t="s">
        <v>11404</v>
      </c>
    </row>
    <row r="16551">
      <c r="A16551" s="39"/>
      <c r="E16551" s="40" t="s">
        <v>11404</v>
      </c>
      <c r="F16551" s="40" t="s">
        <v>11404</v>
      </c>
      <c r="G16551" s="40" t="s">
        <v>11404</v>
      </c>
      <c r="H16551" s="40" t="s">
        <v>11404</v>
      </c>
    </row>
    <row r="16552">
      <c r="A16552" s="39"/>
      <c r="E16552" s="40" t="s">
        <v>11404</v>
      </c>
      <c r="F16552" s="40" t="s">
        <v>11404</v>
      </c>
      <c r="G16552" s="40" t="s">
        <v>11404</v>
      </c>
      <c r="H16552" s="40" t="s">
        <v>11404</v>
      </c>
    </row>
    <row r="16553">
      <c r="A16553" s="39"/>
      <c r="E16553" s="40" t="s">
        <v>11404</v>
      </c>
      <c r="F16553" s="40" t="s">
        <v>11404</v>
      </c>
      <c r="G16553" s="40" t="s">
        <v>11404</v>
      </c>
      <c r="H16553" s="40" t="s">
        <v>11404</v>
      </c>
    </row>
    <row r="16554">
      <c r="A16554" s="39"/>
      <c r="E16554" s="40" t="s">
        <v>11404</v>
      </c>
      <c r="F16554" s="40" t="s">
        <v>11404</v>
      </c>
      <c r="G16554" s="40" t="s">
        <v>11404</v>
      </c>
      <c r="H16554" s="40" t="s">
        <v>11404</v>
      </c>
    </row>
    <row r="16555">
      <c r="A16555" s="39"/>
      <c r="E16555" s="40" t="s">
        <v>11404</v>
      </c>
      <c r="F16555" s="40" t="s">
        <v>11404</v>
      </c>
      <c r="G16555" s="40" t="s">
        <v>11404</v>
      </c>
      <c r="H16555" s="40" t="s">
        <v>11404</v>
      </c>
    </row>
    <row r="16556">
      <c r="A16556" s="39"/>
      <c r="E16556" s="40" t="s">
        <v>11404</v>
      </c>
      <c r="F16556" s="40" t="s">
        <v>11404</v>
      </c>
      <c r="G16556" s="40" t="s">
        <v>11404</v>
      </c>
      <c r="H16556" s="40" t="s">
        <v>11404</v>
      </c>
    </row>
    <row r="16557">
      <c r="A16557" s="39"/>
      <c r="E16557" s="40" t="s">
        <v>11404</v>
      </c>
      <c r="F16557" s="40" t="s">
        <v>11404</v>
      </c>
      <c r="G16557" s="40" t="s">
        <v>11404</v>
      </c>
      <c r="H16557" s="40" t="s">
        <v>11404</v>
      </c>
    </row>
    <row r="16558">
      <c r="A16558" s="39"/>
      <c r="E16558" s="40" t="s">
        <v>11404</v>
      </c>
      <c r="F16558" s="40" t="s">
        <v>11404</v>
      </c>
      <c r="G16558" s="40" t="s">
        <v>11404</v>
      </c>
      <c r="H16558" s="40" t="s">
        <v>11404</v>
      </c>
    </row>
    <row r="16559">
      <c r="A16559" s="39"/>
      <c r="E16559" s="40" t="s">
        <v>11404</v>
      </c>
      <c r="F16559" s="40" t="s">
        <v>11404</v>
      </c>
      <c r="G16559" s="40" t="s">
        <v>11404</v>
      </c>
      <c r="H16559" s="40" t="s">
        <v>11404</v>
      </c>
    </row>
    <row r="16560">
      <c r="A16560" s="39"/>
      <c r="E16560" s="40" t="s">
        <v>11404</v>
      </c>
      <c r="F16560" s="40" t="s">
        <v>11404</v>
      </c>
      <c r="G16560" s="40" t="s">
        <v>11404</v>
      </c>
      <c r="H16560" s="40" t="s">
        <v>11404</v>
      </c>
    </row>
    <row r="16561">
      <c r="A16561" s="39"/>
      <c r="E16561" s="40" t="s">
        <v>11404</v>
      </c>
      <c r="F16561" s="40" t="s">
        <v>11404</v>
      </c>
      <c r="G16561" s="40" t="s">
        <v>11404</v>
      </c>
      <c r="H16561" s="40" t="s">
        <v>11404</v>
      </c>
    </row>
    <row r="16562">
      <c r="A16562" s="39"/>
      <c r="E16562" s="40" t="s">
        <v>11404</v>
      </c>
      <c r="F16562" s="40" t="s">
        <v>11404</v>
      </c>
      <c r="G16562" s="40" t="s">
        <v>11404</v>
      </c>
      <c r="H16562" s="40" t="s">
        <v>11404</v>
      </c>
    </row>
    <row r="16563">
      <c r="A16563" s="39"/>
      <c r="E16563" s="40" t="s">
        <v>11404</v>
      </c>
      <c r="F16563" s="40" t="s">
        <v>11404</v>
      </c>
      <c r="G16563" s="40" t="s">
        <v>11404</v>
      </c>
      <c r="H16563" s="40" t="s">
        <v>11404</v>
      </c>
    </row>
    <row r="16564">
      <c r="A16564" s="39"/>
      <c r="E16564" s="40" t="s">
        <v>11404</v>
      </c>
      <c r="F16564" s="40" t="s">
        <v>11404</v>
      </c>
      <c r="G16564" s="40" t="s">
        <v>11404</v>
      </c>
      <c r="H16564" s="40" t="s">
        <v>11404</v>
      </c>
    </row>
    <row r="16565">
      <c r="A16565" s="39"/>
      <c r="E16565" s="40" t="s">
        <v>11404</v>
      </c>
      <c r="F16565" s="40" t="s">
        <v>11404</v>
      </c>
      <c r="G16565" s="40" t="s">
        <v>11404</v>
      </c>
      <c r="H16565" s="40" t="s">
        <v>11404</v>
      </c>
    </row>
    <row r="16566">
      <c r="A16566" s="39"/>
      <c r="E16566" s="40" t="s">
        <v>11404</v>
      </c>
      <c r="F16566" s="40" t="s">
        <v>11404</v>
      </c>
      <c r="G16566" s="40" t="s">
        <v>11404</v>
      </c>
      <c r="H16566" s="40" t="s">
        <v>11404</v>
      </c>
    </row>
    <row r="16567">
      <c r="A16567" s="39"/>
      <c r="E16567" s="40" t="s">
        <v>11404</v>
      </c>
      <c r="F16567" s="40" t="s">
        <v>11404</v>
      </c>
      <c r="G16567" s="40" t="s">
        <v>11404</v>
      </c>
      <c r="H16567" s="40" t="s">
        <v>11404</v>
      </c>
    </row>
    <row r="16568">
      <c r="A16568" s="39"/>
      <c r="E16568" s="40" t="s">
        <v>11404</v>
      </c>
      <c r="F16568" s="40" t="s">
        <v>11404</v>
      </c>
      <c r="G16568" s="40" t="s">
        <v>11404</v>
      </c>
      <c r="H16568" s="40" t="s">
        <v>11404</v>
      </c>
    </row>
    <row r="16569">
      <c r="A16569" s="39"/>
      <c r="E16569" s="40" t="s">
        <v>11404</v>
      </c>
      <c r="F16569" s="40" t="s">
        <v>11404</v>
      </c>
      <c r="G16569" s="40" t="s">
        <v>11404</v>
      </c>
      <c r="H16569" s="40" t="s">
        <v>11404</v>
      </c>
    </row>
    <row r="16570">
      <c r="A16570" s="39"/>
      <c r="E16570" s="40" t="s">
        <v>11404</v>
      </c>
      <c r="F16570" s="40" t="s">
        <v>11404</v>
      </c>
      <c r="G16570" s="40" t="s">
        <v>11404</v>
      </c>
      <c r="H16570" s="40" t="s">
        <v>11404</v>
      </c>
    </row>
    <row r="16571">
      <c r="A16571" s="39"/>
      <c r="E16571" s="40" t="s">
        <v>11404</v>
      </c>
      <c r="F16571" s="40" t="s">
        <v>11404</v>
      </c>
      <c r="G16571" s="40" t="s">
        <v>11404</v>
      </c>
      <c r="H16571" s="40" t="s">
        <v>11404</v>
      </c>
    </row>
    <row r="16572">
      <c r="A16572" s="39"/>
      <c r="E16572" s="40" t="s">
        <v>11404</v>
      </c>
      <c r="F16572" s="40" t="s">
        <v>11404</v>
      </c>
      <c r="G16572" s="40" t="s">
        <v>11404</v>
      </c>
      <c r="H16572" s="40" t="s">
        <v>11404</v>
      </c>
    </row>
    <row r="16573">
      <c r="A16573" s="39"/>
      <c r="E16573" s="40" t="s">
        <v>11404</v>
      </c>
      <c r="F16573" s="40" t="s">
        <v>11404</v>
      </c>
      <c r="G16573" s="40" t="s">
        <v>11404</v>
      </c>
      <c r="H16573" s="40" t="s">
        <v>11404</v>
      </c>
    </row>
    <row r="16574">
      <c r="A16574" s="39"/>
      <c r="E16574" s="40" t="s">
        <v>11404</v>
      </c>
      <c r="F16574" s="40" t="s">
        <v>11404</v>
      </c>
      <c r="G16574" s="40" t="s">
        <v>11404</v>
      </c>
      <c r="H16574" s="40" t="s">
        <v>11404</v>
      </c>
    </row>
    <row r="16575">
      <c r="A16575" s="39"/>
      <c r="E16575" s="40" t="s">
        <v>11404</v>
      </c>
      <c r="F16575" s="40" t="s">
        <v>11404</v>
      </c>
      <c r="G16575" s="40" t="s">
        <v>11404</v>
      </c>
      <c r="H16575" s="40" t="s">
        <v>11404</v>
      </c>
    </row>
    <row r="16576">
      <c r="A16576" s="39"/>
      <c r="E16576" s="40" t="s">
        <v>11404</v>
      </c>
      <c r="F16576" s="40" t="s">
        <v>11404</v>
      </c>
      <c r="G16576" s="40" t="s">
        <v>11404</v>
      </c>
      <c r="H16576" s="40" t="s">
        <v>11404</v>
      </c>
    </row>
    <row r="16577">
      <c r="A16577" s="39"/>
      <c r="E16577" s="40" t="s">
        <v>11404</v>
      </c>
      <c r="F16577" s="40" t="s">
        <v>11404</v>
      </c>
      <c r="G16577" s="40" t="s">
        <v>11404</v>
      </c>
      <c r="H16577" s="40" t="s">
        <v>11404</v>
      </c>
    </row>
    <row r="16578">
      <c r="A16578" s="39"/>
      <c r="E16578" s="40" t="s">
        <v>11404</v>
      </c>
      <c r="F16578" s="40" t="s">
        <v>11404</v>
      </c>
      <c r="G16578" s="40" t="s">
        <v>11404</v>
      </c>
      <c r="H16578" s="40" t="s">
        <v>11404</v>
      </c>
    </row>
    <row r="16579">
      <c r="A16579" s="39"/>
      <c r="E16579" s="40" t="s">
        <v>11404</v>
      </c>
      <c r="F16579" s="40" t="s">
        <v>11404</v>
      </c>
      <c r="G16579" s="40" t="s">
        <v>11404</v>
      </c>
      <c r="H16579" s="40" t="s">
        <v>11404</v>
      </c>
    </row>
    <row r="16580">
      <c r="A16580" s="39"/>
      <c r="E16580" s="40" t="s">
        <v>11404</v>
      </c>
      <c r="F16580" s="40" t="s">
        <v>11404</v>
      </c>
      <c r="G16580" s="40" t="s">
        <v>11404</v>
      </c>
      <c r="H16580" s="40" t="s">
        <v>11404</v>
      </c>
    </row>
    <row r="16581">
      <c r="A16581" s="39"/>
      <c r="E16581" s="40" t="s">
        <v>11404</v>
      </c>
      <c r="F16581" s="40" t="s">
        <v>11404</v>
      </c>
      <c r="G16581" s="40" t="s">
        <v>11404</v>
      </c>
      <c r="H16581" s="40" t="s">
        <v>11404</v>
      </c>
    </row>
    <row r="16582">
      <c r="A16582" s="39"/>
      <c r="E16582" s="40" t="s">
        <v>11404</v>
      </c>
      <c r="F16582" s="40" t="s">
        <v>11404</v>
      </c>
      <c r="G16582" s="40" t="s">
        <v>11404</v>
      </c>
      <c r="H16582" s="40" t="s">
        <v>11404</v>
      </c>
    </row>
    <row r="16583">
      <c r="A16583" s="39"/>
      <c r="E16583" s="40" t="s">
        <v>11404</v>
      </c>
      <c r="F16583" s="40" t="s">
        <v>11404</v>
      </c>
      <c r="G16583" s="40" t="s">
        <v>11404</v>
      </c>
      <c r="H16583" s="40" t="s">
        <v>11404</v>
      </c>
    </row>
    <row r="16584">
      <c r="A16584" s="39"/>
      <c r="E16584" s="40" t="s">
        <v>11404</v>
      </c>
      <c r="F16584" s="40" t="s">
        <v>11404</v>
      </c>
      <c r="G16584" s="40" t="s">
        <v>11404</v>
      </c>
      <c r="H16584" s="40" t="s">
        <v>11404</v>
      </c>
    </row>
    <row r="16585">
      <c r="A16585" s="39"/>
      <c r="E16585" s="40" t="s">
        <v>11404</v>
      </c>
      <c r="F16585" s="40" t="s">
        <v>11404</v>
      </c>
      <c r="G16585" s="40" t="s">
        <v>11404</v>
      </c>
      <c r="H16585" s="40" t="s">
        <v>11404</v>
      </c>
    </row>
    <row r="16586">
      <c r="A16586" s="39"/>
      <c r="E16586" s="40" t="s">
        <v>11404</v>
      </c>
      <c r="F16586" s="40" t="s">
        <v>11404</v>
      </c>
      <c r="G16586" s="40" t="s">
        <v>11404</v>
      </c>
      <c r="H16586" s="40" t="s">
        <v>11404</v>
      </c>
    </row>
    <row r="16587">
      <c r="A16587" s="39"/>
      <c r="E16587" s="40" t="s">
        <v>11404</v>
      </c>
      <c r="F16587" s="40" t="s">
        <v>11404</v>
      </c>
      <c r="G16587" s="40" t="s">
        <v>11404</v>
      </c>
      <c r="H16587" s="40" t="s">
        <v>11404</v>
      </c>
    </row>
    <row r="16588">
      <c r="A16588" s="39"/>
      <c r="E16588" s="40" t="s">
        <v>11404</v>
      </c>
      <c r="F16588" s="40" t="s">
        <v>11404</v>
      </c>
      <c r="G16588" s="40" t="s">
        <v>11404</v>
      </c>
      <c r="H16588" s="40" t="s">
        <v>11404</v>
      </c>
    </row>
    <row r="16589">
      <c r="A16589" s="39"/>
      <c r="E16589" s="40" t="s">
        <v>11404</v>
      </c>
      <c r="F16589" s="40" t="s">
        <v>11404</v>
      </c>
      <c r="G16589" s="40" t="s">
        <v>11404</v>
      </c>
      <c r="H16589" s="40" t="s">
        <v>11404</v>
      </c>
    </row>
    <row r="16590">
      <c r="A16590" s="39"/>
      <c r="E16590" s="40" t="s">
        <v>11404</v>
      </c>
      <c r="F16590" s="40" t="s">
        <v>11404</v>
      </c>
      <c r="G16590" s="40" t="s">
        <v>11404</v>
      </c>
      <c r="H16590" s="40" t="s">
        <v>11404</v>
      </c>
    </row>
    <row r="16591">
      <c r="A16591" s="39"/>
      <c r="E16591" s="40" t="s">
        <v>11404</v>
      </c>
      <c r="F16591" s="40" t="s">
        <v>11404</v>
      </c>
      <c r="G16591" s="40" t="s">
        <v>11404</v>
      </c>
      <c r="H16591" s="40" t="s">
        <v>11404</v>
      </c>
    </row>
    <row r="16592">
      <c r="A16592" s="39"/>
      <c r="E16592" s="40" t="s">
        <v>11404</v>
      </c>
      <c r="F16592" s="40" t="s">
        <v>11404</v>
      </c>
      <c r="G16592" s="40" t="s">
        <v>11404</v>
      </c>
      <c r="H16592" s="40" t="s">
        <v>11404</v>
      </c>
    </row>
    <row r="16593">
      <c r="A16593" s="39"/>
      <c r="E16593" s="40" t="s">
        <v>11404</v>
      </c>
      <c r="F16593" s="40" t="s">
        <v>11404</v>
      </c>
      <c r="G16593" s="40" t="s">
        <v>11404</v>
      </c>
      <c r="H16593" s="40" t="s">
        <v>11404</v>
      </c>
    </row>
    <row r="16594">
      <c r="A16594" s="39"/>
      <c r="E16594" s="40" t="s">
        <v>11404</v>
      </c>
      <c r="F16594" s="40" t="s">
        <v>11404</v>
      </c>
      <c r="G16594" s="40" t="s">
        <v>11404</v>
      </c>
      <c r="H16594" s="40" t="s">
        <v>11404</v>
      </c>
    </row>
    <row r="16595">
      <c r="A16595" s="39"/>
      <c r="E16595" s="40" t="s">
        <v>11404</v>
      </c>
      <c r="F16595" s="40" t="s">
        <v>11404</v>
      </c>
      <c r="G16595" s="40" t="s">
        <v>11404</v>
      </c>
      <c r="H16595" s="40" t="s">
        <v>11404</v>
      </c>
    </row>
    <row r="16596">
      <c r="A16596" s="39"/>
      <c r="E16596" s="40" t="s">
        <v>11404</v>
      </c>
      <c r="F16596" s="40" t="s">
        <v>11404</v>
      </c>
      <c r="G16596" s="40" t="s">
        <v>11404</v>
      </c>
      <c r="H16596" s="40" t="s">
        <v>11404</v>
      </c>
    </row>
    <row r="16597">
      <c r="A16597" s="39"/>
      <c r="E16597" s="40" t="s">
        <v>11404</v>
      </c>
      <c r="F16597" s="40" t="s">
        <v>11404</v>
      </c>
      <c r="G16597" s="40" t="s">
        <v>11404</v>
      </c>
      <c r="H16597" s="40" t="s">
        <v>11404</v>
      </c>
    </row>
    <row r="16598">
      <c r="A16598" s="39"/>
      <c r="E16598" s="40" t="s">
        <v>11404</v>
      </c>
      <c r="F16598" s="40" t="s">
        <v>11404</v>
      </c>
      <c r="G16598" s="40" t="s">
        <v>11404</v>
      </c>
      <c r="H16598" s="40" t="s">
        <v>11404</v>
      </c>
    </row>
    <row r="16599">
      <c r="A16599" s="39"/>
      <c r="E16599" s="40" t="s">
        <v>11404</v>
      </c>
      <c r="F16599" s="40" t="s">
        <v>11404</v>
      </c>
      <c r="G16599" s="40" t="s">
        <v>11404</v>
      </c>
      <c r="H16599" s="40" t="s">
        <v>11404</v>
      </c>
    </row>
    <row r="16600">
      <c r="A16600" s="39"/>
      <c r="E16600" s="40" t="s">
        <v>11404</v>
      </c>
      <c r="F16600" s="40" t="s">
        <v>11404</v>
      </c>
      <c r="G16600" s="40" t="s">
        <v>11404</v>
      </c>
      <c r="H16600" s="40" t="s">
        <v>11404</v>
      </c>
    </row>
    <row r="16601">
      <c r="A16601" s="39"/>
      <c r="E16601" s="40" t="s">
        <v>11404</v>
      </c>
      <c r="F16601" s="40" t="s">
        <v>11404</v>
      </c>
      <c r="G16601" s="40" t="s">
        <v>11404</v>
      </c>
      <c r="H16601" s="40" t="s">
        <v>11404</v>
      </c>
    </row>
    <row r="16602">
      <c r="A16602" s="39"/>
      <c r="E16602" s="40" t="s">
        <v>11404</v>
      </c>
      <c r="F16602" s="40" t="s">
        <v>11404</v>
      </c>
      <c r="G16602" s="40" t="s">
        <v>11404</v>
      </c>
      <c r="H16602" s="40" t="s">
        <v>11404</v>
      </c>
    </row>
    <row r="16603">
      <c r="A16603" s="39"/>
      <c r="E16603" s="40" t="s">
        <v>11404</v>
      </c>
      <c r="F16603" s="40" t="s">
        <v>11404</v>
      </c>
      <c r="G16603" s="40" t="s">
        <v>11404</v>
      </c>
      <c r="H16603" s="40" t="s">
        <v>11404</v>
      </c>
    </row>
    <row r="16604">
      <c r="A16604" s="39"/>
      <c r="E16604" s="40" t="s">
        <v>11404</v>
      </c>
      <c r="F16604" s="40" t="s">
        <v>11404</v>
      </c>
      <c r="G16604" s="40" t="s">
        <v>11404</v>
      </c>
      <c r="H16604" s="40" t="s">
        <v>11404</v>
      </c>
    </row>
    <row r="16605">
      <c r="A16605" s="39"/>
      <c r="E16605" s="40" t="s">
        <v>11404</v>
      </c>
      <c r="F16605" s="40" t="s">
        <v>11404</v>
      </c>
      <c r="G16605" s="40" t="s">
        <v>11404</v>
      </c>
      <c r="H16605" s="40" t="s">
        <v>11404</v>
      </c>
    </row>
    <row r="16606">
      <c r="A16606" s="39"/>
      <c r="E16606" s="40" t="s">
        <v>11404</v>
      </c>
      <c r="F16606" s="40" t="s">
        <v>11404</v>
      </c>
      <c r="G16606" s="40" t="s">
        <v>11404</v>
      </c>
      <c r="H16606" s="40" t="s">
        <v>11404</v>
      </c>
    </row>
    <row r="16607">
      <c r="A16607" s="39"/>
      <c r="E16607" s="40" t="s">
        <v>11404</v>
      </c>
      <c r="F16607" s="40" t="s">
        <v>11404</v>
      </c>
      <c r="G16607" s="40" t="s">
        <v>11404</v>
      </c>
      <c r="H16607" s="40" t="s">
        <v>11404</v>
      </c>
    </row>
    <row r="16608">
      <c r="A16608" s="39"/>
      <c r="E16608" s="40" t="s">
        <v>11404</v>
      </c>
      <c r="F16608" s="40" t="s">
        <v>11404</v>
      </c>
      <c r="G16608" s="40" t="s">
        <v>11404</v>
      </c>
      <c r="H16608" s="40" t="s">
        <v>11404</v>
      </c>
    </row>
    <row r="16609">
      <c r="A16609" s="39"/>
      <c r="E16609" s="40" t="s">
        <v>11404</v>
      </c>
      <c r="F16609" s="40" t="s">
        <v>11404</v>
      </c>
      <c r="G16609" s="40" t="s">
        <v>11404</v>
      </c>
      <c r="H16609" s="40" t="s">
        <v>11404</v>
      </c>
    </row>
    <row r="16610">
      <c r="A16610" s="39"/>
      <c r="E16610" s="40" t="s">
        <v>11404</v>
      </c>
      <c r="F16610" s="40" t="s">
        <v>11404</v>
      </c>
      <c r="G16610" s="40" t="s">
        <v>11404</v>
      </c>
      <c r="H16610" s="40" t="s">
        <v>11404</v>
      </c>
    </row>
    <row r="16611">
      <c r="A16611" s="39"/>
      <c r="E16611" s="40" t="s">
        <v>11404</v>
      </c>
      <c r="F16611" s="40" t="s">
        <v>11404</v>
      </c>
      <c r="G16611" s="40" t="s">
        <v>11404</v>
      </c>
      <c r="H16611" s="40" t="s">
        <v>11404</v>
      </c>
    </row>
    <row r="16612">
      <c r="A16612" s="39"/>
      <c r="E16612" s="40" t="s">
        <v>11404</v>
      </c>
      <c r="F16612" s="40" t="s">
        <v>11404</v>
      </c>
      <c r="G16612" s="40" t="s">
        <v>11404</v>
      </c>
      <c r="H16612" s="40" t="s">
        <v>11404</v>
      </c>
    </row>
    <row r="16613">
      <c r="A16613" s="39"/>
      <c r="E16613" s="40" t="s">
        <v>11404</v>
      </c>
      <c r="F16613" s="40" t="s">
        <v>11404</v>
      </c>
      <c r="G16613" s="40" t="s">
        <v>11404</v>
      </c>
      <c r="H16613" s="40" t="s">
        <v>11404</v>
      </c>
    </row>
    <row r="16614">
      <c r="A16614" s="39"/>
      <c r="E16614" s="40" t="s">
        <v>11404</v>
      </c>
      <c r="F16614" s="40" t="s">
        <v>11404</v>
      </c>
      <c r="G16614" s="40" t="s">
        <v>11404</v>
      </c>
      <c r="H16614" s="40" t="s">
        <v>11404</v>
      </c>
    </row>
    <row r="16615">
      <c r="A16615" s="39"/>
      <c r="E16615" s="40" t="s">
        <v>11404</v>
      </c>
      <c r="F16615" s="40" t="s">
        <v>11404</v>
      </c>
      <c r="G16615" s="40" t="s">
        <v>11404</v>
      </c>
      <c r="H16615" s="40" t="s">
        <v>11404</v>
      </c>
    </row>
    <row r="16616">
      <c r="A16616" s="39"/>
      <c r="E16616" s="40" t="s">
        <v>11404</v>
      </c>
      <c r="F16616" s="40" t="s">
        <v>11404</v>
      </c>
      <c r="G16616" s="40" t="s">
        <v>11404</v>
      </c>
      <c r="H16616" s="40" t="s">
        <v>11404</v>
      </c>
    </row>
    <row r="16617">
      <c r="A16617" s="39"/>
      <c r="E16617" s="40" t="s">
        <v>11404</v>
      </c>
      <c r="F16617" s="40" t="s">
        <v>11404</v>
      </c>
      <c r="G16617" s="40" t="s">
        <v>11404</v>
      </c>
      <c r="H16617" s="40" t="s">
        <v>11404</v>
      </c>
    </row>
    <row r="16618">
      <c r="A16618" s="39"/>
      <c r="E16618" s="40" t="s">
        <v>11404</v>
      </c>
      <c r="F16618" s="40" t="s">
        <v>11404</v>
      </c>
      <c r="G16618" s="40" t="s">
        <v>11404</v>
      </c>
      <c r="H16618" s="40" t="s">
        <v>11404</v>
      </c>
    </row>
    <row r="16619">
      <c r="A16619" s="39"/>
      <c r="E16619" s="40" t="s">
        <v>11404</v>
      </c>
      <c r="F16619" s="40" t="s">
        <v>11404</v>
      </c>
      <c r="G16619" s="40" t="s">
        <v>11404</v>
      </c>
      <c r="H16619" s="40" t="s">
        <v>11404</v>
      </c>
    </row>
    <row r="16620">
      <c r="A16620" s="39"/>
      <c r="E16620" s="40" t="s">
        <v>11404</v>
      </c>
      <c r="F16620" s="40" t="s">
        <v>11404</v>
      </c>
      <c r="G16620" s="40" t="s">
        <v>11404</v>
      </c>
      <c r="H16620" s="40" t="s">
        <v>11404</v>
      </c>
    </row>
    <row r="16621">
      <c r="A16621" s="39"/>
      <c r="E16621" s="40" t="s">
        <v>11404</v>
      </c>
      <c r="F16621" s="40" t="s">
        <v>11404</v>
      </c>
      <c r="G16621" s="40" t="s">
        <v>11404</v>
      </c>
      <c r="H16621" s="40" t="s">
        <v>11404</v>
      </c>
    </row>
    <row r="16622">
      <c r="A16622" s="39"/>
      <c r="E16622" s="40" t="s">
        <v>11404</v>
      </c>
      <c r="F16622" s="40" t="s">
        <v>11404</v>
      </c>
      <c r="G16622" s="40" t="s">
        <v>11404</v>
      </c>
      <c r="H16622" s="40" t="s">
        <v>11404</v>
      </c>
    </row>
    <row r="16623">
      <c r="A16623" s="39"/>
      <c r="E16623" s="40" t="s">
        <v>11404</v>
      </c>
      <c r="F16623" s="40" t="s">
        <v>11404</v>
      </c>
      <c r="G16623" s="40" t="s">
        <v>11404</v>
      </c>
      <c r="H16623" s="40" t="s">
        <v>11404</v>
      </c>
    </row>
    <row r="16624">
      <c r="A16624" s="39"/>
      <c r="E16624" s="40" t="s">
        <v>11404</v>
      </c>
      <c r="F16624" s="40" t="s">
        <v>11404</v>
      </c>
      <c r="G16624" s="40" t="s">
        <v>11404</v>
      </c>
      <c r="H16624" s="40" t="s">
        <v>11404</v>
      </c>
    </row>
    <row r="16625">
      <c r="A16625" s="39"/>
      <c r="E16625" s="40" t="s">
        <v>11404</v>
      </c>
      <c r="F16625" s="40" t="s">
        <v>11404</v>
      </c>
      <c r="G16625" s="40" t="s">
        <v>11404</v>
      </c>
      <c r="H16625" s="40" t="s">
        <v>11404</v>
      </c>
    </row>
    <row r="16626">
      <c r="A16626" s="39"/>
      <c r="E16626" s="40" t="s">
        <v>11404</v>
      </c>
      <c r="F16626" s="40" t="s">
        <v>11404</v>
      </c>
      <c r="G16626" s="40" t="s">
        <v>11404</v>
      </c>
      <c r="H16626" s="40" t="s">
        <v>11404</v>
      </c>
    </row>
    <row r="16627">
      <c r="A16627" s="39"/>
      <c r="E16627" s="40" t="s">
        <v>11404</v>
      </c>
      <c r="F16627" s="40" t="s">
        <v>11404</v>
      </c>
      <c r="G16627" s="40" t="s">
        <v>11404</v>
      </c>
      <c r="H16627" s="40" t="s">
        <v>11404</v>
      </c>
    </row>
    <row r="16628">
      <c r="A16628" s="39"/>
      <c r="E16628" s="40" t="s">
        <v>11404</v>
      </c>
      <c r="F16628" s="40" t="s">
        <v>11404</v>
      </c>
      <c r="G16628" s="40" t="s">
        <v>11404</v>
      </c>
      <c r="H16628" s="40" t="s">
        <v>11404</v>
      </c>
    </row>
    <row r="16629">
      <c r="A16629" s="39"/>
      <c r="E16629" s="40" t="s">
        <v>11404</v>
      </c>
      <c r="F16629" s="40" t="s">
        <v>11404</v>
      </c>
      <c r="G16629" s="40" t="s">
        <v>11404</v>
      </c>
      <c r="H16629" s="40" t="s">
        <v>11404</v>
      </c>
    </row>
    <row r="16630">
      <c r="A16630" s="39"/>
      <c r="E16630" s="40" t="s">
        <v>11404</v>
      </c>
      <c r="F16630" s="40" t="s">
        <v>11404</v>
      </c>
      <c r="G16630" s="40" t="s">
        <v>11404</v>
      </c>
      <c r="H16630" s="40" t="s">
        <v>11404</v>
      </c>
    </row>
    <row r="16631">
      <c r="A16631" s="39"/>
      <c r="E16631" s="40" t="s">
        <v>11404</v>
      </c>
      <c r="F16631" s="40" t="s">
        <v>11404</v>
      </c>
      <c r="G16631" s="40" t="s">
        <v>11404</v>
      </c>
      <c r="H16631" s="40" t="s">
        <v>11404</v>
      </c>
    </row>
    <row r="16632">
      <c r="A16632" s="39"/>
      <c r="E16632" s="40" t="s">
        <v>11404</v>
      </c>
      <c r="F16632" s="40" t="s">
        <v>11404</v>
      </c>
      <c r="G16632" s="40" t="s">
        <v>11404</v>
      </c>
      <c r="H16632" s="40" t="s">
        <v>11404</v>
      </c>
    </row>
    <row r="16633">
      <c r="A16633" s="39"/>
      <c r="E16633" s="40" t="s">
        <v>11404</v>
      </c>
      <c r="F16633" s="40" t="s">
        <v>11404</v>
      </c>
      <c r="G16633" s="40" t="s">
        <v>11404</v>
      </c>
      <c r="H16633" s="40" t="s">
        <v>11404</v>
      </c>
    </row>
    <row r="16634">
      <c r="A16634" s="39"/>
      <c r="E16634" s="40" t="s">
        <v>11404</v>
      </c>
      <c r="F16634" s="40" t="s">
        <v>11404</v>
      </c>
      <c r="G16634" s="40" t="s">
        <v>11404</v>
      </c>
      <c r="H16634" s="40" t="s">
        <v>11404</v>
      </c>
    </row>
    <row r="16635">
      <c r="A16635" s="39"/>
      <c r="E16635" s="40" t="s">
        <v>11404</v>
      </c>
      <c r="F16635" s="40" t="s">
        <v>11404</v>
      </c>
      <c r="G16635" s="40" t="s">
        <v>11404</v>
      </c>
      <c r="H16635" s="40" t="s">
        <v>11404</v>
      </c>
    </row>
    <row r="16636">
      <c r="A16636" s="39"/>
      <c r="E16636" s="40" t="s">
        <v>11404</v>
      </c>
      <c r="F16636" s="40" t="s">
        <v>11404</v>
      </c>
      <c r="G16636" s="40" t="s">
        <v>11404</v>
      </c>
      <c r="H16636" s="40" t="s">
        <v>11404</v>
      </c>
    </row>
    <row r="16637">
      <c r="A16637" s="39"/>
      <c r="E16637" s="40" t="s">
        <v>11404</v>
      </c>
      <c r="F16637" s="40" t="s">
        <v>11404</v>
      </c>
      <c r="G16637" s="40" t="s">
        <v>11404</v>
      </c>
      <c r="H16637" s="40" t="s">
        <v>11404</v>
      </c>
    </row>
    <row r="16638">
      <c r="A16638" s="39"/>
      <c r="E16638" s="40" t="s">
        <v>11404</v>
      </c>
      <c r="F16638" s="40" t="s">
        <v>11404</v>
      </c>
      <c r="G16638" s="40" t="s">
        <v>11404</v>
      </c>
      <c r="H16638" s="40" t="s">
        <v>11404</v>
      </c>
    </row>
    <row r="16639">
      <c r="A16639" s="39"/>
      <c r="E16639" s="40" t="s">
        <v>11404</v>
      </c>
      <c r="F16639" s="40" t="s">
        <v>11404</v>
      </c>
      <c r="G16639" s="40" t="s">
        <v>11404</v>
      </c>
      <c r="H16639" s="40" t="s">
        <v>11404</v>
      </c>
    </row>
    <row r="16640">
      <c r="A16640" s="39"/>
      <c r="E16640" s="40" t="s">
        <v>11404</v>
      </c>
      <c r="F16640" s="40" t="s">
        <v>11404</v>
      </c>
      <c r="G16640" s="40" t="s">
        <v>11404</v>
      </c>
      <c r="H16640" s="40" t="s">
        <v>11404</v>
      </c>
    </row>
    <row r="16641">
      <c r="A16641" s="39"/>
      <c r="E16641" s="40" t="s">
        <v>11404</v>
      </c>
      <c r="F16641" s="40" t="s">
        <v>11404</v>
      </c>
      <c r="G16641" s="40" t="s">
        <v>11404</v>
      </c>
      <c r="H16641" s="40" t="s">
        <v>11404</v>
      </c>
    </row>
    <row r="16642">
      <c r="A16642" s="39"/>
      <c r="E16642" s="40" t="s">
        <v>11404</v>
      </c>
      <c r="F16642" s="40" t="s">
        <v>11404</v>
      </c>
      <c r="G16642" s="40" t="s">
        <v>11404</v>
      </c>
      <c r="H16642" s="40" t="s">
        <v>11404</v>
      </c>
    </row>
    <row r="16643">
      <c r="A16643" s="39"/>
      <c r="E16643" s="40" t="s">
        <v>11404</v>
      </c>
      <c r="F16643" s="40" t="s">
        <v>11404</v>
      </c>
      <c r="G16643" s="40" t="s">
        <v>11404</v>
      </c>
      <c r="H16643" s="40" t="s">
        <v>11404</v>
      </c>
    </row>
    <row r="16644">
      <c r="A16644" s="39"/>
      <c r="E16644" s="40" t="s">
        <v>11404</v>
      </c>
      <c r="F16644" s="40" t="s">
        <v>11404</v>
      </c>
      <c r="G16644" s="40" t="s">
        <v>11404</v>
      </c>
      <c r="H16644" s="40" t="s">
        <v>11404</v>
      </c>
    </row>
    <row r="16645">
      <c r="A16645" s="39"/>
      <c r="E16645" s="40" t="s">
        <v>11404</v>
      </c>
      <c r="F16645" s="40" t="s">
        <v>11404</v>
      </c>
      <c r="G16645" s="40" t="s">
        <v>11404</v>
      </c>
      <c r="H16645" s="40" t="s">
        <v>11404</v>
      </c>
    </row>
    <row r="16646">
      <c r="A16646" s="39"/>
      <c r="E16646" s="40" t="s">
        <v>11404</v>
      </c>
      <c r="F16646" s="40" t="s">
        <v>11404</v>
      </c>
      <c r="G16646" s="40" t="s">
        <v>11404</v>
      </c>
      <c r="H16646" s="40" t="s">
        <v>11404</v>
      </c>
    </row>
    <row r="16647">
      <c r="A16647" s="39"/>
      <c r="E16647" s="40" t="s">
        <v>11404</v>
      </c>
      <c r="F16647" s="40" t="s">
        <v>11404</v>
      </c>
      <c r="G16647" s="40" t="s">
        <v>11404</v>
      </c>
      <c r="H16647" s="40" t="s">
        <v>11404</v>
      </c>
    </row>
    <row r="16648">
      <c r="A16648" s="39"/>
      <c r="E16648" s="40" t="s">
        <v>11404</v>
      </c>
      <c r="F16648" s="40" t="s">
        <v>11404</v>
      </c>
      <c r="G16648" s="40" t="s">
        <v>11404</v>
      </c>
      <c r="H16648" s="40" t="s">
        <v>11404</v>
      </c>
    </row>
    <row r="16649">
      <c r="A16649" s="39"/>
      <c r="E16649" s="40" t="s">
        <v>11404</v>
      </c>
      <c r="F16649" s="40" t="s">
        <v>11404</v>
      </c>
      <c r="G16649" s="40" t="s">
        <v>11404</v>
      </c>
      <c r="H16649" s="40" t="s">
        <v>11404</v>
      </c>
    </row>
    <row r="16650">
      <c r="A16650" s="39"/>
      <c r="E16650" s="40" t="s">
        <v>11404</v>
      </c>
      <c r="F16650" s="40" t="s">
        <v>11404</v>
      </c>
      <c r="G16650" s="40" t="s">
        <v>11404</v>
      </c>
      <c r="H16650" s="40" t="s">
        <v>11404</v>
      </c>
    </row>
    <row r="16651">
      <c r="A16651" s="39"/>
      <c r="E16651" s="40" t="s">
        <v>11404</v>
      </c>
      <c r="F16651" s="40" t="s">
        <v>11404</v>
      </c>
      <c r="G16651" s="40" t="s">
        <v>11404</v>
      </c>
      <c r="H16651" s="40" t="s">
        <v>11404</v>
      </c>
    </row>
    <row r="16652">
      <c r="A16652" s="39"/>
      <c r="E16652" s="40" t="s">
        <v>11404</v>
      </c>
      <c r="F16652" s="40" t="s">
        <v>11404</v>
      </c>
      <c r="G16652" s="40" t="s">
        <v>11404</v>
      </c>
      <c r="H16652" s="40" t="s">
        <v>11404</v>
      </c>
    </row>
    <row r="16653">
      <c r="A16653" s="39"/>
      <c r="E16653" s="40" t="s">
        <v>11404</v>
      </c>
      <c r="F16653" s="40" t="s">
        <v>11404</v>
      </c>
      <c r="G16653" s="40" t="s">
        <v>11404</v>
      </c>
      <c r="H16653" s="40" t="s">
        <v>11404</v>
      </c>
    </row>
    <row r="16654">
      <c r="A16654" s="39"/>
      <c r="E16654" s="40" t="s">
        <v>11404</v>
      </c>
      <c r="F16654" s="40" t="s">
        <v>11404</v>
      </c>
      <c r="G16654" s="40" t="s">
        <v>11404</v>
      </c>
      <c r="H16654" s="40" t="s">
        <v>11404</v>
      </c>
    </row>
    <row r="16655">
      <c r="A16655" s="39"/>
      <c r="E16655" s="40" t="s">
        <v>11404</v>
      </c>
      <c r="F16655" s="40" t="s">
        <v>11404</v>
      </c>
      <c r="G16655" s="40" t="s">
        <v>11404</v>
      </c>
      <c r="H16655" s="40" t="s">
        <v>11404</v>
      </c>
    </row>
    <row r="16656">
      <c r="A16656" s="39"/>
      <c r="E16656" s="40" t="s">
        <v>11404</v>
      </c>
      <c r="F16656" s="40" t="s">
        <v>11404</v>
      </c>
      <c r="G16656" s="40" t="s">
        <v>11404</v>
      </c>
      <c r="H16656" s="40" t="s">
        <v>11404</v>
      </c>
    </row>
    <row r="16657">
      <c r="A16657" s="39"/>
      <c r="E16657" s="40" t="s">
        <v>11404</v>
      </c>
      <c r="F16657" s="40" t="s">
        <v>11404</v>
      </c>
      <c r="G16657" s="40" t="s">
        <v>11404</v>
      </c>
      <c r="H16657" s="40" t="s">
        <v>11404</v>
      </c>
    </row>
    <row r="16658">
      <c r="A16658" s="39"/>
      <c r="E16658" s="40" t="s">
        <v>11404</v>
      </c>
      <c r="F16658" s="40" t="s">
        <v>11404</v>
      </c>
      <c r="G16658" s="40" t="s">
        <v>11404</v>
      </c>
      <c r="H16658" s="40" t="s">
        <v>11404</v>
      </c>
    </row>
    <row r="16659">
      <c r="A16659" s="39"/>
      <c r="E16659" s="40" t="s">
        <v>11404</v>
      </c>
      <c r="F16659" s="40" t="s">
        <v>11404</v>
      </c>
      <c r="G16659" s="40" t="s">
        <v>11404</v>
      </c>
      <c r="H16659" s="40" t="s">
        <v>11404</v>
      </c>
    </row>
    <row r="16660">
      <c r="A16660" s="39"/>
      <c r="E16660" s="40" t="s">
        <v>11404</v>
      </c>
      <c r="F16660" s="40" t="s">
        <v>11404</v>
      </c>
      <c r="G16660" s="40" t="s">
        <v>11404</v>
      </c>
      <c r="H16660" s="40" t="s">
        <v>11404</v>
      </c>
    </row>
    <row r="16661">
      <c r="A16661" s="39"/>
      <c r="E16661" s="40" t="s">
        <v>11404</v>
      </c>
      <c r="F16661" s="40" t="s">
        <v>11404</v>
      </c>
      <c r="G16661" s="40" t="s">
        <v>11404</v>
      </c>
      <c r="H16661" s="40" t="s">
        <v>11404</v>
      </c>
    </row>
    <row r="16662">
      <c r="A16662" s="39"/>
      <c r="E16662" s="40" t="s">
        <v>11404</v>
      </c>
      <c r="F16662" s="40" t="s">
        <v>11404</v>
      </c>
      <c r="G16662" s="40" t="s">
        <v>11404</v>
      </c>
      <c r="H16662" s="40" t="s">
        <v>11404</v>
      </c>
    </row>
    <row r="16663">
      <c r="A16663" s="39"/>
      <c r="E16663" s="40" t="s">
        <v>11404</v>
      </c>
      <c r="F16663" s="40" t="s">
        <v>11404</v>
      </c>
      <c r="G16663" s="40" t="s">
        <v>11404</v>
      </c>
      <c r="H16663" s="40" t="s">
        <v>11404</v>
      </c>
    </row>
    <row r="16664">
      <c r="A16664" s="39"/>
      <c r="E16664" s="40" t="s">
        <v>11404</v>
      </c>
      <c r="F16664" s="40" t="s">
        <v>11404</v>
      </c>
      <c r="G16664" s="40" t="s">
        <v>11404</v>
      </c>
      <c r="H16664" s="40" t="s">
        <v>11404</v>
      </c>
    </row>
    <row r="16665">
      <c r="A16665" s="39"/>
      <c r="E16665" s="40" t="s">
        <v>11404</v>
      </c>
      <c r="F16665" s="40" t="s">
        <v>11404</v>
      </c>
      <c r="G16665" s="40" t="s">
        <v>11404</v>
      </c>
      <c r="H16665" s="40" t="s">
        <v>11404</v>
      </c>
    </row>
    <row r="16666">
      <c r="A16666" s="39"/>
      <c r="E16666" s="40" t="s">
        <v>11404</v>
      </c>
      <c r="F16666" s="40" t="s">
        <v>11404</v>
      </c>
      <c r="G16666" s="40" t="s">
        <v>11404</v>
      </c>
      <c r="H16666" s="40" t="s">
        <v>11404</v>
      </c>
    </row>
    <row r="16667">
      <c r="A16667" s="39"/>
      <c r="E16667" s="40" t="s">
        <v>11404</v>
      </c>
      <c r="F16667" s="40" t="s">
        <v>11404</v>
      </c>
      <c r="G16667" s="40" t="s">
        <v>11404</v>
      </c>
      <c r="H16667" s="40" t="s">
        <v>11404</v>
      </c>
    </row>
    <row r="16668">
      <c r="A16668" s="39"/>
      <c r="E16668" s="40" t="s">
        <v>11404</v>
      </c>
      <c r="F16668" s="40" t="s">
        <v>11404</v>
      </c>
      <c r="G16668" s="40" t="s">
        <v>11404</v>
      </c>
      <c r="H16668" s="40" t="s">
        <v>11404</v>
      </c>
    </row>
    <row r="16669">
      <c r="A16669" s="39"/>
      <c r="E16669" s="40" t="s">
        <v>11404</v>
      </c>
      <c r="F16669" s="40" t="s">
        <v>11404</v>
      </c>
      <c r="G16669" s="40" t="s">
        <v>11404</v>
      </c>
      <c r="H16669" s="40" t="s">
        <v>11404</v>
      </c>
    </row>
    <row r="16670">
      <c r="A16670" s="39"/>
      <c r="E16670" s="40" t="s">
        <v>11404</v>
      </c>
      <c r="F16670" s="40" t="s">
        <v>11404</v>
      </c>
      <c r="G16670" s="40" t="s">
        <v>11404</v>
      </c>
      <c r="H16670" s="40" t="s">
        <v>11404</v>
      </c>
    </row>
    <row r="16671">
      <c r="A16671" s="39"/>
      <c r="E16671" s="40" t="s">
        <v>11404</v>
      </c>
      <c r="F16671" s="40" t="s">
        <v>11404</v>
      </c>
      <c r="G16671" s="40" t="s">
        <v>11404</v>
      </c>
      <c r="H16671" s="40" t="s">
        <v>11404</v>
      </c>
    </row>
    <row r="16672">
      <c r="A16672" s="39"/>
      <c r="E16672" s="40" t="s">
        <v>11404</v>
      </c>
      <c r="F16672" s="40" t="s">
        <v>11404</v>
      </c>
      <c r="G16672" s="40" t="s">
        <v>11404</v>
      </c>
      <c r="H16672" s="40" t="s">
        <v>11404</v>
      </c>
    </row>
    <row r="16673">
      <c r="A16673" s="39"/>
      <c r="E16673" s="40" t="s">
        <v>11404</v>
      </c>
      <c r="F16673" s="40" t="s">
        <v>11404</v>
      </c>
      <c r="G16673" s="40" t="s">
        <v>11404</v>
      </c>
      <c r="H16673" s="40" t="s">
        <v>11404</v>
      </c>
    </row>
    <row r="16674">
      <c r="A16674" s="39"/>
      <c r="E16674" s="40" t="s">
        <v>11404</v>
      </c>
      <c r="F16674" s="40" t="s">
        <v>11404</v>
      </c>
      <c r="G16674" s="40" t="s">
        <v>11404</v>
      </c>
      <c r="H16674" s="40" t="s">
        <v>11404</v>
      </c>
    </row>
    <row r="16675">
      <c r="A16675" s="39"/>
      <c r="E16675" s="40" t="s">
        <v>11404</v>
      </c>
      <c r="F16675" s="40" t="s">
        <v>11404</v>
      </c>
      <c r="G16675" s="40" t="s">
        <v>11404</v>
      </c>
      <c r="H16675" s="40" t="s">
        <v>11404</v>
      </c>
    </row>
    <row r="16676">
      <c r="A16676" s="39"/>
      <c r="E16676" s="40" t="s">
        <v>11404</v>
      </c>
      <c r="F16676" s="40" t="s">
        <v>11404</v>
      </c>
      <c r="G16676" s="40" t="s">
        <v>11404</v>
      </c>
      <c r="H16676" s="40" t="s">
        <v>11404</v>
      </c>
    </row>
    <row r="16677">
      <c r="A16677" s="39"/>
      <c r="E16677" s="40" t="s">
        <v>11404</v>
      </c>
      <c r="F16677" s="40" t="s">
        <v>11404</v>
      </c>
      <c r="G16677" s="40" t="s">
        <v>11404</v>
      </c>
      <c r="H16677" s="40" t="s">
        <v>11404</v>
      </c>
    </row>
    <row r="16678">
      <c r="A16678" s="39"/>
      <c r="E16678" s="40" t="s">
        <v>11404</v>
      </c>
      <c r="F16678" s="40" t="s">
        <v>11404</v>
      </c>
      <c r="G16678" s="40" t="s">
        <v>11404</v>
      </c>
      <c r="H16678" s="40" t="s">
        <v>11404</v>
      </c>
    </row>
    <row r="16679">
      <c r="A16679" s="39"/>
      <c r="E16679" s="40" t="s">
        <v>11404</v>
      </c>
      <c r="F16679" s="40" t="s">
        <v>11404</v>
      </c>
      <c r="G16679" s="40" t="s">
        <v>11404</v>
      </c>
      <c r="H16679" s="40" t="s">
        <v>11404</v>
      </c>
    </row>
    <row r="16680">
      <c r="A16680" s="39"/>
      <c r="E16680" s="40" t="s">
        <v>11404</v>
      </c>
      <c r="F16680" s="40" t="s">
        <v>11404</v>
      </c>
      <c r="G16680" s="40" t="s">
        <v>11404</v>
      </c>
      <c r="H16680" s="40" t="s">
        <v>11404</v>
      </c>
    </row>
    <row r="16681">
      <c r="A16681" s="39"/>
      <c r="E16681" s="40" t="s">
        <v>11404</v>
      </c>
      <c r="F16681" s="40" t="s">
        <v>11404</v>
      </c>
      <c r="G16681" s="40" t="s">
        <v>11404</v>
      </c>
      <c r="H16681" s="40" t="s">
        <v>11404</v>
      </c>
    </row>
    <row r="16682">
      <c r="A16682" s="39"/>
      <c r="E16682" s="40" t="s">
        <v>11404</v>
      </c>
      <c r="F16682" s="40" t="s">
        <v>11404</v>
      </c>
      <c r="G16682" s="40" t="s">
        <v>11404</v>
      </c>
      <c r="H16682" s="40" t="s">
        <v>11404</v>
      </c>
    </row>
    <row r="16683">
      <c r="A16683" s="39"/>
      <c r="E16683" s="40" t="s">
        <v>11404</v>
      </c>
      <c r="F16683" s="40" t="s">
        <v>11404</v>
      </c>
      <c r="G16683" s="40" t="s">
        <v>11404</v>
      </c>
      <c r="H16683" s="40" t="s">
        <v>11404</v>
      </c>
    </row>
    <row r="16684">
      <c r="A16684" s="39"/>
      <c r="E16684" s="40" t="s">
        <v>11404</v>
      </c>
      <c r="F16684" s="40" t="s">
        <v>11404</v>
      </c>
      <c r="G16684" s="40" t="s">
        <v>11404</v>
      </c>
      <c r="H16684" s="40" t="s">
        <v>11404</v>
      </c>
    </row>
    <row r="16685">
      <c r="A16685" s="39"/>
      <c r="E16685" s="40" t="s">
        <v>11404</v>
      </c>
      <c r="F16685" s="40" t="s">
        <v>11404</v>
      </c>
      <c r="G16685" s="40" t="s">
        <v>11404</v>
      </c>
      <c r="H16685" s="40" t="s">
        <v>11404</v>
      </c>
    </row>
    <row r="16686">
      <c r="A16686" s="39"/>
      <c r="E16686" s="40" t="s">
        <v>11404</v>
      </c>
      <c r="F16686" s="40" t="s">
        <v>11404</v>
      </c>
      <c r="G16686" s="40" t="s">
        <v>11404</v>
      </c>
      <c r="H16686" s="40" t="s">
        <v>11404</v>
      </c>
    </row>
    <row r="16687">
      <c r="A16687" s="39"/>
      <c r="E16687" s="40" t="s">
        <v>11404</v>
      </c>
      <c r="F16687" s="40" t="s">
        <v>11404</v>
      </c>
      <c r="G16687" s="40" t="s">
        <v>11404</v>
      </c>
      <c r="H16687" s="40" t="s">
        <v>11404</v>
      </c>
    </row>
    <row r="16688">
      <c r="A16688" s="39"/>
      <c r="E16688" s="40" t="s">
        <v>11404</v>
      </c>
      <c r="F16688" s="40" t="s">
        <v>11404</v>
      </c>
      <c r="G16688" s="40" t="s">
        <v>11404</v>
      </c>
      <c r="H16688" s="40" t="s">
        <v>11404</v>
      </c>
    </row>
    <row r="16689">
      <c r="A16689" s="39"/>
      <c r="E16689" s="40" t="s">
        <v>11404</v>
      </c>
      <c r="F16689" s="40" t="s">
        <v>11404</v>
      </c>
      <c r="G16689" s="40" t="s">
        <v>11404</v>
      </c>
      <c r="H16689" s="40" t="s">
        <v>11404</v>
      </c>
    </row>
    <row r="16690">
      <c r="A16690" s="39"/>
      <c r="E16690" s="40" t="s">
        <v>11404</v>
      </c>
      <c r="F16690" s="40" t="s">
        <v>11404</v>
      </c>
      <c r="G16690" s="40" t="s">
        <v>11404</v>
      </c>
      <c r="H16690" s="40" t="s">
        <v>11404</v>
      </c>
    </row>
    <row r="16691">
      <c r="A16691" s="39"/>
      <c r="E16691" s="40" t="s">
        <v>11404</v>
      </c>
      <c r="F16691" s="40" t="s">
        <v>11404</v>
      </c>
      <c r="G16691" s="40" t="s">
        <v>11404</v>
      </c>
      <c r="H16691" s="40" t="s">
        <v>11404</v>
      </c>
    </row>
    <row r="16692">
      <c r="A16692" s="39"/>
      <c r="E16692" s="40" t="s">
        <v>11404</v>
      </c>
      <c r="F16692" s="40" t="s">
        <v>11404</v>
      </c>
      <c r="G16692" s="40" t="s">
        <v>11404</v>
      </c>
      <c r="H16692" s="40" t="s">
        <v>11404</v>
      </c>
    </row>
    <row r="16693">
      <c r="A16693" s="39"/>
      <c r="E16693" s="40" t="s">
        <v>11404</v>
      </c>
      <c r="F16693" s="40" t="s">
        <v>11404</v>
      </c>
      <c r="G16693" s="40" t="s">
        <v>11404</v>
      </c>
      <c r="H16693" s="40" t="s">
        <v>11404</v>
      </c>
    </row>
    <row r="16694">
      <c r="A16694" s="39"/>
      <c r="E16694" s="40" t="s">
        <v>11404</v>
      </c>
      <c r="F16694" s="40" t="s">
        <v>11404</v>
      </c>
      <c r="G16694" s="40" t="s">
        <v>11404</v>
      </c>
      <c r="H16694" s="40" t="s">
        <v>11404</v>
      </c>
    </row>
    <row r="16695">
      <c r="A16695" s="39"/>
      <c r="E16695" s="40" t="s">
        <v>11404</v>
      </c>
      <c r="F16695" s="40" t="s">
        <v>11404</v>
      </c>
      <c r="G16695" s="40" t="s">
        <v>11404</v>
      </c>
      <c r="H16695" s="40" t="s">
        <v>11404</v>
      </c>
    </row>
    <row r="16696">
      <c r="A16696" s="39"/>
      <c r="E16696" s="40" t="s">
        <v>11404</v>
      </c>
      <c r="F16696" s="40" t="s">
        <v>11404</v>
      </c>
      <c r="G16696" s="40" t="s">
        <v>11404</v>
      </c>
      <c r="H16696" s="40" t="s">
        <v>11404</v>
      </c>
    </row>
    <row r="16697">
      <c r="A16697" s="39"/>
      <c r="E16697" s="40" t="s">
        <v>11404</v>
      </c>
      <c r="F16697" s="40" t="s">
        <v>11404</v>
      </c>
      <c r="G16697" s="40" t="s">
        <v>11404</v>
      </c>
      <c r="H16697" s="40" t="s">
        <v>11404</v>
      </c>
    </row>
    <row r="16698">
      <c r="A16698" s="39"/>
      <c r="E16698" s="40" t="s">
        <v>11404</v>
      </c>
      <c r="F16698" s="40" t="s">
        <v>11404</v>
      </c>
      <c r="G16698" s="40" t="s">
        <v>11404</v>
      </c>
      <c r="H16698" s="40" t="s">
        <v>11404</v>
      </c>
    </row>
    <row r="16699">
      <c r="A16699" s="39"/>
      <c r="E16699" s="40" t="s">
        <v>11404</v>
      </c>
      <c r="F16699" s="40" t="s">
        <v>11404</v>
      </c>
      <c r="G16699" s="40" t="s">
        <v>11404</v>
      </c>
      <c r="H16699" s="40" t="s">
        <v>11404</v>
      </c>
    </row>
    <row r="16700">
      <c r="A16700" s="39"/>
      <c r="E16700" s="40" t="s">
        <v>11404</v>
      </c>
      <c r="F16700" s="40" t="s">
        <v>11404</v>
      </c>
      <c r="G16700" s="40" t="s">
        <v>11404</v>
      </c>
      <c r="H16700" s="40" t="s">
        <v>11404</v>
      </c>
    </row>
    <row r="16701">
      <c r="A16701" s="39"/>
      <c r="E16701" s="40" t="s">
        <v>11404</v>
      </c>
      <c r="F16701" s="40" t="s">
        <v>11404</v>
      </c>
      <c r="G16701" s="40" t="s">
        <v>11404</v>
      </c>
      <c r="H16701" s="40" t="s">
        <v>11404</v>
      </c>
    </row>
    <row r="16702">
      <c r="A16702" s="39"/>
      <c r="E16702" s="40" t="s">
        <v>11404</v>
      </c>
      <c r="F16702" s="40" t="s">
        <v>11404</v>
      </c>
      <c r="G16702" s="40" t="s">
        <v>11404</v>
      </c>
      <c r="H16702" s="40" t="s">
        <v>11404</v>
      </c>
    </row>
    <row r="16703">
      <c r="A16703" s="39"/>
      <c r="E16703" s="40" t="s">
        <v>11404</v>
      </c>
      <c r="F16703" s="40" t="s">
        <v>11404</v>
      </c>
      <c r="G16703" s="40" t="s">
        <v>11404</v>
      </c>
      <c r="H16703" s="40" t="s">
        <v>11404</v>
      </c>
    </row>
    <row r="16704">
      <c r="A16704" s="39"/>
      <c r="E16704" s="40" t="s">
        <v>11404</v>
      </c>
      <c r="F16704" s="40" t="s">
        <v>11404</v>
      </c>
      <c r="G16704" s="40" t="s">
        <v>11404</v>
      </c>
      <c r="H16704" s="40" t="s">
        <v>11404</v>
      </c>
    </row>
    <row r="16705">
      <c r="A16705" s="39"/>
      <c r="E16705" s="40" t="s">
        <v>11404</v>
      </c>
      <c r="F16705" s="40" t="s">
        <v>11404</v>
      </c>
      <c r="G16705" s="40" t="s">
        <v>11404</v>
      </c>
      <c r="H16705" s="40" t="s">
        <v>11404</v>
      </c>
    </row>
    <row r="16706">
      <c r="A16706" s="39"/>
      <c r="E16706" s="40" t="s">
        <v>11404</v>
      </c>
      <c r="F16706" s="40" t="s">
        <v>11404</v>
      </c>
      <c r="G16706" s="40" t="s">
        <v>11404</v>
      </c>
      <c r="H16706" s="40" t="s">
        <v>11404</v>
      </c>
    </row>
    <row r="16707">
      <c r="A16707" s="39"/>
      <c r="E16707" s="40" t="s">
        <v>11404</v>
      </c>
      <c r="F16707" s="40" t="s">
        <v>11404</v>
      </c>
      <c r="G16707" s="40" t="s">
        <v>11404</v>
      </c>
      <c r="H16707" s="40" t="s">
        <v>11404</v>
      </c>
    </row>
    <row r="16708">
      <c r="A16708" s="39"/>
      <c r="E16708" s="40" t="s">
        <v>11404</v>
      </c>
      <c r="F16708" s="40" t="s">
        <v>11404</v>
      </c>
      <c r="G16708" s="40" t="s">
        <v>11404</v>
      </c>
      <c r="H16708" s="40" t="s">
        <v>11404</v>
      </c>
    </row>
    <row r="16709">
      <c r="A16709" s="39"/>
      <c r="E16709" s="40" t="s">
        <v>11404</v>
      </c>
      <c r="F16709" s="40" t="s">
        <v>11404</v>
      </c>
      <c r="G16709" s="40" t="s">
        <v>11404</v>
      </c>
      <c r="H16709" s="40" t="s">
        <v>11404</v>
      </c>
    </row>
    <row r="16710">
      <c r="A16710" s="39"/>
      <c r="E16710" s="40" t="s">
        <v>11404</v>
      </c>
      <c r="F16710" s="40" t="s">
        <v>11404</v>
      </c>
      <c r="G16710" s="40" t="s">
        <v>11404</v>
      </c>
      <c r="H16710" s="40" t="s">
        <v>11404</v>
      </c>
    </row>
    <row r="16711">
      <c r="A16711" s="39"/>
      <c r="E16711" s="40" t="s">
        <v>11404</v>
      </c>
      <c r="F16711" s="40" t="s">
        <v>11404</v>
      </c>
      <c r="G16711" s="40" t="s">
        <v>11404</v>
      </c>
      <c r="H16711" s="40" t="s">
        <v>11404</v>
      </c>
    </row>
    <row r="16712">
      <c r="A16712" s="39"/>
      <c r="E16712" s="40" t="s">
        <v>11404</v>
      </c>
      <c r="F16712" s="40" t="s">
        <v>11404</v>
      </c>
      <c r="G16712" s="40" t="s">
        <v>11404</v>
      </c>
      <c r="H16712" s="40" t="s">
        <v>11404</v>
      </c>
    </row>
    <row r="16713">
      <c r="A16713" s="39"/>
      <c r="E16713" s="40" t="s">
        <v>11404</v>
      </c>
      <c r="F16713" s="40" t="s">
        <v>11404</v>
      </c>
      <c r="G16713" s="40" t="s">
        <v>11404</v>
      </c>
      <c r="H16713" s="40" t="s">
        <v>11404</v>
      </c>
    </row>
    <row r="16714">
      <c r="A16714" s="39"/>
      <c r="E16714" s="40" t="s">
        <v>11404</v>
      </c>
      <c r="F16714" s="40" t="s">
        <v>11404</v>
      </c>
      <c r="G16714" s="40" t="s">
        <v>11404</v>
      </c>
      <c r="H16714" s="40" t="s">
        <v>11404</v>
      </c>
    </row>
    <row r="16715">
      <c r="A16715" s="39"/>
      <c r="E16715" s="40" t="s">
        <v>11404</v>
      </c>
      <c r="F16715" s="40" t="s">
        <v>11404</v>
      </c>
      <c r="G16715" s="40" t="s">
        <v>11404</v>
      </c>
      <c r="H16715" s="40" t="s">
        <v>11404</v>
      </c>
    </row>
    <row r="16716">
      <c r="A16716" s="39"/>
      <c r="E16716" s="40" t="s">
        <v>11404</v>
      </c>
      <c r="F16716" s="40" t="s">
        <v>11404</v>
      </c>
      <c r="G16716" s="40" t="s">
        <v>11404</v>
      </c>
      <c r="H16716" s="40" t="s">
        <v>11404</v>
      </c>
    </row>
    <row r="16717">
      <c r="A16717" s="39"/>
      <c r="E16717" s="40" t="s">
        <v>11404</v>
      </c>
      <c r="F16717" s="40" t="s">
        <v>11404</v>
      </c>
      <c r="G16717" s="40" t="s">
        <v>11404</v>
      </c>
      <c r="H16717" s="40" t="s">
        <v>11404</v>
      </c>
    </row>
    <row r="16718">
      <c r="A16718" s="39"/>
      <c r="E16718" s="40" t="s">
        <v>11404</v>
      </c>
      <c r="F16718" s="40" t="s">
        <v>11404</v>
      </c>
      <c r="G16718" s="40" t="s">
        <v>11404</v>
      </c>
      <c r="H16718" s="40" t="s">
        <v>11404</v>
      </c>
    </row>
    <row r="16719">
      <c r="A16719" s="39"/>
      <c r="E16719" s="40" t="s">
        <v>11404</v>
      </c>
      <c r="F16719" s="40" t="s">
        <v>11404</v>
      </c>
      <c r="G16719" s="40" t="s">
        <v>11404</v>
      </c>
      <c r="H16719" s="40" t="s">
        <v>11404</v>
      </c>
    </row>
    <row r="16720">
      <c r="A16720" s="39"/>
      <c r="E16720" s="40" t="s">
        <v>11404</v>
      </c>
      <c r="F16720" s="40" t="s">
        <v>11404</v>
      </c>
      <c r="G16720" s="40" t="s">
        <v>11404</v>
      </c>
      <c r="H16720" s="40" t="s">
        <v>11404</v>
      </c>
    </row>
    <row r="16721">
      <c r="A16721" s="39"/>
      <c r="E16721" s="40" t="s">
        <v>11404</v>
      </c>
      <c r="F16721" s="40" t="s">
        <v>11404</v>
      </c>
      <c r="G16721" s="40" t="s">
        <v>11404</v>
      </c>
      <c r="H16721" s="40" t="s">
        <v>11404</v>
      </c>
    </row>
    <row r="16722">
      <c r="A16722" s="39"/>
      <c r="E16722" s="40" t="s">
        <v>11404</v>
      </c>
      <c r="F16722" s="40" t="s">
        <v>11404</v>
      </c>
      <c r="G16722" s="40" t="s">
        <v>11404</v>
      </c>
      <c r="H16722" s="40" t="s">
        <v>11404</v>
      </c>
    </row>
    <row r="16723">
      <c r="A16723" s="39"/>
      <c r="E16723" s="40" t="s">
        <v>11404</v>
      </c>
      <c r="F16723" s="40" t="s">
        <v>11404</v>
      </c>
      <c r="G16723" s="40" t="s">
        <v>11404</v>
      </c>
      <c r="H16723" s="40" t="s">
        <v>11404</v>
      </c>
    </row>
    <row r="16724">
      <c r="A16724" s="39"/>
      <c r="E16724" s="40" t="s">
        <v>11404</v>
      </c>
      <c r="F16724" s="40" t="s">
        <v>11404</v>
      </c>
      <c r="G16724" s="40" t="s">
        <v>11404</v>
      </c>
      <c r="H16724" s="40" t="s">
        <v>11404</v>
      </c>
    </row>
    <row r="16725">
      <c r="A16725" s="39"/>
      <c r="E16725" s="40" t="s">
        <v>11404</v>
      </c>
      <c r="F16725" s="40" t="s">
        <v>11404</v>
      </c>
      <c r="G16725" s="40" t="s">
        <v>11404</v>
      </c>
      <c r="H16725" s="40" t="s">
        <v>11404</v>
      </c>
    </row>
    <row r="16726">
      <c r="A16726" s="39"/>
      <c r="E16726" s="40" t="s">
        <v>11404</v>
      </c>
      <c r="F16726" s="40" t="s">
        <v>11404</v>
      </c>
      <c r="G16726" s="40" t="s">
        <v>11404</v>
      </c>
      <c r="H16726" s="40" t="s">
        <v>11404</v>
      </c>
    </row>
    <row r="16727">
      <c r="A16727" s="39"/>
      <c r="E16727" s="40" t="s">
        <v>11404</v>
      </c>
      <c r="F16727" s="40" t="s">
        <v>11404</v>
      </c>
      <c r="G16727" s="40" t="s">
        <v>11404</v>
      </c>
      <c r="H16727" s="40" t="s">
        <v>11404</v>
      </c>
    </row>
    <row r="16728">
      <c r="A16728" s="39"/>
      <c r="E16728" s="40" t="s">
        <v>11404</v>
      </c>
      <c r="F16728" s="40" t="s">
        <v>11404</v>
      </c>
      <c r="G16728" s="40" t="s">
        <v>11404</v>
      </c>
      <c r="H16728" s="40" t="s">
        <v>11404</v>
      </c>
    </row>
    <row r="16729">
      <c r="A16729" s="39"/>
      <c r="E16729" s="40" t="s">
        <v>11404</v>
      </c>
      <c r="F16729" s="40" t="s">
        <v>11404</v>
      </c>
      <c r="G16729" s="40" t="s">
        <v>11404</v>
      </c>
      <c r="H16729" s="40" t="s">
        <v>11404</v>
      </c>
    </row>
    <row r="16730">
      <c r="A16730" s="39"/>
      <c r="E16730" s="40" t="s">
        <v>11404</v>
      </c>
      <c r="F16730" s="40" t="s">
        <v>11404</v>
      </c>
      <c r="G16730" s="40" t="s">
        <v>11404</v>
      </c>
      <c r="H16730" s="40" t="s">
        <v>11404</v>
      </c>
    </row>
    <row r="16731">
      <c r="A16731" s="39"/>
      <c r="E16731" s="40" t="s">
        <v>11404</v>
      </c>
      <c r="F16731" s="40" t="s">
        <v>11404</v>
      </c>
      <c r="G16731" s="40" t="s">
        <v>11404</v>
      </c>
      <c r="H16731" s="40" t="s">
        <v>11404</v>
      </c>
    </row>
    <row r="16732">
      <c r="A16732" s="39"/>
      <c r="E16732" s="40" t="s">
        <v>11404</v>
      </c>
      <c r="F16732" s="40" t="s">
        <v>11404</v>
      </c>
      <c r="G16732" s="40" t="s">
        <v>11404</v>
      </c>
      <c r="H16732" s="40" t="s">
        <v>11404</v>
      </c>
    </row>
    <row r="16733">
      <c r="A16733" s="39"/>
      <c r="E16733" s="40" t="s">
        <v>11404</v>
      </c>
      <c r="F16733" s="40" t="s">
        <v>11404</v>
      </c>
      <c r="G16733" s="40" t="s">
        <v>11404</v>
      </c>
      <c r="H16733" s="40" t="s">
        <v>11404</v>
      </c>
    </row>
    <row r="16734">
      <c r="A16734" s="39"/>
      <c r="E16734" s="40" t="s">
        <v>11404</v>
      </c>
      <c r="F16734" s="40" t="s">
        <v>11404</v>
      </c>
      <c r="G16734" s="40" t="s">
        <v>11404</v>
      </c>
      <c r="H16734" s="40" t="s">
        <v>11404</v>
      </c>
    </row>
    <row r="16735">
      <c r="A16735" s="39"/>
      <c r="E16735" s="40" t="s">
        <v>11404</v>
      </c>
      <c r="F16735" s="40" t="s">
        <v>11404</v>
      </c>
      <c r="G16735" s="40" t="s">
        <v>11404</v>
      </c>
      <c r="H16735" s="40" t="s">
        <v>11404</v>
      </c>
    </row>
    <row r="16736">
      <c r="A16736" s="39"/>
      <c r="E16736" s="40" t="s">
        <v>11404</v>
      </c>
      <c r="F16736" s="40" t="s">
        <v>11404</v>
      </c>
      <c r="G16736" s="40" t="s">
        <v>11404</v>
      </c>
      <c r="H16736" s="40" t="s">
        <v>11404</v>
      </c>
    </row>
    <row r="16737">
      <c r="A16737" s="39"/>
      <c r="E16737" s="40" t="s">
        <v>11404</v>
      </c>
      <c r="F16737" s="40" t="s">
        <v>11404</v>
      </c>
      <c r="G16737" s="40" t="s">
        <v>11404</v>
      </c>
      <c r="H16737" s="40" t="s">
        <v>11404</v>
      </c>
    </row>
    <row r="16738">
      <c r="A16738" s="39"/>
      <c r="E16738" s="40" t="s">
        <v>11404</v>
      </c>
      <c r="F16738" s="40" t="s">
        <v>11404</v>
      </c>
      <c r="G16738" s="40" t="s">
        <v>11404</v>
      </c>
      <c r="H16738" s="40" t="s">
        <v>11404</v>
      </c>
    </row>
    <row r="16739">
      <c r="A16739" s="39"/>
      <c r="E16739" s="40" t="s">
        <v>11404</v>
      </c>
      <c r="F16739" s="40" t="s">
        <v>11404</v>
      </c>
      <c r="G16739" s="40" t="s">
        <v>11404</v>
      </c>
      <c r="H16739" s="40" t="s">
        <v>11404</v>
      </c>
    </row>
    <row r="16740">
      <c r="A16740" s="39"/>
      <c r="E16740" s="40" t="s">
        <v>11404</v>
      </c>
      <c r="F16740" s="40" t="s">
        <v>11404</v>
      </c>
      <c r="G16740" s="40" t="s">
        <v>11404</v>
      </c>
      <c r="H16740" s="40" t="s">
        <v>11404</v>
      </c>
    </row>
    <row r="16741">
      <c r="A16741" s="39"/>
      <c r="E16741" s="40" t="s">
        <v>11404</v>
      </c>
      <c r="F16741" s="40" t="s">
        <v>11404</v>
      </c>
      <c r="G16741" s="40" t="s">
        <v>11404</v>
      </c>
      <c r="H16741" s="40" t="s">
        <v>11404</v>
      </c>
    </row>
    <row r="16742">
      <c r="A16742" s="39"/>
      <c r="E16742" s="40" t="s">
        <v>11404</v>
      </c>
      <c r="F16742" s="40" t="s">
        <v>11404</v>
      </c>
      <c r="G16742" s="40" t="s">
        <v>11404</v>
      </c>
      <c r="H16742" s="40" t="s">
        <v>11404</v>
      </c>
    </row>
    <row r="16743">
      <c r="A16743" s="39"/>
      <c r="E16743" s="40" t="s">
        <v>11404</v>
      </c>
      <c r="F16743" s="40" t="s">
        <v>11404</v>
      </c>
      <c r="G16743" s="40" t="s">
        <v>11404</v>
      </c>
      <c r="H16743" s="40" t="s">
        <v>11404</v>
      </c>
    </row>
    <row r="16744">
      <c r="A16744" s="39"/>
      <c r="E16744" s="40" t="s">
        <v>11404</v>
      </c>
      <c r="F16744" s="40" t="s">
        <v>11404</v>
      </c>
      <c r="G16744" s="40" t="s">
        <v>11404</v>
      </c>
      <c r="H16744" s="40" t="s">
        <v>11404</v>
      </c>
    </row>
    <row r="16745">
      <c r="A16745" s="39"/>
      <c r="E16745" s="40" t="s">
        <v>11404</v>
      </c>
      <c r="F16745" s="40" t="s">
        <v>11404</v>
      </c>
      <c r="G16745" s="40" t="s">
        <v>11404</v>
      </c>
      <c r="H16745" s="40" t="s">
        <v>11404</v>
      </c>
    </row>
    <row r="16746">
      <c r="A16746" s="39"/>
      <c r="E16746" s="40" t="s">
        <v>11404</v>
      </c>
      <c r="F16746" s="40" t="s">
        <v>11404</v>
      </c>
      <c r="G16746" s="40" t="s">
        <v>11404</v>
      </c>
      <c r="H16746" s="40" t="s">
        <v>11404</v>
      </c>
    </row>
    <row r="16747">
      <c r="A16747" s="39"/>
      <c r="E16747" s="40" t="s">
        <v>11404</v>
      </c>
      <c r="F16747" s="40" t="s">
        <v>11404</v>
      </c>
      <c r="G16747" s="40" t="s">
        <v>11404</v>
      </c>
      <c r="H16747" s="40" t="s">
        <v>11404</v>
      </c>
    </row>
    <row r="16748">
      <c r="A16748" s="39"/>
      <c r="E16748" s="40" t="s">
        <v>11404</v>
      </c>
      <c r="F16748" s="40" t="s">
        <v>11404</v>
      </c>
      <c r="G16748" s="40" t="s">
        <v>11404</v>
      </c>
      <c r="H16748" s="40" t="s">
        <v>11404</v>
      </c>
    </row>
    <row r="16749">
      <c r="A16749" s="39"/>
      <c r="E16749" s="40" t="s">
        <v>11404</v>
      </c>
      <c r="F16749" s="40" t="s">
        <v>11404</v>
      </c>
      <c r="G16749" s="40" t="s">
        <v>11404</v>
      </c>
      <c r="H16749" s="40" t="s">
        <v>11404</v>
      </c>
    </row>
    <row r="16750">
      <c r="A16750" s="39"/>
      <c r="E16750" s="40" t="s">
        <v>11404</v>
      </c>
      <c r="F16750" s="40" t="s">
        <v>11404</v>
      </c>
      <c r="G16750" s="40" t="s">
        <v>11404</v>
      </c>
      <c r="H16750" s="40" t="s">
        <v>11404</v>
      </c>
    </row>
    <row r="16751">
      <c r="A16751" s="39"/>
      <c r="E16751" s="40" t="s">
        <v>11404</v>
      </c>
      <c r="F16751" s="40" t="s">
        <v>11404</v>
      </c>
      <c r="G16751" s="40" t="s">
        <v>11404</v>
      </c>
      <c r="H16751" s="40" t="s">
        <v>11404</v>
      </c>
    </row>
    <row r="16752">
      <c r="A16752" s="39"/>
      <c r="E16752" s="40" t="s">
        <v>11404</v>
      </c>
      <c r="F16752" s="40" t="s">
        <v>11404</v>
      </c>
      <c r="G16752" s="40" t="s">
        <v>11404</v>
      </c>
      <c r="H16752" s="40" t="s">
        <v>11404</v>
      </c>
    </row>
    <row r="16753">
      <c r="A16753" s="39"/>
      <c r="E16753" s="40" t="s">
        <v>11404</v>
      </c>
      <c r="F16753" s="40" t="s">
        <v>11404</v>
      </c>
      <c r="G16753" s="40" t="s">
        <v>11404</v>
      </c>
      <c r="H16753" s="40" t="s">
        <v>11404</v>
      </c>
    </row>
    <row r="16754">
      <c r="A16754" s="39"/>
      <c r="E16754" s="40" t="s">
        <v>11404</v>
      </c>
      <c r="F16754" s="40" t="s">
        <v>11404</v>
      </c>
      <c r="G16754" s="40" t="s">
        <v>11404</v>
      </c>
      <c r="H16754" s="40" t="s">
        <v>11404</v>
      </c>
    </row>
    <row r="16755">
      <c r="A16755" s="39"/>
      <c r="E16755" s="40" t="s">
        <v>11404</v>
      </c>
      <c r="F16755" s="40" t="s">
        <v>11404</v>
      </c>
      <c r="G16755" s="40" t="s">
        <v>11404</v>
      </c>
      <c r="H16755" s="40" t="s">
        <v>11404</v>
      </c>
    </row>
    <row r="16756">
      <c r="A16756" s="39"/>
      <c r="E16756" s="40" t="s">
        <v>11404</v>
      </c>
      <c r="F16756" s="40" t="s">
        <v>11404</v>
      </c>
      <c r="G16756" s="40" t="s">
        <v>11404</v>
      </c>
      <c r="H16756" s="40" t="s">
        <v>11404</v>
      </c>
    </row>
    <row r="16757">
      <c r="A16757" s="39"/>
      <c r="E16757" s="40" t="s">
        <v>11404</v>
      </c>
      <c r="F16757" s="40" t="s">
        <v>11404</v>
      </c>
      <c r="G16757" s="40" t="s">
        <v>11404</v>
      </c>
      <c r="H16757" s="40" t="s">
        <v>11404</v>
      </c>
    </row>
    <row r="16758">
      <c r="A16758" s="39"/>
      <c r="E16758" s="40" t="s">
        <v>11404</v>
      </c>
      <c r="F16758" s="40" t="s">
        <v>11404</v>
      </c>
      <c r="G16758" s="40" t="s">
        <v>11404</v>
      </c>
      <c r="H16758" s="40" t="s">
        <v>11404</v>
      </c>
    </row>
    <row r="16759">
      <c r="A16759" s="39"/>
      <c r="E16759" s="40" t="s">
        <v>11404</v>
      </c>
      <c r="F16759" s="40" t="s">
        <v>11404</v>
      </c>
      <c r="G16759" s="40" t="s">
        <v>11404</v>
      </c>
      <c r="H16759" s="40" t="s">
        <v>11404</v>
      </c>
    </row>
    <row r="16760">
      <c r="A16760" s="39"/>
      <c r="E16760" s="40" t="s">
        <v>11404</v>
      </c>
      <c r="F16760" s="40" t="s">
        <v>11404</v>
      </c>
      <c r="G16760" s="40" t="s">
        <v>11404</v>
      </c>
      <c r="H16760" s="40" t="s">
        <v>11404</v>
      </c>
    </row>
    <row r="16761">
      <c r="A16761" s="39"/>
      <c r="E16761" s="40" t="s">
        <v>11404</v>
      </c>
      <c r="F16761" s="40" t="s">
        <v>11404</v>
      </c>
      <c r="G16761" s="40" t="s">
        <v>11404</v>
      </c>
      <c r="H16761" s="40" t="s">
        <v>11404</v>
      </c>
    </row>
    <row r="16762">
      <c r="A16762" s="39"/>
      <c r="E16762" s="40" t="s">
        <v>11404</v>
      </c>
      <c r="F16762" s="40" t="s">
        <v>11404</v>
      </c>
      <c r="G16762" s="40" t="s">
        <v>11404</v>
      </c>
      <c r="H16762" s="40" t="s">
        <v>11404</v>
      </c>
    </row>
    <row r="16763">
      <c r="A16763" s="39"/>
      <c r="E16763" s="40" t="s">
        <v>11404</v>
      </c>
      <c r="F16763" s="40" t="s">
        <v>11404</v>
      </c>
      <c r="G16763" s="40" t="s">
        <v>11404</v>
      </c>
      <c r="H16763" s="40" t="s">
        <v>11404</v>
      </c>
    </row>
    <row r="16764">
      <c r="A16764" s="39"/>
      <c r="E16764" s="40" t="s">
        <v>11404</v>
      </c>
      <c r="F16764" s="40" t="s">
        <v>11404</v>
      </c>
      <c r="G16764" s="40" t="s">
        <v>11404</v>
      </c>
      <c r="H16764" s="40" t="s">
        <v>11404</v>
      </c>
    </row>
    <row r="16765">
      <c r="A16765" s="39"/>
      <c r="E16765" s="40" t="s">
        <v>11404</v>
      </c>
      <c r="F16765" s="40" t="s">
        <v>11404</v>
      </c>
      <c r="G16765" s="40" t="s">
        <v>11404</v>
      </c>
      <c r="H16765" s="40" t="s">
        <v>11404</v>
      </c>
    </row>
    <row r="16766">
      <c r="A16766" s="39"/>
      <c r="E16766" s="40" t="s">
        <v>11404</v>
      </c>
      <c r="F16766" s="40" t="s">
        <v>11404</v>
      </c>
      <c r="G16766" s="40" t="s">
        <v>11404</v>
      </c>
      <c r="H16766" s="40" t="s">
        <v>11404</v>
      </c>
    </row>
    <row r="16767">
      <c r="A16767" s="39"/>
      <c r="E16767" s="40" t="s">
        <v>11404</v>
      </c>
      <c r="F16767" s="40" t="s">
        <v>11404</v>
      </c>
      <c r="G16767" s="40" t="s">
        <v>11404</v>
      </c>
      <c r="H16767" s="40" t="s">
        <v>11404</v>
      </c>
    </row>
    <row r="16768">
      <c r="A16768" s="39"/>
      <c r="E16768" s="40" t="s">
        <v>11404</v>
      </c>
      <c r="F16768" s="40" t="s">
        <v>11404</v>
      </c>
      <c r="G16768" s="40" t="s">
        <v>11404</v>
      </c>
      <c r="H16768" s="40" t="s">
        <v>11404</v>
      </c>
    </row>
    <row r="16769">
      <c r="A16769" s="39"/>
      <c r="E16769" s="40" t="s">
        <v>11404</v>
      </c>
      <c r="F16769" s="40" t="s">
        <v>11404</v>
      </c>
      <c r="G16769" s="40" t="s">
        <v>11404</v>
      </c>
      <c r="H16769" s="40" t="s">
        <v>11404</v>
      </c>
    </row>
    <row r="16770">
      <c r="A16770" s="39"/>
      <c r="E16770" s="40" t="s">
        <v>11404</v>
      </c>
      <c r="F16770" s="40" t="s">
        <v>11404</v>
      </c>
      <c r="G16770" s="40" t="s">
        <v>11404</v>
      </c>
      <c r="H16770" s="40" t="s">
        <v>11404</v>
      </c>
    </row>
    <row r="16771">
      <c r="A16771" s="39"/>
      <c r="E16771" s="40" t="s">
        <v>11404</v>
      </c>
      <c r="F16771" s="40" t="s">
        <v>11404</v>
      </c>
      <c r="G16771" s="40" t="s">
        <v>11404</v>
      </c>
      <c r="H16771" s="40" t="s">
        <v>11404</v>
      </c>
    </row>
    <row r="16772">
      <c r="A16772" s="39"/>
      <c r="E16772" s="40" t="s">
        <v>11404</v>
      </c>
      <c r="F16772" s="40" t="s">
        <v>11404</v>
      </c>
      <c r="G16772" s="40" t="s">
        <v>11404</v>
      </c>
      <c r="H16772" s="40" t="s">
        <v>11404</v>
      </c>
    </row>
    <row r="16773">
      <c r="A16773" s="39"/>
      <c r="E16773" s="40" t="s">
        <v>11404</v>
      </c>
      <c r="F16773" s="40" t="s">
        <v>11404</v>
      </c>
      <c r="G16773" s="40" t="s">
        <v>11404</v>
      </c>
      <c r="H16773" s="40" t="s">
        <v>11404</v>
      </c>
    </row>
    <row r="16774">
      <c r="A16774" s="39"/>
      <c r="E16774" s="40" t="s">
        <v>11404</v>
      </c>
      <c r="F16774" s="40" t="s">
        <v>11404</v>
      </c>
      <c r="G16774" s="40" t="s">
        <v>11404</v>
      </c>
      <c r="H16774" s="40" t="s">
        <v>11404</v>
      </c>
    </row>
    <row r="16775">
      <c r="A16775" s="39"/>
      <c r="E16775" s="40" t="s">
        <v>11404</v>
      </c>
      <c r="F16775" s="40" t="s">
        <v>11404</v>
      </c>
      <c r="G16775" s="40" t="s">
        <v>11404</v>
      </c>
      <c r="H16775" s="40" t="s">
        <v>11404</v>
      </c>
    </row>
    <row r="16776">
      <c r="A16776" s="39"/>
      <c r="E16776" s="40" t="s">
        <v>11404</v>
      </c>
      <c r="F16776" s="40" t="s">
        <v>11404</v>
      </c>
      <c r="G16776" s="40" t="s">
        <v>11404</v>
      </c>
      <c r="H16776" s="40" t="s">
        <v>11404</v>
      </c>
    </row>
    <row r="16777">
      <c r="A16777" s="39"/>
      <c r="E16777" s="40" t="s">
        <v>11404</v>
      </c>
      <c r="F16777" s="40" t="s">
        <v>11404</v>
      </c>
      <c r="G16777" s="40" t="s">
        <v>11404</v>
      </c>
      <c r="H16777" s="40" t="s">
        <v>11404</v>
      </c>
    </row>
    <row r="16778">
      <c r="A16778" s="39"/>
      <c r="E16778" s="40" t="s">
        <v>11404</v>
      </c>
      <c r="F16778" s="40" t="s">
        <v>11404</v>
      </c>
      <c r="G16778" s="40" t="s">
        <v>11404</v>
      </c>
      <c r="H16778" s="40" t="s">
        <v>11404</v>
      </c>
    </row>
    <row r="16779">
      <c r="A16779" s="39"/>
      <c r="E16779" s="40" t="s">
        <v>11404</v>
      </c>
      <c r="F16779" s="40" t="s">
        <v>11404</v>
      </c>
      <c r="G16779" s="40" t="s">
        <v>11404</v>
      </c>
      <c r="H16779" s="40" t="s">
        <v>11404</v>
      </c>
    </row>
    <row r="16780">
      <c r="A16780" s="39"/>
      <c r="E16780" s="40" t="s">
        <v>11404</v>
      </c>
      <c r="F16780" s="40" t="s">
        <v>11404</v>
      </c>
      <c r="G16780" s="40" t="s">
        <v>11404</v>
      </c>
      <c r="H16780" s="40" t="s">
        <v>11404</v>
      </c>
    </row>
    <row r="16781">
      <c r="A16781" s="39"/>
      <c r="E16781" s="40" t="s">
        <v>11404</v>
      </c>
      <c r="F16781" s="40" t="s">
        <v>11404</v>
      </c>
      <c r="G16781" s="40" t="s">
        <v>11404</v>
      </c>
      <c r="H16781" s="40" t="s">
        <v>11404</v>
      </c>
    </row>
    <row r="16782">
      <c r="A16782" s="39"/>
      <c r="E16782" s="40" t="s">
        <v>11404</v>
      </c>
      <c r="F16782" s="40" t="s">
        <v>11404</v>
      </c>
      <c r="G16782" s="40" t="s">
        <v>11404</v>
      </c>
      <c r="H16782" s="40" t="s">
        <v>11404</v>
      </c>
    </row>
    <row r="16783">
      <c r="A16783" s="39"/>
      <c r="E16783" s="40" t="s">
        <v>11404</v>
      </c>
      <c r="F16783" s="40" t="s">
        <v>11404</v>
      </c>
      <c r="G16783" s="40" t="s">
        <v>11404</v>
      </c>
      <c r="H16783" s="40" t="s">
        <v>11404</v>
      </c>
    </row>
    <row r="16784">
      <c r="A16784" s="39"/>
      <c r="E16784" s="40" t="s">
        <v>11404</v>
      </c>
      <c r="F16784" s="40" t="s">
        <v>11404</v>
      </c>
      <c r="G16784" s="40" t="s">
        <v>11404</v>
      </c>
      <c r="H16784" s="40" t="s">
        <v>11404</v>
      </c>
    </row>
    <row r="16785">
      <c r="A16785" s="39"/>
      <c r="E16785" s="40" t="s">
        <v>11404</v>
      </c>
      <c r="F16785" s="40" t="s">
        <v>11404</v>
      </c>
      <c r="G16785" s="40" t="s">
        <v>11404</v>
      </c>
      <c r="H16785" s="40" t="s">
        <v>11404</v>
      </c>
    </row>
    <row r="16786">
      <c r="A16786" s="39"/>
      <c r="E16786" s="40" t="s">
        <v>11404</v>
      </c>
      <c r="F16786" s="40" t="s">
        <v>11404</v>
      </c>
      <c r="G16786" s="40" t="s">
        <v>11404</v>
      </c>
      <c r="H16786" s="40" t="s">
        <v>11404</v>
      </c>
    </row>
    <row r="16787">
      <c r="A16787" s="39"/>
      <c r="E16787" s="40" t="s">
        <v>11404</v>
      </c>
      <c r="F16787" s="40" t="s">
        <v>11404</v>
      </c>
      <c r="G16787" s="40" t="s">
        <v>11404</v>
      </c>
      <c r="H16787" s="40" t="s">
        <v>11404</v>
      </c>
    </row>
    <row r="16788">
      <c r="A16788" s="39"/>
      <c r="E16788" s="40" t="s">
        <v>11404</v>
      </c>
      <c r="F16788" s="40" t="s">
        <v>11404</v>
      </c>
      <c r="G16788" s="40" t="s">
        <v>11404</v>
      </c>
      <c r="H16788" s="40" t="s">
        <v>11404</v>
      </c>
    </row>
    <row r="16789">
      <c r="A16789" s="39"/>
      <c r="E16789" s="40" t="s">
        <v>11404</v>
      </c>
      <c r="F16789" s="40" t="s">
        <v>11404</v>
      </c>
      <c r="G16789" s="40" t="s">
        <v>11404</v>
      </c>
      <c r="H16789" s="40" t="s">
        <v>11404</v>
      </c>
    </row>
    <row r="16790">
      <c r="A16790" s="39"/>
      <c r="E16790" s="40" t="s">
        <v>11404</v>
      </c>
      <c r="F16790" s="40" t="s">
        <v>11404</v>
      </c>
      <c r="G16790" s="40" t="s">
        <v>11404</v>
      </c>
      <c r="H16790" s="40" t="s">
        <v>11404</v>
      </c>
    </row>
    <row r="16791">
      <c r="A16791" s="39"/>
      <c r="E16791" s="40" t="s">
        <v>11404</v>
      </c>
      <c r="F16791" s="40" t="s">
        <v>11404</v>
      </c>
      <c r="G16791" s="40" t="s">
        <v>11404</v>
      </c>
      <c r="H16791" s="40" t="s">
        <v>11404</v>
      </c>
    </row>
    <row r="16792">
      <c r="A16792" s="39"/>
      <c r="E16792" s="40" t="s">
        <v>11404</v>
      </c>
      <c r="F16792" s="40" t="s">
        <v>11404</v>
      </c>
      <c r="G16792" s="40" t="s">
        <v>11404</v>
      </c>
      <c r="H16792" s="40" t="s">
        <v>11404</v>
      </c>
    </row>
    <row r="16793">
      <c r="A16793" s="39"/>
      <c r="E16793" s="40" t="s">
        <v>11404</v>
      </c>
      <c r="F16793" s="40" t="s">
        <v>11404</v>
      </c>
      <c r="G16793" s="40" t="s">
        <v>11404</v>
      </c>
      <c r="H16793" s="40" t="s">
        <v>11404</v>
      </c>
    </row>
    <row r="16794">
      <c r="A16794" s="39"/>
      <c r="E16794" s="40" t="s">
        <v>11404</v>
      </c>
      <c r="F16794" s="40" t="s">
        <v>11404</v>
      </c>
      <c r="G16794" s="40" t="s">
        <v>11404</v>
      </c>
      <c r="H16794" s="40" t="s">
        <v>11404</v>
      </c>
    </row>
    <row r="16795">
      <c r="A16795" s="39"/>
      <c r="E16795" s="40" t="s">
        <v>11404</v>
      </c>
      <c r="F16795" s="40" t="s">
        <v>11404</v>
      </c>
      <c r="G16795" s="40" t="s">
        <v>11404</v>
      </c>
      <c r="H16795" s="40" t="s">
        <v>11404</v>
      </c>
    </row>
    <row r="16796">
      <c r="A16796" s="39"/>
      <c r="E16796" s="40" t="s">
        <v>11404</v>
      </c>
      <c r="F16796" s="40" t="s">
        <v>11404</v>
      </c>
      <c r="G16796" s="40" t="s">
        <v>11404</v>
      </c>
      <c r="H16796" s="40" t="s">
        <v>11404</v>
      </c>
    </row>
    <row r="16797">
      <c r="A16797" s="39"/>
      <c r="E16797" s="40" t="s">
        <v>11404</v>
      </c>
      <c r="F16797" s="40" t="s">
        <v>11404</v>
      </c>
      <c r="G16797" s="40" t="s">
        <v>11404</v>
      </c>
      <c r="H16797" s="40" t="s">
        <v>11404</v>
      </c>
    </row>
    <row r="16798">
      <c r="A16798" s="39"/>
      <c r="E16798" s="40" t="s">
        <v>11404</v>
      </c>
      <c r="F16798" s="40" t="s">
        <v>11404</v>
      </c>
      <c r="G16798" s="40" t="s">
        <v>11404</v>
      </c>
      <c r="H16798" s="40" t="s">
        <v>11404</v>
      </c>
    </row>
    <row r="16799">
      <c r="A16799" s="39"/>
      <c r="E16799" s="40" t="s">
        <v>11404</v>
      </c>
      <c r="F16799" s="40" t="s">
        <v>11404</v>
      </c>
      <c r="G16799" s="40" t="s">
        <v>11404</v>
      </c>
      <c r="H16799" s="40" t="s">
        <v>11404</v>
      </c>
    </row>
    <row r="16800">
      <c r="A16800" s="39"/>
      <c r="E16800" s="40" t="s">
        <v>11404</v>
      </c>
      <c r="F16800" s="40" t="s">
        <v>11404</v>
      </c>
      <c r="G16800" s="40" t="s">
        <v>11404</v>
      </c>
      <c r="H16800" s="40" t="s">
        <v>11404</v>
      </c>
    </row>
    <row r="16801">
      <c r="A16801" s="39"/>
      <c r="E16801" s="40" t="s">
        <v>11404</v>
      </c>
      <c r="F16801" s="40" t="s">
        <v>11404</v>
      </c>
      <c r="G16801" s="40" t="s">
        <v>11404</v>
      </c>
      <c r="H16801" s="40" t="s">
        <v>11404</v>
      </c>
    </row>
    <row r="16802">
      <c r="A16802" s="39"/>
      <c r="E16802" s="40" t="s">
        <v>11404</v>
      </c>
      <c r="F16802" s="40" t="s">
        <v>11404</v>
      </c>
      <c r="G16802" s="40" t="s">
        <v>11404</v>
      </c>
      <c r="H16802" s="40" t="s">
        <v>11404</v>
      </c>
    </row>
    <row r="16803">
      <c r="A16803" s="39"/>
      <c r="E16803" s="40" t="s">
        <v>11404</v>
      </c>
      <c r="F16803" s="40" t="s">
        <v>11404</v>
      </c>
      <c r="G16803" s="40" t="s">
        <v>11404</v>
      </c>
      <c r="H16803" s="40" t="s">
        <v>11404</v>
      </c>
    </row>
    <row r="16804">
      <c r="A16804" s="39"/>
      <c r="E16804" s="40" t="s">
        <v>11404</v>
      </c>
      <c r="F16804" s="40" t="s">
        <v>11404</v>
      </c>
      <c r="G16804" s="40" t="s">
        <v>11404</v>
      </c>
      <c r="H16804" s="40" t="s">
        <v>11404</v>
      </c>
    </row>
    <row r="16805">
      <c r="A16805" s="39"/>
      <c r="E16805" s="40" t="s">
        <v>11404</v>
      </c>
      <c r="F16805" s="40" t="s">
        <v>11404</v>
      </c>
      <c r="G16805" s="40" t="s">
        <v>11404</v>
      </c>
      <c r="H16805" s="40" t="s">
        <v>11404</v>
      </c>
    </row>
    <row r="16806">
      <c r="A16806" s="39"/>
      <c r="E16806" s="40" t="s">
        <v>11404</v>
      </c>
      <c r="F16806" s="40" t="s">
        <v>11404</v>
      </c>
      <c r="G16806" s="40" t="s">
        <v>11404</v>
      </c>
      <c r="H16806" s="40" t="s">
        <v>11404</v>
      </c>
    </row>
    <row r="16807">
      <c r="A16807" s="39"/>
      <c r="E16807" s="40" t="s">
        <v>11404</v>
      </c>
      <c r="F16807" s="40" t="s">
        <v>11404</v>
      </c>
      <c r="G16807" s="40" t="s">
        <v>11404</v>
      </c>
      <c r="H16807" s="40" t="s">
        <v>11404</v>
      </c>
    </row>
    <row r="16808">
      <c r="A16808" s="39"/>
      <c r="E16808" s="40" t="s">
        <v>11404</v>
      </c>
      <c r="F16808" s="40" t="s">
        <v>11404</v>
      </c>
      <c r="G16808" s="40" t="s">
        <v>11404</v>
      </c>
      <c r="H16808" s="40" t="s">
        <v>11404</v>
      </c>
    </row>
    <row r="16809">
      <c r="A16809" s="39"/>
      <c r="E16809" s="40" t="s">
        <v>11404</v>
      </c>
      <c r="F16809" s="40" t="s">
        <v>11404</v>
      </c>
      <c r="G16809" s="40" t="s">
        <v>11404</v>
      </c>
      <c r="H16809" s="40" t="s">
        <v>11404</v>
      </c>
    </row>
    <row r="16810">
      <c r="A16810" s="39"/>
      <c r="E16810" s="40" t="s">
        <v>11404</v>
      </c>
      <c r="F16810" s="40" t="s">
        <v>11404</v>
      </c>
      <c r="G16810" s="40" t="s">
        <v>11404</v>
      </c>
      <c r="H16810" s="40" t="s">
        <v>11404</v>
      </c>
    </row>
    <row r="16811">
      <c r="A16811" s="39"/>
      <c r="E16811" s="40" t="s">
        <v>11404</v>
      </c>
      <c r="F16811" s="40" t="s">
        <v>11404</v>
      </c>
      <c r="G16811" s="40" t="s">
        <v>11404</v>
      </c>
      <c r="H16811" s="40" t="s">
        <v>11404</v>
      </c>
    </row>
    <row r="16812">
      <c r="A16812" s="39"/>
      <c r="E16812" s="40" t="s">
        <v>11404</v>
      </c>
      <c r="F16812" s="40" t="s">
        <v>11404</v>
      </c>
      <c r="G16812" s="40" t="s">
        <v>11404</v>
      </c>
      <c r="H16812" s="40" t="s">
        <v>11404</v>
      </c>
    </row>
    <row r="16813">
      <c r="A16813" s="39"/>
      <c r="E16813" s="40" t="s">
        <v>11404</v>
      </c>
      <c r="F16813" s="40" t="s">
        <v>11404</v>
      </c>
      <c r="G16813" s="40" t="s">
        <v>11404</v>
      </c>
      <c r="H16813" s="40" t="s">
        <v>11404</v>
      </c>
    </row>
    <row r="16814">
      <c r="A16814" s="39"/>
      <c r="E16814" s="40" t="s">
        <v>11404</v>
      </c>
      <c r="F16814" s="40" t="s">
        <v>11404</v>
      </c>
      <c r="G16814" s="40" t="s">
        <v>11404</v>
      </c>
      <c r="H16814" s="40" t="s">
        <v>11404</v>
      </c>
    </row>
    <row r="16815">
      <c r="A16815" s="39"/>
      <c r="E16815" s="40" t="s">
        <v>11404</v>
      </c>
      <c r="F16815" s="40" t="s">
        <v>11404</v>
      </c>
      <c r="G16815" s="40" t="s">
        <v>11404</v>
      </c>
      <c r="H16815" s="40" t="s">
        <v>11404</v>
      </c>
    </row>
    <row r="16816">
      <c r="A16816" s="39"/>
      <c r="E16816" s="40" t="s">
        <v>11404</v>
      </c>
      <c r="F16816" s="40" t="s">
        <v>11404</v>
      </c>
      <c r="G16816" s="40" t="s">
        <v>11404</v>
      </c>
      <c r="H16816" s="40" t="s">
        <v>11404</v>
      </c>
    </row>
    <row r="16817">
      <c r="A16817" s="39"/>
      <c r="E16817" s="40" t="s">
        <v>11404</v>
      </c>
      <c r="F16817" s="40" t="s">
        <v>11404</v>
      </c>
      <c r="G16817" s="40" t="s">
        <v>11404</v>
      </c>
      <c r="H16817" s="40" t="s">
        <v>11404</v>
      </c>
    </row>
    <row r="16818">
      <c r="A16818" s="39"/>
      <c r="E16818" s="40" t="s">
        <v>11404</v>
      </c>
      <c r="F16818" s="40" t="s">
        <v>11404</v>
      </c>
      <c r="G16818" s="40" t="s">
        <v>11404</v>
      </c>
      <c r="H16818" s="40" t="s">
        <v>11404</v>
      </c>
    </row>
    <row r="16819">
      <c r="A16819" s="39"/>
      <c r="E16819" s="40" t="s">
        <v>11404</v>
      </c>
      <c r="F16819" s="40" t="s">
        <v>11404</v>
      </c>
      <c r="G16819" s="40" t="s">
        <v>11404</v>
      </c>
      <c r="H16819" s="40" t="s">
        <v>11404</v>
      </c>
    </row>
    <row r="16820">
      <c r="A16820" s="39"/>
      <c r="E16820" s="40" t="s">
        <v>11404</v>
      </c>
      <c r="F16820" s="40" t="s">
        <v>11404</v>
      </c>
      <c r="G16820" s="40" t="s">
        <v>11404</v>
      </c>
      <c r="H16820" s="40" t="s">
        <v>11404</v>
      </c>
    </row>
    <row r="16821">
      <c r="A16821" s="39"/>
      <c r="E16821" s="40" t="s">
        <v>11404</v>
      </c>
      <c r="F16821" s="40" t="s">
        <v>11404</v>
      </c>
      <c r="G16821" s="40" t="s">
        <v>11404</v>
      </c>
      <c r="H16821" s="40" t="s">
        <v>11404</v>
      </c>
    </row>
    <row r="16822">
      <c r="A16822" s="39"/>
      <c r="E16822" s="40" t="s">
        <v>11404</v>
      </c>
      <c r="F16822" s="40" t="s">
        <v>11404</v>
      </c>
      <c r="G16822" s="40" t="s">
        <v>11404</v>
      </c>
      <c r="H16822" s="40" t="s">
        <v>11404</v>
      </c>
    </row>
    <row r="16823">
      <c r="A16823" s="39"/>
      <c r="E16823" s="40" t="s">
        <v>11404</v>
      </c>
      <c r="F16823" s="40" t="s">
        <v>11404</v>
      </c>
      <c r="G16823" s="40" t="s">
        <v>11404</v>
      </c>
      <c r="H16823" s="40" t="s">
        <v>11404</v>
      </c>
    </row>
    <row r="16824">
      <c r="A16824" s="39"/>
      <c r="E16824" s="40" t="s">
        <v>11404</v>
      </c>
      <c r="F16824" s="40" t="s">
        <v>11404</v>
      </c>
      <c r="G16824" s="40" t="s">
        <v>11404</v>
      </c>
      <c r="H16824" s="40" t="s">
        <v>11404</v>
      </c>
    </row>
    <row r="16825">
      <c r="A16825" s="39"/>
      <c r="E16825" s="40" t="s">
        <v>11404</v>
      </c>
      <c r="F16825" s="40" t="s">
        <v>11404</v>
      </c>
      <c r="G16825" s="40" t="s">
        <v>11404</v>
      </c>
      <c r="H16825" s="40" t="s">
        <v>11404</v>
      </c>
    </row>
    <row r="16826">
      <c r="A16826" s="39"/>
      <c r="E16826" s="40" t="s">
        <v>11404</v>
      </c>
      <c r="F16826" s="40" t="s">
        <v>11404</v>
      </c>
      <c r="G16826" s="40" t="s">
        <v>11404</v>
      </c>
      <c r="H16826" s="40" t="s">
        <v>11404</v>
      </c>
    </row>
    <row r="16827">
      <c r="A16827" s="39"/>
      <c r="E16827" s="40" t="s">
        <v>11404</v>
      </c>
      <c r="F16827" s="40" t="s">
        <v>11404</v>
      </c>
      <c r="G16827" s="40" t="s">
        <v>11404</v>
      </c>
      <c r="H16827" s="40" t="s">
        <v>11404</v>
      </c>
    </row>
    <row r="16828">
      <c r="A16828" s="39"/>
      <c r="E16828" s="40" t="s">
        <v>11404</v>
      </c>
      <c r="F16828" s="40" t="s">
        <v>11404</v>
      </c>
      <c r="G16828" s="40" t="s">
        <v>11404</v>
      </c>
      <c r="H16828" s="40" t="s">
        <v>11404</v>
      </c>
    </row>
    <row r="16829">
      <c r="A16829" s="39"/>
      <c r="E16829" s="40" t="s">
        <v>11404</v>
      </c>
      <c r="F16829" s="40" t="s">
        <v>11404</v>
      </c>
      <c r="G16829" s="40" t="s">
        <v>11404</v>
      </c>
      <c r="H16829" s="40" t="s">
        <v>11404</v>
      </c>
    </row>
    <row r="16830">
      <c r="A16830" s="39"/>
      <c r="E16830" s="40" t="s">
        <v>11404</v>
      </c>
      <c r="F16830" s="40" t="s">
        <v>11404</v>
      </c>
      <c r="G16830" s="40" t="s">
        <v>11404</v>
      </c>
      <c r="H16830" s="40" t="s">
        <v>11404</v>
      </c>
    </row>
    <row r="16831">
      <c r="A16831" s="39"/>
      <c r="E16831" s="40" t="s">
        <v>11404</v>
      </c>
      <c r="F16831" s="40" t="s">
        <v>11404</v>
      </c>
      <c r="G16831" s="40" t="s">
        <v>11404</v>
      </c>
      <c r="H16831" s="40" t="s">
        <v>11404</v>
      </c>
    </row>
    <row r="16832">
      <c r="A16832" s="39"/>
      <c r="E16832" s="40" t="s">
        <v>11404</v>
      </c>
      <c r="F16832" s="40" t="s">
        <v>11404</v>
      </c>
      <c r="G16832" s="40" t="s">
        <v>11404</v>
      </c>
      <c r="H16832" s="40" t="s">
        <v>11404</v>
      </c>
    </row>
    <row r="16833">
      <c r="A16833" s="39"/>
      <c r="E16833" s="40" t="s">
        <v>11404</v>
      </c>
      <c r="F16833" s="40" t="s">
        <v>11404</v>
      </c>
      <c r="G16833" s="40" t="s">
        <v>11404</v>
      </c>
      <c r="H16833" s="40" t="s">
        <v>11404</v>
      </c>
    </row>
    <row r="16834">
      <c r="A16834" s="39"/>
      <c r="E16834" s="40" t="s">
        <v>11404</v>
      </c>
      <c r="F16834" s="40" t="s">
        <v>11404</v>
      </c>
      <c r="G16834" s="40" t="s">
        <v>11404</v>
      </c>
      <c r="H16834" s="40" t="s">
        <v>11404</v>
      </c>
    </row>
    <row r="16835">
      <c r="A16835" s="39"/>
      <c r="E16835" s="40" t="s">
        <v>11404</v>
      </c>
      <c r="F16835" s="40" t="s">
        <v>11404</v>
      </c>
      <c r="G16835" s="40" t="s">
        <v>11404</v>
      </c>
      <c r="H16835" s="40" t="s">
        <v>11404</v>
      </c>
    </row>
    <row r="16836">
      <c r="A16836" s="39"/>
      <c r="E16836" s="40" t="s">
        <v>11404</v>
      </c>
      <c r="F16836" s="40" t="s">
        <v>11404</v>
      </c>
      <c r="G16836" s="40" t="s">
        <v>11404</v>
      </c>
      <c r="H16836" s="40" t="s">
        <v>11404</v>
      </c>
    </row>
    <row r="16837">
      <c r="A16837" s="39"/>
      <c r="E16837" s="40" t="s">
        <v>11404</v>
      </c>
      <c r="F16837" s="40" t="s">
        <v>11404</v>
      </c>
      <c r="G16837" s="40" t="s">
        <v>11404</v>
      </c>
      <c r="H16837" s="40" t="s">
        <v>11404</v>
      </c>
    </row>
    <row r="16838">
      <c r="A16838" s="39"/>
      <c r="E16838" s="40" t="s">
        <v>11404</v>
      </c>
      <c r="F16838" s="40" t="s">
        <v>11404</v>
      </c>
      <c r="G16838" s="40" t="s">
        <v>11404</v>
      </c>
      <c r="H16838" s="40" t="s">
        <v>11404</v>
      </c>
    </row>
    <row r="16839">
      <c r="A16839" s="39"/>
      <c r="E16839" s="40" t="s">
        <v>11404</v>
      </c>
      <c r="F16839" s="40" t="s">
        <v>11404</v>
      </c>
      <c r="G16839" s="40" t="s">
        <v>11404</v>
      </c>
      <c r="H16839" s="40" t="s">
        <v>11404</v>
      </c>
    </row>
    <row r="16840">
      <c r="A16840" s="39"/>
      <c r="E16840" s="40" t="s">
        <v>11404</v>
      </c>
      <c r="F16840" s="40" t="s">
        <v>11404</v>
      </c>
      <c r="G16840" s="40" t="s">
        <v>11404</v>
      </c>
      <c r="H16840" s="40" t="s">
        <v>11404</v>
      </c>
    </row>
    <row r="16841">
      <c r="A16841" s="39"/>
      <c r="E16841" s="40" t="s">
        <v>11404</v>
      </c>
      <c r="F16841" s="40" t="s">
        <v>11404</v>
      </c>
      <c r="G16841" s="40" t="s">
        <v>11404</v>
      </c>
      <c r="H16841" s="40" t="s">
        <v>11404</v>
      </c>
    </row>
    <row r="16842">
      <c r="A16842" s="39"/>
      <c r="E16842" s="40" t="s">
        <v>11404</v>
      </c>
      <c r="F16842" s="40" t="s">
        <v>11404</v>
      </c>
      <c r="G16842" s="40" t="s">
        <v>11404</v>
      </c>
      <c r="H16842" s="40" t="s">
        <v>11404</v>
      </c>
    </row>
    <row r="16843">
      <c r="A16843" s="39"/>
      <c r="E16843" s="40" t="s">
        <v>11404</v>
      </c>
      <c r="F16843" s="40" t="s">
        <v>11404</v>
      </c>
      <c r="G16843" s="40" t="s">
        <v>11404</v>
      </c>
      <c r="H16843" s="40" t="s">
        <v>11404</v>
      </c>
    </row>
    <row r="16844">
      <c r="A16844" s="39"/>
      <c r="E16844" s="40" t="s">
        <v>11404</v>
      </c>
      <c r="F16844" s="40" t="s">
        <v>11404</v>
      </c>
      <c r="G16844" s="40" t="s">
        <v>11404</v>
      </c>
      <c r="H16844" s="40" t="s">
        <v>11404</v>
      </c>
    </row>
    <row r="16845">
      <c r="A16845" s="39"/>
      <c r="E16845" s="40" t="s">
        <v>11404</v>
      </c>
      <c r="F16845" s="40" t="s">
        <v>11404</v>
      </c>
      <c r="G16845" s="40" t="s">
        <v>11404</v>
      </c>
      <c r="H16845" s="40" t="s">
        <v>11404</v>
      </c>
    </row>
    <row r="16846">
      <c r="A16846" s="39"/>
      <c r="E16846" s="40" t="s">
        <v>11404</v>
      </c>
      <c r="F16846" s="40" t="s">
        <v>11404</v>
      </c>
      <c r="G16846" s="40" t="s">
        <v>11404</v>
      </c>
      <c r="H16846" s="40" t="s">
        <v>11404</v>
      </c>
    </row>
    <row r="16847">
      <c r="A16847" s="39"/>
      <c r="E16847" s="40" t="s">
        <v>11404</v>
      </c>
      <c r="F16847" s="40" t="s">
        <v>11404</v>
      </c>
      <c r="G16847" s="40" t="s">
        <v>11404</v>
      </c>
      <c r="H16847" s="40" t="s">
        <v>11404</v>
      </c>
    </row>
    <row r="16848">
      <c r="A16848" s="39"/>
      <c r="E16848" s="40" t="s">
        <v>11404</v>
      </c>
      <c r="F16848" s="40" t="s">
        <v>11404</v>
      </c>
      <c r="G16848" s="40" t="s">
        <v>11404</v>
      </c>
      <c r="H16848" s="40" t="s">
        <v>11404</v>
      </c>
    </row>
    <row r="16849">
      <c r="A16849" s="39"/>
      <c r="E16849" s="40" t="s">
        <v>11404</v>
      </c>
      <c r="F16849" s="40" t="s">
        <v>11404</v>
      </c>
      <c r="G16849" s="40" t="s">
        <v>11404</v>
      </c>
      <c r="H16849" s="40" t="s">
        <v>11404</v>
      </c>
    </row>
    <row r="16850">
      <c r="A16850" s="39"/>
      <c r="E16850" s="40" t="s">
        <v>11404</v>
      </c>
      <c r="F16850" s="40" t="s">
        <v>11404</v>
      </c>
      <c r="G16850" s="40" t="s">
        <v>11404</v>
      </c>
      <c r="H16850" s="40" t="s">
        <v>11404</v>
      </c>
    </row>
    <row r="16851">
      <c r="A16851" s="39"/>
      <c r="E16851" s="40" t="s">
        <v>11404</v>
      </c>
      <c r="F16851" s="40" t="s">
        <v>11404</v>
      </c>
      <c r="G16851" s="40" t="s">
        <v>11404</v>
      </c>
      <c r="H16851" s="40" t="s">
        <v>11404</v>
      </c>
    </row>
    <row r="16852">
      <c r="A16852" s="39"/>
      <c r="E16852" s="40" t="s">
        <v>11404</v>
      </c>
      <c r="F16852" s="40" t="s">
        <v>11404</v>
      </c>
      <c r="G16852" s="40" t="s">
        <v>11404</v>
      </c>
      <c r="H16852" s="40" t="s">
        <v>11404</v>
      </c>
    </row>
    <row r="16853">
      <c r="A16853" s="39"/>
      <c r="E16853" s="40" t="s">
        <v>11404</v>
      </c>
      <c r="F16853" s="40" t="s">
        <v>11404</v>
      </c>
      <c r="G16853" s="40" t="s">
        <v>11404</v>
      </c>
      <c r="H16853" s="40" t="s">
        <v>11404</v>
      </c>
    </row>
    <row r="16854">
      <c r="A16854" s="39"/>
      <c r="E16854" s="40" t="s">
        <v>11404</v>
      </c>
      <c r="F16854" s="40" t="s">
        <v>11404</v>
      </c>
      <c r="G16854" s="40" t="s">
        <v>11404</v>
      </c>
      <c r="H16854" s="40" t="s">
        <v>11404</v>
      </c>
    </row>
    <row r="16855">
      <c r="A16855" s="39"/>
      <c r="E16855" s="40" t="s">
        <v>11404</v>
      </c>
      <c r="F16855" s="40" t="s">
        <v>11404</v>
      </c>
      <c r="G16855" s="40" t="s">
        <v>11404</v>
      </c>
      <c r="H16855" s="40" t="s">
        <v>11404</v>
      </c>
    </row>
    <row r="16856">
      <c r="A16856" s="39"/>
      <c r="E16856" s="40" t="s">
        <v>11404</v>
      </c>
      <c r="F16856" s="40" t="s">
        <v>11404</v>
      </c>
      <c r="G16856" s="40" t="s">
        <v>11404</v>
      </c>
      <c r="H16856" s="40" t="s">
        <v>11404</v>
      </c>
    </row>
    <row r="16857">
      <c r="A16857" s="39"/>
      <c r="E16857" s="40" t="s">
        <v>11404</v>
      </c>
      <c r="F16857" s="40" t="s">
        <v>11404</v>
      </c>
      <c r="G16857" s="40" t="s">
        <v>11404</v>
      </c>
      <c r="H16857" s="40" t="s">
        <v>11404</v>
      </c>
    </row>
    <row r="16858">
      <c r="A16858" s="39"/>
      <c r="E16858" s="40" t="s">
        <v>11404</v>
      </c>
      <c r="F16858" s="40" t="s">
        <v>11404</v>
      </c>
      <c r="G16858" s="40" t="s">
        <v>11404</v>
      </c>
      <c r="H16858" s="40" t="s">
        <v>11404</v>
      </c>
    </row>
    <row r="16859">
      <c r="A16859" s="39"/>
      <c r="E16859" s="40" t="s">
        <v>11404</v>
      </c>
      <c r="F16859" s="40" t="s">
        <v>11404</v>
      </c>
      <c r="G16859" s="40" t="s">
        <v>11404</v>
      </c>
      <c r="H16859" s="40" t="s">
        <v>11404</v>
      </c>
    </row>
    <row r="16860">
      <c r="A16860" s="39"/>
      <c r="E16860" s="40" t="s">
        <v>11404</v>
      </c>
      <c r="F16860" s="40" t="s">
        <v>11404</v>
      </c>
      <c r="G16860" s="40" t="s">
        <v>11404</v>
      </c>
      <c r="H16860" s="40" t="s">
        <v>11404</v>
      </c>
    </row>
    <row r="16861">
      <c r="A16861" s="39"/>
      <c r="E16861" s="40" t="s">
        <v>11404</v>
      </c>
      <c r="F16861" s="40" t="s">
        <v>11404</v>
      </c>
      <c r="G16861" s="40" t="s">
        <v>11404</v>
      </c>
      <c r="H16861" s="40" t="s">
        <v>11404</v>
      </c>
    </row>
    <row r="16862">
      <c r="A16862" s="39"/>
      <c r="E16862" s="40" t="s">
        <v>11404</v>
      </c>
      <c r="F16862" s="40" t="s">
        <v>11404</v>
      </c>
      <c r="G16862" s="40" t="s">
        <v>11404</v>
      </c>
      <c r="H16862" s="40" t="s">
        <v>11404</v>
      </c>
    </row>
    <row r="16863">
      <c r="A16863" s="39"/>
      <c r="E16863" s="40" t="s">
        <v>11404</v>
      </c>
      <c r="F16863" s="40" t="s">
        <v>11404</v>
      </c>
      <c r="G16863" s="40" t="s">
        <v>11404</v>
      </c>
      <c r="H16863" s="40" t="s">
        <v>11404</v>
      </c>
    </row>
    <row r="16864">
      <c r="A16864" s="39"/>
      <c r="E16864" s="40" t="s">
        <v>11404</v>
      </c>
      <c r="F16864" s="40" t="s">
        <v>11404</v>
      </c>
      <c r="G16864" s="40" t="s">
        <v>11404</v>
      </c>
      <c r="H16864" s="40" t="s">
        <v>11404</v>
      </c>
    </row>
    <row r="16865">
      <c r="A16865" s="39"/>
      <c r="E16865" s="40" t="s">
        <v>11404</v>
      </c>
      <c r="F16865" s="40" t="s">
        <v>11404</v>
      </c>
      <c r="G16865" s="40" t="s">
        <v>11404</v>
      </c>
      <c r="H16865" s="40" t="s">
        <v>11404</v>
      </c>
    </row>
    <row r="16866">
      <c r="A16866" s="39"/>
      <c r="E16866" s="40" t="s">
        <v>11404</v>
      </c>
      <c r="F16866" s="40" t="s">
        <v>11404</v>
      </c>
      <c r="G16866" s="40" t="s">
        <v>11404</v>
      </c>
      <c r="H16866" s="40" t="s">
        <v>11404</v>
      </c>
    </row>
    <row r="16867">
      <c r="A16867" s="39"/>
      <c r="E16867" s="40" t="s">
        <v>11404</v>
      </c>
      <c r="F16867" s="40" t="s">
        <v>11404</v>
      </c>
      <c r="G16867" s="40" t="s">
        <v>11404</v>
      </c>
      <c r="H16867" s="40" t="s">
        <v>11404</v>
      </c>
    </row>
    <row r="16868">
      <c r="A16868" s="39"/>
      <c r="E16868" s="40" t="s">
        <v>11404</v>
      </c>
      <c r="F16868" s="40" t="s">
        <v>11404</v>
      </c>
      <c r="G16868" s="40" t="s">
        <v>11404</v>
      </c>
      <c r="H16868" s="40" t="s">
        <v>11404</v>
      </c>
    </row>
    <row r="16869">
      <c r="A16869" s="39"/>
      <c r="E16869" s="40" t="s">
        <v>11404</v>
      </c>
      <c r="F16869" s="40" t="s">
        <v>11404</v>
      </c>
      <c r="G16869" s="40" t="s">
        <v>11404</v>
      </c>
      <c r="H16869" s="40" t="s">
        <v>11404</v>
      </c>
    </row>
    <row r="16870">
      <c r="A16870" s="39"/>
      <c r="E16870" s="40" t="s">
        <v>11404</v>
      </c>
      <c r="F16870" s="40" t="s">
        <v>11404</v>
      </c>
      <c r="G16870" s="40" t="s">
        <v>11404</v>
      </c>
      <c r="H16870" s="40" t="s">
        <v>11404</v>
      </c>
    </row>
    <row r="16871">
      <c r="A16871" s="39"/>
      <c r="E16871" s="40" t="s">
        <v>11404</v>
      </c>
      <c r="F16871" s="40" t="s">
        <v>11404</v>
      </c>
      <c r="G16871" s="40" t="s">
        <v>11404</v>
      </c>
      <c r="H16871" s="40" t="s">
        <v>11404</v>
      </c>
    </row>
    <row r="16872">
      <c r="A16872" s="39"/>
      <c r="E16872" s="40" t="s">
        <v>11404</v>
      </c>
      <c r="F16872" s="40" t="s">
        <v>11404</v>
      </c>
      <c r="G16872" s="40" t="s">
        <v>11404</v>
      </c>
      <c r="H16872" s="40" t="s">
        <v>11404</v>
      </c>
    </row>
    <row r="16873">
      <c r="A16873" s="39"/>
      <c r="E16873" s="40" t="s">
        <v>11404</v>
      </c>
      <c r="F16873" s="40" t="s">
        <v>11404</v>
      </c>
      <c r="G16873" s="40" t="s">
        <v>11404</v>
      </c>
      <c r="H16873" s="40" t="s">
        <v>11404</v>
      </c>
    </row>
    <row r="16874">
      <c r="A16874" s="39"/>
      <c r="E16874" s="40" t="s">
        <v>11404</v>
      </c>
      <c r="F16874" s="40" t="s">
        <v>11404</v>
      </c>
      <c r="G16874" s="40" t="s">
        <v>11404</v>
      </c>
      <c r="H16874" s="40" t="s">
        <v>11404</v>
      </c>
    </row>
    <row r="16875">
      <c r="A16875" s="39"/>
      <c r="E16875" s="40" t="s">
        <v>11404</v>
      </c>
      <c r="F16875" s="40" t="s">
        <v>11404</v>
      </c>
      <c r="G16875" s="40" t="s">
        <v>11404</v>
      </c>
      <c r="H16875" s="40" t="s">
        <v>11404</v>
      </c>
    </row>
    <row r="16876">
      <c r="A16876" s="39"/>
      <c r="E16876" s="40" t="s">
        <v>11404</v>
      </c>
      <c r="F16876" s="40" t="s">
        <v>11404</v>
      </c>
      <c r="G16876" s="40" t="s">
        <v>11404</v>
      </c>
      <c r="H16876" s="40" t="s">
        <v>11404</v>
      </c>
    </row>
    <row r="16877">
      <c r="A16877" s="39"/>
      <c r="E16877" s="40" t="s">
        <v>11404</v>
      </c>
      <c r="F16877" s="40" t="s">
        <v>11404</v>
      </c>
      <c r="G16877" s="40" t="s">
        <v>11404</v>
      </c>
      <c r="H16877" s="40" t="s">
        <v>11404</v>
      </c>
    </row>
    <row r="16878">
      <c r="A16878" s="39"/>
      <c r="E16878" s="40" t="s">
        <v>11404</v>
      </c>
      <c r="F16878" s="40" t="s">
        <v>11404</v>
      </c>
      <c r="G16878" s="40" t="s">
        <v>11404</v>
      </c>
      <c r="H16878" s="40" t="s">
        <v>11404</v>
      </c>
    </row>
    <row r="16879">
      <c r="A16879" s="39"/>
      <c r="E16879" s="40" t="s">
        <v>11404</v>
      </c>
      <c r="F16879" s="40" t="s">
        <v>11404</v>
      </c>
      <c r="G16879" s="40" t="s">
        <v>11404</v>
      </c>
      <c r="H16879" s="40" t="s">
        <v>11404</v>
      </c>
    </row>
    <row r="16880">
      <c r="A16880" s="39"/>
      <c r="E16880" s="40" t="s">
        <v>11404</v>
      </c>
      <c r="F16880" s="40" t="s">
        <v>11404</v>
      </c>
      <c r="G16880" s="40" t="s">
        <v>11404</v>
      </c>
      <c r="H16880" s="40" t="s">
        <v>11404</v>
      </c>
    </row>
    <row r="16881">
      <c r="A16881" s="39"/>
      <c r="E16881" s="40" t="s">
        <v>11404</v>
      </c>
      <c r="F16881" s="40" t="s">
        <v>11404</v>
      </c>
      <c r="G16881" s="40" t="s">
        <v>11404</v>
      </c>
      <c r="H16881" s="40" t="s">
        <v>11404</v>
      </c>
    </row>
    <row r="16882">
      <c r="A16882" s="39"/>
      <c r="E16882" s="40" t="s">
        <v>11404</v>
      </c>
      <c r="F16882" s="40" t="s">
        <v>11404</v>
      </c>
      <c r="G16882" s="40" t="s">
        <v>11404</v>
      </c>
      <c r="H16882" s="40" t="s">
        <v>11404</v>
      </c>
    </row>
    <row r="16883">
      <c r="A16883" s="39"/>
      <c r="E16883" s="40" t="s">
        <v>11404</v>
      </c>
      <c r="F16883" s="40" t="s">
        <v>11404</v>
      </c>
      <c r="G16883" s="40" t="s">
        <v>11404</v>
      </c>
      <c r="H16883" s="40" t="s">
        <v>11404</v>
      </c>
    </row>
    <row r="16884">
      <c r="A16884" s="39"/>
      <c r="E16884" s="40" t="s">
        <v>11404</v>
      </c>
      <c r="F16884" s="40" t="s">
        <v>11404</v>
      </c>
      <c r="G16884" s="40" t="s">
        <v>11404</v>
      </c>
      <c r="H16884" s="40" t="s">
        <v>11404</v>
      </c>
    </row>
    <row r="16885">
      <c r="A16885" s="39"/>
      <c r="E16885" s="40" t="s">
        <v>11404</v>
      </c>
      <c r="F16885" s="40" t="s">
        <v>11404</v>
      </c>
      <c r="G16885" s="40" t="s">
        <v>11404</v>
      </c>
      <c r="H16885" s="40" t="s">
        <v>11404</v>
      </c>
    </row>
    <row r="16886">
      <c r="A16886" s="39"/>
      <c r="E16886" s="40" t="s">
        <v>11404</v>
      </c>
      <c r="F16886" s="40" t="s">
        <v>11404</v>
      </c>
      <c r="G16886" s="40" t="s">
        <v>11404</v>
      </c>
      <c r="H16886" s="40" t="s">
        <v>11404</v>
      </c>
    </row>
    <row r="16887">
      <c r="A16887" s="39"/>
      <c r="E16887" s="40" t="s">
        <v>11404</v>
      </c>
      <c r="F16887" s="40" t="s">
        <v>11404</v>
      </c>
      <c r="G16887" s="40" t="s">
        <v>11404</v>
      </c>
      <c r="H16887" s="40" t="s">
        <v>11404</v>
      </c>
    </row>
    <row r="16888">
      <c r="A16888" s="39"/>
      <c r="E16888" s="40" t="s">
        <v>11404</v>
      </c>
      <c r="F16888" s="40" t="s">
        <v>11404</v>
      </c>
      <c r="G16888" s="40" t="s">
        <v>11404</v>
      </c>
      <c r="H16888" s="40" t="s">
        <v>11404</v>
      </c>
    </row>
    <row r="16889">
      <c r="A16889" s="39"/>
      <c r="E16889" s="40" t="s">
        <v>11404</v>
      </c>
      <c r="F16889" s="40" t="s">
        <v>11404</v>
      </c>
      <c r="G16889" s="40" t="s">
        <v>11404</v>
      </c>
      <c r="H16889" s="40" t="s">
        <v>11404</v>
      </c>
    </row>
    <row r="16890">
      <c r="A16890" s="39"/>
      <c r="E16890" s="40" t="s">
        <v>11404</v>
      </c>
      <c r="F16890" s="40" t="s">
        <v>11404</v>
      </c>
      <c r="G16890" s="40" t="s">
        <v>11404</v>
      </c>
      <c r="H16890" s="40" t="s">
        <v>11404</v>
      </c>
    </row>
    <row r="16891">
      <c r="A16891" s="39"/>
      <c r="E16891" s="40" t="s">
        <v>11404</v>
      </c>
      <c r="F16891" s="40" t="s">
        <v>11404</v>
      </c>
      <c r="G16891" s="40" t="s">
        <v>11404</v>
      </c>
      <c r="H16891" s="40" t="s">
        <v>11404</v>
      </c>
    </row>
    <row r="16892">
      <c r="A16892" s="39"/>
      <c r="E16892" s="40" t="s">
        <v>11404</v>
      </c>
      <c r="F16892" s="40" t="s">
        <v>11404</v>
      </c>
      <c r="G16892" s="40" t="s">
        <v>11404</v>
      </c>
      <c r="H16892" s="40" t="s">
        <v>11404</v>
      </c>
    </row>
    <row r="16893">
      <c r="A16893" s="39"/>
      <c r="E16893" s="40" t="s">
        <v>11404</v>
      </c>
      <c r="F16893" s="40" t="s">
        <v>11404</v>
      </c>
      <c r="G16893" s="40" t="s">
        <v>11404</v>
      </c>
      <c r="H16893" s="40" t="s">
        <v>11404</v>
      </c>
    </row>
    <row r="16894">
      <c r="A16894" s="39"/>
      <c r="E16894" s="40" t="s">
        <v>11404</v>
      </c>
      <c r="F16894" s="40" t="s">
        <v>11404</v>
      </c>
      <c r="G16894" s="40" t="s">
        <v>11404</v>
      </c>
      <c r="H16894" s="40" t="s">
        <v>11404</v>
      </c>
    </row>
    <row r="16895">
      <c r="A16895" s="39"/>
      <c r="E16895" s="40" t="s">
        <v>11404</v>
      </c>
      <c r="F16895" s="40" t="s">
        <v>11404</v>
      </c>
      <c r="G16895" s="40" t="s">
        <v>11404</v>
      </c>
      <c r="H16895" s="40" t="s">
        <v>11404</v>
      </c>
    </row>
    <row r="16896">
      <c r="A16896" s="39"/>
      <c r="E16896" s="40" t="s">
        <v>11404</v>
      </c>
      <c r="F16896" s="40" t="s">
        <v>11404</v>
      </c>
      <c r="G16896" s="40" t="s">
        <v>11404</v>
      </c>
      <c r="H16896" s="40" t="s">
        <v>11404</v>
      </c>
    </row>
    <row r="16897">
      <c r="A16897" s="39"/>
      <c r="E16897" s="40" t="s">
        <v>11404</v>
      </c>
      <c r="F16897" s="40" t="s">
        <v>11404</v>
      </c>
      <c r="G16897" s="40" t="s">
        <v>11404</v>
      </c>
      <c r="H16897" s="40" t="s">
        <v>11404</v>
      </c>
    </row>
    <row r="16898">
      <c r="A16898" s="39"/>
      <c r="E16898" s="40" t="s">
        <v>11404</v>
      </c>
      <c r="F16898" s="40" t="s">
        <v>11404</v>
      </c>
      <c r="G16898" s="40" t="s">
        <v>11404</v>
      </c>
      <c r="H16898" s="40" t="s">
        <v>11404</v>
      </c>
    </row>
    <row r="16899">
      <c r="A16899" s="39"/>
      <c r="E16899" s="40" t="s">
        <v>11404</v>
      </c>
      <c r="F16899" s="40" t="s">
        <v>11404</v>
      </c>
      <c r="G16899" s="40" t="s">
        <v>11404</v>
      </c>
      <c r="H16899" s="40" t="s">
        <v>11404</v>
      </c>
    </row>
    <row r="16900">
      <c r="A16900" s="39"/>
      <c r="E16900" s="40" t="s">
        <v>11404</v>
      </c>
      <c r="F16900" s="40" t="s">
        <v>11404</v>
      </c>
      <c r="G16900" s="40" t="s">
        <v>11404</v>
      </c>
      <c r="H16900" s="40" t="s">
        <v>11404</v>
      </c>
    </row>
    <row r="16901">
      <c r="A16901" s="39"/>
      <c r="E16901" s="40" t="s">
        <v>11404</v>
      </c>
      <c r="F16901" s="40" t="s">
        <v>11404</v>
      </c>
      <c r="G16901" s="40" t="s">
        <v>11404</v>
      </c>
      <c r="H16901" s="40" t="s">
        <v>11404</v>
      </c>
    </row>
    <row r="16902">
      <c r="A16902" s="39"/>
      <c r="E16902" s="40" t="s">
        <v>11404</v>
      </c>
      <c r="F16902" s="40" t="s">
        <v>11404</v>
      </c>
      <c r="G16902" s="40" t="s">
        <v>11404</v>
      </c>
      <c r="H16902" s="40" t="s">
        <v>11404</v>
      </c>
    </row>
    <row r="16903">
      <c r="A16903" s="39"/>
      <c r="E16903" s="40" t="s">
        <v>11404</v>
      </c>
      <c r="F16903" s="40" t="s">
        <v>11404</v>
      </c>
      <c r="G16903" s="40" t="s">
        <v>11404</v>
      </c>
      <c r="H16903" s="40" t="s">
        <v>11404</v>
      </c>
    </row>
    <row r="16904">
      <c r="A16904" s="39"/>
      <c r="E16904" s="40" t="s">
        <v>11404</v>
      </c>
      <c r="F16904" s="40" t="s">
        <v>11404</v>
      </c>
      <c r="G16904" s="40" t="s">
        <v>11404</v>
      </c>
      <c r="H16904" s="40" t="s">
        <v>11404</v>
      </c>
    </row>
    <row r="16905">
      <c r="A16905" s="39"/>
      <c r="E16905" s="40" t="s">
        <v>11404</v>
      </c>
      <c r="F16905" s="40" t="s">
        <v>11404</v>
      </c>
      <c r="G16905" s="40" t="s">
        <v>11404</v>
      </c>
      <c r="H16905" s="40" t="s">
        <v>11404</v>
      </c>
    </row>
    <row r="16906">
      <c r="A16906" s="39"/>
      <c r="E16906" s="40" t="s">
        <v>11404</v>
      </c>
      <c r="F16906" s="40" t="s">
        <v>11404</v>
      </c>
      <c r="G16906" s="40" t="s">
        <v>11404</v>
      </c>
      <c r="H16906" s="40" t="s">
        <v>11404</v>
      </c>
    </row>
    <row r="16907">
      <c r="A16907" s="39"/>
      <c r="E16907" s="40" t="s">
        <v>11404</v>
      </c>
      <c r="F16907" s="40" t="s">
        <v>11404</v>
      </c>
      <c r="G16907" s="40" t="s">
        <v>11404</v>
      </c>
      <c r="H16907" s="40" t="s">
        <v>11404</v>
      </c>
    </row>
    <row r="16908">
      <c r="A16908" s="39"/>
      <c r="E16908" s="40" t="s">
        <v>11404</v>
      </c>
      <c r="F16908" s="40" t="s">
        <v>11404</v>
      </c>
      <c r="G16908" s="40" t="s">
        <v>11404</v>
      </c>
      <c r="H16908" s="40" t="s">
        <v>11404</v>
      </c>
    </row>
    <row r="16909">
      <c r="A16909" s="39"/>
      <c r="E16909" s="40" t="s">
        <v>11404</v>
      </c>
      <c r="F16909" s="40" t="s">
        <v>11404</v>
      </c>
      <c r="G16909" s="40" t="s">
        <v>11404</v>
      </c>
      <c r="H16909" s="40" t="s">
        <v>11404</v>
      </c>
    </row>
    <row r="16910">
      <c r="A16910" s="39"/>
      <c r="E16910" s="40" t="s">
        <v>11404</v>
      </c>
      <c r="F16910" s="40" t="s">
        <v>11404</v>
      </c>
      <c r="G16910" s="40" t="s">
        <v>11404</v>
      </c>
      <c r="H16910" s="40" t="s">
        <v>11404</v>
      </c>
    </row>
    <row r="16911">
      <c r="A16911" s="39"/>
      <c r="E16911" s="40" t="s">
        <v>11404</v>
      </c>
      <c r="F16911" s="40" t="s">
        <v>11404</v>
      </c>
      <c r="G16911" s="40" t="s">
        <v>11404</v>
      </c>
      <c r="H16911" s="40" t="s">
        <v>11404</v>
      </c>
    </row>
    <row r="16912">
      <c r="A16912" s="39"/>
      <c r="E16912" s="40" t="s">
        <v>11404</v>
      </c>
      <c r="F16912" s="40" t="s">
        <v>11404</v>
      </c>
      <c r="G16912" s="40" t="s">
        <v>11404</v>
      </c>
      <c r="H16912" s="40" t="s">
        <v>11404</v>
      </c>
    </row>
    <row r="16913">
      <c r="A16913" s="39"/>
      <c r="E16913" s="40" t="s">
        <v>11404</v>
      </c>
      <c r="F16913" s="40" t="s">
        <v>11404</v>
      </c>
      <c r="G16913" s="40" t="s">
        <v>11404</v>
      </c>
      <c r="H16913" s="40" t="s">
        <v>11404</v>
      </c>
    </row>
    <row r="16914">
      <c r="A16914" s="39"/>
      <c r="E16914" s="40" t="s">
        <v>11404</v>
      </c>
      <c r="F16914" s="40" t="s">
        <v>11404</v>
      </c>
      <c r="G16914" s="40" t="s">
        <v>11404</v>
      </c>
      <c r="H16914" s="40" t="s">
        <v>11404</v>
      </c>
    </row>
    <row r="16915">
      <c r="A16915" s="39"/>
      <c r="E16915" s="40" t="s">
        <v>11404</v>
      </c>
      <c r="F16915" s="40" t="s">
        <v>11404</v>
      </c>
      <c r="G16915" s="40" t="s">
        <v>11404</v>
      </c>
      <c r="H16915" s="40" t="s">
        <v>11404</v>
      </c>
    </row>
    <row r="16916">
      <c r="A16916" s="39"/>
      <c r="E16916" s="40" t="s">
        <v>11404</v>
      </c>
      <c r="F16916" s="40" t="s">
        <v>11404</v>
      </c>
      <c r="G16916" s="40" t="s">
        <v>11404</v>
      </c>
      <c r="H16916" s="40" t="s">
        <v>11404</v>
      </c>
    </row>
    <row r="16917">
      <c r="A16917" s="39"/>
      <c r="E16917" s="40" t="s">
        <v>11404</v>
      </c>
      <c r="F16917" s="40" t="s">
        <v>11404</v>
      </c>
      <c r="G16917" s="40" t="s">
        <v>11404</v>
      </c>
      <c r="H16917" s="40" t="s">
        <v>11404</v>
      </c>
    </row>
    <row r="16918">
      <c r="A16918" s="39"/>
      <c r="E16918" s="40" t="s">
        <v>11404</v>
      </c>
      <c r="F16918" s="40" t="s">
        <v>11404</v>
      </c>
      <c r="G16918" s="40" t="s">
        <v>11404</v>
      </c>
      <c r="H16918" s="40" t="s">
        <v>11404</v>
      </c>
    </row>
    <row r="16919">
      <c r="A16919" s="39"/>
      <c r="E16919" s="40" t="s">
        <v>11404</v>
      </c>
      <c r="F16919" s="40" t="s">
        <v>11404</v>
      </c>
      <c r="G16919" s="40" t="s">
        <v>11404</v>
      </c>
      <c r="H16919" s="40" t="s">
        <v>11404</v>
      </c>
    </row>
    <row r="16920">
      <c r="A16920" s="39"/>
      <c r="E16920" s="40" t="s">
        <v>11404</v>
      </c>
      <c r="F16920" s="40" t="s">
        <v>11404</v>
      </c>
      <c r="G16920" s="40" t="s">
        <v>11404</v>
      </c>
      <c r="H16920" s="40" t="s">
        <v>11404</v>
      </c>
    </row>
    <row r="16921">
      <c r="A16921" s="39"/>
      <c r="E16921" s="40" t="s">
        <v>11404</v>
      </c>
      <c r="F16921" s="40" t="s">
        <v>11404</v>
      </c>
      <c r="G16921" s="40" t="s">
        <v>11404</v>
      </c>
      <c r="H16921" s="40" t="s">
        <v>11404</v>
      </c>
    </row>
    <row r="16922">
      <c r="A16922" s="39"/>
      <c r="E16922" s="40" t="s">
        <v>11404</v>
      </c>
      <c r="F16922" s="40" t="s">
        <v>11404</v>
      </c>
      <c r="G16922" s="40" t="s">
        <v>11404</v>
      </c>
      <c r="H16922" s="40" t="s">
        <v>11404</v>
      </c>
    </row>
    <row r="16923">
      <c r="A16923" s="39"/>
      <c r="E16923" s="40" t="s">
        <v>11404</v>
      </c>
      <c r="F16923" s="40" t="s">
        <v>11404</v>
      </c>
      <c r="G16923" s="40" t="s">
        <v>11404</v>
      </c>
      <c r="H16923" s="40" t="s">
        <v>11404</v>
      </c>
    </row>
    <row r="16924">
      <c r="A16924" s="39"/>
      <c r="E16924" s="40" t="s">
        <v>11404</v>
      </c>
      <c r="F16924" s="40" t="s">
        <v>11404</v>
      </c>
      <c r="G16924" s="40" t="s">
        <v>11404</v>
      </c>
      <c r="H16924" s="40" t="s">
        <v>11404</v>
      </c>
    </row>
    <row r="16925">
      <c r="A16925" s="39"/>
      <c r="E16925" s="40" t="s">
        <v>11404</v>
      </c>
      <c r="F16925" s="40" t="s">
        <v>11404</v>
      </c>
      <c r="G16925" s="40" t="s">
        <v>11404</v>
      </c>
      <c r="H16925" s="40" t="s">
        <v>11404</v>
      </c>
    </row>
    <row r="16926">
      <c r="A16926" s="39"/>
      <c r="E16926" s="40" t="s">
        <v>11404</v>
      </c>
      <c r="F16926" s="40" t="s">
        <v>11404</v>
      </c>
      <c r="G16926" s="40" t="s">
        <v>11404</v>
      </c>
      <c r="H16926" s="40" t="s">
        <v>11404</v>
      </c>
    </row>
    <row r="16927">
      <c r="A16927" s="39"/>
      <c r="E16927" s="40" t="s">
        <v>11404</v>
      </c>
      <c r="F16927" s="40" t="s">
        <v>11404</v>
      </c>
      <c r="G16927" s="40" t="s">
        <v>11404</v>
      </c>
      <c r="H16927" s="40" t="s">
        <v>11404</v>
      </c>
    </row>
    <row r="16928">
      <c r="A16928" s="39"/>
      <c r="E16928" s="40" t="s">
        <v>11404</v>
      </c>
      <c r="F16928" s="40" t="s">
        <v>11404</v>
      </c>
      <c r="G16928" s="40" t="s">
        <v>11404</v>
      </c>
      <c r="H16928" s="40" t="s">
        <v>11404</v>
      </c>
    </row>
    <row r="16929">
      <c r="A16929" s="39"/>
      <c r="E16929" s="40" t="s">
        <v>11404</v>
      </c>
      <c r="F16929" s="40" t="s">
        <v>11404</v>
      </c>
      <c r="G16929" s="40" t="s">
        <v>11404</v>
      </c>
      <c r="H16929" s="40" t="s">
        <v>11404</v>
      </c>
    </row>
    <row r="16930">
      <c r="A16930" s="39"/>
      <c r="E16930" s="40" t="s">
        <v>11404</v>
      </c>
      <c r="F16930" s="40" t="s">
        <v>11404</v>
      </c>
      <c r="G16930" s="40" t="s">
        <v>11404</v>
      </c>
      <c r="H16930" s="40" t="s">
        <v>11404</v>
      </c>
    </row>
    <row r="16931">
      <c r="A16931" s="39"/>
      <c r="E16931" s="40" t="s">
        <v>11404</v>
      </c>
      <c r="F16931" s="40" t="s">
        <v>11404</v>
      </c>
      <c r="G16931" s="40" t="s">
        <v>11404</v>
      </c>
      <c r="H16931" s="40" t="s">
        <v>11404</v>
      </c>
    </row>
    <row r="16932">
      <c r="A16932" s="39"/>
      <c r="E16932" s="40" t="s">
        <v>11404</v>
      </c>
      <c r="F16932" s="40" t="s">
        <v>11404</v>
      </c>
      <c r="G16932" s="40" t="s">
        <v>11404</v>
      </c>
      <c r="H16932" s="40" t="s">
        <v>11404</v>
      </c>
    </row>
    <row r="16933">
      <c r="A16933" s="39"/>
      <c r="E16933" s="40" t="s">
        <v>11404</v>
      </c>
      <c r="F16933" s="40" t="s">
        <v>11404</v>
      </c>
      <c r="G16933" s="40" t="s">
        <v>11404</v>
      </c>
      <c r="H16933" s="40" t="s">
        <v>11404</v>
      </c>
    </row>
    <row r="16934">
      <c r="A16934" s="39"/>
      <c r="E16934" s="40" t="s">
        <v>11404</v>
      </c>
      <c r="F16934" s="40" t="s">
        <v>11404</v>
      </c>
      <c r="G16934" s="40" t="s">
        <v>11404</v>
      </c>
      <c r="H16934" s="40" t="s">
        <v>11404</v>
      </c>
    </row>
    <row r="16935">
      <c r="A16935" s="39"/>
      <c r="E16935" s="40" t="s">
        <v>11404</v>
      </c>
      <c r="F16935" s="40" t="s">
        <v>11404</v>
      </c>
      <c r="G16935" s="40" t="s">
        <v>11404</v>
      </c>
      <c r="H16935" s="40" t="s">
        <v>11404</v>
      </c>
    </row>
    <row r="16936">
      <c r="A16936" s="39"/>
      <c r="E16936" s="40" t="s">
        <v>11404</v>
      </c>
      <c r="F16936" s="40" t="s">
        <v>11404</v>
      </c>
      <c r="G16936" s="40" t="s">
        <v>11404</v>
      </c>
      <c r="H16936" s="40" t="s">
        <v>11404</v>
      </c>
    </row>
    <row r="16937">
      <c r="A16937" s="39"/>
      <c r="E16937" s="40" t="s">
        <v>11404</v>
      </c>
      <c r="F16937" s="40" t="s">
        <v>11404</v>
      </c>
      <c r="G16937" s="40" t="s">
        <v>11404</v>
      </c>
      <c r="H16937" s="40" t="s">
        <v>11404</v>
      </c>
    </row>
    <row r="16938">
      <c r="A16938" s="39"/>
      <c r="E16938" s="40" t="s">
        <v>11404</v>
      </c>
      <c r="F16938" s="40" t="s">
        <v>11404</v>
      </c>
      <c r="G16938" s="40" t="s">
        <v>11404</v>
      </c>
      <c r="H16938" s="40" t="s">
        <v>11404</v>
      </c>
    </row>
    <row r="16939">
      <c r="A16939" s="39"/>
      <c r="E16939" s="40" t="s">
        <v>11404</v>
      </c>
      <c r="F16939" s="40" t="s">
        <v>11404</v>
      </c>
      <c r="G16939" s="40" t="s">
        <v>11404</v>
      </c>
      <c r="H16939" s="40" t="s">
        <v>11404</v>
      </c>
    </row>
    <row r="16940">
      <c r="A16940" s="39"/>
      <c r="E16940" s="40" t="s">
        <v>11404</v>
      </c>
      <c r="F16940" s="40" t="s">
        <v>11404</v>
      </c>
      <c r="G16940" s="40" t="s">
        <v>11404</v>
      </c>
      <c r="H16940" s="40" t="s">
        <v>11404</v>
      </c>
    </row>
    <row r="16941">
      <c r="A16941" s="39"/>
      <c r="E16941" s="40" t="s">
        <v>11404</v>
      </c>
      <c r="F16941" s="40" t="s">
        <v>11404</v>
      </c>
      <c r="G16941" s="40" t="s">
        <v>11404</v>
      </c>
      <c r="H16941" s="40" t="s">
        <v>11404</v>
      </c>
    </row>
    <row r="16942">
      <c r="A16942" s="39"/>
      <c r="E16942" s="40" t="s">
        <v>11404</v>
      </c>
      <c r="F16942" s="40" t="s">
        <v>11404</v>
      </c>
      <c r="G16942" s="40" t="s">
        <v>11404</v>
      </c>
      <c r="H16942" s="40" t="s">
        <v>11404</v>
      </c>
    </row>
    <row r="16943">
      <c r="A16943" s="39"/>
      <c r="E16943" s="40" t="s">
        <v>11404</v>
      </c>
      <c r="F16943" s="40" t="s">
        <v>11404</v>
      </c>
      <c r="G16943" s="40" t="s">
        <v>11404</v>
      </c>
      <c r="H16943" s="40" t="s">
        <v>11404</v>
      </c>
    </row>
    <row r="16944">
      <c r="A16944" s="39"/>
      <c r="E16944" s="40" t="s">
        <v>11404</v>
      </c>
      <c r="F16944" s="40" t="s">
        <v>11404</v>
      </c>
      <c r="G16944" s="40" t="s">
        <v>11404</v>
      </c>
      <c r="H16944" s="40" t="s">
        <v>11404</v>
      </c>
    </row>
    <row r="16945">
      <c r="A16945" s="39"/>
      <c r="E16945" s="40" t="s">
        <v>11404</v>
      </c>
      <c r="F16945" s="40" t="s">
        <v>11404</v>
      </c>
      <c r="G16945" s="40" t="s">
        <v>11404</v>
      </c>
      <c r="H16945" s="40" t="s">
        <v>11404</v>
      </c>
    </row>
    <row r="16946">
      <c r="A16946" s="39"/>
      <c r="E16946" s="40" t="s">
        <v>11404</v>
      </c>
      <c r="F16946" s="40" t="s">
        <v>11404</v>
      </c>
      <c r="G16946" s="40" t="s">
        <v>11404</v>
      </c>
      <c r="H16946" s="40" t="s">
        <v>11404</v>
      </c>
    </row>
    <row r="16947">
      <c r="A16947" s="39"/>
      <c r="E16947" s="40" t="s">
        <v>11404</v>
      </c>
      <c r="F16947" s="40" t="s">
        <v>11404</v>
      </c>
      <c r="G16947" s="40" t="s">
        <v>11404</v>
      </c>
      <c r="H16947" s="40" t="s">
        <v>11404</v>
      </c>
    </row>
    <row r="16948">
      <c r="A16948" s="39"/>
      <c r="E16948" s="40" t="s">
        <v>11404</v>
      </c>
      <c r="F16948" s="40" t="s">
        <v>11404</v>
      </c>
      <c r="G16948" s="40" t="s">
        <v>11404</v>
      </c>
      <c r="H16948" s="40" t="s">
        <v>11404</v>
      </c>
    </row>
    <row r="16949">
      <c r="A16949" s="39"/>
      <c r="E16949" s="40" t="s">
        <v>11404</v>
      </c>
      <c r="F16949" s="40" t="s">
        <v>11404</v>
      </c>
      <c r="G16949" s="40" t="s">
        <v>11404</v>
      </c>
      <c r="H16949" s="40" t="s">
        <v>11404</v>
      </c>
    </row>
    <row r="16950">
      <c r="A16950" s="39"/>
      <c r="E16950" s="40" t="s">
        <v>11404</v>
      </c>
      <c r="F16950" s="40" t="s">
        <v>11404</v>
      </c>
      <c r="G16950" s="40" t="s">
        <v>11404</v>
      </c>
      <c r="H16950" s="40" t="s">
        <v>11404</v>
      </c>
    </row>
    <row r="16951">
      <c r="A16951" s="39"/>
      <c r="E16951" s="40" t="s">
        <v>11404</v>
      </c>
      <c r="F16951" s="40" t="s">
        <v>11404</v>
      </c>
      <c r="G16951" s="40" t="s">
        <v>11404</v>
      </c>
      <c r="H16951" s="40" t="s">
        <v>11404</v>
      </c>
    </row>
    <row r="16952">
      <c r="A16952" s="39"/>
      <c r="E16952" s="40" t="s">
        <v>11404</v>
      </c>
      <c r="F16952" s="40" t="s">
        <v>11404</v>
      </c>
      <c r="G16952" s="40" t="s">
        <v>11404</v>
      </c>
      <c r="H16952" s="40" t="s">
        <v>11404</v>
      </c>
    </row>
    <row r="16953">
      <c r="A16953" s="39"/>
      <c r="E16953" s="40" t="s">
        <v>11404</v>
      </c>
      <c r="F16953" s="40" t="s">
        <v>11404</v>
      </c>
      <c r="G16953" s="40" t="s">
        <v>11404</v>
      </c>
      <c r="H16953" s="40" t="s">
        <v>11404</v>
      </c>
    </row>
    <row r="16954">
      <c r="A16954" s="39"/>
      <c r="E16954" s="40" t="s">
        <v>11404</v>
      </c>
      <c r="F16954" s="40" t="s">
        <v>11404</v>
      </c>
      <c r="G16954" s="40" t="s">
        <v>11404</v>
      </c>
      <c r="H16954" s="40" t="s">
        <v>11404</v>
      </c>
    </row>
    <row r="16955">
      <c r="A16955" s="39"/>
      <c r="E16955" s="40" t="s">
        <v>11404</v>
      </c>
      <c r="F16955" s="40" t="s">
        <v>11404</v>
      </c>
      <c r="G16955" s="40" t="s">
        <v>11404</v>
      </c>
      <c r="H16955" s="40" t="s">
        <v>11404</v>
      </c>
    </row>
    <row r="16956">
      <c r="A16956" s="39"/>
      <c r="E16956" s="40" t="s">
        <v>11404</v>
      </c>
      <c r="F16956" s="40" t="s">
        <v>11404</v>
      </c>
      <c r="G16956" s="40" t="s">
        <v>11404</v>
      </c>
      <c r="H16956" s="40" t="s">
        <v>11404</v>
      </c>
    </row>
    <row r="16957">
      <c r="A16957" s="39"/>
      <c r="E16957" s="40" t="s">
        <v>11404</v>
      </c>
      <c r="F16957" s="40" t="s">
        <v>11404</v>
      </c>
      <c r="G16957" s="40" t="s">
        <v>11404</v>
      </c>
      <c r="H16957" s="40" t="s">
        <v>11404</v>
      </c>
    </row>
    <row r="16958">
      <c r="A16958" s="39"/>
      <c r="E16958" s="40" t="s">
        <v>11404</v>
      </c>
      <c r="F16958" s="40" t="s">
        <v>11404</v>
      </c>
      <c r="G16958" s="40" t="s">
        <v>11404</v>
      </c>
      <c r="H16958" s="40" t="s">
        <v>11404</v>
      </c>
    </row>
    <row r="16959">
      <c r="A16959" s="39"/>
      <c r="E16959" s="40" t="s">
        <v>11404</v>
      </c>
      <c r="F16959" s="40" t="s">
        <v>11404</v>
      </c>
      <c r="G16959" s="40" t="s">
        <v>11404</v>
      </c>
      <c r="H16959" s="40" t="s">
        <v>11404</v>
      </c>
    </row>
    <row r="16960">
      <c r="A16960" s="39"/>
      <c r="E16960" s="40" t="s">
        <v>11404</v>
      </c>
      <c r="F16960" s="40" t="s">
        <v>11404</v>
      </c>
      <c r="G16960" s="40" t="s">
        <v>11404</v>
      </c>
      <c r="H16960" s="40" t="s">
        <v>11404</v>
      </c>
    </row>
    <row r="16961">
      <c r="A16961" s="39"/>
      <c r="E16961" s="40" t="s">
        <v>11404</v>
      </c>
      <c r="F16961" s="40" t="s">
        <v>11404</v>
      </c>
      <c r="G16961" s="40" t="s">
        <v>11404</v>
      </c>
      <c r="H16961" s="40" t="s">
        <v>11404</v>
      </c>
    </row>
    <row r="16962">
      <c r="A16962" s="39"/>
      <c r="E16962" s="40" t="s">
        <v>11404</v>
      </c>
      <c r="F16962" s="40" t="s">
        <v>11404</v>
      </c>
      <c r="G16962" s="40" t="s">
        <v>11404</v>
      </c>
      <c r="H16962" s="40" t="s">
        <v>11404</v>
      </c>
    </row>
    <row r="16963">
      <c r="A16963" s="39"/>
      <c r="E16963" s="40" t="s">
        <v>11404</v>
      </c>
      <c r="F16963" s="40" t="s">
        <v>11404</v>
      </c>
      <c r="G16963" s="40" t="s">
        <v>11404</v>
      </c>
      <c r="H16963" s="40" t="s">
        <v>11404</v>
      </c>
    </row>
    <row r="16964">
      <c r="A16964" s="39"/>
      <c r="E16964" s="40" t="s">
        <v>11404</v>
      </c>
      <c r="F16964" s="40" t="s">
        <v>11404</v>
      </c>
      <c r="G16964" s="40" t="s">
        <v>11404</v>
      </c>
      <c r="H16964" s="40" t="s">
        <v>11404</v>
      </c>
    </row>
    <row r="16965">
      <c r="A16965" s="39"/>
      <c r="E16965" s="40" t="s">
        <v>11404</v>
      </c>
      <c r="F16965" s="40" t="s">
        <v>11404</v>
      </c>
      <c r="G16965" s="40" t="s">
        <v>11404</v>
      </c>
      <c r="H16965" s="40" t="s">
        <v>11404</v>
      </c>
    </row>
    <row r="16966">
      <c r="A16966" s="39"/>
      <c r="E16966" s="40" t="s">
        <v>11404</v>
      </c>
      <c r="F16966" s="40" t="s">
        <v>11404</v>
      </c>
      <c r="G16966" s="40" t="s">
        <v>11404</v>
      </c>
      <c r="H16966" s="40" t="s">
        <v>11404</v>
      </c>
    </row>
    <row r="16967">
      <c r="A16967" s="39"/>
      <c r="E16967" s="40" t="s">
        <v>11404</v>
      </c>
      <c r="F16967" s="40" t="s">
        <v>11404</v>
      </c>
      <c r="G16967" s="40" t="s">
        <v>11404</v>
      </c>
      <c r="H16967" s="40" t="s">
        <v>11404</v>
      </c>
    </row>
    <row r="16968">
      <c r="A16968" s="39"/>
      <c r="E16968" s="40" t="s">
        <v>11404</v>
      </c>
      <c r="F16968" s="40" t="s">
        <v>11404</v>
      </c>
      <c r="G16968" s="40" t="s">
        <v>11404</v>
      </c>
      <c r="H16968" s="40" t="s">
        <v>11404</v>
      </c>
    </row>
    <row r="16969">
      <c r="A16969" s="39"/>
      <c r="E16969" s="40" t="s">
        <v>11404</v>
      </c>
      <c r="F16969" s="40" t="s">
        <v>11404</v>
      </c>
      <c r="G16969" s="40" t="s">
        <v>11404</v>
      </c>
      <c r="H16969" s="40" t="s">
        <v>11404</v>
      </c>
    </row>
    <row r="16970">
      <c r="A16970" s="39"/>
      <c r="E16970" s="40" t="s">
        <v>11404</v>
      </c>
      <c r="F16970" s="40" t="s">
        <v>11404</v>
      </c>
      <c r="G16970" s="40" t="s">
        <v>11404</v>
      </c>
      <c r="H16970" s="40" t="s">
        <v>11404</v>
      </c>
    </row>
    <row r="16971">
      <c r="A16971" s="39"/>
      <c r="E16971" s="40" t="s">
        <v>11404</v>
      </c>
      <c r="F16971" s="40" t="s">
        <v>11404</v>
      </c>
      <c r="G16971" s="40" t="s">
        <v>11404</v>
      </c>
      <c r="H16971" s="40" t="s">
        <v>11404</v>
      </c>
    </row>
    <row r="16972">
      <c r="A16972" s="39"/>
      <c r="E16972" s="40" t="s">
        <v>11404</v>
      </c>
      <c r="F16972" s="40" t="s">
        <v>11404</v>
      </c>
      <c r="G16972" s="40" t="s">
        <v>11404</v>
      </c>
      <c r="H16972" s="40" t="s">
        <v>11404</v>
      </c>
    </row>
    <row r="16973">
      <c r="A16973" s="39"/>
      <c r="E16973" s="40" t="s">
        <v>11404</v>
      </c>
      <c r="F16973" s="40" t="s">
        <v>11404</v>
      </c>
      <c r="G16973" s="40" t="s">
        <v>11404</v>
      </c>
      <c r="H16973" s="40" t="s">
        <v>11404</v>
      </c>
    </row>
    <row r="16974">
      <c r="A16974" s="39"/>
      <c r="E16974" s="40" t="s">
        <v>11404</v>
      </c>
      <c r="F16974" s="40" t="s">
        <v>11404</v>
      </c>
      <c r="G16974" s="40" t="s">
        <v>11404</v>
      </c>
      <c r="H16974" s="40" t="s">
        <v>11404</v>
      </c>
    </row>
    <row r="16975">
      <c r="A16975" s="39"/>
      <c r="E16975" s="40" t="s">
        <v>11404</v>
      </c>
      <c r="F16975" s="40" t="s">
        <v>11404</v>
      </c>
      <c r="G16975" s="40" t="s">
        <v>11404</v>
      </c>
      <c r="H16975" s="40" t="s">
        <v>11404</v>
      </c>
    </row>
    <row r="16976">
      <c r="A16976" s="39"/>
      <c r="E16976" s="40" t="s">
        <v>11404</v>
      </c>
      <c r="F16976" s="40" t="s">
        <v>11404</v>
      </c>
      <c r="G16976" s="40" t="s">
        <v>11404</v>
      </c>
      <c r="H16976" s="40" t="s">
        <v>11404</v>
      </c>
    </row>
    <row r="16977">
      <c r="A16977" s="39"/>
      <c r="E16977" s="40" t="s">
        <v>11404</v>
      </c>
      <c r="F16977" s="40" t="s">
        <v>11404</v>
      </c>
      <c r="G16977" s="40" t="s">
        <v>11404</v>
      </c>
      <c r="H16977" s="40" t="s">
        <v>11404</v>
      </c>
    </row>
    <row r="16978">
      <c r="A16978" s="39"/>
      <c r="E16978" s="40" t="s">
        <v>11404</v>
      </c>
      <c r="F16978" s="40" t="s">
        <v>11404</v>
      </c>
      <c r="G16978" s="40" t="s">
        <v>11404</v>
      </c>
      <c r="H16978" s="40" t="s">
        <v>11404</v>
      </c>
    </row>
    <row r="16979">
      <c r="A16979" s="39"/>
      <c r="E16979" s="40" t="s">
        <v>11404</v>
      </c>
      <c r="F16979" s="40" t="s">
        <v>11404</v>
      </c>
      <c r="G16979" s="40" t="s">
        <v>11404</v>
      </c>
      <c r="H16979" s="40" t="s">
        <v>11404</v>
      </c>
    </row>
    <row r="16980">
      <c r="A16980" s="39"/>
      <c r="E16980" s="40" t="s">
        <v>11404</v>
      </c>
      <c r="F16980" s="40" t="s">
        <v>11404</v>
      </c>
      <c r="G16980" s="40" t="s">
        <v>11404</v>
      </c>
      <c r="H16980" s="40" t="s">
        <v>11404</v>
      </c>
    </row>
    <row r="16981">
      <c r="A16981" s="39"/>
      <c r="E16981" s="40" t="s">
        <v>11404</v>
      </c>
      <c r="F16981" s="40" t="s">
        <v>11404</v>
      </c>
      <c r="G16981" s="40" t="s">
        <v>11404</v>
      </c>
      <c r="H16981" s="40" t="s">
        <v>11404</v>
      </c>
    </row>
    <row r="16982">
      <c r="A16982" s="39"/>
      <c r="E16982" s="40" t="s">
        <v>11404</v>
      </c>
      <c r="F16982" s="40" t="s">
        <v>11404</v>
      </c>
      <c r="G16982" s="40" t="s">
        <v>11404</v>
      </c>
      <c r="H16982" s="40" t="s">
        <v>11404</v>
      </c>
    </row>
    <row r="16983">
      <c r="A16983" s="39"/>
      <c r="E16983" s="40" t="s">
        <v>11404</v>
      </c>
      <c r="F16983" s="40" t="s">
        <v>11404</v>
      </c>
      <c r="G16983" s="40" t="s">
        <v>11404</v>
      </c>
      <c r="H16983" s="40" t="s">
        <v>11404</v>
      </c>
    </row>
    <row r="16984">
      <c r="A16984" s="39"/>
      <c r="E16984" s="40" t="s">
        <v>11404</v>
      </c>
      <c r="F16984" s="40" t="s">
        <v>11404</v>
      </c>
      <c r="G16984" s="40" t="s">
        <v>11404</v>
      </c>
      <c r="H16984" s="40" t="s">
        <v>11404</v>
      </c>
    </row>
    <row r="16985">
      <c r="A16985" s="39"/>
      <c r="E16985" s="40" t="s">
        <v>11404</v>
      </c>
      <c r="F16985" s="40" t="s">
        <v>11404</v>
      </c>
      <c r="G16985" s="40" t="s">
        <v>11404</v>
      </c>
      <c r="H16985" s="40" t="s">
        <v>11404</v>
      </c>
    </row>
    <row r="16986">
      <c r="A16986" s="39"/>
      <c r="E16986" s="40" t="s">
        <v>11404</v>
      </c>
      <c r="F16986" s="40" t="s">
        <v>11404</v>
      </c>
      <c r="G16986" s="40" t="s">
        <v>11404</v>
      </c>
      <c r="H16986" s="40" t="s">
        <v>11404</v>
      </c>
    </row>
    <row r="16987">
      <c r="A16987" s="39"/>
      <c r="E16987" s="40" t="s">
        <v>11404</v>
      </c>
      <c r="F16987" s="40" t="s">
        <v>11404</v>
      </c>
      <c r="G16987" s="40" t="s">
        <v>11404</v>
      </c>
      <c r="H16987" s="40" t="s">
        <v>11404</v>
      </c>
    </row>
    <row r="16988">
      <c r="A16988" s="39"/>
      <c r="E16988" s="40" t="s">
        <v>11404</v>
      </c>
      <c r="F16988" s="40" t="s">
        <v>11404</v>
      </c>
      <c r="G16988" s="40" t="s">
        <v>11404</v>
      </c>
      <c r="H16988" s="40" t="s">
        <v>11404</v>
      </c>
    </row>
    <row r="16989">
      <c r="A16989" s="39"/>
      <c r="E16989" s="40" t="s">
        <v>11404</v>
      </c>
      <c r="F16989" s="40" t="s">
        <v>11404</v>
      </c>
      <c r="G16989" s="40" t="s">
        <v>11404</v>
      </c>
      <c r="H16989" s="40" t="s">
        <v>11404</v>
      </c>
    </row>
    <row r="16990">
      <c r="A16990" s="39"/>
      <c r="E16990" s="40" t="s">
        <v>11404</v>
      </c>
      <c r="F16990" s="40" t="s">
        <v>11404</v>
      </c>
      <c r="G16990" s="40" t="s">
        <v>11404</v>
      </c>
      <c r="H16990" s="40" t="s">
        <v>11404</v>
      </c>
    </row>
    <row r="16991">
      <c r="A16991" s="39"/>
      <c r="E16991" s="40" t="s">
        <v>11404</v>
      </c>
      <c r="F16991" s="40" t="s">
        <v>11404</v>
      </c>
      <c r="G16991" s="40" t="s">
        <v>11404</v>
      </c>
      <c r="H16991" s="40" t="s">
        <v>11404</v>
      </c>
    </row>
    <row r="16992">
      <c r="A16992" s="39"/>
      <c r="E16992" s="40" t="s">
        <v>11404</v>
      </c>
      <c r="F16992" s="40" t="s">
        <v>11404</v>
      </c>
      <c r="G16992" s="40" t="s">
        <v>11404</v>
      </c>
      <c r="H16992" s="40" t="s">
        <v>11404</v>
      </c>
    </row>
    <row r="16993">
      <c r="A16993" s="39"/>
      <c r="E16993" s="40" t="s">
        <v>11404</v>
      </c>
      <c r="F16993" s="40" t="s">
        <v>11404</v>
      </c>
      <c r="G16993" s="40" t="s">
        <v>11404</v>
      </c>
      <c r="H16993" s="40" t="s">
        <v>11404</v>
      </c>
    </row>
    <row r="16994">
      <c r="A16994" s="39"/>
      <c r="E16994" s="40" t="s">
        <v>11404</v>
      </c>
      <c r="F16994" s="40" t="s">
        <v>11404</v>
      </c>
      <c r="G16994" s="40" t="s">
        <v>11404</v>
      </c>
      <c r="H16994" s="40" t="s">
        <v>11404</v>
      </c>
    </row>
    <row r="16995">
      <c r="A16995" s="39"/>
      <c r="E16995" s="40" t="s">
        <v>11404</v>
      </c>
      <c r="F16995" s="40" t="s">
        <v>11404</v>
      </c>
      <c r="G16995" s="40" t="s">
        <v>11404</v>
      </c>
      <c r="H16995" s="40" t="s">
        <v>11404</v>
      </c>
    </row>
    <row r="16996">
      <c r="A16996" s="39"/>
      <c r="E16996" s="40" t="s">
        <v>11404</v>
      </c>
      <c r="F16996" s="40" t="s">
        <v>11404</v>
      </c>
      <c r="G16996" s="40" t="s">
        <v>11404</v>
      </c>
      <c r="H16996" s="40" t="s">
        <v>11404</v>
      </c>
    </row>
    <row r="16997">
      <c r="A16997" s="39"/>
      <c r="E16997" s="40" t="s">
        <v>11404</v>
      </c>
      <c r="F16997" s="40" t="s">
        <v>11404</v>
      </c>
      <c r="G16997" s="40" t="s">
        <v>11404</v>
      </c>
      <c r="H16997" s="40" t="s">
        <v>11404</v>
      </c>
    </row>
    <row r="16998">
      <c r="A16998" s="39"/>
      <c r="E16998" s="40" t="s">
        <v>11404</v>
      </c>
      <c r="F16998" s="40" t="s">
        <v>11404</v>
      </c>
      <c r="G16998" s="40" t="s">
        <v>11404</v>
      </c>
      <c r="H16998" s="40" t="s">
        <v>11404</v>
      </c>
    </row>
    <row r="16999">
      <c r="A16999" s="39"/>
      <c r="E16999" s="40" t="s">
        <v>11404</v>
      </c>
      <c r="F16999" s="40" t="s">
        <v>11404</v>
      </c>
      <c r="G16999" s="40" t="s">
        <v>11404</v>
      </c>
      <c r="H16999" s="40" t="s">
        <v>11404</v>
      </c>
    </row>
    <row r="17000">
      <c r="A17000" s="39"/>
      <c r="E17000" s="40" t="s">
        <v>11404</v>
      </c>
      <c r="F17000" s="40" t="s">
        <v>11404</v>
      </c>
      <c r="G17000" s="40" t="s">
        <v>11404</v>
      </c>
      <c r="H17000" s="40" t="s">
        <v>11404</v>
      </c>
    </row>
    <row r="17001">
      <c r="A17001" s="39"/>
      <c r="E17001" s="40" t="s">
        <v>11404</v>
      </c>
      <c r="F17001" s="40" t="s">
        <v>11404</v>
      </c>
      <c r="G17001" s="40" t="s">
        <v>11404</v>
      </c>
      <c r="H17001" s="40" t="s">
        <v>11404</v>
      </c>
    </row>
    <row r="17002">
      <c r="A17002" s="39"/>
      <c r="E17002" s="40" t="s">
        <v>11404</v>
      </c>
      <c r="F17002" s="40" t="s">
        <v>11404</v>
      </c>
      <c r="G17002" s="40" t="s">
        <v>11404</v>
      </c>
      <c r="H17002" s="40" t="s">
        <v>11404</v>
      </c>
    </row>
    <row r="17003">
      <c r="A17003" s="39"/>
      <c r="E17003" s="40" t="s">
        <v>11404</v>
      </c>
      <c r="F17003" s="40" t="s">
        <v>11404</v>
      </c>
      <c r="G17003" s="40" t="s">
        <v>11404</v>
      </c>
      <c r="H17003" s="40" t="s">
        <v>11404</v>
      </c>
    </row>
    <row r="17004">
      <c r="A17004" s="39"/>
      <c r="E17004" s="40" t="s">
        <v>11404</v>
      </c>
      <c r="F17004" s="40" t="s">
        <v>11404</v>
      </c>
      <c r="G17004" s="40" t="s">
        <v>11404</v>
      </c>
      <c r="H17004" s="40" t="s">
        <v>11404</v>
      </c>
    </row>
    <row r="17005">
      <c r="A17005" s="39"/>
      <c r="E17005" s="40" t="s">
        <v>11404</v>
      </c>
      <c r="F17005" s="40" t="s">
        <v>11404</v>
      </c>
      <c r="G17005" s="40" t="s">
        <v>11404</v>
      </c>
      <c r="H17005" s="40" t="s">
        <v>11404</v>
      </c>
    </row>
    <row r="17006">
      <c r="A17006" s="39"/>
      <c r="E17006" s="40" t="s">
        <v>11404</v>
      </c>
      <c r="F17006" s="40" t="s">
        <v>11404</v>
      </c>
      <c r="G17006" s="40" t="s">
        <v>11404</v>
      </c>
      <c r="H17006" s="40" t="s">
        <v>11404</v>
      </c>
    </row>
    <row r="17007">
      <c r="A17007" s="39"/>
      <c r="E17007" s="40" t="s">
        <v>11404</v>
      </c>
      <c r="F17007" s="40" t="s">
        <v>11404</v>
      </c>
      <c r="G17007" s="40" t="s">
        <v>11404</v>
      </c>
      <c r="H17007" s="40" t="s">
        <v>11404</v>
      </c>
    </row>
    <row r="17008">
      <c r="A17008" s="39"/>
      <c r="E17008" s="40" t="s">
        <v>11404</v>
      </c>
      <c r="F17008" s="40" t="s">
        <v>11404</v>
      </c>
      <c r="G17008" s="40" t="s">
        <v>11404</v>
      </c>
      <c r="H17008" s="40" t="s">
        <v>11404</v>
      </c>
    </row>
    <row r="17009">
      <c r="A17009" s="39"/>
      <c r="E17009" s="40" t="s">
        <v>11404</v>
      </c>
      <c r="F17009" s="40" t="s">
        <v>11404</v>
      </c>
      <c r="G17009" s="40" t="s">
        <v>11404</v>
      </c>
      <c r="H17009" s="40" t="s">
        <v>11404</v>
      </c>
    </row>
    <row r="17010">
      <c r="A17010" s="39"/>
      <c r="E17010" s="40" t="s">
        <v>11404</v>
      </c>
      <c r="F17010" s="40" t="s">
        <v>11404</v>
      </c>
      <c r="G17010" s="40" t="s">
        <v>11404</v>
      </c>
      <c r="H17010" s="40" t="s">
        <v>11404</v>
      </c>
    </row>
    <row r="17011">
      <c r="A17011" s="39"/>
      <c r="E17011" s="40" t="s">
        <v>11404</v>
      </c>
      <c r="F17011" s="40" t="s">
        <v>11404</v>
      </c>
      <c r="G17011" s="40" t="s">
        <v>11404</v>
      </c>
      <c r="H17011" s="40" t="s">
        <v>11404</v>
      </c>
    </row>
    <row r="17012">
      <c r="A17012" s="39"/>
      <c r="E17012" s="40" t="s">
        <v>11404</v>
      </c>
      <c r="F17012" s="40" t="s">
        <v>11404</v>
      </c>
      <c r="G17012" s="40" t="s">
        <v>11404</v>
      </c>
      <c r="H17012" s="40" t="s">
        <v>11404</v>
      </c>
    </row>
    <row r="17013">
      <c r="A17013" s="39"/>
      <c r="E17013" s="40" t="s">
        <v>11404</v>
      </c>
      <c r="F17013" s="40" t="s">
        <v>11404</v>
      </c>
      <c r="G17013" s="40" t="s">
        <v>11404</v>
      </c>
      <c r="H17013" s="40" t="s">
        <v>11404</v>
      </c>
    </row>
    <row r="17014">
      <c r="A17014" s="39"/>
      <c r="E17014" s="40" t="s">
        <v>11404</v>
      </c>
      <c r="F17014" s="40" t="s">
        <v>11404</v>
      </c>
      <c r="G17014" s="40" t="s">
        <v>11404</v>
      </c>
      <c r="H17014" s="40" t="s">
        <v>11404</v>
      </c>
    </row>
    <row r="17015">
      <c r="A17015" s="39"/>
      <c r="E17015" s="40" t="s">
        <v>11404</v>
      </c>
      <c r="F17015" s="40" t="s">
        <v>11404</v>
      </c>
      <c r="G17015" s="40" t="s">
        <v>11404</v>
      </c>
      <c r="H17015" s="40" t="s">
        <v>11404</v>
      </c>
    </row>
    <row r="17016">
      <c r="A17016" s="39"/>
      <c r="E17016" s="40" t="s">
        <v>11404</v>
      </c>
      <c r="F17016" s="40" t="s">
        <v>11404</v>
      </c>
      <c r="G17016" s="40" t="s">
        <v>11404</v>
      </c>
      <c r="H17016" s="40" t="s">
        <v>11404</v>
      </c>
    </row>
    <row r="17017">
      <c r="A17017" s="39"/>
      <c r="E17017" s="40" t="s">
        <v>11404</v>
      </c>
      <c r="F17017" s="40" t="s">
        <v>11404</v>
      </c>
      <c r="G17017" s="40" t="s">
        <v>11404</v>
      </c>
      <c r="H17017" s="40" t="s">
        <v>11404</v>
      </c>
    </row>
    <row r="17018">
      <c r="A17018" s="39"/>
      <c r="E17018" s="40" t="s">
        <v>11404</v>
      </c>
      <c r="F17018" s="40" t="s">
        <v>11404</v>
      </c>
      <c r="G17018" s="40" t="s">
        <v>11404</v>
      </c>
      <c r="H17018" s="40" t="s">
        <v>11404</v>
      </c>
    </row>
    <row r="17019">
      <c r="A17019" s="39"/>
      <c r="E17019" s="40" t="s">
        <v>11404</v>
      </c>
      <c r="F17019" s="40" t="s">
        <v>11404</v>
      </c>
      <c r="G17019" s="40" t="s">
        <v>11404</v>
      </c>
      <c r="H17019" s="40" t="s">
        <v>11404</v>
      </c>
    </row>
    <row r="17020">
      <c r="A17020" s="39"/>
      <c r="E17020" s="40" t="s">
        <v>11404</v>
      </c>
      <c r="F17020" s="40" t="s">
        <v>11404</v>
      </c>
      <c r="G17020" s="40" t="s">
        <v>11404</v>
      </c>
      <c r="H17020" s="40" t="s">
        <v>11404</v>
      </c>
    </row>
    <row r="17021">
      <c r="A17021" s="39"/>
      <c r="E17021" s="40" t="s">
        <v>11404</v>
      </c>
      <c r="F17021" s="40" t="s">
        <v>11404</v>
      </c>
      <c r="G17021" s="40" t="s">
        <v>11404</v>
      </c>
      <c r="H17021" s="40" t="s">
        <v>11404</v>
      </c>
    </row>
    <row r="17022">
      <c r="A17022" s="39"/>
      <c r="E17022" s="40" t="s">
        <v>11404</v>
      </c>
      <c r="F17022" s="40" t="s">
        <v>11404</v>
      </c>
      <c r="G17022" s="40" t="s">
        <v>11404</v>
      </c>
      <c r="H17022" s="40" t="s">
        <v>11404</v>
      </c>
    </row>
    <row r="17023">
      <c r="A17023" s="39"/>
      <c r="E17023" s="40" t="s">
        <v>11404</v>
      </c>
      <c r="F17023" s="40" t="s">
        <v>11404</v>
      </c>
      <c r="G17023" s="40" t="s">
        <v>11404</v>
      </c>
      <c r="H17023" s="40" t="s">
        <v>11404</v>
      </c>
    </row>
    <row r="17024">
      <c r="A17024" s="39"/>
      <c r="E17024" s="40" t="s">
        <v>11404</v>
      </c>
      <c r="F17024" s="40" t="s">
        <v>11404</v>
      </c>
      <c r="G17024" s="40" t="s">
        <v>11404</v>
      </c>
      <c r="H17024" s="40" t="s">
        <v>11404</v>
      </c>
    </row>
    <row r="17025">
      <c r="A17025" s="39"/>
      <c r="E17025" s="40" t="s">
        <v>11404</v>
      </c>
      <c r="F17025" s="40" t="s">
        <v>11404</v>
      </c>
      <c r="G17025" s="40" t="s">
        <v>11404</v>
      </c>
      <c r="H17025" s="40" t="s">
        <v>11404</v>
      </c>
    </row>
    <row r="17026">
      <c r="A17026" s="39"/>
      <c r="E17026" s="40" t="s">
        <v>11404</v>
      </c>
      <c r="F17026" s="40" t="s">
        <v>11404</v>
      </c>
      <c r="G17026" s="40" t="s">
        <v>11404</v>
      </c>
      <c r="H17026" s="40" t="s">
        <v>11404</v>
      </c>
    </row>
    <row r="17027">
      <c r="A17027" s="39"/>
      <c r="E17027" s="40" t="s">
        <v>11404</v>
      </c>
      <c r="F17027" s="40" t="s">
        <v>11404</v>
      </c>
      <c r="G17027" s="40" t="s">
        <v>11404</v>
      </c>
      <c r="H17027" s="40" t="s">
        <v>11404</v>
      </c>
    </row>
    <row r="17028">
      <c r="A17028" s="39"/>
      <c r="E17028" s="40" t="s">
        <v>11404</v>
      </c>
      <c r="F17028" s="40" t="s">
        <v>11404</v>
      </c>
      <c r="G17028" s="40" t="s">
        <v>11404</v>
      </c>
      <c r="H17028" s="40" t="s">
        <v>11404</v>
      </c>
    </row>
    <row r="17029">
      <c r="A17029" s="39"/>
      <c r="E17029" s="40" t="s">
        <v>11404</v>
      </c>
      <c r="F17029" s="40" t="s">
        <v>11404</v>
      </c>
      <c r="G17029" s="40" t="s">
        <v>11404</v>
      </c>
      <c r="H17029" s="40" t="s">
        <v>11404</v>
      </c>
    </row>
    <row r="17030">
      <c r="A17030" s="39"/>
      <c r="E17030" s="40" t="s">
        <v>11404</v>
      </c>
      <c r="F17030" s="40" t="s">
        <v>11404</v>
      </c>
      <c r="G17030" s="40" t="s">
        <v>11404</v>
      </c>
      <c r="H17030" s="40" t="s">
        <v>11404</v>
      </c>
    </row>
    <row r="17031">
      <c r="A17031" s="39"/>
      <c r="E17031" s="40" t="s">
        <v>11404</v>
      </c>
      <c r="F17031" s="40" t="s">
        <v>11404</v>
      </c>
      <c r="G17031" s="40" t="s">
        <v>11404</v>
      </c>
      <c r="H17031" s="40" t="s">
        <v>11404</v>
      </c>
    </row>
    <row r="17032">
      <c r="A17032" s="39"/>
      <c r="E17032" s="40" t="s">
        <v>11404</v>
      </c>
      <c r="F17032" s="40" t="s">
        <v>11404</v>
      </c>
      <c r="G17032" s="40" t="s">
        <v>11404</v>
      </c>
      <c r="H17032" s="40" t="s">
        <v>11404</v>
      </c>
    </row>
    <row r="17033">
      <c r="A17033" s="39"/>
      <c r="E17033" s="40" t="s">
        <v>11404</v>
      </c>
      <c r="F17033" s="40" t="s">
        <v>11404</v>
      </c>
      <c r="G17033" s="40" t="s">
        <v>11404</v>
      </c>
      <c r="H17033" s="40" t="s">
        <v>11404</v>
      </c>
    </row>
    <row r="17034">
      <c r="A17034" s="39"/>
      <c r="E17034" s="40" t="s">
        <v>11404</v>
      </c>
      <c r="F17034" s="40" t="s">
        <v>11404</v>
      </c>
      <c r="G17034" s="40" t="s">
        <v>11404</v>
      </c>
      <c r="H17034" s="40" t="s">
        <v>11404</v>
      </c>
    </row>
    <row r="17035">
      <c r="A17035" s="39"/>
      <c r="E17035" s="40" t="s">
        <v>11404</v>
      </c>
      <c r="F17035" s="40" t="s">
        <v>11404</v>
      </c>
      <c r="G17035" s="40" t="s">
        <v>11404</v>
      </c>
      <c r="H17035" s="40" t="s">
        <v>11404</v>
      </c>
    </row>
    <row r="17036">
      <c r="A17036" s="39"/>
      <c r="E17036" s="40" t="s">
        <v>11404</v>
      </c>
      <c r="F17036" s="40" t="s">
        <v>11404</v>
      </c>
      <c r="G17036" s="40" t="s">
        <v>11404</v>
      </c>
      <c r="H17036" s="40" t="s">
        <v>11404</v>
      </c>
    </row>
    <row r="17037">
      <c r="A17037" s="39"/>
      <c r="E17037" s="40" t="s">
        <v>11404</v>
      </c>
      <c r="F17037" s="40" t="s">
        <v>11404</v>
      </c>
      <c r="G17037" s="40" t="s">
        <v>11404</v>
      </c>
      <c r="H17037" s="40" t="s">
        <v>11404</v>
      </c>
    </row>
    <row r="17038">
      <c r="A17038" s="39"/>
      <c r="E17038" s="40" t="s">
        <v>11404</v>
      </c>
      <c r="F17038" s="40" t="s">
        <v>11404</v>
      </c>
      <c r="G17038" s="40" t="s">
        <v>11404</v>
      </c>
      <c r="H17038" s="40" t="s">
        <v>11404</v>
      </c>
    </row>
    <row r="17039">
      <c r="A17039" s="39"/>
      <c r="E17039" s="40" t="s">
        <v>11404</v>
      </c>
      <c r="F17039" s="40" t="s">
        <v>11404</v>
      </c>
      <c r="G17039" s="40" t="s">
        <v>11404</v>
      </c>
      <c r="H17039" s="40" t="s">
        <v>11404</v>
      </c>
    </row>
    <row r="17040">
      <c r="A17040" s="39"/>
      <c r="E17040" s="40" t="s">
        <v>11404</v>
      </c>
      <c r="F17040" s="40" t="s">
        <v>11404</v>
      </c>
      <c r="G17040" s="40" t="s">
        <v>11404</v>
      </c>
      <c r="H17040" s="40" t="s">
        <v>11404</v>
      </c>
    </row>
    <row r="17041">
      <c r="A17041" s="39"/>
      <c r="E17041" s="40" t="s">
        <v>11404</v>
      </c>
      <c r="F17041" s="40" t="s">
        <v>11404</v>
      </c>
      <c r="G17041" s="40" t="s">
        <v>11404</v>
      </c>
      <c r="H17041" s="40" t="s">
        <v>11404</v>
      </c>
    </row>
    <row r="17042">
      <c r="A17042" s="39"/>
      <c r="E17042" s="40" t="s">
        <v>11404</v>
      </c>
      <c r="F17042" s="40" t="s">
        <v>11404</v>
      </c>
      <c r="G17042" s="40" t="s">
        <v>11404</v>
      </c>
      <c r="H17042" s="40" t="s">
        <v>11404</v>
      </c>
    </row>
    <row r="17043">
      <c r="A17043" s="39"/>
      <c r="E17043" s="40" t="s">
        <v>11404</v>
      </c>
      <c r="F17043" s="40" t="s">
        <v>11404</v>
      </c>
      <c r="G17043" s="40" t="s">
        <v>11404</v>
      </c>
      <c r="H17043" s="40" t="s">
        <v>11404</v>
      </c>
    </row>
    <row r="17044">
      <c r="A17044" s="39"/>
      <c r="E17044" s="40" t="s">
        <v>11404</v>
      </c>
      <c r="F17044" s="40" t="s">
        <v>11404</v>
      </c>
      <c r="G17044" s="40" t="s">
        <v>11404</v>
      </c>
      <c r="H17044" s="40" t="s">
        <v>11404</v>
      </c>
    </row>
    <row r="17045">
      <c r="A17045" s="39"/>
      <c r="E17045" s="40" t="s">
        <v>11404</v>
      </c>
      <c r="F17045" s="40" t="s">
        <v>11404</v>
      </c>
      <c r="G17045" s="40" t="s">
        <v>11404</v>
      </c>
      <c r="H17045" s="40" t="s">
        <v>11404</v>
      </c>
    </row>
    <row r="17046">
      <c r="A17046" s="39"/>
      <c r="E17046" s="40" t="s">
        <v>11404</v>
      </c>
      <c r="F17046" s="40" t="s">
        <v>11404</v>
      </c>
      <c r="G17046" s="40" t="s">
        <v>11404</v>
      </c>
      <c r="H17046" s="40" t="s">
        <v>11404</v>
      </c>
    </row>
    <row r="17047">
      <c r="A17047" s="39"/>
      <c r="E17047" s="40" t="s">
        <v>11404</v>
      </c>
      <c r="F17047" s="40" t="s">
        <v>11404</v>
      </c>
      <c r="G17047" s="40" t="s">
        <v>11404</v>
      </c>
      <c r="H17047" s="40" t="s">
        <v>11404</v>
      </c>
    </row>
    <row r="17048">
      <c r="A17048" s="39"/>
      <c r="E17048" s="40" t="s">
        <v>11404</v>
      </c>
      <c r="F17048" s="40" t="s">
        <v>11404</v>
      </c>
      <c r="G17048" s="40" t="s">
        <v>11404</v>
      </c>
      <c r="H17048" s="40" t="s">
        <v>11404</v>
      </c>
    </row>
    <row r="17049">
      <c r="A17049" s="39"/>
      <c r="E17049" s="40" t="s">
        <v>11404</v>
      </c>
      <c r="F17049" s="40" t="s">
        <v>11404</v>
      </c>
      <c r="G17049" s="40" t="s">
        <v>11404</v>
      </c>
      <c r="H17049" s="40" t="s">
        <v>11404</v>
      </c>
    </row>
    <row r="17050">
      <c r="A17050" s="39"/>
      <c r="E17050" s="40" t="s">
        <v>11404</v>
      </c>
      <c r="F17050" s="40" t="s">
        <v>11404</v>
      </c>
      <c r="G17050" s="40" t="s">
        <v>11404</v>
      </c>
      <c r="H17050" s="40" t="s">
        <v>11404</v>
      </c>
    </row>
    <row r="17051">
      <c r="A17051" s="39"/>
      <c r="E17051" s="40" t="s">
        <v>11404</v>
      </c>
      <c r="F17051" s="40" t="s">
        <v>11404</v>
      </c>
      <c r="G17051" s="40" t="s">
        <v>11404</v>
      </c>
      <c r="H17051" s="40" t="s">
        <v>11404</v>
      </c>
    </row>
    <row r="17052">
      <c r="A17052" s="39"/>
      <c r="E17052" s="40" t="s">
        <v>11404</v>
      </c>
      <c r="F17052" s="40" t="s">
        <v>11404</v>
      </c>
      <c r="G17052" s="40" t="s">
        <v>11404</v>
      </c>
      <c r="H17052" s="40" t="s">
        <v>11404</v>
      </c>
    </row>
    <row r="17053">
      <c r="A17053" s="39"/>
      <c r="E17053" s="40" t="s">
        <v>11404</v>
      </c>
      <c r="F17053" s="40" t="s">
        <v>11404</v>
      </c>
      <c r="G17053" s="40" t="s">
        <v>11404</v>
      </c>
      <c r="H17053" s="40" t="s">
        <v>11404</v>
      </c>
    </row>
    <row r="17054">
      <c r="A17054" s="39"/>
      <c r="E17054" s="40" t="s">
        <v>11404</v>
      </c>
      <c r="F17054" s="40" t="s">
        <v>11404</v>
      </c>
      <c r="G17054" s="40" t="s">
        <v>11404</v>
      </c>
      <c r="H17054" s="40" t="s">
        <v>11404</v>
      </c>
    </row>
    <row r="17055">
      <c r="A17055" s="39"/>
      <c r="E17055" s="40" t="s">
        <v>11404</v>
      </c>
      <c r="F17055" s="40" t="s">
        <v>11404</v>
      </c>
      <c r="G17055" s="40" t="s">
        <v>11404</v>
      </c>
      <c r="H17055" s="40" t="s">
        <v>11404</v>
      </c>
    </row>
    <row r="17056">
      <c r="A17056" s="39"/>
      <c r="E17056" s="40" t="s">
        <v>11404</v>
      </c>
      <c r="F17056" s="40" t="s">
        <v>11404</v>
      </c>
      <c r="G17056" s="40" t="s">
        <v>11404</v>
      </c>
      <c r="H17056" s="40" t="s">
        <v>11404</v>
      </c>
    </row>
    <row r="17057">
      <c r="A17057" s="39"/>
      <c r="E17057" s="40" t="s">
        <v>11404</v>
      </c>
      <c r="F17057" s="40" t="s">
        <v>11404</v>
      </c>
      <c r="G17057" s="40" t="s">
        <v>11404</v>
      </c>
      <c r="H17057" s="40" t="s">
        <v>11404</v>
      </c>
    </row>
    <row r="17058">
      <c r="A17058" s="39"/>
      <c r="E17058" s="40" t="s">
        <v>11404</v>
      </c>
      <c r="F17058" s="40" t="s">
        <v>11404</v>
      </c>
      <c r="G17058" s="40" t="s">
        <v>11404</v>
      </c>
      <c r="H17058" s="40" t="s">
        <v>11404</v>
      </c>
    </row>
    <row r="17059">
      <c r="A17059" s="39"/>
      <c r="E17059" s="40" t="s">
        <v>11404</v>
      </c>
      <c r="F17059" s="40" t="s">
        <v>11404</v>
      </c>
      <c r="G17059" s="40" t="s">
        <v>11404</v>
      </c>
      <c r="H17059" s="40" t="s">
        <v>11404</v>
      </c>
    </row>
    <row r="17060">
      <c r="A17060" s="39"/>
      <c r="E17060" s="40" t="s">
        <v>11404</v>
      </c>
      <c r="F17060" s="40" t="s">
        <v>11404</v>
      </c>
      <c r="G17060" s="40" t="s">
        <v>11404</v>
      </c>
      <c r="H17060" s="40" t="s">
        <v>11404</v>
      </c>
    </row>
    <row r="17061">
      <c r="A17061" s="39"/>
      <c r="E17061" s="40" t="s">
        <v>11404</v>
      </c>
      <c r="F17061" s="40" t="s">
        <v>11404</v>
      </c>
      <c r="G17061" s="40" t="s">
        <v>11404</v>
      </c>
      <c r="H17061" s="40" t="s">
        <v>11404</v>
      </c>
    </row>
    <row r="17062">
      <c r="A17062" s="39"/>
      <c r="E17062" s="40" t="s">
        <v>11404</v>
      </c>
      <c r="F17062" s="40" t="s">
        <v>11404</v>
      </c>
      <c r="G17062" s="40" t="s">
        <v>11404</v>
      </c>
      <c r="H17062" s="40" t="s">
        <v>11404</v>
      </c>
    </row>
    <row r="17063">
      <c r="A17063" s="39"/>
      <c r="E17063" s="40" t="s">
        <v>11404</v>
      </c>
      <c r="F17063" s="40" t="s">
        <v>11404</v>
      </c>
      <c r="G17063" s="40" t="s">
        <v>11404</v>
      </c>
      <c r="H17063" s="40" t="s">
        <v>11404</v>
      </c>
    </row>
    <row r="17064">
      <c r="A17064" s="39"/>
      <c r="E17064" s="40" t="s">
        <v>11404</v>
      </c>
      <c r="F17064" s="40" t="s">
        <v>11404</v>
      </c>
      <c r="G17064" s="40" t="s">
        <v>11404</v>
      </c>
      <c r="H17064" s="40" t="s">
        <v>11404</v>
      </c>
    </row>
    <row r="17065">
      <c r="A17065" s="39"/>
      <c r="E17065" s="40" t="s">
        <v>11404</v>
      </c>
      <c r="F17065" s="40" t="s">
        <v>11404</v>
      </c>
      <c r="G17065" s="40" t="s">
        <v>11404</v>
      </c>
      <c r="H17065" s="40" t="s">
        <v>11404</v>
      </c>
    </row>
    <row r="17066">
      <c r="A17066" s="39"/>
      <c r="E17066" s="40" t="s">
        <v>11404</v>
      </c>
      <c r="F17066" s="40" t="s">
        <v>11404</v>
      </c>
      <c r="G17066" s="40" t="s">
        <v>11404</v>
      </c>
      <c r="H17066" s="40" t="s">
        <v>11404</v>
      </c>
    </row>
    <row r="17067">
      <c r="A17067" s="39"/>
      <c r="E17067" s="40" t="s">
        <v>11404</v>
      </c>
      <c r="F17067" s="40" t="s">
        <v>11404</v>
      </c>
      <c r="G17067" s="40" t="s">
        <v>11404</v>
      </c>
      <c r="H17067" s="40" t="s">
        <v>11404</v>
      </c>
    </row>
    <row r="17068">
      <c r="A17068" s="39"/>
      <c r="E17068" s="40" t="s">
        <v>11404</v>
      </c>
      <c r="F17068" s="40" t="s">
        <v>11404</v>
      </c>
      <c r="G17068" s="40" t="s">
        <v>11404</v>
      </c>
      <c r="H17068" s="40" t="s">
        <v>11404</v>
      </c>
    </row>
    <row r="17069">
      <c r="A17069" s="39"/>
      <c r="E17069" s="40" t="s">
        <v>11404</v>
      </c>
      <c r="F17069" s="40" t="s">
        <v>11404</v>
      </c>
      <c r="G17069" s="40" t="s">
        <v>11404</v>
      </c>
      <c r="H17069" s="40" t="s">
        <v>11404</v>
      </c>
    </row>
    <row r="17070">
      <c r="A17070" s="39"/>
      <c r="E17070" s="40" t="s">
        <v>11404</v>
      </c>
      <c r="F17070" s="40" t="s">
        <v>11404</v>
      </c>
      <c r="G17070" s="40" t="s">
        <v>11404</v>
      </c>
      <c r="H17070" s="40" t="s">
        <v>11404</v>
      </c>
    </row>
    <row r="17071">
      <c r="A17071" s="39"/>
      <c r="E17071" s="40" t="s">
        <v>11404</v>
      </c>
      <c r="F17071" s="40" t="s">
        <v>11404</v>
      </c>
      <c r="G17071" s="40" t="s">
        <v>11404</v>
      </c>
      <c r="H17071" s="40" t="s">
        <v>11404</v>
      </c>
    </row>
    <row r="17072">
      <c r="A17072" s="39"/>
      <c r="E17072" s="40" t="s">
        <v>11404</v>
      </c>
      <c r="F17072" s="40" t="s">
        <v>11404</v>
      </c>
      <c r="G17072" s="40" t="s">
        <v>11404</v>
      </c>
      <c r="H17072" s="40" t="s">
        <v>11404</v>
      </c>
    </row>
    <row r="17073">
      <c r="A17073" s="39"/>
      <c r="E17073" s="40" t="s">
        <v>11404</v>
      </c>
      <c r="F17073" s="40" t="s">
        <v>11404</v>
      </c>
      <c r="G17073" s="40" t="s">
        <v>11404</v>
      </c>
      <c r="H17073" s="40" t="s">
        <v>11404</v>
      </c>
    </row>
    <row r="17074">
      <c r="A17074" s="39"/>
      <c r="E17074" s="40" t="s">
        <v>11404</v>
      </c>
      <c r="F17074" s="40" t="s">
        <v>11404</v>
      </c>
      <c r="G17074" s="40" t="s">
        <v>11404</v>
      </c>
      <c r="H17074" s="40" t="s">
        <v>11404</v>
      </c>
    </row>
    <row r="17075">
      <c r="A17075" s="39"/>
      <c r="E17075" s="40" t="s">
        <v>11404</v>
      </c>
      <c r="F17075" s="40" t="s">
        <v>11404</v>
      </c>
      <c r="G17075" s="40" t="s">
        <v>11404</v>
      </c>
      <c r="H17075" s="40" t="s">
        <v>11404</v>
      </c>
    </row>
    <row r="17076">
      <c r="A17076" s="39"/>
      <c r="E17076" s="40" t="s">
        <v>11404</v>
      </c>
      <c r="F17076" s="40" t="s">
        <v>11404</v>
      </c>
      <c r="G17076" s="40" t="s">
        <v>11404</v>
      </c>
      <c r="H17076" s="40" t="s">
        <v>11404</v>
      </c>
    </row>
    <row r="17077">
      <c r="A17077" s="39"/>
      <c r="E17077" s="40" t="s">
        <v>11404</v>
      </c>
      <c r="F17077" s="40" t="s">
        <v>11404</v>
      </c>
      <c r="G17077" s="40" t="s">
        <v>11404</v>
      </c>
      <c r="H17077" s="40" t="s">
        <v>11404</v>
      </c>
    </row>
    <row r="17078">
      <c r="A17078" s="39"/>
      <c r="E17078" s="40" t="s">
        <v>11404</v>
      </c>
      <c r="F17078" s="40" t="s">
        <v>11404</v>
      </c>
      <c r="G17078" s="40" t="s">
        <v>11404</v>
      </c>
      <c r="H17078" s="40" t="s">
        <v>11404</v>
      </c>
    </row>
    <row r="17079">
      <c r="A17079" s="39"/>
      <c r="E17079" s="40" t="s">
        <v>11404</v>
      </c>
      <c r="F17079" s="40" t="s">
        <v>11404</v>
      </c>
      <c r="G17079" s="40" t="s">
        <v>11404</v>
      </c>
      <c r="H17079" s="40" t="s">
        <v>11404</v>
      </c>
    </row>
    <row r="17080">
      <c r="A17080" s="39"/>
      <c r="E17080" s="40" t="s">
        <v>11404</v>
      </c>
      <c r="F17080" s="40" t="s">
        <v>11404</v>
      </c>
      <c r="G17080" s="40" t="s">
        <v>11404</v>
      </c>
      <c r="H17080" s="40" t="s">
        <v>11404</v>
      </c>
    </row>
    <row r="17081">
      <c r="A17081" s="39"/>
      <c r="E17081" s="40" t="s">
        <v>11404</v>
      </c>
      <c r="F17081" s="40" t="s">
        <v>11404</v>
      </c>
      <c r="G17081" s="40" t="s">
        <v>11404</v>
      </c>
      <c r="H17081" s="40" t="s">
        <v>11404</v>
      </c>
    </row>
    <row r="17082">
      <c r="A17082" s="39"/>
      <c r="E17082" s="40" t="s">
        <v>11404</v>
      </c>
      <c r="F17082" s="40" t="s">
        <v>11404</v>
      </c>
      <c r="G17082" s="40" t="s">
        <v>11404</v>
      </c>
      <c r="H17082" s="40" t="s">
        <v>11404</v>
      </c>
    </row>
    <row r="17083">
      <c r="A17083" s="39"/>
      <c r="E17083" s="40" t="s">
        <v>11404</v>
      </c>
      <c r="F17083" s="40" t="s">
        <v>11404</v>
      </c>
      <c r="G17083" s="40" t="s">
        <v>11404</v>
      </c>
      <c r="H17083" s="40" t="s">
        <v>11404</v>
      </c>
    </row>
    <row r="17084">
      <c r="A17084" s="39"/>
      <c r="E17084" s="40" t="s">
        <v>11404</v>
      </c>
      <c r="F17084" s="40" t="s">
        <v>11404</v>
      </c>
      <c r="G17084" s="40" t="s">
        <v>11404</v>
      </c>
      <c r="H17084" s="40" t="s">
        <v>11404</v>
      </c>
    </row>
    <row r="17085">
      <c r="A17085" s="39"/>
      <c r="E17085" s="40" t="s">
        <v>11404</v>
      </c>
      <c r="F17085" s="40" t="s">
        <v>11404</v>
      </c>
      <c r="G17085" s="40" t="s">
        <v>11404</v>
      </c>
      <c r="H17085" s="40" t="s">
        <v>11404</v>
      </c>
    </row>
    <row r="17086">
      <c r="A17086" s="39"/>
      <c r="E17086" s="40" t="s">
        <v>11404</v>
      </c>
      <c r="F17086" s="40" t="s">
        <v>11404</v>
      </c>
      <c r="G17086" s="40" t="s">
        <v>11404</v>
      </c>
      <c r="H17086" s="40" t="s">
        <v>11404</v>
      </c>
    </row>
    <row r="17087">
      <c r="A17087" s="39"/>
      <c r="E17087" s="40" t="s">
        <v>11404</v>
      </c>
      <c r="F17087" s="40" t="s">
        <v>11404</v>
      </c>
      <c r="G17087" s="40" t="s">
        <v>11404</v>
      </c>
      <c r="H17087" s="40" t="s">
        <v>11404</v>
      </c>
    </row>
    <row r="17088">
      <c r="A17088" s="39"/>
      <c r="E17088" s="40" t="s">
        <v>11404</v>
      </c>
      <c r="F17088" s="40" t="s">
        <v>11404</v>
      </c>
      <c r="G17088" s="40" t="s">
        <v>11404</v>
      </c>
      <c r="H17088" s="40" t="s">
        <v>11404</v>
      </c>
    </row>
    <row r="17089">
      <c r="A17089" s="39"/>
      <c r="E17089" s="40" t="s">
        <v>11404</v>
      </c>
      <c r="F17089" s="40" t="s">
        <v>11404</v>
      </c>
      <c r="G17089" s="40" t="s">
        <v>11404</v>
      </c>
      <c r="H17089" s="40" t="s">
        <v>11404</v>
      </c>
    </row>
    <row r="17090">
      <c r="A17090" s="39"/>
      <c r="E17090" s="40" t="s">
        <v>11404</v>
      </c>
      <c r="F17090" s="40" t="s">
        <v>11404</v>
      </c>
      <c r="G17090" s="40" t="s">
        <v>11404</v>
      </c>
      <c r="H17090" s="40" t="s">
        <v>11404</v>
      </c>
    </row>
    <row r="17091">
      <c r="A17091" s="39"/>
      <c r="E17091" s="40" t="s">
        <v>11404</v>
      </c>
      <c r="F17091" s="40" t="s">
        <v>11404</v>
      </c>
      <c r="G17091" s="40" t="s">
        <v>11404</v>
      </c>
      <c r="H17091" s="40" t="s">
        <v>11404</v>
      </c>
    </row>
    <row r="17092">
      <c r="A17092" s="39"/>
      <c r="E17092" s="40" t="s">
        <v>11404</v>
      </c>
      <c r="F17092" s="40" t="s">
        <v>11404</v>
      </c>
      <c r="G17092" s="40" t="s">
        <v>11404</v>
      </c>
      <c r="H17092" s="40" t="s">
        <v>11404</v>
      </c>
    </row>
    <row r="17093">
      <c r="A17093" s="39"/>
      <c r="E17093" s="40" t="s">
        <v>11404</v>
      </c>
      <c r="F17093" s="40" t="s">
        <v>11404</v>
      </c>
      <c r="G17093" s="40" t="s">
        <v>11404</v>
      </c>
      <c r="H17093" s="40" t="s">
        <v>11404</v>
      </c>
    </row>
    <row r="17094">
      <c r="A17094" s="39"/>
      <c r="E17094" s="40" t="s">
        <v>11404</v>
      </c>
      <c r="F17094" s="40" t="s">
        <v>11404</v>
      </c>
      <c r="G17094" s="40" t="s">
        <v>11404</v>
      </c>
      <c r="H17094" s="40" t="s">
        <v>11404</v>
      </c>
    </row>
    <row r="17095">
      <c r="A17095" s="39"/>
      <c r="E17095" s="40" t="s">
        <v>11404</v>
      </c>
      <c r="F17095" s="40" t="s">
        <v>11404</v>
      </c>
      <c r="G17095" s="40" t="s">
        <v>11404</v>
      </c>
      <c r="H17095" s="40" t="s">
        <v>11404</v>
      </c>
    </row>
    <row r="17096">
      <c r="A17096" s="39"/>
      <c r="E17096" s="40" t="s">
        <v>11404</v>
      </c>
      <c r="F17096" s="40" t="s">
        <v>11404</v>
      </c>
      <c r="G17096" s="40" t="s">
        <v>11404</v>
      </c>
      <c r="H17096" s="40" t="s">
        <v>11404</v>
      </c>
    </row>
    <row r="17097">
      <c r="A17097" s="39"/>
      <c r="E17097" s="40" t="s">
        <v>11404</v>
      </c>
      <c r="F17097" s="40" t="s">
        <v>11404</v>
      </c>
      <c r="G17097" s="40" t="s">
        <v>11404</v>
      </c>
      <c r="H17097" s="40" t="s">
        <v>11404</v>
      </c>
    </row>
    <row r="17098">
      <c r="A17098" s="39"/>
      <c r="E17098" s="40" t="s">
        <v>11404</v>
      </c>
      <c r="F17098" s="40" t="s">
        <v>11404</v>
      </c>
      <c r="G17098" s="40" t="s">
        <v>11404</v>
      </c>
      <c r="H17098" s="40" t="s">
        <v>11404</v>
      </c>
    </row>
    <row r="17099">
      <c r="A17099" s="39"/>
      <c r="E17099" s="40" t="s">
        <v>11404</v>
      </c>
      <c r="F17099" s="40" t="s">
        <v>11404</v>
      </c>
      <c r="G17099" s="40" t="s">
        <v>11404</v>
      </c>
      <c r="H17099" s="40" t="s">
        <v>11404</v>
      </c>
    </row>
    <row r="17100">
      <c r="A17100" s="39"/>
      <c r="E17100" s="40" t="s">
        <v>11404</v>
      </c>
      <c r="F17100" s="40" t="s">
        <v>11404</v>
      </c>
      <c r="G17100" s="40" t="s">
        <v>11404</v>
      </c>
      <c r="H17100" s="40" t="s">
        <v>11404</v>
      </c>
    </row>
    <row r="17101">
      <c r="A17101" s="39"/>
      <c r="E17101" s="40" t="s">
        <v>11404</v>
      </c>
      <c r="F17101" s="40" t="s">
        <v>11404</v>
      </c>
      <c r="G17101" s="40" t="s">
        <v>11404</v>
      </c>
      <c r="H17101" s="40" t="s">
        <v>11404</v>
      </c>
    </row>
    <row r="17102">
      <c r="A17102" s="39"/>
      <c r="E17102" s="40" t="s">
        <v>11404</v>
      </c>
      <c r="F17102" s="40" t="s">
        <v>11404</v>
      </c>
      <c r="G17102" s="40" t="s">
        <v>11404</v>
      </c>
      <c r="H17102" s="40" t="s">
        <v>11404</v>
      </c>
    </row>
    <row r="17103">
      <c r="A17103" s="39"/>
      <c r="E17103" s="40" t="s">
        <v>11404</v>
      </c>
      <c r="F17103" s="40" t="s">
        <v>11404</v>
      </c>
      <c r="G17103" s="40" t="s">
        <v>11404</v>
      </c>
      <c r="H17103" s="40" t="s">
        <v>11404</v>
      </c>
    </row>
    <row r="17104">
      <c r="A17104" s="39"/>
      <c r="E17104" s="40" t="s">
        <v>11404</v>
      </c>
      <c r="F17104" s="40" t="s">
        <v>11404</v>
      </c>
      <c r="G17104" s="40" t="s">
        <v>11404</v>
      </c>
      <c r="H17104" s="40" t="s">
        <v>11404</v>
      </c>
    </row>
    <row r="17105">
      <c r="A17105" s="39"/>
      <c r="E17105" s="40" t="s">
        <v>11404</v>
      </c>
      <c r="F17105" s="40" t="s">
        <v>11404</v>
      </c>
      <c r="G17105" s="40" t="s">
        <v>11404</v>
      </c>
      <c r="H17105" s="40" t="s">
        <v>11404</v>
      </c>
    </row>
    <row r="17106">
      <c r="A17106" s="39"/>
      <c r="E17106" s="40" t="s">
        <v>11404</v>
      </c>
      <c r="F17106" s="40" t="s">
        <v>11404</v>
      </c>
      <c r="G17106" s="40" t="s">
        <v>11404</v>
      </c>
      <c r="H17106" s="40" t="s">
        <v>11404</v>
      </c>
    </row>
    <row r="17107">
      <c r="A17107" s="39"/>
      <c r="E17107" s="40" t="s">
        <v>11404</v>
      </c>
      <c r="F17107" s="40" t="s">
        <v>11404</v>
      </c>
      <c r="G17107" s="40" t="s">
        <v>11404</v>
      </c>
      <c r="H17107" s="40" t="s">
        <v>11404</v>
      </c>
    </row>
    <row r="17108">
      <c r="A17108" s="39"/>
      <c r="E17108" s="40" t="s">
        <v>11404</v>
      </c>
      <c r="F17108" s="40" t="s">
        <v>11404</v>
      </c>
      <c r="G17108" s="40" t="s">
        <v>11404</v>
      </c>
      <c r="H17108" s="40" t="s">
        <v>11404</v>
      </c>
    </row>
    <row r="17109">
      <c r="A17109" s="39"/>
      <c r="E17109" s="40" t="s">
        <v>11404</v>
      </c>
      <c r="F17109" s="40" t="s">
        <v>11404</v>
      </c>
      <c r="G17109" s="40" t="s">
        <v>11404</v>
      </c>
      <c r="H17109" s="40" t="s">
        <v>11404</v>
      </c>
    </row>
    <row r="17110">
      <c r="A17110" s="39"/>
      <c r="E17110" s="40" t="s">
        <v>11404</v>
      </c>
      <c r="F17110" s="40" t="s">
        <v>11404</v>
      </c>
      <c r="G17110" s="40" t="s">
        <v>11404</v>
      </c>
      <c r="H17110" s="40" t="s">
        <v>11404</v>
      </c>
    </row>
    <row r="17111">
      <c r="A17111" s="39"/>
      <c r="E17111" s="40" t="s">
        <v>11404</v>
      </c>
      <c r="F17111" s="40" t="s">
        <v>11404</v>
      </c>
      <c r="G17111" s="40" t="s">
        <v>11404</v>
      </c>
      <c r="H17111" s="40" t="s">
        <v>11404</v>
      </c>
    </row>
    <row r="17112">
      <c r="A17112" s="39"/>
      <c r="E17112" s="40" t="s">
        <v>11404</v>
      </c>
      <c r="F17112" s="40" t="s">
        <v>11404</v>
      </c>
      <c r="G17112" s="40" t="s">
        <v>11404</v>
      </c>
      <c r="H17112" s="40" t="s">
        <v>11404</v>
      </c>
    </row>
    <row r="17113">
      <c r="A17113" s="39"/>
      <c r="E17113" s="40" t="s">
        <v>11404</v>
      </c>
      <c r="F17113" s="40" t="s">
        <v>11404</v>
      </c>
      <c r="G17113" s="40" t="s">
        <v>11404</v>
      </c>
      <c r="H17113" s="40" t="s">
        <v>11404</v>
      </c>
    </row>
    <row r="17114">
      <c r="A17114" s="39"/>
      <c r="E17114" s="40" t="s">
        <v>11404</v>
      </c>
      <c r="F17114" s="40" t="s">
        <v>11404</v>
      </c>
      <c r="G17114" s="40" t="s">
        <v>11404</v>
      </c>
      <c r="H17114" s="40" t="s">
        <v>11404</v>
      </c>
    </row>
    <row r="17115">
      <c r="A17115" s="39"/>
      <c r="E17115" s="40" t="s">
        <v>11404</v>
      </c>
      <c r="F17115" s="40" t="s">
        <v>11404</v>
      </c>
      <c r="G17115" s="40" t="s">
        <v>11404</v>
      </c>
      <c r="H17115" s="40" t="s">
        <v>11404</v>
      </c>
    </row>
    <row r="17116">
      <c r="A17116" s="39"/>
      <c r="E17116" s="40" t="s">
        <v>11404</v>
      </c>
      <c r="F17116" s="40" t="s">
        <v>11404</v>
      </c>
      <c r="G17116" s="40" t="s">
        <v>11404</v>
      </c>
      <c r="H17116" s="40" t="s">
        <v>11404</v>
      </c>
    </row>
    <row r="17117">
      <c r="A17117" s="39"/>
      <c r="E17117" s="40" t="s">
        <v>11404</v>
      </c>
      <c r="F17117" s="40" t="s">
        <v>11404</v>
      </c>
      <c r="G17117" s="40" t="s">
        <v>11404</v>
      </c>
      <c r="H17117" s="40" t="s">
        <v>11404</v>
      </c>
    </row>
    <row r="17118">
      <c r="A17118" s="39"/>
      <c r="E17118" s="40" t="s">
        <v>11404</v>
      </c>
      <c r="F17118" s="40" t="s">
        <v>11404</v>
      </c>
      <c r="G17118" s="40" t="s">
        <v>11404</v>
      </c>
      <c r="H17118" s="40" t="s">
        <v>11404</v>
      </c>
    </row>
    <row r="17119">
      <c r="A17119" s="39"/>
      <c r="E17119" s="40" t="s">
        <v>11404</v>
      </c>
      <c r="F17119" s="40" t="s">
        <v>11404</v>
      </c>
      <c r="G17119" s="40" t="s">
        <v>11404</v>
      </c>
      <c r="H17119" s="40" t="s">
        <v>11404</v>
      </c>
    </row>
    <row r="17120">
      <c r="A17120" s="39"/>
      <c r="E17120" s="40" t="s">
        <v>11404</v>
      </c>
      <c r="F17120" s="40" t="s">
        <v>11404</v>
      </c>
      <c r="G17120" s="40" t="s">
        <v>11404</v>
      </c>
      <c r="H17120" s="40" t="s">
        <v>11404</v>
      </c>
    </row>
    <row r="17121">
      <c r="A17121" s="39"/>
      <c r="E17121" s="40" t="s">
        <v>11404</v>
      </c>
      <c r="F17121" s="40" t="s">
        <v>11404</v>
      </c>
      <c r="G17121" s="40" t="s">
        <v>11404</v>
      </c>
      <c r="H17121" s="40" t="s">
        <v>11404</v>
      </c>
    </row>
    <row r="17122">
      <c r="A17122" s="39"/>
      <c r="E17122" s="40" t="s">
        <v>11404</v>
      </c>
      <c r="F17122" s="40" t="s">
        <v>11404</v>
      </c>
      <c r="G17122" s="40" t="s">
        <v>11404</v>
      </c>
      <c r="H17122" s="40" t="s">
        <v>11404</v>
      </c>
    </row>
    <row r="17123">
      <c r="A17123" s="39"/>
      <c r="E17123" s="40" t="s">
        <v>11404</v>
      </c>
      <c r="F17123" s="40" t="s">
        <v>11404</v>
      </c>
      <c r="G17123" s="40" t="s">
        <v>11404</v>
      </c>
      <c r="H17123" s="40" t="s">
        <v>11404</v>
      </c>
    </row>
    <row r="17124">
      <c r="A17124" s="39"/>
      <c r="E17124" s="40" t="s">
        <v>11404</v>
      </c>
      <c r="F17124" s="40" t="s">
        <v>11404</v>
      </c>
      <c r="G17124" s="40" t="s">
        <v>11404</v>
      </c>
      <c r="H17124" s="40" t="s">
        <v>11404</v>
      </c>
    </row>
    <row r="17125">
      <c r="A17125" s="39"/>
      <c r="E17125" s="40" t="s">
        <v>11404</v>
      </c>
      <c r="F17125" s="40" t="s">
        <v>11404</v>
      </c>
      <c r="G17125" s="40" t="s">
        <v>11404</v>
      </c>
      <c r="H17125" s="40" t="s">
        <v>11404</v>
      </c>
    </row>
    <row r="17126">
      <c r="A17126" s="39"/>
      <c r="E17126" s="40" t="s">
        <v>11404</v>
      </c>
      <c r="F17126" s="40" t="s">
        <v>11404</v>
      </c>
      <c r="G17126" s="40" t="s">
        <v>11404</v>
      </c>
      <c r="H17126" s="40" t="s">
        <v>11404</v>
      </c>
    </row>
    <row r="17127">
      <c r="A17127" s="39"/>
      <c r="E17127" s="40" t="s">
        <v>11404</v>
      </c>
      <c r="F17127" s="40" t="s">
        <v>11404</v>
      </c>
      <c r="G17127" s="40" t="s">
        <v>11404</v>
      </c>
      <c r="H17127" s="40" t="s">
        <v>11404</v>
      </c>
    </row>
    <row r="17128">
      <c r="A17128" s="39"/>
      <c r="E17128" s="40" t="s">
        <v>11404</v>
      </c>
      <c r="F17128" s="40" t="s">
        <v>11404</v>
      </c>
      <c r="G17128" s="40" t="s">
        <v>11404</v>
      </c>
      <c r="H17128" s="40" t="s">
        <v>11404</v>
      </c>
    </row>
    <row r="17129">
      <c r="A17129" s="39"/>
      <c r="E17129" s="40" t="s">
        <v>11404</v>
      </c>
      <c r="F17129" s="40" t="s">
        <v>11404</v>
      </c>
      <c r="G17129" s="40" t="s">
        <v>11404</v>
      </c>
      <c r="H17129" s="40" t="s">
        <v>11404</v>
      </c>
    </row>
    <row r="17130">
      <c r="A17130" s="39"/>
      <c r="E17130" s="40" t="s">
        <v>11404</v>
      </c>
      <c r="F17130" s="40" t="s">
        <v>11404</v>
      </c>
      <c r="G17130" s="40" t="s">
        <v>11404</v>
      </c>
      <c r="H17130" s="40" t="s">
        <v>11404</v>
      </c>
    </row>
    <row r="17131">
      <c r="A17131" s="39"/>
      <c r="E17131" s="40" t="s">
        <v>11404</v>
      </c>
      <c r="F17131" s="40" t="s">
        <v>11404</v>
      </c>
      <c r="G17131" s="40" t="s">
        <v>11404</v>
      </c>
      <c r="H17131" s="40" t="s">
        <v>11404</v>
      </c>
    </row>
    <row r="17132">
      <c r="A17132" s="39"/>
      <c r="E17132" s="40" t="s">
        <v>11404</v>
      </c>
      <c r="F17132" s="40" t="s">
        <v>11404</v>
      </c>
      <c r="G17132" s="40" t="s">
        <v>11404</v>
      </c>
      <c r="H17132" s="40" t="s">
        <v>11404</v>
      </c>
    </row>
    <row r="17133">
      <c r="A17133" s="39"/>
      <c r="E17133" s="40" t="s">
        <v>11404</v>
      </c>
      <c r="F17133" s="40" t="s">
        <v>11404</v>
      </c>
      <c r="G17133" s="40" t="s">
        <v>11404</v>
      </c>
      <c r="H17133" s="40" t="s">
        <v>11404</v>
      </c>
    </row>
    <row r="17134">
      <c r="A17134" s="39"/>
      <c r="E17134" s="40" t="s">
        <v>11404</v>
      </c>
      <c r="F17134" s="40" t="s">
        <v>11404</v>
      </c>
      <c r="G17134" s="40" t="s">
        <v>11404</v>
      </c>
      <c r="H17134" s="40" t="s">
        <v>11404</v>
      </c>
    </row>
    <row r="17135">
      <c r="A17135" s="39"/>
      <c r="E17135" s="40" t="s">
        <v>11404</v>
      </c>
      <c r="F17135" s="40" t="s">
        <v>11404</v>
      </c>
      <c r="G17135" s="40" t="s">
        <v>11404</v>
      </c>
      <c r="H17135" s="40" t="s">
        <v>11404</v>
      </c>
    </row>
    <row r="17136">
      <c r="A17136" s="39"/>
      <c r="E17136" s="40" t="s">
        <v>11404</v>
      </c>
      <c r="F17136" s="40" t="s">
        <v>11404</v>
      </c>
      <c r="G17136" s="40" t="s">
        <v>11404</v>
      </c>
      <c r="H17136" s="40" t="s">
        <v>11404</v>
      </c>
    </row>
    <row r="17137">
      <c r="A17137" s="39"/>
      <c r="E17137" s="40" t="s">
        <v>11404</v>
      </c>
      <c r="F17137" s="40" t="s">
        <v>11404</v>
      </c>
      <c r="G17137" s="40" t="s">
        <v>11404</v>
      </c>
      <c r="H17137" s="40" t="s">
        <v>11404</v>
      </c>
    </row>
    <row r="17138">
      <c r="A17138" s="39"/>
      <c r="E17138" s="40" t="s">
        <v>11404</v>
      </c>
      <c r="F17138" s="40" t="s">
        <v>11404</v>
      </c>
      <c r="G17138" s="40" t="s">
        <v>11404</v>
      </c>
      <c r="H17138" s="40" t="s">
        <v>11404</v>
      </c>
    </row>
    <row r="17139">
      <c r="A17139" s="39"/>
      <c r="E17139" s="40" t="s">
        <v>11404</v>
      </c>
      <c r="F17139" s="40" t="s">
        <v>11404</v>
      </c>
      <c r="G17139" s="40" t="s">
        <v>11404</v>
      </c>
      <c r="H17139" s="40" t="s">
        <v>11404</v>
      </c>
    </row>
    <row r="17140">
      <c r="A17140" s="39"/>
      <c r="E17140" s="40" t="s">
        <v>11404</v>
      </c>
      <c r="F17140" s="40" t="s">
        <v>11404</v>
      </c>
      <c r="G17140" s="40" t="s">
        <v>11404</v>
      </c>
      <c r="H17140" s="40" t="s">
        <v>11404</v>
      </c>
    </row>
    <row r="17141">
      <c r="A17141" s="39"/>
      <c r="E17141" s="40" t="s">
        <v>11404</v>
      </c>
      <c r="F17141" s="40" t="s">
        <v>11404</v>
      </c>
      <c r="G17141" s="40" t="s">
        <v>11404</v>
      </c>
      <c r="H17141" s="40" t="s">
        <v>11404</v>
      </c>
    </row>
    <row r="17142">
      <c r="A17142" s="39"/>
      <c r="E17142" s="40" t="s">
        <v>11404</v>
      </c>
      <c r="F17142" s="40" t="s">
        <v>11404</v>
      </c>
      <c r="G17142" s="40" t="s">
        <v>11404</v>
      </c>
      <c r="H17142" s="40" t="s">
        <v>11404</v>
      </c>
    </row>
    <row r="17143">
      <c r="A17143" s="39"/>
      <c r="E17143" s="40" t="s">
        <v>11404</v>
      </c>
      <c r="F17143" s="40" t="s">
        <v>11404</v>
      </c>
      <c r="G17143" s="40" t="s">
        <v>11404</v>
      </c>
      <c r="H17143" s="40" t="s">
        <v>11404</v>
      </c>
    </row>
    <row r="17144">
      <c r="A17144" s="39"/>
      <c r="E17144" s="40" t="s">
        <v>11404</v>
      </c>
      <c r="F17144" s="40" t="s">
        <v>11404</v>
      </c>
      <c r="G17144" s="40" t="s">
        <v>11404</v>
      </c>
      <c r="H17144" s="40" t="s">
        <v>11404</v>
      </c>
    </row>
    <row r="17145">
      <c r="A17145" s="39"/>
      <c r="E17145" s="40" t="s">
        <v>11404</v>
      </c>
      <c r="F17145" s="40" t="s">
        <v>11404</v>
      </c>
      <c r="G17145" s="40" t="s">
        <v>11404</v>
      </c>
      <c r="H17145" s="40" t="s">
        <v>11404</v>
      </c>
    </row>
    <row r="17146">
      <c r="A17146" s="39"/>
      <c r="E17146" s="40" t="s">
        <v>11404</v>
      </c>
      <c r="F17146" s="40" t="s">
        <v>11404</v>
      </c>
      <c r="G17146" s="40" t="s">
        <v>11404</v>
      </c>
      <c r="H17146" s="40" t="s">
        <v>11404</v>
      </c>
    </row>
    <row r="17147">
      <c r="A17147" s="39"/>
      <c r="E17147" s="40" t="s">
        <v>11404</v>
      </c>
      <c r="F17147" s="40" t="s">
        <v>11404</v>
      </c>
      <c r="G17147" s="40" t="s">
        <v>11404</v>
      </c>
      <c r="H17147" s="40" t="s">
        <v>11404</v>
      </c>
    </row>
    <row r="17148">
      <c r="A17148" s="39"/>
      <c r="E17148" s="40" t="s">
        <v>11404</v>
      </c>
      <c r="F17148" s="40" t="s">
        <v>11404</v>
      </c>
      <c r="G17148" s="40" t="s">
        <v>11404</v>
      </c>
      <c r="H17148" s="40" t="s">
        <v>11404</v>
      </c>
    </row>
    <row r="17149">
      <c r="A17149" s="39"/>
      <c r="E17149" s="40" t="s">
        <v>11404</v>
      </c>
      <c r="F17149" s="40" t="s">
        <v>11404</v>
      </c>
      <c r="G17149" s="40" t="s">
        <v>11404</v>
      </c>
      <c r="H17149" s="40" t="s">
        <v>11404</v>
      </c>
    </row>
    <row r="17150">
      <c r="A17150" s="39"/>
      <c r="E17150" s="40" t="s">
        <v>11404</v>
      </c>
      <c r="F17150" s="40" t="s">
        <v>11404</v>
      </c>
      <c r="G17150" s="40" t="s">
        <v>11404</v>
      </c>
      <c r="H17150" s="40" t="s">
        <v>11404</v>
      </c>
    </row>
    <row r="17151">
      <c r="A17151" s="39"/>
      <c r="E17151" s="40" t="s">
        <v>11404</v>
      </c>
      <c r="F17151" s="40" t="s">
        <v>11404</v>
      </c>
      <c r="G17151" s="40" t="s">
        <v>11404</v>
      </c>
      <c r="H17151" s="40" t="s">
        <v>11404</v>
      </c>
    </row>
    <row r="17152">
      <c r="A17152" s="39"/>
      <c r="E17152" s="40" t="s">
        <v>11404</v>
      </c>
      <c r="F17152" s="40" t="s">
        <v>11404</v>
      </c>
      <c r="G17152" s="40" t="s">
        <v>11404</v>
      </c>
      <c r="H17152" s="40" t="s">
        <v>11404</v>
      </c>
    </row>
    <row r="17153">
      <c r="A17153" s="39"/>
      <c r="E17153" s="40" t="s">
        <v>11404</v>
      </c>
      <c r="F17153" s="40" t="s">
        <v>11404</v>
      </c>
      <c r="G17153" s="40" t="s">
        <v>11404</v>
      </c>
      <c r="H17153" s="40" t="s">
        <v>11404</v>
      </c>
    </row>
    <row r="17154">
      <c r="A17154" s="39"/>
      <c r="E17154" s="40" t="s">
        <v>11404</v>
      </c>
      <c r="F17154" s="40" t="s">
        <v>11404</v>
      </c>
      <c r="G17154" s="40" t="s">
        <v>11404</v>
      </c>
      <c r="H17154" s="40" t="s">
        <v>11404</v>
      </c>
    </row>
    <row r="17155">
      <c r="A17155" s="39"/>
      <c r="E17155" s="40" t="s">
        <v>11404</v>
      </c>
      <c r="F17155" s="40" t="s">
        <v>11404</v>
      </c>
      <c r="G17155" s="40" t="s">
        <v>11404</v>
      </c>
      <c r="H17155" s="40" t="s">
        <v>11404</v>
      </c>
    </row>
    <row r="17156">
      <c r="A17156" s="39"/>
      <c r="E17156" s="40" t="s">
        <v>11404</v>
      </c>
      <c r="F17156" s="40" t="s">
        <v>11404</v>
      </c>
      <c r="G17156" s="40" t="s">
        <v>11404</v>
      </c>
      <c r="H17156" s="40" t="s">
        <v>11404</v>
      </c>
    </row>
    <row r="17157">
      <c r="A17157" s="39"/>
      <c r="E17157" s="40" t="s">
        <v>11404</v>
      </c>
      <c r="F17157" s="40" t="s">
        <v>11404</v>
      </c>
      <c r="G17157" s="40" t="s">
        <v>11404</v>
      </c>
      <c r="H17157" s="40" t="s">
        <v>11404</v>
      </c>
    </row>
    <row r="17158">
      <c r="A17158" s="39"/>
      <c r="E17158" s="40" t="s">
        <v>11404</v>
      </c>
      <c r="F17158" s="40" t="s">
        <v>11404</v>
      </c>
      <c r="G17158" s="40" t="s">
        <v>11404</v>
      </c>
      <c r="H17158" s="40" t="s">
        <v>11404</v>
      </c>
    </row>
    <row r="17159">
      <c r="A17159" s="39"/>
      <c r="E17159" s="40" t="s">
        <v>11404</v>
      </c>
      <c r="F17159" s="40" t="s">
        <v>11404</v>
      </c>
      <c r="G17159" s="40" t="s">
        <v>11404</v>
      </c>
      <c r="H17159" s="40" t="s">
        <v>11404</v>
      </c>
    </row>
    <row r="17160">
      <c r="A17160" s="39"/>
      <c r="E17160" s="40" t="s">
        <v>11404</v>
      </c>
      <c r="F17160" s="40" t="s">
        <v>11404</v>
      </c>
      <c r="G17160" s="40" t="s">
        <v>11404</v>
      </c>
      <c r="H17160" s="40" t="s">
        <v>11404</v>
      </c>
    </row>
    <row r="17161">
      <c r="A17161" s="39"/>
      <c r="E17161" s="40" t="s">
        <v>11404</v>
      </c>
      <c r="F17161" s="40" t="s">
        <v>11404</v>
      </c>
      <c r="G17161" s="40" t="s">
        <v>11404</v>
      </c>
      <c r="H17161" s="40" t="s">
        <v>11404</v>
      </c>
    </row>
    <row r="17162">
      <c r="A17162" s="39"/>
      <c r="E17162" s="40" t="s">
        <v>11404</v>
      </c>
      <c r="F17162" s="40" t="s">
        <v>11404</v>
      </c>
      <c r="G17162" s="40" t="s">
        <v>11404</v>
      </c>
      <c r="H17162" s="40" t="s">
        <v>11404</v>
      </c>
    </row>
    <row r="17163">
      <c r="A17163" s="39"/>
      <c r="E17163" s="40" t="s">
        <v>11404</v>
      </c>
      <c r="F17163" s="40" t="s">
        <v>11404</v>
      </c>
      <c r="G17163" s="40" t="s">
        <v>11404</v>
      </c>
      <c r="H17163" s="40" t="s">
        <v>11404</v>
      </c>
    </row>
    <row r="17164">
      <c r="A17164" s="39"/>
      <c r="E17164" s="40" t="s">
        <v>11404</v>
      </c>
      <c r="F17164" s="40" t="s">
        <v>11404</v>
      </c>
      <c r="G17164" s="40" t="s">
        <v>11404</v>
      </c>
      <c r="H17164" s="40" t="s">
        <v>11404</v>
      </c>
    </row>
    <row r="17165">
      <c r="A17165" s="39"/>
      <c r="E17165" s="40" t="s">
        <v>11404</v>
      </c>
      <c r="F17165" s="40" t="s">
        <v>11404</v>
      </c>
      <c r="G17165" s="40" t="s">
        <v>11404</v>
      </c>
      <c r="H17165" s="40" t="s">
        <v>11404</v>
      </c>
    </row>
    <row r="17166">
      <c r="A17166" s="39"/>
      <c r="E17166" s="40" t="s">
        <v>11404</v>
      </c>
      <c r="F17166" s="40" t="s">
        <v>11404</v>
      </c>
      <c r="G17166" s="40" t="s">
        <v>11404</v>
      </c>
      <c r="H17166" s="40" t="s">
        <v>11404</v>
      </c>
    </row>
    <row r="17167">
      <c r="A17167" s="39"/>
      <c r="E17167" s="40" t="s">
        <v>11404</v>
      </c>
      <c r="F17167" s="40" t="s">
        <v>11404</v>
      </c>
      <c r="G17167" s="40" t="s">
        <v>11404</v>
      </c>
      <c r="H17167" s="40" t="s">
        <v>11404</v>
      </c>
    </row>
    <row r="17168">
      <c r="A17168" s="39"/>
      <c r="E17168" s="40" t="s">
        <v>11404</v>
      </c>
      <c r="F17168" s="40" t="s">
        <v>11404</v>
      </c>
      <c r="G17168" s="40" t="s">
        <v>11404</v>
      </c>
      <c r="H17168" s="40" t="s">
        <v>11404</v>
      </c>
    </row>
    <row r="17169">
      <c r="A17169" s="39"/>
      <c r="E17169" s="40" t="s">
        <v>11404</v>
      </c>
      <c r="F17169" s="40" t="s">
        <v>11404</v>
      </c>
      <c r="G17169" s="40" t="s">
        <v>11404</v>
      </c>
      <c r="H17169" s="40" t="s">
        <v>11404</v>
      </c>
    </row>
    <row r="17170">
      <c r="A17170" s="39"/>
      <c r="E17170" s="40" t="s">
        <v>11404</v>
      </c>
      <c r="F17170" s="40" t="s">
        <v>11404</v>
      </c>
      <c r="G17170" s="40" t="s">
        <v>11404</v>
      </c>
      <c r="H17170" s="40" t="s">
        <v>11404</v>
      </c>
    </row>
    <row r="17171">
      <c r="A17171" s="39"/>
      <c r="E17171" s="40" t="s">
        <v>11404</v>
      </c>
      <c r="F17171" s="40" t="s">
        <v>11404</v>
      </c>
      <c r="G17171" s="40" t="s">
        <v>11404</v>
      </c>
      <c r="H17171" s="40" t="s">
        <v>11404</v>
      </c>
    </row>
    <row r="17172">
      <c r="A17172" s="39"/>
      <c r="E17172" s="40" t="s">
        <v>11404</v>
      </c>
      <c r="F17172" s="40" t="s">
        <v>11404</v>
      </c>
      <c r="G17172" s="40" t="s">
        <v>11404</v>
      </c>
      <c r="H17172" s="40" t="s">
        <v>11404</v>
      </c>
    </row>
    <row r="17173">
      <c r="A17173" s="39"/>
      <c r="E17173" s="40" t="s">
        <v>11404</v>
      </c>
      <c r="F17173" s="40" t="s">
        <v>11404</v>
      </c>
      <c r="G17173" s="40" t="s">
        <v>11404</v>
      </c>
      <c r="H17173" s="40" t="s">
        <v>11404</v>
      </c>
    </row>
    <row r="17174">
      <c r="A17174" s="39"/>
      <c r="E17174" s="40" t="s">
        <v>11404</v>
      </c>
      <c r="F17174" s="40" t="s">
        <v>11404</v>
      </c>
      <c r="G17174" s="40" t="s">
        <v>11404</v>
      </c>
      <c r="H17174" s="40" t="s">
        <v>11404</v>
      </c>
    </row>
    <row r="17175">
      <c r="A17175" s="39"/>
      <c r="E17175" s="40" t="s">
        <v>11404</v>
      </c>
      <c r="F17175" s="40" t="s">
        <v>11404</v>
      </c>
      <c r="G17175" s="40" t="s">
        <v>11404</v>
      </c>
      <c r="H17175" s="40" t="s">
        <v>11404</v>
      </c>
    </row>
    <row r="17176">
      <c r="A17176" s="39"/>
      <c r="E17176" s="40" t="s">
        <v>11404</v>
      </c>
      <c r="F17176" s="40" t="s">
        <v>11404</v>
      </c>
      <c r="G17176" s="40" t="s">
        <v>11404</v>
      </c>
      <c r="H17176" s="40" t="s">
        <v>11404</v>
      </c>
    </row>
    <row r="17177">
      <c r="A17177" s="39"/>
      <c r="E17177" s="40" t="s">
        <v>11404</v>
      </c>
      <c r="F17177" s="40" t="s">
        <v>11404</v>
      </c>
      <c r="G17177" s="40" t="s">
        <v>11404</v>
      </c>
      <c r="H17177" s="40" t="s">
        <v>11404</v>
      </c>
    </row>
    <row r="17178">
      <c r="A17178" s="39"/>
      <c r="E17178" s="40" t="s">
        <v>11404</v>
      </c>
      <c r="F17178" s="40" t="s">
        <v>11404</v>
      </c>
      <c r="G17178" s="40" t="s">
        <v>11404</v>
      </c>
      <c r="H17178" s="40" t="s">
        <v>11404</v>
      </c>
    </row>
    <row r="17179">
      <c r="A17179" s="39"/>
      <c r="E17179" s="40" t="s">
        <v>11404</v>
      </c>
      <c r="F17179" s="40" t="s">
        <v>11404</v>
      </c>
      <c r="G17179" s="40" t="s">
        <v>11404</v>
      </c>
      <c r="H17179" s="40" t="s">
        <v>11404</v>
      </c>
    </row>
    <row r="17180">
      <c r="A17180" s="39"/>
      <c r="E17180" s="40" t="s">
        <v>11404</v>
      </c>
      <c r="F17180" s="40" t="s">
        <v>11404</v>
      </c>
      <c r="G17180" s="40" t="s">
        <v>11404</v>
      </c>
      <c r="H17180" s="40" t="s">
        <v>11404</v>
      </c>
    </row>
    <row r="17181">
      <c r="A17181" s="39"/>
      <c r="E17181" s="40" t="s">
        <v>11404</v>
      </c>
      <c r="F17181" s="40" t="s">
        <v>11404</v>
      </c>
      <c r="G17181" s="40" t="s">
        <v>11404</v>
      </c>
      <c r="H17181" s="40" t="s">
        <v>11404</v>
      </c>
    </row>
    <row r="17182">
      <c r="A17182" s="39"/>
      <c r="E17182" s="40" t="s">
        <v>11404</v>
      </c>
      <c r="F17182" s="40" t="s">
        <v>11404</v>
      </c>
      <c r="G17182" s="40" t="s">
        <v>11404</v>
      </c>
      <c r="H17182" s="40" t="s">
        <v>11404</v>
      </c>
    </row>
    <row r="17183">
      <c r="A17183" s="39"/>
      <c r="E17183" s="40" t="s">
        <v>11404</v>
      </c>
      <c r="F17183" s="40" t="s">
        <v>11404</v>
      </c>
      <c r="G17183" s="40" t="s">
        <v>11404</v>
      </c>
      <c r="H17183" s="40" t="s">
        <v>11404</v>
      </c>
    </row>
    <row r="17184">
      <c r="A17184" s="39"/>
      <c r="E17184" s="40" t="s">
        <v>11404</v>
      </c>
      <c r="F17184" s="40" t="s">
        <v>11404</v>
      </c>
      <c r="G17184" s="40" t="s">
        <v>11404</v>
      </c>
      <c r="H17184" s="40" t="s">
        <v>11404</v>
      </c>
    </row>
    <row r="17185">
      <c r="A17185" s="39"/>
      <c r="E17185" s="40" t="s">
        <v>11404</v>
      </c>
      <c r="F17185" s="40" t="s">
        <v>11404</v>
      </c>
      <c r="G17185" s="40" t="s">
        <v>11404</v>
      </c>
      <c r="H17185" s="40" t="s">
        <v>11404</v>
      </c>
    </row>
    <row r="17186">
      <c r="A17186" s="39"/>
      <c r="E17186" s="40" t="s">
        <v>11404</v>
      </c>
      <c r="F17186" s="40" t="s">
        <v>11404</v>
      </c>
      <c r="G17186" s="40" t="s">
        <v>11404</v>
      </c>
      <c r="H17186" s="40" t="s">
        <v>11404</v>
      </c>
    </row>
    <row r="17187">
      <c r="A17187" s="39"/>
      <c r="E17187" s="40" t="s">
        <v>11404</v>
      </c>
      <c r="F17187" s="40" t="s">
        <v>11404</v>
      </c>
      <c r="G17187" s="40" t="s">
        <v>11404</v>
      </c>
      <c r="H17187" s="40" t="s">
        <v>11404</v>
      </c>
    </row>
    <row r="17188">
      <c r="A17188" s="39"/>
      <c r="E17188" s="40" t="s">
        <v>11404</v>
      </c>
      <c r="F17188" s="40" t="s">
        <v>11404</v>
      </c>
      <c r="G17188" s="40" t="s">
        <v>11404</v>
      </c>
      <c r="H17188" s="40" t="s">
        <v>11404</v>
      </c>
    </row>
    <row r="17189">
      <c r="A17189" s="39"/>
      <c r="E17189" s="40" t="s">
        <v>11404</v>
      </c>
      <c r="F17189" s="40" t="s">
        <v>11404</v>
      </c>
      <c r="G17189" s="40" t="s">
        <v>11404</v>
      </c>
      <c r="H17189" s="40" t="s">
        <v>11404</v>
      </c>
    </row>
    <row r="17190">
      <c r="A17190" s="39"/>
      <c r="E17190" s="40" t="s">
        <v>11404</v>
      </c>
      <c r="F17190" s="40" t="s">
        <v>11404</v>
      </c>
      <c r="G17190" s="40" t="s">
        <v>11404</v>
      </c>
      <c r="H17190" s="40" t="s">
        <v>11404</v>
      </c>
    </row>
    <row r="17191">
      <c r="A17191" s="39"/>
      <c r="E17191" s="40" t="s">
        <v>11404</v>
      </c>
      <c r="F17191" s="40" t="s">
        <v>11404</v>
      </c>
      <c r="G17191" s="40" t="s">
        <v>11404</v>
      </c>
      <c r="H17191" s="40" t="s">
        <v>11404</v>
      </c>
    </row>
    <row r="17192">
      <c r="A17192" s="39"/>
      <c r="E17192" s="40" t="s">
        <v>11404</v>
      </c>
      <c r="F17192" s="40" t="s">
        <v>11404</v>
      </c>
      <c r="G17192" s="40" t="s">
        <v>11404</v>
      </c>
      <c r="H17192" s="40" t="s">
        <v>11404</v>
      </c>
    </row>
    <row r="17193">
      <c r="A17193" s="39"/>
      <c r="E17193" s="40" t="s">
        <v>11404</v>
      </c>
      <c r="F17193" s="40" t="s">
        <v>11404</v>
      </c>
      <c r="G17193" s="40" t="s">
        <v>11404</v>
      </c>
      <c r="H17193" s="40" t="s">
        <v>11404</v>
      </c>
    </row>
    <row r="17194">
      <c r="A17194" s="39"/>
      <c r="E17194" s="40" t="s">
        <v>11404</v>
      </c>
      <c r="F17194" s="40" t="s">
        <v>11404</v>
      </c>
      <c r="G17194" s="40" t="s">
        <v>11404</v>
      </c>
      <c r="H17194" s="40" t="s">
        <v>11404</v>
      </c>
    </row>
    <row r="17195">
      <c r="A17195" s="39"/>
      <c r="E17195" s="40" t="s">
        <v>11404</v>
      </c>
      <c r="F17195" s="40" t="s">
        <v>11404</v>
      </c>
      <c r="G17195" s="40" t="s">
        <v>11404</v>
      </c>
      <c r="H17195" s="40" t="s">
        <v>11404</v>
      </c>
    </row>
    <row r="17196">
      <c r="A17196" s="39"/>
      <c r="E17196" s="40" t="s">
        <v>11404</v>
      </c>
      <c r="F17196" s="40" t="s">
        <v>11404</v>
      </c>
      <c r="G17196" s="40" t="s">
        <v>11404</v>
      </c>
      <c r="H17196" s="40" t="s">
        <v>11404</v>
      </c>
    </row>
    <row r="17197">
      <c r="A17197" s="39"/>
      <c r="E17197" s="40" t="s">
        <v>11404</v>
      </c>
      <c r="F17197" s="40" t="s">
        <v>11404</v>
      </c>
      <c r="G17197" s="40" t="s">
        <v>11404</v>
      </c>
      <c r="H17197" s="40" t="s">
        <v>11404</v>
      </c>
    </row>
    <row r="17198">
      <c r="A17198" s="39"/>
      <c r="E17198" s="40" t="s">
        <v>11404</v>
      </c>
      <c r="F17198" s="40" t="s">
        <v>11404</v>
      </c>
      <c r="G17198" s="40" t="s">
        <v>11404</v>
      </c>
      <c r="H17198" s="40" t="s">
        <v>11404</v>
      </c>
    </row>
    <row r="17199">
      <c r="A17199" s="39"/>
      <c r="E17199" s="40" t="s">
        <v>11404</v>
      </c>
      <c r="F17199" s="40" t="s">
        <v>11404</v>
      </c>
      <c r="G17199" s="40" t="s">
        <v>11404</v>
      </c>
      <c r="H17199" s="40" t="s">
        <v>11404</v>
      </c>
    </row>
    <row r="17200">
      <c r="A17200" s="39"/>
      <c r="E17200" s="40" t="s">
        <v>11404</v>
      </c>
      <c r="F17200" s="40" t="s">
        <v>11404</v>
      </c>
      <c r="G17200" s="40" t="s">
        <v>11404</v>
      </c>
      <c r="H17200" s="40" t="s">
        <v>11404</v>
      </c>
    </row>
    <row r="17201">
      <c r="A17201" s="39"/>
      <c r="E17201" s="40" t="s">
        <v>11404</v>
      </c>
      <c r="F17201" s="40" t="s">
        <v>11404</v>
      </c>
      <c r="G17201" s="40" t="s">
        <v>11404</v>
      </c>
      <c r="H17201" s="40" t="s">
        <v>11404</v>
      </c>
    </row>
    <row r="17202">
      <c r="A17202" s="39"/>
      <c r="E17202" s="40" t="s">
        <v>11404</v>
      </c>
      <c r="F17202" s="40" t="s">
        <v>11404</v>
      </c>
      <c r="G17202" s="40" t="s">
        <v>11404</v>
      </c>
      <c r="H17202" s="40" t="s">
        <v>11404</v>
      </c>
    </row>
    <row r="17203">
      <c r="A17203" s="39"/>
      <c r="E17203" s="40" t="s">
        <v>11404</v>
      </c>
      <c r="F17203" s="40" t="s">
        <v>11404</v>
      </c>
      <c r="G17203" s="40" t="s">
        <v>11404</v>
      </c>
      <c r="H17203" s="40" t="s">
        <v>11404</v>
      </c>
    </row>
    <row r="17204">
      <c r="A17204" s="39"/>
      <c r="E17204" s="40" t="s">
        <v>11404</v>
      </c>
      <c r="F17204" s="40" t="s">
        <v>11404</v>
      </c>
      <c r="G17204" s="40" t="s">
        <v>11404</v>
      </c>
      <c r="H17204" s="40" t="s">
        <v>11404</v>
      </c>
    </row>
    <row r="17205">
      <c r="A17205" s="39"/>
      <c r="E17205" s="40" t="s">
        <v>11404</v>
      </c>
      <c r="F17205" s="40" t="s">
        <v>11404</v>
      </c>
      <c r="G17205" s="40" t="s">
        <v>11404</v>
      </c>
      <c r="H17205" s="40" t="s">
        <v>11404</v>
      </c>
    </row>
    <row r="17206">
      <c r="A17206" s="39"/>
      <c r="E17206" s="40" t="s">
        <v>11404</v>
      </c>
      <c r="F17206" s="40" t="s">
        <v>11404</v>
      </c>
      <c r="G17206" s="40" t="s">
        <v>11404</v>
      </c>
      <c r="H17206" s="40" t="s">
        <v>11404</v>
      </c>
    </row>
    <row r="17207">
      <c r="A17207" s="39"/>
      <c r="E17207" s="40" t="s">
        <v>11404</v>
      </c>
      <c r="F17207" s="40" t="s">
        <v>11404</v>
      </c>
      <c r="G17207" s="40" t="s">
        <v>11404</v>
      </c>
      <c r="H17207" s="40" t="s">
        <v>11404</v>
      </c>
    </row>
    <row r="17208">
      <c r="A17208" s="39"/>
      <c r="E17208" s="40" t="s">
        <v>11404</v>
      </c>
      <c r="F17208" s="40" t="s">
        <v>11404</v>
      </c>
      <c r="G17208" s="40" t="s">
        <v>11404</v>
      </c>
      <c r="H17208" s="40" t="s">
        <v>11404</v>
      </c>
    </row>
    <row r="17209">
      <c r="A17209" s="39"/>
      <c r="E17209" s="40" t="s">
        <v>11404</v>
      </c>
      <c r="F17209" s="40" t="s">
        <v>11404</v>
      </c>
      <c r="G17209" s="40" t="s">
        <v>11404</v>
      </c>
      <c r="H17209" s="40" t="s">
        <v>11404</v>
      </c>
    </row>
    <row r="17210">
      <c r="A17210" s="39"/>
      <c r="E17210" s="40" t="s">
        <v>11404</v>
      </c>
      <c r="F17210" s="40" t="s">
        <v>11404</v>
      </c>
      <c r="G17210" s="40" t="s">
        <v>11404</v>
      </c>
      <c r="H17210" s="40" t="s">
        <v>11404</v>
      </c>
    </row>
    <row r="17211">
      <c r="A17211" s="39"/>
      <c r="E17211" s="40" t="s">
        <v>11404</v>
      </c>
      <c r="F17211" s="40" t="s">
        <v>11404</v>
      </c>
      <c r="G17211" s="40" t="s">
        <v>11404</v>
      </c>
      <c r="H17211" s="40" t="s">
        <v>11404</v>
      </c>
    </row>
    <row r="17212">
      <c r="A17212" s="39"/>
      <c r="E17212" s="40" t="s">
        <v>11404</v>
      </c>
      <c r="F17212" s="40" t="s">
        <v>11404</v>
      </c>
      <c r="G17212" s="40" t="s">
        <v>11404</v>
      </c>
      <c r="H17212" s="40" t="s">
        <v>11404</v>
      </c>
    </row>
    <row r="17213">
      <c r="A17213" s="39"/>
      <c r="E17213" s="40" t="s">
        <v>11404</v>
      </c>
      <c r="F17213" s="40" t="s">
        <v>11404</v>
      </c>
      <c r="G17213" s="40" t="s">
        <v>11404</v>
      </c>
      <c r="H17213" s="40" t="s">
        <v>11404</v>
      </c>
    </row>
    <row r="17214">
      <c r="A17214" s="39"/>
      <c r="E17214" s="40" t="s">
        <v>11404</v>
      </c>
      <c r="F17214" s="40" t="s">
        <v>11404</v>
      </c>
      <c r="G17214" s="40" t="s">
        <v>11404</v>
      </c>
      <c r="H17214" s="40" t="s">
        <v>11404</v>
      </c>
    </row>
    <row r="17215">
      <c r="A17215" s="39"/>
      <c r="E17215" s="40" t="s">
        <v>11404</v>
      </c>
      <c r="F17215" s="40" t="s">
        <v>11404</v>
      </c>
      <c r="G17215" s="40" t="s">
        <v>11404</v>
      </c>
      <c r="H17215" s="40" t="s">
        <v>11404</v>
      </c>
    </row>
    <row r="17216">
      <c r="A17216" s="39"/>
      <c r="E17216" s="40" t="s">
        <v>11404</v>
      </c>
      <c r="F17216" s="40" t="s">
        <v>11404</v>
      </c>
      <c r="G17216" s="40" t="s">
        <v>11404</v>
      </c>
      <c r="H17216" s="40" t="s">
        <v>11404</v>
      </c>
    </row>
    <row r="17217">
      <c r="A17217" s="39"/>
      <c r="E17217" s="40" t="s">
        <v>11404</v>
      </c>
      <c r="F17217" s="40" t="s">
        <v>11404</v>
      </c>
      <c r="G17217" s="40" t="s">
        <v>11404</v>
      </c>
      <c r="H17217" s="40" t="s">
        <v>11404</v>
      </c>
    </row>
    <row r="17218">
      <c r="A17218" s="39"/>
      <c r="E17218" s="40" t="s">
        <v>11404</v>
      </c>
      <c r="F17218" s="40" t="s">
        <v>11404</v>
      </c>
      <c r="G17218" s="40" t="s">
        <v>11404</v>
      </c>
      <c r="H17218" s="40" t="s">
        <v>11404</v>
      </c>
    </row>
    <row r="17219">
      <c r="A17219" s="39"/>
      <c r="E17219" s="40" t="s">
        <v>11404</v>
      </c>
      <c r="F17219" s="40" t="s">
        <v>11404</v>
      </c>
      <c r="G17219" s="40" t="s">
        <v>11404</v>
      </c>
      <c r="H17219" s="40" t="s">
        <v>11404</v>
      </c>
    </row>
    <row r="17220">
      <c r="A17220" s="39"/>
      <c r="E17220" s="40" t="s">
        <v>11404</v>
      </c>
      <c r="F17220" s="40" t="s">
        <v>11404</v>
      </c>
      <c r="G17220" s="40" t="s">
        <v>11404</v>
      </c>
      <c r="H17220" s="40" t="s">
        <v>11404</v>
      </c>
    </row>
    <row r="17221">
      <c r="A17221" s="39"/>
      <c r="E17221" s="40" t="s">
        <v>11404</v>
      </c>
      <c r="F17221" s="40" t="s">
        <v>11404</v>
      </c>
      <c r="G17221" s="40" t="s">
        <v>11404</v>
      </c>
      <c r="H17221" s="40" t="s">
        <v>11404</v>
      </c>
    </row>
    <row r="17222">
      <c r="A17222" s="39"/>
      <c r="E17222" s="40" t="s">
        <v>11404</v>
      </c>
      <c r="F17222" s="40" t="s">
        <v>11404</v>
      </c>
      <c r="G17222" s="40" t="s">
        <v>11404</v>
      </c>
      <c r="H17222" s="40" t="s">
        <v>11404</v>
      </c>
    </row>
    <row r="17223">
      <c r="A17223" s="39"/>
      <c r="E17223" s="40" t="s">
        <v>11404</v>
      </c>
      <c r="F17223" s="40" t="s">
        <v>11404</v>
      </c>
      <c r="G17223" s="40" t="s">
        <v>11404</v>
      </c>
      <c r="H17223" s="40" t="s">
        <v>11404</v>
      </c>
    </row>
    <row r="17224">
      <c r="A17224" s="39"/>
      <c r="E17224" s="40" t="s">
        <v>11404</v>
      </c>
      <c r="F17224" s="40" t="s">
        <v>11404</v>
      </c>
      <c r="G17224" s="40" t="s">
        <v>11404</v>
      </c>
      <c r="H17224" s="40" t="s">
        <v>11404</v>
      </c>
    </row>
    <row r="17225">
      <c r="A17225" s="39"/>
      <c r="E17225" s="40" t="s">
        <v>11404</v>
      </c>
      <c r="F17225" s="40" t="s">
        <v>11404</v>
      </c>
      <c r="G17225" s="40" t="s">
        <v>11404</v>
      </c>
      <c r="H17225" s="40" t="s">
        <v>11404</v>
      </c>
    </row>
    <row r="17226">
      <c r="A17226" s="39"/>
      <c r="E17226" s="40" t="s">
        <v>11404</v>
      </c>
      <c r="F17226" s="40" t="s">
        <v>11404</v>
      </c>
      <c r="G17226" s="40" t="s">
        <v>11404</v>
      </c>
      <c r="H17226" s="40" t="s">
        <v>11404</v>
      </c>
    </row>
    <row r="17227">
      <c r="A17227" s="39"/>
      <c r="E17227" s="40" t="s">
        <v>11404</v>
      </c>
      <c r="F17227" s="40" t="s">
        <v>11404</v>
      </c>
      <c r="G17227" s="40" t="s">
        <v>11404</v>
      </c>
      <c r="H17227" s="40" t="s">
        <v>11404</v>
      </c>
    </row>
    <row r="17228">
      <c r="A17228" s="39"/>
      <c r="E17228" s="40" t="s">
        <v>11404</v>
      </c>
      <c r="F17228" s="40" t="s">
        <v>11404</v>
      </c>
      <c r="G17228" s="40" t="s">
        <v>11404</v>
      </c>
      <c r="H17228" s="40" t="s">
        <v>11404</v>
      </c>
    </row>
    <row r="17229">
      <c r="A17229" s="39"/>
      <c r="E17229" s="40" t="s">
        <v>11404</v>
      </c>
      <c r="F17229" s="40" t="s">
        <v>11404</v>
      </c>
      <c r="G17229" s="40" t="s">
        <v>11404</v>
      </c>
      <c r="H17229" s="40" t="s">
        <v>11404</v>
      </c>
    </row>
    <row r="17230">
      <c r="A17230" s="39"/>
      <c r="E17230" s="40" t="s">
        <v>11404</v>
      </c>
      <c r="F17230" s="40" t="s">
        <v>11404</v>
      </c>
      <c r="G17230" s="40" t="s">
        <v>11404</v>
      </c>
      <c r="H17230" s="40" t="s">
        <v>11404</v>
      </c>
    </row>
    <row r="17231">
      <c r="A17231" s="39"/>
      <c r="E17231" s="40" t="s">
        <v>11404</v>
      </c>
      <c r="F17231" s="40" t="s">
        <v>11404</v>
      </c>
      <c r="G17231" s="40" t="s">
        <v>11404</v>
      </c>
      <c r="H17231" s="40" t="s">
        <v>11404</v>
      </c>
    </row>
    <row r="17232">
      <c r="A17232" s="39"/>
      <c r="E17232" s="40" t="s">
        <v>11404</v>
      </c>
      <c r="F17232" s="40" t="s">
        <v>11404</v>
      </c>
      <c r="G17232" s="40" t="s">
        <v>11404</v>
      </c>
      <c r="H17232" s="40" t="s">
        <v>11404</v>
      </c>
    </row>
    <row r="17233">
      <c r="A17233" s="39"/>
      <c r="E17233" s="40" t="s">
        <v>11404</v>
      </c>
      <c r="F17233" s="40" t="s">
        <v>11404</v>
      </c>
      <c r="G17233" s="40" t="s">
        <v>11404</v>
      </c>
      <c r="H17233" s="40" t="s">
        <v>11404</v>
      </c>
    </row>
    <row r="17234">
      <c r="A17234" s="39"/>
      <c r="E17234" s="40" t="s">
        <v>11404</v>
      </c>
      <c r="F17234" s="40" t="s">
        <v>11404</v>
      </c>
      <c r="G17234" s="40" t="s">
        <v>11404</v>
      </c>
      <c r="H17234" s="40" t="s">
        <v>11404</v>
      </c>
    </row>
    <row r="17235">
      <c r="A17235" s="39"/>
      <c r="E17235" s="40" t="s">
        <v>11404</v>
      </c>
      <c r="F17235" s="40" t="s">
        <v>11404</v>
      </c>
      <c r="G17235" s="40" t="s">
        <v>11404</v>
      </c>
      <c r="H17235" s="40" t="s">
        <v>11404</v>
      </c>
    </row>
    <row r="17236">
      <c r="A17236" s="39"/>
      <c r="E17236" s="40" t="s">
        <v>11404</v>
      </c>
      <c r="F17236" s="40" t="s">
        <v>11404</v>
      </c>
      <c r="G17236" s="40" t="s">
        <v>11404</v>
      </c>
      <c r="H17236" s="40" t="s">
        <v>11404</v>
      </c>
    </row>
    <row r="17237">
      <c r="A17237" s="39"/>
      <c r="E17237" s="40" t="s">
        <v>11404</v>
      </c>
      <c r="F17237" s="40" t="s">
        <v>11404</v>
      </c>
      <c r="G17237" s="40" t="s">
        <v>11404</v>
      </c>
      <c r="H17237" s="40" t="s">
        <v>11404</v>
      </c>
    </row>
    <row r="17238">
      <c r="A17238" s="39"/>
      <c r="E17238" s="40" t="s">
        <v>11404</v>
      </c>
      <c r="F17238" s="40" t="s">
        <v>11404</v>
      </c>
      <c r="G17238" s="40" t="s">
        <v>11404</v>
      </c>
      <c r="H17238" s="40" t="s">
        <v>11404</v>
      </c>
    </row>
    <row r="17239">
      <c r="A17239" s="39"/>
      <c r="E17239" s="40" t="s">
        <v>11404</v>
      </c>
      <c r="F17239" s="40" t="s">
        <v>11404</v>
      </c>
      <c r="G17239" s="40" t="s">
        <v>11404</v>
      </c>
      <c r="H17239" s="40" t="s">
        <v>11404</v>
      </c>
    </row>
    <row r="17240">
      <c r="A17240" s="39"/>
      <c r="E17240" s="40" t="s">
        <v>11404</v>
      </c>
      <c r="F17240" s="40" t="s">
        <v>11404</v>
      </c>
      <c r="G17240" s="40" t="s">
        <v>11404</v>
      </c>
      <c r="H17240" s="40" t="s">
        <v>11404</v>
      </c>
    </row>
    <row r="17241">
      <c r="A17241" s="39"/>
      <c r="E17241" s="40" t="s">
        <v>11404</v>
      </c>
      <c r="F17241" s="40" t="s">
        <v>11404</v>
      </c>
      <c r="G17241" s="40" t="s">
        <v>11404</v>
      </c>
      <c r="H17241" s="40" t="s">
        <v>11404</v>
      </c>
    </row>
    <row r="17242">
      <c r="A17242" s="39"/>
      <c r="E17242" s="40" t="s">
        <v>11404</v>
      </c>
      <c r="F17242" s="40" t="s">
        <v>11404</v>
      </c>
      <c r="G17242" s="40" t="s">
        <v>11404</v>
      </c>
      <c r="H17242" s="40" t="s">
        <v>11404</v>
      </c>
    </row>
    <row r="17243">
      <c r="A17243" s="39"/>
      <c r="E17243" s="40" t="s">
        <v>11404</v>
      </c>
      <c r="F17243" s="40" t="s">
        <v>11404</v>
      </c>
      <c r="G17243" s="40" t="s">
        <v>11404</v>
      </c>
      <c r="H17243" s="40" t="s">
        <v>11404</v>
      </c>
    </row>
    <row r="17244">
      <c r="A17244" s="39"/>
      <c r="E17244" s="40" t="s">
        <v>11404</v>
      </c>
      <c r="F17244" s="40" t="s">
        <v>11404</v>
      </c>
      <c r="G17244" s="40" t="s">
        <v>11404</v>
      </c>
      <c r="H17244" s="40" t="s">
        <v>11404</v>
      </c>
    </row>
    <row r="17245">
      <c r="A17245" s="39"/>
      <c r="E17245" s="40" t="s">
        <v>11404</v>
      </c>
      <c r="F17245" s="40" t="s">
        <v>11404</v>
      </c>
      <c r="G17245" s="40" t="s">
        <v>11404</v>
      </c>
      <c r="H17245" s="40" t="s">
        <v>11404</v>
      </c>
    </row>
    <row r="17246">
      <c r="A17246" s="39"/>
      <c r="E17246" s="40" t="s">
        <v>11404</v>
      </c>
      <c r="F17246" s="40" t="s">
        <v>11404</v>
      </c>
      <c r="G17246" s="40" t="s">
        <v>11404</v>
      </c>
      <c r="H17246" s="40" t="s">
        <v>11404</v>
      </c>
    </row>
    <row r="17247">
      <c r="A17247" s="39"/>
      <c r="E17247" s="40" t="s">
        <v>11404</v>
      </c>
      <c r="F17247" s="40" t="s">
        <v>11404</v>
      </c>
      <c r="G17247" s="40" t="s">
        <v>11404</v>
      </c>
      <c r="H17247" s="40" t="s">
        <v>11404</v>
      </c>
    </row>
    <row r="17248">
      <c r="A17248" s="39"/>
      <c r="E17248" s="40" t="s">
        <v>11404</v>
      </c>
      <c r="F17248" s="40" t="s">
        <v>11404</v>
      </c>
      <c r="G17248" s="40" t="s">
        <v>11404</v>
      </c>
      <c r="H17248" s="40" t="s">
        <v>11404</v>
      </c>
    </row>
    <row r="17249">
      <c r="A17249" s="39"/>
      <c r="E17249" s="40" t="s">
        <v>11404</v>
      </c>
      <c r="F17249" s="40" t="s">
        <v>11404</v>
      </c>
      <c r="G17249" s="40" t="s">
        <v>11404</v>
      </c>
      <c r="H17249" s="40" t="s">
        <v>11404</v>
      </c>
    </row>
    <row r="17250">
      <c r="A17250" s="39"/>
      <c r="E17250" s="40" t="s">
        <v>11404</v>
      </c>
      <c r="F17250" s="40" t="s">
        <v>11404</v>
      </c>
      <c r="G17250" s="40" t="s">
        <v>11404</v>
      </c>
      <c r="H17250" s="40" t="s">
        <v>11404</v>
      </c>
    </row>
    <row r="17251">
      <c r="A17251" s="39"/>
      <c r="E17251" s="40" t="s">
        <v>11404</v>
      </c>
      <c r="F17251" s="40" t="s">
        <v>11404</v>
      </c>
      <c r="G17251" s="40" t="s">
        <v>11404</v>
      </c>
      <c r="H17251" s="40" t="s">
        <v>11404</v>
      </c>
    </row>
    <row r="17252">
      <c r="A17252" s="39"/>
      <c r="E17252" s="40" t="s">
        <v>11404</v>
      </c>
      <c r="F17252" s="40" t="s">
        <v>11404</v>
      </c>
      <c r="G17252" s="40" t="s">
        <v>11404</v>
      </c>
      <c r="H17252" s="40" t="s">
        <v>11404</v>
      </c>
    </row>
    <row r="17253">
      <c r="A17253" s="39"/>
      <c r="E17253" s="40" t="s">
        <v>11404</v>
      </c>
      <c r="F17253" s="40" t="s">
        <v>11404</v>
      </c>
      <c r="G17253" s="40" t="s">
        <v>11404</v>
      </c>
      <c r="H17253" s="40" t="s">
        <v>11404</v>
      </c>
    </row>
    <row r="17254">
      <c r="A17254" s="39"/>
      <c r="E17254" s="40" t="s">
        <v>11404</v>
      </c>
      <c r="F17254" s="40" t="s">
        <v>11404</v>
      </c>
      <c r="G17254" s="40" t="s">
        <v>11404</v>
      </c>
      <c r="H17254" s="40" t="s">
        <v>11404</v>
      </c>
    </row>
    <row r="17255">
      <c r="A17255" s="39"/>
      <c r="E17255" s="40" t="s">
        <v>11404</v>
      </c>
      <c r="F17255" s="40" t="s">
        <v>11404</v>
      </c>
      <c r="G17255" s="40" t="s">
        <v>11404</v>
      </c>
      <c r="H17255" s="40" t="s">
        <v>11404</v>
      </c>
    </row>
    <row r="17256">
      <c r="A17256" s="39"/>
      <c r="E17256" s="40" t="s">
        <v>11404</v>
      </c>
      <c r="F17256" s="40" t="s">
        <v>11404</v>
      </c>
      <c r="G17256" s="40" t="s">
        <v>11404</v>
      </c>
      <c r="H17256" s="40" t="s">
        <v>11404</v>
      </c>
    </row>
    <row r="17257">
      <c r="A17257" s="39"/>
      <c r="E17257" s="40" t="s">
        <v>11404</v>
      </c>
      <c r="F17257" s="40" t="s">
        <v>11404</v>
      </c>
      <c r="G17257" s="40" t="s">
        <v>11404</v>
      </c>
      <c r="H17257" s="40" t="s">
        <v>11404</v>
      </c>
    </row>
    <row r="17258">
      <c r="A17258" s="39"/>
      <c r="E17258" s="40" t="s">
        <v>11404</v>
      </c>
      <c r="F17258" s="40" t="s">
        <v>11404</v>
      </c>
      <c r="G17258" s="40" t="s">
        <v>11404</v>
      </c>
      <c r="H17258" s="40" t="s">
        <v>11404</v>
      </c>
    </row>
    <row r="17259">
      <c r="A17259" s="39"/>
      <c r="E17259" s="40" t="s">
        <v>11404</v>
      </c>
      <c r="F17259" s="40" t="s">
        <v>11404</v>
      </c>
      <c r="G17259" s="40" t="s">
        <v>11404</v>
      </c>
      <c r="H17259" s="40" t="s">
        <v>11404</v>
      </c>
    </row>
    <row r="17260">
      <c r="A17260" s="39"/>
      <c r="E17260" s="40" t="s">
        <v>11404</v>
      </c>
      <c r="F17260" s="40" t="s">
        <v>11404</v>
      </c>
      <c r="G17260" s="40" t="s">
        <v>11404</v>
      </c>
      <c r="H17260" s="40" t="s">
        <v>11404</v>
      </c>
    </row>
    <row r="17261">
      <c r="A17261" s="39"/>
      <c r="E17261" s="40" t="s">
        <v>11404</v>
      </c>
      <c r="F17261" s="40" t="s">
        <v>11404</v>
      </c>
      <c r="G17261" s="40" t="s">
        <v>11404</v>
      </c>
      <c r="H17261" s="40" t="s">
        <v>11404</v>
      </c>
    </row>
    <row r="17262">
      <c r="A17262" s="39"/>
      <c r="E17262" s="40" t="s">
        <v>11404</v>
      </c>
      <c r="F17262" s="40" t="s">
        <v>11404</v>
      </c>
      <c r="G17262" s="40" t="s">
        <v>11404</v>
      </c>
      <c r="H17262" s="40" t="s">
        <v>11404</v>
      </c>
    </row>
    <row r="17263">
      <c r="A17263" s="39"/>
      <c r="E17263" s="40" t="s">
        <v>11404</v>
      </c>
      <c r="F17263" s="40" t="s">
        <v>11404</v>
      </c>
      <c r="G17263" s="40" t="s">
        <v>11404</v>
      </c>
      <c r="H17263" s="40" t="s">
        <v>11404</v>
      </c>
    </row>
    <row r="17264">
      <c r="A17264" s="39"/>
      <c r="E17264" s="40" t="s">
        <v>11404</v>
      </c>
      <c r="F17264" s="40" t="s">
        <v>11404</v>
      </c>
      <c r="G17264" s="40" t="s">
        <v>11404</v>
      </c>
      <c r="H17264" s="40" t="s">
        <v>11404</v>
      </c>
    </row>
    <row r="17265">
      <c r="A17265" s="39"/>
      <c r="E17265" s="40" t="s">
        <v>11404</v>
      </c>
      <c r="F17265" s="40" t="s">
        <v>11404</v>
      </c>
      <c r="G17265" s="40" t="s">
        <v>11404</v>
      </c>
      <c r="H17265" s="40" t="s">
        <v>11404</v>
      </c>
    </row>
    <row r="17266">
      <c r="A17266" s="39"/>
      <c r="E17266" s="40" t="s">
        <v>11404</v>
      </c>
      <c r="F17266" s="40" t="s">
        <v>11404</v>
      </c>
      <c r="G17266" s="40" t="s">
        <v>11404</v>
      </c>
      <c r="H17266" s="40" t="s">
        <v>11404</v>
      </c>
    </row>
    <row r="17267">
      <c r="A17267" s="39"/>
      <c r="E17267" s="40" t="s">
        <v>11404</v>
      </c>
      <c r="F17267" s="40" t="s">
        <v>11404</v>
      </c>
      <c r="G17267" s="40" t="s">
        <v>11404</v>
      </c>
      <c r="H17267" s="40" t="s">
        <v>11404</v>
      </c>
    </row>
    <row r="17268">
      <c r="A17268" s="39"/>
      <c r="E17268" s="40" t="s">
        <v>11404</v>
      </c>
      <c r="F17268" s="40" t="s">
        <v>11404</v>
      </c>
      <c r="G17268" s="40" t="s">
        <v>11404</v>
      </c>
      <c r="H17268" s="40" t="s">
        <v>11404</v>
      </c>
    </row>
    <row r="17269">
      <c r="A17269" s="39"/>
      <c r="E17269" s="40" t="s">
        <v>11404</v>
      </c>
      <c r="F17269" s="40" t="s">
        <v>11404</v>
      </c>
      <c r="G17269" s="40" t="s">
        <v>11404</v>
      </c>
      <c r="H17269" s="40" t="s">
        <v>11404</v>
      </c>
    </row>
    <row r="17270">
      <c r="A17270" s="39"/>
      <c r="E17270" s="40" t="s">
        <v>11404</v>
      </c>
      <c r="F17270" s="40" t="s">
        <v>11404</v>
      </c>
      <c r="G17270" s="40" t="s">
        <v>11404</v>
      </c>
      <c r="H17270" s="40" t="s">
        <v>11404</v>
      </c>
    </row>
    <row r="17271">
      <c r="A17271" s="39"/>
      <c r="E17271" s="40" t="s">
        <v>11404</v>
      </c>
      <c r="F17271" s="40" t="s">
        <v>11404</v>
      </c>
      <c r="G17271" s="40" t="s">
        <v>11404</v>
      </c>
      <c r="H17271" s="40" t="s">
        <v>11404</v>
      </c>
    </row>
    <row r="17272">
      <c r="A17272" s="39"/>
      <c r="E17272" s="40" t="s">
        <v>11404</v>
      </c>
      <c r="F17272" s="40" t="s">
        <v>11404</v>
      </c>
      <c r="G17272" s="40" t="s">
        <v>11404</v>
      </c>
      <c r="H17272" s="40" t="s">
        <v>11404</v>
      </c>
    </row>
    <row r="17273">
      <c r="A17273" s="39"/>
      <c r="E17273" s="40" t="s">
        <v>11404</v>
      </c>
      <c r="F17273" s="40" t="s">
        <v>11404</v>
      </c>
      <c r="G17273" s="40" t="s">
        <v>11404</v>
      </c>
      <c r="H17273" s="40" t="s">
        <v>11404</v>
      </c>
    </row>
    <row r="17274">
      <c r="A17274" s="39"/>
      <c r="E17274" s="40" t="s">
        <v>11404</v>
      </c>
      <c r="F17274" s="40" t="s">
        <v>11404</v>
      </c>
      <c r="G17274" s="40" t="s">
        <v>11404</v>
      </c>
      <c r="H17274" s="40" t="s">
        <v>11404</v>
      </c>
    </row>
    <row r="17275">
      <c r="A17275" s="39"/>
      <c r="E17275" s="40" t="s">
        <v>11404</v>
      </c>
      <c r="F17275" s="40" t="s">
        <v>11404</v>
      </c>
      <c r="G17275" s="40" t="s">
        <v>11404</v>
      </c>
      <c r="H17275" s="40" t="s">
        <v>11404</v>
      </c>
    </row>
    <row r="17276">
      <c r="A17276" s="39"/>
      <c r="E17276" s="40" t="s">
        <v>11404</v>
      </c>
      <c r="F17276" s="40" t="s">
        <v>11404</v>
      </c>
      <c r="G17276" s="40" t="s">
        <v>11404</v>
      </c>
      <c r="H17276" s="40" t="s">
        <v>11404</v>
      </c>
    </row>
    <row r="17277">
      <c r="A17277" s="39"/>
      <c r="E17277" s="40" t="s">
        <v>11404</v>
      </c>
      <c r="F17277" s="40" t="s">
        <v>11404</v>
      </c>
      <c r="G17277" s="40" t="s">
        <v>11404</v>
      </c>
      <c r="H17277" s="40" t="s">
        <v>11404</v>
      </c>
    </row>
    <row r="17278">
      <c r="A17278" s="39"/>
      <c r="E17278" s="40" t="s">
        <v>11404</v>
      </c>
      <c r="F17278" s="40" t="s">
        <v>11404</v>
      </c>
      <c r="G17278" s="40" t="s">
        <v>11404</v>
      </c>
      <c r="H17278" s="40" t="s">
        <v>11404</v>
      </c>
    </row>
    <row r="17279">
      <c r="A17279" s="39"/>
      <c r="E17279" s="40" t="s">
        <v>11404</v>
      </c>
      <c r="F17279" s="40" t="s">
        <v>11404</v>
      </c>
      <c r="G17279" s="40" t="s">
        <v>11404</v>
      </c>
      <c r="H17279" s="40" t="s">
        <v>11404</v>
      </c>
    </row>
    <row r="17280">
      <c r="A17280" s="39"/>
      <c r="E17280" s="40" t="s">
        <v>11404</v>
      </c>
      <c r="F17280" s="40" t="s">
        <v>11404</v>
      </c>
      <c r="G17280" s="40" t="s">
        <v>11404</v>
      </c>
      <c r="H17280" s="40" t="s">
        <v>11404</v>
      </c>
    </row>
    <row r="17281">
      <c r="A17281" s="39"/>
      <c r="E17281" s="40" t="s">
        <v>11404</v>
      </c>
      <c r="F17281" s="40" t="s">
        <v>11404</v>
      </c>
      <c r="G17281" s="40" t="s">
        <v>11404</v>
      </c>
      <c r="H17281" s="40" t="s">
        <v>11404</v>
      </c>
    </row>
    <row r="17282">
      <c r="A17282" s="39"/>
      <c r="E17282" s="40" t="s">
        <v>11404</v>
      </c>
      <c r="F17282" s="40" t="s">
        <v>11404</v>
      </c>
      <c r="G17282" s="40" t="s">
        <v>11404</v>
      </c>
      <c r="H17282" s="40" t="s">
        <v>11404</v>
      </c>
    </row>
    <row r="17283">
      <c r="A17283" s="39"/>
      <c r="E17283" s="40" t="s">
        <v>11404</v>
      </c>
      <c r="F17283" s="40" t="s">
        <v>11404</v>
      </c>
      <c r="G17283" s="40" t="s">
        <v>11404</v>
      </c>
      <c r="H17283" s="40" t="s">
        <v>11404</v>
      </c>
    </row>
    <row r="17284">
      <c r="A17284" s="39"/>
      <c r="E17284" s="40" t="s">
        <v>11404</v>
      </c>
      <c r="F17284" s="40" t="s">
        <v>11404</v>
      </c>
      <c r="G17284" s="40" t="s">
        <v>11404</v>
      </c>
      <c r="H17284" s="40" t="s">
        <v>11404</v>
      </c>
    </row>
    <row r="17285">
      <c r="A17285" s="39"/>
      <c r="E17285" s="40" t="s">
        <v>11404</v>
      </c>
      <c r="F17285" s="40" t="s">
        <v>11404</v>
      </c>
      <c r="G17285" s="40" t="s">
        <v>11404</v>
      </c>
      <c r="H17285" s="40" t="s">
        <v>11404</v>
      </c>
    </row>
    <row r="17286">
      <c r="A17286" s="39"/>
      <c r="E17286" s="40" t="s">
        <v>11404</v>
      </c>
      <c r="F17286" s="40" t="s">
        <v>11404</v>
      </c>
      <c r="G17286" s="40" t="s">
        <v>11404</v>
      </c>
      <c r="H17286" s="40" t="s">
        <v>11404</v>
      </c>
    </row>
    <row r="17287">
      <c r="A17287" s="39"/>
      <c r="E17287" s="40" t="s">
        <v>11404</v>
      </c>
      <c r="F17287" s="40" t="s">
        <v>11404</v>
      </c>
      <c r="G17287" s="40" t="s">
        <v>11404</v>
      </c>
      <c r="H17287" s="40" t="s">
        <v>11404</v>
      </c>
    </row>
    <row r="17288">
      <c r="A17288" s="39"/>
      <c r="E17288" s="40" t="s">
        <v>11404</v>
      </c>
      <c r="F17288" s="40" t="s">
        <v>11404</v>
      </c>
      <c r="G17288" s="40" t="s">
        <v>11404</v>
      </c>
      <c r="H17288" s="40" t="s">
        <v>11404</v>
      </c>
    </row>
    <row r="17289">
      <c r="A17289" s="39"/>
      <c r="E17289" s="40" t="s">
        <v>11404</v>
      </c>
      <c r="F17289" s="40" t="s">
        <v>11404</v>
      </c>
      <c r="G17289" s="40" t="s">
        <v>11404</v>
      </c>
      <c r="H17289" s="40" t="s">
        <v>11404</v>
      </c>
    </row>
    <row r="17290">
      <c r="A17290" s="39"/>
      <c r="E17290" s="40" t="s">
        <v>11404</v>
      </c>
      <c r="F17290" s="40" t="s">
        <v>11404</v>
      </c>
      <c r="G17290" s="40" t="s">
        <v>11404</v>
      </c>
      <c r="H17290" s="40" t="s">
        <v>11404</v>
      </c>
    </row>
    <row r="17291">
      <c r="A17291" s="39"/>
      <c r="E17291" s="40" t="s">
        <v>11404</v>
      </c>
      <c r="F17291" s="40" t="s">
        <v>11404</v>
      </c>
      <c r="G17291" s="40" t="s">
        <v>11404</v>
      </c>
      <c r="H17291" s="40" t="s">
        <v>11404</v>
      </c>
    </row>
    <row r="17292">
      <c r="A17292" s="39"/>
      <c r="E17292" s="40" t="s">
        <v>11404</v>
      </c>
      <c r="F17292" s="40" t="s">
        <v>11404</v>
      </c>
      <c r="G17292" s="40" t="s">
        <v>11404</v>
      </c>
      <c r="H17292" s="40" t="s">
        <v>11404</v>
      </c>
    </row>
    <row r="17293">
      <c r="A17293" s="39"/>
      <c r="E17293" s="40" t="s">
        <v>11404</v>
      </c>
      <c r="F17293" s="40" t="s">
        <v>11404</v>
      </c>
      <c r="G17293" s="40" t="s">
        <v>11404</v>
      </c>
      <c r="H17293" s="40" t="s">
        <v>11404</v>
      </c>
    </row>
    <row r="17294">
      <c r="A17294" s="39"/>
      <c r="E17294" s="40" t="s">
        <v>11404</v>
      </c>
      <c r="F17294" s="40" t="s">
        <v>11404</v>
      </c>
      <c r="G17294" s="40" t="s">
        <v>11404</v>
      </c>
      <c r="H17294" s="40" t="s">
        <v>11404</v>
      </c>
    </row>
    <row r="17295">
      <c r="A17295" s="39"/>
      <c r="E17295" s="40" t="s">
        <v>11404</v>
      </c>
      <c r="F17295" s="40" t="s">
        <v>11404</v>
      </c>
      <c r="G17295" s="40" t="s">
        <v>11404</v>
      </c>
      <c r="H17295" s="40" t="s">
        <v>11404</v>
      </c>
    </row>
    <row r="17296">
      <c r="A17296" s="39"/>
      <c r="E17296" s="40" t="s">
        <v>11404</v>
      </c>
      <c r="F17296" s="40" t="s">
        <v>11404</v>
      </c>
      <c r="G17296" s="40" t="s">
        <v>11404</v>
      </c>
      <c r="H17296" s="40" t="s">
        <v>11404</v>
      </c>
    </row>
    <row r="17297">
      <c r="A17297" s="39"/>
      <c r="E17297" s="40" t="s">
        <v>11404</v>
      </c>
      <c r="F17297" s="40" t="s">
        <v>11404</v>
      </c>
      <c r="G17297" s="40" t="s">
        <v>11404</v>
      </c>
      <c r="H17297" s="40" t="s">
        <v>11404</v>
      </c>
    </row>
    <row r="17298">
      <c r="A17298" s="39"/>
      <c r="E17298" s="40" t="s">
        <v>11404</v>
      </c>
      <c r="F17298" s="40" t="s">
        <v>11404</v>
      </c>
      <c r="G17298" s="40" t="s">
        <v>11404</v>
      </c>
      <c r="H17298" s="40" t="s">
        <v>11404</v>
      </c>
    </row>
    <row r="17299">
      <c r="A17299" s="39"/>
      <c r="E17299" s="40" t="s">
        <v>11404</v>
      </c>
      <c r="F17299" s="40" t="s">
        <v>11404</v>
      </c>
      <c r="G17299" s="40" t="s">
        <v>11404</v>
      </c>
      <c r="H17299" s="40" t="s">
        <v>11404</v>
      </c>
    </row>
    <row r="17300">
      <c r="A17300" s="39"/>
      <c r="E17300" s="40" t="s">
        <v>11404</v>
      </c>
      <c r="F17300" s="40" t="s">
        <v>11404</v>
      </c>
      <c r="G17300" s="40" t="s">
        <v>11404</v>
      </c>
      <c r="H17300" s="40" t="s">
        <v>11404</v>
      </c>
    </row>
    <row r="17301">
      <c r="A17301" s="39"/>
      <c r="E17301" s="40" t="s">
        <v>11404</v>
      </c>
      <c r="F17301" s="40" t="s">
        <v>11404</v>
      </c>
      <c r="G17301" s="40" t="s">
        <v>11404</v>
      </c>
      <c r="H17301" s="40" t="s">
        <v>11404</v>
      </c>
    </row>
    <row r="17302">
      <c r="A17302" s="39"/>
      <c r="E17302" s="40" t="s">
        <v>11404</v>
      </c>
      <c r="F17302" s="40" t="s">
        <v>11404</v>
      </c>
      <c r="G17302" s="40" t="s">
        <v>11404</v>
      </c>
      <c r="H17302" s="40" t="s">
        <v>11404</v>
      </c>
    </row>
    <row r="17303">
      <c r="A17303" s="39"/>
      <c r="E17303" s="40" t="s">
        <v>11404</v>
      </c>
      <c r="F17303" s="40" t="s">
        <v>11404</v>
      </c>
      <c r="G17303" s="40" t="s">
        <v>11404</v>
      </c>
      <c r="H17303" s="40" t="s">
        <v>11404</v>
      </c>
    </row>
    <row r="17304">
      <c r="A17304" s="39"/>
      <c r="E17304" s="40" t="s">
        <v>11404</v>
      </c>
      <c r="F17304" s="40" t="s">
        <v>11404</v>
      </c>
      <c r="G17304" s="40" t="s">
        <v>11404</v>
      </c>
      <c r="H17304" s="40" t="s">
        <v>11404</v>
      </c>
    </row>
    <row r="17305">
      <c r="A17305" s="39"/>
      <c r="E17305" s="40" t="s">
        <v>11404</v>
      </c>
      <c r="F17305" s="40" t="s">
        <v>11404</v>
      </c>
      <c r="G17305" s="40" t="s">
        <v>11404</v>
      </c>
      <c r="H17305" s="40" t="s">
        <v>11404</v>
      </c>
    </row>
    <row r="17306">
      <c r="A17306" s="39"/>
      <c r="E17306" s="40" t="s">
        <v>11404</v>
      </c>
      <c r="F17306" s="40" t="s">
        <v>11404</v>
      </c>
      <c r="G17306" s="40" t="s">
        <v>11404</v>
      </c>
      <c r="H17306" s="40" t="s">
        <v>11404</v>
      </c>
    </row>
    <row r="17307">
      <c r="A17307" s="39"/>
      <c r="E17307" s="40" t="s">
        <v>11404</v>
      </c>
      <c r="F17307" s="40" t="s">
        <v>11404</v>
      </c>
      <c r="G17307" s="40" t="s">
        <v>11404</v>
      </c>
      <c r="H17307" s="40" t="s">
        <v>11404</v>
      </c>
    </row>
    <row r="17308">
      <c r="A17308" s="39"/>
      <c r="E17308" s="40" t="s">
        <v>11404</v>
      </c>
      <c r="F17308" s="40" t="s">
        <v>11404</v>
      </c>
      <c r="G17308" s="40" t="s">
        <v>11404</v>
      </c>
      <c r="H17308" s="40" t="s">
        <v>11404</v>
      </c>
    </row>
    <row r="17309">
      <c r="A17309" s="39"/>
      <c r="E17309" s="40" t="s">
        <v>11404</v>
      </c>
      <c r="F17309" s="40" t="s">
        <v>11404</v>
      </c>
      <c r="G17309" s="40" t="s">
        <v>11404</v>
      </c>
      <c r="H17309" s="40" t="s">
        <v>11404</v>
      </c>
    </row>
    <row r="17310">
      <c r="A17310" s="39"/>
      <c r="E17310" s="40" t="s">
        <v>11404</v>
      </c>
      <c r="F17310" s="40" t="s">
        <v>11404</v>
      </c>
      <c r="G17310" s="40" t="s">
        <v>11404</v>
      </c>
      <c r="H17310" s="40" t="s">
        <v>11404</v>
      </c>
    </row>
    <row r="17311">
      <c r="A17311" s="39"/>
      <c r="E17311" s="40" t="s">
        <v>11404</v>
      </c>
      <c r="F17311" s="40" t="s">
        <v>11404</v>
      </c>
      <c r="G17311" s="40" t="s">
        <v>11404</v>
      </c>
      <c r="H17311" s="40" t="s">
        <v>11404</v>
      </c>
    </row>
    <row r="17312">
      <c r="A17312" s="39"/>
      <c r="E17312" s="40" t="s">
        <v>11404</v>
      </c>
      <c r="F17312" s="40" t="s">
        <v>11404</v>
      </c>
      <c r="G17312" s="40" t="s">
        <v>11404</v>
      </c>
      <c r="H17312" s="40" t="s">
        <v>11404</v>
      </c>
    </row>
    <row r="17313">
      <c r="A17313" s="39"/>
      <c r="E17313" s="40" t="s">
        <v>11404</v>
      </c>
      <c r="F17313" s="40" t="s">
        <v>11404</v>
      </c>
      <c r="G17313" s="40" t="s">
        <v>11404</v>
      </c>
      <c r="H17313" s="40" t="s">
        <v>11404</v>
      </c>
    </row>
    <row r="17314">
      <c r="A17314" s="39"/>
      <c r="E17314" s="40" t="s">
        <v>11404</v>
      </c>
      <c r="F17314" s="40" t="s">
        <v>11404</v>
      </c>
      <c r="G17314" s="40" t="s">
        <v>11404</v>
      </c>
      <c r="H17314" s="40" t="s">
        <v>11404</v>
      </c>
    </row>
    <row r="17315">
      <c r="A17315" s="39"/>
      <c r="E17315" s="40" t="s">
        <v>11404</v>
      </c>
      <c r="F17315" s="40" t="s">
        <v>11404</v>
      </c>
      <c r="G17315" s="40" t="s">
        <v>11404</v>
      </c>
      <c r="H17315" s="40" t="s">
        <v>11404</v>
      </c>
    </row>
    <row r="17316">
      <c r="A17316" s="39"/>
      <c r="E17316" s="40" t="s">
        <v>11404</v>
      </c>
      <c r="F17316" s="40" t="s">
        <v>11404</v>
      </c>
      <c r="G17316" s="40" t="s">
        <v>11404</v>
      </c>
      <c r="H17316" s="40" t="s">
        <v>11404</v>
      </c>
    </row>
    <row r="17317">
      <c r="A17317" s="39"/>
      <c r="E17317" s="40" t="s">
        <v>11404</v>
      </c>
      <c r="F17317" s="40" t="s">
        <v>11404</v>
      </c>
      <c r="G17317" s="40" t="s">
        <v>11404</v>
      </c>
      <c r="H17317" s="40" t="s">
        <v>11404</v>
      </c>
    </row>
    <row r="17318">
      <c r="A17318" s="39"/>
      <c r="E17318" s="40" t="s">
        <v>11404</v>
      </c>
      <c r="F17318" s="40" t="s">
        <v>11404</v>
      </c>
      <c r="G17318" s="40" t="s">
        <v>11404</v>
      </c>
      <c r="H17318" s="40" t="s">
        <v>11404</v>
      </c>
    </row>
    <row r="17319">
      <c r="A17319" s="39"/>
      <c r="E17319" s="40" t="s">
        <v>11404</v>
      </c>
      <c r="F17319" s="40" t="s">
        <v>11404</v>
      </c>
      <c r="G17319" s="40" t="s">
        <v>11404</v>
      </c>
      <c r="H17319" s="40" t="s">
        <v>11404</v>
      </c>
    </row>
    <row r="17320">
      <c r="A17320" s="39"/>
      <c r="E17320" s="40" t="s">
        <v>11404</v>
      </c>
      <c r="F17320" s="40" t="s">
        <v>11404</v>
      </c>
      <c r="G17320" s="40" t="s">
        <v>11404</v>
      </c>
      <c r="H17320" s="40" t="s">
        <v>11404</v>
      </c>
    </row>
    <row r="17321">
      <c r="A17321" s="39"/>
      <c r="E17321" s="40" t="s">
        <v>11404</v>
      </c>
      <c r="F17321" s="40" t="s">
        <v>11404</v>
      </c>
      <c r="G17321" s="40" t="s">
        <v>11404</v>
      </c>
      <c r="H17321" s="40" t="s">
        <v>11404</v>
      </c>
    </row>
    <row r="17322">
      <c r="A17322" s="39"/>
      <c r="E17322" s="40" t="s">
        <v>11404</v>
      </c>
      <c r="F17322" s="40" t="s">
        <v>11404</v>
      </c>
      <c r="G17322" s="40" t="s">
        <v>11404</v>
      </c>
      <c r="H17322" s="40" t="s">
        <v>11404</v>
      </c>
    </row>
    <row r="17323">
      <c r="A17323" s="39"/>
      <c r="E17323" s="40" t="s">
        <v>11404</v>
      </c>
      <c r="F17323" s="40" t="s">
        <v>11404</v>
      </c>
      <c r="G17323" s="40" t="s">
        <v>11404</v>
      </c>
      <c r="H17323" s="40" t="s">
        <v>11404</v>
      </c>
    </row>
    <row r="17324">
      <c r="A17324" s="39"/>
      <c r="E17324" s="40" t="s">
        <v>11404</v>
      </c>
      <c r="F17324" s="40" t="s">
        <v>11404</v>
      </c>
      <c r="G17324" s="40" t="s">
        <v>11404</v>
      </c>
      <c r="H17324" s="40" t="s">
        <v>11404</v>
      </c>
    </row>
    <row r="17325">
      <c r="A17325" s="39"/>
      <c r="E17325" s="40" t="s">
        <v>11404</v>
      </c>
      <c r="F17325" s="40" t="s">
        <v>11404</v>
      </c>
      <c r="G17325" s="40" t="s">
        <v>11404</v>
      </c>
      <c r="H17325" s="40" t="s">
        <v>11404</v>
      </c>
    </row>
    <row r="17326">
      <c r="A17326" s="39"/>
      <c r="E17326" s="40" t="s">
        <v>11404</v>
      </c>
      <c r="F17326" s="40" t="s">
        <v>11404</v>
      </c>
      <c r="G17326" s="40" t="s">
        <v>11404</v>
      </c>
      <c r="H17326" s="40" t="s">
        <v>11404</v>
      </c>
    </row>
    <row r="17327">
      <c r="A17327" s="39"/>
      <c r="E17327" s="40" t="s">
        <v>11404</v>
      </c>
      <c r="F17327" s="40" t="s">
        <v>11404</v>
      </c>
      <c r="G17327" s="40" t="s">
        <v>11404</v>
      </c>
      <c r="H17327" s="40" t="s">
        <v>11404</v>
      </c>
    </row>
    <row r="17328">
      <c r="A17328" s="39"/>
      <c r="E17328" s="40" t="s">
        <v>11404</v>
      </c>
      <c r="F17328" s="40" t="s">
        <v>11404</v>
      </c>
      <c r="G17328" s="40" t="s">
        <v>11404</v>
      </c>
      <c r="H17328" s="40" t="s">
        <v>11404</v>
      </c>
    </row>
    <row r="17329">
      <c r="A17329" s="39"/>
      <c r="E17329" s="40" t="s">
        <v>11404</v>
      </c>
      <c r="F17329" s="40" t="s">
        <v>11404</v>
      </c>
      <c r="G17329" s="40" t="s">
        <v>11404</v>
      </c>
      <c r="H17329" s="40" t="s">
        <v>11404</v>
      </c>
    </row>
    <row r="17330">
      <c r="A17330" s="39"/>
      <c r="E17330" s="40" t="s">
        <v>11404</v>
      </c>
      <c r="F17330" s="40" t="s">
        <v>11404</v>
      </c>
      <c r="G17330" s="40" t="s">
        <v>11404</v>
      </c>
      <c r="H17330" s="40" t="s">
        <v>11404</v>
      </c>
    </row>
    <row r="17331">
      <c r="A17331" s="39"/>
      <c r="E17331" s="40" t="s">
        <v>11404</v>
      </c>
      <c r="F17331" s="40" t="s">
        <v>11404</v>
      </c>
      <c r="G17331" s="40" t="s">
        <v>11404</v>
      </c>
      <c r="H17331" s="40" t="s">
        <v>11404</v>
      </c>
    </row>
    <row r="17332">
      <c r="A17332" s="39"/>
      <c r="E17332" s="40" t="s">
        <v>11404</v>
      </c>
      <c r="F17332" s="40" t="s">
        <v>11404</v>
      </c>
      <c r="G17332" s="40" t="s">
        <v>11404</v>
      </c>
      <c r="H17332" s="40" t="s">
        <v>11404</v>
      </c>
    </row>
    <row r="17333">
      <c r="A17333" s="39"/>
      <c r="E17333" s="40" t="s">
        <v>11404</v>
      </c>
      <c r="F17333" s="40" t="s">
        <v>11404</v>
      </c>
      <c r="G17333" s="40" t="s">
        <v>11404</v>
      </c>
      <c r="H17333" s="40" t="s">
        <v>11404</v>
      </c>
    </row>
    <row r="17334">
      <c r="A17334" s="39"/>
      <c r="E17334" s="40" t="s">
        <v>11404</v>
      </c>
      <c r="F17334" s="40" t="s">
        <v>11404</v>
      </c>
      <c r="G17334" s="40" t="s">
        <v>11404</v>
      </c>
      <c r="H17334" s="40" t="s">
        <v>11404</v>
      </c>
    </row>
    <row r="17335">
      <c r="A17335" s="39"/>
      <c r="E17335" s="40" t="s">
        <v>11404</v>
      </c>
      <c r="F17335" s="40" t="s">
        <v>11404</v>
      </c>
      <c r="G17335" s="40" t="s">
        <v>11404</v>
      </c>
      <c r="H17335" s="40" t="s">
        <v>11404</v>
      </c>
    </row>
    <row r="17336">
      <c r="A17336" s="39"/>
      <c r="E17336" s="40" t="s">
        <v>11404</v>
      </c>
      <c r="F17336" s="40" t="s">
        <v>11404</v>
      </c>
      <c r="G17336" s="40" t="s">
        <v>11404</v>
      </c>
      <c r="H17336" s="40" t="s">
        <v>11404</v>
      </c>
    </row>
    <row r="17337">
      <c r="A17337" s="39"/>
      <c r="E17337" s="40" t="s">
        <v>11404</v>
      </c>
      <c r="F17337" s="40" t="s">
        <v>11404</v>
      </c>
      <c r="G17337" s="40" t="s">
        <v>11404</v>
      </c>
      <c r="H17337" s="40" t="s">
        <v>11404</v>
      </c>
    </row>
    <row r="17338">
      <c r="A17338" s="39"/>
      <c r="E17338" s="40" t="s">
        <v>11404</v>
      </c>
      <c r="F17338" s="40" t="s">
        <v>11404</v>
      </c>
      <c r="G17338" s="40" t="s">
        <v>11404</v>
      </c>
      <c r="H17338" s="40" t="s">
        <v>11404</v>
      </c>
    </row>
    <row r="17339">
      <c r="A17339" s="39"/>
      <c r="E17339" s="40" t="s">
        <v>11404</v>
      </c>
      <c r="F17339" s="40" t="s">
        <v>11404</v>
      </c>
      <c r="G17339" s="40" t="s">
        <v>11404</v>
      </c>
      <c r="H17339" s="40" t="s">
        <v>11404</v>
      </c>
    </row>
    <row r="17340">
      <c r="A17340" s="39"/>
      <c r="E17340" s="40" t="s">
        <v>11404</v>
      </c>
      <c r="F17340" s="40" t="s">
        <v>11404</v>
      </c>
      <c r="G17340" s="40" t="s">
        <v>11404</v>
      </c>
      <c r="H17340" s="40" t="s">
        <v>11404</v>
      </c>
    </row>
    <row r="17341">
      <c r="A17341" s="39"/>
      <c r="E17341" s="40" t="s">
        <v>11404</v>
      </c>
      <c r="F17341" s="40" t="s">
        <v>11404</v>
      </c>
      <c r="G17341" s="40" t="s">
        <v>11404</v>
      </c>
      <c r="H17341" s="40" t="s">
        <v>11404</v>
      </c>
    </row>
    <row r="17342">
      <c r="A17342" s="39"/>
      <c r="E17342" s="40" t="s">
        <v>11404</v>
      </c>
      <c r="F17342" s="40" t="s">
        <v>11404</v>
      </c>
      <c r="G17342" s="40" t="s">
        <v>11404</v>
      </c>
      <c r="H17342" s="40" t="s">
        <v>11404</v>
      </c>
    </row>
    <row r="17343">
      <c r="A17343" s="39"/>
      <c r="E17343" s="40" t="s">
        <v>11404</v>
      </c>
      <c r="F17343" s="40" t="s">
        <v>11404</v>
      </c>
      <c r="G17343" s="40" t="s">
        <v>11404</v>
      </c>
      <c r="H17343" s="40" t="s">
        <v>11404</v>
      </c>
    </row>
    <row r="17344">
      <c r="A17344" s="39"/>
      <c r="E17344" s="40" t="s">
        <v>11404</v>
      </c>
      <c r="F17344" s="40" t="s">
        <v>11404</v>
      </c>
      <c r="G17344" s="40" t="s">
        <v>11404</v>
      </c>
      <c r="H17344" s="40" t="s">
        <v>11404</v>
      </c>
    </row>
    <row r="17345">
      <c r="A17345" s="39"/>
      <c r="E17345" s="40" t="s">
        <v>11404</v>
      </c>
      <c r="F17345" s="40" t="s">
        <v>11404</v>
      </c>
      <c r="G17345" s="40" t="s">
        <v>11404</v>
      </c>
      <c r="H17345" s="40" t="s">
        <v>11404</v>
      </c>
    </row>
    <row r="17346">
      <c r="A17346" s="39"/>
      <c r="E17346" s="40" t="s">
        <v>11404</v>
      </c>
      <c r="F17346" s="40" t="s">
        <v>11404</v>
      </c>
      <c r="G17346" s="40" t="s">
        <v>11404</v>
      </c>
      <c r="H17346" s="40" t="s">
        <v>11404</v>
      </c>
    </row>
    <row r="17347">
      <c r="A17347" s="39"/>
      <c r="E17347" s="40" t="s">
        <v>11404</v>
      </c>
      <c r="F17347" s="40" t="s">
        <v>11404</v>
      </c>
      <c r="G17347" s="40" t="s">
        <v>11404</v>
      </c>
      <c r="H17347" s="40" t="s">
        <v>11404</v>
      </c>
    </row>
    <row r="17348">
      <c r="A17348" s="39"/>
      <c r="E17348" s="40" t="s">
        <v>11404</v>
      </c>
      <c r="F17348" s="40" t="s">
        <v>11404</v>
      </c>
      <c r="G17348" s="40" t="s">
        <v>11404</v>
      </c>
      <c r="H17348" s="40" t="s">
        <v>11404</v>
      </c>
    </row>
    <row r="17349">
      <c r="A17349" s="39"/>
      <c r="E17349" s="40" t="s">
        <v>11404</v>
      </c>
      <c r="F17349" s="40" t="s">
        <v>11404</v>
      </c>
      <c r="G17349" s="40" t="s">
        <v>11404</v>
      </c>
      <c r="H17349" s="40" t="s">
        <v>11404</v>
      </c>
    </row>
    <row r="17350">
      <c r="A17350" s="39"/>
      <c r="E17350" s="40" t="s">
        <v>11404</v>
      </c>
      <c r="F17350" s="40" t="s">
        <v>11404</v>
      </c>
      <c r="G17350" s="40" t="s">
        <v>11404</v>
      </c>
      <c r="H17350" s="40" t="s">
        <v>11404</v>
      </c>
    </row>
    <row r="17351">
      <c r="A17351" s="39"/>
      <c r="E17351" s="40" t="s">
        <v>11404</v>
      </c>
      <c r="F17351" s="40" t="s">
        <v>11404</v>
      </c>
      <c r="G17351" s="40" t="s">
        <v>11404</v>
      </c>
      <c r="H17351" s="40" t="s">
        <v>11404</v>
      </c>
    </row>
    <row r="17352">
      <c r="A17352" s="39"/>
      <c r="E17352" s="40" t="s">
        <v>11404</v>
      </c>
      <c r="F17352" s="40" t="s">
        <v>11404</v>
      </c>
      <c r="G17352" s="40" t="s">
        <v>11404</v>
      </c>
      <c r="H17352" s="40" t="s">
        <v>11404</v>
      </c>
    </row>
    <row r="17353">
      <c r="A17353" s="39"/>
      <c r="E17353" s="40" t="s">
        <v>11404</v>
      </c>
      <c r="F17353" s="40" t="s">
        <v>11404</v>
      </c>
      <c r="G17353" s="40" t="s">
        <v>11404</v>
      </c>
      <c r="H17353" s="40" t="s">
        <v>11404</v>
      </c>
    </row>
    <row r="17354">
      <c r="A17354" s="39"/>
      <c r="E17354" s="40" t="s">
        <v>11404</v>
      </c>
      <c r="F17354" s="40" t="s">
        <v>11404</v>
      </c>
      <c r="G17354" s="40" t="s">
        <v>11404</v>
      </c>
      <c r="H17354" s="40" t="s">
        <v>11404</v>
      </c>
    </row>
    <row r="17355">
      <c r="A17355" s="39"/>
      <c r="E17355" s="40" t="s">
        <v>11404</v>
      </c>
      <c r="F17355" s="40" t="s">
        <v>11404</v>
      </c>
      <c r="G17355" s="40" t="s">
        <v>11404</v>
      </c>
      <c r="H17355" s="40" t="s">
        <v>11404</v>
      </c>
    </row>
    <row r="17356">
      <c r="A17356" s="39"/>
      <c r="E17356" s="40" t="s">
        <v>11404</v>
      </c>
      <c r="F17356" s="40" t="s">
        <v>11404</v>
      </c>
      <c r="G17356" s="40" t="s">
        <v>11404</v>
      </c>
      <c r="H17356" s="40" t="s">
        <v>11404</v>
      </c>
    </row>
    <row r="17357">
      <c r="A17357" s="39"/>
      <c r="E17357" s="40" t="s">
        <v>11404</v>
      </c>
      <c r="F17357" s="40" t="s">
        <v>11404</v>
      </c>
      <c r="G17357" s="40" t="s">
        <v>11404</v>
      </c>
      <c r="H17357" s="40" t="s">
        <v>11404</v>
      </c>
    </row>
    <row r="17358">
      <c r="A17358" s="39"/>
      <c r="E17358" s="40" t="s">
        <v>11404</v>
      </c>
      <c r="F17358" s="40" t="s">
        <v>11404</v>
      </c>
      <c r="G17358" s="40" t="s">
        <v>11404</v>
      </c>
      <c r="H17358" s="40" t="s">
        <v>11404</v>
      </c>
    </row>
    <row r="17359">
      <c r="A17359" s="39"/>
      <c r="E17359" s="40" t="s">
        <v>11404</v>
      </c>
      <c r="F17359" s="40" t="s">
        <v>11404</v>
      </c>
      <c r="G17359" s="40" t="s">
        <v>11404</v>
      </c>
      <c r="H17359" s="40" t="s">
        <v>11404</v>
      </c>
    </row>
    <row r="17360">
      <c r="A17360" s="39"/>
      <c r="E17360" s="40" t="s">
        <v>11404</v>
      </c>
      <c r="F17360" s="40" t="s">
        <v>11404</v>
      </c>
      <c r="G17360" s="40" t="s">
        <v>11404</v>
      </c>
      <c r="H17360" s="40" t="s">
        <v>11404</v>
      </c>
    </row>
    <row r="17361">
      <c r="A17361" s="39"/>
      <c r="E17361" s="40" t="s">
        <v>11404</v>
      </c>
      <c r="F17361" s="40" t="s">
        <v>11404</v>
      </c>
      <c r="G17361" s="40" t="s">
        <v>11404</v>
      </c>
      <c r="H17361" s="40" t="s">
        <v>11404</v>
      </c>
    </row>
    <row r="17362">
      <c r="A17362" s="39"/>
      <c r="E17362" s="40" t="s">
        <v>11404</v>
      </c>
      <c r="F17362" s="40" t="s">
        <v>11404</v>
      </c>
      <c r="G17362" s="40" t="s">
        <v>11404</v>
      </c>
      <c r="H17362" s="40" t="s">
        <v>11404</v>
      </c>
    </row>
    <row r="17363">
      <c r="A17363" s="39"/>
      <c r="E17363" s="40" t="s">
        <v>11404</v>
      </c>
      <c r="F17363" s="40" t="s">
        <v>11404</v>
      </c>
      <c r="G17363" s="40" t="s">
        <v>11404</v>
      </c>
      <c r="H17363" s="40" t="s">
        <v>11404</v>
      </c>
    </row>
    <row r="17364">
      <c r="A17364" s="39"/>
      <c r="E17364" s="40" t="s">
        <v>11404</v>
      </c>
      <c r="F17364" s="40" t="s">
        <v>11404</v>
      </c>
      <c r="G17364" s="40" t="s">
        <v>11404</v>
      </c>
      <c r="H17364" s="40" t="s">
        <v>11404</v>
      </c>
    </row>
    <row r="17365">
      <c r="A17365" s="39"/>
      <c r="E17365" s="40" t="s">
        <v>11404</v>
      </c>
      <c r="F17365" s="40" t="s">
        <v>11404</v>
      </c>
      <c r="G17365" s="40" t="s">
        <v>11404</v>
      </c>
      <c r="H17365" s="40" t="s">
        <v>11404</v>
      </c>
    </row>
    <row r="17366">
      <c r="A17366" s="39"/>
      <c r="E17366" s="40" t="s">
        <v>11404</v>
      </c>
      <c r="F17366" s="40" t="s">
        <v>11404</v>
      </c>
      <c r="G17366" s="40" t="s">
        <v>11404</v>
      </c>
      <c r="H17366" s="40" t="s">
        <v>11404</v>
      </c>
    </row>
    <row r="17367">
      <c r="A17367" s="39"/>
      <c r="E17367" s="40" t="s">
        <v>11404</v>
      </c>
      <c r="F17367" s="40" t="s">
        <v>11404</v>
      </c>
      <c r="G17367" s="40" t="s">
        <v>11404</v>
      </c>
      <c r="H17367" s="40" t="s">
        <v>11404</v>
      </c>
    </row>
    <row r="17368">
      <c r="A17368" s="39"/>
      <c r="E17368" s="40" t="s">
        <v>11404</v>
      </c>
      <c r="F17368" s="40" t="s">
        <v>11404</v>
      </c>
      <c r="G17368" s="40" t="s">
        <v>11404</v>
      </c>
      <c r="H17368" s="40" t="s">
        <v>11404</v>
      </c>
    </row>
    <row r="17369">
      <c r="A17369" s="39"/>
      <c r="E17369" s="40" t="s">
        <v>11404</v>
      </c>
      <c r="F17369" s="40" t="s">
        <v>11404</v>
      </c>
      <c r="G17369" s="40" t="s">
        <v>11404</v>
      </c>
      <c r="H17369" s="40" t="s">
        <v>11404</v>
      </c>
    </row>
    <row r="17370">
      <c r="A17370" s="39"/>
      <c r="E17370" s="40" t="s">
        <v>11404</v>
      </c>
      <c r="F17370" s="40" t="s">
        <v>11404</v>
      </c>
      <c r="G17370" s="40" t="s">
        <v>11404</v>
      </c>
      <c r="H17370" s="40" t="s">
        <v>11404</v>
      </c>
    </row>
    <row r="17371">
      <c r="A17371" s="39"/>
      <c r="E17371" s="40" t="s">
        <v>11404</v>
      </c>
      <c r="F17371" s="40" t="s">
        <v>11404</v>
      </c>
      <c r="G17371" s="40" t="s">
        <v>11404</v>
      </c>
      <c r="H17371" s="40" t="s">
        <v>11404</v>
      </c>
    </row>
    <row r="17372">
      <c r="A17372" s="39"/>
      <c r="E17372" s="40" t="s">
        <v>11404</v>
      </c>
      <c r="F17372" s="40" t="s">
        <v>11404</v>
      </c>
      <c r="G17372" s="40" t="s">
        <v>11404</v>
      </c>
      <c r="H17372" s="40" t="s">
        <v>11404</v>
      </c>
    </row>
    <row r="17373">
      <c r="A17373" s="39"/>
      <c r="E17373" s="40" t="s">
        <v>11404</v>
      </c>
      <c r="F17373" s="40" t="s">
        <v>11404</v>
      </c>
      <c r="G17373" s="40" t="s">
        <v>11404</v>
      </c>
      <c r="H17373" s="40" t="s">
        <v>11404</v>
      </c>
    </row>
    <row r="17374">
      <c r="A17374" s="39"/>
      <c r="E17374" s="40" t="s">
        <v>11404</v>
      </c>
      <c r="F17374" s="40" t="s">
        <v>11404</v>
      </c>
      <c r="G17374" s="40" t="s">
        <v>11404</v>
      </c>
      <c r="H17374" s="40" t="s">
        <v>11404</v>
      </c>
    </row>
    <row r="17375">
      <c r="A17375" s="39"/>
      <c r="E17375" s="40" t="s">
        <v>11404</v>
      </c>
      <c r="F17375" s="40" t="s">
        <v>11404</v>
      </c>
      <c r="G17375" s="40" t="s">
        <v>11404</v>
      </c>
      <c r="H17375" s="40" t="s">
        <v>11404</v>
      </c>
    </row>
    <row r="17376">
      <c r="A17376" s="39"/>
      <c r="E17376" s="40" t="s">
        <v>11404</v>
      </c>
      <c r="F17376" s="40" t="s">
        <v>11404</v>
      </c>
      <c r="G17376" s="40" t="s">
        <v>11404</v>
      </c>
      <c r="H17376" s="40" t="s">
        <v>11404</v>
      </c>
    </row>
    <row r="17377">
      <c r="A17377" s="39"/>
      <c r="E17377" s="40" t="s">
        <v>11404</v>
      </c>
      <c r="F17377" s="40" t="s">
        <v>11404</v>
      </c>
      <c r="G17377" s="40" t="s">
        <v>11404</v>
      </c>
      <c r="H17377" s="40" t="s">
        <v>11404</v>
      </c>
    </row>
    <row r="17378">
      <c r="A17378" s="39"/>
      <c r="E17378" s="40" t="s">
        <v>11404</v>
      </c>
      <c r="F17378" s="40" t="s">
        <v>11404</v>
      </c>
      <c r="G17378" s="40" t="s">
        <v>11404</v>
      </c>
      <c r="H17378" s="40" t="s">
        <v>11404</v>
      </c>
    </row>
    <row r="17379">
      <c r="A17379" s="39"/>
      <c r="E17379" s="40" t="s">
        <v>11404</v>
      </c>
      <c r="F17379" s="40" t="s">
        <v>11404</v>
      </c>
      <c r="G17379" s="40" t="s">
        <v>11404</v>
      </c>
      <c r="H17379" s="40" t="s">
        <v>11404</v>
      </c>
    </row>
    <row r="17380">
      <c r="A17380" s="39"/>
      <c r="E17380" s="40" t="s">
        <v>11404</v>
      </c>
      <c r="F17380" s="40" t="s">
        <v>11404</v>
      </c>
      <c r="G17380" s="40" t="s">
        <v>11404</v>
      </c>
      <c r="H17380" s="40" t="s">
        <v>11404</v>
      </c>
    </row>
    <row r="17381">
      <c r="A17381" s="39"/>
      <c r="E17381" s="40" t="s">
        <v>11404</v>
      </c>
      <c r="F17381" s="40" t="s">
        <v>11404</v>
      </c>
      <c r="G17381" s="40" t="s">
        <v>11404</v>
      </c>
      <c r="H17381" s="40" t="s">
        <v>11404</v>
      </c>
    </row>
    <row r="17382">
      <c r="A17382" s="39"/>
      <c r="E17382" s="40" t="s">
        <v>11404</v>
      </c>
      <c r="F17382" s="40" t="s">
        <v>11404</v>
      </c>
      <c r="G17382" s="40" t="s">
        <v>11404</v>
      </c>
      <c r="H17382" s="40" t="s">
        <v>11404</v>
      </c>
    </row>
    <row r="17383">
      <c r="A17383" s="39"/>
      <c r="E17383" s="40" t="s">
        <v>11404</v>
      </c>
      <c r="F17383" s="40" t="s">
        <v>11404</v>
      </c>
      <c r="G17383" s="40" t="s">
        <v>11404</v>
      </c>
      <c r="H17383" s="40" t="s">
        <v>11404</v>
      </c>
    </row>
    <row r="17384">
      <c r="A17384" s="39"/>
      <c r="E17384" s="40" t="s">
        <v>11404</v>
      </c>
      <c r="F17384" s="40" t="s">
        <v>11404</v>
      </c>
      <c r="G17384" s="40" t="s">
        <v>11404</v>
      </c>
      <c r="H17384" s="40" t="s">
        <v>11404</v>
      </c>
    </row>
    <row r="17385">
      <c r="A17385" s="39"/>
      <c r="E17385" s="40" t="s">
        <v>11404</v>
      </c>
      <c r="F17385" s="40" t="s">
        <v>11404</v>
      </c>
      <c r="G17385" s="40" t="s">
        <v>11404</v>
      </c>
      <c r="H17385" s="40" t="s">
        <v>11404</v>
      </c>
    </row>
    <row r="17386">
      <c r="A17386" s="39"/>
      <c r="E17386" s="40" t="s">
        <v>11404</v>
      </c>
      <c r="F17386" s="40" t="s">
        <v>11404</v>
      </c>
      <c r="G17386" s="40" t="s">
        <v>11404</v>
      </c>
      <c r="H17386" s="40" t="s">
        <v>11404</v>
      </c>
    </row>
    <row r="17387">
      <c r="A17387" s="39"/>
      <c r="E17387" s="40" t="s">
        <v>11404</v>
      </c>
      <c r="F17387" s="40" t="s">
        <v>11404</v>
      </c>
      <c r="G17387" s="40" t="s">
        <v>11404</v>
      </c>
      <c r="H17387" s="40" t="s">
        <v>11404</v>
      </c>
    </row>
    <row r="17388">
      <c r="A17388" s="39"/>
      <c r="E17388" s="40" t="s">
        <v>11404</v>
      </c>
      <c r="F17388" s="40" t="s">
        <v>11404</v>
      </c>
      <c r="G17388" s="40" t="s">
        <v>11404</v>
      </c>
      <c r="H17388" s="40" t="s">
        <v>11404</v>
      </c>
    </row>
    <row r="17389">
      <c r="A17389" s="39"/>
      <c r="E17389" s="40" t="s">
        <v>11404</v>
      </c>
      <c r="F17389" s="40" t="s">
        <v>11404</v>
      </c>
      <c r="G17389" s="40" t="s">
        <v>11404</v>
      </c>
      <c r="H17389" s="40" t="s">
        <v>11404</v>
      </c>
    </row>
    <row r="17390">
      <c r="A17390" s="39"/>
      <c r="E17390" s="40" t="s">
        <v>11404</v>
      </c>
      <c r="F17390" s="40" t="s">
        <v>11404</v>
      </c>
      <c r="G17390" s="40" t="s">
        <v>11404</v>
      </c>
      <c r="H17390" s="40" t="s">
        <v>11404</v>
      </c>
    </row>
    <row r="17391">
      <c r="A17391" s="39"/>
      <c r="E17391" s="40" t="s">
        <v>11404</v>
      </c>
      <c r="F17391" s="40" t="s">
        <v>11404</v>
      </c>
      <c r="G17391" s="40" t="s">
        <v>11404</v>
      </c>
      <c r="H17391" s="40" t="s">
        <v>11404</v>
      </c>
    </row>
    <row r="17392">
      <c r="A17392" s="39"/>
      <c r="E17392" s="40" t="s">
        <v>11404</v>
      </c>
      <c r="F17392" s="40" t="s">
        <v>11404</v>
      </c>
      <c r="G17392" s="40" t="s">
        <v>11404</v>
      </c>
      <c r="H17392" s="40" t="s">
        <v>11404</v>
      </c>
    </row>
    <row r="17393">
      <c r="A17393" s="39"/>
      <c r="E17393" s="40" t="s">
        <v>11404</v>
      </c>
      <c r="F17393" s="40" t="s">
        <v>11404</v>
      </c>
      <c r="G17393" s="40" t="s">
        <v>11404</v>
      </c>
      <c r="H17393" s="40" t="s">
        <v>11404</v>
      </c>
    </row>
    <row r="17394">
      <c r="A17394" s="39"/>
      <c r="E17394" s="40" t="s">
        <v>11404</v>
      </c>
      <c r="F17394" s="40" t="s">
        <v>11404</v>
      </c>
      <c r="G17394" s="40" t="s">
        <v>11404</v>
      </c>
      <c r="H17394" s="40" t="s">
        <v>11404</v>
      </c>
    </row>
    <row r="17395">
      <c r="A17395" s="39"/>
      <c r="E17395" s="40" t="s">
        <v>11404</v>
      </c>
      <c r="F17395" s="40" t="s">
        <v>11404</v>
      </c>
      <c r="G17395" s="40" t="s">
        <v>11404</v>
      </c>
      <c r="H17395" s="40" t="s">
        <v>11404</v>
      </c>
    </row>
    <row r="17396">
      <c r="A17396" s="39"/>
      <c r="E17396" s="40" t="s">
        <v>11404</v>
      </c>
      <c r="F17396" s="40" t="s">
        <v>11404</v>
      </c>
      <c r="G17396" s="40" t="s">
        <v>11404</v>
      </c>
      <c r="H17396" s="40" t="s">
        <v>11404</v>
      </c>
    </row>
    <row r="17397">
      <c r="A17397" s="39"/>
      <c r="E17397" s="40" t="s">
        <v>11404</v>
      </c>
      <c r="F17397" s="40" t="s">
        <v>11404</v>
      </c>
      <c r="G17397" s="40" t="s">
        <v>11404</v>
      </c>
      <c r="H17397" s="40" t="s">
        <v>11404</v>
      </c>
    </row>
    <row r="17398">
      <c r="A17398" s="39"/>
      <c r="E17398" s="40" t="s">
        <v>11404</v>
      </c>
      <c r="F17398" s="40" t="s">
        <v>11404</v>
      </c>
      <c r="G17398" s="40" t="s">
        <v>11404</v>
      </c>
      <c r="H17398" s="40" t="s">
        <v>11404</v>
      </c>
    </row>
    <row r="17399">
      <c r="A17399" s="39"/>
      <c r="E17399" s="40" t="s">
        <v>11404</v>
      </c>
      <c r="F17399" s="40" t="s">
        <v>11404</v>
      </c>
      <c r="G17399" s="40" t="s">
        <v>11404</v>
      </c>
      <c r="H17399" s="40" t="s">
        <v>11404</v>
      </c>
    </row>
    <row r="17400">
      <c r="A17400" s="39"/>
      <c r="E17400" s="40" t="s">
        <v>11404</v>
      </c>
      <c r="F17400" s="40" t="s">
        <v>11404</v>
      </c>
      <c r="G17400" s="40" t="s">
        <v>11404</v>
      </c>
      <c r="H17400" s="40" t="s">
        <v>11404</v>
      </c>
    </row>
    <row r="17401">
      <c r="A17401" s="39"/>
      <c r="E17401" s="40" t="s">
        <v>11404</v>
      </c>
      <c r="F17401" s="40" t="s">
        <v>11404</v>
      </c>
      <c r="G17401" s="40" t="s">
        <v>11404</v>
      </c>
      <c r="H17401" s="40" t="s">
        <v>11404</v>
      </c>
    </row>
    <row r="17402">
      <c r="A17402" s="39"/>
      <c r="E17402" s="40" t="s">
        <v>11404</v>
      </c>
      <c r="F17402" s="40" t="s">
        <v>11404</v>
      </c>
      <c r="G17402" s="40" t="s">
        <v>11404</v>
      </c>
      <c r="H17402" s="40" t="s">
        <v>11404</v>
      </c>
    </row>
    <row r="17403">
      <c r="A17403" s="39"/>
      <c r="E17403" s="40" t="s">
        <v>11404</v>
      </c>
      <c r="F17403" s="40" t="s">
        <v>11404</v>
      </c>
      <c r="G17403" s="40" t="s">
        <v>11404</v>
      </c>
      <c r="H17403" s="40" t="s">
        <v>11404</v>
      </c>
    </row>
    <row r="17404">
      <c r="A17404" s="39"/>
      <c r="E17404" s="40" t="s">
        <v>11404</v>
      </c>
      <c r="F17404" s="40" t="s">
        <v>11404</v>
      </c>
      <c r="G17404" s="40" t="s">
        <v>11404</v>
      </c>
      <c r="H17404" s="40" t="s">
        <v>11404</v>
      </c>
    </row>
    <row r="17405">
      <c r="A17405" s="39"/>
      <c r="E17405" s="40" t="s">
        <v>11404</v>
      </c>
      <c r="F17405" s="40" t="s">
        <v>11404</v>
      </c>
      <c r="G17405" s="40" t="s">
        <v>11404</v>
      </c>
      <c r="H17405" s="40" t="s">
        <v>11404</v>
      </c>
    </row>
    <row r="17406">
      <c r="A17406" s="39"/>
      <c r="E17406" s="40" t="s">
        <v>11404</v>
      </c>
      <c r="F17406" s="40" t="s">
        <v>11404</v>
      </c>
      <c r="G17406" s="40" t="s">
        <v>11404</v>
      </c>
      <c r="H17406" s="40" t="s">
        <v>11404</v>
      </c>
    </row>
    <row r="17407">
      <c r="A17407" s="39"/>
      <c r="E17407" s="40" t="s">
        <v>11404</v>
      </c>
      <c r="F17407" s="40" t="s">
        <v>11404</v>
      </c>
      <c r="G17407" s="40" t="s">
        <v>11404</v>
      </c>
      <c r="H17407" s="40" t="s">
        <v>11404</v>
      </c>
    </row>
    <row r="17408">
      <c r="A17408" s="39"/>
      <c r="E17408" s="40" t="s">
        <v>11404</v>
      </c>
      <c r="F17408" s="40" t="s">
        <v>11404</v>
      </c>
      <c r="G17408" s="40" t="s">
        <v>11404</v>
      </c>
      <c r="H17408" s="40" t="s">
        <v>11404</v>
      </c>
    </row>
    <row r="17409">
      <c r="A17409" s="39"/>
      <c r="E17409" s="40" t="s">
        <v>11404</v>
      </c>
      <c r="F17409" s="40" t="s">
        <v>11404</v>
      </c>
      <c r="G17409" s="40" t="s">
        <v>11404</v>
      </c>
      <c r="H17409" s="40" t="s">
        <v>11404</v>
      </c>
    </row>
    <row r="17410">
      <c r="A17410" s="39"/>
      <c r="E17410" s="40" t="s">
        <v>11404</v>
      </c>
      <c r="F17410" s="40" t="s">
        <v>11404</v>
      </c>
      <c r="G17410" s="40" t="s">
        <v>11404</v>
      </c>
      <c r="H17410" s="40" t="s">
        <v>11404</v>
      </c>
    </row>
    <row r="17411">
      <c r="A17411" s="39"/>
      <c r="E17411" s="40" t="s">
        <v>11404</v>
      </c>
      <c r="F17411" s="40" t="s">
        <v>11404</v>
      </c>
      <c r="G17411" s="40" t="s">
        <v>11404</v>
      </c>
      <c r="H17411" s="40" t="s">
        <v>11404</v>
      </c>
    </row>
    <row r="17412">
      <c r="A17412" s="39"/>
      <c r="E17412" s="40" t="s">
        <v>11404</v>
      </c>
      <c r="F17412" s="40" t="s">
        <v>11404</v>
      </c>
      <c r="G17412" s="40" t="s">
        <v>11404</v>
      </c>
      <c r="H17412" s="40" t="s">
        <v>11404</v>
      </c>
    </row>
    <row r="17413">
      <c r="A17413" s="39"/>
      <c r="E17413" s="40" t="s">
        <v>11404</v>
      </c>
      <c r="F17413" s="40" t="s">
        <v>11404</v>
      </c>
      <c r="G17413" s="40" t="s">
        <v>11404</v>
      </c>
      <c r="H17413" s="40" t="s">
        <v>11404</v>
      </c>
    </row>
    <row r="17414">
      <c r="A17414" s="39"/>
      <c r="E17414" s="40" t="s">
        <v>11404</v>
      </c>
      <c r="F17414" s="40" t="s">
        <v>11404</v>
      </c>
      <c r="G17414" s="40" t="s">
        <v>11404</v>
      </c>
      <c r="H17414" s="40" t="s">
        <v>11404</v>
      </c>
    </row>
    <row r="17415">
      <c r="A17415" s="39"/>
      <c r="E17415" s="40" t="s">
        <v>11404</v>
      </c>
      <c r="F17415" s="40" t="s">
        <v>11404</v>
      </c>
      <c r="G17415" s="40" t="s">
        <v>11404</v>
      </c>
      <c r="H17415" s="40" t="s">
        <v>11404</v>
      </c>
    </row>
    <row r="17416">
      <c r="A17416" s="39"/>
      <c r="E17416" s="40" t="s">
        <v>11404</v>
      </c>
      <c r="F17416" s="40" t="s">
        <v>11404</v>
      </c>
      <c r="G17416" s="40" t="s">
        <v>11404</v>
      </c>
      <c r="H17416" s="40" t="s">
        <v>11404</v>
      </c>
    </row>
    <row r="17417">
      <c r="A17417" s="39"/>
      <c r="E17417" s="40" t="s">
        <v>11404</v>
      </c>
      <c r="F17417" s="40" t="s">
        <v>11404</v>
      </c>
      <c r="G17417" s="40" t="s">
        <v>11404</v>
      </c>
      <c r="H17417" s="40" t="s">
        <v>11404</v>
      </c>
    </row>
    <row r="17418">
      <c r="A17418" s="39"/>
      <c r="E17418" s="40" t="s">
        <v>11404</v>
      </c>
      <c r="F17418" s="40" t="s">
        <v>11404</v>
      </c>
      <c r="G17418" s="40" t="s">
        <v>11404</v>
      </c>
      <c r="H17418" s="40" t="s">
        <v>11404</v>
      </c>
    </row>
    <row r="17419">
      <c r="A17419" s="39"/>
      <c r="E17419" s="40" t="s">
        <v>11404</v>
      </c>
      <c r="F17419" s="40" t="s">
        <v>11404</v>
      </c>
      <c r="G17419" s="40" t="s">
        <v>11404</v>
      </c>
      <c r="H17419" s="40" t="s">
        <v>11404</v>
      </c>
    </row>
    <row r="17420">
      <c r="A17420" s="39"/>
      <c r="E17420" s="40" t="s">
        <v>11404</v>
      </c>
      <c r="F17420" s="40" t="s">
        <v>11404</v>
      </c>
      <c r="G17420" s="40" t="s">
        <v>11404</v>
      </c>
      <c r="H17420" s="40" t="s">
        <v>11404</v>
      </c>
    </row>
    <row r="17421">
      <c r="A17421" s="39"/>
      <c r="E17421" s="40" t="s">
        <v>11404</v>
      </c>
      <c r="F17421" s="40" t="s">
        <v>11404</v>
      </c>
      <c r="G17421" s="40" t="s">
        <v>11404</v>
      </c>
      <c r="H17421" s="40" t="s">
        <v>11404</v>
      </c>
    </row>
    <row r="17422">
      <c r="A17422" s="39"/>
      <c r="E17422" s="40" t="s">
        <v>11404</v>
      </c>
      <c r="F17422" s="40" t="s">
        <v>11404</v>
      </c>
      <c r="G17422" s="40" t="s">
        <v>11404</v>
      </c>
      <c r="H17422" s="40" t="s">
        <v>11404</v>
      </c>
    </row>
    <row r="17423">
      <c r="A17423" s="39"/>
      <c r="E17423" s="40" t="s">
        <v>11404</v>
      </c>
      <c r="F17423" s="40" t="s">
        <v>11404</v>
      </c>
      <c r="G17423" s="40" t="s">
        <v>11404</v>
      </c>
      <c r="H17423" s="40" t="s">
        <v>11404</v>
      </c>
    </row>
    <row r="17424">
      <c r="A17424" s="39"/>
      <c r="E17424" s="40" t="s">
        <v>11404</v>
      </c>
      <c r="F17424" s="40" t="s">
        <v>11404</v>
      </c>
      <c r="G17424" s="40" t="s">
        <v>11404</v>
      </c>
      <c r="H17424" s="40" t="s">
        <v>11404</v>
      </c>
    </row>
    <row r="17425">
      <c r="A17425" s="39"/>
      <c r="E17425" s="40" t="s">
        <v>11404</v>
      </c>
      <c r="F17425" s="40" t="s">
        <v>11404</v>
      </c>
      <c r="G17425" s="40" t="s">
        <v>11404</v>
      </c>
      <c r="H17425" s="40" t="s">
        <v>11404</v>
      </c>
    </row>
    <row r="17426">
      <c r="A17426" s="39"/>
      <c r="E17426" s="40" t="s">
        <v>11404</v>
      </c>
      <c r="F17426" s="40" t="s">
        <v>11404</v>
      </c>
      <c r="G17426" s="40" t="s">
        <v>11404</v>
      </c>
      <c r="H17426" s="40" t="s">
        <v>11404</v>
      </c>
    </row>
    <row r="17427">
      <c r="A17427" s="39"/>
      <c r="E17427" s="40" t="s">
        <v>11404</v>
      </c>
      <c r="F17427" s="40" t="s">
        <v>11404</v>
      </c>
      <c r="G17427" s="40" t="s">
        <v>11404</v>
      </c>
      <c r="H17427" s="40" t="s">
        <v>11404</v>
      </c>
    </row>
    <row r="17428">
      <c r="A17428" s="39"/>
      <c r="E17428" s="40" t="s">
        <v>11404</v>
      </c>
      <c r="F17428" s="40" t="s">
        <v>11404</v>
      </c>
      <c r="G17428" s="40" t="s">
        <v>11404</v>
      </c>
      <c r="H17428" s="40" t="s">
        <v>11404</v>
      </c>
    </row>
    <row r="17429">
      <c r="A17429" s="39"/>
      <c r="E17429" s="40" t="s">
        <v>11404</v>
      </c>
      <c r="F17429" s="40" t="s">
        <v>11404</v>
      </c>
      <c r="G17429" s="40" t="s">
        <v>11404</v>
      </c>
      <c r="H17429" s="40" t="s">
        <v>11404</v>
      </c>
    </row>
    <row r="17430">
      <c r="A17430" s="39"/>
      <c r="E17430" s="40" t="s">
        <v>11404</v>
      </c>
      <c r="F17430" s="40" t="s">
        <v>11404</v>
      </c>
      <c r="G17430" s="40" t="s">
        <v>11404</v>
      </c>
      <c r="H17430" s="40" t="s">
        <v>11404</v>
      </c>
    </row>
    <row r="17431">
      <c r="A17431" s="39"/>
      <c r="E17431" s="40" t="s">
        <v>11404</v>
      </c>
      <c r="F17431" s="40" t="s">
        <v>11404</v>
      </c>
      <c r="G17431" s="40" t="s">
        <v>11404</v>
      </c>
      <c r="H17431" s="40" t="s">
        <v>11404</v>
      </c>
    </row>
    <row r="17432">
      <c r="A17432" s="39"/>
      <c r="E17432" s="40" t="s">
        <v>11404</v>
      </c>
      <c r="F17432" s="40" t="s">
        <v>11404</v>
      </c>
      <c r="G17432" s="40" t="s">
        <v>11404</v>
      </c>
      <c r="H17432" s="40" t="s">
        <v>11404</v>
      </c>
    </row>
    <row r="17433">
      <c r="A17433" s="39"/>
      <c r="E17433" s="40" t="s">
        <v>11404</v>
      </c>
      <c r="F17433" s="40" t="s">
        <v>11404</v>
      </c>
      <c r="G17433" s="40" t="s">
        <v>11404</v>
      </c>
      <c r="H17433" s="40" t="s">
        <v>11404</v>
      </c>
    </row>
    <row r="17434">
      <c r="A17434" s="39"/>
      <c r="E17434" s="40" t="s">
        <v>11404</v>
      </c>
      <c r="F17434" s="40" t="s">
        <v>11404</v>
      </c>
      <c r="G17434" s="40" t="s">
        <v>11404</v>
      </c>
      <c r="H17434" s="40" t="s">
        <v>11404</v>
      </c>
    </row>
    <row r="17435">
      <c r="A17435" s="39"/>
      <c r="E17435" s="40" t="s">
        <v>11404</v>
      </c>
      <c r="F17435" s="40" t="s">
        <v>11404</v>
      </c>
      <c r="G17435" s="40" t="s">
        <v>11404</v>
      </c>
      <c r="H17435" s="40" t="s">
        <v>11404</v>
      </c>
    </row>
    <row r="17436">
      <c r="A17436" s="39"/>
      <c r="E17436" s="40" t="s">
        <v>11404</v>
      </c>
      <c r="F17436" s="40" t="s">
        <v>11404</v>
      </c>
      <c r="G17436" s="40" t="s">
        <v>11404</v>
      </c>
      <c r="H17436" s="40" t="s">
        <v>11404</v>
      </c>
    </row>
    <row r="17437">
      <c r="A17437" s="39"/>
      <c r="E17437" s="40" t="s">
        <v>11404</v>
      </c>
      <c r="F17437" s="40" t="s">
        <v>11404</v>
      </c>
      <c r="G17437" s="40" t="s">
        <v>11404</v>
      </c>
      <c r="H17437" s="40" t="s">
        <v>11404</v>
      </c>
    </row>
    <row r="17438">
      <c r="A17438" s="39"/>
      <c r="E17438" s="40" t="s">
        <v>11404</v>
      </c>
      <c r="F17438" s="40" t="s">
        <v>11404</v>
      </c>
      <c r="G17438" s="40" t="s">
        <v>11404</v>
      </c>
      <c r="H17438" s="40" t="s">
        <v>11404</v>
      </c>
    </row>
    <row r="17439">
      <c r="A17439" s="39"/>
      <c r="E17439" s="40" t="s">
        <v>11404</v>
      </c>
      <c r="F17439" s="40" t="s">
        <v>11404</v>
      </c>
      <c r="G17439" s="40" t="s">
        <v>11404</v>
      </c>
      <c r="H17439" s="40" t="s">
        <v>11404</v>
      </c>
    </row>
    <row r="17440">
      <c r="A17440" s="39"/>
      <c r="E17440" s="40" t="s">
        <v>11404</v>
      </c>
      <c r="F17440" s="40" t="s">
        <v>11404</v>
      </c>
      <c r="G17440" s="40" t="s">
        <v>11404</v>
      </c>
      <c r="H17440" s="40" t="s">
        <v>11404</v>
      </c>
    </row>
    <row r="17441">
      <c r="A17441" s="39"/>
      <c r="E17441" s="40" t="s">
        <v>11404</v>
      </c>
      <c r="F17441" s="40" t="s">
        <v>11404</v>
      </c>
      <c r="G17441" s="40" t="s">
        <v>11404</v>
      </c>
      <c r="H17441" s="40" t="s">
        <v>11404</v>
      </c>
    </row>
    <row r="17442">
      <c r="A17442" s="39"/>
      <c r="E17442" s="40" t="s">
        <v>11404</v>
      </c>
      <c r="F17442" s="40" t="s">
        <v>11404</v>
      </c>
      <c r="G17442" s="40" t="s">
        <v>11404</v>
      </c>
      <c r="H17442" s="40" t="s">
        <v>11404</v>
      </c>
    </row>
    <row r="17443">
      <c r="A17443" s="39"/>
      <c r="E17443" s="40" t="s">
        <v>11404</v>
      </c>
      <c r="F17443" s="40" t="s">
        <v>11404</v>
      </c>
      <c r="G17443" s="40" t="s">
        <v>11404</v>
      </c>
      <c r="H17443" s="40" t="s">
        <v>11404</v>
      </c>
    </row>
    <row r="17444">
      <c r="A17444" s="39"/>
      <c r="E17444" s="40" t="s">
        <v>11404</v>
      </c>
      <c r="F17444" s="40" t="s">
        <v>11404</v>
      </c>
      <c r="G17444" s="40" t="s">
        <v>11404</v>
      </c>
      <c r="H17444" s="40" t="s">
        <v>11404</v>
      </c>
    </row>
    <row r="17445">
      <c r="A17445" s="39"/>
      <c r="E17445" s="40" t="s">
        <v>11404</v>
      </c>
      <c r="F17445" s="40" t="s">
        <v>11404</v>
      </c>
      <c r="G17445" s="40" t="s">
        <v>11404</v>
      </c>
      <c r="H17445" s="40" t="s">
        <v>11404</v>
      </c>
    </row>
    <row r="17446">
      <c r="A17446" s="39"/>
      <c r="E17446" s="40" t="s">
        <v>11404</v>
      </c>
      <c r="F17446" s="40" t="s">
        <v>11404</v>
      </c>
      <c r="G17446" s="40" t="s">
        <v>11404</v>
      </c>
      <c r="H17446" s="40" t="s">
        <v>11404</v>
      </c>
    </row>
    <row r="17447">
      <c r="A17447" s="39"/>
      <c r="E17447" s="40" t="s">
        <v>11404</v>
      </c>
      <c r="F17447" s="40" t="s">
        <v>11404</v>
      </c>
      <c r="G17447" s="40" t="s">
        <v>11404</v>
      </c>
      <c r="H17447" s="40" t="s">
        <v>11404</v>
      </c>
    </row>
    <row r="17448">
      <c r="A17448" s="39"/>
      <c r="E17448" s="40" t="s">
        <v>11404</v>
      </c>
      <c r="F17448" s="40" t="s">
        <v>11404</v>
      </c>
      <c r="G17448" s="40" t="s">
        <v>11404</v>
      </c>
      <c r="H17448" s="40" t="s">
        <v>11404</v>
      </c>
    </row>
    <row r="17449">
      <c r="A17449" s="39"/>
      <c r="E17449" s="40" t="s">
        <v>11404</v>
      </c>
      <c r="F17449" s="40" t="s">
        <v>11404</v>
      </c>
      <c r="G17449" s="40" t="s">
        <v>11404</v>
      </c>
      <c r="H17449" s="40" t="s">
        <v>11404</v>
      </c>
    </row>
    <row r="17450">
      <c r="A17450" s="39"/>
      <c r="E17450" s="40" t="s">
        <v>11404</v>
      </c>
      <c r="F17450" s="40" t="s">
        <v>11404</v>
      </c>
      <c r="G17450" s="40" t="s">
        <v>11404</v>
      </c>
      <c r="H17450" s="40" t="s">
        <v>11404</v>
      </c>
    </row>
    <row r="17451">
      <c r="A17451" s="39"/>
      <c r="E17451" s="40" t="s">
        <v>11404</v>
      </c>
      <c r="F17451" s="40" t="s">
        <v>11404</v>
      </c>
      <c r="G17451" s="40" t="s">
        <v>11404</v>
      </c>
      <c r="H17451" s="40" t="s">
        <v>11404</v>
      </c>
    </row>
    <row r="17452">
      <c r="A17452" s="39"/>
      <c r="E17452" s="40" t="s">
        <v>11404</v>
      </c>
      <c r="F17452" s="40" t="s">
        <v>11404</v>
      </c>
      <c r="G17452" s="40" t="s">
        <v>11404</v>
      </c>
      <c r="H17452" s="40" t="s">
        <v>11404</v>
      </c>
    </row>
    <row r="17453">
      <c r="A17453" s="39"/>
      <c r="E17453" s="40" t="s">
        <v>11404</v>
      </c>
      <c r="F17453" s="40" t="s">
        <v>11404</v>
      </c>
      <c r="G17453" s="40" t="s">
        <v>11404</v>
      </c>
      <c r="H17453" s="40" t="s">
        <v>11404</v>
      </c>
    </row>
    <row r="17454">
      <c r="A17454" s="39"/>
      <c r="E17454" s="40" t="s">
        <v>11404</v>
      </c>
      <c r="F17454" s="40" t="s">
        <v>11404</v>
      </c>
      <c r="G17454" s="40" t="s">
        <v>11404</v>
      </c>
      <c r="H17454" s="40" t="s">
        <v>11404</v>
      </c>
    </row>
    <row r="17455">
      <c r="A17455" s="39"/>
      <c r="E17455" s="40" t="s">
        <v>11404</v>
      </c>
      <c r="F17455" s="40" t="s">
        <v>11404</v>
      </c>
      <c r="G17455" s="40" t="s">
        <v>11404</v>
      </c>
      <c r="H17455" s="40" t="s">
        <v>11404</v>
      </c>
    </row>
    <row r="17456">
      <c r="A17456" s="39"/>
      <c r="E17456" s="40" t="s">
        <v>11404</v>
      </c>
      <c r="F17456" s="40" t="s">
        <v>11404</v>
      </c>
      <c r="G17456" s="40" t="s">
        <v>11404</v>
      </c>
      <c r="H17456" s="40" t="s">
        <v>11404</v>
      </c>
    </row>
    <row r="17457">
      <c r="A17457" s="39"/>
      <c r="E17457" s="40" t="s">
        <v>11404</v>
      </c>
      <c r="F17457" s="40" t="s">
        <v>11404</v>
      </c>
      <c r="G17457" s="40" t="s">
        <v>11404</v>
      </c>
      <c r="H17457" s="40" t="s">
        <v>11404</v>
      </c>
    </row>
    <row r="17458">
      <c r="A17458" s="39"/>
      <c r="E17458" s="40" t="s">
        <v>11404</v>
      </c>
      <c r="F17458" s="40" t="s">
        <v>11404</v>
      </c>
      <c r="G17458" s="40" t="s">
        <v>11404</v>
      </c>
      <c r="H17458" s="40" t="s">
        <v>11404</v>
      </c>
    </row>
    <row r="17459">
      <c r="A17459" s="39"/>
      <c r="E17459" s="40" t="s">
        <v>11404</v>
      </c>
      <c r="F17459" s="40" t="s">
        <v>11404</v>
      </c>
      <c r="G17459" s="40" t="s">
        <v>11404</v>
      </c>
      <c r="H17459" s="40" t="s">
        <v>11404</v>
      </c>
    </row>
    <row r="17460">
      <c r="A17460" s="39"/>
      <c r="E17460" s="40" t="s">
        <v>11404</v>
      </c>
      <c r="F17460" s="40" t="s">
        <v>11404</v>
      </c>
      <c r="G17460" s="40" t="s">
        <v>11404</v>
      </c>
      <c r="H17460" s="40" t="s">
        <v>11404</v>
      </c>
    </row>
    <row r="17461">
      <c r="A17461" s="39"/>
      <c r="E17461" s="40" t="s">
        <v>11404</v>
      </c>
      <c r="F17461" s="40" t="s">
        <v>11404</v>
      </c>
      <c r="G17461" s="40" t="s">
        <v>11404</v>
      </c>
      <c r="H17461" s="40" t="s">
        <v>11404</v>
      </c>
    </row>
    <row r="17462">
      <c r="A17462" s="39"/>
      <c r="E17462" s="40" t="s">
        <v>11404</v>
      </c>
      <c r="F17462" s="40" t="s">
        <v>11404</v>
      </c>
      <c r="G17462" s="40" t="s">
        <v>11404</v>
      </c>
      <c r="H17462" s="40" t="s">
        <v>11404</v>
      </c>
    </row>
    <row r="17463">
      <c r="A17463" s="39"/>
      <c r="E17463" s="40" t="s">
        <v>11404</v>
      </c>
      <c r="F17463" s="40" t="s">
        <v>11404</v>
      </c>
      <c r="G17463" s="40" t="s">
        <v>11404</v>
      </c>
      <c r="H17463" s="40" t="s">
        <v>11404</v>
      </c>
    </row>
    <row r="17464">
      <c r="A17464" s="39"/>
      <c r="E17464" s="40" t="s">
        <v>11404</v>
      </c>
      <c r="F17464" s="40" t="s">
        <v>11404</v>
      </c>
      <c r="G17464" s="40" t="s">
        <v>11404</v>
      </c>
      <c r="H17464" s="40" t="s">
        <v>11404</v>
      </c>
    </row>
    <row r="17465">
      <c r="A17465" s="39"/>
      <c r="E17465" s="40" t="s">
        <v>11404</v>
      </c>
      <c r="F17465" s="40" t="s">
        <v>11404</v>
      </c>
      <c r="G17465" s="40" t="s">
        <v>11404</v>
      </c>
      <c r="H17465" s="40" t="s">
        <v>11404</v>
      </c>
    </row>
    <row r="17466">
      <c r="A17466" s="39"/>
      <c r="E17466" s="40" t="s">
        <v>11404</v>
      </c>
      <c r="F17466" s="40" t="s">
        <v>11404</v>
      </c>
      <c r="G17466" s="40" t="s">
        <v>11404</v>
      </c>
      <c r="H17466" s="40" t="s">
        <v>11404</v>
      </c>
    </row>
    <row r="17467">
      <c r="A17467" s="39"/>
      <c r="E17467" s="40" t="s">
        <v>11404</v>
      </c>
      <c r="F17467" s="40" t="s">
        <v>11404</v>
      </c>
      <c r="G17467" s="40" t="s">
        <v>11404</v>
      </c>
      <c r="H17467" s="40" t="s">
        <v>11404</v>
      </c>
    </row>
    <row r="17468">
      <c r="A17468" s="39"/>
      <c r="E17468" s="40" t="s">
        <v>11404</v>
      </c>
      <c r="F17468" s="40" t="s">
        <v>11404</v>
      </c>
      <c r="G17468" s="40" t="s">
        <v>11404</v>
      </c>
      <c r="H17468" s="40" t="s">
        <v>11404</v>
      </c>
    </row>
    <row r="17469">
      <c r="A17469" s="39"/>
      <c r="E17469" s="40" t="s">
        <v>11404</v>
      </c>
      <c r="F17469" s="40" t="s">
        <v>11404</v>
      </c>
      <c r="G17469" s="40" t="s">
        <v>11404</v>
      </c>
      <c r="H17469" s="40" t="s">
        <v>11404</v>
      </c>
    </row>
    <row r="17470">
      <c r="A17470" s="39"/>
      <c r="E17470" s="40" t="s">
        <v>11404</v>
      </c>
      <c r="F17470" s="40" t="s">
        <v>11404</v>
      </c>
      <c r="G17470" s="40" t="s">
        <v>11404</v>
      </c>
      <c r="H17470" s="40" t="s">
        <v>11404</v>
      </c>
    </row>
    <row r="17471">
      <c r="A17471" s="39"/>
      <c r="E17471" s="40" t="s">
        <v>11404</v>
      </c>
      <c r="F17471" s="40" t="s">
        <v>11404</v>
      </c>
      <c r="G17471" s="40" t="s">
        <v>11404</v>
      </c>
      <c r="H17471" s="40" t="s">
        <v>11404</v>
      </c>
    </row>
    <row r="17472">
      <c r="A17472" s="39"/>
      <c r="E17472" s="40" t="s">
        <v>11404</v>
      </c>
      <c r="F17472" s="40" t="s">
        <v>11404</v>
      </c>
      <c r="G17472" s="40" t="s">
        <v>11404</v>
      </c>
      <c r="H17472" s="40" t="s">
        <v>11404</v>
      </c>
    </row>
    <row r="17473">
      <c r="A17473" s="39"/>
      <c r="E17473" s="40" t="s">
        <v>11404</v>
      </c>
      <c r="F17473" s="40" t="s">
        <v>11404</v>
      </c>
      <c r="G17473" s="40" t="s">
        <v>11404</v>
      </c>
      <c r="H17473" s="40" t="s">
        <v>11404</v>
      </c>
    </row>
    <row r="17474">
      <c r="A17474" s="39"/>
      <c r="E17474" s="40" t="s">
        <v>11404</v>
      </c>
      <c r="F17474" s="40" t="s">
        <v>11404</v>
      </c>
      <c r="G17474" s="40" t="s">
        <v>11404</v>
      </c>
      <c r="H17474" s="40" t="s">
        <v>11404</v>
      </c>
    </row>
    <row r="17475">
      <c r="A17475" s="39"/>
      <c r="E17475" s="40" t="s">
        <v>11404</v>
      </c>
      <c r="F17475" s="40" t="s">
        <v>11404</v>
      </c>
      <c r="G17475" s="40" t="s">
        <v>11404</v>
      </c>
      <c r="H17475" s="40" t="s">
        <v>11404</v>
      </c>
    </row>
    <row r="17476">
      <c r="A17476" s="39"/>
      <c r="E17476" s="40" t="s">
        <v>11404</v>
      </c>
      <c r="F17476" s="40" t="s">
        <v>11404</v>
      </c>
      <c r="G17476" s="40" t="s">
        <v>11404</v>
      </c>
      <c r="H17476" s="40" t="s">
        <v>11404</v>
      </c>
    </row>
    <row r="17477">
      <c r="A17477" s="39"/>
      <c r="E17477" s="40" t="s">
        <v>11404</v>
      </c>
      <c r="F17477" s="40" t="s">
        <v>11404</v>
      </c>
      <c r="G17477" s="40" t="s">
        <v>11404</v>
      </c>
      <c r="H17477" s="40" t="s">
        <v>11404</v>
      </c>
    </row>
    <row r="17478">
      <c r="A17478" s="39"/>
      <c r="E17478" s="40" t="s">
        <v>11404</v>
      </c>
      <c r="F17478" s="40" t="s">
        <v>11404</v>
      </c>
      <c r="G17478" s="40" t="s">
        <v>11404</v>
      </c>
      <c r="H17478" s="40" t="s">
        <v>11404</v>
      </c>
    </row>
    <row r="17479">
      <c r="A17479" s="39"/>
      <c r="E17479" s="40" t="s">
        <v>11404</v>
      </c>
      <c r="F17479" s="40" t="s">
        <v>11404</v>
      </c>
      <c r="G17479" s="40" t="s">
        <v>11404</v>
      </c>
      <c r="H17479" s="40" t="s">
        <v>11404</v>
      </c>
    </row>
    <row r="17480">
      <c r="A17480" s="39"/>
      <c r="E17480" s="40" t="s">
        <v>11404</v>
      </c>
      <c r="F17480" s="40" t="s">
        <v>11404</v>
      </c>
      <c r="G17480" s="40" t="s">
        <v>11404</v>
      </c>
      <c r="H17480" s="40" t="s">
        <v>11404</v>
      </c>
    </row>
    <row r="17481">
      <c r="A17481" s="39"/>
      <c r="E17481" s="40" t="s">
        <v>11404</v>
      </c>
      <c r="F17481" s="40" t="s">
        <v>11404</v>
      </c>
      <c r="G17481" s="40" t="s">
        <v>11404</v>
      </c>
      <c r="H17481" s="40" t="s">
        <v>11404</v>
      </c>
    </row>
    <row r="17482">
      <c r="A17482" s="39"/>
      <c r="E17482" s="40" t="s">
        <v>11404</v>
      </c>
      <c r="F17482" s="40" t="s">
        <v>11404</v>
      </c>
      <c r="G17482" s="40" t="s">
        <v>11404</v>
      </c>
      <c r="H17482" s="40" t="s">
        <v>11404</v>
      </c>
    </row>
    <row r="17483">
      <c r="A17483" s="39"/>
      <c r="E17483" s="40" t="s">
        <v>11404</v>
      </c>
      <c r="F17483" s="40" t="s">
        <v>11404</v>
      </c>
      <c r="G17483" s="40" t="s">
        <v>11404</v>
      </c>
      <c r="H17483" s="40" t="s">
        <v>11404</v>
      </c>
    </row>
    <row r="17484">
      <c r="A17484" s="39"/>
      <c r="E17484" s="40" t="s">
        <v>11404</v>
      </c>
      <c r="F17484" s="40" t="s">
        <v>11404</v>
      </c>
      <c r="G17484" s="40" t="s">
        <v>11404</v>
      </c>
      <c r="H17484" s="40" t="s">
        <v>11404</v>
      </c>
    </row>
    <row r="17485">
      <c r="A17485" s="39"/>
      <c r="E17485" s="40" t="s">
        <v>11404</v>
      </c>
      <c r="F17485" s="40" t="s">
        <v>11404</v>
      </c>
      <c r="G17485" s="40" t="s">
        <v>11404</v>
      </c>
      <c r="H17485" s="40" t="s">
        <v>11404</v>
      </c>
    </row>
    <row r="17486">
      <c r="A17486" s="39"/>
      <c r="E17486" s="40" t="s">
        <v>11404</v>
      </c>
      <c r="F17486" s="40" t="s">
        <v>11404</v>
      </c>
      <c r="G17486" s="40" t="s">
        <v>11404</v>
      </c>
      <c r="H17486" s="40" t="s">
        <v>11404</v>
      </c>
    </row>
    <row r="17487">
      <c r="A17487" s="39"/>
      <c r="E17487" s="40" t="s">
        <v>11404</v>
      </c>
      <c r="F17487" s="40" t="s">
        <v>11404</v>
      </c>
      <c r="G17487" s="40" t="s">
        <v>11404</v>
      </c>
      <c r="H17487" s="40" t="s">
        <v>11404</v>
      </c>
    </row>
    <row r="17488">
      <c r="A17488" s="39"/>
      <c r="E17488" s="40" t="s">
        <v>11404</v>
      </c>
      <c r="F17488" s="40" t="s">
        <v>11404</v>
      </c>
      <c r="G17488" s="40" t="s">
        <v>11404</v>
      </c>
      <c r="H17488" s="40" t="s">
        <v>11404</v>
      </c>
    </row>
    <row r="17489">
      <c r="A17489" s="39"/>
      <c r="E17489" s="40" t="s">
        <v>11404</v>
      </c>
      <c r="F17489" s="40" t="s">
        <v>11404</v>
      </c>
      <c r="G17489" s="40" t="s">
        <v>11404</v>
      </c>
      <c r="H17489" s="40" t="s">
        <v>11404</v>
      </c>
    </row>
    <row r="17490">
      <c r="A17490" s="39"/>
      <c r="E17490" s="40" t="s">
        <v>11404</v>
      </c>
      <c r="F17490" s="40" t="s">
        <v>11404</v>
      </c>
      <c r="G17490" s="40" t="s">
        <v>11404</v>
      </c>
      <c r="H17490" s="40" t="s">
        <v>11404</v>
      </c>
    </row>
    <row r="17491">
      <c r="A17491" s="39"/>
      <c r="E17491" s="40" t="s">
        <v>11404</v>
      </c>
      <c r="F17491" s="40" t="s">
        <v>11404</v>
      </c>
      <c r="G17491" s="40" t="s">
        <v>11404</v>
      </c>
      <c r="H17491" s="40" t="s">
        <v>11404</v>
      </c>
    </row>
    <row r="17492">
      <c r="A17492" s="39"/>
      <c r="E17492" s="40" t="s">
        <v>11404</v>
      </c>
      <c r="F17492" s="40" t="s">
        <v>11404</v>
      </c>
      <c r="G17492" s="40" t="s">
        <v>11404</v>
      </c>
      <c r="H17492" s="40" t="s">
        <v>11404</v>
      </c>
    </row>
    <row r="17493">
      <c r="A17493" s="39"/>
      <c r="E17493" s="40" t="s">
        <v>11404</v>
      </c>
      <c r="F17493" s="40" t="s">
        <v>11404</v>
      </c>
      <c r="G17493" s="40" t="s">
        <v>11404</v>
      </c>
      <c r="H17493" s="40" t="s">
        <v>11404</v>
      </c>
    </row>
    <row r="17494">
      <c r="A17494" s="39"/>
      <c r="E17494" s="40" t="s">
        <v>11404</v>
      </c>
      <c r="F17494" s="40" t="s">
        <v>11404</v>
      </c>
      <c r="G17494" s="40" t="s">
        <v>11404</v>
      </c>
      <c r="H17494" s="40" t="s">
        <v>11404</v>
      </c>
    </row>
    <row r="17495">
      <c r="A17495" s="39"/>
      <c r="E17495" s="40" t="s">
        <v>11404</v>
      </c>
      <c r="F17495" s="40" t="s">
        <v>11404</v>
      </c>
      <c r="G17495" s="40" t="s">
        <v>11404</v>
      </c>
      <c r="H17495" s="40" t="s">
        <v>11404</v>
      </c>
    </row>
    <row r="17496">
      <c r="A17496" s="39"/>
      <c r="E17496" s="40" t="s">
        <v>11404</v>
      </c>
      <c r="F17496" s="40" t="s">
        <v>11404</v>
      </c>
      <c r="G17496" s="40" t="s">
        <v>11404</v>
      </c>
      <c r="H17496" s="40" t="s">
        <v>11404</v>
      </c>
    </row>
    <row r="17497">
      <c r="A17497" s="39"/>
      <c r="E17497" s="40" t="s">
        <v>11404</v>
      </c>
      <c r="F17497" s="40" t="s">
        <v>11404</v>
      </c>
      <c r="G17497" s="40" t="s">
        <v>11404</v>
      </c>
      <c r="H17497" s="40" t="s">
        <v>11404</v>
      </c>
    </row>
    <row r="17498">
      <c r="A17498" s="39"/>
      <c r="E17498" s="40" t="s">
        <v>11404</v>
      </c>
      <c r="F17498" s="40" t="s">
        <v>11404</v>
      </c>
      <c r="G17498" s="40" t="s">
        <v>11404</v>
      </c>
      <c r="H17498" s="40" t="s">
        <v>11404</v>
      </c>
    </row>
    <row r="17499">
      <c r="A17499" s="39"/>
      <c r="E17499" s="40" t="s">
        <v>11404</v>
      </c>
      <c r="F17499" s="40" t="s">
        <v>11404</v>
      </c>
      <c r="G17499" s="40" t="s">
        <v>11404</v>
      </c>
      <c r="H17499" s="40" t="s">
        <v>11404</v>
      </c>
    </row>
    <row r="17500">
      <c r="A17500" s="39"/>
      <c r="E17500" s="40" t="s">
        <v>11404</v>
      </c>
      <c r="F17500" s="40" t="s">
        <v>11404</v>
      </c>
      <c r="G17500" s="40" t="s">
        <v>11404</v>
      </c>
      <c r="H17500" s="40" t="s">
        <v>11404</v>
      </c>
    </row>
    <row r="17501">
      <c r="A17501" s="39"/>
      <c r="E17501" s="40" t="s">
        <v>11404</v>
      </c>
      <c r="F17501" s="40" t="s">
        <v>11404</v>
      </c>
      <c r="G17501" s="40" t="s">
        <v>11404</v>
      </c>
      <c r="H17501" s="40" t="s">
        <v>11404</v>
      </c>
    </row>
    <row r="17502">
      <c r="A17502" s="39"/>
      <c r="E17502" s="40" t="s">
        <v>11404</v>
      </c>
      <c r="F17502" s="40" t="s">
        <v>11404</v>
      </c>
      <c r="G17502" s="40" t="s">
        <v>11404</v>
      </c>
      <c r="H17502" s="40" t="s">
        <v>11404</v>
      </c>
    </row>
    <row r="17503">
      <c r="A17503" s="39"/>
      <c r="E17503" s="40" t="s">
        <v>11404</v>
      </c>
      <c r="F17503" s="40" t="s">
        <v>11404</v>
      </c>
      <c r="G17503" s="40" t="s">
        <v>11404</v>
      </c>
      <c r="H17503" s="40" t="s">
        <v>11404</v>
      </c>
    </row>
    <row r="17504">
      <c r="A17504" s="39"/>
      <c r="E17504" s="40" t="s">
        <v>11404</v>
      </c>
      <c r="F17504" s="40" t="s">
        <v>11404</v>
      </c>
      <c r="G17504" s="40" t="s">
        <v>11404</v>
      </c>
      <c r="H17504" s="40" t="s">
        <v>11404</v>
      </c>
    </row>
    <row r="17505">
      <c r="A17505" s="39"/>
      <c r="E17505" s="40" t="s">
        <v>11404</v>
      </c>
      <c r="F17505" s="40" t="s">
        <v>11404</v>
      </c>
      <c r="G17505" s="40" t="s">
        <v>11404</v>
      </c>
      <c r="H17505" s="40" t="s">
        <v>11404</v>
      </c>
    </row>
    <row r="17506">
      <c r="A17506" s="39"/>
      <c r="E17506" s="40" t="s">
        <v>11404</v>
      </c>
      <c r="F17506" s="40" t="s">
        <v>11404</v>
      </c>
      <c r="G17506" s="40" t="s">
        <v>11404</v>
      </c>
      <c r="H17506" s="40" t="s">
        <v>11404</v>
      </c>
    </row>
    <row r="17507">
      <c r="A17507" s="39"/>
      <c r="E17507" s="40" t="s">
        <v>11404</v>
      </c>
      <c r="F17507" s="40" t="s">
        <v>11404</v>
      </c>
      <c r="G17507" s="40" t="s">
        <v>11404</v>
      </c>
      <c r="H17507" s="40" t="s">
        <v>11404</v>
      </c>
    </row>
    <row r="17508">
      <c r="A17508" s="39"/>
      <c r="E17508" s="40" t="s">
        <v>11404</v>
      </c>
      <c r="F17508" s="40" t="s">
        <v>11404</v>
      </c>
      <c r="G17508" s="40" t="s">
        <v>11404</v>
      </c>
      <c r="H17508" s="40" t="s">
        <v>11404</v>
      </c>
    </row>
    <row r="17509">
      <c r="A17509" s="39"/>
      <c r="E17509" s="40" t="s">
        <v>11404</v>
      </c>
      <c r="F17509" s="40" t="s">
        <v>11404</v>
      </c>
      <c r="G17509" s="40" t="s">
        <v>11404</v>
      </c>
      <c r="H17509" s="40" t="s">
        <v>11404</v>
      </c>
    </row>
    <row r="17510">
      <c r="A17510" s="39"/>
      <c r="E17510" s="40" t="s">
        <v>11404</v>
      </c>
      <c r="F17510" s="40" t="s">
        <v>11404</v>
      </c>
      <c r="G17510" s="40" t="s">
        <v>11404</v>
      </c>
      <c r="H17510" s="40" t="s">
        <v>11404</v>
      </c>
    </row>
    <row r="17511">
      <c r="A17511" s="39"/>
      <c r="E17511" s="40" t="s">
        <v>11404</v>
      </c>
      <c r="F17511" s="40" t="s">
        <v>11404</v>
      </c>
      <c r="G17511" s="40" t="s">
        <v>11404</v>
      </c>
      <c r="H17511" s="40" t="s">
        <v>11404</v>
      </c>
    </row>
    <row r="17512">
      <c r="A17512" s="39"/>
      <c r="E17512" s="40" t="s">
        <v>11404</v>
      </c>
      <c r="F17512" s="40" t="s">
        <v>11404</v>
      </c>
      <c r="G17512" s="40" t="s">
        <v>11404</v>
      </c>
      <c r="H17512" s="40" t="s">
        <v>11404</v>
      </c>
    </row>
    <row r="17513">
      <c r="A17513" s="39"/>
      <c r="E17513" s="40" t="s">
        <v>11404</v>
      </c>
      <c r="F17513" s="40" t="s">
        <v>11404</v>
      </c>
      <c r="G17513" s="40" t="s">
        <v>11404</v>
      </c>
      <c r="H17513" s="40" t="s">
        <v>11404</v>
      </c>
    </row>
    <row r="17514">
      <c r="A17514" s="39"/>
      <c r="E17514" s="40" t="s">
        <v>11404</v>
      </c>
      <c r="F17514" s="40" t="s">
        <v>11404</v>
      </c>
      <c r="G17514" s="40" t="s">
        <v>11404</v>
      </c>
      <c r="H17514" s="40" t="s">
        <v>11404</v>
      </c>
    </row>
    <row r="17515">
      <c r="A17515" s="39"/>
      <c r="E17515" s="40" t="s">
        <v>11404</v>
      </c>
      <c r="F17515" s="40" t="s">
        <v>11404</v>
      </c>
      <c r="G17515" s="40" t="s">
        <v>11404</v>
      </c>
      <c r="H17515" s="40" t="s">
        <v>11404</v>
      </c>
    </row>
    <row r="17516">
      <c r="A17516" s="39"/>
      <c r="E17516" s="40" t="s">
        <v>11404</v>
      </c>
      <c r="F17516" s="40" t="s">
        <v>11404</v>
      </c>
      <c r="G17516" s="40" t="s">
        <v>11404</v>
      </c>
      <c r="H17516" s="40" t="s">
        <v>11404</v>
      </c>
    </row>
    <row r="17517">
      <c r="A17517" s="39"/>
      <c r="E17517" s="40" t="s">
        <v>11404</v>
      </c>
      <c r="F17517" s="40" t="s">
        <v>11404</v>
      </c>
      <c r="G17517" s="40" t="s">
        <v>11404</v>
      </c>
      <c r="H17517" s="40" t="s">
        <v>11404</v>
      </c>
    </row>
    <row r="17518">
      <c r="A17518" s="39"/>
      <c r="E17518" s="40" t="s">
        <v>11404</v>
      </c>
      <c r="F17518" s="40" t="s">
        <v>11404</v>
      </c>
      <c r="G17518" s="40" t="s">
        <v>11404</v>
      </c>
      <c r="H17518" s="40" t="s">
        <v>11404</v>
      </c>
    </row>
    <row r="17519">
      <c r="A17519" s="39"/>
      <c r="E17519" s="40" t="s">
        <v>11404</v>
      </c>
      <c r="F17519" s="40" t="s">
        <v>11404</v>
      </c>
      <c r="G17519" s="40" t="s">
        <v>11404</v>
      </c>
      <c r="H17519" s="40" t="s">
        <v>11404</v>
      </c>
    </row>
    <row r="17520">
      <c r="A17520" s="39"/>
      <c r="E17520" s="40" t="s">
        <v>11404</v>
      </c>
      <c r="F17520" s="40" t="s">
        <v>11404</v>
      </c>
      <c r="G17520" s="40" t="s">
        <v>11404</v>
      </c>
      <c r="H17520" s="40" t="s">
        <v>11404</v>
      </c>
    </row>
    <row r="17521">
      <c r="A17521" s="39"/>
      <c r="E17521" s="40" t="s">
        <v>11404</v>
      </c>
      <c r="F17521" s="40" t="s">
        <v>11404</v>
      </c>
      <c r="G17521" s="40" t="s">
        <v>11404</v>
      </c>
      <c r="H17521" s="40" t="s">
        <v>11404</v>
      </c>
    </row>
    <row r="17522">
      <c r="A17522" s="39"/>
      <c r="E17522" s="40" t="s">
        <v>11404</v>
      </c>
      <c r="F17522" s="40" t="s">
        <v>11404</v>
      </c>
      <c r="G17522" s="40" t="s">
        <v>11404</v>
      </c>
      <c r="H17522" s="40" t="s">
        <v>11404</v>
      </c>
    </row>
    <row r="17523">
      <c r="A17523" s="39"/>
      <c r="E17523" s="40" t="s">
        <v>11404</v>
      </c>
      <c r="F17523" s="40" t="s">
        <v>11404</v>
      </c>
      <c r="G17523" s="40" t="s">
        <v>11404</v>
      </c>
      <c r="H17523" s="40" t="s">
        <v>11404</v>
      </c>
    </row>
    <row r="17524">
      <c r="A17524" s="39"/>
      <c r="E17524" s="40" t="s">
        <v>11404</v>
      </c>
      <c r="F17524" s="40" t="s">
        <v>11404</v>
      </c>
      <c r="G17524" s="40" t="s">
        <v>11404</v>
      </c>
      <c r="H17524" s="40" t="s">
        <v>11404</v>
      </c>
    </row>
    <row r="17525">
      <c r="A17525" s="39"/>
      <c r="E17525" s="40" t="s">
        <v>11404</v>
      </c>
      <c r="F17525" s="40" t="s">
        <v>11404</v>
      </c>
      <c r="G17525" s="40" t="s">
        <v>11404</v>
      </c>
      <c r="H17525" s="40" t="s">
        <v>11404</v>
      </c>
    </row>
    <row r="17526">
      <c r="A17526" s="39"/>
      <c r="E17526" s="40" t="s">
        <v>11404</v>
      </c>
      <c r="F17526" s="40" t="s">
        <v>11404</v>
      </c>
      <c r="G17526" s="40" t="s">
        <v>11404</v>
      </c>
      <c r="H17526" s="40" t="s">
        <v>11404</v>
      </c>
    </row>
    <row r="17527">
      <c r="A17527" s="39"/>
      <c r="E17527" s="40" t="s">
        <v>11404</v>
      </c>
      <c r="F17527" s="40" t="s">
        <v>11404</v>
      </c>
      <c r="G17527" s="40" t="s">
        <v>11404</v>
      </c>
      <c r="H17527" s="40" t="s">
        <v>11404</v>
      </c>
    </row>
    <row r="17528">
      <c r="A17528" s="39"/>
      <c r="E17528" s="40" t="s">
        <v>11404</v>
      </c>
      <c r="F17528" s="40" t="s">
        <v>11404</v>
      </c>
      <c r="G17528" s="40" t="s">
        <v>11404</v>
      </c>
      <c r="H17528" s="40" t="s">
        <v>11404</v>
      </c>
    </row>
    <row r="17529">
      <c r="A17529" s="39"/>
      <c r="E17529" s="40" t="s">
        <v>11404</v>
      </c>
      <c r="F17529" s="40" t="s">
        <v>11404</v>
      </c>
      <c r="G17529" s="40" t="s">
        <v>11404</v>
      </c>
      <c r="H17529" s="40" t="s">
        <v>11404</v>
      </c>
    </row>
    <row r="17530">
      <c r="A17530" s="39"/>
      <c r="E17530" s="40" t="s">
        <v>11404</v>
      </c>
      <c r="F17530" s="40" t="s">
        <v>11404</v>
      </c>
      <c r="G17530" s="40" t="s">
        <v>11404</v>
      </c>
      <c r="H17530" s="40" t="s">
        <v>11404</v>
      </c>
    </row>
    <row r="17531">
      <c r="A17531" s="39"/>
      <c r="E17531" s="40" t="s">
        <v>11404</v>
      </c>
      <c r="F17531" s="40" t="s">
        <v>11404</v>
      </c>
      <c r="G17531" s="40" t="s">
        <v>11404</v>
      </c>
      <c r="H17531" s="40" t="s">
        <v>11404</v>
      </c>
    </row>
    <row r="17532">
      <c r="A17532" s="39"/>
      <c r="E17532" s="40" t="s">
        <v>11404</v>
      </c>
      <c r="F17532" s="40" t="s">
        <v>11404</v>
      </c>
      <c r="G17532" s="40" t="s">
        <v>11404</v>
      </c>
      <c r="H17532" s="40" t="s">
        <v>11404</v>
      </c>
    </row>
    <row r="17533">
      <c r="A17533" s="39"/>
      <c r="E17533" s="40" t="s">
        <v>11404</v>
      </c>
      <c r="F17533" s="40" t="s">
        <v>11404</v>
      </c>
      <c r="G17533" s="40" t="s">
        <v>11404</v>
      </c>
      <c r="H17533" s="40" t="s">
        <v>11404</v>
      </c>
    </row>
    <row r="17534">
      <c r="A17534" s="39"/>
      <c r="E17534" s="40" t="s">
        <v>11404</v>
      </c>
      <c r="F17534" s="40" t="s">
        <v>11404</v>
      </c>
      <c r="G17534" s="40" t="s">
        <v>11404</v>
      </c>
      <c r="H17534" s="40" t="s">
        <v>11404</v>
      </c>
    </row>
    <row r="17535">
      <c r="A17535" s="39"/>
      <c r="E17535" s="40" t="s">
        <v>11404</v>
      </c>
      <c r="F17535" s="40" t="s">
        <v>11404</v>
      </c>
      <c r="G17535" s="40" t="s">
        <v>11404</v>
      </c>
      <c r="H17535" s="40" t="s">
        <v>11404</v>
      </c>
    </row>
    <row r="17536">
      <c r="A17536" s="39"/>
      <c r="E17536" s="40" t="s">
        <v>11404</v>
      </c>
      <c r="F17536" s="40" t="s">
        <v>11404</v>
      </c>
      <c r="G17536" s="40" t="s">
        <v>11404</v>
      </c>
      <c r="H17536" s="40" t="s">
        <v>11404</v>
      </c>
    </row>
    <row r="17537">
      <c r="A17537" s="39"/>
      <c r="E17537" s="40" t="s">
        <v>11404</v>
      </c>
      <c r="F17537" s="40" t="s">
        <v>11404</v>
      </c>
      <c r="G17537" s="40" t="s">
        <v>11404</v>
      </c>
      <c r="H17537" s="40" t="s">
        <v>11404</v>
      </c>
    </row>
    <row r="17538">
      <c r="A17538" s="39"/>
      <c r="E17538" s="40" t="s">
        <v>11404</v>
      </c>
      <c r="F17538" s="40" t="s">
        <v>11404</v>
      </c>
      <c r="G17538" s="40" t="s">
        <v>11404</v>
      </c>
      <c r="H17538" s="40" t="s">
        <v>11404</v>
      </c>
    </row>
    <row r="17539">
      <c r="A17539" s="39"/>
      <c r="E17539" s="40" t="s">
        <v>11404</v>
      </c>
      <c r="F17539" s="40" t="s">
        <v>11404</v>
      </c>
      <c r="G17539" s="40" t="s">
        <v>11404</v>
      </c>
      <c r="H17539" s="40" t="s">
        <v>11404</v>
      </c>
    </row>
    <row r="17540">
      <c r="A17540" s="39"/>
      <c r="E17540" s="40" t="s">
        <v>11404</v>
      </c>
      <c r="F17540" s="40" t="s">
        <v>11404</v>
      </c>
      <c r="G17540" s="40" t="s">
        <v>11404</v>
      </c>
      <c r="H17540" s="40" t="s">
        <v>11404</v>
      </c>
    </row>
    <row r="17541">
      <c r="A17541" s="39"/>
      <c r="E17541" s="40" t="s">
        <v>11404</v>
      </c>
      <c r="F17541" s="40" t="s">
        <v>11404</v>
      </c>
      <c r="G17541" s="40" t="s">
        <v>11404</v>
      </c>
      <c r="H17541" s="40" t="s">
        <v>11404</v>
      </c>
    </row>
    <row r="17542">
      <c r="A17542" s="39"/>
      <c r="E17542" s="40" t="s">
        <v>11404</v>
      </c>
      <c r="F17542" s="40" t="s">
        <v>11404</v>
      </c>
      <c r="G17542" s="40" t="s">
        <v>11404</v>
      </c>
      <c r="H17542" s="40" t="s">
        <v>11404</v>
      </c>
    </row>
    <row r="17543">
      <c r="A17543" s="39"/>
      <c r="E17543" s="40" t="s">
        <v>11404</v>
      </c>
      <c r="F17543" s="40" t="s">
        <v>11404</v>
      </c>
      <c r="G17543" s="40" t="s">
        <v>11404</v>
      </c>
      <c r="H17543" s="40" t="s">
        <v>11404</v>
      </c>
    </row>
    <row r="17544">
      <c r="A17544" s="39"/>
      <c r="E17544" s="40" t="s">
        <v>11404</v>
      </c>
      <c r="F17544" s="40" t="s">
        <v>11404</v>
      </c>
      <c r="G17544" s="40" t="s">
        <v>11404</v>
      </c>
      <c r="H17544" s="40" t="s">
        <v>11404</v>
      </c>
    </row>
    <row r="17545">
      <c r="A17545" s="39"/>
      <c r="E17545" s="40" t="s">
        <v>11404</v>
      </c>
      <c r="F17545" s="40" t="s">
        <v>11404</v>
      </c>
      <c r="G17545" s="40" t="s">
        <v>11404</v>
      </c>
      <c r="H17545" s="40" t="s">
        <v>11404</v>
      </c>
    </row>
    <row r="17546">
      <c r="A17546" s="39"/>
      <c r="E17546" s="40" t="s">
        <v>11404</v>
      </c>
      <c r="F17546" s="40" t="s">
        <v>11404</v>
      </c>
      <c r="G17546" s="40" t="s">
        <v>11404</v>
      </c>
      <c r="H17546" s="40" t="s">
        <v>11404</v>
      </c>
    </row>
    <row r="17547">
      <c r="A17547" s="39"/>
      <c r="E17547" s="40" t="s">
        <v>11404</v>
      </c>
      <c r="F17547" s="40" t="s">
        <v>11404</v>
      </c>
      <c r="G17547" s="40" t="s">
        <v>11404</v>
      </c>
      <c r="H17547" s="40" t="s">
        <v>11404</v>
      </c>
    </row>
    <row r="17548">
      <c r="A17548" s="39"/>
      <c r="E17548" s="40" t="s">
        <v>11404</v>
      </c>
      <c r="F17548" s="40" t="s">
        <v>11404</v>
      </c>
      <c r="G17548" s="40" t="s">
        <v>11404</v>
      </c>
      <c r="H17548" s="40" t="s">
        <v>11404</v>
      </c>
    </row>
    <row r="17549">
      <c r="A17549" s="39"/>
      <c r="E17549" s="40" t="s">
        <v>11404</v>
      </c>
      <c r="F17549" s="40" t="s">
        <v>11404</v>
      </c>
      <c r="G17549" s="40" t="s">
        <v>11404</v>
      </c>
      <c r="H17549" s="40" t="s">
        <v>11404</v>
      </c>
    </row>
    <row r="17550">
      <c r="A17550" s="39"/>
      <c r="E17550" s="40" t="s">
        <v>11404</v>
      </c>
      <c r="F17550" s="40" t="s">
        <v>11404</v>
      </c>
      <c r="G17550" s="40" t="s">
        <v>11404</v>
      </c>
      <c r="H17550" s="40" t="s">
        <v>11404</v>
      </c>
    </row>
    <row r="17551">
      <c r="A17551" s="39"/>
      <c r="E17551" s="40" t="s">
        <v>11404</v>
      </c>
      <c r="F17551" s="40" t="s">
        <v>11404</v>
      </c>
      <c r="G17551" s="40" t="s">
        <v>11404</v>
      </c>
      <c r="H17551" s="40" t="s">
        <v>11404</v>
      </c>
    </row>
    <row r="17552">
      <c r="A17552" s="39"/>
      <c r="E17552" s="40" t="s">
        <v>11404</v>
      </c>
      <c r="F17552" s="40" t="s">
        <v>11404</v>
      </c>
      <c r="G17552" s="40" t="s">
        <v>11404</v>
      </c>
      <c r="H17552" s="40" t="s">
        <v>11404</v>
      </c>
    </row>
    <row r="17553">
      <c r="A17553" s="39"/>
      <c r="E17553" s="40" t="s">
        <v>11404</v>
      </c>
      <c r="F17553" s="40" t="s">
        <v>11404</v>
      </c>
      <c r="G17553" s="40" t="s">
        <v>11404</v>
      </c>
      <c r="H17553" s="40" t="s">
        <v>11404</v>
      </c>
    </row>
    <row r="17554">
      <c r="A17554" s="39"/>
      <c r="E17554" s="40" t="s">
        <v>11404</v>
      </c>
      <c r="F17554" s="40" t="s">
        <v>11404</v>
      </c>
      <c r="G17554" s="40" t="s">
        <v>11404</v>
      </c>
      <c r="H17554" s="40" t="s">
        <v>11404</v>
      </c>
    </row>
    <row r="17555">
      <c r="A17555" s="39"/>
      <c r="E17555" s="40" t="s">
        <v>11404</v>
      </c>
      <c r="F17555" s="40" t="s">
        <v>11404</v>
      </c>
      <c r="G17555" s="40" t="s">
        <v>11404</v>
      </c>
      <c r="H17555" s="40" t="s">
        <v>11404</v>
      </c>
    </row>
    <row r="17556">
      <c r="A17556" s="39"/>
      <c r="E17556" s="40" t="s">
        <v>11404</v>
      </c>
      <c r="F17556" s="40" t="s">
        <v>11404</v>
      </c>
      <c r="G17556" s="40" t="s">
        <v>11404</v>
      </c>
      <c r="H17556" s="40" t="s">
        <v>11404</v>
      </c>
    </row>
    <row r="17557">
      <c r="A17557" s="39"/>
      <c r="E17557" s="40" t="s">
        <v>11404</v>
      </c>
      <c r="F17557" s="40" t="s">
        <v>11404</v>
      </c>
      <c r="G17557" s="40" t="s">
        <v>11404</v>
      </c>
      <c r="H17557" s="40" t="s">
        <v>11404</v>
      </c>
    </row>
    <row r="17558">
      <c r="A17558" s="39"/>
      <c r="E17558" s="40" t="s">
        <v>11404</v>
      </c>
      <c r="F17558" s="40" t="s">
        <v>11404</v>
      </c>
      <c r="G17558" s="40" t="s">
        <v>11404</v>
      </c>
      <c r="H17558" s="40" t="s">
        <v>11404</v>
      </c>
    </row>
    <row r="17559">
      <c r="A17559" s="39"/>
      <c r="E17559" s="40" t="s">
        <v>11404</v>
      </c>
      <c r="F17559" s="40" t="s">
        <v>11404</v>
      </c>
      <c r="G17559" s="40" t="s">
        <v>11404</v>
      </c>
      <c r="H17559" s="40" t="s">
        <v>11404</v>
      </c>
    </row>
    <row r="17560">
      <c r="A17560" s="39"/>
      <c r="E17560" s="40" t="s">
        <v>11404</v>
      </c>
      <c r="F17560" s="40" t="s">
        <v>11404</v>
      </c>
      <c r="G17560" s="40" t="s">
        <v>11404</v>
      </c>
      <c r="H17560" s="40" t="s">
        <v>11404</v>
      </c>
    </row>
    <row r="17561">
      <c r="A17561" s="39"/>
      <c r="E17561" s="40" t="s">
        <v>11404</v>
      </c>
      <c r="F17561" s="40" t="s">
        <v>11404</v>
      </c>
      <c r="G17561" s="40" t="s">
        <v>11404</v>
      </c>
      <c r="H17561" s="40" t="s">
        <v>11404</v>
      </c>
    </row>
    <row r="17562">
      <c r="A17562" s="39"/>
      <c r="E17562" s="40" t="s">
        <v>11404</v>
      </c>
      <c r="F17562" s="40" t="s">
        <v>11404</v>
      </c>
      <c r="G17562" s="40" t="s">
        <v>11404</v>
      </c>
      <c r="H17562" s="40" t="s">
        <v>11404</v>
      </c>
    </row>
    <row r="17563">
      <c r="A17563" s="39"/>
      <c r="E17563" s="40" t="s">
        <v>11404</v>
      </c>
      <c r="F17563" s="40" t="s">
        <v>11404</v>
      </c>
      <c r="G17563" s="40" t="s">
        <v>11404</v>
      </c>
      <c r="H17563" s="40" t="s">
        <v>11404</v>
      </c>
    </row>
    <row r="17564">
      <c r="A17564" s="39"/>
      <c r="E17564" s="40" t="s">
        <v>11404</v>
      </c>
      <c r="F17564" s="40" t="s">
        <v>11404</v>
      </c>
      <c r="G17564" s="40" t="s">
        <v>11404</v>
      </c>
      <c r="H17564" s="40" t="s">
        <v>11404</v>
      </c>
    </row>
    <row r="17565">
      <c r="A17565" s="39"/>
      <c r="E17565" s="40" t="s">
        <v>11404</v>
      </c>
      <c r="F17565" s="40" t="s">
        <v>11404</v>
      </c>
      <c r="G17565" s="40" t="s">
        <v>11404</v>
      </c>
      <c r="H17565" s="40" t="s">
        <v>11404</v>
      </c>
    </row>
    <row r="17566">
      <c r="A17566" s="39"/>
      <c r="E17566" s="40" t="s">
        <v>11404</v>
      </c>
      <c r="F17566" s="40" t="s">
        <v>11404</v>
      </c>
      <c r="G17566" s="40" t="s">
        <v>11404</v>
      </c>
      <c r="H17566" s="40" t="s">
        <v>11404</v>
      </c>
    </row>
    <row r="17567">
      <c r="A17567" s="39"/>
      <c r="E17567" s="40" t="s">
        <v>11404</v>
      </c>
      <c r="F17567" s="40" t="s">
        <v>11404</v>
      </c>
      <c r="G17567" s="40" t="s">
        <v>11404</v>
      </c>
      <c r="H17567" s="40" t="s">
        <v>11404</v>
      </c>
    </row>
    <row r="17568">
      <c r="A17568" s="39"/>
      <c r="E17568" s="40" t="s">
        <v>11404</v>
      </c>
      <c r="F17568" s="40" t="s">
        <v>11404</v>
      </c>
      <c r="G17568" s="40" t="s">
        <v>11404</v>
      </c>
      <c r="H17568" s="40" t="s">
        <v>11404</v>
      </c>
    </row>
    <row r="17569">
      <c r="A17569" s="39"/>
      <c r="E17569" s="40" t="s">
        <v>11404</v>
      </c>
      <c r="F17569" s="40" t="s">
        <v>11404</v>
      </c>
      <c r="G17569" s="40" t="s">
        <v>11404</v>
      </c>
      <c r="H17569" s="40" t="s">
        <v>11404</v>
      </c>
    </row>
    <row r="17570">
      <c r="A17570" s="39"/>
      <c r="E17570" s="40" t="s">
        <v>11404</v>
      </c>
      <c r="F17570" s="40" t="s">
        <v>11404</v>
      </c>
      <c r="G17570" s="40" t="s">
        <v>11404</v>
      </c>
      <c r="H17570" s="40" t="s">
        <v>11404</v>
      </c>
    </row>
    <row r="17571">
      <c r="A17571" s="39"/>
      <c r="E17571" s="40" t="s">
        <v>11404</v>
      </c>
      <c r="F17571" s="40" t="s">
        <v>11404</v>
      </c>
      <c r="G17571" s="40" t="s">
        <v>11404</v>
      </c>
      <c r="H17571" s="40" t="s">
        <v>11404</v>
      </c>
    </row>
    <row r="17572">
      <c r="A17572" s="39"/>
      <c r="E17572" s="40" t="s">
        <v>11404</v>
      </c>
      <c r="F17572" s="40" t="s">
        <v>11404</v>
      </c>
      <c r="G17572" s="40" t="s">
        <v>11404</v>
      </c>
      <c r="H17572" s="40" t="s">
        <v>11404</v>
      </c>
    </row>
    <row r="17573">
      <c r="A17573" s="39"/>
      <c r="E17573" s="40" t="s">
        <v>11404</v>
      </c>
      <c r="F17573" s="40" t="s">
        <v>11404</v>
      </c>
      <c r="G17573" s="40" t="s">
        <v>11404</v>
      </c>
      <c r="H17573" s="40" t="s">
        <v>11404</v>
      </c>
    </row>
    <row r="17574">
      <c r="A17574" s="39"/>
      <c r="E17574" s="40" t="s">
        <v>11404</v>
      </c>
      <c r="F17574" s="40" t="s">
        <v>11404</v>
      </c>
      <c r="G17574" s="40" t="s">
        <v>11404</v>
      </c>
      <c r="H17574" s="40" t="s">
        <v>11404</v>
      </c>
    </row>
    <row r="17575">
      <c r="A17575" s="39"/>
      <c r="E17575" s="40" t="s">
        <v>11404</v>
      </c>
      <c r="F17575" s="40" t="s">
        <v>11404</v>
      </c>
      <c r="G17575" s="40" t="s">
        <v>11404</v>
      </c>
      <c r="H17575" s="40" t="s">
        <v>11404</v>
      </c>
    </row>
    <row r="17576">
      <c r="A17576" s="39"/>
      <c r="E17576" s="40" t="s">
        <v>11404</v>
      </c>
      <c r="F17576" s="40" t="s">
        <v>11404</v>
      </c>
      <c r="G17576" s="40" t="s">
        <v>11404</v>
      </c>
      <c r="H17576" s="40" t="s">
        <v>11404</v>
      </c>
    </row>
    <row r="17577">
      <c r="A17577" s="39"/>
      <c r="E17577" s="40" t="s">
        <v>11404</v>
      </c>
      <c r="F17577" s="40" t="s">
        <v>11404</v>
      </c>
      <c r="G17577" s="40" t="s">
        <v>11404</v>
      </c>
      <c r="H17577" s="40" t="s">
        <v>11404</v>
      </c>
    </row>
    <row r="17578">
      <c r="A17578" s="39"/>
      <c r="E17578" s="40" t="s">
        <v>11404</v>
      </c>
      <c r="F17578" s="40" t="s">
        <v>11404</v>
      </c>
      <c r="G17578" s="40" t="s">
        <v>11404</v>
      </c>
      <c r="H17578" s="40" t="s">
        <v>11404</v>
      </c>
    </row>
    <row r="17579">
      <c r="A17579" s="39"/>
      <c r="E17579" s="40" t="s">
        <v>11404</v>
      </c>
      <c r="F17579" s="40" t="s">
        <v>11404</v>
      </c>
      <c r="G17579" s="40" t="s">
        <v>11404</v>
      </c>
      <c r="H17579" s="40" t="s">
        <v>11404</v>
      </c>
    </row>
    <row r="17580">
      <c r="A17580" s="39"/>
      <c r="E17580" s="40" t="s">
        <v>11404</v>
      </c>
      <c r="F17580" s="40" t="s">
        <v>11404</v>
      </c>
      <c r="G17580" s="40" t="s">
        <v>11404</v>
      </c>
      <c r="H17580" s="40" t="s">
        <v>11404</v>
      </c>
    </row>
    <row r="17581">
      <c r="A17581" s="39"/>
      <c r="E17581" s="40" t="s">
        <v>11404</v>
      </c>
      <c r="F17581" s="40" t="s">
        <v>11404</v>
      </c>
      <c r="G17581" s="40" t="s">
        <v>11404</v>
      </c>
      <c r="H17581" s="40" t="s">
        <v>11404</v>
      </c>
    </row>
    <row r="17582">
      <c r="A17582" s="39"/>
      <c r="E17582" s="40" t="s">
        <v>11404</v>
      </c>
      <c r="F17582" s="40" t="s">
        <v>11404</v>
      </c>
      <c r="G17582" s="40" t="s">
        <v>11404</v>
      </c>
      <c r="H17582" s="40" t="s">
        <v>11404</v>
      </c>
    </row>
    <row r="17583">
      <c r="A17583" s="39"/>
      <c r="E17583" s="40" t="s">
        <v>11404</v>
      </c>
      <c r="F17583" s="40" t="s">
        <v>11404</v>
      </c>
      <c r="G17583" s="40" t="s">
        <v>11404</v>
      </c>
      <c r="H17583" s="40" t="s">
        <v>11404</v>
      </c>
    </row>
    <row r="17584">
      <c r="A17584" s="39"/>
      <c r="E17584" s="40" t="s">
        <v>11404</v>
      </c>
      <c r="F17584" s="40" t="s">
        <v>11404</v>
      </c>
      <c r="G17584" s="40" t="s">
        <v>11404</v>
      </c>
      <c r="H17584" s="40" t="s">
        <v>11404</v>
      </c>
    </row>
    <row r="17585">
      <c r="A17585" s="39"/>
      <c r="E17585" s="40" t="s">
        <v>11404</v>
      </c>
      <c r="F17585" s="40" t="s">
        <v>11404</v>
      </c>
      <c r="G17585" s="40" t="s">
        <v>11404</v>
      </c>
      <c r="H17585" s="40" t="s">
        <v>11404</v>
      </c>
    </row>
    <row r="17586">
      <c r="A17586" s="39"/>
      <c r="E17586" s="40" t="s">
        <v>11404</v>
      </c>
      <c r="F17586" s="40" t="s">
        <v>11404</v>
      </c>
      <c r="G17586" s="40" t="s">
        <v>11404</v>
      </c>
      <c r="H17586" s="40" t="s">
        <v>11404</v>
      </c>
    </row>
    <row r="17587">
      <c r="A17587" s="39"/>
      <c r="E17587" s="40" t="s">
        <v>11404</v>
      </c>
      <c r="F17587" s="40" t="s">
        <v>11404</v>
      </c>
      <c r="G17587" s="40" t="s">
        <v>11404</v>
      </c>
      <c r="H17587" s="40" t="s">
        <v>11404</v>
      </c>
    </row>
    <row r="17588">
      <c r="A17588" s="39"/>
      <c r="E17588" s="40" t="s">
        <v>11404</v>
      </c>
      <c r="F17588" s="40" t="s">
        <v>11404</v>
      </c>
      <c r="G17588" s="40" t="s">
        <v>11404</v>
      </c>
      <c r="H17588" s="40" t="s">
        <v>11404</v>
      </c>
    </row>
    <row r="17589">
      <c r="A17589" s="39"/>
      <c r="E17589" s="40" t="s">
        <v>11404</v>
      </c>
      <c r="F17589" s="40" t="s">
        <v>11404</v>
      </c>
      <c r="G17589" s="40" t="s">
        <v>11404</v>
      </c>
      <c r="H17589" s="40" t="s">
        <v>11404</v>
      </c>
    </row>
    <row r="17590">
      <c r="A17590" s="39"/>
      <c r="E17590" s="40" t="s">
        <v>11404</v>
      </c>
      <c r="F17590" s="40" t="s">
        <v>11404</v>
      </c>
      <c r="G17590" s="40" t="s">
        <v>11404</v>
      </c>
      <c r="H17590" s="40" t="s">
        <v>11404</v>
      </c>
    </row>
    <row r="17591">
      <c r="A17591" s="39"/>
      <c r="E17591" s="40" t="s">
        <v>11404</v>
      </c>
      <c r="F17591" s="40" t="s">
        <v>11404</v>
      </c>
      <c r="G17591" s="40" t="s">
        <v>11404</v>
      </c>
      <c r="H17591" s="40" t="s">
        <v>11404</v>
      </c>
    </row>
    <row r="17592">
      <c r="A17592" s="39"/>
      <c r="E17592" s="40" t="s">
        <v>11404</v>
      </c>
      <c r="F17592" s="40" t="s">
        <v>11404</v>
      </c>
      <c r="G17592" s="40" t="s">
        <v>11404</v>
      </c>
      <c r="H17592" s="40" t="s">
        <v>11404</v>
      </c>
    </row>
    <row r="17593">
      <c r="A17593" s="39"/>
      <c r="E17593" s="40" t="s">
        <v>11404</v>
      </c>
      <c r="F17593" s="40" t="s">
        <v>11404</v>
      </c>
      <c r="G17593" s="40" t="s">
        <v>11404</v>
      </c>
      <c r="H17593" s="40" t="s">
        <v>11404</v>
      </c>
    </row>
    <row r="17594">
      <c r="A17594" s="39"/>
      <c r="E17594" s="40" t="s">
        <v>11404</v>
      </c>
      <c r="F17594" s="40" t="s">
        <v>11404</v>
      </c>
      <c r="G17594" s="40" t="s">
        <v>11404</v>
      </c>
      <c r="H17594" s="40" t="s">
        <v>11404</v>
      </c>
    </row>
    <row r="17595">
      <c r="A17595" s="39"/>
      <c r="E17595" s="40" t="s">
        <v>11404</v>
      </c>
      <c r="F17595" s="40" t="s">
        <v>11404</v>
      </c>
      <c r="G17595" s="40" t="s">
        <v>11404</v>
      </c>
      <c r="H17595" s="40" t="s">
        <v>11404</v>
      </c>
    </row>
    <row r="17596">
      <c r="A17596" s="39"/>
      <c r="E17596" s="40" t="s">
        <v>11404</v>
      </c>
      <c r="F17596" s="40" t="s">
        <v>11404</v>
      </c>
      <c r="G17596" s="40" t="s">
        <v>11404</v>
      </c>
      <c r="H17596" s="40" t="s">
        <v>11404</v>
      </c>
    </row>
    <row r="17597">
      <c r="A17597" s="39"/>
      <c r="E17597" s="40" t="s">
        <v>11404</v>
      </c>
      <c r="F17597" s="40" t="s">
        <v>11404</v>
      </c>
      <c r="G17597" s="40" t="s">
        <v>11404</v>
      </c>
      <c r="H17597" s="40" t="s">
        <v>11404</v>
      </c>
    </row>
    <row r="17598">
      <c r="A17598" s="39"/>
      <c r="E17598" s="40" t="s">
        <v>11404</v>
      </c>
      <c r="F17598" s="40" t="s">
        <v>11404</v>
      </c>
      <c r="G17598" s="40" t="s">
        <v>11404</v>
      </c>
      <c r="H17598" s="40" t="s">
        <v>11404</v>
      </c>
    </row>
    <row r="17599">
      <c r="A17599" s="39"/>
      <c r="E17599" s="40" t="s">
        <v>11404</v>
      </c>
      <c r="F17599" s="40" t="s">
        <v>11404</v>
      </c>
      <c r="G17599" s="40" t="s">
        <v>11404</v>
      </c>
      <c r="H17599" s="40" t="s">
        <v>11404</v>
      </c>
    </row>
    <row r="17600">
      <c r="A17600" s="39"/>
      <c r="E17600" s="40" t="s">
        <v>11404</v>
      </c>
      <c r="F17600" s="40" t="s">
        <v>11404</v>
      </c>
      <c r="G17600" s="40" t="s">
        <v>11404</v>
      </c>
      <c r="H17600" s="40" t="s">
        <v>11404</v>
      </c>
    </row>
    <row r="17601">
      <c r="A17601" s="39"/>
      <c r="E17601" s="40" t="s">
        <v>11404</v>
      </c>
      <c r="F17601" s="40" t="s">
        <v>11404</v>
      </c>
      <c r="G17601" s="40" t="s">
        <v>11404</v>
      </c>
      <c r="H17601" s="40" t="s">
        <v>11404</v>
      </c>
    </row>
    <row r="17602">
      <c r="A17602" s="39"/>
      <c r="E17602" s="40" t="s">
        <v>11404</v>
      </c>
      <c r="F17602" s="40" t="s">
        <v>11404</v>
      </c>
      <c r="G17602" s="40" t="s">
        <v>11404</v>
      </c>
      <c r="H17602" s="40" t="s">
        <v>11404</v>
      </c>
    </row>
    <row r="17603">
      <c r="A17603" s="39"/>
      <c r="E17603" s="40" t="s">
        <v>11404</v>
      </c>
      <c r="F17603" s="40" t="s">
        <v>11404</v>
      </c>
      <c r="G17603" s="40" t="s">
        <v>11404</v>
      </c>
      <c r="H17603" s="40" t="s">
        <v>11404</v>
      </c>
    </row>
    <row r="17604">
      <c r="A17604" s="39"/>
      <c r="E17604" s="40" t="s">
        <v>11404</v>
      </c>
      <c r="F17604" s="40" t="s">
        <v>11404</v>
      </c>
      <c r="G17604" s="40" t="s">
        <v>11404</v>
      </c>
      <c r="H17604" s="40" t="s">
        <v>11404</v>
      </c>
    </row>
    <row r="17605">
      <c r="A17605" s="39"/>
      <c r="E17605" s="40" t="s">
        <v>11404</v>
      </c>
      <c r="F17605" s="40" t="s">
        <v>11404</v>
      </c>
      <c r="G17605" s="40" t="s">
        <v>11404</v>
      </c>
      <c r="H17605" s="40" t="s">
        <v>11404</v>
      </c>
    </row>
    <row r="17606">
      <c r="A17606" s="39"/>
      <c r="E17606" s="40" t="s">
        <v>11404</v>
      </c>
      <c r="F17606" s="40" t="s">
        <v>11404</v>
      </c>
      <c r="G17606" s="40" t="s">
        <v>11404</v>
      </c>
      <c r="H17606" s="40" t="s">
        <v>11404</v>
      </c>
    </row>
    <row r="17607">
      <c r="A17607" s="39"/>
      <c r="E17607" s="40" t="s">
        <v>11404</v>
      </c>
      <c r="F17607" s="40" t="s">
        <v>11404</v>
      </c>
      <c r="G17607" s="40" t="s">
        <v>11404</v>
      </c>
      <c r="H17607" s="40" t="s">
        <v>11404</v>
      </c>
    </row>
    <row r="17608">
      <c r="A17608" s="39"/>
      <c r="E17608" s="40" t="s">
        <v>11404</v>
      </c>
      <c r="F17608" s="40" t="s">
        <v>11404</v>
      </c>
      <c r="G17608" s="40" t="s">
        <v>11404</v>
      </c>
      <c r="H17608" s="40" t="s">
        <v>11404</v>
      </c>
    </row>
    <row r="17609">
      <c r="A17609" s="39"/>
      <c r="E17609" s="40" t="s">
        <v>11404</v>
      </c>
      <c r="F17609" s="40" t="s">
        <v>11404</v>
      </c>
      <c r="G17609" s="40" t="s">
        <v>11404</v>
      </c>
      <c r="H17609" s="40" t="s">
        <v>11404</v>
      </c>
    </row>
    <row r="17610">
      <c r="A17610" s="39"/>
      <c r="E17610" s="40" t="s">
        <v>11404</v>
      </c>
      <c r="F17610" s="40" t="s">
        <v>11404</v>
      </c>
      <c r="G17610" s="40" t="s">
        <v>11404</v>
      </c>
      <c r="H17610" s="40" t="s">
        <v>11404</v>
      </c>
    </row>
    <row r="17611">
      <c r="A17611" s="39"/>
      <c r="E17611" s="40" t="s">
        <v>11404</v>
      </c>
      <c r="F17611" s="40" t="s">
        <v>11404</v>
      </c>
      <c r="G17611" s="40" t="s">
        <v>11404</v>
      </c>
      <c r="H17611" s="40" t="s">
        <v>11404</v>
      </c>
    </row>
    <row r="17612">
      <c r="A17612" s="39"/>
      <c r="E17612" s="40" t="s">
        <v>11404</v>
      </c>
      <c r="F17612" s="40" t="s">
        <v>11404</v>
      </c>
      <c r="G17612" s="40" t="s">
        <v>11404</v>
      </c>
      <c r="H17612" s="40" t="s">
        <v>11404</v>
      </c>
    </row>
    <row r="17613">
      <c r="A17613" s="39"/>
      <c r="E17613" s="40" t="s">
        <v>11404</v>
      </c>
      <c r="F17613" s="40" t="s">
        <v>11404</v>
      </c>
      <c r="G17613" s="40" t="s">
        <v>11404</v>
      </c>
      <c r="H17613" s="40" t="s">
        <v>11404</v>
      </c>
    </row>
    <row r="17614">
      <c r="A17614" s="39"/>
      <c r="E17614" s="40" t="s">
        <v>11404</v>
      </c>
      <c r="F17614" s="40" t="s">
        <v>11404</v>
      </c>
      <c r="G17614" s="40" t="s">
        <v>11404</v>
      </c>
      <c r="H17614" s="40" t="s">
        <v>11404</v>
      </c>
    </row>
    <row r="17615">
      <c r="A17615" s="39"/>
      <c r="E17615" s="40" t="s">
        <v>11404</v>
      </c>
      <c r="F17615" s="40" t="s">
        <v>11404</v>
      </c>
      <c r="G17615" s="40" t="s">
        <v>11404</v>
      </c>
      <c r="H17615" s="40" t="s">
        <v>11404</v>
      </c>
    </row>
    <row r="17616">
      <c r="A17616" s="39"/>
      <c r="E17616" s="40" t="s">
        <v>11404</v>
      </c>
      <c r="F17616" s="40" t="s">
        <v>11404</v>
      </c>
      <c r="G17616" s="40" t="s">
        <v>11404</v>
      </c>
      <c r="H17616" s="40" t="s">
        <v>11404</v>
      </c>
    </row>
    <row r="17617">
      <c r="A17617" s="39"/>
      <c r="E17617" s="40" t="s">
        <v>11404</v>
      </c>
      <c r="F17617" s="40" t="s">
        <v>11404</v>
      </c>
      <c r="G17617" s="40" t="s">
        <v>11404</v>
      </c>
      <c r="H17617" s="40" t="s">
        <v>11404</v>
      </c>
    </row>
    <row r="17618">
      <c r="A17618" s="39"/>
      <c r="E17618" s="40" t="s">
        <v>11404</v>
      </c>
      <c r="F17618" s="40" t="s">
        <v>11404</v>
      </c>
      <c r="G17618" s="40" t="s">
        <v>11404</v>
      </c>
      <c r="H17618" s="40" t="s">
        <v>11404</v>
      </c>
    </row>
    <row r="17619">
      <c r="A17619" s="39"/>
      <c r="E17619" s="40" t="s">
        <v>11404</v>
      </c>
      <c r="F17619" s="40" t="s">
        <v>11404</v>
      </c>
      <c r="G17619" s="40" t="s">
        <v>11404</v>
      </c>
      <c r="H17619" s="40" t="s">
        <v>11404</v>
      </c>
    </row>
    <row r="17620">
      <c r="A17620" s="39"/>
      <c r="E17620" s="40" t="s">
        <v>11404</v>
      </c>
      <c r="F17620" s="40" t="s">
        <v>11404</v>
      </c>
      <c r="G17620" s="40" t="s">
        <v>11404</v>
      </c>
      <c r="H17620" s="40" t="s">
        <v>11404</v>
      </c>
    </row>
    <row r="17621">
      <c r="A17621" s="39"/>
      <c r="E17621" s="40" t="s">
        <v>11404</v>
      </c>
      <c r="F17621" s="40" t="s">
        <v>11404</v>
      </c>
      <c r="G17621" s="40" t="s">
        <v>11404</v>
      </c>
      <c r="H17621" s="40" t="s">
        <v>11404</v>
      </c>
    </row>
    <row r="17622">
      <c r="A17622" s="39"/>
      <c r="E17622" s="40" t="s">
        <v>11404</v>
      </c>
      <c r="F17622" s="40" t="s">
        <v>11404</v>
      </c>
      <c r="G17622" s="40" t="s">
        <v>11404</v>
      </c>
      <c r="H17622" s="40" t="s">
        <v>11404</v>
      </c>
    </row>
    <row r="17623">
      <c r="A17623" s="39"/>
      <c r="E17623" s="40" t="s">
        <v>11404</v>
      </c>
      <c r="F17623" s="40" t="s">
        <v>11404</v>
      </c>
      <c r="G17623" s="40" t="s">
        <v>11404</v>
      </c>
      <c r="H17623" s="40" t="s">
        <v>11404</v>
      </c>
    </row>
    <row r="17624">
      <c r="A17624" s="39"/>
      <c r="E17624" s="40" t="s">
        <v>11404</v>
      </c>
      <c r="F17624" s="40" t="s">
        <v>11404</v>
      </c>
      <c r="G17624" s="40" t="s">
        <v>11404</v>
      </c>
      <c r="H17624" s="40" t="s">
        <v>11404</v>
      </c>
    </row>
    <row r="17625">
      <c r="A17625" s="39"/>
      <c r="E17625" s="40" t="s">
        <v>11404</v>
      </c>
      <c r="F17625" s="40" t="s">
        <v>11404</v>
      </c>
      <c r="G17625" s="40" t="s">
        <v>11404</v>
      </c>
      <c r="H17625" s="40" t="s">
        <v>11404</v>
      </c>
    </row>
    <row r="17626">
      <c r="A17626" s="39"/>
      <c r="E17626" s="40" t="s">
        <v>11404</v>
      </c>
      <c r="F17626" s="40" t="s">
        <v>11404</v>
      </c>
      <c r="G17626" s="40" t="s">
        <v>11404</v>
      </c>
      <c r="H17626" s="40" t="s">
        <v>11404</v>
      </c>
    </row>
    <row r="17627">
      <c r="A17627" s="39"/>
      <c r="E17627" s="40" t="s">
        <v>11404</v>
      </c>
      <c r="F17627" s="40" t="s">
        <v>11404</v>
      </c>
      <c r="G17627" s="40" t="s">
        <v>11404</v>
      </c>
      <c r="H17627" s="40" t="s">
        <v>11404</v>
      </c>
    </row>
    <row r="17628">
      <c r="A17628" s="39"/>
      <c r="E17628" s="40" t="s">
        <v>11404</v>
      </c>
      <c r="F17628" s="40" t="s">
        <v>11404</v>
      </c>
      <c r="G17628" s="40" t="s">
        <v>11404</v>
      </c>
      <c r="H17628" s="40" t="s">
        <v>11404</v>
      </c>
    </row>
    <row r="17629">
      <c r="A17629" s="39"/>
      <c r="E17629" s="40" t="s">
        <v>11404</v>
      </c>
      <c r="F17629" s="40" t="s">
        <v>11404</v>
      </c>
      <c r="G17629" s="40" t="s">
        <v>11404</v>
      </c>
      <c r="H17629" s="40" t="s">
        <v>11404</v>
      </c>
    </row>
    <row r="17630">
      <c r="A17630" s="39"/>
      <c r="E17630" s="40" t="s">
        <v>11404</v>
      </c>
      <c r="F17630" s="40" t="s">
        <v>11404</v>
      </c>
      <c r="G17630" s="40" t="s">
        <v>11404</v>
      </c>
      <c r="H17630" s="40" t="s">
        <v>11404</v>
      </c>
    </row>
    <row r="17631">
      <c r="A17631" s="39"/>
      <c r="E17631" s="40" t="s">
        <v>11404</v>
      </c>
      <c r="F17631" s="40" t="s">
        <v>11404</v>
      </c>
      <c r="G17631" s="40" t="s">
        <v>11404</v>
      </c>
      <c r="H17631" s="40" t="s">
        <v>11404</v>
      </c>
    </row>
    <row r="17632">
      <c r="A17632" s="39"/>
      <c r="E17632" s="40" t="s">
        <v>11404</v>
      </c>
      <c r="F17632" s="40" t="s">
        <v>11404</v>
      </c>
      <c r="G17632" s="40" t="s">
        <v>11404</v>
      </c>
      <c r="H17632" s="40" t="s">
        <v>11404</v>
      </c>
    </row>
    <row r="17633">
      <c r="A17633" s="39"/>
      <c r="E17633" s="40" t="s">
        <v>11404</v>
      </c>
      <c r="F17633" s="40" t="s">
        <v>11404</v>
      </c>
      <c r="G17633" s="40" t="s">
        <v>11404</v>
      </c>
      <c r="H17633" s="40" t="s">
        <v>11404</v>
      </c>
    </row>
    <row r="17634">
      <c r="A17634" s="39"/>
      <c r="E17634" s="40" t="s">
        <v>11404</v>
      </c>
      <c r="F17634" s="40" t="s">
        <v>11404</v>
      </c>
      <c r="G17634" s="40" t="s">
        <v>11404</v>
      </c>
      <c r="H17634" s="40" t="s">
        <v>11404</v>
      </c>
    </row>
    <row r="17635">
      <c r="A17635" s="39"/>
      <c r="E17635" s="40" t="s">
        <v>11404</v>
      </c>
      <c r="F17635" s="40" t="s">
        <v>11404</v>
      </c>
      <c r="G17635" s="40" t="s">
        <v>11404</v>
      </c>
      <c r="H17635" s="40" t="s">
        <v>11404</v>
      </c>
    </row>
    <row r="17636">
      <c r="A17636" s="39"/>
      <c r="E17636" s="40" t="s">
        <v>11404</v>
      </c>
      <c r="F17636" s="40" t="s">
        <v>11404</v>
      </c>
      <c r="G17636" s="40" t="s">
        <v>11404</v>
      </c>
      <c r="H17636" s="40" t="s">
        <v>11404</v>
      </c>
    </row>
    <row r="17637">
      <c r="A17637" s="39"/>
      <c r="E17637" s="40" t="s">
        <v>11404</v>
      </c>
      <c r="F17637" s="40" t="s">
        <v>11404</v>
      </c>
      <c r="G17637" s="40" t="s">
        <v>11404</v>
      </c>
      <c r="H17637" s="40" t="s">
        <v>11404</v>
      </c>
    </row>
    <row r="17638">
      <c r="A17638" s="39"/>
      <c r="E17638" s="40" t="s">
        <v>11404</v>
      </c>
      <c r="F17638" s="40" t="s">
        <v>11404</v>
      </c>
      <c r="G17638" s="40" t="s">
        <v>11404</v>
      </c>
      <c r="H17638" s="40" t="s">
        <v>11404</v>
      </c>
    </row>
    <row r="17639">
      <c r="A17639" s="39"/>
      <c r="E17639" s="40" t="s">
        <v>11404</v>
      </c>
      <c r="F17639" s="40" t="s">
        <v>11404</v>
      </c>
      <c r="G17639" s="40" t="s">
        <v>11404</v>
      </c>
      <c r="H17639" s="40" t="s">
        <v>11404</v>
      </c>
    </row>
    <row r="17640">
      <c r="A17640" s="39"/>
      <c r="E17640" s="40" t="s">
        <v>11404</v>
      </c>
      <c r="F17640" s="40" t="s">
        <v>11404</v>
      </c>
      <c r="G17640" s="40" t="s">
        <v>11404</v>
      </c>
      <c r="H17640" s="40" t="s">
        <v>11404</v>
      </c>
    </row>
    <row r="17641">
      <c r="A17641" s="39"/>
      <c r="E17641" s="40" t="s">
        <v>11404</v>
      </c>
      <c r="F17641" s="40" t="s">
        <v>11404</v>
      </c>
      <c r="G17641" s="40" t="s">
        <v>11404</v>
      </c>
      <c r="H17641" s="40" t="s">
        <v>11404</v>
      </c>
    </row>
    <row r="17642">
      <c r="A17642" s="39"/>
      <c r="E17642" s="40" t="s">
        <v>11404</v>
      </c>
      <c r="F17642" s="40" t="s">
        <v>11404</v>
      </c>
      <c r="G17642" s="40" t="s">
        <v>11404</v>
      </c>
      <c r="H17642" s="40" t="s">
        <v>11404</v>
      </c>
    </row>
    <row r="17643">
      <c r="A17643" s="39"/>
      <c r="E17643" s="40" t="s">
        <v>11404</v>
      </c>
      <c r="F17643" s="40" t="s">
        <v>11404</v>
      </c>
      <c r="G17643" s="40" t="s">
        <v>11404</v>
      </c>
      <c r="H17643" s="40" t="s">
        <v>11404</v>
      </c>
    </row>
    <row r="17644">
      <c r="A17644" s="39"/>
      <c r="E17644" s="40" t="s">
        <v>11404</v>
      </c>
      <c r="F17644" s="40" t="s">
        <v>11404</v>
      </c>
      <c r="G17644" s="40" t="s">
        <v>11404</v>
      </c>
      <c r="H17644" s="40" t="s">
        <v>11404</v>
      </c>
    </row>
    <row r="17645">
      <c r="A17645" s="39"/>
      <c r="E17645" s="40" t="s">
        <v>11404</v>
      </c>
      <c r="F17645" s="40" t="s">
        <v>11404</v>
      </c>
      <c r="G17645" s="40" t="s">
        <v>11404</v>
      </c>
      <c r="H17645" s="40" t="s">
        <v>11404</v>
      </c>
    </row>
    <row r="17646">
      <c r="A17646" s="39"/>
      <c r="E17646" s="40" t="s">
        <v>11404</v>
      </c>
      <c r="F17646" s="40" t="s">
        <v>11404</v>
      </c>
      <c r="G17646" s="40" t="s">
        <v>11404</v>
      </c>
      <c r="H17646" s="40" t="s">
        <v>11404</v>
      </c>
    </row>
    <row r="17647">
      <c r="A17647" s="39"/>
      <c r="E17647" s="40" t="s">
        <v>11404</v>
      </c>
      <c r="F17647" s="40" t="s">
        <v>11404</v>
      </c>
      <c r="G17647" s="40" t="s">
        <v>11404</v>
      </c>
      <c r="H17647" s="40" t="s">
        <v>11404</v>
      </c>
    </row>
    <row r="17648">
      <c r="A17648" s="39"/>
      <c r="E17648" s="40" t="s">
        <v>11404</v>
      </c>
      <c r="F17648" s="40" t="s">
        <v>11404</v>
      </c>
      <c r="G17648" s="40" t="s">
        <v>11404</v>
      </c>
      <c r="H17648" s="40" t="s">
        <v>11404</v>
      </c>
    </row>
    <row r="17649">
      <c r="A17649" s="39"/>
      <c r="E17649" s="40" t="s">
        <v>11404</v>
      </c>
      <c r="F17649" s="40" t="s">
        <v>11404</v>
      </c>
      <c r="G17649" s="40" t="s">
        <v>11404</v>
      </c>
      <c r="H17649" s="40" t="s">
        <v>11404</v>
      </c>
    </row>
    <row r="17650">
      <c r="A17650" s="39"/>
      <c r="E17650" s="40" t="s">
        <v>11404</v>
      </c>
      <c r="F17650" s="40" t="s">
        <v>11404</v>
      </c>
      <c r="G17650" s="40" t="s">
        <v>11404</v>
      </c>
      <c r="H17650" s="40" t="s">
        <v>11404</v>
      </c>
    </row>
    <row r="17651">
      <c r="A17651" s="39"/>
      <c r="E17651" s="40" t="s">
        <v>11404</v>
      </c>
      <c r="F17651" s="40" t="s">
        <v>11404</v>
      </c>
      <c r="G17651" s="40" t="s">
        <v>11404</v>
      </c>
      <c r="H17651" s="40" t="s">
        <v>11404</v>
      </c>
    </row>
    <row r="17652">
      <c r="A17652" s="39"/>
      <c r="E17652" s="40" t="s">
        <v>11404</v>
      </c>
      <c r="F17652" s="40" t="s">
        <v>11404</v>
      </c>
      <c r="G17652" s="40" t="s">
        <v>11404</v>
      </c>
      <c r="H17652" s="40" t="s">
        <v>11404</v>
      </c>
    </row>
    <row r="17653">
      <c r="A17653" s="39"/>
      <c r="E17653" s="40" t="s">
        <v>11404</v>
      </c>
      <c r="F17653" s="40" t="s">
        <v>11404</v>
      </c>
      <c r="G17653" s="40" t="s">
        <v>11404</v>
      </c>
      <c r="H17653" s="40" t="s">
        <v>11404</v>
      </c>
    </row>
    <row r="17654">
      <c r="A17654" s="39"/>
      <c r="E17654" s="40" t="s">
        <v>11404</v>
      </c>
      <c r="F17654" s="40" t="s">
        <v>11404</v>
      </c>
      <c r="G17654" s="40" t="s">
        <v>11404</v>
      </c>
      <c r="H17654" s="40" t="s">
        <v>11404</v>
      </c>
    </row>
    <row r="17655">
      <c r="A17655" s="39"/>
      <c r="E17655" s="40" t="s">
        <v>11404</v>
      </c>
      <c r="F17655" s="40" t="s">
        <v>11404</v>
      </c>
      <c r="G17655" s="40" t="s">
        <v>11404</v>
      </c>
      <c r="H17655" s="40" t="s">
        <v>11404</v>
      </c>
    </row>
    <row r="17656">
      <c r="A17656" s="39"/>
      <c r="E17656" s="40" t="s">
        <v>11404</v>
      </c>
      <c r="F17656" s="40" t="s">
        <v>11404</v>
      </c>
      <c r="G17656" s="40" t="s">
        <v>11404</v>
      </c>
      <c r="H17656" s="40" t="s">
        <v>11404</v>
      </c>
    </row>
    <row r="17657">
      <c r="A17657" s="39"/>
      <c r="E17657" s="40" t="s">
        <v>11404</v>
      </c>
      <c r="F17657" s="40" t="s">
        <v>11404</v>
      </c>
      <c r="G17657" s="40" t="s">
        <v>11404</v>
      </c>
      <c r="H17657" s="40" t="s">
        <v>11404</v>
      </c>
    </row>
    <row r="17658">
      <c r="A17658" s="39"/>
      <c r="E17658" s="40" t="s">
        <v>11404</v>
      </c>
      <c r="F17658" s="40" t="s">
        <v>11404</v>
      </c>
      <c r="G17658" s="40" t="s">
        <v>11404</v>
      </c>
      <c r="H17658" s="40" t="s">
        <v>11404</v>
      </c>
    </row>
    <row r="17659">
      <c r="A17659" s="39"/>
      <c r="E17659" s="40" t="s">
        <v>11404</v>
      </c>
      <c r="F17659" s="40" t="s">
        <v>11404</v>
      </c>
      <c r="G17659" s="40" t="s">
        <v>11404</v>
      </c>
      <c r="H17659" s="40" t="s">
        <v>11404</v>
      </c>
    </row>
    <row r="17660">
      <c r="A17660" s="39"/>
      <c r="E17660" s="40" t="s">
        <v>11404</v>
      </c>
      <c r="F17660" s="40" t="s">
        <v>11404</v>
      </c>
      <c r="G17660" s="40" t="s">
        <v>11404</v>
      </c>
      <c r="H17660" s="40" t="s">
        <v>11404</v>
      </c>
    </row>
    <row r="17661">
      <c r="A17661" s="39"/>
      <c r="E17661" s="40" t="s">
        <v>11404</v>
      </c>
      <c r="F17661" s="40" t="s">
        <v>11404</v>
      </c>
      <c r="G17661" s="40" t="s">
        <v>11404</v>
      </c>
      <c r="H17661" s="40" t="s">
        <v>11404</v>
      </c>
    </row>
    <row r="17662">
      <c r="A17662" s="39"/>
      <c r="E17662" s="40" t="s">
        <v>11404</v>
      </c>
      <c r="F17662" s="40" t="s">
        <v>11404</v>
      </c>
      <c r="G17662" s="40" t="s">
        <v>11404</v>
      </c>
      <c r="H17662" s="40" t="s">
        <v>11404</v>
      </c>
    </row>
    <row r="17663">
      <c r="A17663" s="39"/>
      <c r="E17663" s="40" t="s">
        <v>11404</v>
      </c>
      <c r="F17663" s="40" t="s">
        <v>11404</v>
      </c>
      <c r="G17663" s="40" t="s">
        <v>11404</v>
      </c>
      <c r="H17663" s="40" t="s">
        <v>11404</v>
      </c>
    </row>
    <row r="17664">
      <c r="A17664" s="39"/>
      <c r="E17664" s="40" t="s">
        <v>11404</v>
      </c>
      <c r="F17664" s="40" t="s">
        <v>11404</v>
      </c>
      <c r="G17664" s="40" t="s">
        <v>11404</v>
      </c>
      <c r="H17664" s="40" t="s">
        <v>11404</v>
      </c>
    </row>
    <row r="17665">
      <c r="A17665" s="39"/>
      <c r="E17665" s="40" t="s">
        <v>11404</v>
      </c>
      <c r="F17665" s="40" t="s">
        <v>11404</v>
      </c>
      <c r="G17665" s="40" t="s">
        <v>11404</v>
      </c>
      <c r="H17665" s="40" t="s">
        <v>11404</v>
      </c>
    </row>
    <row r="17666">
      <c r="A17666" s="39"/>
      <c r="E17666" s="40" t="s">
        <v>11404</v>
      </c>
      <c r="F17666" s="40" t="s">
        <v>11404</v>
      </c>
      <c r="G17666" s="40" t="s">
        <v>11404</v>
      </c>
      <c r="H17666" s="40" t="s">
        <v>11404</v>
      </c>
    </row>
    <row r="17667">
      <c r="A17667" s="39"/>
      <c r="E17667" s="40" t="s">
        <v>11404</v>
      </c>
      <c r="F17667" s="40" t="s">
        <v>11404</v>
      </c>
      <c r="G17667" s="40" t="s">
        <v>11404</v>
      </c>
      <c r="H17667" s="40" t="s">
        <v>11404</v>
      </c>
    </row>
    <row r="17668">
      <c r="A17668" s="39"/>
      <c r="E17668" s="40" t="s">
        <v>11404</v>
      </c>
      <c r="F17668" s="40" t="s">
        <v>11404</v>
      </c>
      <c r="G17668" s="40" t="s">
        <v>11404</v>
      </c>
      <c r="H17668" s="40" t="s">
        <v>11404</v>
      </c>
    </row>
    <row r="17669">
      <c r="A17669" s="39"/>
      <c r="E17669" s="40" t="s">
        <v>11404</v>
      </c>
      <c r="F17669" s="40" t="s">
        <v>11404</v>
      </c>
      <c r="G17669" s="40" t="s">
        <v>11404</v>
      </c>
      <c r="H17669" s="40" t="s">
        <v>11404</v>
      </c>
    </row>
    <row r="17670">
      <c r="A17670" s="39"/>
      <c r="E17670" s="40" t="s">
        <v>11404</v>
      </c>
      <c r="F17670" s="40" t="s">
        <v>11404</v>
      </c>
      <c r="G17670" s="40" t="s">
        <v>11404</v>
      </c>
      <c r="H17670" s="40" t="s">
        <v>11404</v>
      </c>
    </row>
    <row r="17671">
      <c r="A17671" s="39"/>
      <c r="E17671" s="40" t="s">
        <v>11404</v>
      </c>
      <c r="F17671" s="40" t="s">
        <v>11404</v>
      </c>
      <c r="G17671" s="40" t="s">
        <v>11404</v>
      </c>
      <c r="H17671" s="40" t="s">
        <v>11404</v>
      </c>
    </row>
    <row r="17672">
      <c r="A17672" s="39"/>
      <c r="E17672" s="40" t="s">
        <v>11404</v>
      </c>
      <c r="F17672" s="40" t="s">
        <v>11404</v>
      </c>
      <c r="G17672" s="40" t="s">
        <v>11404</v>
      </c>
      <c r="H17672" s="40" t="s">
        <v>11404</v>
      </c>
    </row>
    <row r="17673">
      <c r="A17673" s="39"/>
      <c r="E17673" s="40" t="s">
        <v>11404</v>
      </c>
      <c r="F17673" s="40" t="s">
        <v>11404</v>
      </c>
      <c r="G17673" s="40" t="s">
        <v>11404</v>
      </c>
      <c r="H17673" s="40" t="s">
        <v>11404</v>
      </c>
    </row>
    <row r="17674">
      <c r="A17674" s="39"/>
      <c r="E17674" s="40" t="s">
        <v>11404</v>
      </c>
      <c r="F17674" s="40" t="s">
        <v>11404</v>
      </c>
      <c r="G17674" s="40" t="s">
        <v>11404</v>
      </c>
      <c r="H17674" s="40" t="s">
        <v>11404</v>
      </c>
    </row>
    <row r="17675">
      <c r="A17675" s="39"/>
      <c r="E17675" s="40" t="s">
        <v>11404</v>
      </c>
      <c r="F17675" s="40" t="s">
        <v>11404</v>
      </c>
      <c r="G17675" s="40" t="s">
        <v>11404</v>
      </c>
      <c r="H17675" s="40" t="s">
        <v>11404</v>
      </c>
    </row>
    <row r="17676">
      <c r="A17676" s="39"/>
      <c r="E17676" s="40" t="s">
        <v>11404</v>
      </c>
      <c r="F17676" s="40" t="s">
        <v>11404</v>
      </c>
      <c r="G17676" s="40" t="s">
        <v>11404</v>
      </c>
      <c r="H17676" s="40" t="s">
        <v>11404</v>
      </c>
    </row>
    <row r="17677">
      <c r="A17677" s="39"/>
      <c r="E17677" s="40" t="s">
        <v>11404</v>
      </c>
      <c r="F17677" s="40" t="s">
        <v>11404</v>
      </c>
      <c r="G17677" s="40" t="s">
        <v>11404</v>
      </c>
      <c r="H17677" s="40" t="s">
        <v>11404</v>
      </c>
    </row>
    <row r="17678">
      <c r="A17678" s="39"/>
      <c r="E17678" s="40" t="s">
        <v>11404</v>
      </c>
      <c r="F17678" s="40" t="s">
        <v>11404</v>
      </c>
      <c r="G17678" s="40" t="s">
        <v>11404</v>
      </c>
      <c r="H17678" s="40" t="s">
        <v>11404</v>
      </c>
    </row>
    <row r="17679">
      <c r="A17679" s="39"/>
      <c r="E17679" s="40" t="s">
        <v>11404</v>
      </c>
      <c r="F17679" s="40" t="s">
        <v>11404</v>
      </c>
      <c r="G17679" s="40" t="s">
        <v>11404</v>
      </c>
      <c r="H17679" s="40" t="s">
        <v>11404</v>
      </c>
    </row>
    <row r="17680">
      <c r="A17680" s="39"/>
      <c r="E17680" s="40" t="s">
        <v>11404</v>
      </c>
      <c r="F17680" s="40" t="s">
        <v>11404</v>
      </c>
      <c r="G17680" s="40" t="s">
        <v>11404</v>
      </c>
      <c r="H17680" s="40" t="s">
        <v>11404</v>
      </c>
    </row>
    <row r="17681">
      <c r="A17681" s="39"/>
      <c r="E17681" s="40" t="s">
        <v>11404</v>
      </c>
      <c r="F17681" s="40" t="s">
        <v>11404</v>
      </c>
      <c r="G17681" s="40" t="s">
        <v>11404</v>
      </c>
      <c r="H17681" s="40" t="s">
        <v>11404</v>
      </c>
    </row>
    <row r="17682">
      <c r="A17682" s="39"/>
      <c r="E17682" s="40" t="s">
        <v>11404</v>
      </c>
      <c r="F17682" s="40" t="s">
        <v>11404</v>
      </c>
      <c r="G17682" s="40" t="s">
        <v>11404</v>
      </c>
      <c r="H17682" s="40" t="s">
        <v>11404</v>
      </c>
    </row>
    <row r="17683">
      <c r="A17683" s="39"/>
      <c r="E17683" s="40" t="s">
        <v>11404</v>
      </c>
      <c r="F17683" s="40" t="s">
        <v>11404</v>
      </c>
      <c r="G17683" s="40" t="s">
        <v>11404</v>
      </c>
      <c r="H17683" s="40" t="s">
        <v>11404</v>
      </c>
    </row>
    <row r="17684">
      <c r="A17684" s="39"/>
      <c r="E17684" s="40" t="s">
        <v>11404</v>
      </c>
      <c r="F17684" s="40" t="s">
        <v>11404</v>
      </c>
      <c r="G17684" s="40" t="s">
        <v>11404</v>
      </c>
      <c r="H17684" s="40" t="s">
        <v>11404</v>
      </c>
    </row>
    <row r="17685">
      <c r="A17685" s="39"/>
      <c r="E17685" s="40" t="s">
        <v>11404</v>
      </c>
      <c r="F17685" s="40" t="s">
        <v>11404</v>
      </c>
      <c r="G17685" s="40" t="s">
        <v>11404</v>
      </c>
      <c r="H17685" s="40" t="s">
        <v>11404</v>
      </c>
    </row>
    <row r="17686">
      <c r="A17686" s="39"/>
      <c r="E17686" s="40" t="s">
        <v>11404</v>
      </c>
      <c r="F17686" s="40" t="s">
        <v>11404</v>
      </c>
      <c r="G17686" s="40" t="s">
        <v>11404</v>
      </c>
      <c r="H17686" s="40" t="s">
        <v>11404</v>
      </c>
    </row>
    <row r="17687">
      <c r="A17687" s="39"/>
      <c r="E17687" s="40" t="s">
        <v>11404</v>
      </c>
      <c r="F17687" s="40" t="s">
        <v>11404</v>
      </c>
      <c r="G17687" s="40" t="s">
        <v>11404</v>
      </c>
      <c r="H17687" s="40" t="s">
        <v>11404</v>
      </c>
    </row>
    <row r="17688">
      <c r="A17688" s="39"/>
      <c r="E17688" s="40" t="s">
        <v>11404</v>
      </c>
      <c r="F17688" s="40" t="s">
        <v>11404</v>
      </c>
      <c r="G17688" s="40" t="s">
        <v>11404</v>
      </c>
      <c r="H17688" s="40" t="s">
        <v>11404</v>
      </c>
    </row>
    <row r="17689">
      <c r="A17689" s="39"/>
      <c r="E17689" s="40" t="s">
        <v>11404</v>
      </c>
      <c r="F17689" s="40" t="s">
        <v>11404</v>
      </c>
      <c r="G17689" s="40" t="s">
        <v>11404</v>
      </c>
      <c r="H17689" s="40" t="s">
        <v>11404</v>
      </c>
    </row>
    <row r="17690">
      <c r="A17690" s="39"/>
      <c r="E17690" s="40" t="s">
        <v>11404</v>
      </c>
      <c r="F17690" s="40" t="s">
        <v>11404</v>
      </c>
      <c r="G17690" s="40" t="s">
        <v>11404</v>
      </c>
      <c r="H17690" s="40" t="s">
        <v>11404</v>
      </c>
    </row>
    <row r="17691">
      <c r="A17691" s="39"/>
      <c r="E17691" s="40" t="s">
        <v>11404</v>
      </c>
      <c r="F17691" s="40" t="s">
        <v>11404</v>
      </c>
      <c r="G17691" s="40" t="s">
        <v>11404</v>
      </c>
      <c r="H17691" s="40" t="s">
        <v>11404</v>
      </c>
    </row>
    <row r="17692">
      <c r="A17692" s="39"/>
      <c r="E17692" s="40" t="s">
        <v>11404</v>
      </c>
      <c r="F17692" s="40" t="s">
        <v>11404</v>
      </c>
      <c r="G17692" s="40" t="s">
        <v>11404</v>
      </c>
      <c r="H17692" s="40" t="s">
        <v>11404</v>
      </c>
    </row>
    <row r="17693">
      <c r="A17693" s="39"/>
      <c r="E17693" s="40" t="s">
        <v>11404</v>
      </c>
      <c r="F17693" s="40" t="s">
        <v>11404</v>
      </c>
      <c r="G17693" s="40" t="s">
        <v>11404</v>
      </c>
      <c r="H17693" s="40" t="s">
        <v>11404</v>
      </c>
    </row>
    <row r="17694">
      <c r="A17694" s="39"/>
      <c r="E17694" s="40" t="s">
        <v>11404</v>
      </c>
      <c r="F17694" s="40" t="s">
        <v>11404</v>
      </c>
      <c r="G17694" s="40" t="s">
        <v>11404</v>
      </c>
      <c r="H17694" s="40" t="s">
        <v>11404</v>
      </c>
    </row>
    <row r="17695">
      <c r="A17695" s="39"/>
      <c r="E17695" s="40" t="s">
        <v>11404</v>
      </c>
      <c r="F17695" s="40" t="s">
        <v>11404</v>
      </c>
      <c r="G17695" s="40" t="s">
        <v>11404</v>
      </c>
      <c r="H17695" s="40" t="s">
        <v>11404</v>
      </c>
    </row>
    <row r="17696">
      <c r="A17696" s="39"/>
      <c r="E17696" s="40" t="s">
        <v>11404</v>
      </c>
      <c r="F17696" s="40" t="s">
        <v>11404</v>
      </c>
      <c r="G17696" s="40" t="s">
        <v>11404</v>
      </c>
      <c r="H17696" s="40" t="s">
        <v>11404</v>
      </c>
    </row>
    <row r="17697">
      <c r="A17697" s="39"/>
      <c r="E17697" s="40" t="s">
        <v>11404</v>
      </c>
      <c r="F17697" s="40" t="s">
        <v>11404</v>
      </c>
      <c r="G17697" s="40" t="s">
        <v>11404</v>
      </c>
      <c r="H17697" s="40" t="s">
        <v>11404</v>
      </c>
    </row>
    <row r="17698">
      <c r="A17698" s="39"/>
      <c r="E17698" s="40" t="s">
        <v>11404</v>
      </c>
      <c r="F17698" s="40" t="s">
        <v>11404</v>
      </c>
      <c r="G17698" s="40" t="s">
        <v>11404</v>
      </c>
      <c r="H17698" s="40" t="s">
        <v>11404</v>
      </c>
    </row>
    <row r="17699">
      <c r="A17699" s="39"/>
      <c r="E17699" s="40" t="s">
        <v>11404</v>
      </c>
      <c r="F17699" s="40" t="s">
        <v>11404</v>
      </c>
      <c r="G17699" s="40" t="s">
        <v>11404</v>
      </c>
      <c r="H17699" s="40" t="s">
        <v>11404</v>
      </c>
    </row>
    <row r="17700">
      <c r="A17700" s="39"/>
      <c r="E17700" s="40" t="s">
        <v>11404</v>
      </c>
      <c r="F17700" s="40" t="s">
        <v>11404</v>
      </c>
      <c r="G17700" s="40" t="s">
        <v>11404</v>
      </c>
      <c r="H17700" s="40" t="s">
        <v>11404</v>
      </c>
    </row>
    <row r="17701">
      <c r="A17701" s="39"/>
      <c r="E17701" s="40" t="s">
        <v>11404</v>
      </c>
      <c r="F17701" s="40" t="s">
        <v>11404</v>
      </c>
      <c r="G17701" s="40" t="s">
        <v>11404</v>
      </c>
      <c r="H17701" s="40" t="s">
        <v>11404</v>
      </c>
    </row>
    <row r="17702">
      <c r="A17702" s="39"/>
      <c r="E17702" s="40" t="s">
        <v>11404</v>
      </c>
      <c r="F17702" s="40" t="s">
        <v>11404</v>
      </c>
      <c r="G17702" s="40" t="s">
        <v>11404</v>
      </c>
      <c r="H17702" s="40" t="s">
        <v>11404</v>
      </c>
    </row>
    <row r="17703">
      <c r="A17703" s="39"/>
      <c r="E17703" s="40" t="s">
        <v>11404</v>
      </c>
      <c r="F17703" s="40" t="s">
        <v>11404</v>
      </c>
      <c r="G17703" s="40" t="s">
        <v>11404</v>
      </c>
      <c r="H17703" s="40" t="s">
        <v>11404</v>
      </c>
    </row>
    <row r="17704">
      <c r="A17704" s="39"/>
      <c r="E17704" s="40" t="s">
        <v>11404</v>
      </c>
      <c r="F17704" s="40" t="s">
        <v>11404</v>
      </c>
      <c r="G17704" s="40" t="s">
        <v>11404</v>
      </c>
      <c r="H17704" s="40" t="s">
        <v>11404</v>
      </c>
    </row>
    <row r="17705">
      <c r="A17705" s="39"/>
      <c r="E17705" s="40" t="s">
        <v>11404</v>
      </c>
      <c r="F17705" s="40" t="s">
        <v>11404</v>
      </c>
      <c r="G17705" s="40" t="s">
        <v>11404</v>
      </c>
      <c r="H17705" s="40" t="s">
        <v>11404</v>
      </c>
    </row>
    <row r="17706">
      <c r="A17706" s="39"/>
      <c r="E17706" s="40" t="s">
        <v>11404</v>
      </c>
      <c r="F17706" s="40" t="s">
        <v>11404</v>
      </c>
      <c r="G17706" s="40" t="s">
        <v>11404</v>
      </c>
      <c r="H17706" s="40" t="s">
        <v>11404</v>
      </c>
    </row>
    <row r="17707">
      <c r="A17707" s="39"/>
      <c r="E17707" s="40" t="s">
        <v>11404</v>
      </c>
      <c r="F17707" s="40" t="s">
        <v>11404</v>
      </c>
      <c r="G17707" s="40" t="s">
        <v>11404</v>
      </c>
      <c r="H17707" s="40" t="s">
        <v>11404</v>
      </c>
    </row>
    <row r="17708">
      <c r="A17708" s="39"/>
      <c r="E17708" s="40" t="s">
        <v>11404</v>
      </c>
      <c r="F17708" s="40" t="s">
        <v>11404</v>
      </c>
      <c r="G17708" s="40" t="s">
        <v>11404</v>
      </c>
      <c r="H17708" s="40" t="s">
        <v>11404</v>
      </c>
    </row>
    <row r="17709">
      <c r="A17709" s="39"/>
      <c r="E17709" s="40" t="s">
        <v>11404</v>
      </c>
      <c r="F17709" s="40" t="s">
        <v>11404</v>
      </c>
      <c r="G17709" s="40" t="s">
        <v>11404</v>
      </c>
      <c r="H17709" s="40" t="s">
        <v>11404</v>
      </c>
    </row>
    <row r="17710">
      <c r="A17710" s="39"/>
      <c r="E17710" s="40" t="s">
        <v>11404</v>
      </c>
      <c r="F17710" s="40" t="s">
        <v>11404</v>
      </c>
      <c r="G17710" s="40" t="s">
        <v>11404</v>
      </c>
      <c r="H17710" s="40" t="s">
        <v>11404</v>
      </c>
    </row>
    <row r="17711">
      <c r="A17711" s="39"/>
      <c r="E17711" s="40" t="s">
        <v>11404</v>
      </c>
      <c r="F17711" s="40" t="s">
        <v>11404</v>
      </c>
      <c r="G17711" s="40" t="s">
        <v>11404</v>
      </c>
      <c r="H17711" s="40" t="s">
        <v>11404</v>
      </c>
    </row>
    <row r="17712">
      <c r="A17712" s="39"/>
      <c r="E17712" s="40" t="s">
        <v>11404</v>
      </c>
      <c r="F17712" s="40" t="s">
        <v>11404</v>
      </c>
      <c r="G17712" s="40" t="s">
        <v>11404</v>
      </c>
      <c r="H17712" s="40" t="s">
        <v>11404</v>
      </c>
    </row>
    <row r="17713">
      <c r="A17713" s="39"/>
      <c r="E17713" s="40" t="s">
        <v>11404</v>
      </c>
      <c r="F17713" s="40" t="s">
        <v>11404</v>
      </c>
      <c r="G17713" s="40" t="s">
        <v>11404</v>
      </c>
      <c r="H17713" s="40" t="s">
        <v>11404</v>
      </c>
    </row>
    <row r="17714">
      <c r="A17714" s="39"/>
      <c r="E17714" s="40" t="s">
        <v>11404</v>
      </c>
      <c r="F17714" s="40" t="s">
        <v>11404</v>
      </c>
      <c r="G17714" s="40" t="s">
        <v>11404</v>
      </c>
      <c r="H17714" s="40" t="s">
        <v>11404</v>
      </c>
    </row>
    <row r="17715">
      <c r="A17715" s="39"/>
      <c r="E17715" s="40" t="s">
        <v>11404</v>
      </c>
      <c r="F17715" s="40" t="s">
        <v>11404</v>
      </c>
      <c r="G17715" s="40" t="s">
        <v>11404</v>
      </c>
      <c r="H17715" s="40" t="s">
        <v>11404</v>
      </c>
    </row>
    <row r="17716">
      <c r="A17716" s="39"/>
      <c r="E17716" s="40" t="s">
        <v>11404</v>
      </c>
      <c r="F17716" s="40" t="s">
        <v>11404</v>
      </c>
      <c r="G17716" s="40" t="s">
        <v>11404</v>
      </c>
      <c r="H17716" s="40" t="s">
        <v>11404</v>
      </c>
    </row>
    <row r="17717">
      <c r="A17717" s="39"/>
      <c r="E17717" s="40" t="s">
        <v>11404</v>
      </c>
      <c r="F17717" s="40" t="s">
        <v>11404</v>
      </c>
      <c r="G17717" s="40" t="s">
        <v>11404</v>
      </c>
      <c r="H17717" s="40" t="s">
        <v>11404</v>
      </c>
    </row>
    <row r="17718">
      <c r="A17718" s="39"/>
      <c r="E17718" s="40" t="s">
        <v>11404</v>
      </c>
      <c r="F17718" s="40" t="s">
        <v>11404</v>
      </c>
      <c r="G17718" s="40" t="s">
        <v>11404</v>
      </c>
      <c r="H17718" s="40" t="s">
        <v>11404</v>
      </c>
    </row>
    <row r="17719">
      <c r="A17719" s="39"/>
      <c r="E17719" s="40" t="s">
        <v>11404</v>
      </c>
      <c r="F17719" s="40" t="s">
        <v>11404</v>
      </c>
      <c r="G17719" s="40" t="s">
        <v>11404</v>
      </c>
      <c r="H17719" s="40" t="s">
        <v>11404</v>
      </c>
    </row>
    <row r="17720">
      <c r="A17720" s="39"/>
      <c r="E17720" s="40" t="s">
        <v>11404</v>
      </c>
      <c r="F17720" s="40" t="s">
        <v>11404</v>
      </c>
      <c r="G17720" s="40" t="s">
        <v>11404</v>
      </c>
      <c r="H17720" s="40" t="s">
        <v>11404</v>
      </c>
    </row>
    <row r="17721">
      <c r="A17721" s="39"/>
      <c r="E17721" s="40" t="s">
        <v>11404</v>
      </c>
      <c r="F17721" s="40" t="s">
        <v>11404</v>
      </c>
      <c r="G17721" s="40" t="s">
        <v>11404</v>
      </c>
      <c r="H17721" s="40" t="s">
        <v>11404</v>
      </c>
    </row>
    <row r="17722">
      <c r="A17722" s="39"/>
      <c r="E17722" s="40" t="s">
        <v>11404</v>
      </c>
      <c r="F17722" s="40" t="s">
        <v>11404</v>
      </c>
      <c r="G17722" s="40" t="s">
        <v>11404</v>
      </c>
      <c r="H17722" s="40" t="s">
        <v>11404</v>
      </c>
    </row>
    <row r="17723">
      <c r="A17723" s="39"/>
      <c r="E17723" s="40" t="s">
        <v>11404</v>
      </c>
      <c r="F17723" s="40" t="s">
        <v>11404</v>
      </c>
      <c r="G17723" s="40" t="s">
        <v>11404</v>
      </c>
      <c r="H17723" s="40" t="s">
        <v>11404</v>
      </c>
    </row>
    <row r="17724">
      <c r="A17724" s="39"/>
      <c r="E17724" s="40" t="s">
        <v>11404</v>
      </c>
      <c r="F17724" s="40" t="s">
        <v>11404</v>
      </c>
      <c r="G17724" s="40" t="s">
        <v>11404</v>
      </c>
      <c r="H17724" s="40" t="s">
        <v>11404</v>
      </c>
    </row>
    <row r="17725">
      <c r="A17725" s="39"/>
      <c r="E17725" s="40" t="s">
        <v>11404</v>
      </c>
      <c r="F17725" s="40" t="s">
        <v>11404</v>
      </c>
      <c r="G17725" s="40" t="s">
        <v>11404</v>
      </c>
      <c r="H17725" s="40" t="s">
        <v>11404</v>
      </c>
    </row>
    <row r="17726">
      <c r="A17726" s="39"/>
      <c r="E17726" s="40" t="s">
        <v>11404</v>
      </c>
      <c r="F17726" s="40" t="s">
        <v>11404</v>
      </c>
      <c r="G17726" s="40" t="s">
        <v>11404</v>
      </c>
      <c r="H17726" s="40" t="s">
        <v>11404</v>
      </c>
    </row>
    <row r="17727">
      <c r="A17727" s="39"/>
      <c r="E17727" s="40" t="s">
        <v>11404</v>
      </c>
      <c r="F17727" s="40" t="s">
        <v>11404</v>
      </c>
      <c r="G17727" s="40" t="s">
        <v>11404</v>
      </c>
      <c r="H17727" s="40" t="s">
        <v>11404</v>
      </c>
    </row>
    <row r="17728">
      <c r="A17728" s="39"/>
      <c r="E17728" s="40" t="s">
        <v>11404</v>
      </c>
      <c r="F17728" s="40" t="s">
        <v>11404</v>
      </c>
      <c r="G17728" s="40" t="s">
        <v>11404</v>
      </c>
      <c r="H17728" s="40" t="s">
        <v>11404</v>
      </c>
    </row>
    <row r="17729">
      <c r="A17729" s="39"/>
      <c r="E17729" s="40" t="s">
        <v>11404</v>
      </c>
      <c r="F17729" s="40" t="s">
        <v>11404</v>
      </c>
      <c r="G17729" s="40" t="s">
        <v>11404</v>
      </c>
      <c r="H17729" s="40" t="s">
        <v>11404</v>
      </c>
    </row>
    <row r="17730">
      <c r="A17730" s="39"/>
      <c r="E17730" s="40" t="s">
        <v>11404</v>
      </c>
      <c r="F17730" s="40" t="s">
        <v>11404</v>
      </c>
      <c r="G17730" s="40" t="s">
        <v>11404</v>
      </c>
      <c r="H17730" s="40" t="s">
        <v>11404</v>
      </c>
    </row>
    <row r="17731">
      <c r="A17731" s="39"/>
      <c r="E17731" s="40" t="s">
        <v>11404</v>
      </c>
      <c r="F17731" s="40" t="s">
        <v>11404</v>
      </c>
      <c r="G17731" s="40" t="s">
        <v>11404</v>
      </c>
      <c r="H17731" s="40" t="s">
        <v>11404</v>
      </c>
    </row>
    <row r="17732">
      <c r="A17732" s="39"/>
      <c r="E17732" s="40" t="s">
        <v>11404</v>
      </c>
      <c r="F17732" s="40" t="s">
        <v>11404</v>
      </c>
      <c r="G17732" s="40" t="s">
        <v>11404</v>
      </c>
      <c r="H17732" s="40" t="s">
        <v>11404</v>
      </c>
    </row>
    <row r="17733">
      <c r="A17733" s="39"/>
      <c r="E17733" s="40" t="s">
        <v>11404</v>
      </c>
      <c r="F17733" s="40" t="s">
        <v>11404</v>
      </c>
      <c r="G17733" s="40" t="s">
        <v>11404</v>
      </c>
      <c r="H17733" s="40" t="s">
        <v>11404</v>
      </c>
    </row>
    <row r="17734">
      <c r="A17734" s="39"/>
      <c r="E17734" s="40" t="s">
        <v>11404</v>
      </c>
      <c r="F17734" s="40" t="s">
        <v>11404</v>
      </c>
      <c r="G17734" s="40" t="s">
        <v>11404</v>
      </c>
      <c r="H17734" s="40" t="s">
        <v>11404</v>
      </c>
    </row>
    <row r="17735">
      <c r="A17735" s="39"/>
      <c r="E17735" s="40" t="s">
        <v>11404</v>
      </c>
      <c r="F17735" s="40" t="s">
        <v>11404</v>
      </c>
      <c r="G17735" s="40" t="s">
        <v>11404</v>
      </c>
      <c r="H17735" s="40" t="s">
        <v>11404</v>
      </c>
    </row>
    <row r="17736">
      <c r="A17736" s="39"/>
      <c r="E17736" s="40" t="s">
        <v>11404</v>
      </c>
      <c r="F17736" s="40" t="s">
        <v>11404</v>
      </c>
      <c r="G17736" s="40" t="s">
        <v>11404</v>
      </c>
      <c r="H17736" s="40" t="s">
        <v>11404</v>
      </c>
    </row>
    <row r="17737">
      <c r="A17737" s="39"/>
      <c r="E17737" s="40" t="s">
        <v>11404</v>
      </c>
      <c r="F17737" s="40" t="s">
        <v>11404</v>
      </c>
      <c r="G17737" s="40" t="s">
        <v>11404</v>
      </c>
      <c r="H17737" s="40" t="s">
        <v>11404</v>
      </c>
    </row>
    <row r="17738">
      <c r="A17738" s="39"/>
      <c r="E17738" s="40" t="s">
        <v>11404</v>
      </c>
      <c r="F17738" s="40" t="s">
        <v>11404</v>
      </c>
      <c r="G17738" s="40" t="s">
        <v>11404</v>
      </c>
      <c r="H17738" s="40" t="s">
        <v>11404</v>
      </c>
    </row>
    <row r="17739">
      <c r="A17739" s="39"/>
      <c r="E17739" s="40" t="s">
        <v>11404</v>
      </c>
      <c r="F17739" s="40" t="s">
        <v>11404</v>
      </c>
      <c r="G17739" s="40" t="s">
        <v>11404</v>
      </c>
      <c r="H17739" s="40" t="s">
        <v>11404</v>
      </c>
    </row>
    <row r="17740">
      <c r="A17740" s="39"/>
      <c r="E17740" s="40" t="s">
        <v>11404</v>
      </c>
      <c r="F17740" s="40" t="s">
        <v>11404</v>
      </c>
      <c r="G17740" s="40" t="s">
        <v>11404</v>
      </c>
      <c r="H17740" s="40" t="s">
        <v>11404</v>
      </c>
    </row>
    <row r="17741">
      <c r="A17741" s="39"/>
      <c r="E17741" s="40" t="s">
        <v>11404</v>
      </c>
      <c r="F17741" s="40" t="s">
        <v>11404</v>
      </c>
      <c r="G17741" s="40" t="s">
        <v>11404</v>
      </c>
      <c r="H17741" s="40" t="s">
        <v>11404</v>
      </c>
    </row>
    <row r="17742">
      <c r="A17742" s="39"/>
      <c r="E17742" s="40" t="s">
        <v>11404</v>
      </c>
      <c r="F17742" s="40" t="s">
        <v>11404</v>
      </c>
      <c r="G17742" s="40" t="s">
        <v>11404</v>
      </c>
      <c r="H17742" s="40" t="s">
        <v>11404</v>
      </c>
    </row>
    <row r="17743">
      <c r="A17743" s="39"/>
      <c r="E17743" s="40" t="s">
        <v>11404</v>
      </c>
      <c r="F17743" s="40" t="s">
        <v>11404</v>
      </c>
      <c r="G17743" s="40" t="s">
        <v>11404</v>
      </c>
      <c r="H17743" s="40" t="s">
        <v>11404</v>
      </c>
    </row>
    <row r="17744">
      <c r="A17744" s="39"/>
      <c r="E17744" s="40" t="s">
        <v>11404</v>
      </c>
      <c r="F17744" s="40" t="s">
        <v>11404</v>
      </c>
      <c r="G17744" s="40" t="s">
        <v>11404</v>
      </c>
      <c r="H17744" s="40" t="s">
        <v>11404</v>
      </c>
    </row>
    <row r="17745">
      <c r="A17745" s="39"/>
      <c r="E17745" s="40" t="s">
        <v>11404</v>
      </c>
      <c r="F17745" s="40" t="s">
        <v>11404</v>
      </c>
      <c r="G17745" s="40" t="s">
        <v>11404</v>
      </c>
      <c r="H17745" s="40" t="s">
        <v>11404</v>
      </c>
    </row>
    <row r="17746">
      <c r="A17746" s="39"/>
      <c r="E17746" s="40" t="s">
        <v>11404</v>
      </c>
      <c r="F17746" s="40" t="s">
        <v>11404</v>
      </c>
      <c r="G17746" s="40" t="s">
        <v>11404</v>
      </c>
      <c r="H17746" s="40" t="s">
        <v>11404</v>
      </c>
    </row>
    <row r="17747">
      <c r="A17747" s="39"/>
      <c r="E17747" s="40" t="s">
        <v>11404</v>
      </c>
      <c r="F17747" s="40" t="s">
        <v>11404</v>
      </c>
      <c r="G17747" s="40" t="s">
        <v>11404</v>
      </c>
      <c r="H17747" s="40" t="s">
        <v>11404</v>
      </c>
    </row>
    <row r="17748">
      <c r="A17748" s="39"/>
      <c r="E17748" s="40" t="s">
        <v>11404</v>
      </c>
      <c r="F17748" s="40" t="s">
        <v>11404</v>
      </c>
      <c r="G17748" s="40" t="s">
        <v>11404</v>
      </c>
      <c r="H17748" s="40" t="s">
        <v>11404</v>
      </c>
    </row>
    <row r="17749">
      <c r="A17749" s="39"/>
      <c r="E17749" s="40" t="s">
        <v>11404</v>
      </c>
      <c r="F17749" s="40" t="s">
        <v>11404</v>
      </c>
      <c r="G17749" s="40" t="s">
        <v>11404</v>
      </c>
      <c r="H17749" s="40" t="s">
        <v>11404</v>
      </c>
    </row>
    <row r="17750">
      <c r="A17750" s="39"/>
      <c r="E17750" s="40" t="s">
        <v>11404</v>
      </c>
      <c r="F17750" s="40" t="s">
        <v>11404</v>
      </c>
      <c r="G17750" s="40" t="s">
        <v>11404</v>
      </c>
      <c r="H17750" s="40" t="s">
        <v>11404</v>
      </c>
    </row>
    <row r="17751">
      <c r="A17751" s="39"/>
      <c r="E17751" s="40" t="s">
        <v>11404</v>
      </c>
      <c r="F17751" s="40" t="s">
        <v>11404</v>
      </c>
      <c r="G17751" s="40" t="s">
        <v>11404</v>
      </c>
      <c r="H17751" s="40" t="s">
        <v>11404</v>
      </c>
    </row>
    <row r="17752">
      <c r="A17752" s="39"/>
      <c r="E17752" s="40" t="s">
        <v>11404</v>
      </c>
      <c r="F17752" s="40" t="s">
        <v>11404</v>
      </c>
      <c r="G17752" s="40" t="s">
        <v>11404</v>
      </c>
      <c r="H17752" s="40" t="s">
        <v>11404</v>
      </c>
    </row>
    <row r="17753">
      <c r="A17753" s="39"/>
      <c r="E17753" s="40" t="s">
        <v>11404</v>
      </c>
      <c r="F17753" s="40" t="s">
        <v>11404</v>
      </c>
      <c r="G17753" s="40" t="s">
        <v>11404</v>
      </c>
      <c r="H17753" s="40" t="s">
        <v>11404</v>
      </c>
    </row>
    <row r="17754">
      <c r="A17754" s="39"/>
      <c r="E17754" s="40" t="s">
        <v>11404</v>
      </c>
      <c r="F17754" s="40" t="s">
        <v>11404</v>
      </c>
      <c r="G17754" s="40" t="s">
        <v>11404</v>
      </c>
      <c r="H17754" s="40" t="s">
        <v>11404</v>
      </c>
    </row>
    <row r="17755">
      <c r="A17755" s="39"/>
      <c r="E17755" s="40" t="s">
        <v>11404</v>
      </c>
      <c r="F17755" s="40" t="s">
        <v>11404</v>
      </c>
      <c r="G17755" s="40" t="s">
        <v>11404</v>
      </c>
      <c r="H17755" s="40" t="s">
        <v>11404</v>
      </c>
    </row>
    <row r="17756">
      <c r="A17756" s="39"/>
      <c r="E17756" s="40" t="s">
        <v>11404</v>
      </c>
      <c r="F17756" s="40" t="s">
        <v>11404</v>
      </c>
      <c r="G17756" s="40" t="s">
        <v>11404</v>
      </c>
      <c r="H17756" s="40" t="s">
        <v>11404</v>
      </c>
    </row>
    <row r="17757">
      <c r="A17757" s="39"/>
      <c r="E17757" s="40" t="s">
        <v>11404</v>
      </c>
      <c r="F17757" s="40" t="s">
        <v>11404</v>
      </c>
      <c r="G17757" s="40" t="s">
        <v>11404</v>
      </c>
      <c r="H17757" s="40" t="s">
        <v>11404</v>
      </c>
    </row>
    <row r="17758">
      <c r="A17758" s="39"/>
      <c r="E17758" s="40" t="s">
        <v>11404</v>
      </c>
      <c r="F17758" s="40" t="s">
        <v>11404</v>
      </c>
      <c r="G17758" s="40" t="s">
        <v>11404</v>
      </c>
      <c r="H17758" s="40" t="s">
        <v>11404</v>
      </c>
    </row>
    <row r="17759">
      <c r="A17759" s="39"/>
      <c r="E17759" s="40" t="s">
        <v>11404</v>
      </c>
      <c r="F17759" s="40" t="s">
        <v>11404</v>
      </c>
      <c r="G17759" s="40" t="s">
        <v>11404</v>
      </c>
      <c r="H17759" s="40" t="s">
        <v>11404</v>
      </c>
    </row>
    <row r="17760">
      <c r="A17760" s="39"/>
      <c r="E17760" s="40" t="s">
        <v>11404</v>
      </c>
      <c r="F17760" s="40" t="s">
        <v>11404</v>
      </c>
      <c r="G17760" s="40" t="s">
        <v>11404</v>
      </c>
      <c r="H17760" s="40" t="s">
        <v>11404</v>
      </c>
    </row>
    <row r="17761">
      <c r="A17761" s="39"/>
      <c r="E17761" s="40" t="s">
        <v>11404</v>
      </c>
      <c r="F17761" s="40" t="s">
        <v>11404</v>
      </c>
      <c r="G17761" s="40" t="s">
        <v>11404</v>
      </c>
      <c r="H17761" s="40" t="s">
        <v>11404</v>
      </c>
    </row>
    <row r="17762">
      <c r="A17762" s="39"/>
      <c r="E17762" s="40" t="s">
        <v>11404</v>
      </c>
      <c r="F17762" s="40" t="s">
        <v>11404</v>
      </c>
      <c r="G17762" s="40" t="s">
        <v>11404</v>
      </c>
      <c r="H17762" s="40" t="s">
        <v>11404</v>
      </c>
    </row>
    <row r="17763">
      <c r="A17763" s="39"/>
      <c r="E17763" s="40" t="s">
        <v>11404</v>
      </c>
      <c r="F17763" s="40" t="s">
        <v>11404</v>
      </c>
      <c r="G17763" s="40" t="s">
        <v>11404</v>
      </c>
      <c r="H17763" s="40" t="s">
        <v>11404</v>
      </c>
    </row>
    <row r="17764">
      <c r="A17764" s="39"/>
      <c r="E17764" s="40" t="s">
        <v>11404</v>
      </c>
      <c r="F17764" s="40" t="s">
        <v>11404</v>
      </c>
      <c r="G17764" s="40" t="s">
        <v>11404</v>
      </c>
      <c r="H17764" s="40" t="s">
        <v>11404</v>
      </c>
    </row>
    <row r="17765">
      <c r="A17765" s="39"/>
      <c r="E17765" s="40" t="s">
        <v>11404</v>
      </c>
      <c r="F17765" s="40" t="s">
        <v>11404</v>
      </c>
      <c r="G17765" s="40" t="s">
        <v>11404</v>
      </c>
      <c r="H17765" s="40" t="s">
        <v>11404</v>
      </c>
    </row>
    <row r="17766">
      <c r="A17766" s="39"/>
      <c r="E17766" s="40" t="s">
        <v>11404</v>
      </c>
      <c r="F17766" s="40" t="s">
        <v>11404</v>
      </c>
      <c r="G17766" s="40" t="s">
        <v>11404</v>
      </c>
      <c r="H17766" s="40" t="s">
        <v>11404</v>
      </c>
    </row>
    <row r="17767">
      <c r="A17767" s="39"/>
      <c r="E17767" s="40" t="s">
        <v>11404</v>
      </c>
      <c r="F17767" s="40" t="s">
        <v>11404</v>
      </c>
      <c r="G17767" s="40" t="s">
        <v>11404</v>
      </c>
      <c r="H17767" s="40" t="s">
        <v>11404</v>
      </c>
    </row>
    <row r="17768">
      <c r="A17768" s="39"/>
      <c r="E17768" s="40" t="s">
        <v>11404</v>
      </c>
      <c r="F17768" s="40" t="s">
        <v>11404</v>
      </c>
      <c r="G17768" s="40" t="s">
        <v>11404</v>
      </c>
      <c r="H17768" s="40" t="s">
        <v>11404</v>
      </c>
    </row>
    <row r="17769">
      <c r="A17769" s="39"/>
      <c r="E17769" s="40" t="s">
        <v>11404</v>
      </c>
      <c r="F17769" s="40" t="s">
        <v>11404</v>
      </c>
      <c r="G17769" s="40" t="s">
        <v>11404</v>
      </c>
      <c r="H17769" s="40" t="s">
        <v>11404</v>
      </c>
    </row>
    <row r="17770">
      <c r="A17770" s="39"/>
      <c r="E17770" s="40" t="s">
        <v>11404</v>
      </c>
      <c r="F17770" s="40" t="s">
        <v>11404</v>
      </c>
      <c r="G17770" s="40" t="s">
        <v>11404</v>
      </c>
      <c r="H17770" s="40" t="s">
        <v>11404</v>
      </c>
    </row>
    <row r="17771">
      <c r="A17771" s="39"/>
      <c r="E17771" s="40" t="s">
        <v>11404</v>
      </c>
      <c r="F17771" s="40" t="s">
        <v>11404</v>
      </c>
      <c r="G17771" s="40" t="s">
        <v>11404</v>
      </c>
      <c r="H17771" s="40" t="s">
        <v>11404</v>
      </c>
    </row>
    <row r="17772">
      <c r="A17772" s="39"/>
      <c r="E17772" s="40" t="s">
        <v>11404</v>
      </c>
      <c r="F17772" s="40" t="s">
        <v>11404</v>
      </c>
      <c r="G17772" s="40" t="s">
        <v>11404</v>
      </c>
      <c r="H17772" s="40" t="s">
        <v>11404</v>
      </c>
    </row>
    <row r="17773">
      <c r="A17773" s="39"/>
      <c r="E17773" s="40" t="s">
        <v>11404</v>
      </c>
      <c r="F17773" s="40" t="s">
        <v>11404</v>
      </c>
      <c r="G17773" s="40" t="s">
        <v>11404</v>
      </c>
      <c r="H17773" s="40" t="s">
        <v>11404</v>
      </c>
    </row>
    <row r="17774">
      <c r="A17774" s="39"/>
      <c r="E17774" s="40" t="s">
        <v>11404</v>
      </c>
      <c r="F17774" s="40" t="s">
        <v>11404</v>
      </c>
      <c r="G17774" s="40" t="s">
        <v>11404</v>
      </c>
      <c r="H17774" s="40" t="s">
        <v>11404</v>
      </c>
    </row>
    <row r="17775">
      <c r="A17775" s="39"/>
      <c r="E17775" s="40" t="s">
        <v>11404</v>
      </c>
      <c r="F17775" s="40" t="s">
        <v>11404</v>
      </c>
      <c r="G17775" s="40" t="s">
        <v>11404</v>
      </c>
      <c r="H17775" s="40" t="s">
        <v>11404</v>
      </c>
    </row>
    <row r="17776">
      <c r="A17776" s="39"/>
      <c r="E17776" s="40" t="s">
        <v>11404</v>
      </c>
      <c r="F17776" s="40" t="s">
        <v>11404</v>
      </c>
      <c r="G17776" s="40" t="s">
        <v>11404</v>
      </c>
      <c r="H17776" s="40" t="s">
        <v>11404</v>
      </c>
    </row>
    <row r="17777">
      <c r="A17777" s="39"/>
      <c r="E17777" s="40" t="s">
        <v>11404</v>
      </c>
      <c r="F17777" s="40" t="s">
        <v>11404</v>
      </c>
      <c r="G17777" s="40" t="s">
        <v>11404</v>
      </c>
      <c r="H17777" s="40" t="s">
        <v>11404</v>
      </c>
    </row>
    <row r="17778">
      <c r="A17778" s="39"/>
      <c r="E17778" s="40" t="s">
        <v>11404</v>
      </c>
      <c r="F17778" s="40" t="s">
        <v>11404</v>
      </c>
      <c r="G17778" s="40" t="s">
        <v>11404</v>
      </c>
      <c r="H17778" s="40" t="s">
        <v>11404</v>
      </c>
    </row>
    <row r="17779">
      <c r="A17779" s="39"/>
      <c r="E17779" s="40" t="s">
        <v>11404</v>
      </c>
      <c r="F17779" s="40" t="s">
        <v>11404</v>
      </c>
      <c r="G17779" s="40" t="s">
        <v>11404</v>
      </c>
      <c r="H17779" s="40" t="s">
        <v>11404</v>
      </c>
    </row>
    <row r="17780">
      <c r="A17780" s="39"/>
      <c r="E17780" s="40" t="s">
        <v>11404</v>
      </c>
      <c r="F17780" s="40" t="s">
        <v>11404</v>
      </c>
      <c r="G17780" s="40" t="s">
        <v>11404</v>
      </c>
      <c r="H17780" s="40" t="s">
        <v>11404</v>
      </c>
    </row>
    <row r="17781">
      <c r="A17781" s="39"/>
      <c r="E17781" s="40" t="s">
        <v>11404</v>
      </c>
      <c r="F17781" s="40" t="s">
        <v>11404</v>
      </c>
      <c r="G17781" s="40" t="s">
        <v>11404</v>
      </c>
      <c r="H17781" s="40" t="s">
        <v>11404</v>
      </c>
    </row>
    <row r="17782">
      <c r="A17782" s="39"/>
      <c r="E17782" s="40" t="s">
        <v>11404</v>
      </c>
      <c r="F17782" s="40" t="s">
        <v>11404</v>
      </c>
      <c r="G17782" s="40" t="s">
        <v>11404</v>
      </c>
      <c r="H17782" s="40" t="s">
        <v>11404</v>
      </c>
    </row>
    <row r="17783">
      <c r="A17783" s="39"/>
      <c r="E17783" s="40" t="s">
        <v>11404</v>
      </c>
      <c r="F17783" s="40" t="s">
        <v>11404</v>
      </c>
      <c r="G17783" s="40" t="s">
        <v>11404</v>
      </c>
      <c r="H17783" s="40" t="s">
        <v>11404</v>
      </c>
    </row>
    <row r="17784">
      <c r="A17784" s="39"/>
      <c r="E17784" s="40" t="s">
        <v>11404</v>
      </c>
      <c r="F17784" s="40" t="s">
        <v>11404</v>
      </c>
      <c r="G17784" s="40" t="s">
        <v>11404</v>
      </c>
      <c r="H17784" s="40" t="s">
        <v>11404</v>
      </c>
    </row>
    <row r="17785">
      <c r="A17785" s="39"/>
      <c r="E17785" s="40" t="s">
        <v>11404</v>
      </c>
      <c r="F17785" s="40" t="s">
        <v>11404</v>
      </c>
      <c r="G17785" s="40" t="s">
        <v>11404</v>
      </c>
      <c r="H17785" s="40" t="s">
        <v>11404</v>
      </c>
    </row>
    <row r="17786">
      <c r="A17786" s="39"/>
      <c r="E17786" s="40" t="s">
        <v>11404</v>
      </c>
      <c r="F17786" s="40" t="s">
        <v>11404</v>
      </c>
      <c r="G17786" s="40" t="s">
        <v>11404</v>
      </c>
      <c r="H17786" s="40" t="s">
        <v>11404</v>
      </c>
    </row>
    <row r="17787">
      <c r="A17787" s="39"/>
      <c r="E17787" s="40" t="s">
        <v>11404</v>
      </c>
      <c r="F17787" s="40" t="s">
        <v>11404</v>
      </c>
      <c r="G17787" s="40" t="s">
        <v>11404</v>
      </c>
      <c r="H17787" s="40" t="s">
        <v>11404</v>
      </c>
    </row>
    <row r="17788">
      <c r="A17788" s="39"/>
      <c r="E17788" s="40" t="s">
        <v>11404</v>
      </c>
      <c r="F17788" s="40" t="s">
        <v>11404</v>
      </c>
      <c r="G17788" s="40" t="s">
        <v>11404</v>
      </c>
      <c r="H17788" s="40" t="s">
        <v>11404</v>
      </c>
    </row>
    <row r="17789">
      <c r="A17789" s="39"/>
      <c r="E17789" s="40" t="s">
        <v>11404</v>
      </c>
      <c r="F17789" s="40" t="s">
        <v>11404</v>
      </c>
      <c r="G17789" s="40" t="s">
        <v>11404</v>
      </c>
      <c r="H17789" s="40" t="s">
        <v>11404</v>
      </c>
    </row>
    <row r="17790">
      <c r="A17790" s="39"/>
      <c r="E17790" s="40" t="s">
        <v>11404</v>
      </c>
      <c r="F17790" s="40" t="s">
        <v>11404</v>
      </c>
      <c r="G17790" s="40" t="s">
        <v>11404</v>
      </c>
      <c r="H17790" s="40" t="s">
        <v>11404</v>
      </c>
    </row>
    <row r="17791">
      <c r="A17791" s="39"/>
      <c r="E17791" s="40" t="s">
        <v>11404</v>
      </c>
      <c r="F17791" s="40" t="s">
        <v>11404</v>
      </c>
      <c r="G17791" s="40" t="s">
        <v>11404</v>
      </c>
      <c r="H17791" s="40" t="s">
        <v>11404</v>
      </c>
    </row>
    <row r="17792">
      <c r="A17792" s="39"/>
      <c r="E17792" s="40" t="s">
        <v>11404</v>
      </c>
      <c r="F17792" s="40" t="s">
        <v>11404</v>
      </c>
      <c r="G17792" s="40" t="s">
        <v>11404</v>
      </c>
      <c r="H17792" s="40" t="s">
        <v>11404</v>
      </c>
    </row>
    <row r="17793">
      <c r="A17793" s="39"/>
      <c r="E17793" s="40" t="s">
        <v>11404</v>
      </c>
      <c r="F17793" s="40" t="s">
        <v>11404</v>
      </c>
      <c r="G17793" s="40" t="s">
        <v>11404</v>
      </c>
      <c r="H17793" s="40" t="s">
        <v>11404</v>
      </c>
    </row>
    <row r="17794">
      <c r="A17794" s="39"/>
      <c r="E17794" s="40" t="s">
        <v>11404</v>
      </c>
      <c r="F17794" s="40" t="s">
        <v>11404</v>
      </c>
      <c r="G17794" s="40" t="s">
        <v>11404</v>
      </c>
      <c r="H17794" s="40" t="s">
        <v>11404</v>
      </c>
    </row>
    <row r="17795">
      <c r="A17795" s="39"/>
      <c r="E17795" s="40" t="s">
        <v>11404</v>
      </c>
      <c r="F17795" s="40" t="s">
        <v>11404</v>
      </c>
      <c r="G17795" s="40" t="s">
        <v>11404</v>
      </c>
      <c r="H17795" s="40" t="s">
        <v>11404</v>
      </c>
    </row>
    <row r="17796">
      <c r="A17796" s="39"/>
      <c r="E17796" s="40" t="s">
        <v>11404</v>
      </c>
      <c r="F17796" s="40" t="s">
        <v>11404</v>
      </c>
      <c r="G17796" s="40" t="s">
        <v>11404</v>
      </c>
      <c r="H17796" s="40" t="s">
        <v>11404</v>
      </c>
    </row>
    <row r="17797">
      <c r="A17797" s="39"/>
      <c r="E17797" s="40" t="s">
        <v>11404</v>
      </c>
      <c r="F17797" s="40" t="s">
        <v>11404</v>
      </c>
      <c r="G17797" s="40" t="s">
        <v>11404</v>
      </c>
      <c r="H17797" s="40" t="s">
        <v>11404</v>
      </c>
    </row>
    <row r="17798">
      <c r="A17798" s="39"/>
      <c r="E17798" s="40" t="s">
        <v>11404</v>
      </c>
      <c r="F17798" s="40" t="s">
        <v>11404</v>
      </c>
      <c r="G17798" s="40" t="s">
        <v>11404</v>
      </c>
      <c r="H17798" s="40" t="s">
        <v>11404</v>
      </c>
    </row>
    <row r="17799">
      <c r="A17799" s="39"/>
      <c r="E17799" s="40" t="s">
        <v>11404</v>
      </c>
      <c r="F17799" s="40" t="s">
        <v>11404</v>
      </c>
      <c r="G17799" s="40" t="s">
        <v>11404</v>
      </c>
      <c r="H17799" s="40" t="s">
        <v>11404</v>
      </c>
    </row>
    <row r="17800">
      <c r="A17800" s="39"/>
      <c r="E17800" s="40" t="s">
        <v>11404</v>
      </c>
      <c r="F17800" s="40" t="s">
        <v>11404</v>
      </c>
      <c r="G17800" s="40" t="s">
        <v>11404</v>
      </c>
      <c r="H17800" s="40" t="s">
        <v>11404</v>
      </c>
    </row>
    <row r="17801">
      <c r="A17801" s="39"/>
      <c r="E17801" s="40" t="s">
        <v>11404</v>
      </c>
      <c r="F17801" s="40" t="s">
        <v>11404</v>
      </c>
      <c r="G17801" s="40" t="s">
        <v>11404</v>
      </c>
      <c r="H17801" s="40" t="s">
        <v>11404</v>
      </c>
    </row>
    <row r="17802">
      <c r="A17802" s="39"/>
      <c r="E17802" s="40" t="s">
        <v>11404</v>
      </c>
      <c r="F17802" s="40" t="s">
        <v>11404</v>
      </c>
      <c r="G17802" s="40" t="s">
        <v>11404</v>
      </c>
      <c r="H17802" s="40" t="s">
        <v>11404</v>
      </c>
    </row>
    <row r="17803">
      <c r="A17803" s="39"/>
      <c r="E17803" s="40" t="s">
        <v>11404</v>
      </c>
      <c r="F17803" s="40" t="s">
        <v>11404</v>
      </c>
      <c r="G17803" s="40" t="s">
        <v>11404</v>
      </c>
      <c r="H17803" s="40" t="s">
        <v>11404</v>
      </c>
    </row>
    <row r="17804">
      <c r="A17804" s="39"/>
      <c r="E17804" s="40" t="s">
        <v>11404</v>
      </c>
      <c r="F17804" s="40" t="s">
        <v>11404</v>
      </c>
      <c r="G17804" s="40" t="s">
        <v>11404</v>
      </c>
      <c r="H17804" s="40" t="s">
        <v>11404</v>
      </c>
    </row>
    <row r="17805">
      <c r="A17805" s="39"/>
      <c r="E17805" s="40" t="s">
        <v>11404</v>
      </c>
      <c r="F17805" s="40" t="s">
        <v>11404</v>
      </c>
      <c r="G17805" s="40" t="s">
        <v>11404</v>
      </c>
      <c r="H17805" s="40" t="s">
        <v>11404</v>
      </c>
    </row>
    <row r="17806">
      <c r="A17806" s="39"/>
      <c r="E17806" s="40" t="s">
        <v>11404</v>
      </c>
      <c r="F17806" s="40" t="s">
        <v>11404</v>
      </c>
      <c r="G17806" s="40" t="s">
        <v>11404</v>
      </c>
      <c r="H17806" s="40" t="s">
        <v>11404</v>
      </c>
    </row>
    <row r="17807">
      <c r="A17807" s="39"/>
      <c r="E17807" s="40" t="s">
        <v>11404</v>
      </c>
      <c r="F17807" s="40" t="s">
        <v>11404</v>
      </c>
      <c r="G17807" s="40" t="s">
        <v>11404</v>
      </c>
      <c r="H17807" s="40" t="s">
        <v>11404</v>
      </c>
    </row>
    <row r="17808">
      <c r="A17808" s="39"/>
      <c r="E17808" s="40" t="s">
        <v>11404</v>
      </c>
      <c r="F17808" s="40" t="s">
        <v>11404</v>
      </c>
      <c r="G17808" s="40" t="s">
        <v>11404</v>
      </c>
      <c r="H17808" s="40" t="s">
        <v>11404</v>
      </c>
    </row>
    <row r="17809">
      <c r="A17809" s="39"/>
      <c r="E17809" s="40" t="s">
        <v>11404</v>
      </c>
      <c r="F17809" s="40" t="s">
        <v>11404</v>
      </c>
      <c r="G17809" s="40" t="s">
        <v>11404</v>
      </c>
      <c r="H17809" s="40" t="s">
        <v>11404</v>
      </c>
    </row>
    <row r="17810">
      <c r="A17810" s="39"/>
      <c r="E17810" s="40" t="s">
        <v>11404</v>
      </c>
      <c r="F17810" s="40" t="s">
        <v>11404</v>
      </c>
      <c r="G17810" s="40" t="s">
        <v>11404</v>
      </c>
      <c r="H17810" s="40" t="s">
        <v>11404</v>
      </c>
    </row>
    <row r="17811">
      <c r="A17811" s="39"/>
      <c r="E17811" s="40" t="s">
        <v>11404</v>
      </c>
      <c r="F17811" s="40" t="s">
        <v>11404</v>
      </c>
      <c r="G17811" s="40" t="s">
        <v>11404</v>
      </c>
      <c r="H17811" s="40" t="s">
        <v>11404</v>
      </c>
    </row>
    <row r="17812">
      <c r="A17812" s="39"/>
      <c r="E17812" s="40" t="s">
        <v>11404</v>
      </c>
      <c r="F17812" s="40" t="s">
        <v>11404</v>
      </c>
      <c r="G17812" s="40" t="s">
        <v>11404</v>
      </c>
      <c r="H17812" s="40" t="s">
        <v>11404</v>
      </c>
    </row>
    <row r="17813">
      <c r="A17813" s="39"/>
      <c r="E17813" s="40" t="s">
        <v>11404</v>
      </c>
      <c r="F17813" s="40" t="s">
        <v>11404</v>
      </c>
      <c r="G17813" s="40" t="s">
        <v>11404</v>
      </c>
      <c r="H17813" s="40" t="s">
        <v>11404</v>
      </c>
    </row>
    <row r="17814">
      <c r="A17814" s="39"/>
      <c r="E17814" s="40" t="s">
        <v>11404</v>
      </c>
      <c r="F17814" s="40" t="s">
        <v>11404</v>
      </c>
      <c r="G17814" s="40" t="s">
        <v>11404</v>
      </c>
      <c r="H17814" s="40" t="s">
        <v>11404</v>
      </c>
    </row>
    <row r="17815">
      <c r="A17815" s="39"/>
      <c r="E17815" s="40" t="s">
        <v>11404</v>
      </c>
      <c r="F17815" s="40" t="s">
        <v>11404</v>
      </c>
      <c r="G17815" s="40" t="s">
        <v>11404</v>
      </c>
      <c r="H17815" s="40" t="s">
        <v>11404</v>
      </c>
    </row>
    <row r="17816">
      <c r="A17816" s="39"/>
      <c r="E17816" s="40" t="s">
        <v>11404</v>
      </c>
      <c r="F17816" s="40" t="s">
        <v>11404</v>
      </c>
      <c r="G17816" s="40" t="s">
        <v>11404</v>
      </c>
      <c r="H17816" s="40" t="s">
        <v>11404</v>
      </c>
    </row>
    <row r="17817">
      <c r="A17817" s="39"/>
      <c r="E17817" s="40" t="s">
        <v>11404</v>
      </c>
      <c r="F17817" s="40" t="s">
        <v>11404</v>
      </c>
      <c r="G17817" s="40" t="s">
        <v>11404</v>
      </c>
      <c r="H17817" s="40" t="s">
        <v>11404</v>
      </c>
    </row>
    <row r="17818">
      <c r="A17818" s="39"/>
      <c r="E17818" s="40" t="s">
        <v>11404</v>
      </c>
      <c r="F17818" s="40" t="s">
        <v>11404</v>
      </c>
      <c r="G17818" s="40" t="s">
        <v>11404</v>
      </c>
      <c r="H17818" s="40" t="s">
        <v>11404</v>
      </c>
    </row>
    <row r="17819">
      <c r="A17819" s="39"/>
      <c r="E17819" s="40" t="s">
        <v>11404</v>
      </c>
      <c r="F17819" s="40" t="s">
        <v>11404</v>
      </c>
      <c r="G17819" s="40" t="s">
        <v>11404</v>
      </c>
      <c r="H17819" s="40" t="s">
        <v>11404</v>
      </c>
    </row>
    <row r="17820">
      <c r="A17820" s="39"/>
      <c r="E17820" s="40" t="s">
        <v>11404</v>
      </c>
      <c r="F17820" s="40" t="s">
        <v>11404</v>
      </c>
      <c r="G17820" s="40" t="s">
        <v>11404</v>
      </c>
      <c r="H17820" s="40" t="s">
        <v>11404</v>
      </c>
    </row>
    <row r="17821">
      <c r="A17821" s="39"/>
      <c r="E17821" s="40" t="s">
        <v>11404</v>
      </c>
      <c r="F17821" s="40" t="s">
        <v>11404</v>
      </c>
      <c r="G17821" s="40" t="s">
        <v>11404</v>
      </c>
      <c r="H17821" s="40" t="s">
        <v>11404</v>
      </c>
    </row>
    <row r="17822">
      <c r="A17822" s="39"/>
      <c r="E17822" s="40" t="s">
        <v>11404</v>
      </c>
      <c r="F17822" s="40" t="s">
        <v>11404</v>
      </c>
      <c r="G17822" s="40" t="s">
        <v>11404</v>
      </c>
      <c r="H17822" s="40" t="s">
        <v>11404</v>
      </c>
    </row>
    <row r="17823">
      <c r="A17823" s="39"/>
      <c r="E17823" s="40" t="s">
        <v>11404</v>
      </c>
      <c r="F17823" s="40" t="s">
        <v>11404</v>
      </c>
      <c r="G17823" s="40" t="s">
        <v>11404</v>
      </c>
      <c r="H17823" s="40" t="s">
        <v>11404</v>
      </c>
    </row>
    <row r="17824">
      <c r="A17824" s="39"/>
      <c r="E17824" s="40" t="s">
        <v>11404</v>
      </c>
      <c r="F17824" s="40" t="s">
        <v>11404</v>
      </c>
      <c r="G17824" s="40" t="s">
        <v>11404</v>
      </c>
      <c r="H17824" s="40" t="s">
        <v>11404</v>
      </c>
    </row>
    <row r="17825">
      <c r="A17825" s="39"/>
      <c r="E17825" s="40" t="s">
        <v>11404</v>
      </c>
      <c r="F17825" s="40" t="s">
        <v>11404</v>
      </c>
      <c r="G17825" s="40" t="s">
        <v>11404</v>
      </c>
      <c r="H17825" s="40" t="s">
        <v>11404</v>
      </c>
    </row>
    <row r="17826">
      <c r="A17826" s="39"/>
      <c r="E17826" s="40" t="s">
        <v>11404</v>
      </c>
      <c r="F17826" s="40" t="s">
        <v>11404</v>
      </c>
      <c r="G17826" s="40" t="s">
        <v>11404</v>
      </c>
      <c r="H17826" s="40" t="s">
        <v>11404</v>
      </c>
    </row>
    <row r="17827">
      <c r="A17827" s="39"/>
      <c r="E17827" s="40" t="s">
        <v>11404</v>
      </c>
      <c r="F17827" s="40" t="s">
        <v>11404</v>
      </c>
      <c r="G17827" s="40" t="s">
        <v>11404</v>
      </c>
      <c r="H17827" s="40" t="s">
        <v>11404</v>
      </c>
    </row>
    <row r="17828">
      <c r="A17828" s="39"/>
      <c r="E17828" s="40" t="s">
        <v>11404</v>
      </c>
      <c r="F17828" s="40" t="s">
        <v>11404</v>
      </c>
      <c r="G17828" s="40" t="s">
        <v>11404</v>
      </c>
      <c r="H17828" s="40" t="s">
        <v>11404</v>
      </c>
    </row>
    <row r="17829">
      <c r="A17829" s="39"/>
      <c r="E17829" s="40" t="s">
        <v>11404</v>
      </c>
      <c r="F17829" s="40" t="s">
        <v>11404</v>
      </c>
      <c r="G17829" s="40" t="s">
        <v>11404</v>
      </c>
      <c r="H17829" s="40" t="s">
        <v>11404</v>
      </c>
    </row>
    <row r="17830">
      <c r="A17830" s="39"/>
      <c r="E17830" s="40" t="s">
        <v>11404</v>
      </c>
      <c r="F17830" s="40" t="s">
        <v>11404</v>
      </c>
      <c r="G17830" s="40" t="s">
        <v>11404</v>
      </c>
      <c r="H17830" s="40" t="s">
        <v>11404</v>
      </c>
    </row>
    <row r="17831">
      <c r="A17831" s="39"/>
      <c r="E17831" s="40" t="s">
        <v>11404</v>
      </c>
      <c r="F17831" s="40" t="s">
        <v>11404</v>
      </c>
      <c r="G17831" s="40" t="s">
        <v>11404</v>
      </c>
      <c r="H17831" s="40" t="s">
        <v>11404</v>
      </c>
    </row>
    <row r="17832">
      <c r="A17832" s="39"/>
      <c r="E17832" s="40" t="s">
        <v>11404</v>
      </c>
      <c r="F17832" s="40" t="s">
        <v>11404</v>
      </c>
      <c r="G17832" s="40" t="s">
        <v>11404</v>
      </c>
      <c r="H17832" s="40" t="s">
        <v>11404</v>
      </c>
    </row>
    <row r="17833">
      <c r="A17833" s="39"/>
      <c r="E17833" s="40" t="s">
        <v>11404</v>
      </c>
      <c r="F17833" s="40" t="s">
        <v>11404</v>
      </c>
      <c r="G17833" s="40" t="s">
        <v>11404</v>
      </c>
      <c r="H17833" s="40" t="s">
        <v>11404</v>
      </c>
    </row>
    <row r="17834">
      <c r="A17834" s="39"/>
      <c r="E17834" s="40" t="s">
        <v>11404</v>
      </c>
      <c r="F17834" s="40" t="s">
        <v>11404</v>
      </c>
      <c r="G17834" s="40" t="s">
        <v>11404</v>
      </c>
      <c r="H17834" s="40" t="s">
        <v>11404</v>
      </c>
    </row>
    <row r="17835">
      <c r="A17835" s="39"/>
      <c r="E17835" s="40" t="s">
        <v>11404</v>
      </c>
      <c r="F17835" s="40" t="s">
        <v>11404</v>
      </c>
      <c r="G17835" s="40" t="s">
        <v>11404</v>
      </c>
      <c r="H17835" s="40" t="s">
        <v>11404</v>
      </c>
    </row>
    <row r="17836">
      <c r="A17836" s="39"/>
      <c r="E17836" s="40" t="s">
        <v>11404</v>
      </c>
      <c r="F17836" s="40" t="s">
        <v>11404</v>
      </c>
      <c r="G17836" s="40" t="s">
        <v>11404</v>
      </c>
      <c r="H17836" s="40" t="s">
        <v>11404</v>
      </c>
    </row>
    <row r="17837">
      <c r="A17837" s="39"/>
      <c r="E17837" s="40" t="s">
        <v>11404</v>
      </c>
      <c r="F17837" s="40" t="s">
        <v>11404</v>
      </c>
      <c r="G17837" s="40" t="s">
        <v>11404</v>
      </c>
      <c r="H17837" s="40" t="s">
        <v>11404</v>
      </c>
    </row>
    <row r="17838">
      <c r="A17838" s="39"/>
      <c r="E17838" s="40" t="s">
        <v>11404</v>
      </c>
      <c r="F17838" s="40" t="s">
        <v>11404</v>
      </c>
      <c r="G17838" s="40" t="s">
        <v>11404</v>
      </c>
      <c r="H17838" s="40" t="s">
        <v>11404</v>
      </c>
    </row>
    <row r="17839">
      <c r="A17839" s="39"/>
      <c r="E17839" s="40" t="s">
        <v>11404</v>
      </c>
      <c r="F17839" s="40" t="s">
        <v>11404</v>
      </c>
      <c r="G17839" s="40" t="s">
        <v>11404</v>
      </c>
      <c r="H17839" s="40" t="s">
        <v>11404</v>
      </c>
    </row>
    <row r="17840">
      <c r="A17840" s="39"/>
      <c r="E17840" s="40" t="s">
        <v>11404</v>
      </c>
      <c r="F17840" s="40" t="s">
        <v>11404</v>
      </c>
      <c r="G17840" s="40" t="s">
        <v>11404</v>
      </c>
      <c r="H17840" s="40" t="s">
        <v>11404</v>
      </c>
    </row>
    <row r="17841">
      <c r="A17841" s="39"/>
      <c r="E17841" s="40" t="s">
        <v>11404</v>
      </c>
      <c r="F17841" s="40" t="s">
        <v>11404</v>
      </c>
      <c r="G17841" s="40" t="s">
        <v>11404</v>
      </c>
      <c r="H17841" s="40" t="s">
        <v>11404</v>
      </c>
    </row>
    <row r="17842">
      <c r="A17842" s="39"/>
      <c r="E17842" s="40" t="s">
        <v>11404</v>
      </c>
      <c r="F17842" s="40" t="s">
        <v>11404</v>
      </c>
      <c r="G17842" s="40" t="s">
        <v>11404</v>
      </c>
      <c r="H17842" s="40" t="s">
        <v>11404</v>
      </c>
    </row>
    <row r="17843">
      <c r="A17843" s="39"/>
      <c r="E17843" s="40" t="s">
        <v>11404</v>
      </c>
      <c r="F17843" s="40" t="s">
        <v>11404</v>
      </c>
      <c r="G17843" s="40" t="s">
        <v>11404</v>
      </c>
      <c r="H17843" s="40" t="s">
        <v>11404</v>
      </c>
    </row>
    <row r="17844">
      <c r="A17844" s="39"/>
      <c r="E17844" s="40" t="s">
        <v>11404</v>
      </c>
      <c r="F17844" s="40" t="s">
        <v>11404</v>
      </c>
      <c r="G17844" s="40" t="s">
        <v>11404</v>
      </c>
      <c r="H17844" s="40" t="s">
        <v>11404</v>
      </c>
    </row>
    <row r="17845">
      <c r="A17845" s="39"/>
      <c r="E17845" s="40" t="s">
        <v>11404</v>
      </c>
      <c r="F17845" s="40" t="s">
        <v>11404</v>
      </c>
      <c r="G17845" s="40" t="s">
        <v>11404</v>
      </c>
      <c r="H17845" s="40" t="s">
        <v>11404</v>
      </c>
    </row>
    <row r="17846">
      <c r="A17846" s="39"/>
      <c r="E17846" s="40" t="s">
        <v>11404</v>
      </c>
      <c r="F17846" s="40" t="s">
        <v>11404</v>
      </c>
      <c r="G17846" s="40" t="s">
        <v>11404</v>
      </c>
      <c r="H17846" s="40" t="s">
        <v>11404</v>
      </c>
    </row>
    <row r="17847">
      <c r="A17847" s="39"/>
      <c r="E17847" s="40" t="s">
        <v>11404</v>
      </c>
      <c r="F17847" s="40" t="s">
        <v>11404</v>
      </c>
      <c r="G17847" s="40" t="s">
        <v>11404</v>
      </c>
      <c r="H17847" s="40" t="s">
        <v>11404</v>
      </c>
    </row>
    <row r="17848">
      <c r="A17848" s="39"/>
      <c r="E17848" s="40" t="s">
        <v>11404</v>
      </c>
      <c r="F17848" s="40" t="s">
        <v>11404</v>
      </c>
      <c r="G17848" s="40" t="s">
        <v>11404</v>
      </c>
      <c r="H17848" s="40" t="s">
        <v>11404</v>
      </c>
    </row>
    <row r="17849">
      <c r="A17849" s="39"/>
      <c r="E17849" s="40" t="s">
        <v>11404</v>
      </c>
      <c r="F17849" s="40" t="s">
        <v>11404</v>
      </c>
      <c r="G17849" s="40" t="s">
        <v>11404</v>
      </c>
      <c r="H17849" s="40" t="s">
        <v>11404</v>
      </c>
    </row>
    <row r="17850">
      <c r="A17850" s="39"/>
      <c r="E17850" s="40" t="s">
        <v>11404</v>
      </c>
      <c r="F17850" s="40" t="s">
        <v>11404</v>
      </c>
      <c r="G17850" s="40" t="s">
        <v>11404</v>
      </c>
      <c r="H17850" s="40" t="s">
        <v>11404</v>
      </c>
    </row>
    <row r="17851">
      <c r="A17851" s="39"/>
      <c r="E17851" s="40" t="s">
        <v>11404</v>
      </c>
      <c r="F17851" s="40" t="s">
        <v>11404</v>
      </c>
      <c r="G17851" s="40" t="s">
        <v>11404</v>
      </c>
      <c r="H17851" s="40" t="s">
        <v>11404</v>
      </c>
    </row>
    <row r="17852">
      <c r="A17852" s="39"/>
      <c r="E17852" s="40" t="s">
        <v>11404</v>
      </c>
      <c r="F17852" s="40" t="s">
        <v>11404</v>
      </c>
      <c r="G17852" s="40" t="s">
        <v>11404</v>
      </c>
      <c r="H17852" s="40" t="s">
        <v>11404</v>
      </c>
    </row>
    <row r="17853">
      <c r="A17853" s="39"/>
      <c r="E17853" s="40" t="s">
        <v>11404</v>
      </c>
      <c r="F17853" s="40" t="s">
        <v>11404</v>
      </c>
      <c r="G17853" s="40" t="s">
        <v>11404</v>
      </c>
      <c r="H17853" s="40" t="s">
        <v>11404</v>
      </c>
    </row>
    <row r="17854">
      <c r="A17854" s="39"/>
      <c r="E17854" s="40" t="s">
        <v>11404</v>
      </c>
      <c r="F17854" s="40" t="s">
        <v>11404</v>
      </c>
      <c r="G17854" s="40" t="s">
        <v>11404</v>
      </c>
      <c r="H17854" s="40" t="s">
        <v>11404</v>
      </c>
    </row>
    <row r="17855">
      <c r="A17855" s="39"/>
      <c r="E17855" s="40" t="s">
        <v>11404</v>
      </c>
      <c r="F17855" s="40" t="s">
        <v>11404</v>
      </c>
      <c r="G17855" s="40" t="s">
        <v>11404</v>
      </c>
      <c r="H17855" s="40" t="s">
        <v>11404</v>
      </c>
    </row>
    <row r="17856">
      <c r="A17856" s="39"/>
      <c r="E17856" s="40" t="s">
        <v>11404</v>
      </c>
      <c r="F17856" s="40" t="s">
        <v>11404</v>
      </c>
      <c r="G17856" s="40" t="s">
        <v>11404</v>
      </c>
      <c r="H17856" s="40" t="s">
        <v>11404</v>
      </c>
    </row>
    <row r="17857">
      <c r="A17857" s="39"/>
      <c r="E17857" s="40" t="s">
        <v>11404</v>
      </c>
      <c r="F17857" s="40" t="s">
        <v>11404</v>
      </c>
      <c r="G17857" s="40" t="s">
        <v>11404</v>
      </c>
      <c r="H17857" s="40" t="s">
        <v>11404</v>
      </c>
    </row>
    <row r="17858">
      <c r="A17858" s="39"/>
      <c r="E17858" s="40" t="s">
        <v>11404</v>
      </c>
      <c r="F17858" s="40" t="s">
        <v>11404</v>
      </c>
      <c r="G17858" s="40" t="s">
        <v>11404</v>
      </c>
      <c r="H17858" s="40" t="s">
        <v>11404</v>
      </c>
    </row>
    <row r="17859">
      <c r="A17859" s="39"/>
      <c r="E17859" s="40" t="s">
        <v>11404</v>
      </c>
      <c r="F17859" s="40" t="s">
        <v>11404</v>
      </c>
      <c r="G17859" s="40" t="s">
        <v>11404</v>
      </c>
      <c r="H17859" s="40" t="s">
        <v>11404</v>
      </c>
    </row>
    <row r="17860">
      <c r="A17860" s="39"/>
      <c r="E17860" s="40" t="s">
        <v>11404</v>
      </c>
      <c r="F17860" s="40" t="s">
        <v>11404</v>
      </c>
      <c r="G17860" s="40" t="s">
        <v>11404</v>
      </c>
      <c r="H17860" s="40" t="s">
        <v>11404</v>
      </c>
    </row>
    <row r="17861">
      <c r="A17861" s="39"/>
      <c r="E17861" s="40" t="s">
        <v>11404</v>
      </c>
      <c r="F17861" s="40" t="s">
        <v>11404</v>
      </c>
      <c r="G17861" s="40" t="s">
        <v>11404</v>
      </c>
      <c r="H17861" s="40" t="s">
        <v>11404</v>
      </c>
    </row>
    <row r="17862">
      <c r="A17862" s="39"/>
      <c r="E17862" s="40" t="s">
        <v>11404</v>
      </c>
      <c r="F17862" s="40" t="s">
        <v>11404</v>
      </c>
      <c r="G17862" s="40" t="s">
        <v>11404</v>
      </c>
      <c r="H17862" s="40" t="s">
        <v>11404</v>
      </c>
    </row>
    <row r="17863">
      <c r="A17863" s="39"/>
      <c r="E17863" s="40" t="s">
        <v>11404</v>
      </c>
      <c r="F17863" s="40" t="s">
        <v>11404</v>
      </c>
      <c r="G17863" s="40" t="s">
        <v>11404</v>
      </c>
      <c r="H17863" s="40" t="s">
        <v>11404</v>
      </c>
    </row>
    <row r="17864">
      <c r="A17864" s="39"/>
      <c r="E17864" s="40" t="s">
        <v>11404</v>
      </c>
      <c r="F17864" s="40" t="s">
        <v>11404</v>
      </c>
      <c r="G17864" s="40" t="s">
        <v>11404</v>
      </c>
      <c r="H17864" s="40" t="s">
        <v>11404</v>
      </c>
    </row>
    <row r="17865">
      <c r="A17865" s="39"/>
      <c r="E17865" s="40" t="s">
        <v>11404</v>
      </c>
      <c r="F17865" s="40" t="s">
        <v>11404</v>
      </c>
      <c r="G17865" s="40" t="s">
        <v>11404</v>
      </c>
      <c r="H17865" s="40" t="s">
        <v>11404</v>
      </c>
    </row>
    <row r="17866">
      <c r="A17866" s="39"/>
      <c r="E17866" s="40" t="s">
        <v>11404</v>
      </c>
      <c r="F17866" s="40" t="s">
        <v>11404</v>
      </c>
      <c r="G17866" s="40" t="s">
        <v>11404</v>
      </c>
      <c r="H17866" s="40" t="s">
        <v>11404</v>
      </c>
    </row>
    <row r="17867">
      <c r="A17867" s="39"/>
      <c r="E17867" s="40" t="s">
        <v>11404</v>
      </c>
      <c r="F17867" s="40" t="s">
        <v>11404</v>
      </c>
      <c r="G17867" s="40" t="s">
        <v>11404</v>
      </c>
      <c r="H17867" s="40" t="s">
        <v>11404</v>
      </c>
    </row>
    <row r="17868">
      <c r="A17868" s="39"/>
      <c r="E17868" s="40" t="s">
        <v>11404</v>
      </c>
      <c r="F17868" s="40" t="s">
        <v>11404</v>
      </c>
      <c r="G17868" s="40" t="s">
        <v>11404</v>
      </c>
      <c r="H17868" s="40" t="s">
        <v>11404</v>
      </c>
    </row>
    <row r="17869">
      <c r="A17869" s="39"/>
      <c r="E17869" s="40" t="s">
        <v>11404</v>
      </c>
      <c r="F17869" s="40" t="s">
        <v>11404</v>
      </c>
      <c r="G17869" s="40" t="s">
        <v>11404</v>
      </c>
      <c r="H17869" s="40" t="s">
        <v>11404</v>
      </c>
    </row>
    <row r="17870">
      <c r="A17870" s="39"/>
      <c r="E17870" s="40" t="s">
        <v>11404</v>
      </c>
      <c r="F17870" s="40" t="s">
        <v>11404</v>
      </c>
      <c r="G17870" s="40" t="s">
        <v>11404</v>
      </c>
      <c r="H17870" s="40" t="s">
        <v>11404</v>
      </c>
    </row>
    <row r="17871">
      <c r="A17871" s="39"/>
      <c r="E17871" s="40" t="s">
        <v>11404</v>
      </c>
      <c r="F17871" s="40" t="s">
        <v>11404</v>
      </c>
      <c r="G17871" s="40" t="s">
        <v>11404</v>
      </c>
      <c r="H17871" s="40" t="s">
        <v>11404</v>
      </c>
    </row>
    <row r="17872">
      <c r="A17872" s="39"/>
      <c r="E17872" s="40" t="s">
        <v>11404</v>
      </c>
      <c r="F17872" s="40" t="s">
        <v>11404</v>
      </c>
      <c r="G17872" s="40" t="s">
        <v>11404</v>
      </c>
      <c r="H17872" s="40" t="s">
        <v>11404</v>
      </c>
    </row>
    <row r="17873">
      <c r="A17873" s="39"/>
      <c r="E17873" s="40" t="s">
        <v>11404</v>
      </c>
      <c r="F17873" s="40" t="s">
        <v>11404</v>
      </c>
      <c r="G17873" s="40" t="s">
        <v>11404</v>
      </c>
      <c r="H17873" s="40" t="s">
        <v>11404</v>
      </c>
    </row>
    <row r="17874">
      <c r="A17874" s="39"/>
      <c r="E17874" s="40" t="s">
        <v>11404</v>
      </c>
      <c r="F17874" s="40" t="s">
        <v>11404</v>
      </c>
      <c r="G17874" s="40" t="s">
        <v>11404</v>
      </c>
      <c r="H17874" s="40" t="s">
        <v>11404</v>
      </c>
    </row>
    <row r="17875">
      <c r="A17875" s="39"/>
      <c r="E17875" s="40" t="s">
        <v>11404</v>
      </c>
      <c r="F17875" s="40" t="s">
        <v>11404</v>
      </c>
      <c r="G17875" s="40" t="s">
        <v>11404</v>
      </c>
      <c r="H17875" s="40" t="s">
        <v>11404</v>
      </c>
    </row>
    <row r="17876">
      <c r="A17876" s="39"/>
      <c r="E17876" s="40" t="s">
        <v>11404</v>
      </c>
      <c r="F17876" s="40" t="s">
        <v>11404</v>
      </c>
      <c r="G17876" s="40" t="s">
        <v>11404</v>
      </c>
      <c r="H17876" s="40" t="s">
        <v>11404</v>
      </c>
    </row>
    <row r="17877">
      <c r="A17877" s="39"/>
      <c r="E17877" s="40" t="s">
        <v>11404</v>
      </c>
      <c r="F17877" s="40" t="s">
        <v>11404</v>
      </c>
      <c r="G17877" s="40" t="s">
        <v>11404</v>
      </c>
      <c r="H17877" s="40" t="s">
        <v>11404</v>
      </c>
    </row>
    <row r="17878">
      <c r="A17878" s="39"/>
      <c r="E17878" s="40" t="s">
        <v>11404</v>
      </c>
      <c r="F17878" s="40" t="s">
        <v>11404</v>
      </c>
      <c r="G17878" s="40" t="s">
        <v>11404</v>
      </c>
      <c r="H17878" s="40" t="s">
        <v>11404</v>
      </c>
    </row>
    <row r="17879">
      <c r="A17879" s="39"/>
      <c r="E17879" s="40" t="s">
        <v>11404</v>
      </c>
      <c r="F17879" s="40" t="s">
        <v>11404</v>
      </c>
      <c r="G17879" s="40" t="s">
        <v>11404</v>
      </c>
      <c r="H17879" s="40" t="s">
        <v>11404</v>
      </c>
    </row>
    <row r="17880">
      <c r="A17880" s="39"/>
      <c r="E17880" s="40" t="s">
        <v>11404</v>
      </c>
      <c r="F17880" s="40" t="s">
        <v>11404</v>
      </c>
      <c r="G17880" s="40" t="s">
        <v>11404</v>
      </c>
      <c r="H17880" s="40" t="s">
        <v>11404</v>
      </c>
    </row>
    <row r="17881">
      <c r="A17881" s="39"/>
      <c r="E17881" s="40" t="s">
        <v>11404</v>
      </c>
      <c r="F17881" s="40" t="s">
        <v>11404</v>
      </c>
      <c r="G17881" s="40" t="s">
        <v>11404</v>
      </c>
      <c r="H17881" s="40" t="s">
        <v>11404</v>
      </c>
    </row>
    <row r="17882">
      <c r="A17882" s="39"/>
      <c r="E17882" s="40" t="s">
        <v>11404</v>
      </c>
      <c r="F17882" s="40" t="s">
        <v>11404</v>
      </c>
      <c r="G17882" s="40" t="s">
        <v>11404</v>
      </c>
      <c r="H17882" s="40" t="s">
        <v>11404</v>
      </c>
    </row>
    <row r="17883">
      <c r="A17883" s="39"/>
      <c r="E17883" s="40" t="s">
        <v>11404</v>
      </c>
      <c r="F17883" s="40" t="s">
        <v>11404</v>
      </c>
      <c r="G17883" s="40" t="s">
        <v>11404</v>
      </c>
      <c r="H17883" s="40" t="s">
        <v>11404</v>
      </c>
    </row>
    <row r="17884">
      <c r="A17884" s="39"/>
      <c r="E17884" s="40" t="s">
        <v>11404</v>
      </c>
      <c r="F17884" s="40" t="s">
        <v>11404</v>
      </c>
      <c r="G17884" s="40" t="s">
        <v>11404</v>
      </c>
      <c r="H17884" s="40" t="s">
        <v>11404</v>
      </c>
    </row>
    <row r="17885">
      <c r="A17885" s="39"/>
      <c r="E17885" s="40" t="s">
        <v>11404</v>
      </c>
      <c r="F17885" s="40" t="s">
        <v>11404</v>
      </c>
      <c r="G17885" s="40" t="s">
        <v>11404</v>
      </c>
      <c r="H17885" s="40" t="s">
        <v>11404</v>
      </c>
    </row>
    <row r="17886">
      <c r="A17886" s="39"/>
      <c r="E17886" s="40" t="s">
        <v>11404</v>
      </c>
      <c r="F17886" s="40" t="s">
        <v>11404</v>
      </c>
      <c r="G17886" s="40" t="s">
        <v>11404</v>
      </c>
      <c r="H17886" s="40" t="s">
        <v>11404</v>
      </c>
    </row>
    <row r="17887">
      <c r="A17887" s="39"/>
      <c r="E17887" s="40" t="s">
        <v>11404</v>
      </c>
      <c r="F17887" s="40" t="s">
        <v>11404</v>
      </c>
      <c r="G17887" s="40" t="s">
        <v>11404</v>
      </c>
      <c r="H17887" s="40" t="s">
        <v>11404</v>
      </c>
    </row>
    <row r="17888">
      <c r="A17888" s="39"/>
      <c r="E17888" s="40" t="s">
        <v>11404</v>
      </c>
      <c r="F17888" s="40" t="s">
        <v>11404</v>
      </c>
      <c r="G17888" s="40" t="s">
        <v>11404</v>
      </c>
      <c r="H17888" s="40" t="s">
        <v>11404</v>
      </c>
    </row>
    <row r="17889">
      <c r="A17889" s="39"/>
      <c r="E17889" s="40" t="s">
        <v>11404</v>
      </c>
      <c r="F17889" s="40" t="s">
        <v>11404</v>
      </c>
      <c r="G17889" s="40" t="s">
        <v>11404</v>
      </c>
      <c r="H17889" s="40" t="s">
        <v>11404</v>
      </c>
    </row>
    <row r="17890">
      <c r="A17890" s="39"/>
      <c r="E17890" s="40" t="s">
        <v>11404</v>
      </c>
      <c r="F17890" s="40" t="s">
        <v>11404</v>
      </c>
      <c r="G17890" s="40" t="s">
        <v>11404</v>
      </c>
      <c r="H17890" s="40" t="s">
        <v>11404</v>
      </c>
    </row>
    <row r="17891">
      <c r="A17891" s="39"/>
      <c r="E17891" s="40" t="s">
        <v>11404</v>
      </c>
      <c r="F17891" s="40" t="s">
        <v>11404</v>
      </c>
      <c r="G17891" s="40" t="s">
        <v>11404</v>
      </c>
      <c r="H17891" s="40" t="s">
        <v>11404</v>
      </c>
    </row>
    <row r="17892">
      <c r="A17892" s="39"/>
      <c r="E17892" s="40" t="s">
        <v>11404</v>
      </c>
      <c r="F17892" s="40" t="s">
        <v>11404</v>
      </c>
      <c r="G17892" s="40" t="s">
        <v>11404</v>
      </c>
      <c r="H17892" s="40" t="s">
        <v>11404</v>
      </c>
    </row>
    <row r="17893">
      <c r="A17893" s="39"/>
      <c r="E17893" s="40" t="s">
        <v>11404</v>
      </c>
      <c r="F17893" s="40" t="s">
        <v>11404</v>
      </c>
      <c r="G17893" s="40" t="s">
        <v>11404</v>
      </c>
      <c r="H17893" s="40" t="s">
        <v>11404</v>
      </c>
    </row>
    <row r="17894">
      <c r="A17894" s="39"/>
      <c r="E17894" s="40" t="s">
        <v>11404</v>
      </c>
      <c r="F17894" s="40" t="s">
        <v>11404</v>
      </c>
      <c r="G17894" s="40" t="s">
        <v>11404</v>
      </c>
      <c r="H17894" s="40" t="s">
        <v>11404</v>
      </c>
    </row>
    <row r="17895">
      <c r="A17895" s="39"/>
      <c r="E17895" s="40" t="s">
        <v>11404</v>
      </c>
      <c r="F17895" s="40" t="s">
        <v>11404</v>
      </c>
      <c r="G17895" s="40" t="s">
        <v>11404</v>
      </c>
      <c r="H17895" s="40" t="s">
        <v>11404</v>
      </c>
    </row>
    <row r="17896">
      <c r="A17896" s="39"/>
      <c r="E17896" s="40" t="s">
        <v>11404</v>
      </c>
      <c r="F17896" s="40" t="s">
        <v>11404</v>
      </c>
      <c r="G17896" s="40" t="s">
        <v>11404</v>
      </c>
      <c r="H17896" s="40" t="s">
        <v>11404</v>
      </c>
    </row>
    <row r="17897">
      <c r="A17897" s="39"/>
      <c r="E17897" s="40" t="s">
        <v>11404</v>
      </c>
      <c r="F17897" s="40" t="s">
        <v>11404</v>
      </c>
      <c r="G17897" s="40" t="s">
        <v>11404</v>
      </c>
      <c r="H17897" s="40" t="s">
        <v>11404</v>
      </c>
    </row>
    <row r="17898">
      <c r="A17898" s="39"/>
      <c r="E17898" s="40" t="s">
        <v>11404</v>
      </c>
      <c r="F17898" s="40" t="s">
        <v>11404</v>
      </c>
      <c r="G17898" s="40" t="s">
        <v>11404</v>
      </c>
      <c r="H17898" s="40" t="s">
        <v>11404</v>
      </c>
    </row>
    <row r="17899">
      <c r="A17899" s="39"/>
      <c r="E17899" s="40" t="s">
        <v>11404</v>
      </c>
      <c r="F17899" s="40" t="s">
        <v>11404</v>
      </c>
      <c r="G17899" s="40" t="s">
        <v>11404</v>
      </c>
      <c r="H17899" s="40" t="s">
        <v>11404</v>
      </c>
    </row>
    <row r="17900">
      <c r="A17900" s="39"/>
      <c r="E17900" s="40" t="s">
        <v>11404</v>
      </c>
      <c r="F17900" s="40" t="s">
        <v>11404</v>
      </c>
      <c r="G17900" s="40" t="s">
        <v>11404</v>
      </c>
      <c r="H17900" s="40" t="s">
        <v>11404</v>
      </c>
    </row>
    <row r="17901">
      <c r="A17901" s="39"/>
      <c r="E17901" s="40" t="s">
        <v>11404</v>
      </c>
      <c r="F17901" s="40" t="s">
        <v>11404</v>
      </c>
      <c r="G17901" s="40" t="s">
        <v>11404</v>
      </c>
      <c r="H17901" s="40" t="s">
        <v>11404</v>
      </c>
    </row>
    <row r="17902">
      <c r="A17902" s="39"/>
      <c r="E17902" s="40" t="s">
        <v>11404</v>
      </c>
      <c r="F17902" s="40" t="s">
        <v>11404</v>
      </c>
      <c r="G17902" s="40" t="s">
        <v>11404</v>
      </c>
      <c r="H17902" s="40" t="s">
        <v>11404</v>
      </c>
    </row>
    <row r="17903">
      <c r="A17903" s="39"/>
      <c r="E17903" s="40" t="s">
        <v>11404</v>
      </c>
      <c r="F17903" s="40" t="s">
        <v>11404</v>
      </c>
      <c r="G17903" s="40" t="s">
        <v>11404</v>
      </c>
      <c r="H17903" s="40" t="s">
        <v>11404</v>
      </c>
    </row>
    <row r="17904">
      <c r="A17904" s="39"/>
      <c r="E17904" s="40" t="s">
        <v>11404</v>
      </c>
      <c r="F17904" s="40" t="s">
        <v>11404</v>
      </c>
      <c r="G17904" s="40" t="s">
        <v>11404</v>
      </c>
      <c r="H17904" s="40" t="s">
        <v>11404</v>
      </c>
    </row>
    <row r="17905">
      <c r="A17905" s="39"/>
      <c r="E17905" s="40" t="s">
        <v>11404</v>
      </c>
      <c r="F17905" s="40" t="s">
        <v>11404</v>
      </c>
      <c r="G17905" s="40" t="s">
        <v>11404</v>
      </c>
      <c r="H17905" s="40" t="s">
        <v>11404</v>
      </c>
    </row>
    <row r="17906">
      <c r="A17906" s="39"/>
      <c r="E17906" s="40" t="s">
        <v>11404</v>
      </c>
      <c r="F17906" s="40" t="s">
        <v>11404</v>
      </c>
      <c r="G17906" s="40" t="s">
        <v>11404</v>
      </c>
      <c r="H17906" s="40" t="s">
        <v>11404</v>
      </c>
    </row>
    <row r="17907">
      <c r="A17907" s="39"/>
      <c r="E17907" s="40" t="s">
        <v>11404</v>
      </c>
      <c r="F17907" s="40" t="s">
        <v>11404</v>
      </c>
      <c r="G17907" s="40" t="s">
        <v>11404</v>
      </c>
      <c r="H17907" s="40" t="s">
        <v>11404</v>
      </c>
    </row>
    <row r="17908">
      <c r="A17908" s="39"/>
      <c r="E17908" s="40" t="s">
        <v>11404</v>
      </c>
      <c r="F17908" s="40" t="s">
        <v>11404</v>
      </c>
      <c r="G17908" s="40" t="s">
        <v>11404</v>
      </c>
      <c r="H17908" s="40" t="s">
        <v>11404</v>
      </c>
    </row>
    <row r="17909">
      <c r="A17909" s="39"/>
      <c r="E17909" s="40" t="s">
        <v>11404</v>
      </c>
      <c r="F17909" s="40" t="s">
        <v>11404</v>
      </c>
      <c r="G17909" s="40" t="s">
        <v>11404</v>
      </c>
      <c r="H17909" s="40" t="s">
        <v>11404</v>
      </c>
    </row>
    <row r="17910">
      <c r="A17910" s="39"/>
      <c r="E17910" s="40" t="s">
        <v>11404</v>
      </c>
      <c r="F17910" s="40" t="s">
        <v>11404</v>
      </c>
      <c r="G17910" s="40" t="s">
        <v>11404</v>
      </c>
      <c r="H17910" s="40" t="s">
        <v>11404</v>
      </c>
    </row>
    <row r="17911">
      <c r="A17911" s="39"/>
      <c r="E17911" s="40" t="s">
        <v>11404</v>
      </c>
      <c r="F17911" s="40" t="s">
        <v>11404</v>
      </c>
      <c r="G17911" s="40" t="s">
        <v>11404</v>
      </c>
      <c r="H17911" s="40" t="s">
        <v>11404</v>
      </c>
    </row>
    <row r="17912">
      <c r="A17912" s="39"/>
      <c r="E17912" s="40" t="s">
        <v>11404</v>
      </c>
      <c r="F17912" s="40" t="s">
        <v>11404</v>
      </c>
      <c r="G17912" s="40" t="s">
        <v>11404</v>
      </c>
      <c r="H17912" s="40" t="s">
        <v>11404</v>
      </c>
    </row>
    <row r="17913">
      <c r="A17913" s="39"/>
      <c r="E17913" s="40" t="s">
        <v>11404</v>
      </c>
      <c r="F17913" s="40" t="s">
        <v>11404</v>
      </c>
      <c r="G17913" s="40" t="s">
        <v>11404</v>
      </c>
      <c r="H17913" s="40" t="s">
        <v>11404</v>
      </c>
    </row>
    <row r="17914">
      <c r="A17914" s="39"/>
      <c r="E17914" s="40" t="s">
        <v>11404</v>
      </c>
      <c r="F17914" s="40" t="s">
        <v>11404</v>
      </c>
      <c r="G17914" s="40" t="s">
        <v>11404</v>
      </c>
      <c r="H17914" s="40" t="s">
        <v>11404</v>
      </c>
    </row>
    <row r="17915">
      <c r="A17915" s="39"/>
      <c r="E17915" s="40" t="s">
        <v>11404</v>
      </c>
      <c r="F17915" s="40" t="s">
        <v>11404</v>
      </c>
      <c r="G17915" s="40" t="s">
        <v>11404</v>
      </c>
      <c r="H17915" s="40" t="s">
        <v>11404</v>
      </c>
    </row>
    <row r="17916">
      <c r="A17916" s="39"/>
      <c r="E17916" s="40" t="s">
        <v>11404</v>
      </c>
      <c r="F17916" s="40" t="s">
        <v>11404</v>
      </c>
      <c r="G17916" s="40" t="s">
        <v>11404</v>
      </c>
      <c r="H17916" s="40" t="s">
        <v>11404</v>
      </c>
    </row>
    <row r="17917">
      <c r="A17917" s="39"/>
      <c r="E17917" s="40" t="s">
        <v>11404</v>
      </c>
      <c r="F17917" s="40" t="s">
        <v>11404</v>
      </c>
      <c r="G17917" s="40" t="s">
        <v>11404</v>
      </c>
      <c r="H17917" s="40" t="s">
        <v>11404</v>
      </c>
    </row>
    <row r="17918">
      <c r="A17918" s="39"/>
      <c r="E17918" s="40" t="s">
        <v>11404</v>
      </c>
      <c r="F17918" s="40" t="s">
        <v>11404</v>
      </c>
      <c r="G17918" s="40" t="s">
        <v>11404</v>
      </c>
      <c r="H17918" s="40" t="s">
        <v>11404</v>
      </c>
    </row>
    <row r="17919">
      <c r="A17919" s="39"/>
      <c r="E17919" s="40" t="s">
        <v>11404</v>
      </c>
      <c r="F17919" s="40" t="s">
        <v>11404</v>
      </c>
      <c r="G17919" s="40" t="s">
        <v>11404</v>
      </c>
      <c r="H17919" s="40" t="s">
        <v>11404</v>
      </c>
    </row>
    <row r="17920">
      <c r="A17920" s="39"/>
      <c r="E17920" s="40" t="s">
        <v>11404</v>
      </c>
      <c r="F17920" s="40" t="s">
        <v>11404</v>
      </c>
      <c r="G17920" s="40" t="s">
        <v>11404</v>
      </c>
      <c r="H17920" s="40" t="s">
        <v>11404</v>
      </c>
    </row>
    <row r="17921">
      <c r="A17921" s="39"/>
      <c r="E17921" s="40" t="s">
        <v>11404</v>
      </c>
      <c r="F17921" s="40" t="s">
        <v>11404</v>
      </c>
      <c r="G17921" s="40" t="s">
        <v>11404</v>
      </c>
      <c r="H17921" s="40" t="s">
        <v>11404</v>
      </c>
    </row>
    <row r="17922">
      <c r="A17922" s="39"/>
      <c r="E17922" s="40" t="s">
        <v>11404</v>
      </c>
      <c r="F17922" s="40" t="s">
        <v>11404</v>
      </c>
      <c r="G17922" s="40" t="s">
        <v>11404</v>
      </c>
      <c r="H17922" s="40" t="s">
        <v>11404</v>
      </c>
    </row>
    <row r="17923">
      <c r="A17923" s="39"/>
      <c r="E17923" s="40" t="s">
        <v>11404</v>
      </c>
      <c r="F17923" s="40" t="s">
        <v>11404</v>
      </c>
      <c r="G17923" s="40" t="s">
        <v>11404</v>
      </c>
      <c r="H17923" s="40" t="s">
        <v>11404</v>
      </c>
    </row>
    <row r="17924">
      <c r="A17924" s="39"/>
      <c r="E17924" s="40" t="s">
        <v>11404</v>
      </c>
      <c r="F17924" s="40" t="s">
        <v>11404</v>
      </c>
      <c r="G17924" s="40" t="s">
        <v>11404</v>
      </c>
      <c r="H17924" s="40" t="s">
        <v>11404</v>
      </c>
    </row>
    <row r="17925">
      <c r="A17925" s="39"/>
      <c r="E17925" s="40" t="s">
        <v>11404</v>
      </c>
      <c r="F17925" s="40" t="s">
        <v>11404</v>
      </c>
      <c r="G17925" s="40" t="s">
        <v>11404</v>
      </c>
      <c r="H17925" s="40" t="s">
        <v>11404</v>
      </c>
    </row>
    <row r="17926">
      <c r="A17926" s="39"/>
      <c r="E17926" s="40" t="s">
        <v>11404</v>
      </c>
      <c r="F17926" s="40" t="s">
        <v>11404</v>
      </c>
      <c r="G17926" s="40" t="s">
        <v>11404</v>
      </c>
      <c r="H17926" s="40" t="s">
        <v>11404</v>
      </c>
    </row>
    <row r="17927">
      <c r="A17927" s="39"/>
      <c r="E17927" s="40" t="s">
        <v>11404</v>
      </c>
      <c r="F17927" s="40" t="s">
        <v>11404</v>
      </c>
      <c r="G17927" s="40" t="s">
        <v>11404</v>
      </c>
      <c r="H17927" s="40" t="s">
        <v>11404</v>
      </c>
    </row>
    <row r="17928">
      <c r="A17928" s="39"/>
      <c r="E17928" s="40" t="s">
        <v>11404</v>
      </c>
      <c r="F17928" s="40" t="s">
        <v>11404</v>
      </c>
      <c r="G17928" s="40" t="s">
        <v>11404</v>
      </c>
      <c r="H17928" s="40" t="s">
        <v>11404</v>
      </c>
    </row>
    <row r="17929">
      <c r="A17929" s="39"/>
      <c r="E17929" s="40" t="s">
        <v>11404</v>
      </c>
      <c r="F17929" s="40" t="s">
        <v>11404</v>
      </c>
      <c r="G17929" s="40" t="s">
        <v>11404</v>
      </c>
      <c r="H17929" s="40" t="s">
        <v>11404</v>
      </c>
    </row>
    <row r="17930">
      <c r="A17930" s="39"/>
      <c r="E17930" s="40" t="s">
        <v>11404</v>
      </c>
      <c r="F17930" s="40" t="s">
        <v>11404</v>
      </c>
      <c r="G17930" s="40" t="s">
        <v>11404</v>
      </c>
      <c r="H17930" s="40" t="s">
        <v>11404</v>
      </c>
    </row>
    <row r="17931">
      <c r="A17931" s="39"/>
      <c r="E17931" s="40" t="s">
        <v>11404</v>
      </c>
      <c r="F17931" s="40" t="s">
        <v>11404</v>
      </c>
      <c r="G17931" s="40" t="s">
        <v>11404</v>
      </c>
      <c r="H17931" s="40" t="s">
        <v>11404</v>
      </c>
    </row>
    <row r="17932">
      <c r="A17932" s="39"/>
      <c r="E17932" s="40" t="s">
        <v>11404</v>
      </c>
      <c r="F17932" s="40" t="s">
        <v>11404</v>
      </c>
      <c r="G17932" s="40" t="s">
        <v>11404</v>
      </c>
      <c r="H17932" s="40" t="s">
        <v>11404</v>
      </c>
    </row>
    <row r="17933">
      <c r="A17933" s="39"/>
      <c r="E17933" s="40" t="s">
        <v>11404</v>
      </c>
      <c r="F17933" s="40" t="s">
        <v>11404</v>
      </c>
      <c r="G17933" s="40" t="s">
        <v>11404</v>
      </c>
      <c r="H17933" s="40" t="s">
        <v>11404</v>
      </c>
    </row>
    <row r="17934">
      <c r="A17934" s="39"/>
      <c r="E17934" s="40" t="s">
        <v>11404</v>
      </c>
      <c r="F17934" s="40" t="s">
        <v>11404</v>
      </c>
      <c r="G17934" s="40" t="s">
        <v>11404</v>
      </c>
      <c r="H17934" s="40" t="s">
        <v>11404</v>
      </c>
    </row>
    <row r="17935">
      <c r="A17935" s="39"/>
      <c r="E17935" s="40" t="s">
        <v>11404</v>
      </c>
      <c r="F17935" s="40" t="s">
        <v>11404</v>
      </c>
      <c r="G17935" s="40" t="s">
        <v>11404</v>
      </c>
      <c r="H17935" s="40" t="s">
        <v>11404</v>
      </c>
    </row>
    <row r="17936">
      <c r="A17936" s="39"/>
      <c r="E17936" s="40" t="s">
        <v>11404</v>
      </c>
      <c r="F17936" s="40" t="s">
        <v>11404</v>
      </c>
      <c r="G17936" s="40" t="s">
        <v>11404</v>
      </c>
      <c r="H17936" s="40" t="s">
        <v>11404</v>
      </c>
    </row>
    <row r="17937">
      <c r="A17937" s="39"/>
      <c r="E17937" s="40" t="s">
        <v>11404</v>
      </c>
      <c r="F17937" s="40" t="s">
        <v>11404</v>
      </c>
      <c r="G17937" s="40" t="s">
        <v>11404</v>
      </c>
      <c r="H17937" s="40" t="s">
        <v>11404</v>
      </c>
    </row>
    <row r="17938">
      <c r="A17938" s="39"/>
      <c r="E17938" s="40" t="s">
        <v>11404</v>
      </c>
      <c r="F17938" s="40" t="s">
        <v>11404</v>
      </c>
      <c r="G17938" s="40" t="s">
        <v>11404</v>
      </c>
      <c r="H17938" s="40" t="s">
        <v>11404</v>
      </c>
    </row>
    <row r="17939">
      <c r="A17939" s="39"/>
      <c r="E17939" s="40" t="s">
        <v>11404</v>
      </c>
      <c r="F17939" s="40" t="s">
        <v>11404</v>
      </c>
      <c r="G17939" s="40" t="s">
        <v>11404</v>
      </c>
      <c r="H17939" s="40" t="s">
        <v>11404</v>
      </c>
    </row>
    <row r="17940">
      <c r="A17940" s="39"/>
      <c r="E17940" s="40" t="s">
        <v>11404</v>
      </c>
      <c r="F17940" s="40" t="s">
        <v>11404</v>
      </c>
      <c r="G17940" s="40" t="s">
        <v>11404</v>
      </c>
      <c r="H17940" s="40" t="s">
        <v>11404</v>
      </c>
    </row>
    <row r="17941">
      <c r="A17941" s="39"/>
      <c r="E17941" s="40" t="s">
        <v>11404</v>
      </c>
      <c r="F17941" s="40" t="s">
        <v>11404</v>
      </c>
      <c r="G17941" s="40" t="s">
        <v>11404</v>
      </c>
      <c r="H17941" s="40" t="s">
        <v>11404</v>
      </c>
    </row>
    <row r="17942">
      <c r="A17942" s="39"/>
      <c r="E17942" s="40" t="s">
        <v>11404</v>
      </c>
      <c r="F17942" s="40" t="s">
        <v>11404</v>
      </c>
      <c r="G17942" s="40" t="s">
        <v>11404</v>
      </c>
      <c r="H17942" s="40" t="s">
        <v>11404</v>
      </c>
    </row>
    <row r="17943">
      <c r="A17943" s="39"/>
      <c r="E17943" s="40" t="s">
        <v>11404</v>
      </c>
      <c r="F17943" s="40" t="s">
        <v>11404</v>
      </c>
      <c r="G17943" s="40" t="s">
        <v>11404</v>
      </c>
      <c r="H17943" s="40" t="s">
        <v>11404</v>
      </c>
    </row>
    <row r="17944">
      <c r="A17944" s="39"/>
      <c r="E17944" s="40" t="s">
        <v>11404</v>
      </c>
      <c r="F17944" s="40" t="s">
        <v>11404</v>
      </c>
      <c r="G17944" s="40" t="s">
        <v>11404</v>
      </c>
      <c r="H17944" s="40" t="s">
        <v>11404</v>
      </c>
    </row>
    <row r="17945">
      <c r="A17945" s="39"/>
      <c r="E17945" s="40" t="s">
        <v>11404</v>
      </c>
      <c r="F17945" s="40" t="s">
        <v>11404</v>
      </c>
      <c r="G17945" s="40" t="s">
        <v>11404</v>
      </c>
      <c r="H17945" s="40" t="s">
        <v>11404</v>
      </c>
    </row>
    <row r="17946">
      <c r="A17946" s="39"/>
      <c r="E17946" s="40" t="s">
        <v>11404</v>
      </c>
      <c r="F17946" s="40" t="s">
        <v>11404</v>
      </c>
      <c r="G17946" s="40" t="s">
        <v>11404</v>
      </c>
      <c r="H17946" s="40" t="s">
        <v>11404</v>
      </c>
    </row>
    <row r="17947">
      <c r="A17947" s="39"/>
      <c r="E17947" s="40" t="s">
        <v>11404</v>
      </c>
      <c r="F17947" s="40" t="s">
        <v>11404</v>
      </c>
      <c r="G17947" s="40" t="s">
        <v>11404</v>
      </c>
      <c r="H17947" s="40" t="s">
        <v>11404</v>
      </c>
    </row>
    <row r="17948">
      <c r="A17948" s="39"/>
      <c r="E17948" s="40" t="s">
        <v>11404</v>
      </c>
      <c r="F17948" s="40" t="s">
        <v>11404</v>
      </c>
      <c r="G17948" s="40" t="s">
        <v>11404</v>
      </c>
      <c r="H17948" s="40" t="s">
        <v>11404</v>
      </c>
    </row>
    <row r="17949">
      <c r="A17949" s="39"/>
      <c r="E17949" s="40" t="s">
        <v>11404</v>
      </c>
      <c r="F17949" s="40" t="s">
        <v>11404</v>
      </c>
      <c r="G17949" s="40" t="s">
        <v>11404</v>
      </c>
      <c r="H17949" s="40" t="s">
        <v>11404</v>
      </c>
    </row>
    <row r="17950">
      <c r="A17950" s="39"/>
      <c r="E17950" s="40" t="s">
        <v>11404</v>
      </c>
      <c r="F17950" s="40" t="s">
        <v>11404</v>
      </c>
      <c r="G17950" s="40" t="s">
        <v>11404</v>
      </c>
      <c r="H17950" s="40" t="s">
        <v>11404</v>
      </c>
    </row>
    <row r="17951">
      <c r="A17951" s="39"/>
      <c r="E17951" s="40" t="s">
        <v>11404</v>
      </c>
      <c r="F17951" s="40" t="s">
        <v>11404</v>
      </c>
      <c r="G17951" s="40" t="s">
        <v>11404</v>
      </c>
      <c r="H17951" s="40" t="s">
        <v>11404</v>
      </c>
    </row>
    <row r="17952">
      <c r="A17952" s="39"/>
      <c r="E17952" s="40" t="s">
        <v>11404</v>
      </c>
      <c r="F17952" s="40" t="s">
        <v>11404</v>
      </c>
      <c r="G17952" s="40" t="s">
        <v>11404</v>
      </c>
      <c r="H17952" s="40" t="s">
        <v>11404</v>
      </c>
    </row>
    <row r="17953">
      <c r="A17953" s="39"/>
      <c r="E17953" s="40" t="s">
        <v>11404</v>
      </c>
      <c r="F17953" s="40" t="s">
        <v>11404</v>
      </c>
      <c r="G17953" s="40" t="s">
        <v>11404</v>
      </c>
      <c r="H17953" s="40" t="s">
        <v>11404</v>
      </c>
    </row>
    <row r="17954">
      <c r="A17954" s="39"/>
      <c r="E17954" s="40" t="s">
        <v>11404</v>
      </c>
      <c r="F17954" s="40" t="s">
        <v>11404</v>
      </c>
      <c r="G17954" s="40" t="s">
        <v>11404</v>
      </c>
      <c r="H17954" s="40" t="s">
        <v>11404</v>
      </c>
    </row>
    <row r="17955">
      <c r="A17955" s="39"/>
      <c r="E17955" s="40" t="s">
        <v>11404</v>
      </c>
      <c r="F17955" s="40" t="s">
        <v>11404</v>
      </c>
      <c r="G17955" s="40" t="s">
        <v>11404</v>
      </c>
      <c r="H17955" s="40" t="s">
        <v>11404</v>
      </c>
    </row>
    <row r="17956">
      <c r="A17956" s="39"/>
      <c r="E17956" s="40" t="s">
        <v>11404</v>
      </c>
      <c r="F17956" s="40" t="s">
        <v>11404</v>
      </c>
      <c r="G17956" s="40" t="s">
        <v>11404</v>
      </c>
      <c r="H17956" s="40" t="s">
        <v>11404</v>
      </c>
    </row>
    <row r="17957">
      <c r="A17957" s="39"/>
      <c r="E17957" s="40" t="s">
        <v>11404</v>
      </c>
      <c r="F17957" s="40" t="s">
        <v>11404</v>
      </c>
      <c r="G17957" s="40" t="s">
        <v>11404</v>
      </c>
      <c r="H17957" s="40" t="s">
        <v>11404</v>
      </c>
    </row>
    <row r="17958">
      <c r="A17958" s="39"/>
      <c r="E17958" s="40" t="s">
        <v>11404</v>
      </c>
      <c r="F17958" s="40" t="s">
        <v>11404</v>
      </c>
      <c r="G17958" s="40" t="s">
        <v>11404</v>
      </c>
      <c r="H17958" s="40" t="s">
        <v>11404</v>
      </c>
    </row>
    <row r="17959">
      <c r="A17959" s="39"/>
      <c r="E17959" s="40" t="s">
        <v>11404</v>
      </c>
      <c r="F17959" s="40" t="s">
        <v>11404</v>
      </c>
      <c r="G17959" s="40" t="s">
        <v>11404</v>
      </c>
      <c r="H17959" s="40" t="s">
        <v>11404</v>
      </c>
    </row>
    <row r="17960">
      <c r="A17960" s="39"/>
      <c r="E17960" s="40" t="s">
        <v>11404</v>
      </c>
      <c r="F17960" s="40" t="s">
        <v>11404</v>
      </c>
      <c r="G17960" s="40" t="s">
        <v>11404</v>
      </c>
      <c r="H17960" s="40" t="s">
        <v>11404</v>
      </c>
    </row>
    <row r="17961">
      <c r="A17961" s="39"/>
      <c r="E17961" s="40" t="s">
        <v>11404</v>
      </c>
      <c r="F17961" s="40" t="s">
        <v>11404</v>
      </c>
      <c r="G17961" s="40" t="s">
        <v>11404</v>
      </c>
      <c r="H17961" s="40" t="s">
        <v>11404</v>
      </c>
    </row>
    <row r="17962">
      <c r="A17962" s="39"/>
      <c r="E17962" s="40" t="s">
        <v>11404</v>
      </c>
      <c r="F17962" s="40" t="s">
        <v>11404</v>
      </c>
      <c r="G17962" s="40" t="s">
        <v>11404</v>
      </c>
      <c r="H17962" s="40" t="s">
        <v>11404</v>
      </c>
    </row>
    <row r="17963">
      <c r="A17963" s="39"/>
      <c r="E17963" s="40" t="s">
        <v>11404</v>
      </c>
      <c r="F17963" s="40" t="s">
        <v>11404</v>
      </c>
      <c r="G17963" s="40" t="s">
        <v>11404</v>
      </c>
      <c r="H17963" s="40" t="s">
        <v>11404</v>
      </c>
    </row>
    <row r="17964">
      <c r="A17964" s="39"/>
      <c r="E17964" s="40" t="s">
        <v>11404</v>
      </c>
      <c r="F17964" s="40" t="s">
        <v>11404</v>
      </c>
      <c r="G17964" s="40" t="s">
        <v>11404</v>
      </c>
      <c r="H17964" s="40" t="s">
        <v>11404</v>
      </c>
    </row>
    <row r="17965">
      <c r="A17965" s="39"/>
      <c r="E17965" s="40" t="s">
        <v>11404</v>
      </c>
      <c r="F17965" s="40" t="s">
        <v>11404</v>
      </c>
      <c r="G17965" s="40" t="s">
        <v>11404</v>
      </c>
      <c r="H17965" s="40" t="s">
        <v>11404</v>
      </c>
    </row>
    <row r="17966">
      <c r="A17966" s="39"/>
      <c r="E17966" s="40" t="s">
        <v>11404</v>
      </c>
      <c r="F17966" s="40" t="s">
        <v>11404</v>
      </c>
      <c r="G17966" s="40" t="s">
        <v>11404</v>
      </c>
      <c r="H17966" s="40" t="s">
        <v>11404</v>
      </c>
    </row>
    <row r="17967">
      <c r="A17967" s="39"/>
      <c r="E17967" s="40" t="s">
        <v>11404</v>
      </c>
      <c r="F17967" s="40" t="s">
        <v>11404</v>
      </c>
      <c r="G17967" s="40" t="s">
        <v>11404</v>
      </c>
      <c r="H17967" s="40" t="s">
        <v>11404</v>
      </c>
    </row>
    <row r="17968">
      <c r="A17968" s="39"/>
      <c r="E17968" s="40" t="s">
        <v>11404</v>
      </c>
      <c r="F17968" s="40" t="s">
        <v>11404</v>
      </c>
      <c r="G17968" s="40" t="s">
        <v>11404</v>
      </c>
      <c r="H17968" s="40" t="s">
        <v>11404</v>
      </c>
    </row>
    <row r="17969">
      <c r="A17969" s="39"/>
      <c r="E17969" s="40" t="s">
        <v>11404</v>
      </c>
      <c r="F17969" s="40" t="s">
        <v>11404</v>
      </c>
      <c r="G17969" s="40" t="s">
        <v>11404</v>
      </c>
      <c r="H17969" s="40" t="s">
        <v>11404</v>
      </c>
    </row>
    <row r="17970">
      <c r="A17970" s="39"/>
      <c r="E17970" s="40" t="s">
        <v>11404</v>
      </c>
      <c r="F17970" s="40" t="s">
        <v>11404</v>
      </c>
      <c r="G17970" s="40" t="s">
        <v>11404</v>
      </c>
      <c r="H17970" s="40" t="s">
        <v>11404</v>
      </c>
    </row>
    <row r="17971">
      <c r="A17971" s="39"/>
      <c r="E17971" s="40" t="s">
        <v>11404</v>
      </c>
      <c r="F17971" s="40" t="s">
        <v>11404</v>
      </c>
      <c r="G17971" s="40" t="s">
        <v>11404</v>
      </c>
      <c r="H17971" s="40" t="s">
        <v>11404</v>
      </c>
    </row>
    <row r="17972">
      <c r="A17972" s="39"/>
      <c r="E17972" s="40" t="s">
        <v>11404</v>
      </c>
      <c r="F17972" s="40" t="s">
        <v>11404</v>
      </c>
      <c r="G17972" s="40" t="s">
        <v>11404</v>
      </c>
      <c r="H17972" s="40" t="s">
        <v>11404</v>
      </c>
    </row>
    <row r="17973">
      <c r="A17973" s="39"/>
      <c r="E17973" s="40" t="s">
        <v>11404</v>
      </c>
      <c r="F17973" s="40" t="s">
        <v>11404</v>
      </c>
      <c r="G17973" s="40" t="s">
        <v>11404</v>
      </c>
      <c r="H17973" s="40" t="s">
        <v>11404</v>
      </c>
    </row>
    <row r="17974">
      <c r="A17974" s="39"/>
      <c r="E17974" s="40" t="s">
        <v>11404</v>
      </c>
      <c r="F17974" s="40" t="s">
        <v>11404</v>
      </c>
      <c r="G17974" s="40" t="s">
        <v>11404</v>
      </c>
      <c r="H17974" s="40" t="s">
        <v>11404</v>
      </c>
    </row>
    <row r="17975">
      <c r="A17975" s="39"/>
      <c r="E17975" s="40" t="s">
        <v>11404</v>
      </c>
      <c r="F17975" s="40" t="s">
        <v>11404</v>
      </c>
      <c r="G17975" s="40" t="s">
        <v>11404</v>
      </c>
      <c r="H17975" s="40" t="s">
        <v>11404</v>
      </c>
    </row>
    <row r="17976">
      <c r="A17976" s="39"/>
      <c r="E17976" s="40" t="s">
        <v>11404</v>
      </c>
      <c r="F17976" s="40" t="s">
        <v>11404</v>
      </c>
      <c r="G17976" s="40" t="s">
        <v>11404</v>
      </c>
      <c r="H17976" s="40" t="s">
        <v>11404</v>
      </c>
    </row>
    <row r="17977">
      <c r="A17977" s="39"/>
      <c r="E17977" s="40" t="s">
        <v>11404</v>
      </c>
      <c r="F17977" s="40" t="s">
        <v>11404</v>
      </c>
      <c r="G17977" s="40" t="s">
        <v>11404</v>
      </c>
      <c r="H17977" s="40" t="s">
        <v>11404</v>
      </c>
    </row>
    <row r="17978">
      <c r="A17978" s="39"/>
      <c r="E17978" s="40" t="s">
        <v>11404</v>
      </c>
      <c r="F17978" s="40" t="s">
        <v>11404</v>
      </c>
      <c r="G17978" s="40" t="s">
        <v>11404</v>
      </c>
      <c r="H17978" s="40" t="s">
        <v>11404</v>
      </c>
    </row>
    <row r="17979">
      <c r="A17979" s="39"/>
      <c r="E17979" s="40" t="s">
        <v>11404</v>
      </c>
      <c r="F17979" s="40" t="s">
        <v>11404</v>
      </c>
      <c r="G17979" s="40" t="s">
        <v>11404</v>
      </c>
      <c r="H17979" s="40" t="s">
        <v>11404</v>
      </c>
    </row>
    <row r="17980">
      <c r="A17980" s="39"/>
      <c r="E17980" s="40" t="s">
        <v>11404</v>
      </c>
      <c r="F17980" s="40" t="s">
        <v>11404</v>
      </c>
      <c r="G17980" s="40" t="s">
        <v>11404</v>
      </c>
      <c r="H17980" s="40" t="s">
        <v>11404</v>
      </c>
    </row>
    <row r="17981">
      <c r="A17981" s="39"/>
      <c r="E17981" s="40" t="s">
        <v>11404</v>
      </c>
      <c r="F17981" s="40" t="s">
        <v>11404</v>
      </c>
      <c r="G17981" s="40" t="s">
        <v>11404</v>
      </c>
      <c r="H17981" s="40" t="s">
        <v>11404</v>
      </c>
    </row>
    <row r="17982">
      <c r="A17982" s="39"/>
      <c r="E17982" s="40" t="s">
        <v>11404</v>
      </c>
      <c r="F17982" s="40" t="s">
        <v>11404</v>
      </c>
      <c r="G17982" s="40" t="s">
        <v>11404</v>
      </c>
      <c r="H17982" s="40" t="s">
        <v>11404</v>
      </c>
    </row>
    <row r="17983">
      <c r="A17983" s="39"/>
      <c r="E17983" s="40" t="s">
        <v>11404</v>
      </c>
      <c r="F17983" s="40" t="s">
        <v>11404</v>
      </c>
      <c r="G17983" s="40" t="s">
        <v>11404</v>
      </c>
      <c r="H17983" s="40" t="s">
        <v>11404</v>
      </c>
    </row>
    <row r="17984">
      <c r="A17984" s="39"/>
      <c r="E17984" s="40" t="s">
        <v>11404</v>
      </c>
      <c r="F17984" s="40" t="s">
        <v>11404</v>
      </c>
      <c r="G17984" s="40" t="s">
        <v>11404</v>
      </c>
      <c r="H17984" s="40" t="s">
        <v>11404</v>
      </c>
    </row>
    <row r="17985">
      <c r="A17985" s="39"/>
      <c r="E17985" s="40" t="s">
        <v>11404</v>
      </c>
      <c r="F17985" s="40" t="s">
        <v>11404</v>
      </c>
      <c r="G17985" s="40" t="s">
        <v>11404</v>
      </c>
      <c r="H17985" s="40" t="s">
        <v>11404</v>
      </c>
    </row>
    <row r="17986">
      <c r="A17986" s="39"/>
      <c r="E17986" s="40" t="s">
        <v>11404</v>
      </c>
      <c r="F17986" s="40" t="s">
        <v>11404</v>
      </c>
      <c r="G17986" s="40" t="s">
        <v>11404</v>
      </c>
      <c r="H17986" s="40" t="s">
        <v>11404</v>
      </c>
    </row>
    <row r="17987">
      <c r="A17987" s="39"/>
      <c r="E17987" s="40" t="s">
        <v>11404</v>
      </c>
      <c r="F17987" s="40" t="s">
        <v>11404</v>
      </c>
      <c r="G17987" s="40" t="s">
        <v>11404</v>
      </c>
      <c r="H17987" s="40" t="s">
        <v>11404</v>
      </c>
    </row>
    <row r="17988">
      <c r="A17988" s="39"/>
      <c r="E17988" s="40" t="s">
        <v>11404</v>
      </c>
      <c r="F17988" s="40" t="s">
        <v>11404</v>
      </c>
      <c r="G17988" s="40" t="s">
        <v>11404</v>
      </c>
      <c r="H17988" s="40" t="s">
        <v>11404</v>
      </c>
    </row>
    <row r="17989">
      <c r="A17989" s="39"/>
      <c r="E17989" s="40" t="s">
        <v>11404</v>
      </c>
      <c r="F17989" s="40" t="s">
        <v>11404</v>
      </c>
      <c r="G17989" s="40" t="s">
        <v>11404</v>
      </c>
      <c r="H17989" s="40" t="s">
        <v>11404</v>
      </c>
    </row>
    <row r="17990">
      <c r="A17990" s="39"/>
      <c r="E17990" s="40" t="s">
        <v>11404</v>
      </c>
      <c r="F17990" s="40" t="s">
        <v>11404</v>
      </c>
      <c r="G17990" s="40" t="s">
        <v>11404</v>
      </c>
      <c r="H17990" s="40" t="s">
        <v>11404</v>
      </c>
    </row>
    <row r="17991">
      <c r="A17991" s="39"/>
      <c r="E17991" s="40" t="s">
        <v>11404</v>
      </c>
      <c r="F17991" s="40" t="s">
        <v>11404</v>
      </c>
      <c r="G17991" s="40" t="s">
        <v>11404</v>
      </c>
      <c r="H17991" s="40" t="s">
        <v>11404</v>
      </c>
    </row>
    <row r="17992">
      <c r="A17992" s="39"/>
      <c r="E17992" s="40" t="s">
        <v>11404</v>
      </c>
      <c r="F17992" s="40" t="s">
        <v>11404</v>
      </c>
      <c r="G17992" s="40" t="s">
        <v>11404</v>
      </c>
      <c r="H17992" s="40" t="s">
        <v>11404</v>
      </c>
    </row>
    <row r="17993">
      <c r="A17993" s="39"/>
      <c r="E17993" s="40" t="s">
        <v>11404</v>
      </c>
      <c r="F17993" s="40" t="s">
        <v>11404</v>
      </c>
      <c r="G17993" s="40" t="s">
        <v>11404</v>
      </c>
      <c r="H17993" s="40" t="s">
        <v>11404</v>
      </c>
    </row>
    <row r="17994">
      <c r="A17994" s="39"/>
      <c r="E17994" s="40" t="s">
        <v>11404</v>
      </c>
      <c r="F17994" s="40" t="s">
        <v>11404</v>
      </c>
      <c r="G17994" s="40" t="s">
        <v>11404</v>
      </c>
      <c r="H17994" s="40" t="s">
        <v>11404</v>
      </c>
    </row>
    <row r="17995">
      <c r="A17995" s="39"/>
      <c r="E17995" s="40" t="s">
        <v>11404</v>
      </c>
      <c r="F17995" s="40" t="s">
        <v>11404</v>
      </c>
      <c r="G17995" s="40" t="s">
        <v>11404</v>
      </c>
      <c r="H17995" s="40" t="s">
        <v>11404</v>
      </c>
    </row>
    <row r="17996">
      <c r="A17996" s="39"/>
      <c r="E17996" s="40" t="s">
        <v>11404</v>
      </c>
      <c r="F17996" s="40" t="s">
        <v>11404</v>
      </c>
      <c r="G17996" s="40" t="s">
        <v>11404</v>
      </c>
      <c r="H17996" s="40" t="s">
        <v>11404</v>
      </c>
    </row>
    <row r="17997">
      <c r="A17997" s="39"/>
      <c r="E17997" s="40" t="s">
        <v>11404</v>
      </c>
      <c r="F17997" s="40" t="s">
        <v>11404</v>
      </c>
      <c r="G17997" s="40" t="s">
        <v>11404</v>
      </c>
      <c r="H17997" s="40" t="s">
        <v>11404</v>
      </c>
    </row>
    <row r="17998">
      <c r="A17998" s="39"/>
      <c r="E17998" s="40" t="s">
        <v>11404</v>
      </c>
      <c r="F17998" s="40" t="s">
        <v>11404</v>
      </c>
      <c r="G17998" s="40" t="s">
        <v>11404</v>
      </c>
      <c r="H17998" s="40" t="s">
        <v>11404</v>
      </c>
    </row>
    <row r="17999">
      <c r="A17999" s="39"/>
      <c r="E17999" s="40" t="s">
        <v>11404</v>
      </c>
      <c r="F17999" s="40" t="s">
        <v>11404</v>
      </c>
      <c r="G17999" s="40" t="s">
        <v>11404</v>
      </c>
      <c r="H17999" s="40" t="s">
        <v>11404</v>
      </c>
    </row>
    <row r="18000">
      <c r="A18000" s="39"/>
      <c r="E18000" s="40" t="s">
        <v>11404</v>
      </c>
      <c r="F18000" s="40" t="s">
        <v>11404</v>
      </c>
      <c r="G18000" s="40" t="s">
        <v>11404</v>
      </c>
      <c r="H18000" s="40" t="s">
        <v>11404</v>
      </c>
    </row>
    <row r="18001">
      <c r="A18001" s="39"/>
      <c r="E18001" s="40" t="s">
        <v>11404</v>
      </c>
      <c r="F18001" s="40" t="s">
        <v>11404</v>
      </c>
      <c r="G18001" s="40" t="s">
        <v>11404</v>
      </c>
      <c r="H18001" s="40" t="s">
        <v>11404</v>
      </c>
    </row>
    <row r="18002">
      <c r="A18002" s="39"/>
      <c r="E18002" s="40" t="s">
        <v>11404</v>
      </c>
      <c r="F18002" s="40" t="s">
        <v>11404</v>
      </c>
      <c r="G18002" s="40" t="s">
        <v>11404</v>
      </c>
      <c r="H18002" s="40" t="s">
        <v>11404</v>
      </c>
    </row>
    <row r="18003">
      <c r="A18003" s="39"/>
      <c r="E18003" s="40" t="s">
        <v>11404</v>
      </c>
      <c r="F18003" s="40" t="s">
        <v>11404</v>
      </c>
      <c r="G18003" s="40" t="s">
        <v>11404</v>
      </c>
      <c r="H18003" s="40" t="s">
        <v>11404</v>
      </c>
    </row>
    <row r="18004">
      <c r="A18004" s="39"/>
      <c r="E18004" s="40" t="s">
        <v>11404</v>
      </c>
      <c r="F18004" s="40" t="s">
        <v>11404</v>
      </c>
      <c r="G18004" s="40" t="s">
        <v>11404</v>
      </c>
      <c r="H18004" s="40" t="s">
        <v>11404</v>
      </c>
    </row>
    <row r="18005">
      <c r="A18005" s="39"/>
      <c r="E18005" s="40" t="s">
        <v>11404</v>
      </c>
      <c r="F18005" s="40" t="s">
        <v>11404</v>
      </c>
      <c r="G18005" s="40" t="s">
        <v>11404</v>
      </c>
      <c r="H18005" s="40" t="s">
        <v>11404</v>
      </c>
    </row>
    <row r="18006">
      <c r="A18006" s="39"/>
      <c r="E18006" s="40" t="s">
        <v>11404</v>
      </c>
      <c r="F18006" s="40" t="s">
        <v>11404</v>
      </c>
      <c r="G18006" s="40" t="s">
        <v>11404</v>
      </c>
      <c r="H18006" s="40" t="s">
        <v>11404</v>
      </c>
    </row>
    <row r="18007">
      <c r="A18007" s="39"/>
      <c r="E18007" s="40" t="s">
        <v>11404</v>
      </c>
      <c r="F18007" s="40" t="s">
        <v>11404</v>
      </c>
      <c r="G18007" s="40" t="s">
        <v>11404</v>
      </c>
      <c r="H18007" s="40" t="s">
        <v>11404</v>
      </c>
    </row>
    <row r="18008">
      <c r="A18008" s="39"/>
      <c r="E18008" s="40" t="s">
        <v>11404</v>
      </c>
      <c r="F18008" s="40" t="s">
        <v>11404</v>
      </c>
      <c r="G18008" s="40" t="s">
        <v>11404</v>
      </c>
      <c r="H18008" s="40" t="s">
        <v>11404</v>
      </c>
    </row>
    <row r="18009">
      <c r="A18009" s="39"/>
      <c r="E18009" s="40" t="s">
        <v>11404</v>
      </c>
      <c r="F18009" s="40" t="s">
        <v>11404</v>
      </c>
      <c r="G18009" s="40" t="s">
        <v>11404</v>
      </c>
      <c r="H18009" s="40" t="s">
        <v>11404</v>
      </c>
    </row>
    <row r="18010">
      <c r="A18010" s="39"/>
      <c r="E18010" s="40" t="s">
        <v>11404</v>
      </c>
      <c r="F18010" s="40" t="s">
        <v>11404</v>
      </c>
      <c r="G18010" s="40" t="s">
        <v>11404</v>
      </c>
      <c r="H18010" s="40" t="s">
        <v>11404</v>
      </c>
    </row>
    <row r="18011">
      <c r="A18011" s="39"/>
      <c r="E18011" s="40" t="s">
        <v>11404</v>
      </c>
      <c r="F18011" s="40" t="s">
        <v>11404</v>
      </c>
      <c r="G18011" s="40" t="s">
        <v>11404</v>
      </c>
      <c r="H18011" s="40" t="s">
        <v>11404</v>
      </c>
    </row>
    <row r="18012">
      <c r="A18012" s="39"/>
      <c r="E18012" s="40" t="s">
        <v>11404</v>
      </c>
      <c r="F18012" s="40" t="s">
        <v>11404</v>
      </c>
      <c r="G18012" s="40" t="s">
        <v>11404</v>
      </c>
      <c r="H18012" s="40" t="s">
        <v>11404</v>
      </c>
    </row>
    <row r="18013">
      <c r="A18013" s="39"/>
      <c r="E18013" s="40" t="s">
        <v>11404</v>
      </c>
      <c r="F18013" s="40" t="s">
        <v>11404</v>
      </c>
      <c r="G18013" s="40" t="s">
        <v>11404</v>
      </c>
      <c r="H18013" s="40" t="s">
        <v>11404</v>
      </c>
    </row>
    <row r="18014">
      <c r="A18014" s="39"/>
      <c r="E18014" s="40" t="s">
        <v>11404</v>
      </c>
      <c r="F18014" s="40" t="s">
        <v>11404</v>
      </c>
      <c r="G18014" s="40" t="s">
        <v>11404</v>
      </c>
      <c r="H18014" s="40" t="s">
        <v>11404</v>
      </c>
    </row>
    <row r="18015">
      <c r="A18015" s="39"/>
      <c r="E18015" s="40" t="s">
        <v>11404</v>
      </c>
      <c r="F18015" s="40" t="s">
        <v>11404</v>
      </c>
      <c r="G18015" s="40" t="s">
        <v>11404</v>
      </c>
      <c r="H18015" s="40" t="s">
        <v>11404</v>
      </c>
    </row>
    <row r="18016">
      <c r="A18016" s="39"/>
      <c r="E18016" s="40" t="s">
        <v>11404</v>
      </c>
      <c r="F18016" s="40" t="s">
        <v>11404</v>
      </c>
      <c r="G18016" s="40" t="s">
        <v>11404</v>
      </c>
      <c r="H18016" s="40" t="s">
        <v>11404</v>
      </c>
    </row>
    <row r="18017">
      <c r="A18017" s="39"/>
      <c r="E18017" s="40" t="s">
        <v>11404</v>
      </c>
      <c r="F18017" s="40" t="s">
        <v>11404</v>
      </c>
      <c r="G18017" s="40" t="s">
        <v>11404</v>
      </c>
      <c r="H18017" s="40" t="s">
        <v>11404</v>
      </c>
    </row>
    <row r="18018">
      <c r="A18018" s="39"/>
      <c r="E18018" s="40" t="s">
        <v>11404</v>
      </c>
      <c r="F18018" s="40" t="s">
        <v>11404</v>
      </c>
      <c r="G18018" s="40" t="s">
        <v>11404</v>
      </c>
      <c r="H18018" s="40" t="s">
        <v>11404</v>
      </c>
    </row>
    <row r="18019">
      <c r="A18019" s="39"/>
      <c r="E18019" s="40" t="s">
        <v>11404</v>
      </c>
      <c r="F18019" s="40" t="s">
        <v>11404</v>
      </c>
      <c r="G18019" s="40" t="s">
        <v>11404</v>
      </c>
      <c r="H18019" s="40" t="s">
        <v>11404</v>
      </c>
    </row>
    <row r="18020">
      <c r="A18020" s="39"/>
      <c r="E18020" s="40" t="s">
        <v>11404</v>
      </c>
      <c r="F18020" s="40" t="s">
        <v>11404</v>
      </c>
      <c r="G18020" s="40" t="s">
        <v>11404</v>
      </c>
      <c r="H18020" s="40" t="s">
        <v>11404</v>
      </c>
    </row>
    <row r="18021">
      <c r="A18021" s="39"/>
      <c r="E18021" s="40" t="s">
        <v>11404</v>
      </c>
      <c r="F18021" s="40" t="s">
        <v>11404</v>
      </c>
      <c r="G18021" s="40" t="s">
        <v>11404</v>
      </c>
      <c r="H18021" s="40" t="s">
        <v>11404</v>
      </c>
    </row>
    <row r="18022">
      <c r="A18022" s="39"/>
      <c r="E18022" s="40" t="s">
        <v>11404</v>
      </c>
      <c r="F18022" s="40" t="s">
        <v>11404</v>
      </c>
      <c r="G18022" s="40" t="s">
        <v>11404</v>
      </c>
      <c r="H18022" s="40" t="s">
        <v>11404</v>
      </c>
    </row>
    <row r="18023">
      <c r="A18023" s="39"/>
      <c r="E18023" s="40" t="s">
        <v>11404</v>
      </c>
      <c r="F18023" s="40" t="s">
        <v>11404</v>
      </c>
      <c r="G18023" s="40" t="s">
        <v>11404</v>
      </c>
      <c r="H18023" s="40" t="s">
        <v>11404</v>
      </c>
    </row>
    <row r="18024">
      <c r="A18024" s="39"/>
      <c r="E18024" s="40" t="s">
        <v>11404</v>
      </c>
      <c r="F18024" s="40" t="s">
        <v>11404</v>
      </c>
      <c r="G18024" s="40" t="s">
        <v>11404</v>
      </c>
      <c r="H18024" s="40" t="s">
        <v>11404</v>
      </c>
    </row>
    <row r="18025">
      <c r="A18025" s="39"/>
      <c r="E18025" s="40" t="s">
        <v>11404</v>
      </c>
      <c r="F18025" s="40" t="s">
        <v>11404</v>
      </c>
      <c r="G18025" s="40" t="s">
        <v>11404</v>
      </c>
      <c r="H18025" s="40" t="s">
        <v>11404</v>
      </c>
    </row>
    <row r="18026">
      <c r="A18026" s="39"/>
      <c r="E18026" s="40" t="s">
        <v>11404</v>
      </c>
      <c r="F18026" s="40" t="s">
        <v>11404</v>
      </c>
      <c r="G18026" s="40" t="s">
        <v>11404</v>
      </c>
      <c r="H18026" s="40" t="s">
        <v>11404</v>
      </c>
    </row>
    <row r="18027">
      <c r="A18027" s="39"/>
      <c r="E18027" s="40" t="s">
        <v>11404</v>
      </c>
      <c r="F18027" s="40" t="s">
        <v>11404</v>
      </c>
      <c r="G18027" s="40" t="s">
        <v>11404</v>
      </c>
      <c r="H18027" s="40" t="s">
        <v>11404</v>
      </c>
    </row>
    <row r="18028">
      <c r="A18028" s="39"/>
      <c r="E18028" s="40" t="s">
        <v>11404</v>
      </c>
      <c r="F18028" s="40" t="s">
        <v>11404</v>
      </c>
      <c r="G18028" s="40" t="s">
        <v>11404</v>
      </c>
      <c r="H18028" s="40" t="s">
        <v>11404</v>
      </c>
    </row>
    <row r="18029">
      <c r="A18029" s="39"/>
      <c r="E18029" s="40" t="s">
        <v>11404</v>
      </c>
      <c r="F18029" s="40" t="s">
        <v>11404</v>
      </c>
      <c r="G18029" s="40" t="s">
        <v>11404</v>
      </c>
      <c r="H18029" s="40" t="s">
        <v>11404</v>
      </c>
    </row>
    <row r="18030">
      <c r="A18030" s="39"/>
      <c r="E18030" s="40" t="s">
        <v>11404</v>
      </c>
      <c r="F18030" s="40" t="s">
        <v>11404</v>
      </c>
      <c r="G18030" s="40" t="s">
        <v>11404</v>
      </c>
      <c r="H18030" s="40" t="s">
        <v>11404</v>
      </c>
    </row>
    <row r="18031">
      <c r="A18031" s="39"/>
      <c r="E18031" s="40" t="s">
        <v>11404</v>
      </c>
      <c r="F18031" s="40" t="s">
        <v>11404</v>
      </c>
      <c r="G18031" s="40" t="s">
        <v>11404</v>
      </c>
      <c r="H18031" s="40" t="s">
        <v>11404</v>
      </c>
    </row>
    <row r="18032">
      <c r="A18032" s="39"/>
      <c r="E18032" s="40" t="s">
        <v>11404</v>
      </c>
      <c r="F18032" s="40" t="s">
        <v>11404</v>
      </c>
      <c r="G18032" s="40" t="s">
        <v>11404</v>
      </c>
      <c r="H18032" s="40" t="s">
        <v>11404</v>
      </c>
    </row>
    <row r="18033">
      <c r="A18033" s="39"/>
      <c r="E18033" s="40" t="s">
        <v>11404</v>
      </c>
      <c r="F18033" s="40" t="s">
        <v>11404</v>
      </c>
      <c r="G18033" s="40" t="s">
        <v>11404</v>
      </c>
      <c r="H18033" s="40" t="s">
        <v>11404</v>
      </c>
    </row>
    <row r="18034">
      <c r="A18034" s="39"/>
      <c r="E18034" s="40" t="s">
        <v>11404</v>
      </c>
      <c r="F18034" s="40" t="s">
        <v>11404</v>
      </c>
      <c r="G18034" s="40" t="s">
        <v>11404</v>
      </c>
      <c r="H18034" s="40" t="s">
        <v>11404</v>
      </c>
    </row>
    <row r="18035">
      <c r="A18035" s="39"/>
      <c r="E18035" s="40" t="s">
        <v>11404</v>
      </c>
      <c r="F18035" s="40" t="s">
        <v>11404</v>
      </c>
      <c r="G18035" s="40" t="s">
        <v>11404</v>
      </c>
      <c r="H18035" s="40" t="s">
        <v>11404</v>
      </c>
    </row>
    <row r="18036">
      <c r="A18036" s="39"/>
      <c r="E18036" s="40" t="s">
        <v>11404</v>
      </c>
      <c r="F18036" s="40" t="s">
        <v>11404</v>
      </c>
      <c r="G18036" s="40" t="s">
        <v>11404</v>
      </c>
      <c r="H18036" s="40" t="s">
        <v>11404</v>
      </c>
    </row>
    <row r="18037">
      <c r="A18037" s="39"/>
      <c r="E18037" s="40" t="s">
        <v>11404</v>
      </c>
      <c r="F18037" s="40" t="s">
        <v>11404</v>
      </c>
      <c r="G18037" s="40" t="s">
        <v>11404</v>
      </c>
      <c r="H18037" s="40" t="s">
        <v>11404</v>
      </c>
    </row>
    <row r="18038">
      <c r="A18038" s="39"/>
      <c r="E18038" s="40" t="s">
        <v>11404</v>
      </c>
      <c r="F18038" s="40" t="s">
        <v>11404</v>
      </c>
      <c r="G18038" s="40" t="s">
        <v>11404</v>
      </c>
      <c r="H18038" s="40" t="s">
        <v>11404</v>
      </c>
    </row>
    <row r="18039">
      <c r="A18039" s="39"/>
      <c r="E18039" s="40" t="s">
        <v>11404</v>
      </c>
      <c r="F18039" s="40" t="s">
        <v>11404</v>
      </c>
      <c r="G18039" s="40" t="s">
        <v>11404</v>
      </c>
      <c r="H18039" s="40" t="s">
        <v>11404</v>
      </c>
    </row>
    <row r="18040">
      <c r="A18040" s="39"/>
      <c r="E18040" s="40" t="s">
        <v>11404</v>
      </c>
      <c r="F18040" s="40" t="s">
        <v>11404</v>
      </c>
      <c r="G18040" s="40" t="s">
        <v>11404</v>
      </c>
      <c r="H18040" s="40" t="s">
        <v>11404</v>
      </c>
    </row>
    <row r="18041">
      <c r="A18041" s="39"/>
      <c r="E18041" s="40" t="s">
        <v>11404</v>
      </c>
      <c r="F18041" s="40" t="s">
        <v>11404</v>
      </c>
      <c r="G18041" s="40" t="s">
        <v>11404</v>
      </c>
      <c r="H18041" s="40" t="s">
        <v>11404</v>
      </c>
    </row>
    <row r="18042">
      <c r="A18042" s="39"/>
      <c r="E18042" s="40" t="s">
        <v>11404</v>
      </c>
      <c r="F18042" s="40" t="s">
        <v>11404</v>
      </c>
      <c r="G18042" s="40" t="s">
        <v>11404</v>
      </c>
      <c r="H18042" s="40" t="s">
        <v>11404</v>
      </c>
    </row>
    <row r="18043">
      <c r="A18043" s="39"/>
      <c r="E18043" s="40" t="s">
        <v>11404</v>
      </c>
      <c r="F18043" s="40" t="s">
        <v>11404</v>
      </c>
      <c r="G18043" s="40" t="s">
        <v>11404</v>
      </c>
      <c r="H18043" s="40" t="s">
        <v>11404</v>
      </c>
    </row>
    <row r="18044">
      <c r="A18044" s="39"/>
      <c r="E18044" s="40" t="s">
        <v>11404</v>
      </c>
      <c r="F18044" s="40" t="s">
        <v>11404</v>
      </c>
      <c r="G18044" s="40" t="s">
        <v>11404</v>
      </c>
      <c r="H18044" s="40" t="s">
        <v>11404</v>
      </c>
    </row>
    <row r="18045">
      <c r="A18045" s="39"/>
      <c r="E18045" s="40" t="s">
        <v>11404</v>
      </c>
      <c r="F18045" s="40" t="s">
        <v>11404</v>
      </c>
      <c r="G18045" s="40" t="s">
        <v>11404</v>
      </c>
      <c r="H18045" s="40" t="s">
        <v>11404</v>
      </c>
    </row>
    <row r="18046">
      <c r="A18046" s="39"/>
      <c r="E18046" s="40" t="s">
        <v>11404</v>
      </c>
      <c r="F18046" s="40" t="s">
        <v>11404</v>
      </c>
      <c r="G18046" s="40" t="s">
        <v>11404</v>
      </c>
      <c r="H18046" s="40" t="s">
        <v>11404</v>
      </c>
    </row>
    <row r="18047">
      <c r="A18047" s="39"/>
      <c r="E18047" s="40" t="s">
        <v>11404</v>
      </c>
      <c r="F18047" s="40" t="s">
        <v>11404</v>
      </c>
      <c r="G18047" s="40" t="s">
        <v>11404</v>
      </c>
      <c r="H18047" s="40" t="s">
        <v>11404</v>
      </c>
    </row>
    <row r="18048">
      <c r="A18048" s="39"/>
      <c r="E18048" s="40" t="s">
        <v>11404</v>
      </c>
      <c r="F18048" s="40" t="s">
        <v>11404</v>
      </c>
      <c r="G18048" s="40" t="s">
        <v>11404</v>
      </c>
      <c r="H18048" s="40" t="s">
        <v>11404</v>
      </c>
    </row>
    <row r="18049">
      <c r="A18049" s="39"/>
      <c r="E18049" s="40" t="s">
        <v>11404</v>
      </c>
      <c r="F18049" s="40" t="s">
        <v>11404</v>
      </c>
      <c r="G18049" s="40" t="s">
        <v>11404</v>
      </c>
      <c r="H18049" s="40" t="s">
        <v>11404</v>
      </c>
    </row>
    <row r="18050">
      <c r="A18050" s="39"/>
      <c r="E18050" s="40" t="s">
        <v>11404</v>
      </c>
      <c r="F18050" s="40" t="s">
        <v>11404</v>
      </c>
      <c r="G18050" s="40" t="s">
        <v>11404</v>
      </c>
      <c r="H18050" s="40" t="s">
        <v>11404</v>
      </c>
    </row>
    <row r="18051">
      <c r="A18051" s="39"/>
      <c r="E18051" s="40" t="s">
        <v>11404</v>
      </c>
      <c r="F18051" s="40" t="s">
        <v>11404</v>
      </c>
      <c r="G18051" s="40" t="s">
        <v>11404</v>
      </c>
      <c r="H18051" s="40" t="s">
        <v>11404</v>
      </c>
    </row>
    <row r="18052">
      <c r="A18052" s="39"/>
      <c r="E18052" s="40" t="s">
        <v>11404</v>
      </c>
      <c r="F18052" s="40" t="s">
        <v>11404</v>
      </c>
      <c r="G18052" s="40" t="s">
        <v>11404</v>
      </c>
      <c r="H18052" s="40" t="s">
        <v>11404</v>
      </c>
    </row>
    <row r="18053">
      <c r="A18053" s="39"/>
      <c r="E18053" s="40" t="s">
        <v>11404</v>
      </c>
      <c r="F18053" s="40" t="s">
        <v>11404</v>
      </c>
      <c r="G18053" s="40" t="s">
        <v>11404</v>
      </c>
      <c r="H18053" s="40" t="s">
        <v>11404</v>
      </c>
    </row>
    <row r="18054">
      <c r="A18054" s="39"/>
      <c r="E18054" s="40" t="s">
        <v>11404</v>
      </c>
      <c r="F18054" s="40" t="s">
        <v>11404</v>
      </c>
      <c r="G18054" s="40" t="s">
        <v>11404</v>
      </c>
      <c r="H18054" s="40" t="s">
        <v>11404</v>
      </c>
    </row>
    <row r="18055">
      <c r="A18055" s="39"/>
      <c r="E18055" s="40" t="s">
        <v>11404</v>
      </c>
      <c r="F18055" s="40" t="s">
        <v>11404</v>
      </c>
      <c r="G18055" s="40" t="s">
        <v>11404</v>
      </c>
      <c r="H18055" s="40" t="s">
        <v>11404</v>
      </c>
    </row>
    <row r="18056">
      <c r="A18056" s="39"/>
      <c r="E18056" s="40" t="s">
        <v>11404</v>
      </c>
      <c r="F18056" s="40" t="s">
        <v>11404</v>
      </c>
      <c r="G18056" s="40" t="s">
        <v>11404</v>
      </c>
      <c r="H18056" s="40" t="s">
        <v>11404</v>
      </c>
    </row>
    <row r="18057">
      <c r="A18057" s="39"/>
      <c r="E18057" s="40" t="s">
        <v>11404</v>
      </c>
      <c r="F18057" s="40" t="s">
        <v>11404</v>
      </c>
      <c r="G18057" s="40" t="s">
        <v>11404</v>
      </c>
      <c r="H18057" s="40" t="s">
        <v>11404</v>
      </c>
    </row>
    <row r="18058">
      <c r="A18058" s="39"/>
      <c r="E18058" s="40" t="s">
        <v>11404</v>
      </c>
      <c r="F18058" s="40" t="s">
        <v>11404</v>
      </c>
      <c r="G18058" s="40" t="s">
        <v>11404</v>
      </c>
      <c r="H18058" s="40" t="s">
        <v>11404</v>
      </c>
    </row>
    <row r="18059">
      <c r="A18059" s="39"/>
      <c r="E18059" s="40" t="s">
        <v>11404</v>
      </c>
      <c r="F18059" s="40" t="s">
        <v>11404</v>
      </c>
      <c r="G18059" s="40" t="s">
        <v>11404</v>
      </c>
      <c r="H18059" s="40" t="s">
        <v>11404</v>
      </c>
    </row>
    <row r="18060">
      <c r="A18060" s="39"/>
      <c r="E18060" s="40" t="s">
        <v>11404</v>
      </c>
      <c r="F18060" s="40" t="s">
        <v>11404</v>
      </c>
      <c r="G18060" s="40" t="s">
        <v>11404</v>
      </c>
      <c r="H18060" s="40" t="s">
        <v>11404</v>
      </c>
    </row>
    <row r="18061">
      <c r="A18061" s="39"/>
      <c r="E18061" s="40" t="s">
        <v>11404</v>
      </c>
      <c r="F18061" s="40" t="s">
        <v>11404</v>
      </c>
      <c r="G18061" s="40" t="s">
        <v>11404</v>
      </c>
      <c r="H18061" s="40" t="s">
        <v>11404</v>
      </c>
    </row>
    <row r="18062">
      <c r="A18062" s="39"/>
      <c r="E18062" s="40" t="s">
        <v>11404</v>
      </c>
      <c r="F18062" s="40" t="s">
        <v>11404</v>
      </c>
      <c r="G18062" s="40" t="s">
        <v>11404</v>
      </c>
      <c r="H18062" s="40" t="s">
        <v>11404</v>
      </c>
    </row>
    <row r="18063">
      <c r="A18063" s="39"/>
      <c r="E18063" s="40" t="s">
        <v>11404</v>
      </c>
      <c r="F18063" s="40" t="s">
        <v>11404</v>
      </c>
      <c r="G18063" s="40" t="s">
        <v>11404</v>
      </c>
      <c r="H18063" s="40" t="s">
        <v>11404</v>
      </c>
    </row>
    <row r="18064">
      <c r="A18064" s="39"/>
      <c r="E18064" s="40" t="s">
        <v>11404</v>
      </c>
      <c r="F18064" s="40" t="s">
        <v>11404</v>
      </c>
      <c r="G18064" s="40" t="s">
        <v>11404</v>
      </c>
      <c r="H18064" s="40" t="s">
        <v>11404</v>
      </c>
    </row>
    <row r="18065">
      <c r="A18065" s="39"/>
      <c r="E18065" s="40" t="s">
        <v>11404</v>
      </c>
      <c r="F18065" s="40" t="s">
        <v>11404</v>
      </c>
      <c r="G18065" s="40" t="s">
        <v>11404</v>
      </c>
      <c r="H18065" s="40" t="s">
        <v>11404</v>
      </c>
    </row>
    <row r="18066">
      <c r="A18066" s="39"/>
      <c r="E18066" s="40" t="s">
        <v>11404</v>
      </c>
      <c r="F18066" s="40" t="s">
        <v>11404</v>
      </c>
      <c r="G18066" s="40" t="s">
        <v>11404</v>
      </c>
      <c r="H18066" s="40" t="s">
        <v>11404</v>
      </c>
    </row>
    <row r="18067">
      <c r="A18067" s="39"/>
      <c r="E18067" s="40" t="s">
        <v>11404</v>
      </c>
      <c r="F18067" s="40" t="s">
        <v>11404</v>
      </c>
      <c r="G18067" s="40" t="s">
        <v>11404</v>
      </c>
      <c r="H18067" s="40" t="s">
        <v>11404</v>
      </c>
    </row>
    <row r="18068">
      <c r="A18068" s="39"/>
      <c r="E18068" s="40" t="s">
        <v>11404</v>
      </c>
      <c r="F18068" s="40" t="s">
        <v>11404</v>
      </c>
      <c r="G18068" s="40" t="s">
        <v>11404</v>
      </c>
      <c r="H18068" s="40" t="s">
        <v>11404</v>
      </c>
    </row>
    <row r="18069">
      <c r="A18069" s="39"/>
      <c r="E18069" s="40" t="s">
        <v>11404</v>
      </c>
      <c r="F18069" s="40" t="s">
        <v>11404</v>
      </c>
      <c r="G18069" s="40" t="s">
        <v>11404</v>
      </c>
      <c r="H18069" s="40" t="s">
        <v>11404</v>
      </c>
    </row>
    <row r="18070">
      <c r="A18070" s="39"/>
      <c r="E18070" s="40" t="s">
        <v>11404</v>
      </c>
      <c r="F18070" s="40" t="s">
        <v>11404</v>
      </c>
      <c r="G18070" s="40" t="s">
        <v>11404</v>
      </c>
      <c r="H18070" s="40" t="s">
        <v>11404</v>
      </c>
    </row>
    <row r="18071">
      <c r="A18071" s="39"/>
      <c r="E18071" s="40" t="s">
        <v>11404</v>
      </c>
      <c r="F18071" s="40" t="s">
        <v>11404</v>
      </c>
      <c r="G18071" s="40" t="s">
        <v>11404</v>
      </c>
      <c r="H18071" s="40" t="s">
        <v>11404</v>
      </c>
    </row>
    <row r="18072">
      <c r="A18072" s="39"/>
      <c r="E18072" s="40" t="s">
        <v>11404</v>
      </c>
      <c r="F18072" s="40" t="s">
        <v>11404</v>
      </c>
      <c r="G18072" s="40" t="s">
        <v>11404</v>
      </c>
      <c r="H18072" s="40" t="s">
        <v>11404</v>
      </c>
    </row>
    <row r="18073">
      <c r="A18073" s="39"/>
      <c r="E18073" s="40" t="s">
        <v>11404</v>
      </c>
      <c r="F18073" s="40" t="s">
        <v>11404</v>
      </c>
      <c r="G18073" s="40" t="s">
        <v>11404</v>
      </c>
      <c r="H18073" s="40" t="s">
        <v>11404</v>
      </c>
    </row>
    <row r="18074">
      <c r="A18074" s="39"/>
      <c r="E18074" s="40" t="s">
        <v>11404</v>
      </c>
      <c r="F18074" s="40" t="s">
        <v>11404</v>
      </c>
      <c r="G18074" s="40" t="s">
        <v>11404</v>
      </c>
      <c r="H18074" s="40" t="s">
        <v>11404</v>
      </c>
    </row>
    <row r="18075">
      <c r="A18075" s="39"/>
      <c r="E18075" s="40" t="s">
        <v>11404</v>
      </c>
      <c r="F18075" s="40" t="s">
        <v>11404</v>
      </c>
      <c r="G18075" s="40" t="s">
        <v>11404</v>
      </c>
      <c r="H18075" s="40" t="s">
        <v>11404</v>
      </c>
    </row>
    <row r="18076">
      <c r="A18076" s="39"/>
      <c r="E18076" s="40" t="s">
        <v>11404</v>
      </c>
      <c r="F18076" s="40" t="s">
        <v>11404</v>
      </c>
      <c r="G18076" s="40" t="s">
        <v>11404</v>
      </c>
      <c r="H18076" s="40" t="s">
        <v>11404</v>
      </c>
    </row>
    <row r="18077">
      <c r="A18077" s="39"/>
      <c r="E18077" s="40" t="s">
        <v>11404</v>
      </c>
      <c r="F18077" s="40" t="s">
        <v>11404</v>
      </c>
      <c r="G18077" s="40" t="s">
        <v>11404</v>
      </c>
      <c r="H18077" s="40" t="s">
        <v>11404</v>
      </c>
    </row>
    <row r="18078">
      <c r="A18078" s="39"/>
      <c r="E18078" s="40" t="s">
        <v>11404</v>
      </c>
      <c r="F18078" s="40" t="s">
        <v>11404</v>
      </c>
      <c r="G18078" s="40" t="s">
        <v>11404</v>
      </c>
      <c r="H18078" s="40" t="s">
        <v>11404</v>
      </c>
    </row>
    <row r="18079">
      <c r="A18079" s="39"/>
      <c r="E18079" s="40" t="s">
        <v>11404</v>
      </c>
      <c r="F18079" s="40" t="s">
        <v>11404</v>
      </c>
      <c r="G18079" s="40" t="s">
        <v>11404</v>
      </c>
      <c r="H18079" s="40" t="s">
        <v>11404</v>
      </c>
    </row>
    <row r="18080">
      <c r="A18080" s="39"/>
      <c r="E18080" s="40" t="s">
        <v>11404</v>
      </c>
      <c r="F18080" s="40" t="s">
        <v>11404</v>
      </c>
      <c r="G18080" s="40" t="s">
        <v>11404</v>
      </c>
      <c r="H18080" s="40" t="s">
        <v>11404</v>
      </c>
    </row>
    <row r="18081">
      <c r="A18081" s="39"/>
      <c r="E18081" s="40" t="s">
        <v>11404</v>
      </c>
      <c r="F18081" s="40" t="s">
        <v>11404</v>
      </c>
      <c r="G18081" s="40" t="s">
        <v>11404</v>
      </c>
      <c r="H18081" s="40" t="s">
        <v>11404</v>
      </c>
    </row>
    <row r="18082">
      <c r="A18082" s="39"/>
      <c r="E18082" s="40" t="s">
        <v>11404</v>
      </c>
      <c r="F18082" s="40" t="s">
        <v>11404</v>
      </c>
      <c r="G18082" s="40" t="s">
        <v>11404</v>
      </c>
      <c r="H18082" s="40" t="s">
        <v>11404</v>
      </c>
    </row>
    <row r="18083">
      <c r="A18083" s="39"/>
      <c r="E18083" s="40" t="s">
        <v>11404</v>
      </c>
      <c r="F18083" s="40" t="s">
        <v>11404</v>
      </c>
      <c r="G18083" s="40" t="s">
        <v>11404</v>
      </c>
      <c r="H18083" s="40" t="s">
        <v>11404</v>
      </c>
    </row>
    <row r="18084">
      <c r="A18084" s="39"/>
      <c r="E18084" s="40" t="s">
        <v>11404</v>
      </c>
      <c r="F18084" s="40" t="s">
        <v>11404</v>
      </c>
      <c r="G18084" s="40" t="s">
        <v>11404</v>
      </c>
      <c r="H18084" s="40" t="s">
        <v>11404</v>
      </c>
    </row>
    <row r="18085">
      <c r="A18085" s="39"/>
      <c r="E18085" s="40" t="s">
        <v>11404</v>
      </c>
      <c r="F18085" s="40" t="s">
        <v>11404</v>
      </c>
      <c r="G18085" s="40" t="s">
        <v>11404</v>
      </c>
      <c r="H18085" s="40" t="s">
        <v>11404</v>
      </c>
    </row>
    <row r="18086">
      <c r="A18086" s="39"/>
      <c r="E18086" s="40" t="s">
        <v>11404</v>
      </c>
      <c r="F18086" s="40" t="s">
        <v>11404</v>
      </c>
      <c r="G18086" s="40" t="s">
        <v>11404</v>
      </c>
      <c r="H18086" s="40" t="s">
        <v>11404</v>
      </c>
    </row>
    <row r="18087">
      <c r="A18087" s="39"/>
      <c r="E18087" s="40" t="s">
        <v>11404</v>
      </c>
      <c r="F18087" s="40" t="s">
        <v>11404</v>
      </c>
      <c r="G18087" s="40" t="s">
        <v>11404</v>
      </c>
      <c r="H18087" s="40" t="s">
        <v>11404</v>
      </c>
    </row>
    <row r="18088">
      <c r="A18088" s="39"/>
      <c r="E18088" s="40" t="s">
        <v>11404</v>
      </c>
      <c r="F18088" s="40" t="s">
        <v>11404</v>
      </c>
      <c r="G18088" s="40" t="s">
        <v>11404</v>
      </c>
      <c r="H18088" s="40" t="s">
        <v>11404</v>
      </c>
    </row>
    <row r="18089">
      <c r="A18089" s="39"/>
      <c r="E18089" s="40" t="s">
        <v>11404</v>
      </c>
      <c r="F18089" s="40" t="s">
        <v>11404</v>
      </c>
      <c r="G18089" s="40" t="s">
        <v>11404</v>
      </c>
      <c r="H18089" s="40" t="s">
        <v>11404</v>
      </c>
    </row>
    <row r="18090">
      <c r="A18090" s="39"/>
      <c r="E18090" s="40" t="s">
        <v>11404</v>
      </c>
      <c r="F18090" s="40" t="s">
        <v>11404</v>
      </c>
      <c r="G18090" s="40" t="s">
        <v>11404</v>
      </c>
      <c r="H18090" s="40" t="s">
        <v>11404</v>
      </c>
    </row>
    <row r="18091">
      <c r="A18091" s="39"/>
      <c r="E18091" s="40" t="s">
        <v>11404</v>
      </c>
      <c r="F18091" s="40" t="s">
        <v>11404</v>
      </c>
      <c r="G18091" s="40" t="s">
        <v>11404</v>
      </c>
      <c r="H18091" s="40" t="s">
        <v>11404</v>
      </c>
    </row>
    <row r="18092">
      <c r="A18092" s="39"/>
      <c r="E18092" s="40" t="s">
        <v>11404</v>
      </c>
      <c r="F18092" s="40" t="s">
        <v>11404</v>
      </c>
      <c r="G18092" s="40" t="s">
        <v>11404</v>
      </c>
      <c r="H18092" s="40" t="s">
        <v>11404</v>
      </c>
    </row>
    <row r="18093">
      <c r="A18093" s="39"/>
      <c r="E18093" s="40" t="s">
        <v>11404</v>
      </c>
      <c r="F18093" s="40" t="s">
        <v>11404</v>
      </c>
      <c r="G18093" s="40" t="s">
        <v>11404</v>
      </c>
      <c r="H18093" s="40" t="s">
        <v>11404</v>
      </c>
    </row>
    <row r="18094">
      <c r="A18094" s="39"/>
      <c r="E18094" s="40" t="s">
        <v>11404</v>
      </c>
      <c r="F18094" s="40" t="s">
        <v>11404</v>
      </c>
      <c r="G18094" s="40" t="s">
        <v>11404</v>
      </c>
      <c r="H18094" s="40" t="s">
        <v>11404</v>
      </c>
    </row>
    <row r="18095">
      <c r="A18095" s="39"/>
      <c r="E18095" s="40" t="s">
        <v>11404</v>
      </c>
      <c r="F18095" s="40" t="s">
        <v>11404</v>
      </c>
      <c r="G18095" s="40" t="s">
        <v>11404</v>
      </c>
      <c r="H18095" s="40" t="s">
        <v>11404</v>
      </c>
    </row>
    <row r="18096">
      <c r="A18096" s="39"/>
      <c r="E18096" s="40" t="s">
        <v>11404</v>
      </c>
      <c r="F18096" s="40" t="s">
        <v>11404</v>
      </c>
      <c r="G18096" s="40" t="s">
        <v>11404</v>
      </c>
      <c r="H18096" s="40" t="s">
        <v>11404</v>
      </c>
    </row>
    <row r="18097">
      <c r="A18097" s="39"/>
      <c r="E18097" s="40" t="s">
        <v>11404</v>
      </c>
      <c r="F18097" s="40" t="s">
        <v>11404</v>
      </c>
      <c r="G18097" s="40" t="s">
        <v>11404</v>
      </c>
      <c r="H18097" s="40" t="s">
        <v>11404</v>
      </c>
    </row>
    <row r="18098">
      <c r="A18098" s="39"/>
      <c r="E18098" s="40" t="s">
        <v>11404</v>
      </c>
      <c r="F18098" s="40" t="s">
        <v>11404</v>
      </c>
      <c r="G18098" s="40" t="s">
        <v>11404</v>
      </c>
      <c r="H18098" s="40" t="s">
        <v>11404</v>
      </c>
    </row>
    <row r="18099">
      <c r="A18099" s="39"/>
      <c r="E18099" s="40" t="s">
        <v>11404</v>
      </c>
      <c r="F18099" s="40" t="s">
        <v>11404</v>
      </c>
      <c r="G18099" s="40" t="s">
        <v>11404</v>
      </c>
      <c r="H18099" s="40" t="s">
        <v>11404</v>
      </c>
    </row>
    <row r="18100">
      <c r="A18100" s="39"/>
      <c r="E18100" s="40" t="s">
        <v>11404</v>
      </c>
      <c r="F18100" s="40" t="s">
        <v>11404</v>
      </c>
      <c r="G18100" s="40" t="s">
        <v>11404</v>
      </c>
      <c r="H18100" s="40" t="s">
        <v>11404</v>
      </c>
    </row>
    <row r="18101">
      <c r="A18101" s="39"/>
      <c r="E18101" s="40" t="s">
        <v>11404</v>
      </c>
      <c r="F18101" s="40" t="s">
        <v>11404</v>
      </c>
      <c r="G18101" s="40" t="s">
        <v>11404</v>
      </c>
      <c r="H18101" s="40" t="s">
        <v>11404</v>
      </c>
    </row>
    <row r="18102">
      <c r="A18102" s="39"/>
      <c r="E18102" s="40" t="s">
        <v>11404</v>
      </c>
      <c r="F18102" s="40" t="s">
        <v>11404</v>
      </c>
      <c r="G18102" s="40" t="s">
        <v>11404</v>
      </c>
      <c r="H18102" s="40" t="s">
        <v>11404</v>
      </c>
    </row>
    <row r="18103">
      <c r="A18103" s="39"/>
      <c r="E18103" s="40" t="s">
        <v>11404</v>
      </c>
      <c r="F18103" s="40" t="s">
        <v>11404</v>
      </c>
      <c r="G18103" s="40" t="s">
        <v>11404</v>
      </c>
      <c r="H18103" s="40" t="s">
        <v>11404</v>
      </c>
    </row>
    <row r="18104">
      <c r="A18104" s="39"/>
      <c r="E18104" s="40" t="s">
        <v>11404</v>
      </c>
      <c r="F18104" s="40" t="s">
        <v>11404</v>
      </c>
      <c r="G18104" s="40" t="s">
        <v>11404</v>
      </c>
      <c r="H18104" s="40" t="s">
        <v>11404</v>
      </c>
    </row>
    <row r="18105">
      <c r="A18105" s="39"/>
      <c r="E18105" s="40" t="s">
        <v>11404</v>
      </c>
      <c r="F18105" s="40" t="s">
        <v>11404</v>
      </c>
      <c r="G18105" s="40" t="s">
        <v>11404</v>
      </c>
      <c r="H18105" s="40" t="s">
        <v>11404</v>
      </c>
    </row>
    <row r="18106">
      <c r="A18106" s="39"/>
      <c r="E18106" s="40" t="s">
        <v>11404</v>
      </c>
      <c r="F18106" s="40" t="s">
        <v>11404</v>
      </c>
      <c r="G18106" s="40" t="s">
        <v>11404</v>
      </c>
      <c r="H18106" s="40" t="s">
        <v>11404</v>
      </c>
    </row>
    <row r="18107">
      <c r="A18107" s="39"/>
      <c r="E18107" s="40" t="s">
        <v>11404</v>
      </c>
      <c r="F18107" s="40" t="s">
        <v>11404</v>
      </c>
      <c r="G18107" s="40" t="s">
        <v>11404</v>
      </c>
      <c r="H18107" s="40" t="s">
        <v>11404</v>
      </c>
    </row>
    <row r="18108">
      <c r="A18108" s="39"/>
      <c r="E18108" s="40" t="s">
        <v>11404</v>
      </c>
      <c r="F18108" s="40" t="s">
        <v>11404</v>
      </c>
      <c r="G18108" s="40" t="s">
        <v>11404</v>
      </c>
      <c r="H18108" s="40" t="s">
        <v>11404</v>
      </c>
    </row>
    <row r="18109">
      <c r="A18109" s="39"/>
      <c r="E18109" s="40" t="s">
        <v>11404</v>
      </c>
      <c r="F18109" s="40" t="s">
        <v>11404</v>
      </c>
      <c r="G18109" s="40" t="s">
        <v>11404</v>
      </c>
      <c r="H18109" s="40" t="s">
        <v>11404</v>
      </c>
    </row>
    <row r="18110">
      <c r="A18110" s="39"/>
      <c r="E18110" s="40" t="s">
        <v>11404</v>
      </c>
      <c r="F18110" s="40" t="s">
        <v>11404</v>
      </c>
      <c r="G18110" s="40" t="s">
        <v>11404</v>
      </c>
      <c r="H18110" s="40" t="s">
        <v>11404</v>
      </c>
    </row>
    <row r="18111">
      <c r="A18111" s="39"/>
      <c r="E18111" s="40" t="s">
        <v>11404</v>
      </c>
      <c r="F18111" s="40" t="s">
        <v>11404</v>
      </c>
      <c r="G18111" s="40" t="s">
        <v>11404</v>
      </c>
      <c r="H18111" s="40" t="s">
        <v>11404</v>
      </c>
    </row>
    <row r="18112">
      <c r="A18112" s="39"/>
      <c r="E18112" s="40" t="s">
        <v>11404</v>
      </c>
      <c r="F18112" s="40" t="s">
        <v>11404</v>
      </c>
      <c r="G18112" s="40" t="s">
        <v>11404</v>
      </c>
      <c r="H18112" s="40" t="s">
        <v>11404</v>
      </c>
    </row>
    <row r="18113">
      <c r="A18113" s="39"/>
      <c r="E18113" s="40" t="s">
        <v>11404</v>
      </c>
      <c r="F18113" s="40" t="s">
        <v>11404</v>
      </c>
      <c r="G18113" s="40" t="s">
        <v>11404</v>
      </c>
      <c r="H18113" s="40" t="s">
        <v>11404</v>
      </c>
    </row>
    <row r="18114">
      <c r="A18114" s="39"/>
      <c r="E18114" s="40" t="s">
        <v>11404</v>
      </c>
      <c r="F18114" s="40" t="s">
        <v>11404</v>
      </c>
      <c r="G18114" s="40" t="s">
        <v>11404</v>
      </c>
      <c r="H18114" s="40" t="s">
        <v>11404</v>
      </c>
    </row>
    <row r="18115">
      <c r="A18115" s="39"/>
      <c r="E18115" s="40" t="s">
        <v>11404</v>
      </c>
      <c r="F18115" s="40" t="s">
        <v>11404</v>
      </c>
      <c r="G18115" s="40" t="s">
        <v>11404</v>
      </c>
      <c r="H18115" s="40" t="s">
        <v>11404</v>
      </c>
    </row>
    <row r="18116">
      <c r="A18116" s="39"/>
      <c r="E18116" s="40" t="s">
        <v>11404</v>
      </c>
      <c r="F18116" s="40" t="s">
        <v>11404</v>
      </c>
      <c r="G18116" s="40" t="s">
        <v>11404</v>
      </c>
      <c r="H18116" s="40" t="s">
        <v>11404</v>
      </c>
    </row>
    <row r="18117">
      <c r="A18117" s="39"/>
      <c r="E18117" s="40" t="s">
        <v>11404</v>
      </c>
      <c r="F18117" s="40" t="s">
        <v>11404</v>
      </c>
      <c r="G18117" s="40" t="s">
        <v>11404</v>
      </c>
      <c r="H18117" s="40" t="s">
        <v>11404</v>
      </c>
    </row>
    <row r="18118">
      <c r="A18118" s="39"/>
      <c r="E18118" s="40" t="s">
        <v>11404</v>
      </c>
      <c r="F18118" s="40" t="s">
        <v>11404</v>
      </c>
      <c r="G18118" s="40" t="s">
        <v>11404</v>
      </c>
      <c r="H18118" s="40" t="s">
        <v>11404</v>
      </c>
    </row>
    <row r="18119">
      <c r="A18119" s="39"/>
      <c r="E18119" s="40" t="s">
        <v>11404</v>
      </c>
      <c r="F18119" s="40" t="s">
        <v>11404</v>
      </c>
      <c r="G18119" s="40" t="s">
        <v>11404</v>
      </c>
      <c r="H18119" s="40" t="s">
        <v>11404</v>
      </c>
    </row>
    <row r="18120">
      <c r="A18120" s="39"/>
      <c r="E18120" s="40" t="s">
        <v>11404</v>
      </c>
      <c r="F18120" s="40" t="s">
        <v>11404</v>
      </c>
      <c r="G18120" s="40" t="s">
        <v>11404</v>
      </c>
      <c r="H18120" s="40" t="s">
        <v>11404</v>
      </c>
    </row>
    <row r="18121">
      <c r="A18121" s="39"/>
      <c r="E18121" s="40" t="s">
        <v>11404</v>
      </c>
      <c r="F18121" s="40" t="s">
        <v>11404</v>
      </c>
      <c r="G18121" s="40" t="s">
        <v>11404</v>
      </c>
      <c r="H18121" s="40" t="s">
        <v>11404</v>
      </c>
    </row>
    <row r="18122">
      <c r="A18122" s="39"/>
      <c r="E18122" s="40" t="s">
        <v>11404</v>
      </c>
      <c r="F18122" s="40" t="s">
        <v>11404</v>
      </c>
      <c r="G18122" s="40" t="s">
        <v>11404</v>
      </c>
      <c r="H18122" s="40" t="s">
        <v>11404</v>
      </c>
    </row>
    <row r="18123">
      <c r="A18123" s="39"/>
      <c r="E18123" s="40" t="s">
        <v>11404</v>
      </c>
      <c r="F18123" s="40" t="s">
        <v>11404</v>
      </c>
      <c r="G18123" s="40" t="s">
        <v>11404</v>
      </c>
      <c r="H18123" s="40" t="s">
        <v>11404</v>
      </c>
    </row>
    <row r="18124">
      <c r="A18124" s="39"/>
      <c r="E18124" s="40" t="s">
        <v>11404</v>
      </c>
      <c r="F18124" s="40" t="s">
        <v>11404</v>
      </c>
      <c r="G18124" s="40" t="s">
        <v>11404</v>
      </c>
      <c r="H18124" s="40" t="s">
        <v>11404</v>
      </c>
    </row>
    <row r="18125">
      <c r="A18125" s="39"/>
      <c r="E18125" s="40" t="s">
        <v>11404</v>
      </c>
      <c r="F18125" s="40" t="s">
        <v>11404</v>
      </c>
      <c r="G18125" s="40" t="s">
        <v>11404</v>
      </c>
      <c r="H18125" s="40" t="s">
        <v>11404</v>
      </c>
    </row>
    <row r="18126">
      <c r="A18126" s="39"/>
      <c r="E18126" s="40" t="s">
        <v>11404</v>
      </c>
      <c r="F18126" s="40" t="s">
        <v>11404</v>
      </c>
      <c r="G18126" s="40" t="s">
        <v>11404</v>
      </c>
      <c r="H18126" s="40" t="s">
        <v>11404</v>
      </c>
    </row>
    <row r="18127">
      <c r="A18127" s="39"/>
      <c r="E18127" s="40" t="s">
        <v>11404</v>
      </c>
      <c r="F18127" s="40" t="s">
        <v>11404</v>
      </c>
      <c r="G18127" s="40" t="s">
        <v>11404</v>
      </c>
      <c r="H18127" s="40" t="s">
        <v>11404</v>
      </c>
    </row>
    <row r="18128">
      <c r="A18128" s="39"/>
      <c r="E18128" s="40" t="s">
        <v>11404</v>
      </c>
      <c r="F18128" s="40" t="s">
        <v>11404</v>
      </c>
      <c r="G18128" s="40" t="s">
        <v>11404</v>
      </c>
      <c r="H18128" s="40" t="s">
        <v>11404</v>
      </c>
    </row>
    <row r="18129">
      <c r="A18129" s="39"/>
      <c r="E18129" s="40" t="s">
        <v>11404</v>
      </c>
      <c r="F18129" s="40" t="s">
        <v>11404</v>
      </c>
      <c r="G18129" s="40" t="s">
        <v>11404</v>
      </c>
      <c r="H18129" s="40" t="s">
        <v>11404</v>
      </c>
    </row>
    <row r="18130">
      <c r="A18130" s="39"/>
      <c r="E18130" s="40" t="s">
        <v>11404</v>
      </c>
      <c r="F18130" s="40" t="s">
        <v>11404</v>
      </c>
      <c r="G18130" s="40" t="s">
        <v>11404</v>
      </c>
      <c r="H18130" s="40" t="s">
        <v>11404</v>
      </c>
    </row>
    <row r="18131">
      <c r="A18131" s="39"/>
      <c r="E18131" s="40" t="s">
        <v>11404</v>
      </c>
      <c r="F18131" s="40" t="s">
        <v>11404</v>
      </c>
      <c r="G18131" s="40" t="s">
        <v>11404</v>
      </c>
      <c r="H18131" s="40" t="s">
        <v>11404</v>
      </c>
    </row>
    <row r="18132">
      <c r="A18132" s="39"/>
      <c r="E18132" s="40" t="s">
        <v>11404</v>
      </c>
      <c r="F18132" s="40" t="s">
        <v>11404</v>
      </c>
      <c r="G18132" s="40" t="s">
        <v>11404</v>
      </c>
      <c r="H18132" s="40" t="s">
        <v>11404</v>
      </c>
    </row>
    <row r="18133">
      <c r="A18133" s="39"/>
      <c r="E18133" s="40" t="s">
        <v>11404</v>
      </c>
      <c r="F18133" s="40" t="s">
        <v>11404</v>
      </c>
      <c r="G18133" s="40" t="s">
        <v>11404</v>
      </c>
      <c r="H18133" s="40" t="s">
        <v>11404</v>
      </c>
    </row>
    <row r="18134">
      <c r="A18134" s="39"/>
      <c r="E18134" s="40" t="s">
        <v>11404</v>
      </c>
      <c r="F18134" s="40" t="s">
        <v>11404</v>
      </c>
      <c r="G18134" s="40" t="s">
        <v>11404</v>
      </c>
      <c r="H18134" s="40" t="s">
        <v>11404</v>
      </c>
    </row>
    <row r="18135">
      <c r="A18135" s="39"/>
      <c r="E18135" s="40" t="s">
        <v>11404</v>
      </c>
      <c r="F18135" s="40" t="s">
        <v>11404</v>
      </c>
      <c r="G18135" s="40" t="s">
        <v>11404</v>
      </c>
      <c r="H18135" s="40" t="s">
        <v>11404</v>
      </c>
    </row>
    <row r="18136">
      <c r="A18136" s="39"/>
      <c r="E18136" s="40" t="s">
        <v>11404</v>
      </c>
      <c r="F18136" s="40" t="s">
        <v>11404</v>
      </c>
      <c r="G18136" s="40" t="s">
        <v>11404</v>
      </c>
      <c r="H18136" s="40" t="s">
        <v>11404</v>
      </c>
    </row>
    <row r="18137">
      <c r="A18137" s="39"/>
      <c r="E18137" s="40" t="s">
        <v>11404</v>
      </c>
      <c r="F18137" s="40" t="s">
        <v>11404</v>
      </c>
      <c r="G18137" s="40" t="s">
        <v>11404</v>
      </c>
      <c r="H18137" s="40" t="s">
        <v>11404</v>
      </c>
    </row>
    <row r="18138">
      <c r="A18138" s="39"/>
      <c r="E18138" s="40" t="s">
        <v>11404</v>
      </c>
      <c r="F18138" s="40" t="s">
        <v>11404</v>
      </c>
      <c r="G18138" s="40" t="s">
        <v>11404</v>
      </c>
      <c r="H18138" s="40" t="s">
        <v>11404</v>
      </c>
    </row>
    <row r="18139">
      <c r="A18139" s="39"/>
      <c r="E18139" s="40" t="s">
        <v>11404</v>
      </c>
      <c r="F18139" s="40" t="s">
        <v>11404</v>
      </c>
      <c r="G18139" s="40" t="s">
        <v>11404</v>
      </c>
      <c r="H18139" s="40" t="s">
        <v>11404</v>
      </c>
    </row>
    <row r="18140">
      <c r="A18140" s="39"/>
      <c r="E18140" s="40" t="s">
        <v>11404</v>
      </c>
      <c r="F18140" s="40" t="s">
        <v>11404</v>
      </c>
      <c r="G18140" s="40" t="s">
        <v>11404</v>
      </c>
      <c r="H18140" s="40" t="s">
        <v>11404</v>
      </c>
    </row>
    <row r="18141">
      <c r="A18141" s="39"/>
      <c r="E18141" s="40" t="s">
        <v>11404</v>
      </c>
      <c r="F18141" s="40" t="s">
        <v>11404</v>
      </c>
      <c r="G18141" s="40" t="s">
        <v>11404</v>
      </c>
      <c r="H18141" s="40" t="s">
        <v>11404</v>
      </c>
    </row>
    <row r="18142">
      <c r="A18142" s="39"/>
      <c r="E18142" s="40" t="s">
        <v>11404</v>
      </c>
      <c r="F18142" s="40" t="s">
        <v>11404</v>
      </c>
      <c r="G18142" s="40" t="s">
        <v>11404</v>
      </c>
      <c r="H18142" s="40" t="s">
        <v>11404</v>
      </c>
    </row>
    <row r="18143">
      <c r="A18143" s="39"/>
      <c r="E18143" s="40" t="s">
        <v>11404</v>
      </c>
      <c r="F18143" s="40" t="s">
        <v>11404</v>
      </c>
      <c r="G18143" s="40" t="s">
        <v>11404</v>
      </c>
      <c r="H18143" s="40" t="s">
        <v>11404</v>
      </c>
    </row>
    <row r="18144">
      <c r="A18144" s="39"/>
      <c r="E18144" s="40" t="s">
        <v>11404</v>
      </c>
      <c r="F18144" s="40" t="s">
        <v>11404</v>
      </c>
      <c r="G18144" s="40" t="s">
        <v>11404</v>
      </c>
      <c r="H18144" s="40" t="s">
        <v>11404</v>
      </c>
    </row>
    <row r="18145">
      <c r="A18145" s="39"/>
      <c r="E18145" s="40" t="s">
        <v>11404</v>
      </c>
      <c r="F18145" s="40" t="s">
        <v>11404</v>
      </c>
      <c r="G18145" s="40" t="s">
        <v>11404</v>
      </c>
      <c r="H18145" s="40" t="s">
        <v>11404</v>
      </c>
    </row>
    <row r="18146">
      <c r="A18146" s="39"/>
      <c r="E18146" s="40" t="s">
        <v>11404</v>
      </c>
      <c r="F18146" s="40" t="s">
        <v>11404</v>
      </c>
      <c r="G18146" s="40" t="s">
        <v>11404</v>
      </c>
      <c r="H18146" s="40" t="s">
        <v>11404</v>
      </c>
    </row>
    <row r="18147">
      <c r="A18147" s="39"/>
      <c r="E18147" s="40" t="s">
        <v>11404</v>
      </c>
      <c r="F18147" s="40" t="s">
        <v>11404</v>
      </c>
      <c r="G18147" s="40" t="s">
        <v>11404</v>
      </c>
      <c r="H18147" s="40" t="s">
        <v>11404</v>
      </c>
    </row>
    <row r="18148">
      <c r="A18148" s="39"/>
      <c r="E18148" s="40" t="s">
        <v>11404</v>
      </c>
      <c r="F18148" s="40" t="s">
        <v>11404</v>
      </c>
      <c r="G18148" s="40" t="s">
        <v>11404</v>
      </c>
      <c r="H18148" s="40" t="s">
        <v>11404</v>
      </c>
    </row>
    <row r="18149">
      <c r="A18149" s="39"/>
      <c r="E18149" s="40" t="s">
        <v>11404</v>
      </c>
      <c r="F18149" s="40" t="s">
        <v>11404</v>
      </c>
      <c r="G18149" s="40" t="s">
        <v>11404</v>
      </c>
      <c r="H18149" s="40" t="s">
        <v>11404</v>
      </c>
    </row>
    <row r="18150">
      <c r="A18150" s="39"/>
      <c r="E18150" s="40" t="s">
        <v>11404</v>
      </c>
      <c r="F18150" s="40" t="s">
        <v>11404</v>
      </c>
      <c r="G18150" s="40" t="s">
        <v>11404</v>
      </c>
      <c r="H18150" s="40" t="s">
        <v>11404</v>
      </c>
    </row>
    <row r="18151">
      <c r="A18151" s="39"/>
      <c r="E18151" s="40" t="s">
        <v>11404</v>
      </c>
      <c r="F18151" s="40" t="s">
        <v>11404</v>
      </c>
      <c r="G18151" s="40" t="s">
        <v>11404</v>
      </c>
      <c r="H18151" s="40" t="s">
        <v>11404</v>
      </c>
    </row>
    <row r="18152">
      <c r="A18152" s="39"/>
      <c r="E18152" s="40" t="s">
        <v>11404</v>
      </c>
      <c r="F18152" s="40" t="s">
        <v>11404</v>
      </c>
      <c r="G18152" s="40" t="s">
        <v>11404</v>
      </c>
      <c r="H18152" s="40" t="s">
        <v>11404</v>
      </c>
    </row>
    <row r="18153">
      <c r="A18153" s="39"/>
      <c r="E18153" s="40" t="s">
        <v>11404</v>
      </c>
      <c r="F18153" s="40" t="s">
        <v>11404</v>
      </c>
      <c r="G18153" s="40" t="s">
        <v>11404</v>
      </c>
      <c r="H18153" s="40" t="s">
        <v>11404</v>
      </c>
    </row>
    <row r="18154">
      <c r="A18154" s="39"/>
      <c r="E18154" s="40" t="s">
        <v>11404</v>
      </c>
      <c r="F18154" s="40" t="s">
        <v>11404</v>
      </c>
      <c r="G18154" s="40" t="s">
        <v>11404</v>
      </c>
      <c r="H18154" s="40" t="s">
        <v>11404</v>
      </c>
    </row>
    <row r="18155">
      <c r="A18155" s="39"/>
      <c r="E18155" s="40" t="s">
        <v>11404</v>
      </c>
      <c r="F18155" s="40" t="s">
        <v>11404</v>
      </c>
      <c r="G18155" s="40" t="s">
        <v>11404</v>
      </c>
      <c r="H18155" s="40" t="s">
        <v>11404</v>
      </c>
    </row>
    <row r="18156">
      <c r="A18156" s="39"/>
      <c r="E18156" s="40" t="s">
        <v>11404</v>
      </c>
      <c r="F18156" s="40" t="s">
        <v>11404</v>
      </c>
      <c r="G18156" s="40" t="s">
        <v>11404</v>
      </c>
      <c r="H18156" s="40" t="s">
        <v>11404</v>
      </c>
    </row>
    <row r="18157">
      <c r="A18157" s="39"/>
      <c r="E18157" s="40" t="s">
        <v>11404</v>
      </c>
      <c r="F18157" s="40" t="s">
        <v>11404</v>
      </c>
      <c r="G18157" s="40" t="s">
        <v>11404</v>
      </c>
      <c r="H18157" s="40" t="s">
        <v>11404</v>
      </c>
    </row>
    <row r="18158">
      <c r="A18158" s="39"/>
      <c r="E18158" s="40" t="s">
        <v>11404</v>
      </c>
      <c r="F18158" s="40" t="s">
        <v>11404</v>
      </c>
      <c r="G18158" s="40" t="s">
        <v>11404</v>
      </c>
      <c r="H18158" s="40" t="s">
        <v>11404</v>
      </c>
    </row>
    <row r="18159">
      <c r="A18159" s="39"/>
      <c r="E18159" s="40" t="s">
        <v>11404</v>
      </c>
      <c r="F18159" s="40" t="s">
        <v>11404</v>
      </c>
      <c r="G18159" s="40" t="s">
        <v>11404</v>
      </c>
      <c r="H18159" s="40" t="s">
        <v>11404</v>
      </c>
    </row>
    <row r="18160">
      <c r="A18160" s="39"/>
      <c r="E18160" s="40" t="s">
        <v>11404</v>
      </c>
      <c r="F18160" s="40" t="s">
        <v>11404</v>
      </c>
      <c r="G18160" s="40" t="s">
        <v>11404</v>
      </c>
      <c r="H18160" s="40" t="s">
        <v>11404</v>
      </c>
    </row>
    <row r="18161">
      <c r="A18161" s="39"/>
      <c r="E18161" s="40" t="s">
        <v>11404</v>
      </c>
      <c r="F18161" s="40" t="s">
        <v>11404</v>
      </c>
      <c r="G18161" s="40" t="s">
        <v>11404</v>
      </c>
      <c r="H18161" s="40" t="s">
        <v>11404</v>
      </c>
    </row>
    <row r="18162">
      <c r="A18162" s="39"/>
      <c r="E18162" s="40" t="s">
        <v>11404</v>
      </c>
      <c r="F18162" s="40" t="s">
        <v>11404</v>
      </c>
      <c r="G18162" s="40" t="s">
        <v>11404</v>
      </c>
      <c r="H18162" s="40" t="s">
        <v>11404</v>
      </c>
    </row>
    <row r="18163">
      <c r="A18163" s="39"/>
      <c r="E18163" s="40" t="s">
        <v>11404</v>
      </c>
      <c r="F18163" s="40" t="s">
        <v>11404</v>
      </c>
      <c r="G18163" s="40" t="s">
        <v>11404</v>
      </c>
      <c r="H18163" s="40" t="s">
        <v>11404</v>
      </c>
    </row>
    <row r="18164">
      <c r="A18164" s="39"/>
      <c r="E18164" s="40" t="s">
        <v>11404</v>
      </c>
      <c r="F18164" s="40" t="s">
        <v>11404</v>
      </c>
      <c r="G18164" s="40" t="s">
        <v>11404</v>
      </c>
      <c r="H18164" s="40" t="s">
        <v>11404</v>
      </c>
    </row>
    <row r="18165">
      <c r="A18165" s="39"/>
      <c r="E18165" s="40" t="s">
        <v>11404</v>
      </c>
      <c r="F18165" s="40" t="s">
        <v>11404</v>
      </c>
      <c r="G18165" s="40" t="s">
        <v>11404</v>
      </c>
      <c r="H18165" s="40" t="s">
        <v>11404</v>
      </c>
    </row>
    <row r="18166">
      <c r="A18166" s="39"/>
      <c r="E18166" s="40" t="s">
        <v>11404</v>
      </c>
      <c r="F18166" s="40" t="s">
        <v>11404</v>
      </c>
      <c r="G18166" s="40" t="s">
        <v>11404</v>
      </c>
      <c r="H18166" s="40" t="s">
        <v>11404</v>
      </c>
    </row>
    <row r="18167">
      <c r="A18167" s="39"/>
      <c r="E18167" s="40" t="s">
        <v>11404</v>
      </c>
      <c r="F18167" s="40" t="s">
        <v>11404</v>
      </c>
      <c r="G18167" s="40" t="s">
        <v>11404</v>
      </c>
      <c r="H18167" s="40" t="s">
        <v>11404</v>
      </c>
    </row>
    <row r="18168">
      <c r="A18168" s="39"/>
      <c r="E18168" s="40" t="s">
        <v>11404</v>
      </c>
      <c r="F18168" s="40" t="s">
        <v>11404</v>
      </c>
      <c r="G18168" s="40" t="s">
        <v>11404</v>
      </c>
      <c r="H18168" s="40" t="s">
        <v>11404</v>
      </c>
    </row>
    <row r="18169">
      <c r="A18169" s="39"/>
      <c r="E18169" s="40" t="s">
        <v>11404</v>
      </c>
      <c r="F18169" s="40" t="s">
        <v>11404</v>
      </c>
      <c r="G18169" s="40" t="s">
        <v>11404</v>
      </c>
      <c r="H18169" s="40" t="s">
        <v>11404</v>
      </c>
    </row>
    <row r="18170">
      <c r="A18170" s="39"/>
      <c r="E18170" s="40" t="s">
        <v>11404</v>
      </c>
      <c r="F18170" s="40" t="s">
        <v>11404</v>
      </c>
      <c r="G18170" s="40" t="s">
        <v>11404</v>
      </c>
      <c r="H18170" s="40" t="s">
        <v>11404</v>
      </c>
    </row>
    <row r="18171">
      <c r="A18171" s="39"/>
      <c r="E18171" s="40" t="s">
        <v>11404</v>
      </c>
      <c r="F18171" s="40" t="s">
        <v>11404</v>
      </c>
      <c r="G18171" s="40" t="s">
        <v>11404</v>
      </c>
      <c r="H18171" s="40" t="s">
        <v>11404</v>
      </c>
    </row>
    <row r="18172">
      <c r="A18172" s="39"/>
      <c r="E18172" s="40" t="s">
        <v>11404</v>
      </c>
      <c r="F18172" s="40" t="s">
        <v>11404</v>
      </c>
      <c r="G18172" s="40" t="s">
        <v>11404</v>
      </c>
      <c r="H18172" s="40" t="s">
        <v>11404</v>
      </c>
    </row>
    <row r="18173">
      <c r="A18173" s="39"/>
      <c r="E18173" s="40" t="s">
        <v>11404</v>
      </c>
      <c r="F18173" s="40" t="s">
        <v>11404</v>
      </c>
      <c r="G18173" s="40" t="s">
        <v>11404</v>
      </c>
      <c r="H18173" s="40" t="s">
        <v>11404</v>
      </c>
    </row>
    <row r="18174">
      <c r="A18174" s="39"/>
      <c r="E18174" s="40" t="s">
        <v>11404</v>
      </c>
      <c r="F18174" s="40" t="s">
        <v>11404</v>
      </c>
      <c r="G18174" s="40" t="s">
        <v>11404</v>
      </c>
      <c r="H18174" s="40" t="s">
        <v>11404</v>
      </c>
    </row>
    <row r="18175">
      <c r="A18175" s="39"/>
      <c r="E18175" s="40" t="s">
        <v>11404</v>
      </c>
      <c r="F18175" s="40" t="s">
        <v>11404</v>
      </c>
      <c r="G18175" s="40" t="s">
        <v>11404</v>
      </c>
      <c r="H18175" s="40" t="s">
        <v>11404</v>
      </c>
    </row>
    <row r="18176">
      <c r="A18176" s="39"/>
      <c r="E18176" s="40" t="s">
        <v>11404</v>
      </c>
      <c r="F18176" s="40" t="s">
        <v>11404</v>
      </c>
      <c r="G18176" s="40" t="s">
        <v>11404</v>
      </c>
      <c r="H18176" s="40" t="s">
        <v>11404</v>
      </c>
    </row>
    <row r="18177">
      <c r="A18177" s="39"/>
      <c r="E18177" s="40" t="s">
        <v>11404</v>
      </c>
      <c r="F18177" s="40" t="s">
        <v>11404</v>
      </c>
      <c r="G18177" s="40" t="s">
        <v>11404</v>
      </c>
      <c r="H18177" s="40" t="s">
        <v>11404</v>
      </c>
    </row>
    <row r="18178">
      <c r="A18178" s="39"/>
      <c r="E18178" s="40" t="s">
        <v>11404</v>
      </c>
      <c r="F18178" s="40" t="s">
        <v>11404</v>
      </c>
      <c r="G18178" s="40" t="s">
        <v>11404</v>
      </c>
      <c r="H18178" s="40" t="s">
        <v>11404</v>
      </c>
    </row>
    <row r="18179">
      <c r="A18179" s="39"/>
      <c r="E18179" s="40" t="s">
        <v>11404</v>
      </c>
      <c r="F18179" s="40" t="s">
        <v>11404</v>
      </c>
      <c r="G18179" s="40" t="s">
        <v>11404</v>
      </c>
      <c r="H18179" s="40" t="s">
        <v>11404</v>
      </c>
    </row>
    <row r="18180">
      <c r="A18180" s="39"/>
      <c r="E18180" s="40" t="s">
        <v>11404</v>
      </c>
      <c r="F18180" s="40" t="s">
        <v>11404</v>
      </c>
      <c r="G18180" s="40" t="s">
        <v>11404</v>
      </c>
      <c r="H18180" s="40" t="s">
        <v>11404</v>
      </c>
    </row>
    <row r="18181">
      <c r="A18181" s="39"/>
      <c r="E18181" s="40" t="s">
        <v>11404</v>
      </c>
      <c r="F18181" s="40" t="s">
        <v>11404</v>
      </c>
      <c r="G18181" s="40" t="s">
        <v>11404</v>
      </c>
      <c r="H18181" s="40" t="s">
        <v>11404</v>
      </c>
    </row>
    <row r="18182">
      <c r="A18182" s="39"/>
      <c r="E18182" s="40" t="s">
        <v>11404</v>
      </c>
      <c r="F18182" s="40" t="s">
        <v>11404</v>
      </c>
      <c r="G18182" s="40" t="s">
        <v>11404</v>
      </c>
      <c r="H18182" s="40" t="s">
        <v>11404</v>
      </c>
    </row>
    <row r="18183">
      <c r="A18183" s="39"/>
      <c r="E18183" s="40" t="s">
        <v>11404</v>
      </c>
      <c r="F18183" s="40" t="s">
        <v>11404</v>
      </c>
      <c r="G18183" s="40" t="s">
        <v>11404</v>
      </c>
      <c r="H18183" s="40" t="s">
        <v>11404</v>
      </c>
    </row>
    <row r="18184">
      <c r="A18184" s="39"/>
      <c r="E18184" s="40" t="s">
        <v>11404</v>
      </c>
      <c r="F18184" s="40" t="s">
        <v>11404</v>
      </c>
      <c r="G18184" s="40" t="s">
        <v>11404</v>
      </c>
      <c r="H18184" s="40" t="s">
        <v>11404</v>
      </c>
    </row>
    <row r="18185">
      <c r="A18185" s="39"/>
      <c r="E18185" s="40" t="s">
        <v>11404</v>
      </c>
      <c r="F18185" s="40" t="s">
        <v>11404</v>
      </c>
      <c r="G18185" s="40" t="s">
        <v>11404</v>
      </c>
      <c r="H18185" s="40" t="s">
        <v>11404</v>
      </c>
    </row>
    <row r="18186">
      <c r="A18186" s="39"/>
      <c r="E18186" s="40" t="s">
        <v>11404</v>
      </c>
      <c r="F18186" s="40" t="s">
        <v>11404</v>
      </c>
      <c r="G18186" s="40" t="s">
        <v>11404</v>
      </c>
      <c r="H18186" s="40" t="s">
        <v>11404</v>
      </c>
    </row>
    <row r="18187">
      <c r="A18187" s="39"/>
      <c r="E18187" s="40" t="s">
        <v>11404</v>
      </c>
      <c r="F18187" s="40" t="s">
        <v>11404</v>
      </c>
      <c r="G18187" s="40" t="s">
        <v>11404</v>
      </c>
      <c r="H18187" s="40" t="s">
        <v>11404</v>
      </c>
    </row>
    <row r="18188">
      <c r="A18188" s="39"/>
      <c r="E18188" s="40" t="s">
        <v>11404</v>
      </c>
      <c r="F18188" s="40" t="s">
        <v>11404</v>
      </c>
      <c r="G18188" s="40" t="s">
        <v>11404</v>
      </c>
      <c r="H18188" s="40" t="s">
        <v>11404</v>
      </c>
    </row>
    <row r="18189">
      <c r="A18189" s="39"/>
      <c r="E18189" s="40" t="s">
        <v>11404</v>
      </c>
      <c r="F18189" s="40" t="s">
        <v>11404</v>
      </c>
      <c r="G18189" s="40" t="s">
        <v>11404</v>
      </c>
      <c r="H18189" s="40" t="s">
        <v>11404</v>
      </c>
    </row>
    <row r="18190">
      <c r="A18190" s="39"/>
      <c r="E18190" s="40" t="s">
        <v>11404</v>
      </c>
      <c r="F18190" s="40" t="s">
        <v>11404</v>
      </c>
      <c r="G18190" s="40" t="s">
        <v>11404</v>
      </c>
      <c r="H18190" s="40" t="s">
        <v>11404</v>
      </c>
    </row>
    <row r="18191">
      <c r="A18191" s="39"/>
      <c r="E18191" s="40" t="s">
        <v>11404</v>
      </c>
      <c r="F18191" s="40" t="s">
        <v>11404</v>
      </c>
      <c r="G18191" s="40" t="s">
        <v>11404</v>
      </c>
      <c r="H18191" s="40" t="s">
        <v>11404</v>
      </c>
    </row>
    <row r="18192">
      <c r="A18192" s="39"/>
      <c r="E18192" s="40" t="s">
        <v>11404</v>
      </c>
      <c r="F18192" s="40" t="s">
        <v>11404</v>
      </c>
      <c r="G18192" s="40" t="s">
        <v>11404</v>
      </c>
      <c r="H18192" s="40" t="s">
        <v>11404</v>
      </c>
    </row>
    <row r="18193">
      <c r="A18193" s="39"/>
      <c r="E18193" s="40" t="s">
        <v>11404</v>
      </c>
      <c r="F18193" s="40" t="s">
        <v>11404</v>
      </c>
      <c r="G18193" s="40" t="s">
        <v>11404</v>
      </c>
      <c r="H18193" s="40" t="s">
        <v>11404</v>
      </c>
    </row>
    <row r="18194">
      <c r="A18194" s="39"/>
      <c r="E18194" s="40" t="s">
        <v>11404</v>
      </c>
      <c r="F18194" s="40" t="s">
        <v>11404</v>
      </c>
      <c r="G18194" s="40" t="s">
        <v>11404</v>
      </c>
      <c r="H18194" s="40" t="s">
        <v>11404</v>
      </c>
    </row>
    <row r="18195">
      <c r="A18195" s="39"/>
      <c r="E18195" s="40" t="s">
        <v>11404</v>
      </c>
      <c r="F18195" s="40" t="s">
        <v>11404</v>
      </c>
      <c r="G18195" s="40" t="s">
        <v>11404</v>
      </c>
      <c r="H18195" s="40" t="s">
        <v>11404</v>
      </c>
    </row>
    <row r="18196">
      <c r="A18196" s="39"/>
      <c r="E18196" s="40" t="s">
        <v>11404</v>
      </c>
      <c r="F18196" s="40" t="s">
        <v>11404</v>
      </c>
      <c r="G18196" s="40" t="s">
        <v>11404</v>
      </c>
      <c r="H18196" s="40" t="s">
        <v>11404</v>
      </c>
    </row>
    <row r="18197">
      <c r="A18197" s="39"/>
      <c r="E18197" s="40" t="s">
        <v>11404</v>
      </c>
      <c r="F18197" s="40" t="s">
        <v>11404</v>
      </c>
      <c r="G18197" s="40" t="s">
        <v>11404</v>
      </c>
      <c r="H18197" s="40" t="s">
        <v>11404</v>
      </c>
    </row>
    <row r="18198">
      <c r="A18198" s="39"/>
      <c r="E18198" s="40" t="s">
        <v>11404</v>
      </c>
      <c r="F18198" s="40" t="s">
        <v>11404</v>
      </c>
      <c r="G18198" s="40" t="s">
        <v>11404</v>
      </c>
      <c r="H18198" s="40" t="s">
        <v>11404</v>
      </c>
    </row>
    <row r="18199">
      <c r="A18199" s="39"/>
      <c r="E18199" s="40" t="s">
        <v>11404</v>
      </c>
      <c r="F18199" s="40" t="s">
        <v>11404</v>
      </c>
      <c r="G18199" s="40" t="s">
        <v>11404</v>
      </c>
      <c r="H18199" s="40" t="s">
        <v>11404</v>
      </c>
    </row>
    <row r="18200">
      <c r="A18200" s="39"/>
      <c r="E18200" s="40" t="s">
        <v>11404</v>
      </c>
      <c r="F18200" s="40" t="s">
        <v>11404</v>
      </c>
      <c r="G18200" s="40" t="s">
        <v>11404</v>
      </c>
      <c r="H18200" s="40" t="s">
        <v>11404</v>
      </c>
    </row>
    <row r="18201">
      <c r="A18201" s="39"/>
      <c r="E18201" s="40" t="s">
        <v>11404</v>
      </c>
      <c r="F18201" s="40" t="s">
        <v>11404</v>
      </c>
      <c r="G18201" s="40" t="s">
        <v>11404</v>
      </c>
      <c r="H18201" s="40" t="s">
        <v>11404</v>
      </c>
    </row>
    <row r="18202">
      <c r="A18202" s="39"/>
      <c r="E18202" s="40" t="s">
        <v>11404</v>
      </c>
      <c r="F18202" s="40" t="s">
        <v>11404</v>
      </c>
      <c r="G18202" s="40" t="s">
        <v>11404</v>
      </c>
      <c r="H18202" s="40" t="s">
        <v>11404</v>
      </c>
    </row>
    <row r="18203">
      <c r="A18203" s="39"/>
      <c r="E18203" s="40" t="s">
        <v>11404</v>
      </c>
      <c r="F18203" s="40" t="s">
        <v>11404</v>
      </c>
      <c r="G18203" s="40" t="s">
        <v>11404</v>
      </c>
      <c r="H18203" s="40" t="s">
        <v>11404</v>
      </c>
    </row>
    <row r="18204">
      <c r="A18204" s="39"/>
      <c r="E18204" s="40" t="s">
        <v>11404</v>
      </c>
      <c r="F18204" s="40" t="s">
        <v>11404</v>
      </c>
      <c r="G18204" s="40" t="s">
        <v>11404</v>
      </c>
      <c r="H18204" s="40" t="s">
        <v>11404</v>
      </c>
    </row>
    <row r="18205">
      <c r="A18205" s="39"/>
      <c r="E18205" s="40" t="s">
        <v>11404</v>
      </c>
      <c r="F18205" s="40" t="s">
        <v>11404</v>
      </c>
      <c r="G18205" s="40" t="s">
        <v>11404</v>
      </c>
      <c r="H18205" s="40" t="s">
        <v>11404</v>
      </c>
    </row>
    <row r="18206">
      <c r="A18206" s="39"/>
      <c r="E18206" s="40" t="s">
        <v>11404</v>
      </c>
      <c r="F18206" s="40" t="s">
        <v>11404</v>
      </c>
      <c r="G18206" s="40" t="s">
        <v>11404</v>
      </c>
      <c r="H18206" s="40" t="s">
        <v>11404</v>
      </c>
    </row>
    <row r="18207">
      <c r="A18207" s="39"/>
      <c r="E18207" s="40" t="s">
        <v>11404</v>
      </c>
      <c r="F18207" s="40" t="s">
        <v>11404</v>
      </c>
      <c r="G18207" s="40" t="s">
        <v>11404</v>
      </c>
      <c r="H18207" s="40" t="s">
        <v>11404</v>
      </c>
    </row>
    <row r="18208">
      <c r="A18208" s="39"/>
      <c r="E18208" s="40" t="s">
        <v>11404</v>
      </c>
      <c r="F18208" s="40" t="s">
        <v>11404</v>
      </c>
      <c r="G18208" s="40" t="s">
        <v>11404</v>
      </c>
      <c r="H18208" s="40" t="s">
        <v>11404</v>
      </c>
    </row>
    <row r="18209">
      <c r="A18209" s="39"/>
      <c r="E18209" s="40" t="s">
        <v>11404</v>
      </c>
      <c r="F18209" s="40" t="s">
        <v>11404</v>
      </c>
      <c r="G18209" s="40" t="s">
        <v>11404</v>
      </c>
      <c r="H18209" s="40" t="s">
        <v>11404</v>
      </c>
    </row>
    <row r="18210">
      <c r="A18210" s="39"/>
      <c r="E18210" s="40" t="s">
        <v>11404</v>
      </c>
      <c r="F18210" s="40" t="s">
        <v>11404</v>
      </c>
      <c r="G18210" s="40" t="s">
        <v>11404</v>
      </c>
      <c r="H18210" s="40" t="s">
        <v>11404</v>
      </c>
    </row>
    <row r="18211">
      <c r="A18211" s="39"/>
      <c r="E18211" s="40" t="s">
        <v>11404</v>
      </c>
      <c r="F18211" s="40" t="s">
        <v>11404</v>
      </c>
      <c r="G18211" s="40" t="s">
        <v>11404</v>
      </c>
      <c r="H18211" s="40" t="s">
        <v>11404</v>
      </c>
    </row>
    <row r="18212">
      <c r="A18212" s="39"/>
      <c r="E18212" s="40" t="s">
        <v>11404</v>
      </c>
      <c r="F18212" s="40" t="s">
        <v>11404</v>
      </c>
      <c r="G18212" s="40" t="s">
        <v>11404</v>
      </c>
      <c r="H18212" s="40" t="s">
        <v>11404</v>
      </c>
    </row>
    <row r="18213">
      <c r="A18213" s="39"/>
      <c r="E18213" s="40" t="s">
        <v>11404</v>
      </c>
      <c r="F18213" s="40" t="s">
        <v>11404</v>
      </c>
      <c r="G18213" s="40" t="s">
        <v>11404</v>
      </c>
      <c r="H18213" s="40" t="s">
        <v>11404</v>
      </c>
    </row>
    <row r="18214">
      <c r="A18214" s="39"/>
      <c r="E18214" s="40" t="s">
        <v>11404</v>
      </c>
      <c r="F18214" s="40" t="s">
        <v>11404</v>
      </c>
      <c r="G18214" s="40" t="s">
        <v>11404</v>
      </c>
      <c r="H18214" s="40" t="s">
        <v>11404</v>
      </c>
    </row>
    <row r="18215">
      <c r="A18215" s="39"/>
      <c r="E18215" s="40" t="s">
        <v>11404</v>
      </c>
      <c r="F18215" s="40" t="s">
        <v>11404</v>
      </c>
      <c r="G18215" s="40" t="s">
        <v>11404</v>
      </c>
      <c r="H18215" s="40" t="s">
        <v>11404</v>
      </c>
    </row>
    <row r="18216">
      <c r="A18216" s="39"/>
      <c r="E18216" s="40" t="s">
        <v>11404</v>
      </c>
      <c r="F18216" s="40" t="s">
        <v>11404</v>
      </c>
      <c r="G18216" s="40" t="s">
        <v>11404</v>
      </c>
      <c r="H18216" s="40" t="s">
        <v>11404</v>
      </c>
    </row>
    <row r="18217">
      <c r="A18217" s="39"/>
      <c r="E18217" s="40" t="s">
        <v>11404</v>
      </c>
      <c r="F18217" s="40" t="s">
        <v>11404</v>
      </c>
      <c r="G18217" s="40" t="s">
        <v>11404</v>
      </c>
      <c r="H18217" s="40" t="s">
        <v>11404</v>
      </c>
    </row>
    <row r="18218">
      <c r="A18218" s="39"/>
      <c r="E18218" s="40" t="s">
        <v>11404</v>
      </c>
      <c r="F18218" s="40" t="s">
        <v>11404</v>
      </c>
      <c r="G18218" s="40" t="s">
        <v>11404</v>
      </c>
      <c r="H18218" s="40" t="s">
        <v>11404</v>
      </c>
    </row>
    <row r="18219">
      <c r="A18219" s="39"/>
      <c r="E18219" s="40" t="s">
        <v>11404</v>
      </c>
      <c r="F18219" s="40" t="s">
        <v>11404</v>
      </c>
      <c r="G18219" s="40" t="s">
        <v>11404</v>
      </c>
      <c r="H18219" s="40" t="s">
        <v>11404</v>
      </c>
    </row>
    <row r="18220">
      <c r="A18220" s="39"/>
      <c r="E18220" s="40" t="s">
        <v>11404</v>
      </c>
      <c r="F18220" s="40" t="s">
        <v>11404</v>
      </c>
      <c r="G18220" s="40" t="s">
        <v>11404</v>
      </c>
      <c r="H18220" s="40" t="s">
        <v>11404</v>
      </c>
    </row>
    <row r="18221">
      <c r="A18221" s="39"/>
      <c r="E18221" s="40" t="s">
        <v>11404</v>
      </c>
      <c r="F18221" s="40" t="s">
        <v>11404</v>
      </c>
      <c r="G18221" s="40" t="s">
        <v>11404</v>
      </c>
      <c r="H18221" s="40" t="s">
        <v>11404</v>
      </c>
    </row>
    <row r="18222">
      <c r="A18222" s="39"/>
      <c r="E18222" s="40" t="s">
        <v>11404</v>
      </c>
      <c r="F18222" s="40" t="s">
        <v>11404</v>
      </c>
      <c r="G18222" s="40" t="s">
        <v>11404</v>
      </c>
      <c r="H18222" s="40" t="s">
        <v>11404</v>
      </c>
    </row>
    <row r="18223">
      <c r="A18223" s="39"/>
      <c r="E18223" s="40" t="s">
        <v>11404</v>
      </c>
      <c r="F18223" s="40" t="s">
        <v>11404</v>
      </c>
      <c r="G18223" s="40" t="s">
        <v>11404</v>
      </c>
      <c r="H18223" s="40" t="s">
        <v>11404</v>
      </c>
    </row>
    <row r="18224">
      <c r="A18224" s="39"/>
      <c r="E18224" s="40" t="s">
        <v>11404</v>
      </c>
      <c r="F18224" s="40" t="s">
        <v>11404</v>
      </c>
      <c r="G18224" s="40" t="s">
        <v>11404</v>
      </c>
      <c r="H18224" s="40" t="s">
        <v>11404</v>
      </c>
    </row>
    <row r="18225">
      <c r="A18225" s="39"/>
      <c r="E18225" s="40" t="s">
        <v>11404</v>
      </c>
      <c r="F18225" s="40" t="s">
        <v>11404</v>
      </c>
      <c r="G18225" s="40" t="s">
        <v>11404</v>
      </c>
      <c r="H18225" s="40" t="s">
        <v>11404</v>
      </c>
    </row>
    <row r="18226">
      <c r="A18226" s="39"/>
      <c r="E18226" s="40" t="s">
        <v>11404</v>
      </c>
      <c r="F18226" s="40" t="s">
        <v>11404</v>
      </c>
      <c r="G18226" s="40" t="s">
        <v>11404</v>
      </c>
      <c r="H18226" s="40" t="s">
        <v>11404</v>
      </c>
    </row>
    <row r="18227">
      <c r="A18227" s="39"/>
      <c r="E18227" s="40" t="s">
        <v>11404</v>
      </c>
      <c r="F18227" s="40" t="s">
        <v>11404</v>
      </c>
      <c r="G18227" s="40" t="s">
        <v>11404</v>
      </c>
      <c r="H18227" s="40" t="s">
        <v>11404</v>
      </c>
    </row>
    <row r="18228">
      <c r="A18228" s="39"/>
      <c r="E18228" s="40" t="s">
        <v>11404</v>
      </c>
      <c r="F18228" s="40" t="s">
        <v>11404</v>
      </c>
      <c r="G18228" s="40" t="s">
        <v>11404</v>
      </c>
      <c r="H18228" s="40" t="s">
        <v>11404</v>
      </c>
    </row>
    <row r="18229">
      <c r="A18229" s="39"/>
      <c r="E18229" s="40" t="s">
        <v>11404</v>
      </c>
      <c r="F18229" s="40" t="s">
        <v>11404</v>
      </c>
      <c r="G18229" s="40" t="s">
        <v>11404</v>
      </c>
      <c r="H18229" s="40" t="s">
        <v>11404</v>
      </c>
    </row>
    <row r="18230">
      <c r="A18230" s="39"/>
      <c r="E18230" s="40" t="s">
        <v>11404</v>
      </c>
      <c r="F18230" s="40" t="s">
        <v>11404</v>
      </c>
      <c r="G18230" s="40" t="s">
        <v>11404</v>
      </c>
      <c r="H18230" s="40" t="s">
        <v>11404</v>
      </c>
    </row>
    <row r="18231">
      <c r="A18231" s="39"/>
      <c r="E18231" s="40" t="s">
        <v>11404</v>
      </c>
      <c r="F18231" s="40" t="s">
        <v>11404</v>
      </c>
      <c r="G18231" s="40" t="s">
        <v>11404</v>
      </c>
      <c r="H18231" s="40" t="s">
        <v>11404</v>
      </c>
    </row>
    <row r="18232">
      <c r="A18232" s="39"/>
      <c r="E18232" s="40" t="s">
        <v>11404</v>
      </c>
      <c r="F18232" s="40" t="s">
        <v>11404</v>
      </c>
      <c r="G18232" s="40" t="s">
        <v>11404</v>
      </c>
      <c r="H18232" s="40" t="s">
        <v>11404</v>
      </c>
    </row>
    <row r="18233">
      <c r="A18233" s="39"/>
      <c r="E18233" s="40" t="s">
        <v>11404</v>
      </c>
      <c r="F18233" s="40" t="s">
        <v>11404</v>
      </c>
      <c r="G18233" s="40" t="s">
        <v>11404</v>
      </c>
      <c r="H18233" s="40" t="s">
        <v>11404</v>
      </c>
    </row>
    <row r="18234">
      <c r="A18234" s="39"/>
      <c r="E18234" s="40" t="s">
        <v>11404</v>
      </c>
      <c r="F18234" s="40" t="s">
        <v>11404</v>
      </c>
      <c r="G18234" s="40" t="s">
        <v>11404</v>
      </c>
      <c r="H18234" s="40" t="s">
        <v>11404</v>
      </c>
    </row>
    <row r="18235">
      <c r="A18235" s="39"/>
      <c r="E18235" s="40" t="s">
        <v>11404</v>
      </c>
      <c r="F18235" s="40" t="s">
        <v>11404</v>
      </c>
      <c r="G18235" s="40" t="s">
        <v>11404</v>
      </c>
      <c r="H18235" s="40" t="s">
        <v>11404</v>
      </c>
    </row>
    <row r="18236">
      <c r="A18236" s="39"/>
      <c r="E18236" s="40" t="s">
        <v>11404</v>
      </c>
      <c r="F18236" s="40" t="s">
        <v>11404</v>
      </c>
      <c r="G18236" s="40" t="s">
        <v>11404</v>
      </c>
      <c r="H18236" s="40" t="s">
        <v>11404</v>
      </c>
    </row>
    <row r="18237">
      <c r="A18237" s="39"/>
      <c r="E18237" s="40" t="s">
        <v>11404</v>
      </c>
      <c r="F18237" s="40" t="s">
        <v>11404</v>
      </c>
      <c r="G18237" s="40" t="s">
        <v>11404</v>
      </c>
      <c r="H18237" s="40" t="s">
        <v>11404</v>
      </c>
    </row>
    <row r="18238">
      <c r="A18238" s="39"/>
      <c r="E18238" s="40" t="s">
        <v>11404</v>
      </c>
      <c r="F18238" s="40" t="s">
        <v>11404</v>
      </c>
      <c r="G18238" s="40" t="s">
        <v>11404</v>
      </c>
      <c r="H18238" s="40" t="s">
        <v>11404</v>
      </c>
    </row>
    <row r="18239">
      <c r="A18239" s="39"/>
      <c r="E18239" s="40" t="s">
        <v>11404</v>
      </c>
      <c r="F18239" s="40" t="s">
        <v>11404</v>
      </c>
      <c r="G18239" s="40" t="s">
        <v>11404</v>
      </c>
      <c r="H18239" s="40" t="s">
        <v>11404</v>
      </c>
    </row>
    <row r="18240">
      <c r="A18240" s="39"/>
      <c r="E18240" s="40" t="s">
        <v>11404</v>
      </c>
      <c r="F18240" s="40" t="s">
        <v>11404</v>
      </c>
      <c r="G18240" s="40" t="s">
        <v>11404</v>
      </c>
      <c r="H18240" s="40" t="s">
        <v>11404</v>
      </c>
    </row>
    <row r="18241">
      <c r="A18241" s="39"/>
      <c r="E18241" s="40" t="s">
        <v>11404</v>
      </c>
      <c r="F18241" s="40" t="s">
        <v>11404</v>
      </c>
      <c r="G18241" s="40" t="s">
        <v>11404</v>
      </c>
      <c r="H18241" s="40" t="s">
        <v>11404</v>
      </c>
    </row>
    <row r="18242">
      <c r="A18242" s="39"/>
      <c r="E18242" s="40" t="s">
        <v>11404</v>
      </c>
      <c r="F18242" s="40" t="s">
        <v>11404</v>
      </c>
      <c r="G18242" s="40" t="s">
        <v>11404</v>
      </c>
      <c r="H18242" s="40" t="s">
        <v>11404</v>
      </c>
    </row>
    <row r="18243">
      <c r="A18243" s="39"/>
      <c r="E18243" s="40" t="s">
        <v>11404</v>
      </c>
      <c r="F18243" s="40" t="s">
        <v>11404</v>
      </c>
      <c r="G18243" s="40" t="s">
        <v>11404</v>
      </c>
      <c r="H18243" s="40" t="s">
        <v>11404</v>
      </c>
    </row>
    <row r="18244">
      <c r="A18244" s="39"/>
      <c r="E18244" s="40" t="s">
        <v>11404</v>
      </c>
      <c r="F18244" s="40" t="s">
        <v>11404</v>
      </c>
      <c r="G18244" s="40" t="s">
        <v>11404</v>
      </c>
      <c r="H18244" s="40" t="s">
        <v>11404</v>
      </c>
    </row>
    <row r="18245">
      <c r="A18245" s="39"/>
      <c r="E18245" s="40" t="s">
        <v>11404</v>
      </c>
      <c r="F18245" s="40" t="s">
        <v>11404</v>
      </c>
      <c r="G18245" s="40" t="s">
        <v>11404</v>
      </c>
      <c r="H18245" s="40" t="s">
        <v>11404</v>
      </c>
    </row>
    <row r="18246">
      <c r="A18246" s="39"/>
      <c r="E18246" s="40" t="s">
        <v>11404</v>
      </c>
      <c r="F18246" s="40" t="s">
        <v>11404</v>
      </c>
      <c r="G18246" s="40" t="s">
        <v>11404</v>
      </c>
      <c r="H18246" s="40" t="s">
        <v>11404</v>
      </c>
    </row>
    <row r="18247">
      <c r="A18247" s="39"/>
      <c r="E18247" s="40" t="s">
        <v>11404</v>
      </c>
      <c r="F18247" s="40" t="s">
        <v>11404</v>
      </c>
      <c r="G18247" s="40" t="s">
        <v>11404</v>
      </c>
      <c r="H18247" s="40" t="s">
        <v>11404</v>
      </c>
    </row>
    <row r="18248">
      <c r="A18248" s="39"/>
      <c r="E18248" s="40" t="s">
        <v>11404</v>
      </c>
      <c r="F18248" s="40" t="s">
        <v>11404</v>
      </c>
      <c r="G18248" s="40" t="s">
        <v>11404</v>
      </c>
      <c r="H18248" s="40" t="s">
        <v>11404</v>
      </c>
    </row>
    <row r="18249">
      <c r="A18249" s="39"/>
      <c r="E18249" s="40" t="s">
        <v>11404</v>
      </c>
      <c r="F18249" s="40" t="s">
        <v>11404</v>
      </c>
      <c r="G18249" s="40" t="s">
        <v>11404</v>
      </c>
      <c r="H18249" s="40" t="s">
        <v>11404</v>
      </c>
    </row>
    <row r="18250">
      <c r="A18250" s="39"/>
      <c r="E18250" s="40" t="s">
        <v>11404</v>
      </c>
      <c r="F18250" s="40" t="s">
        <v>11404</v>
      </c>
      <c r="G18250" s="40" t="s">
        <v>11404</v>
      </c>
      <c r="H18250" s="40" t="s">
        <v>11404</v>
      </c>
    </row>
    <row r="18251">
      <c r="A18251" s="39"/>
      <c r="E18251" s="40" t="s">
        <v>11404</v>
      </c>
      <c r="F18251" s="40" t="s">
        <v>11404</v>
      </c>
      <c r="G18251" s="40" t="s">
        <v>11404</v>
      </c>
      <c r="H18251" s="40" t="s">
        <v>11404</v>
      </c>
    </row>
    <row r="18252">
      <c r="A18252" s="39"/>
      <c r="E18252" s="40" t="s">
        <v>11404</v>
      </c>
      <c r="F18252" s="40" t="s">
        <v>11404</v>
      </c>
      <c r="G18252" s="40" t="s">
        <v>11404</v>
      </c>
      <c r="H18252" s="40" t="s">
        <v>11404</v>
      </c>
    </row>
    <row r="18253">
      <c r="A18253" s="39"/>
      <c r="E18253" s="40" t="s">
        <v>11404</v>
      </c>
      <c r="F18253" s="40" t="s">
        <v>11404</v>
      </c>
      <c r="G18253" s="40" t="s">
        <v>11404</v>
      </c>
      <c r="H18253" s="40" t="s">
        <v>11404</v>
      </c>
    </row>
    <row r="18254">
      <c r="A18254" s="39"/>
      <c r="E18254" s="40" t="s">
        <v>11404</v>
      </c>
      <c r="F18254" s="40" t="s">
        <v>11404</v>
      </c>
      <c r="G18254" s="40" t="s">
        <v>11404</v>
      </c>
      <c r="H18254" s="40" t="s">
        <v>11404</v>
      </c>
    </row>
    <row r="18255">
      <c r="A18255" s="39"/>
      <c r="E18255" s="40" t="s">
        <v>11404</v>
      </c>
      <c r="F18255" s="40" t="s">
        <v>11404</v>
      </c>
      <c r="G18255" s="40" t="s">
        <v>11404</v>
      </c>
      <c r="H18255" s="40" t="s">
        <v>11404</v>
      </c>
    </row>
    <row r="18256">
      <c r="A18256" s="39"/>
      <c r="E18256" s="40" t="s">
        <v>11404</v>
      </c>
      <c r="F18256" s="40" t="s">
        <v>11404</v>
      </c>
      <c r="G18256" s="40" t="s">
        <v>11404</v>
      </c>
      <c r="H18256" s="40" t="s">
        <v>11404</v>
      </c>
    </row>
    <row r="18257">
      <c r="A18257" s="39"/>
      <c r="E18257" s="40" t="s">
        <v>11404</v>
      </c>
      <c r="F18257" s="40" t="s">
        <v>11404</v>
      </c>
      <c r="G18257" s="40" t="s">
        <v>11404</v>
      </c>
      <c r="H18257" s="40" t="s">
        <v>11404</v>
      </c>
    </row>
    <row r="18258">
      <c r="A18258" s="39"/>
      <c r="E18258" s="40" t="s">
        <v>11404</v>
      </c>
      <c r="F18258" s="40" t="s">
        <v>11404</v>
      </c>
      <c r="G18258" s="40" t="s">
        <v>11404</v>
      </c>
      <c r="H18258" s="40" t="s">
        <v>11404</v>
      </c>
    </row>
    <row r="18259">
      <c r="A18259" s="39"/>
      <c r="E18259" s="40" t="s">
        <v>11404</v>
      </c>
      <c r="F18259" s="40" t="s">
        <v>11404</v>
      </c>
      <c r="G18259" s="40" t="s">
        <v>11404</v>
      </c>
      <c r="H18259" s="40" t="s">
        <v>11404</v>
      </c>
    </row>
    <row r="18260">
      <c r="A18260" s="39"/>
      <c r="E18260" s="40" t="s">
        <v>11404</v>
      </c>
      <c r="F18260" s="40" t="s">
        <v>11404</v>
      </c>
      <c r="G18260" s="40" t="s">
        <v>11404</v>
      </c>
      <c r="H18260" s="40" t="s">
        <v>11404</v>
      </c>
    </row>
    <row r="18261">
      <c r="A18261" s="39"/>
      <c r="E18261" s="40" t="s">
        <v>11404</v>
      </c>
      <c r="F18261" s="40" t="s">
        <v>11404</v>
      </c>
      <c r="G18261" s="40" t="s">
        <v>11404</v>
      </c>
      <c r="H18261" s="40" t="s">
        <v>11404</v>
      </c>
    </row>
    <row r="18262">
      <c r="A18262" s="39"/>
      <c r="E18262" s="40" t="s">
        <v>11404</v>
      </c>
      <c r="F18262" s="40" t="s">
        <v>11404</v>
      </c>
      <c r="G18262" s="40" t="s">
        <v>11404</v>
      </c>
      <c r="H18262" s="40" t="s">
        <v>11404</v>
      </c>
    </row>
    <row r="18263">
      <c r="A18263" s="39"/>
      <c r="E18263" s="40" t="s">
        <v>11404</v>
      </c>
      <c r="F18263" s="40" t="s">
        <v>11404</v>
      </c>
      <c r="G18263" s="40" t="s">
        <v>11404</v>
      </c>
      <c r="H18263" s="40" t="s">
        <v>11404</v>
      </c>
    </row>
    <row r="18264">
      <c r="A18264" s="39"/>
      <c r="E18264" s="40" t="s">
        <v>11404</v>
      </c>
      <c r="F18264" s="40" t="s">
        <v>11404</v>
      </c>
      <c r="G18264" s="40" t="s">
        <v>11404</v>
      </c>
      <c r="H18264" s="40" t="s">
        <v>11404</v>
      </c>
    </row>
    <row r="18265">
      <c r="A18265" s="39"/>
      <c r="E18265" s="40" t="s">
        <v>11404</v>
      </c>
      <c r="F18265" s="40" t="s">
        <v>11404</v>
      </c>
      <c r="G18265" s="40" t="s">
        <v>11404</v>
      </c>
      <c r="H18265" s="40" t="s">
        <v>11404</v>
      </c>
    </row>
    <row r="18266">
      <c r="A18266" s="39"/>
      <c r="E18266" s="40" t="s">
        <v>11404</v>
      </c>
      <c r="F18266" s="40" t="s">
        <v>11404</v>
      </c>
      <c r="G18266" s="40" t="s">
        <v>11404</v>
      </c>
      <c r="H18266" s="40" t="s">
        <v>11404</v>
      </c>
    </row>
    <row r="18267">
      <c r="A18267" s="39"/>
      <c r="E18267" s="40" t="s">
        <v>11404</v>
      </c>
      <c r="F18267" s="40" t="s">
        <v>11404</v>
      </c>
      <c r="G18267" s="40" t="s">
        <v>11404</v>
      </c>
      <c r="H18267" s="40" t="s">
        <v>11404</v>
      </c>
    </row>
    <row r="18268">
      <c r="A18268" s="39"/>
      <c r="E18268" s="40" t="s">
        <v>11404</v>
      </c>
      <c r="F18268" s="40" t="s">
        <v>11404</v>
      </c>
      <c r="G18268" s="40" t="s">
        <v>11404</v>
      </c>
      <c r="H18268" s="40" t="s">
        <v>11404</v>
      </c>
    </row>
    <row r="18269">
      <c r="A18269" s="39"/>
      <c r="E18269" s="40" t="s">
        <v>11404</v>
      </c>
      <c r="F18269" s="40" t="s">
        <v>11404</v>
      </c>
      <c r="G18269" s="40" t="s">
        <v>11404</v>
      </c>
      <c r="H18269" s="40" t="s">
        <v>11404</v>
      </c>
    </row>
    <row r="18270">
      <c r="A18270" s="39"/>
      <c r="E18270" s="40" t="s">
        <v>11404</v>
      </c>
      <c r="F18270" s="40" t="s">
        <v>11404</v>
      </c>
      <c r="G18270" s="40" t="s">
        <v>11404</v>
      </c>
      <c r="H18270" s="40" t="s">
        <v>11404</v>
      </c>
    </row>
    <row r="18271">
      <c r="A18271" s="39"/>
      <c r="E18271" s="40" t="s">
        <v>11404</v>
      </c>
      <c r="F18271" s="40" t="s">
        <v>11404</v>
      </c>
      <c r="G18271" s="40" t="s">
        <v>11404</v>
      </c>
      <c r="H18271" s="40" t="s">
        <v>11404</v>
      </c>
    </row>
    <row r="18272">
      <c r="A18272" s="39"/>
      <c r="E18272" s="40" t="s">
        <v>11404</v>
      </c>
      <c r="F18272" s="40" t="s">
        <v>11404</v>
      </c>
      <c r="G18272" s="40" t="s">
        <v>11404</v>
      </c>
      <c r="H18272" s="40" t="s">
        <v>11404</v>
      </c>
    </row>
    <row r="18273">
      <c r="A18273" s="39"/>
      <c r="E18273" s="40" t="s">
        <v>11404</v>
      </c>
      <c r="F18273" s="40" t="s">
        <v>11404</v>
      </c>
      <c r="G18273" s="40" t="s">
        <v>11404</v>
      </c>
      <c r="H18273" s="40" t="s">
        <v>11404</v>
      </c>
    </row>
    <row r="18274">
      <c r="A18274" s="39"/>
      <c r="E18274" s="40" t="s">
        <v>11404</v>
      </c>
      <c r="F18274" s="40" t="s">
        <v>11404</v>
      </c>
      <c r="G18274" s="40" t="s">
        <v>11404</v>
      </c>
      <c r="H18274" s="40" t="s">
        <v>11404</v>
      </c>
    </row>
    <row r="18275">
      <c r="A18275" s="39"/>
      <c r="E18275" s="40" t="s">
        <v>11404</v>
      </c>
      <c r="F18275" s="40" t="s">
        <v>11404</v>
      </c>
      <c r="G18275" s="40" t="s">
        <v>11404</v>
      </c>
      <c r="H18275" s="40" t="s">
        <v>11404</v>
      </c>
    </row>
    <row r="18276">
      <c r="A18276" s="39"/>
      <c r="E18276" s="40" t="s">
        <v>11404</v>
      </c>
      <c r="F18276" s="40" t="s">
        <v>11404</v>
      </c>
      <c r="G18276" s="40" t="s">
        <v>11404</v>
      </c>
      <c r="H18276" s="40" t="s">
        <v>11404</v>
      </c>
    </row>
    <row r="18277">
      <c r="A18277" s="39"/>
      <c r="E18277" s="40" t="s">
        <v>11404</v>
      </c>
      <c r="F18277" s="40" t="s">
        <v>11404</v>
      </c>
      <c r="G18277" s="40" t="s">
        <v>11404</v>
      </c>
      <c r="H18277" s="40" t="s">
        <v>11404</v>
      </c>
    </row>
    <row r="18278">
      <c r="A18278" s="39"/>
      <c r="E18278" s="40" t="s">
        <v>11404</v>
      </c>
      <c r="F18278" s="40" t="s">
        <v>11404</v>
      </c>
      <c r="G18278" s="40" t="s">
        <v>11404</v>
      </c>
      <c r="H18278" s="40" t="s">
        <v>11404</v>
      </c>
    </row>
    <row r="18279">
      <c r="A18279" s="39"/>
      <c r="E18279" s="40" t="s">
        <v>11404</v>
      </c>
      <c r="F18279" s="40" t="s">
        <v>11404</v>
      </c>
      <c r="G18279" s="40" t="s">
        <v>11404</v>
      </c>
      <c r="H18279" s="40" t="s">
        <v>11404</v>
      </c>
    </row>
    <row r="18280">
      <c r="A18280" s="39"/>
      <c r="E18280" s="40" t="s">
        <v>11404</v>
      </c>
      <c r="F18280" s="40" t="s">
        <v>11404</v>
      </c>
      <c r="G18280" s="40" t="s">
        <v>11404</v>
      </c>
      <c r="H18280" s="40" t="s">
        <v>11404</v>
      </c>
    </row>
    <row r="18281">
      <c r="A18281" s="39"/>
      <c r="E18281" s="40" t="s">
        <v>11404</v>
      </c>
      <c r="F18281" s="40" t="s">
        <v>11404</v>
      </c>
      <c r="G18281" s="40" t="s">
        <v>11404</v>
      </c>
      <c r="H18281" s="40" t="s">
        <v>11404</v>
      </c>
    </row>
    <row r="18282">
      <c r="A18282" s="39"/>
      <c r="E18282" s="40" t="s">
        <v>11404</v>
      </c>
      <c r="F18282" s="40" t="s">
        <v>11404</v>
      </c>
      <c r="G18282" s="40" t="s">
        <v>11404</v>
      </c>
      <c r="H18282" s="40" t="s">
        <v>11404</v>
      </c>
    </row>
    <row r="18283">
      <c r="A18283" s="39"/>
      <c r="E18283" s="40" t="s">
        <v>11404</v>
      </c>
      <c r="F18283" s="40" t="s">
        <v>11404</v>
      </c>
      <c r="G18283" s="40" t="s">
        <v>11404</v>
      </c>
      <c r="H18283" s="40" t="s">
        <v>11404</v>
      </c>
    </row>
    <row r="18284">
      <c r="A18284" s="39"/>
      <c r="E18284" s="40" t="s">
        <v>11404</v>
      </c>
      <c r="F18284" s="40" t="s">
        <v>11404</v>
      </c>
      <c r="G18284" s="40" t="s">
        <v>11404</v>
      </c>
      <c r="H18284" s="40" t="s">
        <v>11404</v>
      </c>
    </row>
    <row r="18285">
      <c r="A18285" s="39"/>
      <c r="E18285" s="40" t="s">
        <v>11404</v>
      </c>
      <c r="F18285" s="40" t="s">
        <v>11404</v>
      </c>
      <c r="G18285" s="40" t="s">
        <v>11404</v>
      </c>
      <c r="H18285" s="40" t="s">
        <v>11404</v>
      </c>
    </row>
    <row r="18286">
      <c r="A18286" s="39"/>
      <c r="E18286" s="40" t="s">
        <v>11404</v>
      </c>
      <c r="F18286" s="40" t="s">
        <v>11404</v>
      </c>
      <c r="G18286" s="40" t="s">
        <v>11404</v>
      </c>
      <c r="H18286" s="40" t="s">
        <v>11404</v>
      </c>
    </row>
    <row r="18287">
      <c r="A18287" s="39"/>
      <c r="E18287" s="40" t="s">
        <v>11404</v>
      </c>
      <c r="F18287" s="40" t="s">
        <v>11404</v>
      </c>
      <c r="G18287" s="40" t="s">
        <v>11404</v>
      </c>
      <c r="H18287" s="40" t="s">
        <v>11404</v>
      </c>
    </row>
    <row r="18288">
      <c r="A18288" s="39"/>
      <c r="E18288" s="40" t="s">
        <v>11404</v>
      </c>
      <c r="F18288" s="40" t="s">
        <v>11404</v>
      </c>
      <c r="G18288" s="40" t="s">
        <v>11404</v>
      </c>
      <c r="H18288" s="40" t="s">
        <v>11404</v>
      </c>
    </row>
    <row r="18289">
      <c r="A18289" s="39"/>
      <c r="E18289" s="40" t="s">
        <v>11404</v>
      </c>
      <c r="F18289" s="40" t="s">
        <v>11404</v>
      </c>
      <c r="G18289" s="40" t="s">
        <v>11404</v>
      </c>
      <c r="H18289" s="40" t="s">
        <v>11404</v>
      </c>
    </row>
    <row r="18290">
      <c r="A18290" s="39"/>
      <c r="E18290" s="40" t="s">
        <v>11404</v>
      </c>
      <c r="F18290" s="40" t="s">
        <v>11404</v>
      </c>
      <c r="G18290" s="40" t="s">
        <v>11404</v>
      </c>
      <c r="H18290" s="40" t="s">
        <v>11404</v>
      </c>
    </row>
    <row r="18291">
      <c r="A18291" s="39"/>
      <c r="E18291" s="40" t="s">
        <v>11404</v>
      </c>
      <c r="F18291" s="40" t="s">
        <v>11404</v>
      </c>
      <c r="G18291" s="40" t="s">
        <v>11404</v>
      </c>
      <c r="H18291" s="40" t="s">
        <v>11404</v>
      </c>
    </row>
    <row r="18292">
      <c r="A18292" s="39"/>
      <c r="E18292" s="40" t="s">
        <v>11404</v>
      </c>
      <c r="F18292" s="40" t="s">
        <v>11404</v>
      </c>
      <c r="G18292" s="40" t="s">
        <v>11404</v>
      </c>
      <c r="H18292" s="40" t="s">
        <v>11404</v>
      </c>
    </row>
    <row r="18293">
      <c r="A18293" s="39"/>
      <c r="E18293" s="40" t="s">
        <v>11404</v>
      </c>
      <c r="F18293" s="40" t="s">
        <v>11404</v>
      </c>
      <c r="G18293" s="40" t="s">
        <v>11404</v>
      </c>
      <c r="H18293" s="40" t="s">
        <v>11404</v>
      </c>
    </row>
    <row r="18294">
      <c r="A18294" s="39"/>
      <c r="E18294" s="40" t="s">
        <v>11404</v>
      </c>
      <c r="F18294" s="40" t="s">
        <v>11404</v>
      </c>
      <c r="G18294" s="40" t="s">
        <v>11404</v>
      </c>
      <c r="H18294" s="40" t="s">
        <v>11404</v>
      </c>
    </row>
    <row r="18295">
      <c r="A18295" s="39"/>
      <c r="E18295" s="40" t="s">
        <v>11404</v>
      </c>
      <c r="F18295" s="40" t="s">
        <v>11404</v>
      </c>
      <c r="G18295" s="40" t="s">
        <v>11404</v>
      </c>
      <c r="H18295" s="40" t="s">
        <v>11404</v>
      </c>
    </row>
    <row r="18296">
      <c r="A18296" s="39"/>
      <c r="E18296" s="40" t="s">
        <v>11404</v>
      </c>
      <c r="F18296" s="40" t="s">
        <v>11404</v>
      </c>
      <c r="G18296" s="40" t="s">
        <v>11404</v>
      </c>
      <c r="H18296" s="40" t="s">
        <v>11404</v>
      </c>
    </row>
    <row r="18297">
      <c r="A18297" s="39"/>
      <c r="E18297" s="40" t="s">
        <v>11404</v>
      </c>
      <c r="F18297" s="40" t="s">
        <v>11404</v>
      </c>
      <c r="G18297" s="40" t="s">
        <v>11404</v>
      </c>
      <c r="H18297" s="40" t="s">
        <v>11404</v>
      </c>
    </row>
    <row r="18298">
      <c r="A18298" s="39"/>
      <c r="E18298" s="40" t="s">
        <v>11404</v>
      </c>
      <c r="F18298" s="40" t="s">
        <v>11404</v>
      </c>
      <c r="G18298" s="40" t="s">
        <v>11404</v>
      </c>
      <c r="H18298" s="40" t="s">
        <v>11404</v>
      </c>
    </row>
    <row r="18299">
      <c r="A18299" s="39"/>
      <c r="E18299" s="40" t="s">
        <v>11404</v>
      </c>
      <c r="F18299" s="40" t="s">
        <v>11404</v>
      </c>
      <c r="G18299" s="40" t="s">
        <v>11404</v>
      </c>
      <c r="H18299" s="40" t="s">
        <v>11404</v>
      </c>
    </row>
    <row r="18300">
      <c r="A18300" s="39"/>
      <c r="E18300" s="40" t="s">
        <v>11404</v>
      </c>
      <c r="F18300" s="40" t="s">
        <v>11404</v>
      </c>
      <c r="G18300" s="40" t="s">
        <v>11404</v>
      </c>
      <c r="H18300" s="40" t="s">
        <v>11404</v>
      </c>
    </row>
    <row r="18301">
      <c r="A18301" s="39"/>
      <c r="E18301" s="40" t="s">
        <v>11404</v>
      </c>
      <c r="F18301" s="40" t="s">
        <v>11404</v>
      </c>
      <c r="G18301" s="40" t="s">
        <v>11404</v>
      </c>
      <c r="H18301" s="40" t="s">
        <v>11404</v>
      </c>
    </row>
    <row r="18302">
      <c r="A18302" s="39"/>
      <c r="E18302" s="40" t="s">
        <v>11404</v>
      </c>
      <c r="F18302" s="40" t="s">
        <v>11404</v>
      </c>
      <c r="G18302" s="40" t="s">
        <v>11404</v>
      </c>
      <c r="H18302" s="40" t="s">
        <v>11404</v>
      </c>
    </row>
    <row r="18303">
      <c r="A18303" s="39"/>
      <c r="E18303" s="40" t="s">
        <v>11404</v>
      </c>
      <c r="F18303" s="40" t="s">
        <v>11404</v>
      </c>
      <c r="G18303" s="40" t="s">
        <v>11404</v>
      </c>
      <c r="H18303" s="40" t="s">
        <v>11404</v>
      </c>
    </row>
    <row r="18304">
      <c r="A18304" s="39"/>
      <c r="E18304" s="40" t="s">
        <v>11404</v>
      </c>
      <c r="F18304" s="40" t="s">
        <v>11404</v>
      </c>
      <c r="G18304" s="40" t="s">
        <v>11404</v>
      </c>
      <c r="H18304" s="40" t="s">
        <v>11404</v>
      </c>
    </row>
    <row r="18305">
      <c r="A18305" s="39"/>
      <c r="E18305" s="40" t="s">
        <v>11404</v>
      </c>
      <c r="F18305" s="40" t="s">
        <v>11404</v>
      </c>
      <c r="G18305" s="40" t="s">
        <v>11404</v>
      </c>
      <c r="H18305" s="40" t="s">
        <v>11404</v>
      </c>
    </row>
    <row r="18306">
      <c r="A18306" s="39"/>
      <c r="E18306" s="40" t="s">
        <v>11404</v>
      </c>
      <c r="F18306" s="40" t="s">
        <v>11404</v>
      </c>
      <c r="G18306" s="40" t="s">
        <v>11404</v>
      </c>
      <c r="H18306" s="40" t="s">
        <v>11404</v>
      </c>
    </row>
    <row r="18307">
      <c r="A18307" s="39"/>
      <c r="E18307" s="40" t="s">
        <v>11404</v>
      </c>
      <c r="F18307" s="40" t="s">
        <v>11404</v>
      </c>
      <c r="G18307" s="40" t="s">
        <v>11404</v>
      </c>
      <c r="H18307" s="40" t="s">
        <v>11404</v>
      </c>
    </row>
    <row r="18308">
      <c r="A18308" s="39"/>
      <c r="E18308" s="40" t="s">
        <v>11404</v>
      </c>
      <c r="F18308" s="40" t="s">
        <v>11404</v>
      </c>
      <c r="G18308" s="40" t="s">
        <v>11404</v>
      </c>
      <c r="H18308" s="40" t="s">
        <v>11404</v>
      </c>
    </row>
    <row r="18309">
      <c r="A18309" s="39"/>
      <c r="E18309" s="40" t="s">
        <v>11404</v>
      </c>
      <c r="F18309" s="40" t="s">
        <v>11404</v>
      </c>
      <c r="G18309" s="40" t="s">
        <v>11404</v>
      </c>
      <c r="H18309" s="40" t="s">
        <v>11404</v>
      </c>
    </row>
    <row r="18310">
      <c r="A18310" s="39"/>
      <c r="E18310" s="40" t="s">
        <v>11404</v>
      </c>
      <c r="F18310" s="40" t="s">
        <v>11404</v>
      </c>
      <c r="G18310" s="40" t="s">
        <v>11404</v>
      </c>
      <c r="H18310" s="40" t="s">
        <v>11404</v>
      </c>
    </row>
    <row r="18311">
      <c r="A18311" s="39"/>
      <c r="E18311" s="40" t="s">
        <v>11404</v>
      </c>
      <c r="F18311" s="40" t="s">
        <v>11404</v>
      </c>
      <c r="G18311" s="40" t="s">
        <v>11404</v>
      </c>
      <c r="H18311" s="40" t="s">
        <v>11404</v>
      </c>
    </row>
    <row r="18312">
      <c r="A18312" s="39"/>
      <c r="E18312" s="40" t="s">
        <v>11404</v>
      </c>
      <c r="F18312" s="40" t="s">
        <v>11404</v>
      </c>
      <c r="G18312" s="40" t="s">
        <v>11404</v>
      </c>
      <c r="H18312" s="40" t="s">
        <v>11404</v>
      </c>
    </row>
    <row r="18313">
      <c r="A18313" s="39"/>
      <c r="E18313" s="40" t="s">
        <v>11404</v>
      </c>
      <c r="F18313" s="40" t="s">
        <v>11404</v>
      </c>
      <c r="G18313" s="40" t="s">
        <v>11404</v>
      </c>
      <c r="H18313" s="40" t="s">
        <v>11404</v>
      </c>
    </row>
    <row r="18314">
      <c r="A18314" s="39"/>
      <c r="E18314" s="40" t="s">
        <v>11404</v>
      </c>
      <c r="F18314" s="40" t="s">
        <v>11404</v>
      </c>
      <c r="G18314" s="40" t="s">
        <v>11404</v>
      </c>
      <c r="H18314" s="40" t="s">
        <v>11404</v>
      </c>
    </row>
    <row r="18315">
      <c r="A18315" s="39"/>
      <c r="E18315" s="40" t="s">
        <v>11404</v>
      </c>
      <c r="F18315" s="40" t="s">
        <v>11404</v>
      </c>
      <c r="G18315" s="40" t="s">
        <v>11404</v>
      </c>
      <c r="H18315" s="40" t="s">
        <v>11404</v>
      </c>
    </row>
    <row r="18316">
      <c r="A18316" s="39"/>
      <c r="E18316" s="40" t="s">
        <v>11404</v>
      </c>
      <c r="F18316" s="40" t="s">
        <v>11404</v>
      </c>
      <c r="G18316" s="40" t="s">
        <v>11404</v>
      </c>
      <c r="H18316" s="40" t="s">
        <v>11404</v>
      </c>
    </row>
    <row r="18317">
      <c r="A18317" s="39"/>
      <c r="E18317" s="40" t="s">
        <v>11404</v>
      </c>
      <c r="F18317" s="40" t="s">
        <v>11404</v>
      </c>
      <c r="G18317" s="40" t="s">
        <v>11404</v>
      </c>
      <c r="H18317" s="40" t="s">
        <v>11404</v>
      </c>
    </row>
    <row r="18318">
      <c r="A18318" s="39"/>
      <c r="E18318" s="40" t="s">
        <v>11404</v>
      </c>
      <c r="F18318" s="40" t="s">
        <v>11404</v>
      </c>
      <c r="G18318" s="40" t="s">
        <v>11404</v>
      </c>
      <c r="H18318" s="40" t="s">
        <v>11404</v>
      </c>
    </row>
    <row r="18319">
      <c r="A18319" s="39"/>
      <c r="E18319" s="40" t="s">
        <v>11404</v>
      </c>
      <c r="F18319" s="40" t="s">
        <v>11404</v>
      </c>
      <c r="G18319" s="40" t="s">
        <v>11404</v>
      </c>
      <c r="H18319" s="40" t="s">
        <v>11404</v>
      </c>
    </row>
    <row r="18320">
      <c r="A18320" s="39"/>
      <c r="E18320" s="40" t="s">
        <v>11404</v>
      </c>
      <c r="F18320" s="40" t="s">
        <v>11404</v>
      </c>
      <c r="G18320" s="40" t="s">
        <v>11404</v>
      </c>
      <c r="H18320" s="40" t="s">
        <v>11404</v>
      </c>
    </row>
    <row r="18321">
      <c r="A18321" s="39"/>
      <c r="E18321" s="40" t="s">
        <v>11404</v>
      </c>
      <c r="F18321" s="40" t="s">
        <v>11404</v>
      </c>
      <c r="G18321" s="40" t="s">
        <v>11404</v>
      </c>
      <c r="H18321" s="40" t="s">
        <v>11404</v>
      </c>
    </row>
    <row r="18322">
      <c r="A18322" s="39"/>
      <c r="E18322" s="40" t="s">
        <v>11404</v>
      </c>
      <c r="F18322" s="40" t="s">
        <v>11404</v>
      </c>
      <c r="G18322" s="40" t="s">
        <v>11404</v>
      </c>
      <c r="H18322" s="40" t="s">
        <v>11404</v>
      </c>
    </row>
    <row r="18323">
      <c r="A18323" s="39"/>
      <c r="E18323" s="40" t="s">
        <v>11404</v>
      </c>
      <c r="F18323" s="40" t="s">
        <v>11404</v>
      </c>
      <c r="G18323" s="40" t="s">
        <v>11404</v>
      </c>
      <c r="H18323" s="40" t="s">
        <v>11404</v>
      </c>
    </row>
    <row r="18324">
      <c r="A18324" s="39"/>
      <c r="E18324" s="40" t="s">
        <v>11404</v>
      </c>
      <c r="F18324" s="40" t="s">
        <v>11404</v>
      </c>
      <c r="G18324" s="40" t="s">
        <v>11404</v>
      </c>
      <c r="H18324" s="40" t="s">
        <v>11404</v>
      </c>
    </row>
    <row r="18325">
      <c r="A18325" s="39"/>
      <c r="E18325" s="40" t="s">
        <v>11404</v>
      </c>
      <c r="F18325" s="40" t="s">
        <v>11404</v>
      </c>
      <c r="G18325" s="40" t="s">
        <v>11404</v>
      </c>
      <c r="H18325" s="40" t="s">
        <v>11404</v>
      </c>
    </row>
    <row r="18326">
      <c r="A18326" s="39"/>
      <c r="E18326" s="40" t="s">
        <v>11404</v>
      </c>
      <c r="F18326" s="40" t="s">
        <v>11404</v>
      </c>
      <c r="G18326" s="40" t="s">
        <v>11404</v>
      </c>
      <c r="H18326" s="40" t="s">
        <v>11404</v>
      </c>
    </row>
    <row r="18327">
      <c r="A18327" s="39"/>
      <c r="E18327" s="40" t="s">
        <v>11404</v>
      </c>
      <c r="F18327" s="40" t="s">
        <v>11404</v>
      </c>
      <c r="G18327" s="40" t="s">
        <v>11404</v>
      </c>
      <c r="H18327" s="40" t="s">
        <v>11404</v>
      </c>
    </row>
    <row r="18328">
      <c r="A18328" s="39"/>
      <c r="E18328" s="40" t="s">
        <v>11404</v>
      </c>
      <c r="F18328" s="40" t="s">
        <v>11404</v>
      </c>
      <c r="G18328" s="40" t="s">
        <v>11404</v>
      </c>
      <c r="H18328" s="40" t="s">
        <v>11404</v>
      </c>
    </row>
    <row r="18329">
      <c r="A18329" s="39"/>
      <c r="E18329" s="40" t="s">
        <v>11404</v>
      </c>
      <c r="F18329" s="40" t="s">
        <v>11404</v>
      </c>
      <c r="G18329" s="40" t="s">
        <v>11404</v>
      </c>
      <c r="H18329" s="40" t="s">
        <v>11404</v>
      </c>
    </row>
    <row r="18330">
      <c r="A18330" s="39"/>
      <c r="E18330" s="40" t="s">
        <v>11404</v>
      </c>
      <c r="F18330" s="40" t="s">
        <v>11404</v>
      </c>
      <c r="G18330" s="40" t="s">
        <v>11404</v>
      </c>
      <c r="H18330" s="40" t="s">
        <v>11404</v>
      </c>
    </row>
    <row r="18331">
      <c r="A18331" s="39"/>
      <c r="E18331" s="40" t="s">
        <v>11404</v>
      </c>
      <c r="F18331" s="40" t="s">
        <v>11404</v>
      </c>
      <c r="G18331" s="40" t="s">
        <v>11404</v>
      </c>
      <c r="H18331" s="40" t="s">
        <v>11404</v>
      </c>
    </row>
    <row r="18332">
      <c r="A18332" s="39"/>
      <c r="E18332" s="40" t="s">
        <v>11404</v>
      </c>
      <c r="F18332" s="40" t="s">
        <v>11404</v>
      </c>
      <c r="G18332" s="40" t="s">
        <v>11404</v>
      </c>
      <c r="H18332" s="40" t="s">
        <v>11404</v>
      </c>
    </row>
    <row r="18333">
      <c r="A18333" s="39"/>
      <c r="E18333" s="40" t="s">
        <v>11404</v>
      </c>
      <c r="F18333" s="40" t="s">
        <v>11404</v>
      </c>
      <c r="G18333" s="40" t="s">
        <v>11404</v>
      </c>
      <c r="H18333" s="40" t="s">
        <v>11404</v>
      </c>
    </row>
    <row r="18334">
      <c r="A18334" s="39"/>
      <c r="E18334" s="40" t="s">
        <v>11404</v>
      </c>
      <c r="F18334" s="40" t="s">
        <v>11404</v>
      </c>
      <c r="G18334" s="40" t="s">
        <v>11404</v>
      </c>
      <c r="H18334" s="40" t="s">
        <v>11404</v>
      </c>
    </row>
    <row r="18335">
      <c r="A18335" s="39"/>
      <c r="E18335" s="40" t="s">
        <v>11404</v>
      </c>
      <c r="F18335" s="40" t="s">
        <v>11404</v>
      </c>
      <c r="G18335" s="40" t="s">
        <v>11404</v>
      </c>
      <c r="H18335" s="40" t="s">
        <v>11404</v>
      </c>
    </row>
    <row r="18336">
      <c r="A18336" s="39"/>
      <c r="E18336" s="40" t="s">
        <v>11404</v>
      </c>
      <c r="F18336" s="40" t="s">
        <v>11404</v>
      </c>
      <c r="G18336" s="40" t="s">
        <v>11404</v>
      </c>
      <c r="H18336" s="40" t="s">
        <v>11404</v>
      </c>
    </row>
    <row r="18337">
      <c r="A18337" s="39"/>
      <c r="E18337" s="40" t="s">
        <v>11404</v>
      </c>
      <c r="F18337" s="40" t="s">
        <v>11404</v>
      </c>
      <c r="G18337" s="40" t="s">
        <v>11404</v>
      </c>
      <c r="H18337" s="40" t="s">
        <v>11404</v>
      </c>
    </row>
    <row r="18338">
      <c r="A18338" s="39"/>
      <c r="E18338" s="40" t="s">
        <v>11404</v>
      </c>
      <c r="F18338" s="40" t="s">
        <v>11404</v>
      </c>
      <c r="G18338" s="40" t="s">
        <v>11404</v>
      </c>
      <c r="H18338" s="40" t="s">
        <v>11404</v>
      </c>
    </row>
    <row r="18339">
      <c r="A18339" s="39"/>
      <c r="E18339" s="40" t="s">
        <v>11404</v>
      </c>
      <c r="F18339" s="40" t="s">
        <v>11404</v>
      </c>
      <c r="G18339" s="40" t="s">
        <v>11404</v>
      </c>
      <c r="H18339" s="40" t="s">
        <v>11404</v>
      </c>
    </row>
    <row r="18340">
      <c r="A18340" s="39"/>
      <c r="E18340" s="40" t="s">
        <v>11404</v>
      </c>
      <c r="F18340" s="40" t="s">
        <v>11404</v>
      </c>
      <c r="G18340" s="40" t="s">
        <v>11404</v>
      </c>
      <c r="H18340" s="40" t="s">
        <v>11404</v>
      </c>
    </row>
    <row r="18341">
      <c r="A18341" s="39"/>
      <c r="E18341" s="40" t="s">
        <v>11404</v>
      </c>
      <c r="F18341" s="40" t="s">
        <v>11404</v>
      </c>
      <c r="G18341" s="40" t="s">
        <v>11404</v>
      </c>
      <c r="H18341" s="40" t="s">
        <v>11404</v>
      </c>
    </row>
    <row r="18342">
      <c r="A18342" s="39"/>
      <c r="E18342" s="40" t="s">
        <v>11404</v>
      </c>
      <c r="F18342" s="40" t="s">
        <v>11404</v>
      </c>
      <c r="G18342" s="40" t="s">
        <v>11404</v>
      </c>
      <c r="H18342" s="40" t="s">
        <v>11404</v>
      </c>
    </row>
    <row r="18343">
      <c r="A18343" s="39"/>
      <c r="E18343" s="40" t="s">
        <v>11404</v>
      </c>
      <c r="F18343" s="40" t="s">
        <v>11404</v>
      </c>
      <c r="G18343" s="40" t="s">
        <v>11404</v>
      </c>
      <c r="H18343" s="40" t="s">
        <v>11404</v>
      </c>
    </row>
    <row r="18344">
      <c r="A18344" s="39"/>
      <c r="E18344" s="40" t="s">
        <v>11404</v>
      </c>
      <c r="F18344" s="40" t="s">
        <v>11404</v>
      </c>
      <c r="G18344" s="40" t="s">
        <v>11404</v>
      </c>
      <c r="H18344" s="40" t="s">
        <v>11404</v>
      </c>
    </row>
    <row r="18345">
      <c r="A18345" s="39"/>
      <c r="E18345" s="40" t="s">
        <v>11404</v>
      </c>
      <c r="F18345" s="40" t="s">
        <v>11404</v>
      </c>
      <c r="G18345" s="40" t="s">
        <v>11404</v>
      </c>
      <c r="H18345" s="40" t="s">
        <v>11404</v>
      </c>
    </row>
    <row r="18346">
      <c r="A18346" s="39"/>
      <c r="E18346" s="40" t="s">
        <v>11404</v>
      </c>
      <c r="F18346" s="40" t="s">
        <v>11404</v>
      </c>
      <c r="G18346" s="40" t="s">
        <v>11404</v>
      </c>
      <c r="H18346" s="40" t="s">
        <v>11404</v>
      </c>
    </row>
    <row r="18347">
      <c r="A18347" s="39"/>
      <c r="E18347" s="40" t="s">
        <v>11404</v>
      </c>
      <c r="F18347" s="40" t="s">
        <v>11404</v>
      </c>
      <c r="G18347" s="40" t="s">
        <v>11404</v>
      </c>
      <c r="H18347" s="40" t="s">
        <v>11404</v>
      </c>
    </row>
    <row r="18348">
      <c r="A18348" s="39"/>
      <c r="E18348" s="40" t="s">
        <v>11404</v>
      </c>
      <c r="F18348" s="40" t="s">
        <v>11404</v>
      </c>
      <c r="G18348" s="40" t="s">
        <v>11404</v>
      </c>
      <c r="H18348" s="40" t="s">
        <v>11404</v>
      </c>
    </row>
    <row r="18349">
      <c r="A18349" s="39"/>
      <c r="E18349" s="40" t="s">
        <v>11404</v>
      </c>
      <c r="F18349" s="40" t="s">
        <v>11404</v>
      </c>
      <c r="G18349" s="40" t="s">
        <v>11404</v>
      </c>
      <c r="H18349" s="40" t="s">
        <v>11404</v>
      </c>
    </row>
    <row r="18350">
      <c r="A18350" s="39"/>
      <c r="E18350" s="40" t="s">
        <v>11404</v>
      </c>
      <c r="F18350" s="40" t="s">
        <v>11404</v>
      </c>
      <c r="G18350" s="40" t="s">
        <v>11404</v>
      </c>
      <c r="H18350" s="40" t="s">
        <v>11404</v>
      </c>
    </row>
    <row r="18351">
      <c r="A18351" s="39"/>
      <c r="E18351" s="40" t="s">
        <v>11404</v>
      </c>
      <c r="F18351" s="40" t="s">
        <v>11404</v>
      </c>
      <c r="G18351" s="40" t="s">
        <v>11404</v>
      </c>
      <c r="H18351" s="40" t="s">
        <v>11404</v>
      </c>
    </row>
    <row r="18352">
      <c r="A18352" s="39"/>
      <c r="E18352" s="40" t="s">
        <v>11404</v>
      </c>
      <c r="F18352" s="40" t="s">
        <v>11404</v>
      </c>
      <c r="G18352" s="40" t="s">
        <v>11404</v>
      </c>
      <c r="H18352" s="40" t="s">
        <v>11404</v>
      </c>
    </row>
    <row r="18353">
      <c r="A18353" s="39"/>
      <c r="E18353" s="40" t="s">
        <v>11404</v>
      </c>
      <c r="F18353" s="40" t="s">
        <v>11404</v>
      </c>
      <c r="G18353" s="40" t="s">
        <v>11404</v>
      </c>
      <c r="H18353" s="40" t="s">
        <v>11404</v>
      </c>
    </row>
    <row r="18354">
      <c r="A18354" s="39"/>
      <c r="E18354" s="40" t="s">
        <v>11404</v>
      </c>
      <c r="F18354" s="40" t="s">
        <v>11404</v>
      </c>
      <c r="G18354" s="40" t="s">
        <v>11404</v>
      </c>
      <c r="H18354" s="40" t="s">
        <v>11404</v>
      </c>
    </row>
    <row r="18355">
      <c r="A18355" s="39"/>
      <c r="E18355" s="40" t="s">
        <v>11404</v>
      </c>
      <c r="F18355" s="40" t="s">
        <v>11404</v>
      </c>
      <c r="G18355" s="40" t="s">
        <v>11404</v>
      </c>
      <c r="H18355" s="40" t="s">
        <v>11404</v>
      </c>
    </row>
    <row r="18356">
      <c r="A18356" s="39"/>
      <c r="E18356" s="40" t="s">
        <v>11404</v>
      </c>
      <c r="F18356" s="40" t="s">
        <v>11404</v>
      </c>
      <c r="G18356" s="40" t="s">
        <v>11404</v>
      </c>
      <c r="H18356" s="40" t="s">
        <v>11404</v>
      </c>
    </row>
    <row r="18357">
      <c r="A18357" s="39"/>
      <c r="E18357" s="40" t="s">
        <v>11404</v>
      </c>
      <c r="F18357" s="40" t="s">
        <v>11404</v>
      </c>
      <c r="G18357" s="40" t="s">
        <v>11404</v>
      </c>
      <c r="H18357" s="40" t="s">
        <v>11404</v>
      </c>
    </row>
    <row r="18358">
      <c r="A18358" s="39"/>
      <c r="E18358" s="40" t="s">
        <v>11404</v>
      </c>
      <c r="F18358" s="40" t="s">
        <v>11404</v>
      </c>
      <c r="G18358" s="40" t="s">
        <v>11404</v>
      </c>
      <c r="H18358" s="40" t="s">
        <v>11404</v>
      </c>
    </row>
    <row r="18359">
      <c r="A18359" s="39"/>
      <c r="E18359" s="40" t="s">
        <v>11404</v>
      </c>
      <c r="F18359" s="40" t="s">
        <v>11404</v>
      </c>
      <c r="G18359" s="40" t="s">
        <v>11404</v>
      </c>
      <c r="H18359" s="40" t="s">
        <v>11404</v>
      </c>
    </row>
    <row r="18360">
      <c r="A18360" s="39"/>
      <c r="E18360" s="40" t="s">
        <v>11404</v>
      </c>
      <c r="F18360" s="40" t="s">
        <v>11404</v>
      </c>
      <c r="G18360" s="40" t="s">
        <v>11404</v>
      </c>
      <c r="H18360" s="40" t="s">
        <v>11404</v>
      </c>
    </row>
    <row r="18361">
      <c r="A18361" s="39"/>
      <c r="E18361" s="40" t="s">
        <v>11404</v>
      </c>
      <c r="F18361" s="40" t="s">
        <v>11404</v>
      </c>
      <c r="G18361" s="40" t="s">
        <v>11404</v>
      </c>
      <c r="H18361" s="40" t="s">
        <v>11404</v>
      </c>
    </row>
    <row r="18362">
      <c r="A18362" s="39"/>
      <c r="E18362" s="40" t="s">
        <v>11404</v>
      </c>
      <c r="F18362" s="40" t="s">
        <v>11404</v>
      </c>
      <c r="G18362" s="40" t="s">
        <v>11404</v>
      </c>
      <c r="H18362" s="40" t="s">
        <v>11404</v>
      </c>
    </row>
    <row r="18363">
      <c r="A18363" s="39"/>
      <c r="E18363" s="40" t="s">
        <v>11404</v>
      </c>
      <c r="F18363" s="40" t="s">
        <v>11404</v>
      </c>
      <c r="G18363" s="40" t="s">
        <v>11404</v>
      </c>
      <c r="H18363" s="40" t="s">
        <v>11404</v>
      </c>
    </row>
    <row r="18364">
      <c r="A18364" s="39"/>
      <c r="E18364" s="40" t="s">
        <v>11404</v>
      </c>
      <c r="F18364" s="40" t="s">
        <v>11404</v>
      </c>
      <c r="G18364" s="40" t="s">
        <v>11404</v>
      </c>
      <c r="H18364" s="40" t="s">
        <v>11404</v>
      </c>
    </row>
    <row r="18365">
      <c r="A18365" s="39"/>
      <c r="E18365" s="40" t="s">
        <v>11404</v>
      </c>
      <c r="F18365" s="40" t="s">
        <v>11404</v>
      </c>
      <c r="G18365" s="40" t="s">
        <v>11404</v>
      </c>
      <c r="H18365" s="40" t="s">
        <v>11404</v>
      </c>
    </row>
    <row r="18366">
      <c r="A18366" s="39"/>
      <c r="E18366" s="40" t="s">
        <v>11404</v>
      </c>
      <c r="F18366" s="40" t="s">
        <v>11404</v>
      </c>
      <c r="G18366" s="40" t="s">
        <v>11404</v>
      </c>
      <c r="H18366" s="40" t="s">
        <v>11404</v>
      </c>
    </row>
    <row r="18367">
      <c r="A18367" s="39"/>
      <c r="E18367" s="40" t="s">
        <v>11404</v>
      </c>
      <c r="F18367" s="40" t="s">
        <v>11404</v>
      </c>
      <c r="G18367" s="40" t="s">
        <v>11404</v>
      </c>
      <c r="H18367" s="40" t="s">
        <v>11404</v>
      </c>
    </row>
    <row r="18368">
      <c r="A18368" s="39"/>
      <c r="E18368" s="40" t="s">
        <v>11404</v>
      </c>
      <c r="F18368" s="40" t="s">
        <v>11404</v>
      </c>
      <c r="G18368" s="40" t="s">
        <v>11404</v>
      </c>
      <c r="H18368" s="40" t="s">
        <v>11404</v>
      </c>
    </row>
    <row r="18369">
      <c r="A18369" s="39"/>
      <c r="E18369" s="40" t="s">
        <v>11404</v>
      </c>
      <c r="F18369" s="40" t="s">
        <v>11404</v>
      </c>
      <c r="G18369" s="40" t="s">
        <v>11404</v>
      </c>
      <c r="H18369" s="40" t="s">
        <v>11404</v>
      </c>
    </row>
    <row r="18370">
      <c r="A18370" s="39"/>
      <c r="E18370" s="40" t="s">
        <v>11404</v>
      </c>
      <c r="F18370" s="40" t="s">
        <v>11404</v>
      </c>
      <c r="G18370" s="40" t="s">
        <v>11404</v>
      </c>
      <c r="H18370" s="40" t="s">
        <v>11404</v>
      </c>
    </row>
    <row r="18371">
      <c r="A18371" s="39"/>
      <c r="E18371" s="40" t="s">
        <v>11404</v>
      </c>
      <c r="F18371" s="40" t="s">
        <v>11404</v>
      </c>
      <c r="G18371" s="40" t="s">
        <v>11404</v>
      </c>
      <c r="H18371" s="40" t="s">
        <v>11404</v>
      </c>
    </row>
    <row r="18372">
      <c r="A18372" s="39"/>
      <c r="E18372" s="40" t="s">
        <v>11404</v>
      </c>
      <c r="F18372" s="40" t="s">
        <v>11404</v>
      </c>
      <c r="G18372" s="40" t="s">
        <v>11404</v>
      </c>
      <c r="H18372" s="40" t="s">
        <v>11404</v>
      </c>
    </row>
    <row r="18373">
      <c r="A18373" s="39"/>
      <c r="E18373" s="40" t="s">
        <v>11404</v>
      </c>
      <c r="F18373" s="40" t="s">
        <v>11404</v>
      </c>
      <c r="G18373" s="40" t="s">
        <v>11404</v>
      </c>
      <c r="H18373" s="40" t="s">
        <v>11404</v>
      </c>
    </row>
    <row r="18374">
      <c r="A18374" s="39"/>
      <c r="E18374" s="40" t="s">
        <v>11404</v>
      </c>
      <c r="F18374" s="40" t="s">
        <v>11404</v>
      </c>
      <c r="G18374" s="40" t="s">
        <v>11404</v>
      </c>
      <c r="H18374" s="40" t="s">
        <v>11404</v>
      </c>
    </row>
    <row r="18375">
      <c r="A18375" s="39"/>
      <c r="E18375" s="40" t="s">
        <v>11404</v>
      </c>
      <c r="F18375" s="40" t="s">
        <v>11404</v>
      </c>
      <c r="G18375" s="40" t="s">
        <v>11404</v>
      </c>
      <c r="H18375" s="40" t="s">
        <v>11404</v>
      </c>
    </row>
    <row r="18376">
      <c r="A18376" s="39"/>
      <c r="E18376" s="40" t="s">
        <v>11404</v>
      </c>
      <c r="F18376" s="40" t="s">
        <v>11404</v>
      </c>
      <c r="G18376" s="40" t="s">
        <v>11404</v>
      </c>
      <c r="H18376" s="40" t="s">
        <v>11404</v>
      </c>
    </row>
    <row r="18377">
      <c r="A18377" s="39"/>
      <c r="E18377" s="40" t="s">
        <v>11404</v>
      </c>
      <c r="F18377" s="40" t="s">
        <v>11404</v>
      </c>
      <c r="G18377" s="40" t="s">
        <v>11404</v>
      </c>
      <c r="H18377" s="40" t="s">
        <v>11404</v>
      </c>
    </row>
    <row r="18378">
      <c r="A18378" s="39"/>
      <c r="E18378" s="40" t="s">
        <v>11404</v>
      </c>
      <c r="F18378" s="40" t="s">
        <v>11404</v>
      </c>
      <c r="G18378" s="40" t="s">
        <v>11404</v>
      </c>
      <c r="H18378" s="40" t="s">
        <v>11404</v>
      </c>
    </row>
    <row r="18379">
      <c r="A18379" s="39"/>
      <c r="E18379" s="40" t="s">
        <v>11404</v>
      </c>
      <c r="F18379" s="40" t="s">
        <v>11404</v>
      </c>
      <c r="G18379" s="40" t="s">
        <v>11404</v>
      </c>
      <c r="H18379" s="40" t="s">
        <v>11404</v>
      </c>
    </row>
    <row r="18380">
      <c r="A18380" s="39"/>
      <c r="E18380" s="40" t="s">
        <v>11404</v>
      </c>
      <c r="F18380" s="40" t="s">
        <v>11404</v>
      </c>
      <c r="G18380" s="40" t="s">
        <v>11404</v>
      </c>
      <c r="H18380" s="40" t="s">
        <v>11404</v>
      </c>
    </row>
    <row r="18381">
      <c r="A18381" s="39"/>
      <c r="E18381" s="40" t="s">
        <v>11404</v>
      </c>
      <c r="F18381" s="40" t="s">
        <v>11404</v>
      </c>
      <c r="G18381" s="40" t="s">
        <v>11404</v>
      </c>
      <c r="H18381" s="40" t="s">
        <v>11404</v>
      </c>
    </row>
    <row r="18382">
      <c r="A18382" s="39"/>
      <c r="E18382" s="40" t="s">
        <v>11404</v>
      </c>
      <c r="F18382" s="40" t="s">
        <v>11404</v>
      </c>
      <c r="G18382" s="40" t="s">
        <v>11404</v>
      </c>
      <c r="H18382" s="40" t="s">
        <v>11404</v>
      </c>
    </row>
    <row r="18383">
      <c r="A18383" s="39"/>
      <c r="E18383" s="40" t="s">
        <v>11404</v>
      </c>
      <c r="F18383" s="40" t="s">
        <v>11404</v>
      </c>
      <c r="G18383" s="40" t="s">
        <v>11404</v>
      </c>
      <c r="H18383" s="40" t="s">
        <v>11404</v>
      </c>
    </row>
    <row r="18384">
      <c r="A18384" s="39"/>
      <c r="E18384" s="40" t="s">
        <v>11404</v>
      </c>
      <c r="F18384" s="40" t="s">
        <v>11404</v>
      </c>
      <c r="G18384" s="40" t="s">
        <v>11404</v>
      </c>
      <c r="H18384" s="40" t="s">
        <v>11404</v>
      </c>
    </row>
    <row r="18385">
      <c r="A18385" s="39"/>
      <c r="E18385" s="40" t="s">
        <v>11404</v>
      </c>
      <c r="F18385" s="40" t="s">
        <v>11404</v>
      </c>
      <c r="G18385" s="40" t="s">
        <v>11404</v>
      </c>
      <c r="H18385" s="40" t="s">
        <v>11404</v>
      </c>
    </row>
    <row r="18386">
      <c r="A18386" s="39"/>
      <c r="E18386" s="40" t="s">
        <v>11404</v>
      </c>
      <c r="F18386" s="40" t="s">
        <v>11404</v>
      </c>
      <c r="G18386" s="40" t="s">
        <v>11404</v>
      </c>
      <c r="H18386" s="40" t="s">
        <v>11404</v>
      </c>
    </row>
    <row r="18387">
      <c r="A18387" s="39"/>
      <c r="E18387" s="40" t="s">
        <v>11404</v>
      </c>
      <c r="F18387" s="40" t="s">
        <v>11404</v>
      </c>
      <c r="G18387" s="40" t="s">
        <v>11404</v>
      </c>
      <c r="H18387" s="40" t="s">
        <v>11404</v>
      </c>
    </row>
    <row r="18388">
      <c r="A18388" s="39"/>
      <c r="E18388" s="40" t="s">
        <v>11404</v>
      </c>
      <c r="F18388" s="40" t="s">
        <v>11404</v>
      </c>
      <c r="G18388" s="40" t="s">
        <v>11404</v>
      </c>
      <c r="H18388" s="40" t="s">
        <v>11404</v>
      </c>
    </row>
    <row r="18389">
      <c r="A18389" s="39"/>
      <c r="E18389" s="40" t="s">
        <v>11404</v>
      </c>
      <c r="F18389" s="40" t="s">
        <v>11404</v>
      </c>
      <c r="G18389" s="40" t="s">
        <v>11404</v>
      </c>
      <c r="H18389" s="40" t="s">
        <v>11404</v>
      </c>
    </row>
    <row r="18390">
      <c r="A18390" s="39"/>
      <c r="E18390" s="40" t="s">
        <v>11404</v>
      </c>
      <c r="F18390" s="40" t="s">
        <v>11404</v>
      </c>
      <c r="G18390" s="40" t="s">
        <v>11404</v>
      </c>
      <c r="H18390" s="40" t="s">
        <v>11404</v>
      </c>
    </row>
    <row r="18391">
      <c r="A18391" s="39"/>
      <c r="E18391" s="40" t="s">
        <v>11404</v>
      </c>
      <c r="F18391" s="40" t="s">
        <v>11404</v>
      </c>
      <c r="G18391" s="40" t="s">
        <v>11404</v>
      </c>
      <c r="H18391" s="40" t="s">
        <v>11404</v>
      </c>
    </row>
    <row r="18392">
      <c r="A18392" s="39"/>
      <c r="E18392" s="40" t="s">
        <v>11404</v>
      </c>
      <c r="F18392" s="40" t="s">
        <v>11404</v>
      </c>
      <c r="G18392" s="40" t="s">
        <v>11404</v>
      </c>
      <c r="H18392" s="40" t="s">
        <v>11404</v>
      </c>
    </row>
    <row r="18393">
      <c r="A18393" s="39"/>
      <c r="E18393" s="40" t="s">
        <v>11404</v>
      </c>
      <c r="F18393" s="40" t="s">
        <v>11404</v>
      </c>
      <c r="G18393" s="40" t="s">
        <v>11404</v>
      </c>
      <c r="H18393" s="40" t="s">
        <v>11404</v>
      </c>
    </row>
    <row r="18394">
      <c r="A18394" s="39"/>
      <c r="E18394" s="40" t="s">
        <v>11404</v>
      </c>
      <c r="F18394" s="40" t="s">
        <v>11404</v>
      </c>
      <c r="G18394" s="40" t="s">
        <v>11404</v>
      </c>
      <c r="H18394" s="40" t="s">
        <v>11404</v>
      </c>
    </row>
    <row r="18395">
      <c r="A18395" s="39"/>
      <c r="E18395" s="40" t="s">
        <v>11404</v>
      </c>
      <c r="F18395" s="40" t="s">
        <v>11404</v>
      </c>
      <c r="G18395" s="40" t="s">
        <v>11404</v>
      </c>
      <c r="H18395" s="40" t="s">
        <v>11404</v>
      </c>
    </row>
    <row r="18396">
      <c r="A18396" s="39"/>
      <c r="E18396" s="40" t="s">
        <v>11404</v>
      </c>
      <c r="F18396" s="40" t="s">
        <v>11404</v>
      </c>
      <c r="G18396" s="40" t="s">
        <v>11404</v>
      </c>
      <c r="H18396" s="40" t="s">
        <v>11404</v>
      </c>
    </row>
    <row r="18397">
      <c r="A18397" s="39"/>
      <c r="E18397" s="40" t="s">
        <v>11404</v>
      </c>
      <c r="F18397" s="40" t="s">
        <v>11404</v>
      </c>
      <c r="G18397" s="40" t="s">
        <v>11404</v>
      </c>
      <c r="H18397" s="40" t="s">
        <v>11404</v>
      </c>
    </row>
    <row r="18398">
      <c r="A18398" s="39"/>
      <c r="E18398" s="40" t="s">
        <v>11404</v>
      </c>
      <c r="F18398" s="40" t="s">
        <v>11404</v>
      </c>
      <c r="G18398" s="40" t="s">
        <v>11404</v>
      </c>
      <c r="H18398" s="40" t="s">
        <v>11404</v>
      </c>
    </row>
    <row r="18399">
      <c r="A18399" s="39"/>
      <c r="E18399" s="40" t="s">
        <v>11404</v>
      </c>
      <c r="F18399" s="40" t="s">
        <v>11404</v>
      </c>
      <c r="G18399" s="40" t="s">
        <v>11404</v>
      </c>
      <c r="H18399" s="40" t="s">
        <v>11404</v>
      </c>
    </row>
    <row r="18400">
      <c r="A18400" s="39"/>
      <c r="E18400" s="40" t="s">
        <v>11404</v>
      </c>
      <c r="F18400" s="40" t="s">
        <v>11404</v>
      </c>
      <c r="G18400" s="40" t="s">
        <v>11404</v>
      </c>
      <c r="H18400" s="40" t="s">
        <v>11404</v>
      </c>
    </row>
    <row r="18401">
      <c r="A18401" s="39"/>
      <c r="E18401" s="40" t="s">
        <v>11404</v>
      </c>
      <c r="F18401" s="40" t="s">
        <v>11404</v>
      </c>
      <c r="G18401" s="40" t="s">
        <v>11404</v>
      </c>
      <c r="H18401" s="40" t="s">
        <v>11404</v>
      </c>
    </row>
    <row r="18402">
      <c r="A18402" s="39"/>
      <c r="E18402" s="40" t="s">
        <v>11404</v>
      </c>
      <c r="F18402" s="40" t="s">
        <v>11404</v>
      </c>
      <c r="G18402" s="40" t="s">
        <v>11404</v>
      </c>
      <c r="H18402" s="40" t="s">
        <v>11404</v>
      </c>
    </row>
    <row r="18403">
      <c r="A18403" s="39"/>
      <c r="E18403" s="40" t="s">
        <v>11404</v>
      </c>
      <c r="F18403" s="40" t="s">
        <v>11404</v>
      </c>
      <c r="G18403" s="40" t="s">
        <v>11404</v>
      </c>
      <c r="H18403" s="40" t="s">
        <v>11404</v>
      </c>
    </row>
    <row r="18404">
      <c r="A18404" s="39"/>
      <c r="E18404" s="40" t="s">
        <v>11404</v>
      </c>
      <c r="F18404" s="40" t="s">
        <v>11404</v>
      </c>
      <c r="G18404" s="40" t="s">
        <v>11404</v>
      </c>
      <c r="H18404" s="40" t="s">
        <v>11404</v>
      </c>
    </row>
    <row r="18405">
      <c r="A18405" s="39"/>
      <c r="E18405" s="40" t="s">
        <v>11404</v>
      </c>
      <c r="F18405" s="40" t="s">
        <v>11404</v>
      </c>
      <c r="G18405" s="40" t="s">
        <v>11404</v>
      </c>
      <c r="H18405" s="40" t="s">
        <v>11404</v>
      </c>
    </row>
    <row r="18406">
      <c r="A18406" s="39"/>
      <c r="E18406" s="40" t="s">
        <v>11404</v>
      </c>
      <c r="F18406" s="40" t="s">
        <v>11404</v>
      </c>
      <c r="G18406" s="40" t="s">
        <v>11404</v>
      </c>
      <c r="H18406" s="40" t="s">
        <v>11404</v>
      </c>
    </row>
    <row r="18407">
      <c r="A18407" s="39"/>
      <c r="E18407" s="40" t="s">
        <v>11404</v>
      </c>
      <c r="F18407" s="40" t="s">
        <v>11404</v>
      </c>
      <c r="G18407" s="40" t="s">
        <v>11404</v>
      </c>
      <c r="H18407" s="40" t="s">
        <v>11404</v>
      </c>
    </row>
    <row r="18408">
      <c r="A18408" s="39"/>
      <c r="E18408" s="40" t="s">
        <v>11404</v>
      </c>
      <c r="F18408" s="40" t="s">
        <v>11404</v>
      </c>
      <c r="G18408" s="40" t="s">
        <v>11404</v>
      </c>
      <c r="H18408" s="40" t="s">
        <v>11404</v>
      </c>
    </row>
    <row r="18409">
      <c r="A18409" s="39"/>
      <c r="E18409" s="40" t="s">
        <v>11404</v>
      </c>
      <c r="F18409" s="40" t="s">
        <v>11404</v>
      </c>
      <c r="G18409" s="40" t="s">
        <v>11404</v>
      </c>
      <c r="H18409" s="40" t="s">
        <v>11404</v>
      </c>
    </row>
    <row r="18410">
      <c r="A18410" s="39"/>
      <c r="E18410" s="40" t="s">
        <v>11404</v>
      </c>
      <c r="F18410" s="40" t="s">
        <v>11404</v>
      </c>
      <c r="G18410" s="40" t="s">
        <v>11404</v>
      </c>
      <c r="H18410" s="40" t="s">
        <v>11404</v>
      </c>
    </row>
    <row r="18411">
      <c r="A18411" s="39"/>
      <c r="E18411" s="40" t="s">
        <v>11404</v>
      </c>
      <c r="F18411" s="40" t="s">
        <v>11404</v>
      </c>
      <c r="G18411" s="40" t="s">
        <v>11404</v>
      </c>
      <c r="H18411" s="40" t="s">
        <v>11404</v>
      </c>
    </row>
    <row r="18412">
      <c r="A18412" s="39"/>
      <c r="E18412" s="40" t="s">
        <v>11404</v>
      </c>
      <c r="F18412" s="40" t="s">
        <v>11404</v>
      </c>
      <c r="G18412" s="40" t="s">
        <v>11404</v>
      </c>
      <c r="H18412" s="40" t="s">
        <v>11404</v>
      </c>
    </row>
    <row r="18413">
      <c r="A18413" s="39"/>
      <c r="E18413" s="40" t="s">
        <v>11404</v>
      </c>
      <c r="F18413" s="40" t="s">
        <v>11404</v>
      </c>
      <c r="G18413" s="40" t="s">
        <v>11404</v>
      </c>
      <c r="H18413" s="40" t="s">
        <v>11404</v>
      </c>
    </row>
    <row r="18414">
      <c r="A18414" s="39"/>
      <c r="E18414" s="40" t="s">
        <v>11404</v>
      </c>
      <c r="F18414" s="40" t="s">
        <v>11404</v>
      </c>
      <c r="G18414" s="40" t="s">
        <v>11404</v>
      </c>
      <c r="H18414" s="40" t="s">
        <v>11404</v>
      </c>
    </row>
    <row r="18415">
      <c r="A18415" s="39"/>
      <c r="E18415" s="40" t="s">
        <v>11404</v>
      </c>
      <c r="F18415" s="40" t="s">
        <v>11404</v>
      </c>
      <c r="G18415" s="40" t="s">
        <v>11404</v>
      </c>
      <c r="H18415" s="40" t="s">
        <v>11404</v>
      </c>
    </row>
    <row r="18416">
      <c r="A18416" s="39"/>
      <c r="E18416" s="40" t="s">
        <v>11404</v>
      </c>
      <c r="F18416" s="40" t="s">
        <v>11404</v>
      </c>
      <c r="G18416" s="40" t="s">
        <v>11404</v>
      </c>
      <c r="H18416" s="40" t="s">
        <v>11404</v>
      </c>
    </row>
    <row r="18417">
      <c r="A18417" s="39"/>
      <c r="E18417" s="40" t="s">
        <v>11404</v>
      </c>
      <c r="F18417" s="40" t="s">
        <v>11404</v>
      </c>
      <c r="G18417" s="40" t="s">
        <v>11404</v>
      </c>
      <c r="H18417" s="40" t="s">
        <v>11404</v>
      </c>
    </row>
    <row r="18418">
      <c r="A18418" s="39"/>
      <c r="E18418" s="40" t="s">
        <v>11404</v>
      </c>
      <c r="F18418" s="40" t="s">
        <v>11404</v>
      </c>
      <c r="G18418" s="40" t="s">
        <v>11404</v>
      </c>
      <c r="H18418" s="40" t="s">
        <v>11404</v>
      </c>
    </row>
    <row r="18419">
      <c r="A18419" s="39"/>
      <c r="E18419" s="40" t="s">
        <v>11404</v>
      </c>
      <c r="F18419" s="40" t="s">
        <v>11404</v>
      </c>
      <c r="G18419" s="40" t="s">
        <v>11404</v>
      </c>
      <c r="H18419" s="40" t="s">
        <v>11404</v>
      </c>
    </row>
    <row r="18420">
      <c r="A18420" s="39"/>
      <c r="E18420" s="40" t="s">
        <v>11404</v>
      </c>
      <c r="F18420" s="40" t="s">
        <v>11404</v>
      </c>
      <c r="G18420" s="40" t="s">
        <v>11404</v>
      </c>
      <c r="H18420" s="40" t="s">
        <v>11404</v>
      </c>
    </row>
    <row r="18421">
      <c r="A18421" s="39"/>
      <c r="E18421" s="40" t="s">
        <v>11404</v>
      </c>
      <c r="F18421" s="40" t="s">
        <v>11404</v>
      </c>
      <c r="G18421" s="40" t="s">
        <v>11404</v>
      </c>
      <c r="H18421" s="40" t="s">
        <v>11404</v>
      </c>
    </row>
    <row r="18422">
      <c r="A18422" s="39"/>
      <c r="E18422" s="40" t="s">
        <v>11404</v>
      </c>
      <c r="F18422" s="40" t="s">
        <v>11404</v>
      </c>
      <c r="G18422" s="40" t="s">
        <v>11404</v>
      </c>
      <c r="H18422" s="40" t="s">
        <v>11404</v>
      </c>
    </row>
    <row r="18423">
      <c r="A18423" s="39"/>
      <c r="E18423" s="40" t="s">
        <v>11404</v>
      </c>
      <c r="F18423" s="40" t="s">
        <v>11404</v>
      </c>
      <c r="G18423" s="40" t="s">
        <v>11404</v>
      </c>
      <c r="H18423" s="40" t="s">
        <v>11404</v>
      </c>
    </row>
    <row r="18424">
      <c r="A18424" s="39"/>
      <c r="E18424" s="40" t="s">
        <v>11404</v>
      </c>
      <c r="F18424" s="40" t="s">
        <v>11404</v>
      </c>
      <c r="G18424" s="40" t="s">
        <v>11404</v>
      </c>
      <c r="H18424" s="40" t="s">
        <v>11404</v>
      </c>
    </row>
    <row r="18425">
      <c r="A18425" s="39"/>
      <c r="E18425" s="40" t="s">
        <v>11404</v>
      </c>
      <c r="F18425" s="40" t="s">
        <v>11404</v>
      </c>
      <c r="G18425" s="40" t="s">
        <v>11404</v>
      </c>
      <c r="H18425" s="40" t="s">
        <v>11404</v>
      </c>
    </row>
    <row r="18426">
      <c r="A18426" s="39"/>
      <c r="E18426" s="40" t="s">
        <v>11404</v>
      </c>
      <c r="F18426" s="40" t="s">
        <v>11404</v>
      </c>
      <c r="G18426" s="40" t="s">
        <v>11404</v>
      </c>
      <c r="H18426" s="40" t="s">
        <v>11404</v>
      </c>
    </row>
    <row r="18427">
      <c r="A18427" s="39"/>
      <c r="E18427" s="40" t="s">
        <v>11404</v>
      </c>
      <c r="F18427" s="40" t="s">
        <v>11404</v>
      </c>
      <c r="G18427" s="40" t="s">
        <v>11404</v>
      </c>
      <c r="H18427" s="40" t="s">
        <v>11404</v>
      </c>
    </row>
    <row r="18428">
      <c r="A18428" s="39"/>
      <c r="E18428" s="40" t="s">
        <v>11404</v>
      </c>
      <c r="F18428" s="40" t="s">
        <v>11404</v>
      </c>
      <c r="G18428" s="40" t="s">
        <v>11404</v>
      </c>
      <c r="H18428" s="40" t="s">
        <v>11404</v>
      </c>
    </row>
    <row r="18429">
      <c r="A18429" s="39"/>
      <c r="E18429" s="40" t="s">
        <v>11404</v>
      </c>
      <c r="F18429" s="40" t="s">
        <v>11404</v>
      </c>
      <c r="G18429" s="40" t="s">
        <v>11404</v>
      </c>
      <c r="H18429" s="40" t="s">
        <v>11404</v>
      </c>
    </row>
    <row r="18430">
      <c r="A18430" s="39"/>
      <c r="E18430" s="40" t="s">
        <v>11404</v>
      </c>
      <c r="F18430" s="40" t="s">
        <v>11404</v>
      </c>
      <c r="G18430" s="40" t="s">
        <v>11404</v>
      </c>
      <c r="H18430" s="40" t="s">
        <v>11404</v>
      </c>
    </row>
    <row r="18431">
      <c r="A18431" s="39"/>
      <c r="E18431" s="40" t="s">
        <v>11404</v>
      </c>
      <c r="F18431" s="40" t="s">
        <v>11404</v>
      </c>
      <c r="G18431" s="40" t="s">
        <v>11404</v>
      </c>
      <c r="H18431" s="40" t="s">
        <v>11404</v>
      </c>
    </row>
    <row r="18432">
      <c r="A18432" s="39"/>
      <c r="E18432" s="40" t="s">
        <v>11404</v>
      </c>
      <c r="F18432" s="40" t="s">
        <v>11404</v>
      </c>
      <c r="G18432" s="40" t="s">
        <v>11404</v>
      </c>
      <c r="H18432" s="40" t="s">
        <v>11404</v>
      </c>
    </row>
    <row r="18433">
      <c r="A18433" s="39"/>
      <c r="E18433" s="40" t="s">
        <v>11404</v>
      </c>
      <c r="F18433" s="40" t="s">
        <v>11404</v>
      </c>
      <c r="G18433" s="40" t="s">
        <v>11404</v>
      </c>
      <c r="H18433" s="40" t="s">
        <v>11404</v>
      </c>
    </row>
    <row r="18434">
      <c r="A18434" s="39"/>
      <c r="E18434" s="40" t="s">
        <v>11404</v>
      </c>
      <c r="F18434" s="40" t="s">
        <v>11404</v>
      </c>
      <c r="G18434" s="40" t="s">
        <v>11404</v>
      </c>
      <c r="H18434" s="40" t="s">
        <v>11404</v>
      </c>
    </row>
    <row r="18435">
      <c r="A18435" s="39"/>
      <c r="E18435" s="40" t="s">
        <v>11404</v>
      </c>
      <c r="F18435" s="40" t="s">
        <v>11404</v>
      </c>
      <c r="G18435" s="40" t="s">
        <v>11404</v>
      </c>
      <c r="H18435" s="40" t="s">
        <v>11404</v>
      </c>
    </row>
    <row r="18436">
      <c r="A18436" s="39"/>
      <c r="E18436" s="40" t="s">
        <v>11404</v>
      </c>
      <c r="F18436" s="40" t="s">
        <v>11404</v>
      </c>
      <c r="G18436" s="40" t="s">
        <v>11404</v>
      </c>
      <c r="H18436" s="40" t="s">
        <v>11404</v>
      </c>
    </row>
    <row r="18437">
      <c r="A18437" s="39"/>
      <c r="E18437" s="40" t="s">
        <v>11404</v>
      </c>
      <c r="F18437" s="40" t="s">
        <v>11404</v>
      </c>
      <c r="G18437" s="40" t="s">
        <v>11404</v>
      </c>
      <c r="H18437" s="40" t="s">
        <v>11404</v>
      </c>
    </row>
    <row r="18438">
      <c r="A18438" s="39"/>
      <c r="E18438" s="40" t="s">
        <v>11404</v>
      </c>
      <c r="F18438" s="40" t="s">
        <v>11404</v>
      </c>
      <c r="G18438" s="40" t="s">
        <v>11404</v>
      </c>
      <c r="H18438" s="40" t="s">
        <v>11404</v>
      </c>
    </row>
    <row r="18439">
      <c r="A18439" s="39"/>
      <c r="E18439" s="40" t="s">
        <v>11404</v>
      </c>
      <c r="F18439" s="40" t="s">
        <v>11404</v>
      </c>
      <c r="G18439" s="40" t="s">
        <v>11404</v>
      </c>
      <c r="H18439" s="40" t="s">
        <v>11404</v>
      </c>
    </row>
    <row r="18440">
      <c r="A18440" s="39"/>
      <c r="E18440" s="40" t="s">
        <v>11404</v>
      </c>
      <c r="F18440" s="40" t="s">
        <v>11404</v>
      </c>
      <c r="G18440" s="40" t="s">
        <v>11404</v>
      </c>
      <c r="H18440" s="40" t="s">
        <v>11404</v>
      </c>
    </row>
    <row r="18441">
      <c r="A18441" s="39"/>
      <c r="E18441" s="40" t="s">
        <v>11404</v>
      </c>
      <c r="F18441" s="40" t="s">
        <v>11404</v>
      </c>
      <c r="G18441" s="40" t="s">
        <v>11404</v>
      </c>
      <c r="H18441" s="40" t="s">
        <v>11404</v>
      </c>
    </row>
    <row r="18442">
      <c r="A18442" s="39"/>
      <c r="E18442" s="40" t="s">
        <v>11404</v>
      </c>
      <c r="F18442" s="40" t="s">
        <v>11404</v>
      </c>
      <c r="G18442" s="40" t="s">
        <v>11404</v>
      </c>
      <c r="H18442" s="40" t="s">
        <v>11404</v>
      </c>
    </row>
    <row r="18443">
      <c r="A18443" s="39"/>
      <c r="E18443" s="40" t="s">
        <v>11404</v>
      </c>
      <c r="F18443" s="40" t="s">
        <v>11404</v>
      </c>
      <c r="G18443" s="40" t="s">
        <v>11404</v>
      </c>
      <c r="H18443" s="40" t="s">
        <v>11404</v>
      </c>
    </row>
    <row r="18444">
      <c r="A18444" s="39"/>
      <c r="E18444" s="40" t="s">
        <v>11404</v>
      </c>
      <c r="F18444" s="40" t="s">
        <v>11404</v>
      </c>
      <c r="G18444" s="40" t="s">
        <v>11404</v>
      </c>
      <c r="H18444" s="40" t="s">
        <v>11404</v>
      </c>
    </row>
    <row r="18445">
      <c r="A18445" s="39"/>
      <c r="E18445" s="40" t="s">
        <v>11404</v>
      </c>
      <c r="F18445" s="40" t="s">
        <v>11404</v>
      </c>
      <c r="G18445" s="40" t="s">
        <v>11404</v>
      </c>
      <c r="H18445" s="40" t="s">
        <v>11404</v>
      </c>
    </row>
    <row r="18446">
      <c r="A18446" s="39"/>
      <c r="E18446" s="40" t="s">
        <v>11404</v>
      </c>
      <c r="F18446" s="40" t="s">
        <v>11404</v>
      </c>
      <c r="G18446" s="40" t="s">
        <v>11404</v>
      </c>
      <c r="H18446" s="40" t="s">
        <v>11404</v>
      </c>
    </row>
    <row r="18447">
      <c r="A18447" s="39"/>
      <c r="E18447" s="40" t="s">
        <v>11404</v>
      </c>
      <c r="F18447" s="40" t="s">
        <v>11404</v>
      </c>
      <c r="G18447" s="40" t="s">
        <v>11404</v>
      </c>
      <c r="H18447" s="40" t="s">
        <v>11404</v>
      </c>
    </row>
    <row r="18448">
      <c r="A18448" s="39"/>
      <c r="E18448" s="40" t="s">
        <v>11404</v>
      </c>
      <c r="F18448" s="40" t="s">
        <v>11404</v>
      </c>
      <c r="G18448" s="40" t="s">
        <v>11404</v>
      </c>
      <c r="H18448" s="40" t="s">
        <v>11404</v>
      </c>
    </row>
    <row r="18449">
      <c r="A18449" s="39"/>
      <c r="E18449" s="40" t="s">
        <v>11404</v>
      </c>
      <c r="F18449" s="40" t="s">
        <v>11404</v>
      </c>
      <c r="G18449" s="40" t="s">
        <v>11404</v>
      </c>
      <c r="H18449" s="40" t="s">
        <v>11404</v>
      </c>
    </row>
    <row r="18450">
      <c r="A18450" s="39"/>
      <c r="E18450" s="40" t="s">
        <v>11404</v>
      </c>
      <c r="F18450" s="40" t="s">
        <v>11404</v>
      </c>
      <c r="G18450" s="40" t="s">
        <v>11404</v>
      </c>
      <c r="H18450" s="40" t="s">
        <v>11404</v>
      </c>
    </row>
    <row r="18451">
      <c r="A18451" s="39"/>
      <c r="E18451" s="40" t="s">
        <v>11404</v>
      </c>
      <c r="F18451" s="40" t="s">
        <v>11404</v>
      </c>
      <c r="G18451" s="40" t="s">
        <v>11404</v>
      </c>
      <c r="H18451" s="40" t="s">
        <v>11404</v>
      </c>
    </row>
    <row r="18452">
      <c r="A18452" s="39"/>
      <c r="E18452" s="40" t="s">
        <v>11404</v>
      </c>
      <c r="F18452" s="40" t="s">
        <v>11404</v>
      </c>
      <c r="G18452" s="40" t="s">
        <v>11404</v>
      </c>
      <c r="H18452" s="40" t="s">
        <v>11404</v>
      </c>
    </row>
    <row r="18453">
      <c r="A18453" s="39"/>
      <c r="E18453" s="40" t="s">
        <v>11404</v>
      </c>
      <c r="F18453" s="40" t="s">
        <v>11404</v>
      </c>
      <c r="G18453" s="40" t="s">
        <v>11404</v>
      </c>
      <c r="H18453" s="40" t="s">
        <v>11404</v>
      </c>
    </row>
    <row r="18454">
      <c r="A18454" s="39"/>
      <c r="E18454" s="40" t="s">
        <v>11404</v>
      </c>
      <c r="F18454" s="40" t="s">
        <v>11404</v>
      </c>
      <c r="G18454" s="40" t="s">
        <v>11404</v>
      </c>
      <c r="H18454" s="40" t="s">
        <v>11404</v>
      </c>
    </row>
    <row r="18455">
      <c r="A18455" s="39"/>
      <c r="E18455" s="40" t="s">
        <v>11404</v>
      </c>
      <c r="F18455" s="40" t="s">
        <v>11404</v>
      </c>
      <c r="G18455" s="40" t="s">
        <v>11404</v>
      </c>
      <c r="H18455" s="40" t="s">
        <v>11404</v>
      </c>
    </row>
    <row r="18456">
      <c r="A18456" s="39"/>
      <c r="E18456" s="40" t="s">
        <v>11404</v>
      </c>
      <c r="F18456" s="40" t="s">
        <v>11404</v>
      </c>
      <c r="G18456" s="40" t="s">
        <v>11404</v>
      </c>
      <c r="H18456" s="40" t="s">
        <v>11404</v>
      </c>
    </row>
    <row r="18457">
      <c r="A18457" s="39"/>
      <c r="E18457" s="40" t="s">
        <v>11404</v>
      </c>
      <c r="F18457" s="40" t="s">
        <v>11404</v>
      </c>
      <c r="G18457" s="40" t="s">
        <v>11404</v>
      </c>
      <c r="H18457" s="40" t="s">
        <v>11404</v>
      </c>
    </row>
    <row r="18458">
      <c r="A18458" s="39"/>
      <c r="E18458" s="40" t="s">
        <v>11404</v>
      </c>
      <c r="F18458" s="40" t="s">
        <v>11404</v>
      </c>
      <c r="G18458" s="40" t="s">
        <v>11404</v>
      </c>
      <c r="H18458" s="40" t="s">
        <v>11404</v>
      </c>
    </row>
    <row r="18459">
      <c r="A18459" s="39"/>
      <c r="E18459" s="40" t="s">
        <v>11404</v>
      </c>
      <c r="F18459" s="40" t="s">
        <v>11404</v>
      </c>
      <c r="G18459" s="40" t="s">
        <v>11404</v>
      </c>
      <c r="H18459" s="40" t="s">
        <v>11404</v>
      </c>
    </row>
    <row r="18460">
      <c r="A18460" s="39"/>
      <c r="E18460" s="40" t="s">
        <v>11404</v>
      </c>
      <c r="F18460" s="40" t="s">
        <v>11404</v>
      </c>
      <c r="G18460" s="40" t="s">
        <v>11404</v>
      </c>
      <c r="H18460" s="40" t="s">
        <v>11404</v>
      </c>
    </row>
    <row r="18461">
      <c r="A18461" s="39"/>
      <c r="E18461" s="40" t="s">
        <v>11404</v>
      </c>
      <c r="F18461" s="40" t="s">
        <v>11404</v>
      </c>
      <c r="G18461" s="40" t="s">
        <v>11404</v>
      </c>
      <c r="H18461" s="40" t="s">
        <v>11404</v>
      </c>
    </row>
    <row r="18462">
      <c r="A18462" s="39"/>
      <c r="E18462" s="40" t="s">
        <v>11404</v>
      </c>
      <c r="F18462" s="40" t="s">
        <v>11404</v>
      </c>
      <c r="G18462" s="40" t="s">
        <v>11404</v>
      </c>
      <c r="H18462" s="40" t="s">
        <v>11404</v>
      </c>
    </row>
    <row r="18463">
      <c r="A18463" s="39"/>
      <c r="E18463" s="40" t="s">
        <v>11404</v>
      </c>
      <c r="F18463" s="40" t="s">
        <v>11404</v>
      </c>
      <c r="G18463" s="40" t="s">
        <v>11404</v>
      </c>
      <c r="H18463" s="40" t="s">
        <v>11404</v>
      </c>
    </row>
    <row r="18464">
      <c r="A18464" s="39"/>
      <c r="E18464" s="40" t="s">
        <v>11404</v>
      </c>
      <c r="F18464" s="40" t="s">
        <v>11404</v>
      </c>
      <c r="G18464" s="40" t="s">
        <v>11404</v>
      </c>
      <c r="H18464" s="40" t="s">
        <v>11404</v>
      </c>
    </row>
    <row r="18465">
      <c r="A18465" s="39"/>
      <c r="E18465" s="40" t="s">
        <v>11404</v>
      </c>
      <c r="F18465" s="40" t="s">
        <v>11404</v>
      </c>
      <c r="G18465" s="40" t="s">
        <v>11404</v>
      </c>
      <c r="H18465" s="40" t="s">
        <v>11404</v>
      </c>
    </row>
    <row r="18466">
      <c r="A18466" s="39"/>
      <c r="E18466" s="40" t="s">
        <v>11404</v>
      </c>
      <c r="F18466" s="40" t="s">
        <v>11404</v>
      </c>
      <c r="G18466" s="40" t="s">
        <v>11404</v>
      </c>
      <c r="H18466" s="40" t="s">
        <v>11404</v>
      </c>
    </row>
    <row r="18467">
      <c r="A18467" s="39"/>
      <c r="E18467" s="40" t="s">
        <v>11404</v>
      </c>
      <c r="F18467" s="40" t="s">
        <v>11404</v>
      </c>
      <c r="G18467" s="40" t="s">
        <v>11404</v>
      </c>
      <c r="H18467" s="40" t="s">
        <v>11404</v>
      </c>
    </row>
    <row r="18468">
      <c r="A18468" s="39"/>
      <c r="E18468" s="40" t="s">
        <v>11404</v>
      </c>
      <c r="F18468" s="40" t="s">
        <v>11404</v>
      </c>
      <c r="G18468" s="40" t="s">
        <v>11404</v>
      </c>
      <c r="H18468" s="40" t="s">
        <v>11404</v>
      </c>
    </row>
    <row r="18469">
      <c r="A18469" s="39"/>
      <c r="E18469" s="40" t="s">
        <v>11404</v>
      </c>
      <c r="F18469" s="40" t="s">
        <v>11404</v>
      </c>
      <c r="G18469" s="40" t="s">
        <v>11404</v>
      </c>
      <c r="H18469" s="40" t="s">
        <v>11404</v>
      </c>
    </row>
    <row r="18470">
      <c r="A18470" s="39"/>
      <c r="E18470" s="40" t="s">
        <v>11404</v>
      </c>
      <c r="F18470" s="40" t="s">
        <v>11404</v>
      </c>
      <c r="G18470" s="40" t="s">
        <v>11404</v>
      </c>
      <c r="H18470" s="40" t="s">
        <v>11404</v>
      </c>
    </row>
    <row r="18471">
      <c r="A18471" s="39"/>
      <c r="E18471" s="40" t="s">
        <v>11404</v>
      </c>
      <c r="F18471" s="40" t="s">
        <v>11404</v>
      </c>
      <c r="G18471" s="40" t="s">
        <v>11404</v>
      </c>
      <c r="H18471" s="40" t="s">
        <v>11404</v>
      </c>
    </row>
    <row r="18472">
      <c r="A18472" s="39"/>
      <c r="E18472" s="40" t="s">
        <v>11404</v>
      </c>
      <c r="F18472" s="40" t="s">
        <v>11404</v>
      </c>
      <c r="G18472" s="40" t="s">
        <v>11404</v>
      </c>
      <c r="H18472" s="40" t="s">
        <v>11404</v>
      </c>
    </row>
    <row r="18473">
      <c r="A18473" s="39"/>
      <c r="E18473" s="40" t="s">
        <v>11404</v>
      </c>
      <c r="F18473" s="40" t="s">
        <v>11404</v>
      </c>
      <c r="G18473" s="40" t="s">
        <v>11404</v>
      </c>
      <c r="H18473" s="40" t="s">
        <v>11404</v>
      </c>
    </row>
    <row r="18474">
      <c r="A18474" s="39"/>
      <c r="E18474" s="40" t="s">
        <v>11404</v>
      </c>
      <c r="F18474" s="40" t="s">
        <v>11404</v>
      </c>
      <c r="G18474" s="40" t="s">
        <v>11404</v>
      </c>
      <c r="H18474" s="40" t="s">
        <v>11404</v>
      </c>
    </row>
    <row r="18475">
      <c r="A18475" s="39"/>
      <c r="E18475" s="40" t="s">
        <v>11404</v>
      </c>
      <c r="F18475" s="40" t="s">
        <v>11404</v>
      </c>
      <c r="G18475" s="40" t="s">
        <v>11404</v>
      </c>
      <c r="H18475" s="40" t="s">
        <v>11404</v>
      </c>
    </row>
    <row r="18476">
      <c r="A18476" s="39"/>
      <c r="E18476" s="40" t="s">
        <v>11404</v>
      </c>
      <c r="F18476" s="40" t="s">
        <v>11404</v>
      </c>
      <c r="G18476" s="40" t="s">
        <v>11404</v>
      </c>
      <c r="H18476" s="40" t="s">
        <v>11404</v>
      </c>
    </row>
    <row r="18477">
      <c r="A18477" s="39"/>
      <c r="E18477" s="40" t="s">
        <v>11404</v>
      </c>
      <c r="F18477" s="40" t="s">
        <v>11404</v>
      </c>
      <c r="G18477" s="40" t="s">
        <v>11404</v>
      </c>
      <c r="H18477" s="40" t="s">
        <v>11404</v>
      </c>
    </row>
    <row r="18478">
      <c r="A18478" s="39"/>
      <c r="E18478" s="40" t="s">
        <v>11404</v>
      </c>
      <c r="F18478" s="40" t="s">
        <v>11404</v>
      </c>
      <c r="G18478" s="40" t="s">
        <v>11404</v>
      </c>
      <c r="H18478" s="40" t="s">
        <v>11404</v>
      </c>
    </row>
    <row r="18479">
      <c r="A18479" s="39"/>
      <c r="E18479" s="40" t="s">
        <v>11404</v>
      </c>
      <c r="F18479" s="40" t="s">
        <v>11404</v>
      </c>
      <c r="G18479" s="40" t="s">
        <v>11404</v>
      </c>
      <c r="H18479" s="40" t="s">
        <v>11404</v>
      </c>
    </row>
    <row r="18480">
      <c r="A18480" s="39"/>
      <c r="E18480" s="40" t="s">
        <v>11404</v>
      </c>
      <c r="F18480" s="40" t="s">
        <v>11404</v>
      </c>
      <c r="G18480" s="40" t="s">
        <v>11404</v>
      </c>
      <c r="H18480" s="40" t="s">
        <v>11404</v>
      </c>
    </row>
    <row r="18481">
      <c r="A18481" s="39"/>
      <c r="E18481" s="40" t="s">
        <v>11404</v>
      </c>
      <c r="F18481" s="40" t="s">
        <v>11404</v>
      </c>
      <c r="G18481" s="40" t="s">
        <v>11404</v>
      </c>
      <c r="H18481" s="40" t="s">
        <v>11404</v>
      </c>
    </row>
    <row r="18482">
      <c r="A18482" s="39"/>
      <c r="E18482" s="40" t="s">
        <v>11404</v>
      </c>
      <c r="F18482" s="40" t="s">
        <v>11404</v>
      </c>
      <c r="G18482" s="40" t="s">
        <v>11404</v>
      </c>
      <c r="H18482" s="40" t="s">
        <v>11404</v>
      </c>
    </row>
    <row r="18483">
      <c r="A18483" s="39"/>
      <c r="E18483" s="40" t="s">
        <v>11404</v>
      </c>
      <c r="F18483" s="40" t="s">
        <v>11404</v>
      </c>
      <c r="G18483" s="40" t="s">
        <v>11404</v>
      </c>
      <c r="H18483" s="40" t="s">
        <v>11404</v>
      </c>
    </row>
    <row r="18484">
      <c r="A18484" s="39"/>
      <c r="E18484" s="40" t="s">
        <v>11404</v>
      </c>
      <c r="F18484" s="40" t="s">
        <v>11404</v>
      </c>
      <c r="G18484" s="40" t="s">
        <v>11404</v>
      </c>
      <c r="H18484" s="40" t="s">
        <v>11404</v>
      </c>
    </row>
    <row r="18485">
      <c r="A18485" s="39"/>
      <c r="E18485" s="40" t="s">
        <v>11404</v>
      </c>
      <c r="F18485" s="40" t="s">
        <v>11404</v>
      </c>
      <c r="G18485" s="40" t="s">
        <v>11404</v>
      </c>
      <c r="H18485" s="40" t="s">
        <v>11404</v>
      </c>
    </row>
    <row r="18486">
      <c r="A18486" s="39"/>
      <c r="E18486" s="40" t="s">
        <v>11404</v>
      </c>
      <c r="F18486" s="40" t="s">
        <v>11404</v>
      </c>
      <c r="G18486" s="40" t="s">
        <v>11404</v>
      </c>
      <c r="H18486" s="40" t="s">
        <v>11404</v>
      </c>
    </row>
    <row r="18487">
      <c r="A18487" s="39"/>
      <c r="E18487" s="40" t="s">
        <v>11404</v>
      </c>
      <c r="F18487" s="40" t="s">
        <v>11404</v>
      </c>
      <c r="G18487" s="40" t="s">
        <v>11404</v>
      </c>
      <c r="H18487" s="40" t="s">
        <v>11404</v>
      </c>
    </row>
    <row r="18488">
      <c r="A18488" s="39"/>
      <c r="E18488" s="40" t="s">
        <v>11404</v>
      </c>
      <c r="F18488" s="40" t="s">
        <v>11404</v>
      </c>
      <c r="G18488" s="40" t="s">
        <v>11404</v>
      </c>
      <c r="H18488" s="40" t="s">
        <v>11404</v>
      </c>
    </row>
    <row r="18489">
      <c r="A18489" s="39"/>
      <c r="E18489" s="40" t="s">
        <v>11404</v>
      </c>
      <c r="F18489" s="40" t="s">
        <v>11404</v>
      </c>
      <c r="G18489" s="40" t="s">
        <v>11404</v>
      </c>
      <c r="H18489" s="40" t="s">
        <v>11404</v>
      </c>
    </row>
    <row r="18490">
      <c r="A18490" s="39"/>
      <c r="E18490" s="40" t="s">
        <v>11404</v>
      </c>
      <c r="F18490" s="40" t="s">
        <v>11404</v>
      </c>
      <c r="G18490" s="40" t="s">
        <v>11404</v>
      </c>
      <c r="H18490" s="40" t="s">
        <v>11404</v>
      </c>
    </row>
    <row r="18491">
      <c r="A18491" s="39"/>
      <c r="E18491" s="40" t="s">
        <v>11404</v>
      </c>
      <c r="F18491" s="40" t="s">
        <v>11404</v>
      </c>
      <c r="G18491" s="40" t="s">
        <v>11404</v>
      </c>
      <c r="H18491" s="40" t="s">
        <v>11404</v>
      </c>
    </row>
    <row r="18492">
      <c r="A18492" s="39"/>
      <c r="E18492" s="40" t="s">
        <v>11404</v>
      </c>
      <c r="F18492" s="40" t="s">
        <v>11404</v>
      </c>
      <c r="G18492" s="40" t="s">
        <v>11404</v>
      </c>
      <c r="H18492" s="40" t="s">
        <v>11404</v>
      </c>
    </row>
    <row r="18493">
      <c r="A18493" s="39"/>
      <c r="E18493" s="40" t="s">
        <v>11404</v>
      </c>
      <c r="F18493" s="40" t="s">
        <v>11404</v>
      </c>
      <c r="G18493" s="40" t="s">
        <v>11404</v>
      </c>
      <c r="H18493" s="40" t="s">
        <v>11404</v>
      </c>
    </row>
    <row r="18494">
      <c r="A18494" s="39"/>
      <c r="E18494" s="40" t="s">
        <v>11404</v>
      </c>
      <c r="F18494" s="40" t="s">
        <v>11404</v>
      </c>
      <c r="G18494" s="40" t="s">
        <v>11404</v>
      </c>
      <c r="H18494" s="40" t="s">
        <v>11404</v>
      </c>
    </row>
    <row r="18495">
      <c r="A18495" s="39"/>
      <c r="E18495" s="40" t="s">
        <v>11404</v>
      </c>
      <c r="F18495" s="40" t="s">
        <v>11404</v>
      </c>
      <c r="G18495" s="40" t="s">
        <v>11404</v>
      </c>
      <c r="H18495" s="40" t="s">
        <v>11404</v>
      </c>
    </row>
    <row r="18496">
      <c r="A18496" s="39"/>
      <c r="E18496" s="40" t="s">
        <v>11404</v>
      </c>
      <c r="F18496" s="40" t="s">
        <v>11404</v>
      </c>
      <c r="G18496" s="40" t="s">
        <v>11404</v>
      </c>
      <c r="H18496" s="40" t="s">
        <v>11404</v>
      </c>
    </row>
    <row r="18497">
      <c r="A18497" s="39"/>
      <c r="E18497" s="40" t="s">
        <v>11404</v>
      </c>
      <c r="F18497" s="40" t="s">
        <v>11404</v>
      </c>
      <c r="G18497" s="40" t="s">
        <v>11404</v>
      </c>
      <c r="H18497" s="40" t="s">
        <v>11404</v>
      </c>
    </row>
    <row r="18498">
      <c r="A18498" s="39"/>
      <c r="E18498" s="40" t="s">
        <v>11404</v>
      </c>
      <c r="F18498" s="40" t="s">
        <v>11404</v>
      </c>
      <c r="G18498" s="40" t="s">
        <v>11404</v>
      </c>
      <c r="H18498" s="40" t="s">
        <v>11404</v>
      </c>
    </row>
    <row r="18499">
      <c r="A18499" s="39"/>
      <c r="E18499" s="40" t="s">
        <v>11404</v>
      </c>
      <c r="F18499" s="40" t="s">
        <v>11404</v>
      </c>
      <c r="G18499" s="40" t="s">
        <v>11404</v>
      </c>
      <c r="H18499" s="40" t="s">
        <v>11404</v>
      </c>
    </row>
    <row r="18500">
      <c r="A18500" s="39"/>
      <c r="E18500" s="40" t="s">
        <v>11404</v>
      </c>
      <c r="F18500" s="40" t="s">
        <v>11404</v>
      </c>
      <c r="G18500" s="40" t="s">
        <v>11404</v>
      </c>
      <c r="H18500" s="40" t="s">
        <v>11404</v>
      </c>
    </row>
    <row r="18501">
      <c r="A18501" s="39"/>
      <c r="E18501" s="40" t="s">
        <v>11404</v>
      </c>
      <c r="F18501" s="40" t="s">
        <v>11404</v>
      </c>
      <c r="G18501" s="40" t="s">
        <v>11404</v>
      </c>
      <c r="H18501" s="40" t="s">
        <v>11404</v>
      </c>
    </row>
    <row r="18502">
      <c r="A18502" s="39"/>
      <c r="E18502" s="40" t="s">
        <v>11404</v>
      </c>
      <c r="F18502" s="40" t="s">
        <v>11404</v>
      </c>
      <c r="G18502" s="40" t="s">
        <v>11404</v>
      </c>
      <c r="H18502" s="40" t="s">
        <v>11404</v>
      </c>
    </row>
    <row r="18503">
      <c r="A18503" s="39"/>
      <c r="E18503" s="40" t="s">
        <v>11404</v>
      </c>
      <c r="F18503" s="40" t="s">
        <v>11404</v>
      </c>
      <c r="G18503" s="40" t="s">
        <v>11404</v>
      </c>
      <c r="H18503" s="40" t="s">
        <v>11404</v>
      </c>
    </row>
    <row r="18504">
      <c r="A18504" s="39"/>
      <c r="E18504" s="40" t="s">
        <v>11404</v>
      </c>
      <c r="F18504" s="40" t="s">
        <v>11404</v>
      </c>
      <c r="G18504" s="40" t="s">
        <v>11404</v>
      </c>
      <c r="H18504" s="40" t="s">
        <v>11404</v>
      </c>
    </row>
    <row r="18505">
      <c r="A18505" s="39"/>
      <c r="E18505" s="40" t="s">
        <v>11404</v>
      </c>
      <c r="F18505" s="40" t="s">
        <v>11404</v>
      </c>
      <c r="G18505" s="40" t="s">
        <v>11404</v>
      </c>
      <c r="H18505" s="40" t="s">
        <v>11404</v>
      </c>
    </row>
    <row r="18506">
      <c r="A18506" s="39"/>
      <c r="E18506" s="40" t="s">
        <v>11404</v>
      </c>
      <c r="F18506" s="40" t="s">
        <v>11404</v>
      </c>
      <c r="G18506" s="40" t="s">
        <v>11404</v>
      </c>
      <c r="H18506" s="40" t="s">
        <v>11404</v>
      </c>
    </row>
    <row r="18507">
      <c r="A18507" s="39"/>
      <c r="E18507" s="40" t="s">
        <v>11404</v>
      </c>
      <c r="F18507" s="40" t="s">
        <v>11404</v>
      </c>
      <c r="G18507" s="40" t="s">
        <v>11404</v>
      </c>
      <c r="H18507" s="40" t="s">
        <v>11404</v>
      </c>
    </row>
    <row r="18508">
      <c r="A18508" s="39"/>
      <c r="E18508" s="40" t="s">
        <v>11404</v>
      </c>
      <c r="F18508" s="40" t="s">
        <v>11404</v>
      </c>
      <c r="G18508" s="40" t="s">
        <v>11404</v>
      </c>
      <c r="H18508" s="40" t="s">
        <v>11404</v>
      </c>
    </row>
    <row r="18509">
      <c r="A18509" s="39"/>
      <c r="E18509" s="40" t="s">
        <v>11404</v>
      </c>
      <c r="F18509" s="40" t="s">
        <v>11404</v>
      </c>
      <c r="G18509" s="40" t="s">
        <v>11404</v>
      </c>
      <c r="H18509" s="40" t="s">
        <v>11404</v>
      </c>
    </row>
    <row r="18510">
      <c r="A18510" s="39"/>
      <c r="E18510" s="40" t="s">
        <v>11404</v>
      </c>
      <c r="F18510" s="40" t="s">
        <v>11404</v>
      </c>
      <c r="G18510" s="40" t="s">
        <v>11404</v>
      </c>
      <c r="H18510" s="40" t="s">
        <v>11404</v>
      </c>
    </row>
    <row r="18511">
      <c r="A18511" s="39"/>
      <c r="E18511" s="40" t="s">
        <v>11404</v>
      </c>
      <c r="F18511" s="40" t="s">
        <v>11404</v>
      </c>
      <c r="G18511" s="40" t="s">
        <v>11404</v>
      </c>
      <c r="H18511" s="40" t="s">
        <v>11404</v>
      </c>
    </row>
    <row r="18512">
      <c r="A18512" s="39"/>
      <c r="E18512" s="40" t="s">
        <v>11404</v>
      </c>
      <c r="F18512" s="40" t="s">
        <v>11404</v>
      </c>
      <c r="G18512" s="40" t="s">
        <v>11404</v>
      </c>
      <c r="H18512" s="40" t="s">
        <v>11404</v>
      </c>
    </row>
    <row r="18513">
      <c r="A18513" s="39"/>
      <c r="E18513" s="40" t="s">
        <v>11404</v>
      </c>
      <c r="F18513" s="40" t="s">
        <v>11404</v>
      </c>
      <c r="G18513" s="40" t="s">
        <v>11404</v>
      </c>
      <c r="H18513" s="40" t="s">
        <v>11404</v>
      </c>
    </row>
    <row r="18514">
      <c r="A18514" s="39"/>
      <c r="E18514" s="40" t="s">
        <v>11404</v>
      </c>
      <c r="F18514" s="40" t="s">
        <v>11404</v>
      </c>
      <c r="G18514" s="40" t="s">
        <v>11404</v>
      </c>
      <c r="H18514" s="40" t="s">
        <v>11404</v>
      </c>
    </row>
    <row r="18515">
      <c r="A18515" s="39"/>
      <c r="E18515" s="40" t="s">
        <v>11404</v>
      </c>
      <c r="F18515" s="40" t="s">
        <v>11404</v>
      </c>
      <c r="G18515" s="40" t="s">
        <v>11404</v>
      </c>
      <c r="H18515" s="40" t="s">
        <v>11404</v>
      </c>
    </row>
    <row r="18516">
      <c r="A18516" s="39"/>
      <c r="E18516" s="40" t="s">
        <v>11404</v>
      </c>
      <c r="F18516" s="40" t="s">
        <v>11404</v>
      </c>
      <c r="G18516" s="40" t="s">
        <v>11404</v>
      </c>
      <c r="H18516" s="40" t="s">
        <v>11404</v>
      </c>
    </row>
    <row r="18517">
      <c r="A18517" s="39"/>
      <c r="E18517" s="40" t="s">
        <v>11404</v>
      </c>
      <c r="F18517" s="40" t="s">
        <v>11404</v>
      </c>
      <c r="G18517" s="40" t="s">
        <v>11404</v>
      </c>
      <c r="H18517" s="40" t="s">
        <v>11404</v>
      </c>
    </row>
    <row r="18518">
      <c r="A18518" s="39"/>
      <c r="E18518" s="40" t="s">
        <v>11404</v>
      </c>
      <c r="F18518" s="40" t="s">
        <v>11404</v>
      </c>
      <c r="G18518" s="40" t="s">
        <v>11404</v>
      </c>
      <c r="H18518" s="40" t="s">
        <v>11404</v>
      </c>
    </row>
    <row r="18519">
      <c r="A18519" s="39"/>
      <c r="E18519" s="40" t="s">
        <v>11404</v>
      </c>
      <c r="F18519" s="40" t="s">
        <v>11404</v>
      </c>
      <c r="G18519" s="40" t="s">
        <v>11404</v>
      </c>
      <c r="H18519" s="40" t="s">
        <v>11404</v>
      </c>
    </row>
    <row r="18520">
      <c r="A18520" s="39"/>
      <c r="E18520" s="40" t="s">
        <v>11404</v>
      </c>
      <c r="F18520" s="40" t="s">
        <v>11404</v>
      </c>
      <c r="G18520" s="40" t="s">
        <v>11404</v>
      </c>
      <c r="H18520" s="40" t="s">
        <v>11404</v>
      </c>
    </row>
    <row r="18521">
      <c r="A18521" s="39"/>
      <c r="E18521" s="40" t="s">
        <v>11404</v>
      </c>
      <c r="F18521" s="40" t="s">
        <v>11404</v>
      </c>
      <c r="G18521" s="40" t="s">
        <v>11404</v>
      </c>
      <c r="H18521" s="40" t="s">
        <v>11404</v>
      </c>
    </row>
    <row r="18522">
      <c r="A18522" s="39"/>
      <c r="E18522" s="40" t="s">
        <v>11404</v>
      </c>
      <c r="F18522" s="40" t="s">
        <v>11404</v>
      </c>
      <c r="G18522" s="40" t="s">
        <v>11404</v>
      </c>
      <c r="H18522" s="40" t="s">
        <v>11404</v>
      </c>
    </row>
    <row r="18523">
      <c r="A18523" s="39"/>
      <c r="E18523" s="40" t="s">
        <v>11404</v>
      </c>
      <c r="F18523" s="40" t="s">
        <v>11404</v>
      </c>
      <c r="G18523" s="40" t="s">
        <v>11404</v>
      </c>
      <c r="H18523" s="40" t="s">
        <v>11404</v>
      </c>
    </row>
    <row r="18524">
      <c r="A18524" s="39"/>
      <c r="E18524" s="40" t="s">
        <v>11404</v>
      </c>
      <c r="F18524" s="40" t="s">
        <v>11404</v>
      </c>
      <c r="G18524" s="40" t="s">
        <v>11404</v>
      </c>
      <c r="H18524" s="40" t="s">
        <v>11404</v>
      </c>
    </row>
    <row r="18525">
      <c r="A18525" s="39"/>
      <c r="E18525" s="40" t="s">
        <v>11404</v>
      </c>
      <c r="F18525" s="40" t="s">
        <v>11404</v>
      </c>
      <c r="G18525" s="40" t="s">
        <v>11404</v>
      </c>
      <c r="H18525" s="40" t="s">
        <v>11404</v>
      </c>
    </row>
    <row r="18526">
      <c r="A18526" s="39"/>
      <c r="E18526" s="40" t="s">
        <v>11404</v>
      </c>
      <c r="F18526" s="40" t="s">
        <v>11404</v>
      </c>
      <c r="G18526" s="40" t="s">
        <v>11404</v>
      </c>
      <c r="H18526" s="40" t="s">
        <v>11404</v>
      </c>
    </row>
    <row r="18527">
      <c r="A18527" s="39"/>
      <c r="E18527" s="40" t="s">
        <v>11404</v>
      </c>
      <c r="F18527" s="40" t="s">
        <v>11404</v>
      </c>
      <c r="G18527" s="40" t="s">
        <v>11404</v>
      </c>
      <c r="H18527" s="40" t="s">
        <v>11404</v>
      </c>
    </row>
    <row r="18528">
      <c r="A18528" s="39"/>
      <c r="E18528" s="40" t="s">
        <v>11404</v>
      </c>
      <c r="F18528" s="40" t="s">
        <v>11404</v>
      </c>
      <c r="G18528" s="40" t="s">
        <v>11404</v>
      </c>
      <c r="H18528" s="40" t="s">
        <v>11404</v>
      </c>
    </row>
    <row r="18529">
      <c r="A18529" s="39"/>
      <c r="E18529" s="40" t="s">
        <v>11404</v>
      </c>
      <c r="F18529" s="40" t="s">
        <v>11404</v>
      </c>
      <c r="G18529" s="40" t="s">
        <v>11404</v>
      </c>
      <c r="H18529" s="40" t="s">
        <v>11404</v>
      </c>
    </row>
    <row r="18530">
      <c r="A18530" s="39"/>
      <c r="E18530" s="40" t="s">
        <v>11404</v>
      </c>
      <c r="F18530" s="40" t="s">
        <v>11404</v>
      </c>
      <c r="G18530" s="40" t="s">
        <v>11404</v>
      </c>
      <c r="H18530" s="40" t="s">
        <v>11404</v>
      </c>
    </row>
    <row r="18531">
      <c r="A18531" s="39"/>
      <c r="E18531" s="40" t="s">
        <v>11404</v>
      </c>
      <c r="F18531" s="40" t="s">
        <v>11404</v>
      </c>
      <c r="G18531" s="40" t="s">
        <v>11404</v>
      </c>
      <c r="H18531" s="40" t="s">
        <v>11404</v>
      </c>
    </row>
    <row r="18532">
      <c r="A18532" s="39"/>
      <c r="E18532" s="40" t="s">
        <v>11404</v>
      </c>
      <c r="F18532" s="40" t="s">
        <v>11404</v>
      </c>
      <c r="G18532" s="40" t="s">
        <v>11404</v>
      </c>
      <c r="H18532" s="40" t="s">
        <v>11404</v>
      </c>
    </row>
    <row r="18533">
      <c r="A18533" s="39"/>
      <c r="E18533" s="40" t="s">
        <v>11404</v>
      </c>
      <c r="F18533" s="40" t="s">
        <v>11404</v>
      </c>
      <c r="G18533" s="40" t="s">
        <v>11404</v>
      </c>
      <c r="H18533" s="40" t="s">
        <v>11404</v>
      </c>
    </row>
    <row r="18534">
      <c r="A18534" s="39"/>
      <c r="E18534" s="40" t="s">
        <v>11404</v>
      </c>
      <c r="F18534" s="40" t="s">
        <v>11404</v>
      </c>
      <c r="G18534" s="40" t="s">
        <v>11404</v>
      </c>
      <c r="H18534" s="40" t="s">
        <v>11404</v>
      </c>
    </row>
    <row r="18535">
      <c r="A18535" s="39"/>
      <c r="E18535" s="40" t="s">
        <v>11404</v>
      </c>
      <c r="F18535" s="40" t="s">
        <v>11404</v>
      </c>
      <c r="G18535" s="40" t="s">
        <v>11404</v>
      </c>
      <c r="H18535" s="40" t="s">
        <v>11404</v>
      </c>
    </row>
    <row r="18536">
      <c r="A18536" s="39"/>
      <c r="E18536" s="40" t="s">
        <v>11404</v>
      </c>
      <c r="F18536" s="40" t="s">
        <v>11404</v>
      </c>
      <c r="G18536" s="40" t="s">
        <v>11404</v>
      </c>
      <c r="H18536" s="40" t="s">
        <v>11404</v>
      </c>
    </row>
    <row r="18537">
      <c r="A18537" s="39"/>
      <c r="E18537" s="40" t="s">
        <v>11404</v>
      </c>
      <c r="F18537" s="40" t="s">
        <v>11404</v>
      </c>
      <c r="G18537" s="40" t="s">
        <v>11404</v>
      </c>
      <c r="H18537" s="40" t="s">
        <v>11404</v>
      </c>
    </row>
    <row r="18538">
      <c r="A18538" s="39"/>
      <c r="E18538" s="40" t="s">
        <v>11404</v>
      </c>
      <c r="F18538" s="40" t="s">
        <v>11404</v>
      </c>
      <c r="G18538" s="40" t="s">
        <v>11404</v>
      </c>
      <c r="H18538" s="40" t="s">
        <v>11404</v>
      </c>
    </row>
    <row r="18539">
      <c r="A18539" s="39"/>
      <c r="E18539" s="40" t="s">
        <v>11404</v>
      </c>
      <c r="F18539" s="40" t="s">
        <v>11404</v>
      </c>
      <c r="G18539" s="40" t="s">
        <v>11404</v>
      </c>
      <c r="H18539" s="40" t="s">
        <v>11404</v>
      </c>
    </row>
    <row r="18540">
      <c r="A18540" s="39"/>
      <c r="E18540" s="40" t="s">
        <v>11404</v>
      </c>
      <c r="F18540" s="40" t="s">
        <v>11404</v>
      </c>
      <c r="G18540" s="40" t="s">
        <v>11404</v>
      </c>
      <c r="H18540" s="40" t="s">
        <v>11404</v>
      </c>
    </row>
    <row r="18541">
      <c r="A18541" s="39"/>
      <c r="E18541" s="40" t="s">
        <v>11404</v>
      </c>
      <c r="F18541" s="40" t="s">
        <v>11404</v>
      </c>
      <c r="G18541" s="40" t="s">
        <v>11404</v>
      </c>
      <c r="H18541" s="40" t="s">
        <v>11404</v>
      </c>
    </row>
    <row r="18542">
      <c r="A18542" s="39"/>
      <c r="E18542" s="40" t="s">
        <v>11404</v>
      </c>
      <c r="F18542" s="40" t="s">
        <v>11404</v>
      </c>
      <c r="G18542" s="40" t="s">
        <v>11404</v>
      </c>
      <c r="H18542" s="40" t="s">
        <v>11404</v>
      </c>
    </row>
    <row r="18543">
      <c r="A18543" s="39"/>
      <c r="E18543" s="40" t="s">
        <v>11404</v>
      </c>
      <c r="F18543" s="40" t="s">
        <v>11404</v>
      </c>
      <c r="G18543" s="40" t="s">
        <v>11404</v>
      </c>
      <c r="H18543" s="40" t="s">
        <v>11404</v>
      </c>
    </row>
    <row r="18544">
      <c r="A18544" s="39"/>
      <c r="E18544" s="40" t="s">
        <v>11404</v>
      </c>
      <c r="F18544" s="40" t="s">
        <v>11404</v>
      </c>
      <c r="G18544" s="40" t="s">
        <v>11404</v>
      </c>
      <c r="H18544" s="40" t="s">
        <v>11404</v>
      </c>
    </row>
    <row r="18545">
      <c r="A18545" s="39"/>
      <c r="E18545" s="40" t="s">
        <v>11404</v>
      </c>
      <c r="F18545" s="40" t="s">
        <v>11404</v>
      </c>
      <c r="G18545" s="40" t="s">
        <v>11404</v>
      </c>
      <c r="H18545" s="40" t="s">
        <v>11404</v>
      </c>
    </row>
    <row r="18546">
      <c r="A18546" s="39"/>
      <c r="E18546" s="40" t="s">
        <v>11404</v>
      </c>
      <c r="F18546" s="40" t="s">
        <v>11404</v>
      </c>
      <c r="G18546" s="40" t="s">
        <v>11404</v>
      </c>
      <c r="H18546" s="40" t="s">
        <v>11404</v>
      </c>
    </row>
    <row r="18547">
      <c r="A18547" s="39"/>
      <c r="E18547" s="40" t="s">
        <v>11404</v>
      </c>
      <c r="F18547" s="40" t="s">
        <v>11404</v>
      </c>
      <c r="G18547" s="40" t="s">
        <v>11404</v>
      </c>
      <c r="H18547" s="40" t="s">
        <v>11404</v>
      </c>
    </row>
    <row r="18548">
      <c r="A18548" s="39"/>
      <c r="E18548" s="40" t="s">
        <v>11404</v>
      </c>
      <c r="F18548" s="40" t="s">
        <v>11404</v>
      </c>
      <c r="G18548" s="40" t="s">
        <v>11404</v>
      </c>
      <c r="H18548" s="40" t="s">
        <v>11404</v>
      </c>
    </row>
    <row r="18549">
      <c r="A18549" s="39"/>
      <c r="E18549" s="40" t="s">
        <v>11404</v>
      </c>
      <c r="F18549" s="40" t="s">
        <v>11404</v>
      </c>
      <c r="G18549" s="40" t="s">
        <v>11404</v>
      </c>
      <c r="H18549" s="40" t="s">
        <v>11404</v>
      </c>
    </row>
    <row r="18550">
      <c r="A18550" s="39"/>
      <c r="E18550" s="40" t="s">
        <v>11404</v>
      </c>
      <c r="F18550" s="40" t="s">
        <v>11404</v>
      </c>
      <c r="G18550" s="40" t="s">
        <v>11404</v>
      </c>
      <c r="H18550" s="40" t="s">
        <v>11404</v>
      </c>
    </row>
    <row r="18551">
      <c r="A18551" s="39"/>
      <c r="E18551" s="40" t="s">
        <v>11404</v>
      </c>
      <c r="F18551" s="40" t="s">
        <v>11404</v>
      </c>
      <c r="G18551" s="40" t="s">
        <v>11404</v>
      </c>
      <c r="H18551" s="40" t="s">
        <v>11404</v>
      </c>
    </row>
    <row r="18552">
      <c r="A18552" s="39"/>
      <c r="E18552" s="40" t="s">
        <v>11404</v>
      </c>
      <c r="F18552" s="40" t="s">
        <v>11404</v>
      </c>
      <c r="G18552" s="40" t="s">
        <v>11404</v>
      </c>
      <c r="H18552" s="40" t="s">
        <v>11404</v>
      </c>
    </row>
    <row r="18553">
      <c r="A18553" s="39"/>
      <c r="E18553" s="40" t="s">
        <v>11404</v>
      </c>
      <c r="F18553" s="40" t="s">
        <v>11404</v>
      </c>
      <c r="G18553" s="40" t="s">
        <v>11404</v>
      </c>
      <c r="H18553" s="40" t="s">
        <v>11404</v>
      </c>
    </row>
    <row r="18554">
      <c r="A18554" s="39"/>
      <c r="E18554" s="40" t="s">
        <v>11404</v>
      </c>
      <c r="F18554" s="40" t="s">
        <v>11404</v>
      </c>
      <c r="G18554" s="40" t="s">
        <v>11404</v>
      </c>
      <c r="H18554" s="40" t="s">
        <v>11404</v>
      </c>
    </row>
    <row r="18555">
      <c r="A18555" s="39"/>
      <c r="E18555" s="40" t="s">
        <v>11404</v>
      </c>
      <c r="F18555" s="40" t="s">
        <v>11404</v>
      </c>
      <c r="G18555" s="40" t="s">
        <v>11404</v>
      </c>
      <c r="H18555" s="40" t="s">
        <v>11404</v>
      </c>
    </row>
    <row r="18556">
      <c r="A18556" s="39"/>
      <c r="E18556" s="40" t="s">
        <v>11404</v>
      </c>
      <c r="F18556" s="40" t="s">
        <v>11404</v>
      </c>
      <c r="G18556" s="40" t="s">
        <v>11404</v>
      </c>
      <c r="H18556" s="40" t="s">
        <v>11404</v>
      </c>
    </row>
    <row r="18557">
      <c r="A18557" s="39"/>
      <c r="E18557" s="40" t="s">
        <v>11404</v>
      </c>
      <c r="F18557" s="40" t="s">
        <v>11404</v>
      </c>
      <c r="G18557" s="40" t="s">
        <v>11404</v>
      </c>
      <c r="H18557" s="40" t="s">
        <v>11404</v>
      </c>
    </row>
    <row r="18558">
      <c r="A18558" s="39"/>
      <c r="E18558" s="40" t="s">
        <v>11404</v>
      </c>
      <c r="F18558" s="40" t="s">
        <v>11404</v>
      </c>
      <c r="G18558" s="40" t="s">
        <v>11404</v>
      </c>
      <c r="H18558" s="40" t="s">
        <v>11404</v>
      </c>
    </row>
    <row r="18559">
      <c r="A18559" s="39"/>
      <c r="E18559" s="40" t="s">
        <v>11404</v>
      </c>
      <c r="F18559" s="40" t="s">
        <v>11404</v>
      </c>
      <c r="G18559" s="40" t="s">
        <v>11404</v>
      </c>
      <c r="H18559" s="40" t="s">
        <v>11404</v>
      </c>
    </row>
    <row r="18560">
      <c r="A18560" s="39"/>
      <c r="E18560" s="40" t="s">
        <v>11404</v>
      </c>
      <c r="F18560" s="40" t="s">
        <v>11404</v>
      </c>
      <c r="G18560" s="40" t="s">
        <v>11404</v>
      </c>
      <c r="H18560" s="40" t="s">
        <v>11404</v>
      </c>
    </row>
    <row r="18561">
      <c r="A18561" s="39"/>
      <c r="E18561" s="40" t="s">
        <v>11404</v>
      </c>
      <c r="F18561" s="40" t="s">
        <v>11404</v>
      </c>
      <c r="G18561" s="40" t="s">
        <v>11404</v>
      </c>
      <c r="H18561" s="40" t="s">
        <v>11404</v>
      </c>
    </row>
    <row r="18562">
      <c r="A18562" s="39"/>
      <c r="E18562" s="40" t="s">
        <v>11404</v>
      </c>
      <c r="F18562" s="40" t="s">
        <v>11404</v>
      </c>
      <c r="G18562" s="40" t="s">
        <v>11404</v>
      </c>
      <c r="H18562" s="40" t="s">
        <v>11404</v>
      </c>
    </row>
    <row r="18563">
      <c r="A18563" s="39"/>
      <c r="E18563" s="40" t="s">
        <v>11404</v>
      </c>
      <c r="F18563" s="40" t="s">
        <v>11404</v>
      </c>
      <c r="G18563" s="40" t="s">
        <v>11404</v>
      </c>
      <c r="H18563" s="40" t="s">
        <v>11404</v>
      </c>
    </row>
    <row r="18564">
      <c r="A18564" s="39"/>
      <c r="E18564" s="40" t="s">
        <v>11404</v>
      </c>
      <c r="F18564" s="40" t="s">
        <v>11404</v>
      </c>
      <c r="G18564" s="40" t="s">
        <v>11404</v>
      </c>
      <c r="H18564" s="40" t="s">
        <v>11404</v>
      </c>
    </row>
    <row r="18565">
      <c r="A18565" s="39"/>
      <c r="E18565" s="40" t="s">
        <v>11404</v>
      </c>
      <c r="F18565" s="40" t="s">
        <v>11404</v>
      </c>
      <c r="G18565" s="40" t="s">
        <v>11404</v>
      </c>
      <c r="H18565" s="40" t="s">
        <v>11404</v>
      </c>
    </row>
    <row r="18566">
      <c r="A18566" s="39"/>
      <c r="E18566" s="40" t="s">
        <v>11404</v>
      </c>
      <c r="F18566" s="40" t="s">
        <v>11404</v>
      </c>
      <c r="G18566" s="40" t="s">
        <v>11404</v>
      </c>
      <c r="H18566" s="40" t="s">
        <v>11404</v>
      </c>
    </row>
    <row r="18567">
      <c r="A18567" s="39"/>
      <c r="E18567" s="40" t="s">
        <v>11404</v>
      </c>
      <c r="F18567" s="40" t="s">
        <v>11404</v>
      </c>
      <c r="G18567" s="40" t="s">
        <v>11404</v>
      </c>
      <c r="H18567" s="40" t="s">
        <v>11404</v>
      </c>
    </row>
    <row r="18568">
      <c r="A18568" s="39"/>
      <c r="E18568" s="40" t="s">
        <v>11404</v>
      </c>
      <c r="F18568" s="40" t="s">
        <v>11404</v>
      </c>
      <c r="G18568" s="40" t="s">
        <v>11404</v>
      </c>
      <c r="H18568" s="40" t="s">
        <v>11404</v>
      </c>
    </row>
    <row r="18569">
      <c r="A18569" s="39"/>
      <c r="E18569" s="40" t="s">
        <v>11404</v>
      </c>
      <c r="F18569" s="40" t="s">
        <v>11404</v>
      </c>
      <c r="G18569" s="40" t="s">
        <v>11404</v>
      </c>
      <c r="H18569" s="40" t="s">
        <v>11404</v>
      </c>
    </row>
    <row r="18570">
      <c r="A18570" s="39"/>
      <c r="E18570" s="40" t="s">
        <v>11404</v>
      </c>
      <c r="F18570" s="40" t="s">
        <v>11404</v>
      </c>
      <c r="G18570" s="40" t="s">
        <v>11404</v>
      </c>
      <c r="H18570" s="40" t="s">
        <v>11404</v>
      </c>
    </row>
    <row r="18571">
      <c r="A18571" s="39"/>
      <c r="E18571" s="40" t="s">
        <v>11404</v>
      </c>
      <c r="F18571" s="40" t="s">
        <v>11404</v>
      </c>
      <c r="G18571" s="40" t="s">
        <v>11404</v>
      </c>
      <c r="H18571" s="40" t="s">
        <v>11404</v>
      </c>
    </row>
    <row r="18572">
      <c r="A18572" s="39"/>
      <c r="E18572" s="40" t="s">
        <v>11404</v>
      </c>
      <c r="F18572" s="40" t="s">
        <v>11404</v>
      </c>
      <c r="G18572" s="40" t="s">
        <v>11404</v>
      </c>
      <c r="H18572" s="40" t="s">
        <v>11404</v>
      </c>
    </row>
    <row r="18573">
      <c r="A18573" s="39"/>
      <c r="E18573" s="40" t="s">
        <v>11404</v>
      </c>
      <c r="F18573" s="40" t="s">
        <v>11404</v>
      </c>
      <c r="G18573" s="40" t="s">
        <v>11404</v>
      </c>
      <c r="H18573" s="40" t="s">
        <v>11404</v>
      </c>
    </row>
    <row r="18574">
      <c r="A18574" s="39"/>
      <c r="E18574" s="40" t="s">
        <v>11404</v>
      </c>
      <c r="F18574" s="40" t="s">
        <v>11404</v>
      </c>
      <c r="G18574" s="40" t="s">
        <v>11404</v>
      </c>
      <c r="H18574" s="40" t="s">
        <v>11404</v>
      </c>
    </row>
    <row r="18575">
      <c r="A18575" s="39"/>
      <c r="E18575" s="40" t="s">
        <v>11404</v>
      </c>
      <c r="F18575" s="40" t="s">
        <v>11404</v>
      </c>
      <c r="G18575" s="40" t="s">
        <v>11404</v>
      </c>
      <c r="H18575" s="40" t="s">
        <v>11404</v>
      </c>
    </row>
    <row r="18576">
      <c r="A18576" s="39"/>
      <c r="E18576" s="40" t="s">
        <v>11404</v>
      </c>
      <c r="F18576" s="40" t="s">
        <v>11404</v>
      </c>
      <c r="G18576" s="40" t="s">
        <v>11404</v>
      </c>
      <c r="H18576" s="40" t="s">
        <v>11404</v>
      </c>
    </row>
    <row r="18577">
      <c r="A18577" s="39"/>
      <c r="E18577" s="40" t="s">
        <v>11404</v>
      </c>
      <c r="F18577" s="40" t="s">
        <v>11404</v>
      </c>
      <c r="G18577" s="40" t="s">
        <v>11404</v>
      </c>
      <c r="H18577" s="40" t="s">
        <v>11404</v>
      </c>
    </row>
    <row r="18578">
      <c r="A18578" s="39"/>
      <c r="E18578" s="40" t="s">
        <v>11404</v>
      </c>
      <c r="F18578" s="40" t="s">
        <v>11404</v>
      </c>
      <c r="G18578" s="40" t="s">
        <v>11404</v>
      </c>
      <c r="H18578" s="40" t="s">
        <v>11404</v>
      </c>
    </row>
    <row r="18579">
      <c r="A18579" s="39"/>
      <c r="E18579" s="40" t="s">
        <v>11404</v>
      </c>
      <c r="F18579" s="40" t="s">
        <v>11404</v>
      </c>
      <c r="G18579" s="40" t="s">
        <v>11404</v>
      </c>
      <c r="H18579" s="40" t="s">
        <v>11404</v>
      </c>
    </row>
    <row r="18580">
      <c r="A18580" s="39"/>
      <c r="E18580" s="40" t="s">
        <v>11404</v>
      </c>
      <c r="F18580" s="40" t="s">
        <v>11404</v>
      </c>
      <c r="G18580" s="40" t="s">
        <v>11404</v>
      </c>
      <c r="H18580" s="40" t="s">
        <v>11404</v>
      </c>
    </row>
    <row r="18581">
      <c r="A18581" s="39"/>
      <c r="E18581" s="40" t="s">
        <v>11404</v>
      </c>
      <c r="F18581" s="40" t="s">
        <v>11404</v>
      </c>
      <c r="G18581" s="40" t="s">
        <v>11404</v>
      </c>
      <c r="H18581" s="40" t="s">
        <v>11404</v>
      </c>
    </row>
    <row r="18582">
      <c r="A18582" s="39"/>
      <c r="E18582" s="40" t="s">
        <v>11404</v>
      </c>
      <c r="F18582" s="40" t="s">
        <v>11404</v>
      </c>
      <c r="G18582" s="40" t="s">
        <v>11404</v>
      </c>
      <c r="H18582" s="40" t="s">
        <v>11404</v>
      </c>
    </row>
    <row r="18583">
      <c r="A18583" s="39"/>
      <c r="E18583" s="40" t="s">
        <v>11404</v>
      </c>
      <c r="F18583" s="40" t="s">
        <v>11404</v>
      </c>
      <c r="G18583" s="40" t="s">
        <v>11404</v>
      </c>
      <c r="H18583" s="40" t="s">
        <v>11404</v>
      </c>
    </row>
    <row r="18584">
      <c r="A18584" s="39"/>
      <c r="E18584" s="40" t="s">
        <v>11404</v>
      </c>
      <c r="F18584" s="40" t="s">
        <v>11404</v>
      </c>
      <c r="G18584" s="40" t="s">
        <v>11404</v>
      </c>
      <c r="H18584" s="40" t="s">
        <v>11404</v>
      </c>
    </row>
    <row r="18585">
      <c r="A18585" s="39"/>
      <c r="E18585" s="40" t="s">
        <v>11404</v>
      </c>
      <c r="F18585" s="40" t="s">
        <v>11404</v>
      </c>
      <c r="G18585" s="40" t="s">
        <v>11404</v>
      </c>
      <c r="H18585" s="40" t="s">
        <v>11404</v>
      </c>
    </row>
    <row r="18586">
      <c r="A18586" s="39"/>
      <c r="E18586" s="40" t="s">
        <v>11404</v>
      </c>
      <c r="F18586" s="40" t="s">
        <v>11404</v>
      </c>
      <c r="G18586" s="40" t="s">
        <v>11404</v>
      </c>
      <c r="H18586" s="40" t="s">
        <v>11404</v>
      </c>
    </row>
    <row r="18587">
      <c r="A18587" s="39"/>
      <c r="E18587" s="40" t="s">
        <v>11404</v>
      </c>
      <c r="F18587" s="40" t="s">
        <v>11404</v>
      </c>
      <c r="G18587" s="40" t="s">
        <v>11404</v>
      </c>
      <c r="H18587" s="40" t="s">
        <v>11404</v>
      </c>
    </row>
    <row r="18588">
      <c r="A18588" s="39"/>
      <c r="E18588" s="40" t="s">
        <v>11404</v>
      </c>
      <c r="F18588" s="40" t="s">
        <v>11404</v>
      </c>
      <c r="G18588" s="40" t="s">
        <v>11404</v>
      </c>
      <c r="H18588" s="40" t="s">
        <v>11404</v>
      </c>
    </row>
    <row r="18589">
      <c r="A18589" s="39"/>
      <c r="E18589" s="40" t="s">
        <v>11404</v>
      </c>
      <c r="F18589" s="40" t="s">
        <v>11404</v>
      </c>
      <c r="G18589" s="40" t="s">
        <v>11404</v>
      </c>
      <c r="H18589" s="40" t="s">
        <v>11404</v>
      </c>
    </row>
    <row r="18590">
      <c r="A18590" s="39"/>
      <c r="E18590" s="40" t="s">
        <v>11404</v>
      </c>
      <c r="F18590" s="40" t="s">
        <v>11404</v>
      </c>
      <c r="G18590" s="40" t="s">
        <v>11404</v>
      </c>
      <c r="H18590" s="40" t="s">
        <v>11404</v>
      </c>
    </row>
    <row r="18591">
      <c r="A18591" s="39"/>
      <c r="E18591" s="40" t="s">
        <v>11404</v>
      </c>
      <c r="F18591" s="40" t="s">
        <v>11404</v>
      </c>
      <c r="G18591" s="40" t="s">
        <v>11404</v>
      </c>
      <c r="H18591" s="40" t="s">
        <v>11404</v>
      </c>
    </row>
    <row r="18592">
      <c r="A18592" s="39"/>
      <c r="E18592" s="40" t="s">
        <v>11404</v>
      </c>
      <c r="F18592" s="40" t="s">
        <v>11404</v>
      </c>
      <c r="G18592" s="40" t="s">
        <v>11404</v>
      </c>
      <c r="H18592" s="40" t="s">
        <v>11404</v>
      </c>
    </row>
    <row r="18593">
      <c r="A18593" s="39"/>
      <c r="E18593" s="40" t="s">
        <v>11404</v>
      </c>
      <c r="F18593" s="40" t="s">
        <v>11404</v>
      </c>
      <c r="G18593" s="40" t="s">
        <v>11404</v>
      </c>
      <c r="H18593" s="40" t="s">
        <v>11404</v>
      </c>
    </row>
    <row r="18594">
      <c r="A18594" s="39"/>
      <c r="E18594" s="40" t="s">
        <v>11404</v>
      </c>
      <c r="F18594" s="40" t="s">
        <v>11404</v>
      </c>
      <c r="G18594" s="40" t="s">
        <v>11404</v>
      </c>
      <c r="H18594" s="40" t="s">
        <v>11404</v>
      </c>
    </row>
    <row r="18595">
      <c r="A18595" s="39"/>
      <c r="E18595" s="40" t="s">
        <v>11404</v>
      </c>
      <c r="F18595" s="40" t="s">
        <v>11404</v>
      </c>
      <c r="G18595" s="40" t="s">
        <v>11404</v>
      </c>
      <c r="H18595" s="40" t="s">
        <v>11404</v>
      </c>
    </row>
    <row r="18596">
      <c r="A18596" s="39"/>
      <c r="E18596" s="40" t="s">
        <v>11404</v>
      </c>
      <c r="F18596" s="40" t="s">
        <v>11404</v>
      </c>
      <c r="G18596" s="40" t="s">
        <v>11404</v>
      </c>
      <c r="H18596" s="40" t="s">
        <v>11404</v>
      </c>
    </row>
    <row r="18597">
      <c r="A18597" s="39"/>
      <c r="E18597" s="40" t="s">
        <v>11404</v>
      </c>
      <c r="F18597" s="40" t="s">
        <v>11404</v>
      </c>
      <c r="G18597" s="40" t="s">
        <v>11404</v>
      </c>
      <c r="H18597" s="40" t="s">
        <v>11404</v>
      </c>
    </row>
    <row r="18598">
      <c r="A18598" s="39"/>
      <c r="E18598" s="40" t="s">
        <v>11404</v>
      </c>
      <c r="F18598" s="40" t="s">
        <v>11404</v>
      </c>
      <c r="G18598" s="40" t="s">
        <v>11404</v>
      </c>
      <c r="H18598" s="40" t="s">
        <v>11404</v>
      </c>
    </row>
    <row r="18599">
      <c r="A18599" s="39"/>
      <c r="E18599" s="40" t="s">
        <v>11404</v>
      </c>
      <c r="F18599" s="40" t="s">
        <v>11404</v>
      </c>
      <c r="G18599" s="40" t="s">
        <v>11404</v>
      </c>
      <c r="H18599" s="40" t="s">
        <v>11404</v>
      </c>
    </row>
    <row r="18600">
      <c r="A18600" s="39"/>
      <c r="E18600" s="40" t="s">
        <v>11404</v>
      </c>
      <c r="F18600" s="40" t="s">
        <v>11404</v>
      </c>
      <c r="G18600" s="40" t="s">
        <v>11404</v>
      </c>
      <c r="H18600" s="40" t="s">
        <v>11404</v>
      </c>
    </row>
    <row r="18601">
      <c r="A18601" s="39"/>
      <c r="E18601" s="40" t="s">
        <v>11404</v>
      </c>
      <c r="F18601" s="40" t="s">
        <v>11404</v>
      </c>
      <c r="G18601" s="40" t="s">
        <v>11404</v>
      </c>
      <c r="H18601" s="40" t="s">
        <v>11404</v>
      </c>
    </row>
    <row r="18602">
      <c r="A18602" s="39"/>
      <c r="E18602" s="40" t="s">
        <v>11404</v>
      </c>
      <c r="F18602" s="40" t="s">
        <v>11404</v>
      </c>
      <c r="G18602" s="40" t="s">
        <v>11404</v>
      </c>
      <c r="H18602" s="40" t="s">
        <v>11404</v>
      </c>
    </row>
    <row r="18603">
      <c r="A18603" s="39"/>
      <c r="E18603" s="40" t="s">
        <v>11404</v>
      </c>
      <c r="F18603" s="40" t="s">
        <v>11404</v>
      </c>
      <c r="G18603" s="40" t="s">
        <v>11404</v>
      </c>
      <c r="H18603" s="40" t="s">
        <v>11404</v>
      </c>
    </row>
    <row r="18604">
      <c r="A18604" s="39"/>
      <c r="E18604" s="40" t="s">
        <v>11404</v>
      </c>
      <c r="F18604" s="40" t="s">
        <v>11404</v>
      </c>
      <c r="G18604" s="40" t="s">
        <v>11404</v>
      </c>
      <c r="H18604" s="40" t="s">
        <v>11404</v>
      </c>
    </row>
    <row r="18605">
      <c r="A18605" s="39"/>
      <c r="E18605" s="40" t="s">
        <v>11404</v>
      </c>
      <c r="F18605" s="40" t="s">
        <v>11404</v>
      </c>
      <c r="G18605" s="40" t="s">
        <v>11404</v>
      </c>
      <c r="H18605" s="40" t="s">
        <v>11404</v>
      </c>
    </row>
    <row r="18606">
      <c r="A18606" s="39"/>
      <c r="E18606" s="40" t="s">
        <v>11404</v>
      </c>
      <c r="F18606" s="40" t="s">
        <v>11404</v>
      </c>
      <c r="G18606" s="40" t="s">
        <v>11404</v>
      </c>
      <c r="H18606" s="40" t="s">
        <v>11404</v>
      </c>
    </row>
    <row r="18607">
      <c r="A18607" s="39"/>
      <c r="E18607" s="40" t="s">
        <v>11404</v>
      </c>
      <c r="F18607" s="40" t="s">
        <v>11404</v>
      </c>
      <c r="G18607" s="40" t="s">
        <v>11404</v>
      </c>
      <c r="H18607" s="40" t="s">
        <v>11404</v>
      </c>
    </row>
    <row r="18608">
      <c r="A18608" s="39"/>
      <c r="E18608" s="40" t="s">
        <v>11404</v>
      </c>
      <c r="F18608" s="40" t="s">
        <v>11404</v>
      </c>
      <c r="G18608" s="40" t="s">
        <v>11404</v>
      </c>
      <c r="H18608" s="40" t="s">
        <v>11404</v>
      </c>
    </row>
    <row r="18609">
      <c r="A18609" s="39"/>
      <c r="E18609" s="40" t="s">
        <v>11404</v>
      </c>
      <c r="F18609" s="40" t="s">
        <v>11404</v>
      </c>
      <c r="G18609" s="40" t="s">
        <v>11404</v>
      </c>
      <c r="H18609" s="40" t="s">
        <v>11404</v>
      </c>
    </row>
    <row r="18610">
      <c r="A18610" s="39"/>
      <c r="E18610" s="40" t="s">
        <v>11404</v>
      </c>
      <c r="F18610" s="40" t="s">
        <v>11404</v>
      </c>
      <c r="G18610" s="40" t="s">
        <v>11404</v>
      </c>
      <c r="H18610" s="40" t="s">
        <v>11404</v>
      </c>
    </row>
    <row r="18611">
      <c r="A18611" s="39"/>
      <c r="E18611" s="40" t="s">
        <v>11404</v>
      </c>
      <c r="F18611" s="40" t="s">
        <v>11404</v>
      </c>
      <c r="G18611" s="40" t="s">
        <v>11404</v>
      </c>
      <c r="H18611" s="40" t="s">
        <v>11404</v>
      </c>
    </row>
    <row r="18612">
      <c r="A18612" s="39"/>
      <c r="E18612" s="40" t="s">
        <v>11404</v>
      </c>
      <c r="F18612" s="40" t="s">
        <v>11404</v>
      </c>
      <c r="G18612" s="40" t="s">
        <v>11404</v>
      </c>
      <c r="H18612" s="40" t="s">
        <v>11404</v>
      </c>
    </row>
    <row r="18613">
      <c r="A18613" s="39"/>
      <c r="E18613" s="40" t="s">
        <v>11404</v>
      </c>
      <c r="F18613" s="40" t="s">
        <v>11404</v>
      </c>
      <c r="G18613" s="40" t="s">
        <v>11404</v>
      </c>
      <c r="H18613" s="40" t="s">
        <v>11404</v>
      </c>
    </row>
    <row r="18614">
      <c r="A18614" s="39"/>
      <c r="E18614" s="40" t="s">
        <v>11404</v>
      </c>
      <c r="F18614" s="40" t="s">
        <v>11404</v>
      </c>
      <c r="G18614" s="40" t="s">
        <v>11404</v>
      </c>
      <c r="H18614" s="40" t="s">
        <v>11404</v>
      </c>
    </row>
    <row r="18615">
      <c r="A18615" s="39"/>
      <c r="E18615" s="40" t="s">
        <v>11404</v>
      </c>
      <c r="F18615" s="40" t="s">
        <v>11404</v>
      </c>
      <c r="G18615" s="40" t="s">
        <v>11404</v>
      </c>
      <c r="H18615" s="40" t="s">
        <v>11404</v>
      </c>
    </row>
    <row r="18616">
      <c r="A18616" s="39"/>
      <c r="E18616" s="40" t="s">
        <v>11404</v>
      </c>
      <c r="F18616" s="40" t="s">
        <v>11404</v>
      </c>
      <c r="G18616" s="40" t="s">
        <v>11404</v>
      </c>
      <c r="H18616" s="40" t="s">
        <v>11404</v>
      </c>
    </row>
    <row r="18617">
      <c r="A18617" s="39"/>
      <c r="E18617" s="40" t="s">
        <v>11404</v>
      </c>
      <c r="F18617" s="40" t="s">
        <v>11404</v>
      </c>
      <c r="G18617" s="40" t="s">
        <v>11404</v>
      </c>
      <c r="H18617" s="40" t="s">
        <v>11404</v>
      </c>
    </row>
    <row r="18618">
      <c r="A18618" s="39"/>
      <c r="E18618" s="40" t="s">
        <v>11404</v>
      </c>
      <c r="F18618" s="40" t="s">
        <v>11404</v>
      </c>
      <c r="G18618" s="40" t="s">
        <v>11404</v>
      </c>
      <c r="H18618" s="40" t="s">
        <v>11404</v>
      </c>
    </row>
    <row r="18619">
      <c r="A18619" s="39"/>
      <c r="E18619" s="40" t="s">
        <v>11404</v>
      </c>
      <c r="F18619" s="40" t="s">
        <v>11404</v>
      </c>
      <c r="G18619" s="40" t="s">
        <v>11404</v>
      </c>
      <c r="H18619" s="40" t="s">
        <v>11404</v>
      </c>
    </row>
    <row r="18620">
      <c r="A18620" s="39"/>
      <c r="E18620" s="40" t="s">
        <v>11404</v>
      </c>
      <c r="F18620" s="40" t="s">
        <v>11404</v>
      </c>
      <c r="G18620" s="40" t="s">
        <v>11404</v>
      </c>
      <c r="H18620" s="40" t="s">
        <v>11404</v>
      </c>
    </row>
    <row r="18621">
      <c r="A18621" s="39"/>
      <c r="E18621" s="40" t="s">
        <v>11404</v>
      </c>
      <c r="F18621" s="40" t="s">
        <v>11404</v>
      </c>
      <c r="G18621" s="40" t="s">
        <v>11404</v>
      </c>
      <c r="H18621" s="40" t="s">
        <v>11404</v>
      </c>
    </row>
    <row r="18622">
      <c r="A18622" s="39"/>
      <c r="E18622" s="40" t="s">
        <v>11404</v>
      </c>
      <c r="F18622" s="40" t="s">
        <v>11404</v>
      </c>
      <c r="G18622" s="40" t="s">
        <v>11404</v>
      </c>
      <c r="H18622" s="40" t="s">
        <v>11404</v>
      </c>
    </row>
    <row r="18623">
      <c r="A18623" s="39"/>
      <c r="E18623" s="40" t="s">
        <v>11404</v>
      </c>
      <c r="F18623" s="40" t="s">
        <v>11404</v>
      </c>
      <c r="G18623" s="40" t="s">
        <v>11404</v>
      </c>
      <c r="H18623" s="40" t="s">
        <v>11404</v>
      </c>
    </row>
    <row r="18624">
      <c r="A18624" s="39"/>
      <c r="E18624" s="40" t="s">
        <v>11404</v>
      </c>
      <c r="F18624" s="40" t="s">
        <v>11404</v>
      </c>
      <c r="G18624" s="40" t="s">
        <v>11404</v>
      </c>
      <c r="H18624" s="40" t="s">
        <v>11404</v>
      </c>
    </row>
    <row r="18625">
      <c r="A18625" s="39"/>
      <c r="E18625" s="40" t="s">
        <v>11404</v>
      </c>
      <c r="F18625" s="40" t="s">
        <v>11404</v>
      </c>
      <c r="G18625" s="40" t="s">
        <v>11404</v>
      </c>
      <c r="H18625" s="40" t="s">
        <v>11404</v>
      </c>
    </row>
    <row r="18626">
      <c r="A18626" s="39"/>
      <c r="E18626" s="40" t="s">
        <v>11404</v>
      </c>
      <c r="F18626" s="40" t="s">
        <v>11404</v>
      </c>
      <c r="G18626" s="40" t="s">
        <v>11404</v>
      </c>
      <c r="H18626" s="40" t="s">
        <v>11404</v>
      </c>
    </row>
    <row r="18627">
      <c r="A18627" s="39"/>
      <c r="E18627" s="40" t="s">
        <v>11404</v>
      </c>
      <c r="F18627" s="40" t="s">
        <v>11404</v>
      </c>
      <c r="G18627" s="40" t="s">
        <v>11404</v>
      </c>
      <c r="H18627" s="40" t="s">
        <v>11404</v>
      </c>
    </row>
    <row r="18628">
      <c r="A18628" s="39"/>
      <c r="E18628" s="40" t="s">
        <v>11404</v>
      </c>
      <c r="F18628" s="40" t="s">
        <v>11404</v>
      </c>
      <c r="G18628" s="40" t="s">
        <v>11404</v>
      </c>
      <c r="H18628" s="40" t="s">
        <v>11404</v>
      </c>
    </row>
    <row r="18629">
      <c r="A18629" s="39"/>
      <c r="E18629" s="40" t="s">
        <v>11404</v>
      </c>
      <c r="F18629" s="40" t="s">
        <v>11404</v>
      </c>
      <c r="G18629" s="40" t="s">
        <v>11404</v>
      </c>
      <c r="H18629" s="40" t="s">
        <v>11404</v>
      </c>
    </row>
    <row r="18630">
      <c r="A18630" s="39"/>
      <c r="E18630" s="40" t="s">
        <v>11404</v>
      </c>
      <c r="F18630" s="40" t="s">
        <v>11404</v>
      </c>
      <c r="G18630" s="40" t="s">
        <v>11404</v>
      </c>
      <c r="H18630" s="40" t="s">
        <v>11404</v>
      </c>
    </row>
    <row r="18631">
      <c r="A18631" s="39"/>
      <c r="E18631" s="40" t="s">
        <v>11404</v>
      </c>
      <c r="F18631" s="40" t="s">
        <v>11404</v>
      </c>
      <c r="G18631" s="40" t="s">
        <v>11404</v>
      </c>
      <c r="H18631" s="40" t="s">
        <v>11404</v>
      </c>
    </row>
    <row r="18632">
      <c r="A18632" s="39"/>
      <c r="E18632" s="40" t="s">
        <v>11404</v>
      </c>
      <c r="F18632" s="40" t="s">
        <v>11404</v>
      </c>
      <c r="G18632" s="40" t="s">
        <v>11404</v>
      </c>
      <c r="H18632" s="40" t="s">
        <v>11404</v>
      </c>
    </row>
    <row r="18633">
      <c r="A18633" s="39"/>
      <c r="E18633" s="40" t="s">
        <v>11404</v>
      </c>
      <c r="F18633" s="40" t="s">
        <v>11404</v>
      </c>
      <c r="G18633" s="40" t="s">
        <v>11404</v>
      </c>
      <c r="H18633" s="40" t="s">
        <v>11404</v>
      </c>
    </row>
    <row r="18634">
      <c r="A18634" s="39"/>
      <c r="E18634" s="40" t="s">
        <v>11404</v>
      </c>
      <c r="F18634" s="40" t="s">
        <v>11404</v>
      </c>
      <c r="G18634" s="40" t="s">
        <v>11404</v>
      </c>
      <c r="H18634" s="40" t="s">
        <v>11404</v>
      </c>
    </row>
    <row r="18635">
      <c r="A18635" s="39"/>
      <c r="E18635" s="40" t="s">
        <v>11404</v>
      </c>
      <c r="F18635" s="40" t="s">
        <v>11404</v>
      </c>
      <c r="G18635" s="40" t="s">
        <v>11404</v>
      </c>
      <c r="H18635" s="40" t="s">
        <v>11404</v>
      </c>
    </row>
    <row r="18636">
      <c r="A18636" s="39"/>
      <c r="E18636" s="40" t="s">
        <v>11404</v>
      </c>
      <c r="F18636" s="40" t="s">
        <v>11404</v>
      </c>
      <c r="G18636" s="40" t="s">
        <v>11404</v>
      </c>
      <c r="H18636" s="40" t="s">
        <v>11404</v>
      </c>
    </row>
    <row r="18637">
      <c r="A18637" s="39"/>
      <c r="E18637" s="40" t="s">
        <v>11404</v>
      </c>
      <c r="F18637" s="40" t="s">
        <v>11404</v>
      </c>
      <c r="G18637" s="40" t="s">
        <v>11404</v>
      </c>
      <c r="H18637" s="40" t="s">
        <v>11404</v>
      </c>
    </row>
    <row r="18638">
      <c r="A18638" s="39"/>
      <c r="E18638" s="40" t="s">
        <v>11404</v>
      </c>
      <c r="F18638" s="40" t="s">
        <v>11404</v>
      </c>
      <c r="G18638" s="40" t="s">
        <v>11404</v>
      </c>
      <c r="H18638" s="40" t="s">
        <v>11404</v>
      </c>
    </row>
    <row r="18639">
      <c r="A18639" s="39"/>
      <c r="E18639" s="40" t="s">
        <v>11404</v>
      </c>
      <c r="F18639" s="40" t="s">
        <v>11404</v>
      </c>
      <c r="G18639" s="40" t="s">
        <v>11404</v>
      </c>
      <c r="H18639" s="40" t="s">
        <v>11404</v>
      </c>
    </row>
    <row r="18640">
      <c r="A18640" s="39"/>
      <c r="E18640" s="40" t="s">
        <v>11404</v>
      </c>
      <c r="F18640" s="40" t="s">
        <v>11404</v>
      </c>
      <c r="G18640" s="40" t="s">
        <v>11404</v>
      </c>
      <c r="H18640" s="40" t="s">
        <v>11404</v>
      </c>
    </row>
    <row r="18641">
      <c r="A18641" s="39"/>
      <c r="E18641" s="40" t="s">
        <v>11404</v>
      </c>
      <c r="F18641" s="40" t="s">
        <v>11404</v>
      </c>
      <c r="G18641" s="40" t="s">
        <v>11404</v>
      </c>
      <c r="H18641" s="40" t="s">
        <v>11404</v>
      </c>
    </row>
    <row r="18642">
      <c r="A18642" s="39"/>
      <c r="E18642" s="40" t="s">
        <v>11404</v>
      </c>
      <c r="F18642" s="40" t="s">
        <v>11404</v>
      </c>
      <c r="G18642" s="40" t="s">
        <v>11404</v>
      </c>
      <c r="H18642" s="40" t="s">
        <v>11404</v>
      </c>
    </row>
    <row r="18643">
      <c r="A18643" s="39"/>
      <c r="E18643" s="40" t="s">
        <v>11404</v>
      </c>
      <c r="F18643" s="40" t="s">
        <v>11404</v>
      </c>
      <c r="G18643" s="40" t="s">
        <v>11404</v>
      </c>
      <c r="H18643" s="40" t="s">
        <v>11404</v>
      </c>
    </row>
    <row r="18644">
      <c r="A18644" s="39"/>
      <c r="E18644" s="40" t="s">
        <v>11404</v>
      </c>
      <c r="F18644" s="40" t="s">
        <v>11404</v>
      </c>
      <c r="G18644" s="40" t="s">
        <v>11404</v>
      </c>
      <c r="H18644" s="40" t="s">
        <v>11404</v>
      </c>
    </row>
    <row r="18645">
      <c r="A18645" s="39"/>
      <c r="E18645" s="40" t="s">
        <v>11404</v>
      </c>
      <c r="F18645" s="40" t="s">
        <v>11404</v>
      </c>
      <c r="G18645" s="40" t="s">
        <v>11404</v>
      </c>
      <c r="H18645" s="40" t="s">
        <v>11404</v>
      </c>
    </row>
    <row r="18646">
      <c r="A18646" s="39"/>
      <c r="E18646" s="40" t="s">
        <v>11404</v>
      </c>
      <c r="F18646" s="40" t="s">
        <v>11404</v>
      </c>
      <c r="G18646" s="40" t="s">
        <v>11404</v>
      </c>
      <c r="H18646" s="40" t="s">
        <v>11404</v>
      </c>
    </row>
    <row r="18647">
      <c r="A18647" s="39"/>
      <c r="E18647" s="40" t="s">
        <v>11404</v>
      </c>
      <c r="F18647" s="40" t="s">
        <v>11404</v>
      </c>
      <c r="G18647" s="40" t="s">
        <v>11404</v>
      </c>
      <c r="H18647" s="40" t="s">
        <v>11404</v>
      </c>
    </row>
    <row r="18648">
      <c r="A18648" s="39"/>
      <c r="E18648" s="40" t="s">
        <v>11404</v>
      </c>
      <c r="F18648" s="40" t="s">
        <v>11404</v>
      </c>
      <c r="G18648" s="40" t="s">
        <v>11404</v>
      </c>
      <c r="H18648" s="40" t="s">
        <v>11404</v>
      </c>
    </row>
    <row r="18649">
      <c r="A18649" s="39"/>
      <c r="E18649" s="40" t="s">
        <v>11404</v>
      </c>
      <c r="F18649" s="40" t="s">
        <v>11404</v>
      </c>
      <c r="G18649" s="40" t="s">
        <v>11404</v>
      </c>
      <c r="H18649" s="40" t="s">
        <v>11404</v>
      </c>
    </row>
    <row r="18650">
      <c r="A18650" s="39"/>
      <c r="E18650" s="40" t="s">
        <v>11404</v>
      </c>
      <c r="F18650" s="40" t="s">
        <v>11404</v>
      </c>
      <c r="G18650" s="40" t="s">
        <v>11404</v>
      </c>
      <c r="H18650" s="40" t="s">
        <v>11404</v>
      </c>
    </row>
    <row r="18651">
      <c r="A18651" s="39"/>
      <c r="E18651" s="40" t="s">
        <v>11404</v>
      </c>
      <c r="F18651" s="40" t="s">
        <v>11404</v>
      </c>
      <c r="G18651" s="40" t="s">
        <v>11404</v>
      </c>
      <c r="H18651" s="40" t="s">
        <v>11404</v>
      </c>
    </row>
    <row r="18652">
      <c r="A18652" s="39"/>
      <c r="E18652" s="40" t="s">
        <v>11404</v>
      </c>
      <c r="F18652" s="40" t="s">
        <v>11404</v>
      </c>
      <c r="G18652" s="40" t="s">
        <v>11404</v>
      </c>
      <c r="H18652" s="40" t="s">
        <v>11404</v>
      </c>
    </row>
    <row r="18653">
      <c r="A18653" s="39"/>
      <c r="E18653" s="40" t="s">
        <v>11404</v>
      </c>
      <c r="F18653" s="40" t="s">
        <v>11404</v>
      </c>
      <c r="G18653" s="40" t="s">
        <v>11404</v>
      </c>
      <c r="H18653" s="40" t="s">
        <v>11404</v>
      </c>
    </row>
    <row r="18654">
      <c r="A18654" s="39"/>
      <c r="E18654" s="40" t="s">
        <v>11404</v>
      </c>
      <c r="F18654" s="40" t="s">
        <v>11404</v>
      </c>
      <c r="G18654" s="40" t="s">
        <v>11404</v>
      </c>
      <c r="H18654" s="40" t="s">
        <v>11404</v>
      </c>
    </row>
    <row r="18655">
      <c r="A18655" s="39"/>
      <c r="E18655" s="40" t="s">
        <v>11404</v>
      </c>
      <c r="F18655" s="40" t="s">
        <v>11404</v>
      </c>
      <c r="G18655" s="40" t="s">
        <v>11404</v>
      </c>
      <c r="H18655" s="40" t="s">
        <v>11404</v>
      </c>
    </row>
    <row r="18656">
      <c r="A18656" s="39"/>
      <c r="E18656" s="40" t="s">
        <v>11404</v>
      </c>
      <c r="F18656" s="40" t="s">
        <v>11404</v>
      </c>
      <c r="G18656" s="40" t="s">
        <v>11404</v>
      </c>
      <c r="H18656" s="40" t="s">
        <v>11404</v>
      </c>
    </row>
    <row r="18657">
      <c r="A18657" s="39"/>
      <c r="E18657" s="40" t="s">
        <v>11404</v>
      </c>
      <c r="F18657" s="40" t="s">
        <v>11404</v>
      </c>
      <c r="G18657" s="40" t="s">
        <v>11404</v>
      </c>
      <c r="H18657" s="40" t="s">
        <v>11404</v>
      </c>
    </row>
    <row r="18658">
      <c r="A18658" s="39"/>
      <c r="E18658" s="40" t="s">
        <v>11404</v>
      </c>
      <c r="F18658" s="40" t="s">
        <v>11404</v>
      </c>
      <c r="G18658" s="40" t="s">
        <v>11404</v>
      </c>
      <c r="H18658" s="40" t="s">
        <v>11404</v>
      </c>
    </row>
    <row r="18659">
      <c r="A18659" s="39"/>
      <c r="E18659" s="40" t="s">
        <v>11404</v>
      </c>
      <c r="F18659" s="40" t="s">
        <v>11404</v>
      </c>
      <c r="G18659" s="40" t="s">
        <v>11404</v>
      </c>
      <c r="H18659" s="40" t="s">
        <v>11404</v>
      </c>
    </row>
    <row r="18660">
      <c r="A18660" s="39"/>
      <c r="E18660" s="40" t="s">
        <v>11404</v>
      </c>
      <c r="F18660" s="40" t="s">
        <v>11404</v>
      </c>
      <c r="G18660" s="40" t="s">
        <v>11404</v>
      </c>
      <c r="H18660" s="40" t="s">
        <v>11404</v>
      </c>
    </row>
    <row r="18661">
      <c r="A18661" s="39"/>
      <c r="E18661" s="40" t="s">
        <v>11404</v>
      </c>
      <c r="F18661" s="40" t="s">
        <v>11404</v>
      </c>
      <c r="G18661" s="40" t="s">
        <v>11404</v>
      </c>
      <c r="H18661" s="40" t="s">
        <v>11404</v>
      </c>
    </row>
    <row r="18662">
      <c r="A18662" s="39"/>
      <c r="E18662" s="40" t="s">
        <v>11404</v>
      </c>
      <c r="F18662" s="40" t="s">
        <v>11404</v>
      </c>
      <c r="G18662" s="40" t="s">
        <v>11404</v>
      </c>
      <c r="H18662" s="40" t="s">
        <v>11404</v>
      </c>
    </row>
    <row r="18663">
      <c r="A18663" s="39"/>
      <c r="E18663" s="40" t="s">
        <v>11404</v>
      </c>
      <c r="F18663" s="40" t="s">
        <v>11404</v>
      </c>
      <c r="G18663" s="40" t="s">
        <v>11404</v>
      </c>
      <c r="H18663" s="40" t="s">
        <v>11404</v>
      </c>
    </row>
    <row r="18664">
      <c r="A18664" s="39"/>
      <c r="E18664" s="40" t="s">
        <v>11404</v>
      </c>
      <c r="F18664" s="40" t="s">
        <v>11404</v>
      </c>
      <c r="G18664" s="40" t="s">
        <v>11404</v>
      </c>
      <c r="H18664" s="40" t="s">
        <v>11404</v>
      </c>
    </row>
    <row r="18665">
      <c r="A18665" s="39"/>
      <c r="E18665" s="40" t="s">
        <v>11404</v>
      </c>
      <c r="F18665" s="40" t="s">
        <v>11404</v>
      </c>
      <c r="G18665" s="40" t="s">
        <v>11404</v>
      </c>
      <c r="H18665" s="40" t="s">
        <v>11404</v>
      </c>
    </row>
    <row r="18666">
      <c r="A18666" s="39"/>
      <c r="E18666" s="40" t="s">
        <v>11404</v>
      </c>
      <c r="F18666" s="40" t="s">
        <v>11404</v>
      </c>
      <c r="G18666" s="40" t="s">
        <v>11404</v>
      </c>
      <c r="H18666" s="40" t="s">
        <v>11404</v>
      </c>
    </row>
    <row r="18667">
      <c r="A18667" s="39"/>
      <c r="E18667" s="40" t="s">
        <v>11404</v>
      </c>
      <c r="F18667" s="40" t="s">
        <v>11404</v>
      </c>
      <c r="G18667" s="40" t="s">
        <v>11404</v>
      </c>
      <c r="H18667" s="40" t="s">
        <v>11404</v>
      </c>
    </row>
    <row r="18668">
      <c r="A18668" s="39"/>
      <c r="E18668" s="40" t="s">
        <v>11404</v>
      </c>
      <c r="F18668" s="40" t="s">
        <v>11404</v>
      </c>
      <c r="G18668" s="40" t="s">
        <v>11404</v>
      </c>
      <c r="H18668" s="40" t="s">
        <v>11404</v>
      </c>
    </row>
    <row r="18669">
      <c r="A18669" s="39"/>
      <c r="E18669" s="40" t="s">
        <v>11404</v>
      </c>
      <c r="F18669" s="40" t="s">
        <v>11404</v>
      </c>
      <c r="G18669" s="40" t="s">
        <v>11404</v>
      </c>
      <c r="H18669" s="40" t="s">
        <v>11404</v>
      </c>
    </row>
    <row r="18670">
      <c r="A18670" s="39"/>
      <c r="E18670" s="40" t="s">
        <v>11404</v>
      </c>
      <c r="F18670" s="40" t="s">
        <v>11404</v>
      </c>
      <c r="G18670" s="40" t="s">
        <v>11404</v>
      </c>
      <c r="H18670" s="40" t="s">
        <v>11404</v>
      </c>
    </row>
    <row r="18671">
      <c r="A18671" s="39"/>
      <c r="E18671" s="40" t="s">
        <v>11404</v>
      </c>
      <c r="F18671" s="40" t="s">
        <v>11404</v>
      </c>
      <c r="G18671" s="40" t="s">
        <v>11404</v>
      </c>
      <c r="H18671" s="40" t="s">
        <v>11404</v>
      </c>
    </row>
    <row r="18672">
      <c r="A18672" s="39"/>
      <c r="E18672" s="40" t="s">
        <v>11404</v>
      </c>
      <c r="F18672" s="40" t="s">
        <v>11404</v>
      </c>
      <c r="G18672" s="40" t="s">
        <v>11404</v>
      </c>
      <c r="H18672" s="40" t="s">
        <v>11404</v>
      </c>
    </row>
    <row r="18673">
      <c r="A18673" s="39"/>
      <c r="E18673" s="40" t="s">
        <v>11404</v>
      </c>
      <c r="F18673" s="40" t="s">
        <v>11404</v>
      </c>
      <c r="G18673" s="40" t="s">
        <v>11404</v>
      </c>
      <c r="H18673" s="40" t="s">
        <v>11404</v>
      </c>
    </row>
    <row r="18674">
      <c r="A18674" s="39"/>
      <c r="E18674" s="40" t="s">
        <v>11404</v>
      </c>
      <c r="F18674" s="40" t="s">
        <v>11404</v>
      </c>
      <c r="G18674" s="40" t="s">
        <v>11404</v>
      </c>
      <c r="H18674" s="40" t="s">
        <v>11404</v>
      </c>
    </row>
    <row r="18675">
      <c r="A18675" s="39"/>
      <c r="E18675" s="40" t="s">
        <v>11404</v>
      </c>
      <c r="F18675" s="40" t="s">
        <v>11404</v>
      </c>
      <c r="G18675" s="40" t="s">
        <v>11404</v>
      </c>
      <c r="H18675" s="40" t="s">
        <v>11404</v>
      </c>
    </row>
    <row r="18676">
      <c r="A18676" s="39"/>
      <c r="E18676" s="40" t="s">
        <v>11404</v>
      </c>
      <c r="F18676" s="40" t="s">
        <v>11404</v>
      </c>
      <c r="G18676" s="40" t="s">
        <v>11404</v>
      </c>
      <c r="H18676" s="40" t="s">
        <v>11404</v>
      </c>
    </row>
    <row r="18677">
      <c r="A18677" s="39"/>
      <c r="E18677" s="40" t="s">
        <v>11404</v>
      </c>
      <c r="F18677" s="40" t="s">
        <v>11404</v>
      </c>
      <c r="G18677" s="40" t="s">
        <v>11404</v>
      </c>
      <c r="H18677" s="40" t="s">
        <v>11404</v>
      </c>
    </row>
    <row r="18678">
      <c r="A18678" s="39"/>
      <c r="E18678" s="40" t="s">
        <v>11404</v>
      </c>
      <c r="F18678" s="40" t="s">
        <v>11404</v>
      </c>
      <c r="G18678" s="40" t="s">
        <v>11404</v>
      </c>
      <c r="H18678" s="40" t="s">
        <v>11404</v>
      </c>
    </row>
    <row r="18679">
      <c r="A18679" s="39"/>
      <c r="E18679" s="40" t="s">
        <v>11404</v>
      </c>
      <c r="F18679" s="40" t="s">
        <v>11404</v>
      </c>
      <c r="G18679" s="40" t="s">
        <v>11404</v>
      </c>
      <c r="H18679" s="40" t="s">
        <v>11404</v>
      </c>
    </row>
    <row r="18680">
      <c r="A18680" s="39"/>
      <c r="E18680" s="40" t="s">
        <v>11404</v>
      </c>
      <c r="F18680" s="40" t="s">
        <v>11404</v>
      </c>
      <c r="G18680" s="40" t="s">
        <v>11404</v>
      </c>
      <c r="H18680" s="40" t="s">
        <v>11404</v>
      </c>
    </row>
    <row r="18681">
      <c r="A18681" s="39"/>
      <c r="E18681" s="40" t="s">
        <v>11404</v>
      </c>
      <c r="F18681" s="40" t="s">
        <v>11404</v>
      </c>
      <c r="G18681" s="40" t="s">
        <v>11404</v>
      </c>
      <c r="H18681" s="40" t="s">
        <v>11404</v>
      </c>
    </row>
    <row r="18682">
      <c r="A18682" s="39"/>
      <c r="E18682" s="40" t="s">
        <v>11404</v>
      </c>
      <c r="F18682" s="40" t="s">
        <v>11404</v>
      </c>
      <c r="G18682" s="40" t="s">
        <v>11404</v>
      </c>
      <c r="H18682" s="40" t="s">
        <v>11404</v>
      </c>
    </row>
    <row r="18683">
      <c r="A18683" s="39"/>
      <c r="E18683" s="40" t="s">
        <v>11404</v>
      </c>
      <c r="F18683" s="40" t="s">
        <v>11404</v>
      </c>
      <c r="G18683" s="40" t="s">
        <v>11404</v>
      </c>
      <c r="H18683" s="40" t="s">
        <v>11404</v>
      </c>
    </row>
    <row r="18684">
      <c r="A18684" s="39"/>
      <c r="E18684" s="40" t="s">
        <v>11404</v>
      </c>
      <c r="F18684" s="40" t="s">
        <v>11404</v>
      </c>
      <c r="G18684" s="40" t="s">
        <v>11404</v>
      </c>
      <c r="H18684" s="40" t="s">
        <v>11404</v>
      </c>
    </row>
    <row r="18685">
      <c r="A18685" s="39"/>
      <c r="E18685" s="40" t="s">
        <v>11404</v>
      </c>
      <c r="F18685" s="40" t="s">
        <v>11404</v>
      </c>
      <c r="G18685" s="40" t="s">
        <v>11404</v>
      </c>
      <c r="H18685" s="40" t="s">
        <v>11404</v>
      </c>
    </row>
    <row r="18686">
      <c r="A18686" s="39"/>
      <c r="E18686" s="40" t="s">
        <v>11404</v>
      </c>
      <c r="F18686" s="40" t="s">
        <v>11404</v>
      </c>
      <c r="G18686" s="40" t="s">
        <v>11404</v>
      </c>
      <c r="H18686" s="40" t="s">
        <v>11404</v>
      </c>
    </row>
    <row r="18687">
      <c r="A18687" s="39"/>
      <c r="E18687" s="40" t="s">
        <v>11404</v>
      </c>
      <c r="F18687" s="40" t="s">
        <v>11404</v>
      </c>
      <c r="G18687" s="40" t="s">
        <v>11404</v>
      </c>
      <c r="H18687" s="40" t="s">
        <v>11404</v>
      </c>
    </row>
    <row r="18688">
      <c r="A18688" s="39"/>
      <c r="E18688" s="40" t="s">
        <v>11404</v>
      </c>
      <c r="F18688" s="40" t="s">
        <v>11404</v>
      </c>
      <c r="G18688" s="40" t="s">
        <v>11404</v>
      </c>
      <c r="H18688" s="40" t="s">
        <v>11404</v>
      </c>
    </row>
    <row r="18689">
      <c r="A18689" s="39"/>
      <c r="E18689" s="40" t="s">
        <v>11404</v>
      </c>
      <c r="F18689" s="40" t="s">
        <v>11404</v>
      </c>
      <c r="G18689" s="40" t="s">
        <v>11404</v>
      </c>
      <c r="H18689" s="40" t="s">
        <v>11404</v>
      </c>
    </row>
    <row r="18690">
      <c r="A18690" s="39"/>
      <c r="E18690" s="40" t="s">
        <v>11404</v>
      </c>
      <c r="F18690" s="40" t="s">
        <v>11404</v>
      </c>
      <c r="G18690" s="40" t="s">
        <v>11404</v>
      </c>
      <c r="H18690" s="40" t="s">
        <v>11404</v>
      </c>
    </row>
    <row r="18691">
      <c r="A18691" s="39"/>
      <c r="E18691" s="40" t="s">
        <v>11404</v>
      </c>
      <c r="F18691" s="40" t="s">
        <v>11404</v>
      </c>
      <c r="G18691" s="40" t="s">
        <v>11404</v>
      </c>
      <c r="H18691" s="40" t="s">
        <v>11404</v>
      </c>
    </row>
    <row r="18692">
      <c r="A18692" s="39"/>
      <c r="E18692" s="40" t="s">
        <v>11404</v>
      </c>
      <c r="F18692" s="40" t="s">
        <v>11404</v>
      </c>
      <c r="G18692" s="40" t="s">
        <v>11404</v>
      </c>
      <c r="H18692" s="40" t="s">
        <v>11404</v>
      </c>
    </row>
    <row r="18693">
      <c r="A18693" s="39"/>
      <c r="E18693" s="40" t="s">
        <v>11404</v>
      </c>
      <c r="F18693" s="40" t="s">
        <v>11404</v>
      </c>
      <c r="G18693" s="40" t="s">
        <v>11404</v>
      </c>
      <c r="H18693" s="40" t="s">
        <v>11404</v>
      </c>
    </row>
    <row r="18694">
      <c r="A18694" s="39"/>
      <c r="E18694" s="40" t="s">
        <v>11404</v>
      </c>
      <c r="F18694" s="40" t="s">
        <v>11404</v>
      </c>
      <c r="G18694" s="40" t="s">
        <v>11404</v>
      </c>
      <c r="H18694" s="40" t="s">
        <v>11404</v>
      </c>
    </row>
    <row r="18695">
      <c r="A18695" s="39"/>
      <c r="E18695" s="40" t="s">
        <v>11404</v>
      </c>
      <c r="F18695" s="40" t="s">
        <v>11404</v>
      </c>
      <c r="G18695" s="40" t="s">
        <v>11404</v>
      </c>
      <c r="H18695" s="40" t="s">
        <v>11404</v>
      </c>
    </row>
    <row r="18696">
      <c r="A18696" s="39"/>
      <c r="E18696" s="40" t="s">
        <v>11404</v>
      </c>
      <c r="F18696" s="40" t="s">
        <v>11404</v>
      </c>
      <c r="G18696" s="40" t="s">
        <v>11404</v>
      </c>
      <c r="H18696" s="40" t="s">
        <v>11404</v>
      </c>
    </row>
    <row r="18697">
      <c r="A18697" s="39"/>
      <c r="E18697" s="40" t="s">
        <v>11404</v>
      </c>
      <c r="F18697" s="40" t="s">
        <v>11404</v>
      </c>
      <c r="G18697" s="40" t="s">
        <v>11404</v>
      </c>
      <c r="H18697" s="40" t="s">
        <v>11404</v>
      </c>
    </row>
    <row r="18698">
      <c r="A18698" s="39"/>
      <c r="E18698" s="40" t="s">
        <v>11404</v>
      </c>
      <c r="F18698" s="40" t="s">
        <v>11404</v>
      </c>
      <c r="G18698" s="40" t="s">
        <v>11404</v>
      </c>
      <c r="H18698" s="40" t="s">
        <v>11404</v>
      </c>
    </row>
    <row r="18699">
      <c r="A18699" s="39"/>
      <c r="E18699" s="40" t="s">
        <v>11404</v>
      </c>
      <c r="F18699" s="40" t="s">
        <v>11404</v>
      </c>
      <c r="G18699" s="40" t="s">
        <v>11404</v>
      </c>
      <c r="H18699" s="40" t="s">
        <v>11404</v>
      </c>
    </row>
    <row r="18700">
      <c r="A18700" s="39"/>
      <c r="E18700" s="40" t="s">
        <v>11404</v>
      </c>
      <c r="F18700" s="40" t="s">
        <v>11404</v>
      </c>
      <c r="G18700" s="40" t="s">
        <v>11404</v>
      </c>
      <c r="H18700" s="40" t="s">
        <v>11404</v>
      </c>
    </row>
    <row r="18701">
      <c r="A18701" s="39"/>
      <c r="E18701" s="40" t="s">
        <v>11404</v>
      </c>
      <c r="F18701" s="40" t="s">
        <v>11404</v>
      </c>
      <c r="G18701" s="40" t="s">
        <v>11404</v>
      </c>
      <c r="H18701" s="40" t="s">
        <v>11404</v>
      </c>
    </row>
    <row r="18702">
      <c r="A18702" s="39"/>
      <c r="E18702" s="40" t="s">
        <v>11404</v>
      </c>
      <c r="F18702" s="40" t="s">
        <v>11404</v>
      </c>
      <c r="G18702" s="40" t="s">
        <v>11404</v>
      </c>
      <c r="H18702" s="40" t="s">
        <v>11404</v>
      </c>
    </row>
    <row r="18703">
      <c r="A18703" s="39"/>
      <c r="E18703" s="40" t="s">
        <v>11404</v>
      </c>
      <c r="F18703" s="40" t="s">
        <v>11404</v>
      </c>
      <c r="G18703" s="40" t="s">
        <v>11404</v>
      </c>
      <c r="H18703" s="40" t="s">
        <v>11404</v>
      </c>
    </row>
    <row r="18704">
      <c r="A18704" s="39"/>
      <c r="E18704" s="40" t="s">
        <v>11404</v>
      </c>
      <c r="F18704" s="40" t="s">
        <v>11404</v>
      </c>
      <c r="G18704" s="40" t="s">
        <v>11404</v>
      </c>
      <c r="H18704" s="40" t="s">
        <v>11404</v>
      </c>
    </row>
    <row r="18705">
      <c r="A18705" s="39"/>
      <c r="E18705" s="40" t="s">
        <v>11404</v>
      </c>
      <c r="F18705" s="40" t="s">
        <v>11404</v>
      </c>
      <c r="G18705" s="40" t="s">
        <v>11404</v>
      </c>
      <c r="H18705" s="40" t="s">
        <v>11404</v>
      </c>
    </row>
    <row r="18706">
      <c r="A18706" s="39"/>
      <c r="E18706" s="40" t="s">
        <v>11404</v>
      </c>
      <c r="F18706" s="40" t="s">
        <v>11404</v>
      </c>
      <c r="G18706" s="40" t="s">
        <v>11404</v>
      </c>
      <c r="H18706" s="40" t="s">
        <v>11404</v>
      </c>
    </row>
    <row r="18707">
      <c r="A18707" s="39"/>
      <c r="E18707" s="40" t="s">
        <v>11404</v>
      </c>
      <c r="F18707" s="40" t="s">
        <v>11404</v>
      </c>
      <c r="G18707" s="40" t="s">
        <v>11404</v>
      </c>
      <c r="H18707" s="40" t="s">
        <v>11404</v>
      </c>
    </row>
    <row r="18708">
      <c r="A18708" s="39"/>
      <c r="E18708" s="40" t="s">
        <v>11404</v>
      </c>
      <c r="F18708" s="40" t="s">
        <v>11404</v>
      </c>
      <c r="G18708" s="40" t="s">
        <v>11404</v>
      </c>
      <c r="H18708" s="40" t="s">
        <v>11404</v>
      </c>
    </row>
    <row r="18709">
      <c r="A18709" s="39"/>
      <c r="E18709" s="40" t="s">
        <v>11404</v>
      </c>
      <c r="F18709" s="40" t="s">
        <v>11404</v>
      </c>
      <c r="G18709" s="40" t="s">
        <v>11404</v>
      </c>
      <c r="H18709" s="40" t="s">
        <v>11404</v>
      </c>
    </row>
    <row r="18710">
      <c r="A18710" s="39"/>
      <c r="E18710" s="40" t="s">
        <v>11404</v>
      </c>
      <c r="F18710" s="40" t="s">
        <v>11404</v>
      </c>
      <c r="G18710" s="40" t="s">
        <v>11404</v>
      </c>
      <c r="H18710" s="40" t="s">
        <v>11404</v>
      </c>
    </row>
    <row r="18711">
      <c r="A18711" s="39"/>
      <c r="E18711" s="40" t="s">
        <v>11404</v>
      </c>
      <c r="F18711" s="40" t="s">
        <v>11404</v>
      </c>
      <c r="G18711" s="40" t="s">
        <v>11404</v>
      </c>
      <c r="H18711" s="40" t="s">
        <v>11404</v>
      </c>
    </row>
    <row r="18712">
      <c r="A18712" s="39"/>
      <c r="E18712" s="40" t="s">
        <v>11404</v>
      </c>
      <c r="F18712" s="40" t="s">
        <v>11404</v>
      </c>
      <c r="G18712" s="40" t="s">
        <v>11404</v>
      </c>
      <c r="H18712" s="40" t="s">
        <v>11404</v>
      </c>
    </row>
    <row r="18713">
      <c r="A18713" s="39"/>
      <c r="E18713" s="40" t="s">
        <v>11404</v>
      </c>
      <c r="F18713" s="40" t="s">
        <v>11404</v>
      </c>
      <c r="G18713" s="40" t="s">
        <v>11404</v>
      </c>
      <c r="H18713" s="40" t="s">
        <v>11404</v>
      </c>
    </row>
    <row r="18714">
      <c r="A18714" s="39"/>
      <c r="E18714" s="40" t="s">
        <v>11404</v>
      </c>
      <c r="F18714" s="40" t="s">
        <v>11404</v>
      </c>
      <c r="G18714" s="40" t="s">
        <v>11404</v>
      </c>
      <c r="H18714" s="40" t="s">
        <v>11404</v>
      </c>
    </row>
    <row r="18715">
      <c r="A18715" s="39"/>
      <c r="E18715" s="40" t="s">
        <v>11404</v>
      </c>
      <c r="F18715" s="40" t="s">
        <v>11404</v>
      </c>
      <c r="G18715" s="40" t="s">
        <v>11404</v>
      </c>
      <c r="H18715" s="40" t="s">
        <v>11404</v>
      </c>
    </row>
    <row r="18716">
      <c r="A18716" s="39"/>
      <c r="E18716" s="40" t="s">
        <v>11404</v>
      </c>
      <c r="F18716" s="40" t="s">
        <v>11404</v>
      </c>
      <c r="G18716" s="40" t="s">
        <v>11404</v>
      </c>
      <c r="H18716" s="40" t="s">
        <v>11404</v>
      </c>
    </row>
    <row r="18717">
      <c r="A18717" s="39"/>
      <c r="E18717" s="40" t="s">
        <v>11404</v>
      </c>
      <c r="F18717" s="40" t="s">
        <v>11404</v>
      </c>
      <c r="G18717" s="40" t="s">
        <v>11404</v>
      </c>
      <c r="H18717" s="40" t="s">
        <v>11404</v>
      </c>
    </row>
    <row r="18718">
      <c r="A18718" s="39"/>
      <c r="E18718" s="40" t="s">
        <v>11404</v>
      </c>
      <c r="F18718" s="40" t="s">
        <v>11404</v>
      </c>
      <c r="G18718" s="40" t="s">
        <v>11404</v>
      </c>
      <c r="H18718" s="40" t="s">
        <v>11404</v>
      </c>
    </row>
    <row r="18719">
      <c r="A18719" s="39"/>
      <c r="E18719" s="40" t="s">
        <v>11404</v>
      </c>
      <c r="F18719" s="40" t="s">
        <v>11404</v>
      </c>
      <c r="G18719" s="40" t="s">
        <v>11404</v>
      </c>
      <c r="H18719" s="40" t="s">
        <v>11404</v>
      </c>
    </row>
    <row r="18720">
      <c r="A18720" s="39"/>
      <c r="E18720" s="40" t="s">
        <v>11404</v>
      </c>
      <c r="F18720" s="40" t="s">
        <v>11404</v>
      </c>
      <c r="G18720" s="40" t="s">
        <v>11404</v>
      </c>
      <c r="H18720" s="40" t="s">
        <v>11404</v>
      </c>
    </row>
    <row r="18721">
      <c r="A18721" s="39"/>
      <c r="E18721" s="40" t="s">
        <v>11404</v>
      </c>
      <c r="F18721" s="40" t="s">
        <v>11404</v>
      </c>
      <c r="G18721" s="40" t="s">
        <v>11404</v>
      </c>
      <c r="H18721" s="40" t="s">
        <v>11404</v>
      </c>
    </row>
    <row r="18722">
      <c r="A18722" s="39"/>
      <c r="E18722" s="40" t="s">
        <v>11404</v>
      </c>
      <c r="F18722" s="40" t="s">
        <v>11404</v>
      </c>
      <c r="G18722" s="40" t="s">
        <v>11404</v>
      </c>
      <c r="H18722" s="40" t="s">
        <v>11404</v>
      </c>
    </row>
    <row r="18723">
      <c r="A18723" s="39"/>
      <c r="E18723" s="40" t="s">
        <v>11404</v>
      </c>
      <c r="F18723" s="40" t="s">
        <v>11404</v>
      </c>
      <c r="G18723" s="40" t="s">
        <v>11404</v>
      </c>
      <c r="H18723" s="40" t="s">
        <v>11404</v>
      </c>
    </row>
    <row r="18724">
      <c r="A18724" s="39"/>
      <c r="E18724" s="40" t="s">
        <v>11404</v>
      </c>
      <c r="F18724" s="40" t="s">
        <v>11404</v>
      </c>
      <c r="G18724" s="40" t="s">
        <v>11404</v>
      </c>
      <c r="H18724" s="40" t="s">
        <v>11404</v>
      </c>
    </row>
    <row r="18725">
      <c r="A18725" s="39"/>
      <c r="E18725" s="40" t="s">
        <v>11404</v>
      </c>
      <c r="F18725" s="40" t="s">
        <v>11404</v>
      </c>
      <c r="G18725" s="40" t="s">
        <v>11404</v>
      </c>
      <c r="H18725" s="40" t="s">
        <v>11404</v>
      </c>
    </row>
    <row r="18726">
      <c r="A18726" s="39"/>
      <c r="E18726" s="40" t="s">
        <v>11404</v>
      </c>
      <c r="F18726" s="40" t="s">
        <v>11404</v>
      </c>
      <c r="G18726" s="40" t="s">
        <v>11404</v>
      </c>
      <c r="H18726" s="40" t="s">
        <v>11404</v>
      </c>
    </row>
    <row r="18727">
      <c r="A18727" s="39"/>
      <c r="E18727" s="40" t="s">
        <v>11404</v>
      </c>
      <c r="F18727" s="40" t="s">
        <v>11404</v>
      </c>
      <c r="G18727" s="40" t="s">
        <v>11404</v>
      </c>
      <c r="H18727" s="40" t="s">
        <v>11404</v>
      </c>
    </row>
    <row r="18728">
      <c r="A18728" s="39"/>
      <c r="E18728" s="40" t="s">
        <v>11404</v>
      </c>
      <c r="F18728" s="40" t="s">
        <v>11404</v>
      </c>
      <c r="G18728" s="40" t="s">
        <v>11404</v>
      </c>
      <c r="H18728" s="40" t="s">
        <v>11404</v>
      </c>
    </row>
    <row r="18729">
      <c r="A18729" s="39"/>
      <c r="E18729" s="40" t="s">
        <v>11404</v>
      </c>
      <c r="F18729" s="40" t="s">
        <v>11404</v>
      </c>
      <c r="G18729" s="40" t="s">
        <v>11404</v>
      </c>
      <c r="H18729" s="40" t="s">
        <v>11404</v>
      </c>
    </row>
    <row r="18730">
      <c r="A18730" s="39"/>
      <c r="E18730" s="40" t="s">
        <v>11404</v>
      </c>
      <c r="F18730" s="40" t="s">
        <v>11404</v>
      </c>
      <c r="G18730" s="40" t="s">
        <v>11404</v>
      </c>
      <c r="H18730" s="40" t="s">
        <v>11404</v>
      </c>
    </row>
    <row r="18731">
      <c r="A18731" s="39"/>
      <c r="E18731" s="40" t="s">
        <v>11404</v>
      </c>
      <c r="F18731" s="40" t="s">
        <v>11404</v>
      </c>
      <c r="G18731" s="40" t="s">
        <v>11404</v>
      </c>
      <c r="H18731" s="40" t="s">
        <v>11404</v>
      </c>
    </row>
    <row r="18732">
      <c r="A18732" s="39"/>
      <c r="E18732" s="40" t="s">
        <v>11404</v>
      </c>
      <c r="F18732" s="40" t="s">
        <v>11404</v>
      </c>
      <c r="G18732" s="40" t="s">
        <v>11404</v>
      </c>
      <c r="H18732" s="40" t="s">
        <v>11404</v>
      </c>
    </row>
    <row r="18733">
      <c r="A18733" s="39"/>
      <c r="E18733" s="40" t="s">
        <v>11404</v>
      </c>
      <c r="F18733" s="40" t="s">
        <v>11404</v>
      </c>
      <c r="G18733" s="40" t="s">
        <v>11404</v>
      </c>
      <c r="H18733" s="40" t="s">
        <v>11404</v>
      </c>
    </row>
    <row r="18734">
      <c r="A18734" s="39"/>
      <c r="E18734" s="40" t="s">
        <v>11404</v>
      </c>
      <c r="F18734" s="40" t="s">
        <v>11404</v>
      </c>
      <c r="G18734" s="40" t="s">
        <v>11404</v>
      </c>
      <c r="H18734" s="40" t="s">
        <v>11404</v>
      </c>
    </row>
    <row r="18735">
      <c r="A18735" s="39"/>
      <c r="E18735" s="40" t="s">
        <v>11404</v>
      </c>
      <c r="F18735" s="40" t="s">
        <v>11404</v>
      </c>
      <c r="G18735" s="40" t="s">
        <v>11404</v>
      </c>
      <c r="H18735" s="40" t="s">
        <v>11404</v>
      </c>
    </row>
    <row r="18736">
      <c r="A18736" s="39"/>
      <c r="E18736" s="40" t="s">
        <v>11404</v>
      </c>
      <c r="F18736" s="40" t="s">
        <v>11404</v>
      </c>
      <c r="G18736" s="40" t="s">
        <v>11404</v>
      </c>
      <c r="H18736" s="40" t="s">
        <v>11404</v>
      </c>
    </row>
    <row r="18737">
      <c r="A18737" s="39"/>
      <c r="E18737" s="40" t="s">
        <v>11404</v>
      </c>
      <c r="F18737" s="40" t="s">
        <v>11404</v>
      </c>
      <c r="G18737" s="40" t="s">
        <v>11404</v>
      </c>
      <c r="H18737" s="40" t="s">
        <v>11404</v>
      </c>
    </row>
    <row r="18738">
      <c r="A18738" s="39"/>
      <c r="E18738" s="40" t="s">
        <v>11404</v>
      </c>
      <c r="F18738" s="40" t="s">
        <v>11404</v>
      </c>
      <c r="G18738" s="40" t="s">
        <v>11404</v>
      </c>
      <c r="H18738" s="40" t="s">
        <v>11404</v>
      </c>
    </row>
    <row r="18739">
      <c r="A18739" s="39"/>
      <c r="E18739" s="40" t="s">
        <v>11404</v>
      </c>
      <c r="F18739" s="40" t="s">
        <v>11404</v>
      </c>
      <c r="G18739" s="40" t="s">
        <v>11404</v>
      </c>
      <c r="H18739" s="40" t="s">
        <v>11404</v>
      </c>
    </row>
    <row r="18740">
      <c r="A18740" s="39"/>
      <c r="E18740" s="40" t="s">
        <v>11404</v>
      </c>
      <c r="F18740" s="40" t="s">
        <v>11404</v>
      </c>
      <c r="G18740" s="40" t="s">
        <v>11404</v>
      </c>
      <c r="H18740" s="40" t="s">
        <v>11404</v>
      </c>
    </row>
    <row r="18741">
      <c r="A18741" s="39"/>
      <c r="E18741" s="40" t="s">
        <v>11404</v>
      </c>
      <c r="F18741" s="40" t="s">
        <v>11404</v>
      </c>
      <c r="G18741" s="40" t="s">
        <v>11404</v>
      </c>
      <c r="H18741" s="40" t="s">
        <v>11404</v>
      </c>
    </row>
    <row r="18742">
      <c r="A18742" s="39"/>
      <c r="E18742" s="40" t="s">
        <v>11404</v>
      </c>
      <c r="F18742" s="40" t="s">
        <v>11404</v>
      </c>
      <c r="G18742" s="40" t="s">
        <v>11404</v>
      </c>
      <c r="H18742" s="40" t="s">
        <v>11404</v>
      </c>
    </row>
    <row r="18743">
      <c r="A18743" s="39"/>
      <c r="E18743" s="40" t="s">
        <v>11404</v>
      </c>
      <c r="F18743" s="40" t="s">
        <v>11404</v>
      </c>
      <c r="G18743" s="40" t="s">
        <v>11404</v>
      </c>
      <c r="H18743" s="40" t="s">
        <v>11404</v>
      </c>
    </row>
    <row r="18744">
      <c r="A18744" s="39"/>
      <c r="E18744" s="40" t="s">
        <v>11404</v>
      </c>
      <c r="F18744" s="40" t="s">
        <v>11404</v>
      </c>
      <c r="G18744" s="40" t="s">
        <v>11404</v>
      </c>
      <c r="H18744" s="40" t="s">
        <v>11404</v>
      </c>
    </row>
    <row r="18745">
      <c r="A18745" s="39"/>
      <c r="E18745" s="40" t="s">
        <v>11404</v>
      </c>
      <c r="F18745" s="40" t="s">
        <v>11404</v>
      </c>
      <c r="G18745" s="40" t="s">
        <v>11404</v>
      </c>
      <c r="H18745" s="40" t="s">
        <v>11404</v>
      </c>
    </row>
    <row r="18746">
      <c r="A18746" s="39"/>
      <c r="E18746" s="40" t="s">
        <v>11404</v>
      </c>
      <c r="F18746" s="40" t="s">
        <v>11404</v>
      </c>
      <c r="G18746" s="40" t="s">
        <v>11404</v>
      </c>
      <c r="H18746" s="40" t="s">
        <v>11404</v>
      </c>
    </row>
    <row r="18747">
      <c r="A18747" s="39"/>
      <c r="E18747" s="40" t="s">
        <v>11404</v>
      </c>
      <c r="F18747" s="40" t="s">
        <v>11404</v>
      </c>
      <c r="G18747" s="40" t="s">
        <v>11404</v>
      </c>
      <c r="H18747" s="40" t="s">
        <v>11404</v>
      </c>
    </row>
    <row r="18748">
      <c r="A18748" s="39"/>
      <c r="E18748" s="40" t="s">
        <v>11404</v>
      </c>
      <c r="F18748" s="40" t="s">
        <v>11404</v>
      </c>
      <c r="G18748" s="40" t="s">
        <v>11404</v>
      </c>
      <c r="H18748" s="40" t="s">
        <v>11404</v>
      </c>
    </row>
    <row r="18749">
      <c r="A18749" s="39"/>
      <c r="E18749" s="40" t="s">
        <v>11404</v>
      </c>
      <c r="F18749" s="40" t="s">
        <v>11404</v>
      </c>
      <c r="G18749" s="40" t="s">
        <v>11404</v>
      </c>
      <c r="H18749" s="40" t="s">
        <v>11404</v>
      </c>
    </row>
    <row r="18750">
      <c r="A18750" s="39"/>
      <c r="E18750" s="40" t="s">
        <v>11404</v>
      </c>
      <c r="F18750" s="40" t="s">
        <v>11404</v>
      </c>
      <c r="G18750" s="40" t="s">
        <v>11404</v>
      </c>
      <c r="H18750" s="40" t="s">
        <v>11404</v>
      </c>
    </row>
    <row r="18751">
      <c r="A18751" s="39"/>
      <c r="E18751" s="40" t="s">
        <v>11404</v>
      </c>
      <c r="F18751" s="40" t="s">
        <v>11404</v>
      </c>
      <c r="G18751" s="40" t="s">
        <v>11404</v>
      </c>
      <c r="H18751" s="40" t="s">
        <v>11404</v>
      </c>
    </row>
    <row r="18752">
      <c r="A18752" s="39"/>
      <c r="E18752" s="40" t="s">
        <v>11404</v>
      </c>
      <c r="F18752" s="40" t="s">
        <v>11404</v>
      </c>
      <c r="G18752" s="40" t="s">
        <v>11404</v>
      </c>
      <c r="H18752" s="40" t="s">
        <v>11404</v>
      </c>
    </row>
    <row r="18753">
      <c r="A18753" s="39"/>
      <c r="E18753" s="40" t="s">
        <v>11404</v>
      </c>
      <c r="F18753" s="40" t="s">
        <v>11404</v>
      </c>
      <c r="G18753" s="40" t="s">
        <v>11404</v>
      </c>
      <c r="H18753" s="40" t="s">
        <v>11404</v>
      </c>
    </row>
    <row r="18754">
      <c r="A18754" s="39"/>
      <c r="E18754" s="40" t="s">
        <v>11404</v>
      </c>
      <c r="F18754" s="40" t="s">
        <v>11404</v>
      </c>
      <c r="G18754" s="40" t="s">
        <v>11404</v>
      </c>
      <c r="H18754" s="40" t="s">
        <v>11404</v>
      </c>
    </row>
    <row r="18755">
      <c r="A18755" s="39"/>
      <c r="E18755" s="40" t="s">
        <v>11404</v>
      </c>
      <c r="F18755" s="40" t="s">
        <v>11404</v>
      </c>
      <c r="G18755" s="40" t="s">
        <v>11404</v>
      </c>
      <c r="H18755" s="40" t="s">
        <v>11404</v>
      </c>
    </row>
    <row r="18756">
      <c r="A18756" s="39"/>
      <c r="E18756" s="40" t="s">
        <v>11404</v>
      </c>
      <c r="F18756" s="40" t="s">
        <v>11404</v>
      </c>
      <c r="G18756" s="40" t="s">
        <v>11404</v>
      </c>
      <c r="H18756" s="40" t="s">
        <v>11404</v>
      </c>
    </row>
    <row r="18757">
      <c r="A18757" s="39"/>
      <c r="E18757" s="40" t="s">
        <v>11404</v>
      </c>
      <c r="F18757" s="40" t="s">
        <v>11404</v>
      </c>
      <c r="G18757" s="40" t="s">
        <v>11404</v>
      </c>
      <c r="H18757" s="40" t="s">
        <v>11404</v>
      </c>
    </row>
    <row r="18758">
      <c r="A18758" s="39"/>
      <c r="E18758" s="40" t="s">
        <v>11404</v>
      </c>
      <c r="F18758" s="40" t="s">
        <v>11404</v>
      </c>
      <c r="G18758" s="40" t="s">
        <v>11404</v>
      </c>
      <c r="H18758" s="40" t="s">
        <v>11404</v>
      </c>
    </row>
    <row r="18759">
      <c r="A18759" s="39"/>
      <c r="E18759" s="40" t="s">
        <v>11404</v>
      </c>
      <c r="F18759" s="40" t="s">
        <v>11404</v>
      </c>
      <c r="G18759" s="40" t="s">
        <v>11404</v>
      </c>
      <c r="H18759" s="40" t="s">
        <v>11404</v>
      </c>
    </row>
    <row r="18760">
      <c r="A18760" s="39"/>
      <c r="E18760" s="40" t="s">
        <v>11404</v>
      </c>
      <c r="F18760" s="40" t="s">
        <v>11404</v>
      </c>
      <c r="G18760" s="40" t="s">
        <v>11404</v>
      </c>
      <c r="H18760" s="40" t="s">
        <v>11404</v>
      </c>
    </row>
    <row r="18761">
      <c r="A18761" s="39"/>
      <c r="E18761" s="40" t="s">
        <v>11404</v>
      </c>
      <c r="F18761" s="40" t="s">
        <v>11404</v>
      </c>
      <c r="G18761" s="40" t="s">
        <v>11404</v>
      </c>
      <c r="H18761" s="40" t="s">
        <v>11404</v>
      </c>
    </row>
    <row r="18762">
      <c r="A18762" s="39"/>
      <c r="E18762" s="40" t="s">
        <v>11404</v>
      </c>
      <c r="F18762" s="40" t="s">
        <v>11404</v>
      </c>
      <c r="G18762" s="40" t="s">
        <v>11404</v>
      </c>
      <c r="H18762" s="40" t="s">
        <v>11404</v>
      </c>
    </row>
    <row r="18763">
      <c r="A18763" s="39"/>
      <c r="E18763" s="40" t="s">
        <v>11404</v>
      </c>
      <c r="F18763" s="40" t="s">
        <v>11404</v>
      </c>
      <c r="G18763" s="40" t="s">
        <v>11404</v>
      </c>
      <c r="H18763" s="40" t="s">
        <v>11404</v>
      </c>
    </row>
    <row r="18764">
      <c r="A18764" s="39"/>
      <c r="E18764" s="40" t="s">
        <v>11404</v>
      </c>
      <c r="F18764" s="40" t="s">
        <v>11404</v>
      </c>
      <c r="G18764" s="40" t="s">
        <v>11404</v>
      </c>
      <c r="H18764" s="40" t="s">
        <v>11404</v>
      </c>
    </row>
    <row r="18765">
      <c r="A18765" s="39"/>
      <c r="E18765" s="40" t="s">
        <v>11404</v>
      </c>
      <c r="F18765" s="40" t="s">
        <v>11404</v>
      </c>
      <c r="G18765" s="40" t="s">
        <v>11404</v>
      </c>
      <c r="H18765" s="40" t="s">
        <v>11404</v>
      </c>
    </row>
    <row r="18766">
      <c r="A18766" s="39"/>
      <c r="E18766" s="40" t="s">
        <v>11404</v>
      </c>
      <c r="F18766" s="40" t="s">
        <v>11404</v>
      </c>
      <c r="G18766" s="40" t="s">
        <v>11404</v>
      </c>
      <c r="H18766" s="40" t="s">
        <v>11404</v>
      </c>
    </row>
    <row r="18767">
      <c r="A18767" s="39"/>
      <c r="E18767" s="40" t="s">
        <v>11404</v>
      </c>
      <c r="F18767" s="40" t="s">
        <v>11404</v>
      </c>
      <c r="G18767" s="40" t="s">
        <v>11404</v>
      </c>
      <c r="H18767" s="40" t="s">
        <v>11404</v>
      </c>
    </row>
    <row r="18768">
      <c r="A18768" s="39"/>
      <c r="E18768" s="40" t="s">
        <v>11404</v>
      </c>
      <c r="F18768" s="40" t="s">
        <v>11404</v>
      </c>
      <c r="G18768" s="40" t="s">
        <v>11404</v>
      </c>
      <c r="H18768" s="40" t="s">
        <v>11404</v>
      </c>
    </row>
    <row r="18769">
      <c r="A18769" s="39"/>
      <c r="E18769" s="40" t="s">
        <v>11404</v>
      </c>
      <c r="F18769" s="40" t="s">
        <v>11404</v>
      </c>
      <c r="G18769" s="40" t="s">
        <v>11404</v>
      </c>
      <c r="H18769" s="40" t="s">
        <v>11404</v>
      </c>
    </row>
    <row r="18770">
      <c r="A18770" s="39"/>
      <c r="E18770" s="40" t="s">
        <v>11404</v>
      </c>
      <c r="F18770" s="40" t="s">
        <v>11404</v>
      </c>
      <c r="G18770" s="40" t="s">
        <v>11404</v>
      </c>
      <c r="H18770" s="40" t="s">
        <v>11404</v>
      </c>
    </row>
    <row r="18771">
      <c r="A18771" s="39"/>
      <c r="E18771" s="40" t="s">
        <v>11404</v>
      </c>
      <c r="F18771" s="40" t="s">
        <v>11404</v>
      </c>
      <c r="G18771" s="40" t="s">
        <v>11404</v>
      </c>
      <c r="H18771" s="40" t="s">
        <v>11404</v>
      </c>
    </row>
    <row r="18772">
      <c r="A18772" s="39"/>
      <c r="E18772" s="40" t="s">
        <v>11404</v>
      </c>
      <c r="F18772" s="40" t="s">
        <v>11404</v>
      </c>
      <c r="G18772" s="40" t="s">
        <v>11404</v>
      </c>
      <c r="H18772" s="40" t="s">
        <v>11404</v>
      </c>
    </row>
    <row r="18773">
      <c r="A18773" s="39"/>
      <c r="E18773" s="40" t="s">
        <v>11404</v>
      </c>
      <c r="F18773" s="40" t="s">
        <v>11404</v>
      </c>
      <c r="G18773" s="40" t="s">
        <v>11404</v>
      </c>
      <c r="H18773" s="40" t="s">
        <v>11404</v>
      </c>
    </row>
    <row r="18774">
      <c r="A18774" s="39"/>
      <c r="E18774" s="40" t="s">
        <v>11404</v>
      </c>
      <c r="F18774" s="40" t="s">
        <v>11404</v>
      </c>
      <c r="G18774" s="40" t="s">
        <v>11404</v>
      </c>
      <c r="H18774" s="40" t="s">
        <v>11404</v>
      </c>
    </row>
    <row r="18775">
      <c r="A18775" s="39"/>
      <c r="E18775" s="40" t="s">
        <v>11404</v>
      </c>
      <c r="F18775" s="40" t="s">
        <v>11404</v>
      </c>
      <c r="G18775" s="40" t="s">
        <v>11404</v>
      </c>
      <c r="H18775" s="40" t="s">
        <v>11404</v>
      </c>
    </row>
    <row r="18776">
      <c r="A18776" s="39"/>
      <c r="E18776" s="40" t="s">
        <v>11404</v>
      </c>
      <c r="F18776" s="40" t="s">
        <v>11404</v>
      </c>
      <c r="G18776" s="40" t="s">
        <v>11404</v>
      </c>
      <c r="H18776" s="40" t="s">
        <v>11404</v>
      </c>
    </row>
    <row r="18777">
      <c r="A18777" s="39"/>
      <c r="E18777" s="40" t="s">
        <v>11404</v>
      </c>
      <c r="F18777" s="40" t="s">
        <v>11404</v>
      </c>
      <c r="G18777" s="40" t="s">
        <v>11404</v>
      </c>
      <c r="H18777" s="40" t="s">
        <v>11404</v>
      </c>
    </row>
    <row r="18778">
      <c r="A18778" s="39"/>
      <c r="E18778" s="40" t="s">
        <v>11404</v>
      </c>
      <c r="F18778" s="40" t="s">
        <v>11404</v>
      </c>
      <c r="G18778" s="40" t="s">
        <v>11404</v>
      </c>
      <c r="H18778" s="40" t="s">
        <v>11404</v>
      </c>
    </row>
    <row r="18779">
      <c r="A18779" s="39"/>
      <c r="E18779" s="40" t="s">
        <v>11404</v>
      </c>
      <c r="F18779" s="40" t="s">
        <v>11404</v>
      </c>
      <c r="G18779" s="40" t="s">
        <v>11404</v>
      </c>
      <c r="H18779" s="40" t="s">
        <v>11404</v>
      </c>
    </row>
    <row r="18780">
      <c r="A18780" s="39"/>
      <c r="E18780" s="40" t="s">
        <v>11404</v>
      </c>
      <c r="F18780" s="40" t="s">
        <v>11404</v>
      </c>
      <c r="G18780" s="40" t="s">
        <v>11404</v>
      </c>
      <c r="H18780" s="40" t="s">
        <v>11404</v>
      </c>
    </row>
    <row r="18781">
      <c r="A18781" s="39"/>
      <c r="E18781" s="40" t="s">
        <v>11404</v>
      </c>
      <c r="F18781" s="40" t="s">
        <v>11404</v>
      </c>
      <c r="G18781" s="40" t="s">
        <v>11404</v>
      </c>
      <c r="H18781" s="40" t="s">
        <v>11404</v>
      </c>
    </row>
    <row r="18782">
      <c r="A18782" s="39"/>
      <c r="E18782" s="40" t="s">
        <v>11404</v>
      </c>
      <c r="F18782" s="40" t="s">
        <v>11404</v>
      </c>
      <c r="G18782" s="40" t="s">
        <v>11404</v>
      </c>
      <c r="H18782" s="40" t="s">
        <v>11404</v>
      </c>
    </row>
    <row r="18783">
      <c r="A18783" s="39"/>
      <c r="E18783" s="40" t="s">
        <v>11404</v>
      </c>
      <c r="F18783" s="40" t="s">
        <v>11404</v>
      </c>
      <c r="G18783" s="40" t="s">
        <v>11404</v>
      </c>
      <c r="H18783" s="40" t="s">
        <v>11404</v>
      </c>
    </row>
    <row r="18784">
      <c r="A18784" s="39"/>
      <c r="E18784" s="40" t="s">
        <v>11404</v>
      </c>
      <c r="F18784" s="40" t="s">
        <v>11404</v>
      </c>
      <c r="G18784" s="40" t="s">
        <v>11404</v>
      </c>
      <c r="H18784" s="40" t="s">
        <v>11404</v>
      </c>
    </row>
    <row r="18785">
      <c r="A18785" s="39"/>
      <c r="E18785" s="40" t="s">
        <v>11404</v>
      </c>
      <c r="F18785" s="40" t="s">
        <v>11404</v>
      </c>
      <c r="G18785" s="40" t="s">
        <v>11404</v>
      </c>
      <c r="H18785" s="40" t="s">
        <v>11404</v>
      </c>
    </row>
    <row r="18786">
      <c r="A18786" s="39"/>
      <c r="E18786" s="40" t="s">
        <v>11404</v>
      </c>
      <c r="F18786" s="40" t="s">
        <v>11404</v>
      </c>
      <c r="G18786" s="40" t="s">
        <v>11404</v>
      </c>
      <c r="H18786" s="40" t="s">
        <v>11404</v>
      </c>
    </row>
    <row r="18787">
      <c r="A18787" s="39"/>
      <c r="E18787" s="40" t="s">
        <v>11404</v>
      </c>
      <c r="F18787" s="40" t="s">
        <v>11404</v>
      </c>
      <c r="G18787" s="40" t="s">
        <v>11404</v>
      </c>
      <c r="H18787" s="40" t="s">
        <v>11404</v>
      </c>
    </row>
    <row r="18788">
      <c r="A18788" s="39"/>
      <c r="E18788" s="40" t="s">
        <v>11404</v>
      </c>
      <c r="F18788" s="40" t="s">
        <v>11404</v>
      </c>
      <c r="G18788" s="40" t="s">
        <v>11404</v>
      </c>
      <c r="H18788" s="40" t="s">
        <v>11404</v>
      </c>
    </row>
    <row r="18789">
      <c r="A18789" s="39"/>
      <c r="E18789" s="40" t="s">
        <v>11404</v>
      </c>
      <c r="F18789" s="40" t="s">
        <v>11404</v>
      </c>
      <c r="G18789" s="40" t="s">
        <v>11404</v>
      </c>
      <c r="H18789" s="40" t="s">
        <v>11404</v>
      </c>
    </row>
    <row r="18790">
      <c r="A18790" s="39"/>
      <c r="E18790" s="40" t="s">
        <v>11404</v>
      </c>
      <c r="F18790" s="40" t="s">
        <v>11404</v>
      </c>
      <c r="G18790" s="40" t="s">
        <v>11404</v>
      </c>
      <c r="H18790" s="40" t="s">
        <v>11404</v>
      </c>
    </row>
    <row r="18791">
      <c r="A18791" s="39"/>
      <c r="E18791" s="40" t="s">
        <v>11404</v>
      </c>
      <c r="F18791" s="40" t="s">
        <v>11404</v>
      </c>
      <c r="G18791" s="40" t="s">
        <v>11404</v>
      </c>
      <c r="H18791" s="40" t="s">
        <v>11404</v>
      </c>
    </row>
    <row r="18792">
      <c r="A18792" s="39"/>
      <c r="E18792" s="40" t="s">
        <v>11404</v>
      </c>
      <c r="F18792" s="40" t="s">
        <v>11404</v>
      </c>
      <c r="G18792" s="40" t="s">
        <v>11404</v>
      </c>
      <c r="H18792" s="40" t="s">
        <v>11404</v>
      </c>
    </row>
    <row r="18793">
      <c r="A18793" s="39"/>
      <c r="E18793" s="40" t="s">
        <v>11404</v>
      </c>
      <c r="F18793" s="40" t="s">
        <v>11404</v>
      </c>
      <c r="G18793" s="40" t="s">
        <v>11404</v>
      </c>
      <c r="H18793" s="40" t="s">
        <v>11404</v>
      </c>
    </row>
    <row r="18794">
      <c r="A18794" s="39"/>
      <c r="E18794" s="40" t="s">
        <v>11404</v>
      </c>
      <c r="F18794" s="40" t="s">
        <v>11404</v>
      </c>
      <c r="G18794" s="40" t="s">
        <v>11404</v>
      </c>
      <c r="H18794" s="40" t="s">
        <v>11404</v>
      </c>
    </row>
    <row r="18795">
      <c r="A18795" s="39"/>
      <c r="E18795" s="40" t="s">
        <v>11404</v>
      </c>
      <c r="F18795" s="40" t="s">
        <v>11404</v>
      </c>
      <c r="G18795" s="40" t="s">
        <v>11404</v>
      </c>
      <c r="H18795" s="40" t="s">
        <v>11404</v>
      </c>
    </row>
    <row r="18796">
      <c r="A18796" s="39"/>
      <c r="E18796" s="40" t="s">
        <v>11404</v>
      </c>
      <c r="F18796" s="40" t="s">
        <v>11404</v>
      </c>
      <c r="G18796" s="40" t="s">
        <v>11404</v>
      </c>
      <c r="H18796" s="40" t="s">
        <v>11404</v>
      </c>
    </row>
    <row r="18797">
      <c r="A18797" s="39"/>
      <c r="E18797" s="40" t="s">
        <v>11404</v>
      </c>
      <c r="F18797" s="40" t="s">
        <v>11404</v>
      </c>
      <c r="G18797" s="40" t="s">
        <v>11404</v>
      </c>
      <c r="H18797" s="40" t="s">
        <v>11404</v>
      </c>
    </row>
    <row r="18798">
      <c r="A18798" s="39"/>
      <c r="E18798" s="40" t="s">
        <v>11404</v>
      </c>
      <c r="F18798" s="40" t="s">
        <v>11404</v>
      </c>
      <c r="G18798" s="40" t="s">
        <v>11404</v>
      </c>
      <c r="H18798" s="40" t="s">
        <v>11404</v>
      </c>
    </row>
    <row r="18799">
      <c r="A18799" s="39"/>
      <c r="E18799" s="40" t="s">
        <v>11404</v>
      </c>
      <c r="F18799" s="40" t="s">
        <v>11404</v>
      </c>
      <c r="G18799" s="40" t="s">
        <v>11404</v>
      </c>
      <c r="H18799" s="40" t="s">
        <v>11404</v>
      </c>
    </row>
    <row r="18800">
      <c r="A18800" s="39"/>
      <c r="E18800" s="40" t="s">
        <v>11404</v>
      </c>
      <c r="F18800" s="40" t="s">
        <v>11404</v>
      </c>
      <c r="G18800" s="40" t="s">
        <v>11404</v>
      </c>
      <c r="H18800" s="40" t="s">
        <v>11404</v>
      </c>
    </row>
    <row r="18801">
      <c r="A18801" s="39"/>
      <c r="E18801" s="40" t="s">
        <v>11404</v>
      </c>
      <c r="F18801" s="40" t="s">
        <v>11404</v>
      </c>
      <c r="G18801" s="40" t="s">
        <v>11404</v>
      </c>
      <c r="H18801" s="40" t="s">
        <v>11404</v>
      </c>
    </row>
    <row r="18802">
      <c r="A18802" s="39"/>
      <c r="E18802" s="40" t="s">
        <v>11404</v>
      </c>
      <c r="F18802" s="40" t="s">
        <v>11404</v>
      </c>
      <c r="G18802" s="40" t="s">
        <v>11404</v>
      </c>
      <c r="H18802" s="40" t="s">
        <v>11404</v>
      </c>
    </row>
    <row r="18803">
      <c r="A18803" s="39"/>
      <c r="E18803" s="40" t="s">
        <v>11404</v>
      </c>
      <c r="F18803" s="40" t="s">
        <v>11404</v>
      </c>
      <c r="G18803" s="40" t="s">
        <v>11404</v>
      </c>
      <c r="H18803" s="40" t="s">
        <v>11404</v>
      </c>
    </row>
    <row r="18804">
      <c r="A18804" s="39"/>
      <c r="E18804" s="40" t="s">
        <v>11404</v>
      </c>
      <c r="F18804" s="40" t="s">
        <v>11404</v>
      </c>
      <c r="G18804" s="40" t="s">
        <v>11404</v>
      </c>
      <c r="H18804" s="40" t="s">
        <v>11404</v>
      </c>
    </row>
    <row r="18805">
      <c r="A18805" s="39"/>
      <c r="E18805" s="40" t="s">
        <v>11404</v>
      </c>
      <c r="F18805" s="40" t="s">
        <v>11404</v>
      </c>
      <c r="G18805" s="40" t="s">
        <v>11404</v>
      </c>
      <c r="H18805" s="40" t="s">
        <v>11404</v>
      </c>
    </row>
    <row r="18806">
      <c r="A18806" s="39"/>
      <c r="E18806" s="40" t="s">
        <v>11404</v>
      </c>
      <c r="F18806" s="40" t="s">
        <v>11404</v>
      </c>
      <c r="G18806" s="40" t="s">
        <v>11404</v>
      </c>
      <c r="H18806" s="40" t="s">
        <v>11404</v>
      </c>
    </row>
    <row r="18807">
      <c r="A18807" s="39"/>
      <c r="E18807" s="40" t="s">
        <v>11404</v>
      </c>
      <c r="F18807" s="40" t="s">
        <v>11404</v>
      </c>
      <c r="G18807" s="40" t="s">
        <v>11404</v>
      </c>
      <c r="H18807" s="40" t="s">
        <v>11404</v>
      </c>
    </row>
    <row r="18808">
      <c r="A18808" s="39"/>
      <c r="E18808" s="40" t="s">
        <v>11404</v>
      </c>
      <c r="F18808" s="40" t="s">
        <v>11404</v>
      </c>
      <c r="G18808" s="40" t="s">
        <v>11404</v>
      </c>
      <c r="H18808" s="40" t="s">
        <v>11404</v>
      </c>
    </row>
    <row r="18809">
      <c r="A18809" s="39"/>
      <c r="E18809" s="40" t="s">
        <v>11404</v>
      </c>
      <c r="F18809" s="40" t="s">
        <v>11404</v>
      </c>
      <c r="G18809" s="40" t="s">
        <v>11404</v>
      </c>
      <c r="H18809" s="40" t="s">
        <v>11404</v>
      </c>
    </row>
    <row r="18810">
      <c r="A18810" s="39"/>
      <c r="E18810" s="40" t="s">
        <v>11404</v>
      </c>
      <c r="F18810" s="40" t="s">
        <v>11404</v>
      </c>
      <c r="G18810" s="40" t="s">
        <v>11404</v>
      </c>
      <c r="H18810" s="40" t="s">
        <v>11404</v>
      </c>
    </row>
    <row r="18811">
      <c r="A18811" s="39"/>
      <c r="E18811" s="40" t="s">
        <v>11404</v>
      </c>
      <c r="F18811" s="40" t="s">
        <v>11404</v>
      </c>
      <c r="G18811" s="40" t="s">
        <v>11404</v>
      </c>
      <c r="H18811" s="40" t="s">
        <v>11404</v>
      </c>
    </row>
    <row r="18812">
      <c r="A18812" s="39"/>
      <c r="E18812" s="40" t="s">
        <v>11404</v>
      </c>
      <c r="F18812" s="40" t="s">
        <v>11404</v>
      </c>
      <c r="G18812" s="40" t="s">
        <v>11404</v>
      </c>
      <c r="H18812" s="40" t="s">
        <v>11404</v>
      </c>
    </row>
    <row r="18813">
      <c r="A18813" s="39"/>
      <c r="E18813" s="40" t="s">
        <v>11404</v>
      </c>
      <c r="F18813" s="40" t="s">
        <v>11404</v>
      </c>
      <c r="G18813" s="40" t="s">
        <v>11404</v>
      </c>
      <c r="H18813" s="40" t="s">
        <v>11404</v>
      </c>
    </row>
    <row r="18814">
      <c r="A18814" s="39"/>
      <c r="E18814" s="40" t="s">
        <v>11404</v>
      </c>
      <c r="F18814" s="40" t="s">
        <v>11404</v>
      </c>
      <c r="G18814" s="40" t="s">
        <v>11404</v>
      </c>
      <c r="H18814" s="40" t="s">
        <v>11404</v>
      </c>
    </row>
    <row r="18815">
      <c r="A18815" s="39"/>
      <c r="E18815" s="40" t="s">
        <v>11404</v>
      </c>
      <c r="F18815" s="40" t="s">
        <v>11404</v>
      </c>
      <c r="G18815" s="40" t="s">
        <v>11404</v>
      </c>
      <c r="H18815" s="40" t="s">
        <v>11404</v>
      </c>
    </row>
    <row r="18816">
      <c r="A18816" s="39"/>
      <c r="E18816" s="40" t="s">
        <v>11404</v>
      </c>
      <c r="F18816" s="40" t="s">
        <v>11404</v>
      </c>
      <c r="G18816" s="40" t="s">
        <v>11404</v>
      </c>
      <c r="H18816" s="40" t="s">
        <v>11404</v>
      </c>
    </row>
    <row r="18817">
      <c r="A18817" s="39"/>
      <c r="E18817" s="40" t="s">
        <v>11404</v>
      </c>
      <c r="F18817" s="40" t="s">
        <v>11404</v>
      </c>
      <c r="G18817" s="40" t="s">
        <v>11404</v>
      </c>
      <c r="H18817" s="40" t="s">
        <v>11404</v>
      </c>
    </row>
    <row r="18818">
      <c r="A18818" s="39"/>
      <c r="E18818" s="40" t="s">
        <v>11404</v>
      </c>
      <c r="F18818" s="40" t="s">
        <v>11404</v>
      </c>
      <c r="G18818" s="40" t="s">
        <v>11404</v>
      </c>
      <c r="H18818" s="40" t="s">
        <v>11404</v>
      </c>
    </row>
    <row r="18819">
      <c r="A18819" s="39"/>
      <c r="E18819" s="40" t="s">
        <v>11404</v>
      </c>
      <c r="F18819" s="40" t="s">
        <v>11404</v>
      </c>
      <c r="G18819" s="40" t="s">
        <v>11404</v>
      </c>
      <c r="H18819" s="40" t="s">
        <v>11404</v>
      </c>
    </row>
    <row r="18820">
      <c r="A18820" s="39"/>
      <c r="E18820" s="40" t="s">
        <v>11404</v>
      </c>
      <c r="F18820" s="40" t="s">
        <v>11404</v>
      </c>
      <c r="G18820" s="40" t="s">
        <v>11404</v>
      </c>
      <c r="H18820" s="40" t="s">
        <v>11404</v>
      </c>
    </row>
    <row r="18821">
      <c r="A18821" s="39"/>
      <c r="E18821" s="40" t="s">
        <v>11404</v>
      </c>
      <c r="F18821" s="40" t="s">
        <v>11404</v>
      </c>
      <c r="G18821" s="40" t="s">
        <v>11404</v>
      </c>
      <c r="H18821" s="40" t="s">
        <v>11404</v>
      </c>
    </row>
    <row r="18822">
      <c r="A18822" s="39"/>
      <c r="E18822" s="40" t="s">
        <v>11404</v>
      </c>
      <c r="F18822" s="40" t="s">
        <v>11404</v>
      </c>
      <c r="G18822" s="40" t="s">
        <v>11404</v>
      </c>
      <c r="H18822" s="40" t="s">
        <v>11404</v>
      </c>
    </row>
    <row r="18823">
      <c r="A18823" s="39"/>
      <c r="E18823" s="40" t="s">
        <v>11404</v>
      </c>
      <c r="F18823" s="40" t="s">
        <v>11404</v>
      </c>
      <c r="G18823" s="40" t="s">
        <v>11404</v>
      </c>
      <c r="H18823" s="40" t="s">
        <v>11404</v>
      </c>
    </row>
    <row r="18824">
      <c r="A18824" s="39"/>
      <c r="E18824" s="40" t="s">
        <v>11404</v>
      </c>
      <c r="F18824" s="40" t="s">
        <v>11404</v>
      </c>
      <c r="G18824" s="40" t="s">
        <v>11404</v>
      </c>
      <c r="H18824" s="40" t="s">
        <v>11404</v>
      </c>
    </row>
    <row r="18825">
      <c r="A18825" s="39"/>
      <c r="E18825" s="40" t="s">
        <v>11404</v>
      </c>
      <c r="F18825" s="40" t="s">
        <v>11404</v>
      </c>
      <c r="G18825" s="40" t="s">
        <v>11404</v>
      </c>
      <c r="H18825" s="40" t="s">
        <v>11404</v>
      </c>
    </row>
    <row r="18826">
      <c r="A18826" s="39"/>
      <c r="E18826" s="40" t="s">
        <v>11404</v>
      </c>
      <c r="F18826" s="40" t="s">
        <v>11404</v>
      </c>
      <c r="G18826" s="40" t="s">
        <v>11404</v>
      </c>
      <c r="H18826" s="40" t="s">
        <v>11404</v>
      </c>
    </row>
    <row r="18827">
      <c r="A18827" s="39"/>
      <c r="E18827" s="40" t="s">
        <v>11404</v>
      </c>
      <c r="F18827" s="40" t="s">
        <v>11404</v>
      </c>
      <c r="G18827" s="40" t="s">
        <v>11404</v>
      </c>
      <c r="H18827" s="40" t="s">
        <v>11404</v>
      </c>
    </row>
    <row r="18828">
      <c r="A18828" s="39"/>
      <c r="E18828" s="40" t="s">
        <v>11404</v>
      </c>
      <c r="F18828" s="40" t="s">
        <v>11404</v>
      </c>
      <c r="G18828" s="40" t="s">
        <v>11404</v>
      </c>
      <c r="H18828" s="40" t="s">
        <v>11404</v>
      </c>
    </row>
    <row r="18829">
      <c r="A18829" s="39"/>
      <c r="E18829" s="40" t="s">
        <v>11404</v>
      </c>
      <c r="F18829" s="40" t="s">
        <v>11404</v>
      </c>
      <c r="G18829" s="40" t="s">
        <v>11404</v>
      </c>
      <c r="H18829" s="40" t="s">
        <v>11404</v>
      </c>
    </row>
    <row r="18830">
      <c r="A18830" s="39"/>
      <c r="E18830" s="40" t="s">
        <v>11404</v>
      </c>
      <c r="F18830" s="40" t="s">
        <v>11404</v>
      </c>
      <c r="G18830" s="40" t="s">
        <v>11404</v>
      </c>
      <c r="H18830" s="40" t="s">
        <v>11404</v>
      </c>
    </row>
    <row r="18831">
      <c r="A18831" s="39"/>
      <c r="E18831" s="40" t="s">
        <v>11404</v>
      </c>
      <c r="F18831" s="40" t="s">
        <v>11404</v>
      </c>
      <c r="G18831" s="40" t="s">
        <v>11404</v>
      </c>
      <c r="H18831" s="40" t="s">
        <v>11404</v>
      </c>
    </row>
    <row r="18832">
      <c r="A18832" s="39"/>
      <c r="E18832" s="40" t="s">
        <v>11404</v>
      </c>
      <c r="F18832" s="40" t="s">
        <v>11404</v>
      </c>
      <c r="G18832" s="40" t="s">
        <v>11404</v>
      </c>
      <c r="H18832" s="40" t="s">
        <v>11404</v>
      </c>
    </row>
    <row r="18833">
      <c r="A18833" s="39"/>
      <c r="E18833" s="40" t="s">
        <v>11404</v>
      </c>
      <c r="F18833" s="40" t="s">
        <v>11404</v>
      </c>
      <c r="G18833" s="40" t="s">
        <v>11404</v>
      </c>
      <c r="H18833" s="40" t="s">
        <v>11404</v>
      </c>
    </row>
    <row r="18834">
      <c r="A18834" s="39"/>
      <c r="E18834" s="40" t="s">
        <v>11404</v>
      </c>
      <c r="F18834" s="40" t="s">
        <v>11404</v>
      </c>
      <c r="G18834" s="40" t="s">
        <v>11404</v>
      </c>
      <c r="H18834" s="40" t="s">
        <v>11404</v>
      </c>
    </row>
    <row r="18835">
      <c r="A18835" s="39"/>
      <c r="E18835" s="40" t="s">
        <v>11404</v>
      </c>
      <c r="F18835" s="40" t="s">
        <v>11404</v>
      </c>
      <c r="G18835" s="40" t="s">
        <v>11404</v>
      </c>
      <c r="H18835" s="40" t="s">
        <v>11404</v>
      </c>
    </row>
    <row r="18836">
      <c r="A18836" s="39"/>
      <c r="E18836" s="40" t="s">
        <v>11404</v>
      </c>
      <c r="F18836" s="40" t="s">
        <v>11404</v>
      </c>
      <c r="G18836" s="40" t="s">
        <v>11404</v>
      </c>
      <c r="H18836" s="40" t="s">
        <v>11404</v>
      </c>
    </row>
    <row r="18837">
      <c r="A18837" s="39"/>
      <c r="E18837" s="40" t="s">
        <v>11404</v>
      </c>
      <c r="F18837" s="40" t="s">
        <v>11404</v>
      </c>
      <c r="G18837" s="40" t="s">
        <v>11404</v>
      </c>
      <c r="H18837" s="40" t="s">
        <v>11404</v>
      </c>
    </row>
    <row r="18838">
      <c r="A18838" s="39"/>
      <c r="E18838" s="40" t="s">
        <v>11404</v>
      </c>
      <c r="F18838" s="40" t="s">
        <v>11404</v>
      </c>
      <c r="G18838" s="40" t="s">
        <v>11404</v>
      </c>
      <c r="H18838" s="40" t="s">
        <v>11404</v>
      </c>
    </row>
    <row r="18839">
      <c r="A18839" s="39"/>
      <c r="E18839" s="40" t="s">
        <v>11404</v>
      </c>
      <c r="F18839" s="40" t="s">
        <v>11404</v>
      </c>
      <c r="G18839" s="40" t="s">
        <v>11404</v>
      </c>
      <c r="H18839" s="40" t="s">
        <v>11404</v>
      </c>
    </row>
    <row r="18840">
      <c r="A18840" s="39"/>
      <c r="E18840" s="40" t="s">
        <v>11404</v>
      </c>
      <c r="F18840" s="40" t="s">
        <v>11404</v>
      </c>
      <c r="G18840" s="40" t="s">
        <v>11404</v>
      </c>
      <c r="H18840" s="40" t="s">
        <v>11404</v>
      </c>
    </row>
    <row r="18841">
      <c r="A18841" s="39"/>
      <c r="E18841" s="40" t="s">
        <v>11404</v>
      </c>
      <c r="F18841" s="40" t="s">
        <v>11404</v>
      </c>
      <c r="G18841" s="40" t="s">
        <v>11404</v>
      </c>
      <c r="H18841" s="40" t="s">
        <v>11404</v>
      </c>
    </row>
    <row r="18842">
      <c r="A18842" s="39"/>
      <c r="E18842" s="40" t="s">
        <v>11404</v>
      </c>
      <c r="F18842" s="40" t="s">
        <v>11404</v>
      </c>
      <c r="G18842" s="40" t="s">
        <v>11404</v>
      </c>
      <c r="H18842" s="40" t="s">
        <v>11404</v>
      </c>
    </row>
    <row r="18843">
      <c r="A18843" s="39"/>
      <c r="E18843" s="40" t="s">
        <v>11404</v>
      </c>
      <c r="F18843" s="40" t="s">
        <v>11404</v>
      </c>
      <c r="G18843" s="40" t="s">
        <v>11404</v>
      </c>
      <c r="H18843" s="40" t="s">
        <v>11404</v>
      </c>
    </row>
    <row r="18844">
      <c r="A18844" s="39"/>
      <c r="E18844" s="40" t="s">
        <v>11404</v>
      </c>
      <c r="F18844" s="40" t="s">
        <v>11404</v>
      </c>
      <c r="G18844" s="40" t="s">
        <v>11404</v>
      </c>
      <c r="H18844" s="40" t="s">
        <v>11404</v>
      </c>
    </row>
    <row r="18845">
      <c r="A18845" s="39"/>
      <c r="E18845" s="40" t="s">
        <v>11404</v>
      </c>
      <c r="F18845" s="40" t="s">
        <v>11404</v>
      </c>
      <c r="G18845" s="40" t="s">
        <v>11404</v>
      </c>
      <c r="H18845" s="40" t="s">
        <v>11404</v>
      </c>
    </row>
    <row r="18846">
      <c r="A18846" s="39"/>
      <c r="E18846" s="40" t="s">
        <v>11404</v>
      </c>
      <c r="F18846" s="40" t="s">
        <v>11404</v>
      </c>
      <c r="G18846" s="40" t="s">
        <v>11404</v>
      </c>
      <c r="H18846" s="40" t="s">
        <v>11404</v>
      </c>
    </row>
    <row r="18847">
      <c r="A18847" s="39"/>
      <c r="E18847" s="40" t="s">
        <v>11404</v>
      </c>
      <c r="F18847" s="40" t="s">
        <v>11404</v>
      </c>
      <c r="G18847" s="40" t="s">
        <v>11404</v>
      </c>
      <c r="H18847" s="40" t="s">
        <v>11404</v>
      </c>
    </row>
    <row r="18848">
      <c r="A18848" s="39"/>
      <c r="E18848" s="40" t="s">
        <v>11404</v>
      </c>
      <c r="F18848" s="40" t="s">
        <v>11404</v>
      </c>
      <c r="G18848" s="40" t="s">
        <v>11404</v>
      </c>
      <c r="H18848" s="40" t="s">
        <v>11404</v>
      </c>
    </row>
    <row r="18849">
      <c r="A18849" s="39"/>
      <c r="E18849" s="40" t="s">
        <v>11404</v>
      </c>
      <c r="F18849" s="40" t="s">
        <v>11404</v>
      </c>
      <c r="G18849" s="40" t="s">
        <v>11404</v>
      </c>
      <c r="H18849" s="40" t="s">
        <v>11404</v>
      </c>
    </row>
    <row r="18850">
      <c r="A18850" s="39"/>
      <c r="E18850" s="40" t="s">
        <v>11404</v>
      </c>
      <c r="F18850" s="40" t="s">
        <v>11404</v>
      </c>
      <c r="G18850" s="40" t="s">
        <v>11404</v>
      </c>
      <c r="H18850" s="40" t="s">
        <v>11404</v>
      </c>
    </row>
    <row r="18851">
      <c r="A18851" s="39"/>
      <c r="E18851" s="40" t="s">
        <v>11404</v>
      </c>
      <c r="F18851" s="40" t="s">
        <v>11404</v>
      </c>
      <c r="G18851" s="40" t="s">
        <v>11404</v>
      </c>
      <c r="H18851" s="40" t="s">
        <v>11404</v>
      </c>
    </row>
    <row r="18852">
      <c r="A18852" s="39"/>
      <c r="E18852" s="40" t="s">
        <v>11404</v>
      </c>
      <c r="F18852" s="40" t="s">
        <v>11404</v>
      </c>
      <c r="G18852" s="40" t="s">
        <v>11404</v>
      </c>
      <c r="H18852" s="40" t="s">
        <v>11404</v>
      </c>
    </row>
    <row r="18853">
      <c r="A18853" s="39"/>
      <c r="E18853" s="40" t="s">
        <v>11404</v>
      </c>
      <c r="F18853" s="40" t="s">
        <v>11404</v>
      </c>
      <c r="G18853" s="40" t="s">
        <v>11404</v>
      </c>
      <c r="H18853" s="40" t="s">
        <v>11404</v>
      </c>
    </row>
    <row r="18854">
      <c r="A18854" s="39"/>
      <c r="E18854" s="40" t="s">
        <v>11404</v>
      </c>
      <c r="F18854" s="40" t="s">
        <v>11404</v>
      </c>
      <c r="G18854" s="40" t="s">
        <v>11404</v>
      </c>
      <c r="H18854" s="40" t="s">
        <v>11404</v>
      </c>
    </row>
    <row r="18855">
      <c r="A18855" s="39"/>
      <c r="E18855" s="40" t="s">
        <v>11404</v>
      </c>
      <c r="F18855" s="40" t="s">
        <v>11404</v>
      </c>
      <c r="G18855" s="40" t="s">
        <v>11404</v>
      </c>
      <c r="H18855" s="40" t="s">
        <v>11404</v>
      </c>
    </row>
    <row r="18856">
      <c r="A18856" s="39"/>
      <c r="E18856" s="40" t="s">
        <v>11404</v>
      </c>
      <c r="F18856" s="40" t="s">
        <v>11404</v>
      </c>
      <c r="G18856" s="40" t="s">
        <v>11404</v>
      </c>
      <c r="H18856" s="40" t="s">
        <v>11404</v>
      </c>
    </row>
    <row r="18857">
      <c r="A18857" s="39"/>
      <c r="E18857" s="40" t="s">
        <v>11404</v>
      </c>
      <c r="F18857" s="40" t="s">
        <v>11404</v>
      </c>
      <c r="G18857" s="40" t="s">
        <v>11404</v>
      </c>
      <c r="H18857" s="40" t="s">
        <v>11404</v>
      </c>
    </row>
    <row r="18858">
      <c r="A18858" s="39"/>
      <c r="E18858" s="40" t="s">
        <v>11404</v>
      </c>
      <c r="F18858" s="40" t="s">
        <v>11404</v>
      </c>
      <c r="G18858" s="40" t="s">
        <v>11404</v>
      </c>
      <c r="H18858" s="40" t="s">
        <v>11404</v>
      </c>
    </row>
    <row r="18859">
      <c r="A18859" s="39"/>
      <c r="E18859" s="40" t="s">
        <v>11404</v>
      </c>
      <c r="F18859" s="40" t="s">
        <v>11404</v>
      </c>
      <c r="G18859" s="40" t="s">
        <v>11404</v>
      </c>
      <c r="H18859" s="40" t="s">
        <v>11404</v>
      </c>
    </row>
    <row r="18860">
      <c r="A18860" s="39"/>
      <c r="E18860" s="40" t="s">
        <v>11404</v>
      </c>
      <c r="F18860" s="40" t="s">
        <v>11404</v>
      </c>
      <c r="G18860" s="40" t="s">
        <v>11404</v>
      </c>
      <c r="H18860" s="40" t="s">
        <v>11404</v>
      </c>
    </row>
    <row r="18861">
      <c r="A18861" s="39"/>
      <c r="E18861" s="40" t="s">
        <v>11404</v>
      </c>
      <c r="F18861" s="40" t="s">
        <v>11404</v>
      </c>
      <c r="G18861" s="40" t="s">
        <v>11404</v>
      </c>
      <c r="H18861" s="40" t="s">
        <v>11404</v>
      </c>
    </row>
    <row r="18862">
      <c r="A18862" s="39"/>
      <c r="E18862" s="40" t="s">
        <v>11404</v>
      </c>
      <c r="F18862" s="40" t="s">
        <v>11404</v>
      </c>
      <c r="G18862" s="40" t="s">
        <v>11404</v>
      </c>
      <c r="H18862" s="40" t="s">
        <v>11404</v>
      </c>
    </row>
    <row r="18863">
      <c r="A18863" s="39"/>
      <c r="E18863" s="40" t="s">
        <v>11404</v>
      </c>
      <c r="F18863" s="40" t="s">
        <v>11404</v>
      </c>
      <c r="G18863" s="40" t="s">
        <v>11404</v>
      </c>
      <c r="H18863" s="40" t="s">
        <v>11404</v>
      </c>
    </row>
    <row r="18864">
      <c r="A18864" s="39"/>
      <c r="E18864" s="40" t="s">
        <v>11404</v>
      </c>
      <c r="F18864" s="40" t="s">
        <v>11404</v>
      </c>
      <c r="G18864" s="40" t="s">
        <v>11404</v>
      </c>
      <c r="H18864" s="40" t="s">
        <v>11404</v>
      </c>
    </row>
    <row r="18865">
      <c r="A18865" s="39"/>
      <c r="E18865" s="40" t="s">
        <v>11404</v>
      </c>
      <c r="F18865" s="40" t="s">
        <v>11404</v>
      </c>
      <c r="G18865" s="40" t="s">
        <v>11404</v>
      </c>
      <c r="H18865" s="40" t="s">
        <v>11404</v>
      </c>
    </row>
    <row r="18866">
      <c r="A18866" s="39"/>
      <c r="E18866" s="40" t="s">
        <v>11404</v>
      </c>
      <c r="F18866" s="40" t="s">
        <v>11404</v>
      </c>
      <c r="G18866" s="40" t="s">
        <v>11404</v>
      </c>
      <c r="H18866" s="40" t="s">
        <v>11404</v>
      </c>
    </row>
    <row r="18867">
      <c r="A18867" s="39"/>
      <c r="E18867" s="40" t="s">
        <v>11404</v>
      </c>
      <c r="F18867" s="40" t="s">
        <v>11404</v>
      </c>
      <c r="G18867" s="40" t="s">
        <v>11404</v>
      </c>
      <c r="H18867" s="40" t="s">
        <v>11404</v>
      </c>
    </row>
    <row r="18868">
      <c r="A18868" s="39"/>
      <c r="E18868" s="40" t="s">
        <v>11404</v>
      </c>
      <c r="F18868" s="40" t="s">
        <v>11404</v>
      </c>
      <c r="G18868" s="40" t="s">
        <v>11404</v>
      </c>
      <c r="H18868" s="40" t="s">
        <v>11404</v>
      </c>
    </row>
    <row r="18869">
      <c r="A18869" s="39"/>
      <c r="E18869" s="40" t="s">
        <v>11404</v>
      </c>
      <c r="F18869" s="40" t="s">
        <v>11404</v>
      </c>
      <c r="G18869" s="40" t="s">
        <v>11404</v>
      </c>
      <c r="H18869" s="40" t="s">
        <v>11404</v>
      </c>
    </row>
    <row r="18870">
      <c r="A18870" s="39"/>
      <c r="E18870" s="40" t="s">
        <v>11404</v>
      </c>
      <c r="F18870" s="40" t="s">
        <v>11404</v>
      </c>
      <c r="G18870" s="40" t="s">
        <v>11404</v>
      </c>
      <c r="H18870" s="40" t="s">
        <v>11404</v>
      </c>
    </row>
    <row r="18871">
      <c r="A18871" s="39"/>
      <c r="E18871" s="40" t="s">
        <v>11404</v>
      </c>
      <c r="F18871" s="40" t="s">
        <v>11404</v>
      </c>
      <c r="G18871" s="40" t="s">
        <v>11404</v>
      </c>
      <c r="H18871" s="40" t="s">
        <v>11404</v>
      </c>
    </row>
    <row r="18872">
      <c r="A18872" s="39"/>
      <c r="E18872" s="40" t="s">
        <v>11404</v>
      </c>
      <c r="F18872" s="40" t="s">
        <v>11404</v>
      </c>
      <c r="G18872" s="40" t="s">
        <v>11404</v>
      </c>
      <c r="H18872" s="40" t="s">
        <v>11404</v>
      </c>
    </row>
    <row r="18873">
      <c r="A18873" s="39"/>
      <c r="E18873" s="40" t="s">
        <v>11404</v>
      </c>
      <c r="F18873" s="40" t="s">
        <v>11404</v>
      </c>
      <c r="G18873" s="40" t="s">
        <v>11404</v>
      </c>
      <c r="H18873" s="40" t="s">
        <v>11404</v>
      </c>
    </row>
    <row r="18874">
      <c r="A18874" s="39"/>
      <c r="E18874" s="40" t="s">
        <v>11404</v>
      </c>
      <c r="F18874" s="40" t="s">
        <v>11404</v>
      </c>
      <c r="G18874" s="40" t="s">
        <v>11404</v>
      </c>
      <c r="H18874" s="40" t="s">
        <v>11404</v>
      </c>
    </row>
    <row r="18875">
      <c r="A18875" s="39"/>
      <c r="E18875" s="40" t="s">
        <v>11404</v>
      </c>
      <c r="F18875" s="40" t="s">
        <v>11404</v>
      </c>
      <c r="G18875" s="40" t="s">
        <v>11404</v>
      </c>
      <c r="H18875" s="40" t="s">
        <v>11404</v>
      </c>
    </row>
    <row r="18876">
      <c r="A18876" s="39"/>
      <c r="E18876" s="40" t="s">
        <v>11404</v>
      </c>
      <c r="F18876" s="40" t="s">
        <v>11404</v>
      </c>
      <c r="G18876" s="40" t="s">
        <v>11404</v>
      </c>
      <c r="H18876" s="40" t="s">
        <v>11404</v>
      </c>
    </row>
    <row r="18877">
      <c r="A18877" s="39"/>
      <c r="E18877" s="40" t="s">
        <v>11404</v>
      </c>
      <c r="F18877" s="40" t="s">
        <v>11404</v>
      </c>
      <c r="G18877" s="40" t="s">
        <v>11404</v>
      </c>
      <c r="H18877" s="40" t="s">
        <v>11404</v>
      </c>
    </row>
    <row r="18878">
      <c r="A18878" s="39"/>
      <c r="E18878" s="40" t="s">
        <v>11404</v>
      </c>
      <c r="F18878" s="40" t="s">
        <v>11404</v>
      </c>
      <c r="G18878" s="40" t="s">
        <v>11404</v>
      </c>
      <c r="H18878" s="40" t="s">
        <v>11404</v>
      </c>
    </row>
    <row r="18879">
      <c r="A18879" s="39"/>
      <c r="E18879" s="40" t="s">
        <v>11404</v>
      </c>
      <c r="F18879" s="40" t="s">
        <v>11404</v>
      </c>
      <c r="G18879" s="40" t="s">
        <v>11404</v>
      </c>
      <c r="H18879" s="40" t="s">
        <v>11404</v>
      </c>
    </row>
    <row r="18880">
      <c r="A18880" s="39"/>
      <c r="E18880" s="40" t="s">
        <v>11404</v>
      </c>
      <c r="F18880" s="40" t="s">
        <v>11404</v>
      </c>
      <c r="G18880" s="40" t="s">
        <v>11404</v>
      </c>
      <c r="H18880" s="40" t="s">
        <v>11404</v>
      </c>
    </row>
    <row r="18881">
      <c r="A18881" s="39"/>
      <c r="E18881" s="40" t="s">
        <v>11404</v>
      </c>
      <c r="F18881" s="40" t="s">
        <v>11404</v>
      </c>
      <c r="G18881" s="40" t="s">
        <v>11404</v>
      </c>
      <c r="H18881" s="40" t="s">
        <v>11404</v>
      </c>
    </row>
    <row r="18882">
      <c r="A18882" s="39"/>
      <c r="E18882" s="40" t="s">
        <v>11404</v>
      </c>
      <c r="F18882" s="40" t="s">
        <v>11404</v>
      </c>
      <c r="G18882" s="40" t="s">
        <v>11404</v>
      </c>
      <c r="H18882" s="40" t="s">
        <v>11404</v>
      </c>
    </row>
    <row r="18883">
      <c r="A18883" s="39"/>
      <c r="E18883" s="40" t="s">
        <v>11404</v>
      </c>
      <c r="F18883" s="40" t="s">
        <v>11404</v>
      </c>
      <c r="G18883" s="40" t="s">
        <v>11404</v>
      </c>
      <c r="H18883" s="40" t="s">
        <v>11404</v>
      </c>
    </row>
    <row r="18884">
      <c r="A18884" s="39"/>
      <c r="E18884" s="40" t="s">
        <v>11404</v>
      </c>
      <c r="F18884" s="40" t="s">
        <v>11404</v>
      </c>
      <c r="G18884" s="40" t="s">
        <v>11404</v>
      </c>
      <c r="H18884" s="40" t="s">
        <v>11404</v>
      </c>
    </row>
    <row r="18885">
      <c r="A18885" s="39"/>
      <c r="E18885" s="40" t="s">
        <v>11404</v>
      </c>
      <c r="F18885" s="40" t="s">
        <v>11404</v>
      </c>
      <c r="G18885" s="40" t="s">
        <v>11404</v>
      </c>
      <c r="H18885" s="40" t="s">
        <v>11404</v>
      </c>
    </row>
    <row r="18886">
      <c r="A18886" s="39"/>
      <c r="E18886" s="40" t="s">
        <v>11404</v>
      </c>
      <c r="F18886" s="40" t="s">
        <v>11404</v>
      </c>
      <c r="G18886" s="40" t="s">
        <v>11404</v>
      </c>
      <c r="H18886" s="40" t="s">
        <v>11404</v>
      </c>
    </row>
    <row r="18887">
      <c r="A18887" s="39"/>
      <c r="E18887" s="40" t="s">
        <v>11404</v>
      </c>
      <c r="F18887" s="40" t="s">
        <v>11404</v>
      </c>
      <c r="G18887" s="40" t="s">
        <v>11404</v>
      </c>
      <c r="H18887" s="40" t="s">
        <v>11404</v>
      </c>
    </row>
    <row r="18888">
      <c r="A18888" s="39"/>
      <c r="E18888" s="40" t="s">
        <v>11404</v>
      </c>
      <c r="F18888" s="40" t="s">
        <v>11404</v>
      </c>
      <c r="G18888" s="40" t="s">
        <v>11404</v>
      </c>
      <c r="H18888" s="40" t="s">
        <v>11404</v>
      </c>
    </row>
    <row r="18889">
      <c r="A18889" s="39"/>
      <c r="E18889" s="40" t="s">
        <v>11404</v>
      </c>
      <c r="F18889" s="40" t="s">
        <v>11404</v>
      </c>
      <c r="G18889" s="40" t="s">
        <v>11404</v>
      </c>
      <c r="H18889" s="40" t="s">
        <v>11404</v>
      </c>
    </row>
    <row r="18890">
      <c r="A18890" s="39"/>
      <c r="E18890" s="40" t="s">
        <v>11404</v>
      </c>
      <c r="F18890" s="40" t="s">
        <v>11404</v>
      </c>
      <c r="G18890" s="40" t="s">
        <v>11404</v>
      </c>
      <c r="H18890" s="40" t="s">
        <v>11404</v>
      </c>
    </row>
    <row r="18891">
      <c r="A18891" s="39"/>
      <c r="E18891" s="40" t="s">
        <v>11404</v>
      </c>
      <c r="F18891" s="40" t="s">
        <v>11404</v>
      </c>
      <c r="G18891" s="40" t="s">
        <v>11404</v>
      </c>
      <c r="H18891" s="40" t="s">
        <v>11404</v>
      </c>
    </row>
    <row r="18892">
      <c r="A18892" s="39"/>
      <c r="E18892" s="40" t="s">
        <v>11404</v>
      </c>
      <c r="F18892" s="40" t="s">
        <v>11404</v>
      </c>
      <c r="G18892" s="40" t="s">
        <v>11404</v>
      </c>
      <c r="H18892" s="40" t="s">
        <v>11404</v>
      </c>
    </row>
    <row r="18893">
      <c r="A18893" s="39"/>
      <c r="E18893" s="40" t="s">
        <v>11404</v>
      </c>
      <c r="F18893" s="40" t="s">
        <v>11404</v>
      </c>
      <c r="G18893" s="40" t="s">
        <v>11404</v>
      </c>
      <c r="H18893" s="40" t="s">
        <v>11404</v>
      </c>
    </row>
    <row r="18894">
      <c r="A18894" s="39"/>
      <c r="E18894" s="40" t="s">
        <v>11404</v>
      </c>
      <c r="F18894" s="40" t="s">
        <v>11404</v>
      </c>
      <c r="G18894" s="40" t="s">
        <v>11404</v>
      </c>
      <c r="H18894" s="40" t="s">
        <v>11404</v>
      </c>
    </row>
    <row r="18895">
      <c r="A18895" s="39"/>
      <c r="E18895" s="40" t="s">
        <v>11404</v>
      </c>
      <c r="F18895" s="40" t="s">
        <v>11404</v>
      </c>
      <c r="G18895" s="40" t="s">
        <v>11404</v>
      </c>
      <c r="H18895" s="40" t="s">
        <v>11404</v>
      </c>
    </row>
    <row r="18896">
      <c r="A18896" s="39"/>
      <c r="E18896" s="40" t="s">
        <v>11404</v>
      </c>
      <c r="F18896" s="40" t="s">
        <v>11404</v>
      </c>
      <c r="G18896" s="40" t="s">
        <v>11404</v>
      </c>
      <c r="H18896" s="40" t="s">
        <v>11404</v>
      </c>
    </row>
    <row r="18897">
      <c r="A18897" s="39"/>
      <c r="E18897" s="40" t="s">
        <v>11404</v>
      </c>
      <c r="F18897" s="40" t="s">
        <v>11404</v>
      </c>
      <c r="G18897" s="40" t="s">
        <v>11404</v>
      </c>
      <c r="H18897" s="40" t="s">
        <v>11404</v>
      </c>
    </row>
    <row r="18898">
      <c r="A18898" s="39"/>
      <c r="E18898" s="40" t="s">
        <v>11404</v>
      </c>
      <c r="F18898" s="40" t="s">
        <v>11404</v>
      </c>
      <c r="G18898" s="40" t="s">
        <v>11404</v>
      </c>
      <c r="H18898" s="40" t="s">
        <v>11404</v>
      </c>
    </row>
    <row r="18899">
      <c r="A18899" s="39"/>
      <c r="E18899" s="40" t="s">
        <v>11404</v>
      </c>
      <c r="F18899" s="40" t="s">
        <v>11404</v>
      </c>
      <c r="G18899" s="40" t="s">
        <v>11404</v>
      </c>
      <c r="H18899" s="40" t="s">
        <v>11404</v>
      </c>
    </row>
    <row r="18900">
      <c r="A18900" s="39"/>
      <c r="E18900" s="40" t="s">
        <v>11404</v>
      </c>
      <c r="F18900" s="40" t="s">
        <v>11404</v>
      </c>
      <c r="G18900" s="40" t="s">
        <v>11404</v>
      </c>
      <c r="H18900" s="40" t="s">
        <v>11404</v>
      </c>
    </row>
    <row r="18901">
      <c r="A18901" s="39"/>
      <c r="E18901" s="40" t="s">
        <v>11404</v>
      </c>
      <c r="F18901" s="40" t="s">
        <v>11404</v>
      </c>
      <c r="G18901" s="40" t="s">
        <v>11404</v>
      </c>
      <c r="H18901" s="40" t="s">
        <v>11404</v>
      </c>
    </row>
    <row r="18902">
      <c r="A18902" s="39"/>
      <c r="E18902" s="40" t="s">
        <v>11404</v>
      </c>
      <c r="F18902" s="40" t="s">
        <v>11404</v>
      </c>
      <c r="G18902" s="40" t="s">
        <v>11404</v>
      </c>
      <c r="H18902" s="40" t="s">
        <v>11404</v>
      </c>
    </row>
    <row r="18903">
      <c r="A18903" s="39"/>
      <c r="E18903" s="40" t="s">
        <v>11404</v>
      </c>
      <c r="F18903" s="40" t="s">
        <v>11404</v>
      </c>
      <c r="G18903" s="40" t="s">
        <v>11404</v>
      </c>
      <c r="H18903" s="40" t="s">
        <v>11404</v>
      </c>
    </row>
    <row r="18904">
      <c r="A18904" s="39"/>
      <c r="E18904" s="40" t="s">
        <v>11404</v>
      </c>
      <c r="F18904" s="40" t="s">
        <v>11404</v>
      </c>
      <c r="G18904" s="40" t="s">
        <v>11404</v>
      </c>
      <c r="H18904" s="40" t="s">
        <v>11404</v>
      </c>
    </row>
    <row r="18905">
      <c r="A18905" s="39"/>
      <c r="E18905" s="40" t="s">
        <v>11404</v>
      </c>
      <c r="F18905" s="40" t="s">
        <v>11404</v>
      </c>
      <c r="G18905" s="40" t="s">
        <v>11404</v>
      </c>
      <c r="H18905" s="40" t="s">
        <v>11404</v>
      </c>
    </row>
    <row r="18906">
      <c r="A18906" s="39"/>
      <c r="E18906" s="40" t="s">
        <v>11404</v>
      </c>
      <c r="F18906" s="40" t="s">
        <v>11404</v>
      </c>
      <c r="G18906" s="40" t="s">
        <v>11404</v>
      </c>
      <c r="H18906" s="40" t="s">
        <v>11404</v>
      </c>
    </row>
    <row r="18907">
      <c r="A18907" s="39"/>
      <c r="E18907" s="40" t="s">
        <v>11404</v>
      </c>
      <c r="F18907" s="40" t="s">
        <v>11404</v>
      </c>
      <c r="G18907" s="40" t="s">
        <v>11404</v>
      </c>
      <c r="H18907" s="40" t="s">
        <v>11404</v>
      </c>
    </row>
    <row r="18908">
      <c r="A18908" s="39"/>
      <c r="E18908" s="40" t="s">
        <v>11404</v>
      </c>
      <c r="F18908" s="40" t="s">
        <v>11404</v>
      </c>
      <c r="G18908" s="40" t="s">
        <v>11404</v>
      </c>
      <c r="H18908" s="40" t="s">
        <v>11404</v>
      </c>
    </row>
    <row r="18909">
      <c r="A18909" s="39"/>
      <c r="E18909" s="40" t="s">
        <v>11404</v>
      </c>
      <c r="F18909" s="40" t="s">
        <v>11404</v>
      </c>
      <c r="G18909" s="40" t="s">
        <v>11404</v>
      </c>
      <c r="H18909" s="40" t="s">
        <v>11404</v>
      </c>
    </row>
    <row r="18910">
      <c r="A18910" s="39"/>
      <c r="E18910" s="40" t="s">
        <v>11404</v>
      </c>
      <c r="F18910" s="40" t="s">
        <v>11404</v>
      </c>
      <c r="G18910" s="40" t="s">
        <v>11404</v>
      </c>
      <c r="H18910" s="40" t="s">
        <v>11404</v>
      </c>
    </row>
    <row r="18911">
      <c r="A18911" s="39"/>
      <c r="E18911" s="40" t="s">
        <v>11404</v>
      </c>
      <c r="F18911" s="40" t="s">
        <v>11404</v>
      </c>
      <c r="G18911" s="40" t="s">
        <v>11404</v>
      </c>
      <c r="H18911" s="40" t="s">
        <v>11404</v>
      </c>
    </row>
    <row r="18912">
      <c r="A18912" s="39"/>
      <c r="E18912" s="40" t="s">
        <v>11404</v>
      </c>
      <c r="F18912" s="40" t="s">
        <v>11404</v>
      </c>
      <c r="G18912" s="40" t="s">
        <v>11404</v>
      </c>
      <c r="H18912" s="40" t="s">
        <v>11404</v>
      </c>
    </row>
    <row r="18913">
      <c r="A18913" s="39"/>
      <c r="E18913" s="40" t="s">
        <v>11404</v>
      </c>
      <c r="F18913" s="40" t="s">
        <v>11404</v>
      </c>
      <c r="G18913" s="40" t="s">
        <v>11404</v>
      </c>
      <c r="H18913" s="40" t="s">
        <v>11404</v>
      </c>
    </row>
    <row r="18914">
      <c r="A18914" s="39"/>
      <c r="E18914" s="40" t="s">
        <v>11404</v>
      </c>
      <c r="F18914" s="40" t="s">
        <v>11404</v>
      </c>
      <c r="G18914" s="40" t="s">
        <v>11404</v>
      </c>
      <c r="H18914" s="40" t="s">
        <v>11404</v>
      </c>
    </row>
    <row r="18915">
      <c r="A18915" s="39"/>
      <c r="E18915" s="40" t="s">
        <v>11404</v>
      </c>
      <c r="F18915" s="40" t="s">
        <v>11404</v>
      </c>
      <c r="G18915" s="40" t="s">
        <v>11404</v>
      </c>
      <c r="H18915" s="40" t="s">
        <v>11404</v>
      </c>
    </row>
    <row r="18916">
      <c r="A18916" s="39"/>
      <c r="E18916" s="40" t="s">
        <v>11404</v>
      </c>
      <c r="F18916" s="40" t="s">
        <v>11404</v>
      </c>
      <c r="G18916" s="40" t="s">
        <v>11404</v>
      </c>
      <c r="H18916" s="40" t="s">
        <v>11404</v>
      </c>
    </row>
    <row r="18917">
      <c r="A18917" s="39"/>
      <c r="E18917" s="40" t="s">
        <v>11404</v>
      </c>
      <c r="F18917" s="40" t="s">
        <v>11404</v>
      </c>
      <c r="G18917" s="40" t="s">
        <v>11404</v>
      </c>
      <c r="H18917" s="40" t="s">
        <v>11404</v>
      </c>
    </row>
    <row r="18918">
      <c r="A18918" s="39"/>
      <c r="E18918" s="40" t="s">
        <v>11404</v>
      </c>
      <c r="F18918" s="40" t="s">
        <v>11404</v>
      </c>
      <c r="G18918" s="40" t="s">
        <v>11404</v>
      </c>
      <c r="H18918" s="40" t="s">
        <v>11404</v>
      </c>
    </row>
    <row r="18919">
      <c r="A18919" s="39"/>
      <c r="E18919" s="40" t="s">
        <v>11404</v>
      </c>
      <c r="F18919" s="40" t="s">
        <v>11404</v>
      </c>
      <c r="G18919" s="40" t="s">
        <v>11404</v>
      </c>
      <c r="H18919" s="40" t="s">
        <v>11404</v>
      </c>
    </row>
    <row r="18920">
      <c r="A18920" s="39"/>
      <c r="E18920" s="40" t="s">
        <v>11404</v>
      </c>
      <c r="F18920" s="40" t="s">
        <v>11404</v>
      </c>
      <c r="G18920" s="40" t="s">
        <v>11404</v>
      </c>
      <c r="H18920" s="40" t="s">
        <v>11404</v>
      </c>
    </row>
    <row r="18921">
      <c r="A18921" s="39"/>
      <c r="E18921" s="40" t="s">
        <v>11404</v>
      </c>
      <c r="F18921" s="40" t="s">
        <v>11404</v>
      </c>
      <c r="G18921" s="40" t="s">
        <v>11404</v>
      </c>
      <c r="H18921" s="40" t="s">
        <v>11404</v>
      </c>
    </row>
    <row r="18922">
      <c r="A18922" s="39"/>
      <c r="E18922" s="40" t="s">
        <v>11404</v>
      </c>
      <c r="F18922" s="40" t="s">
        <v>11404</v>
      </c>
      <c r="G18922" s="40" t="s">
        <v>11404</v>
      </c>
      <c r="H18922" s="40" t="s">
        <v>11404</v>
      </c>
    </row>
    <row r="18923">
      <c r="A18923" s="39"/>
      <c r="E18923" s="40" t="s">
        <v>11404</v>
      </c>
      <c r="F18923" s="40" t="s">
        <v>11404</v>
      </c>
      <c r="G18923" s="40" t="s">
        <v>11404</v>
      </c>
      <c r="H18923" s="40" t="s">
        <v>11404</v>
      </c>
    </row>
    <row r="18924">
      <c r="A18924" s="39"/>
      <c r="E18924" s="40" t="s">
        <v>11404</v>
      </c>
      <c r="F18924" s="40" t="s">
        <v>11404</v>
      </c>
      <c r="G18924" s="40" t="s">
        <v>11404</v>
      </c>
      <c r="H18924" s="40" t="s">
        <v>11404</v>
      </c>
    </row>
    <row r="18925">
      <c r="A18925" s="39"/>
      <c r="E18925" s="40" t="s">
        <v>11404</v>
      </c>
      <c r="F18925" s="40" t="s">
        <v>11404</v>
      </c>
      <c r="G18925" s="40" t="s">
        <v>11404</v>
      </c>
      <c r="H18925" s="40" t="s">
        <v>11404</v>
      </c>
    </row>
    <row r="18926">
      <c r="A18926" s="39"/>
      <c r="E18926" s="40" t="s">
        <v>11404</v>
      </c>
      <c r="F18926" s="40" t="s">
        <v>11404</v>
      </c>
      <c r="G18926" s="40" t="s">
        <v>11404</v>
      </c>
      <c r="H18926" s="40" t="s">
        <v>11404</v>
      </c>
    </row>
    <row r="18927">
      <c r="A18927" s="39"/>
      <c r="E18927" s="40" t="s">
        <v>11404</v>
      </c>
      <c r="F18927" s="40" t="s">
        <v>11404</v>
      </c>
      <c r="G18927" s="40" t="s">
        <v>11404</v>
      </c>
      <c r="H18927" s="40" t="s">
        <v>11404</v>
      </c>
    </row>
    <row r="18928">
      <c r="A18928" s="39"/>
      <c r="E18928" s="40" t="s">
        <v>11404</v>
      </c>
      <c r="F18928" s="40" t="s">
        <v>11404</v>
      </c>
      <c r="G18928" s="40" t="s">
        <v>11404</v>
      </c>
      <c r="H18928" s="40" t="s">
        <v>11404</v>
      </c>
    </row>
    <row r="18929">
      <c r="A18929" s="39"/>
      <c r="E18929" s="40" t="s">
        <v>11404</v>
      </c>
      <c r="F18929" s="40" t="s">
        <v>11404</v>
      </c>
      <c r="G18929" s="40" t="s">
        <v>11404</v>
      </c>
      <c r="H18929" s="40" t="s">
        <v>11404</v>
      </c>
    </row>
    <row r="18930">
      <c r="A18930" s="39"/>
      <c r="E18930" s="40" t="s">
        <v>11404</v>
      </c>
      <c r="F18930" s="40" t="s">
        <v>11404</v>
      </c>
      <c r="G18930" s="40" t="s">
        <v>11404</v>
      </c>
      <c r="H18930" s="40" t="s">
        <v>11404</v>
      </c>
    </row>
    <row r="18931">
      <c r="A18931" s="39"/>
      <c r="E18931" s="40" t="s">
        <v>11404</v>
      </c>
      <c r="F18931" s="40" t="s">
        <v>11404</v>
      </c>
      <c r="G18931" s="40" t="s">
        <v>11404</v>
      </c>
      <c r="H18931" s="40" t="s">
        <v>11404</v>
      </c>
    </row>
    <row r="18932">
      <c r="A18932" s="39"/>
      <c r="E18932" s="40" t="s">
        <v>11404</v>
      </c>
      <c r="F18932" s="40" t="s">
        <v>11404</v>
      </c>
      <c r="G18932" s="40" t="s">
        <v>11404</v>
      </c>
      <c r="H18932" s="40" t="s">
        <v>11404</v>
      </c>
    </row>
    <row r="18933">
      <c r="A18933" s="39"/>
      <c r="E18933" s="40" t="s">
        <v>11404</v>
      </c>
      <c r="F18933" s="40" t="s">
        <v>11404</v>
      </c>
      <c r="G18933" s="40" t="s">
        <v>11404</v>
      </c>
      <c r="H18933" s="40" t="s">
        <v>11404</v>
      </c>
    </row>
    <row r="18934">
      <c r="A18934" s="39"/>
      <c r="E18934" s="40" t="s">
        <v>11404</v>
      </c>
      <c r="F18934" s="40" t="s">
        <v>11404</v>
      </c>
      <c r="G18934" s="40" t="s">
        <v>11404</v>
      </c>
      <c r="H18934" s="40" t="s">
        <v>11404</v>
      </c>
    </row>
    <row r="18935">
      <c r="A18935" s="39"/>
      <c r="E18935" s="40" t="s">
        <v>11404</v>
      </c>
      <c r="F18935" s="40" t="s">
        <v>11404</v>
      </c>
      <c r="G18935" s="40" t="s">
        <v>11404</v>
      </c>
      <c r="H18935" s="40" t="s">
        <v>11404</v>
      </c>
    </row>
    <row r="18936">
      <c r="A18936" s="39"/>
      <c r="E18936" s="40" t="s">
        <v>11404</v>
      </c>
      <c r="F18936" s="40" t="s">
        <v>11404</v>
      </c>
      <c r="G18936" s="40" t="s">
        <v>11404</v>
      </c>
      <c r="H18936" s="40" t="s">
        <v>11404</v>
      </c>
    </row>
    <row r="18937">
      <c r="A18937" s="39"/>
      <c r="E18937" s="40" t="s">
        <v>11404</v>
      </c>
      <c r="F18937" s="40" t="s">
        <v>11404</v>
      </c>
      <c r="G18937" s="40" t="s">
        <v>11404</v>
      </c>
      <c r="H18937" s="40" t="s">
        <v>11404</v>
      </c>
    </row>
    <row r="18938">
      <c r="A18938" s="39"/>
      <c r="E18938" s="40" t="s">
        <v>11404</v>
      </c>
      <c r="F18938" s="40" t="s">
        <v>11404</v>
      </c>
      <c r="G18938" s="40" t="s">
        <v>11404</v>
      </c>
      <c r="H18938" s="40" t="s">
        <v>11404</v>
      </c>
    </row>
    <row r="18939">
      <c r="A18939" s="39"/>
      <c r="E18939" s="40" t="s">
        <v>11404</v>
      </c>
      <c r="F18939" s="40" t="s">
        <v>11404</v>
      </c>
      <c r="G18939" s="40" t="s">
        <v>11404</v>
      </c>
      <c r="H18939" s="40" t="s">
        <v>11404</v>
      </c>
    </row>
    <row r="18940">
      <c r="A18940" s="39"/>
      <c r="E18940" s="40" t="s">
        <v>11404</v>
      </c>
      <c r="F18940" s="40" t="s">
        <v>11404</v>
      </c>
      <c r="G18940" s="40" t="s">
        <v>11404</v>
      </c>
      <c r="H18940" s="40" t="s">
        <v>11404</v>
      </c>
    </row>
    <row r="18941">
      <c r="A18941" s="39"/>
      <c r="E18941" s="40" t="s">
        <v>11404</v>
      </c>
      <c r="F18941" s="40" t="s">
        <v>11404</v>
      </c>
      <c r="G18941" s="40" t="s">
        <v>11404</v>
      </c>
      <c r="H18941" s="40" t="s">
        <v>11404</v>
      </c>
    </row>
    <row r="18942">
      <c r="A18942" s="39"/>
      <c r="E18942" s="40" t="s">
        <v>11404</v>
      </c>
      <c r="F18942" s="40" t="s">
        <v>11404</v>
      </c>
      <c r="G18942" s="40" t="s">
        <v>11404</v>
      </c>
      <c r="H18942" s="40" t="s">
        <v>11404</v>
      </c>
    </row>
    <row r="18943">
      <c r="A18943" s="39"/>
      <c r="E18943" s="40" t="s">
        <v>11404</v>
      </c>
      <c r="F18943" s="40" t="s">
        <v>11404</v>
      </c>
      <c r="G18943" s="40" t="s">
        <v>11404</v>
      </c>
      <c r="H18943" s="40" t="s">
        <v>11404</v>
      </c>
    </row>
    <row r="18944">
      <c r="A18944" s="39"/>
      <c r="E18944" s="40" t="s">
        <v>11404</v>
      </c>
      <c r="F18944" s="40" t="s">
        <v>11404</v>
      </c>
      <c r="G18944" s="40" t="s">
        <v>11404</v>
      </c>
      <c r="H18944" s="40" t="s">
        <v>11404</v>
      </c>
    </row>
    <row r="18945">
      <c r="A18945" s="39"/>
      <c r="E18945" s="40" t="s">
        <v>11404</v>
      </c>
      <c r="F18945" s="40" t="s">
        <v>11404</v>
      </c>
      <c r="G18945" s="40" t="s">
        <v>11404</v>
      </c>
      <c r="H18945" s="40" t="s">
        <v>11404</v>
      </c>
    </row>
    <row r="18946">
      <c r="A18946" s="39"/>
      <c r="E18946" s="40" t="s">
        <v>11404</v>
      </c>
      <c r="F18946" s="40" t="s">
        <v>11404</v>
      </c>
      <c r="G18946" s="40" t="s">
        <v>11404</v>
      </c>
      <c r="H18946" s="40" t="s">
        <v>11404</v>
      </c>
    </row>
    <row r="18947">
      <c r="A18947" s="39"/>
      <c r="E18947" s="40" t="s">
        <v>11404</v>
      </c>
      <c r="F18947" s="40" t="s">
        <v>11404</v>
      </c>
      <c r="G18947" s="40" t="s">
        <v>11404</v>
      </c>
      <c r="H18947" s="40" t="s">
        <v>11404</v>
      </c>
    </row>
    <row r="18948">
      <c r="A18948" s="39"/>
      <c r="E18948" s="40" t="s">
        <v>11404</v>
      </c>
      <c r="F18948" s="40" t="s">
        <v>11404</v>
      </c>
      <c r="G18948" s="40" t="s">
        <v>11404</v>
      </c>
      <c r="H18948" s="40" t="s">
        <v>11404</v>
      </c>
    </row>
    <row r="18949">
      <c r="A18949" s="39"/>
      <c r="E18949" s="40" t="s">
        <v>11404</v>
      </c>
      <c r="F18949" s="40" t="s">
        <v>11404</v>
      </c>
      <c r="G18949" s="40" t="s">
        <v>11404</v>
      </c>
      <c r="H18949" s="40" t="s">
        <v>11404</v>
      </c>
    </row>
    <row r="18950">
      <c r="A18950" s="39"/>
      <c r="E18950" s="40" t="s">
        <v>11404</v>
      </c>
      <c r="F18950" s="40" t="s">
        <v>11404</v>
      </c>
      <c r="G18950" s="40" t="s">
        <v>11404</v>
      </c>
      <c r="H18950" s="40" t="s">
        <v>11404</v>
      </c>
    </row>
    <row r="18951">
      <c r="A18951" s="39"/>
      <c r="E18951" s="40" t="s">
        <v>11404</v>
      </c>
      <c r="F18951" s="40" t="s">
        <v>11404</v>
      </c>
      <c r="G18951" s="40" t="s">
        <v>11404</v>
      </c>
      <c r="H18951" s="40" t="s">
        <v>11404</v>
      </c>
    </row>
    <row r="18952">
      <c r="A18952" s="39"/>
      <c r="E18952" s="40" t="s">
        <v>11404</v>
      </c>
      <c r="F18952" s="40" t="s">
        <v>11404</v>
      </c>
      <c r="G18952" s="40" t="s">
        <v>11404</v>
      </c>
      <c r="H18952" s="40" t="s">
        <v>11404</v>
      </c>
    </row>
    <row r="18953">
      <c r="A18953" s="39"/>
      <c r="E18953" s="40" t="s">
        <v>11404</v>
      </c>
      <c r="F18953" s="40" t="s">
        <v>11404</v>
      </c>
      <c r="G18953" s="40" t="s">
        <v>11404</v>
      </c>
      <c r="H18953" s="40" t="s">
        <v>11404</v>
      </c>
    </row>
    <row r="18954">
      <c r="A18954" s="39"/>
      <c r="E18954" s="40" t="s">
        <v>11404</v>
      </c>
      <c r="F18954" s="40" t="s">
        <v>11404</v>
      </c>
      <c r="G18954" s="40" t="s">
        <v>11404</v>
      </c>
      <c r="H18954" s="40" t="s">
        <v>11404</v>
      </c>
    </row>
    <row r="18955">
      <c r="A18955" s="39"/>
      <c r="E18955" s="40" t="s">
        <v>11404</v>
      </c>
      <c r="F18955" s="40" t="s">
        <v>11404</v>
      </c>
      <c r="G18955" s="40" t="s">
        <v>11404</v>
      </c>
      <c r="H18955" s="40" t="s">
        <v>11404</v>
      </c>
    </row>
    <row r="18956">
      <c r="A18956" s="39"/>
      <c r="E18956" s="40" t="s">
        <v>11404</v>
      </c>
      <c r="F18956" s="40" t="s">
        <v>11404</v>
      </c>
      <c r="G18956" s="40" t="s">
        <v>11404</v>
      </c>
      <c r="H18956" s="40" t="s">
        <v>11404</v>
      </c>
    </row>
    <row r="18957">
      <c r="A18957" s="39"/>
      <c r="E18957" s="40" t="s">
        <v>11404</v>
      </c>
      <c r="F18957" s="40" t="s">
        <v>11404</v>
      </c>
      <c r="G18957" s="40" t="s">
        <v>11404</v>
      </c>
      <c r="H18957" s="40" t="s">
        <v>11404</v>
      </c>
    </row>
    <row r="18958">
      <c r="A18958" s="39"/>
      <c r="E18958" s="40" t="s">
        <v>11404</v>
      </c>
      <c r="F18958" s="40" t="s">
        <v>11404</v>
      </c>
      <c r="G18958" s="40" t="s">
        <v>11404</v>
      </c>
      <c r="H18958" s="40" t="s">
        <v>11404</v>
      </c>
    </row>
    <row r="18959">
      <c r="A18959" s="39"/>
      <c r="E18959" s="40" t="s">
        <v>11404</v>
      </c>
      <c r="F18959" s="40" t="s">
        <v>11404</v>
      </c>
      <c r="G18959" s="40" t="s">
        <v>11404</v>
      </c>
      <c r="H18959" s="40" t="s">
        <v>11404</v>
      </c>
    </row>
    <row r="18960">
      <c r="A18960" s="39"/>
      <c r="E18960" s="40" t="s">
        <v>11404</v>
      </c>
      <c r="F18960" s="40" t="s">
        <v>11404</v>
      </c>
      <c r="G18960" s="40" t="s">
        <v>11404</v>
      </c>
      <c r="H18960" s="40" t="s">
        <v>11404</v>
      </c>
    </row>
    <row r="18961">
      <c r="A18961" s="39"/>
      <c r="E18961" s="40" t="s">
        <v>11404</v>
      </c>
      <c r="F18961" s="40" t="s">
        <v>11404</v>
      </c>
      <c r="G18961" s="40" t="s">
        <v>11404</v>
      </c>
      <c r="H18961" s="40" t="s">
        <v>11404</v>
      </c>
    </row>
    <row r="18962">
      <c r="A18962" s="39"/>
      <c r="E18962" s="40" t="s">
        <v>11404</v>
      </c>
      <c r="F18962" s="40" t="s">
        <v>11404</v>
      </c>
      <c r="G18962" s="40" t="s">
        <v>11404</v>
      </c>
      <c r="H18962" s="40" t="s">
        <v>11404</v>
      </c>
    </row>
    <row r="18963">
      <c r="A18963" s="39"/>
      <c r="E18963" s="40" t="s">
        <v>11404</v>
      </c>
      <c r="F18963" s="40" t="s">
        <v>11404</v>
      </c>
      <c r="G18963" s="40" t="s">
        <v>11404</v>
      </c>
      <c r="H18963" s="40" t="s">
        <v>11404</v>
      </c>
    </row>
    <row r="18964">
      <c r="A18964" s="39"/>
      <c r="E18964" s="40" t="s">
        <v>11404</v>
      </c>
      <c r="F18964" s="40" t="s">
        <v>11404</v>
      </c>
      <c r="G18964" s="40" t="s">
        <v>11404</v>
      </c>
      <c r="H18964" s="40" t="s">
        <v>11404</v>
      </c>
    </row>
    <row r="18965">
      <c r="A18965" s="39"/>
      <c r="E18965" s="40" t="s">
        <v>11404</v>
      </c>
      <c r="F18965" s="40" t="s">
        <v>11404</v>
      </c>
      <c r="G18965" s="40" t="s">
        <v>11404</v>
      </c>
      <c r="H18965" s="40" t="s">
        <v>11404</v>
      </c>
    </row>
    <row r="18966">
      <c r="A18966" s="39"/>
      <c r="E18966" s="40" t="s">
        <v>11404</v>
      </c>
      <c r="F18966" s="40" t="s">
        <v>11404</v>
      </c>
      <c r="G18966" s="40" t="s">
        <v>11404</v>
      </c>
      <c r="H18966" s="40" t="s">
        <v>11404</v>
      </c>
    </row>
    <row r="18967">
      <c r="A18967" s="39"/>
      <c r="E18967" s="40" t="s">
        <v>11404</v>
      </c>
      <c r="F18967" s="40" t="s">
        <v>11404</v>
      </c>
      <c r="G18967" s="40" t="s">
        <v>11404</v>
      </c>
      <c r="H18967" s="40" t="s">
        <v>11404</v>
      </c>
    </row>
    <row r="18968">
      <c r="A18968" s="39"/>
      <c r="E18968" s="40" t="s">
        <v>11404</v>
      </c>
      <c r="F18968" s="40" t="s">
        <v>11404</v>
      </c>
      <c r="G18968" s="40" t="s">
        <v>11404</v>
      </c>
      <c r="H18968" s="40" t="s">
        <v>11404</v>
      </c>
    </row>
    <row r="18969">
      <c r="A18969" s="39"/>
      <c r="E18969" s="40" t="s">
        <v>11404</v>
      </c>
      <c r="F18969" s="40" t="s">
        <v>11404</v>
      </c>
      <c r="G18969" s="40" t="s">
        <v>11404</v>
      </c>
      <c r="H18969" s="40" t="s">
        <v>11404</v>
      </c>
    </row>
    <row r="18970">
      <c r="A18970" s="39"/>
      <c r="E18970" s="40" t="s">
        <v>11404</v>
      </c>
      <c r="F18970" s="40" t="s">
        <v>11404</v>
      </c>
      <c r="G18970" s="40" t="s">
        <v>11404</v>
      </c>
      <c r="H18970" s="40" t="s">
        <v>11404</v>
      </c>
    </row>
    <row r="18971">
      <c r="A18971" s="39"/>
      <c r="E18971" s="40" t="s">
        <v>11404</v>
      </c>
      <c r="F18971" s="40" t="s">
        <v>11404</v>
      </c>
      <c r="G18971" s="40" t="s">
        <v>11404</v>
      </c>
      <c r="H18971" s="40" t="s">
        <v>11404</v>
      </c>
    </row>
    <row r="18972">
      <c r="A18972" s="39"/>
      <c r="E18972" s="40" t="s">
        <v>11404</v>
      </c>
      <c r="F18972" s="40" t="s">
        <v>11404</v>
      </c>
      <c r="G18972" s="40" t="s">
        <v>11404</v>
      </c>
      <c r="H18972" s="40" t="s">
        <v>11404</v>
      </c>
    </row>
    <row r="18973">
      <c r="A18973" s="39"/>
      <c r="E18973" s="40" t="s">
        <v>11404</v>
      </c>
      <c r="F18973" s="40" t="s">
        <v>11404</v>
      </c>
      <c r="G18973" s="40" t="s">
        <v>11404</v>
      </c>
      <c r="H18973" s="40" t="s">
        <v>11404</v>
      </c>
    </row>
    <row r="18974">
      <c r="A18974" s="39"/>
      <c r="E18974" s="40" t="s">
        <v>11404</v>
      </c>
      <c r="F18974" s="40" t="s">
        <v>11404</v>
      </c>
      <c r="G18974" s="40" t="s">
        <v>11404</v>
      </c>
      <c r="H18974" s="40" t="s">
        <v>11404</v>
      </c>
    </row>
    <row r="18975">
      <c r="A18975" s="39"/>
      <c r="E18975" s="40" t="s">
        <v>11404</v>
      </c>
      <c r="F18975" s="40" t="s">
        <v>11404</v>
      </c>
      <c r="G18975" s="40" t="s">
        <v>11404</v>
      </c>
      <c r="H18975" s="40" t="s">
        <v>11404</v>
      </c>
    </row>
    <row r="18976">
      <c r="A18976" s="39"/>
      <c r="E18976" s="40" t="s">
        <v>11404</v>
      </c>
      <c r="F18976" s="40" t="s">
        <v>11404</v>
      </c>
      <c r="G18976" s="40" t="s">
        <v>11404</v>
      </c>
      <c r="H18976" s="40" t="s">
        <v>11404</v>
      </c>
    </row>
    <row r="18977">
      <c r="A18977" s="39"/>
      <c r="E18977" s="40" t="s">
        <v>11404</v>
      </c>
      <c r="F18977" s="40" t="s">
        <v>11404</v>
      </c>
      <c r="G18977" s="40" t="s">
        <v>11404</v>
      </c>
      <c r="H18977" s="40" t="s">
        <v>11404</v>
      </c>
    </row>
    <row r="18978">
      <c r="A18978" s="39"/>
      <c r="E18978" s="40" t="s">
        <v>11404</v>
      </c>
      <c r="F18978" s="40" t="s">
        <v>11404</v>
      </c>
      <c r="G18978" s="40" t="s">
        <v>11404</v>
      </c>
      <c r="H18978" s="40" t="s">
        <v>11404</v>
      </c>
    </row>
    <row r="18979">
      <c r="A18979" s="39"/>
      <c r="E18979" s="40" t="s">
        <v>11404</v>
      </c>
      <c r="F18979" s="40" t="s">
        <v>11404</v>
      </c>
      <c r="G18979" s="40" t="s">
        <v>11404</v>
      </c>
      <c r="H18979" s="40" t="s">
        <v>11404</v>
      </c>
    </row>
    <row r="18980">
      <c r="A18980" s="39"/>
      <c r="E18980" s="40" t="s">
        <v>11404</v>
      </c>
      <c r="F18980" s="40" t="s">
        <v>11404</v>
      </c>
      <c r="G18980" s="40" t="s">
        <v>11404</v>
      </c>
      <c r="H18980" s="40" t="s">
        <v>11404</v>
      </c>
    </row>
    <row r="18981">
      <c r="A18981" s="39"/>
      <c r="E18981" s="40" t="s">
        <v>11404</v>
      </c>
      <c r="F18981" s="40" t="s">
        <v>11404</v>
      </c>
      <c r="G18981" s="40" t="s">
        <v>11404</v>
      </c>
      <c r="H18981" s="40" t="s">
        <v>11404</v>
      </c>
    </row>
    <row r="18982">
      <c r="A18982" s="39"/>
      <c r="E18982" s="40" t="s">
        <v>11404</v>
      </c>
      <c r="F18982" s="40" t="s">
        <v>11404</v>
      </c>
      <c r="G18982" s="40" t="s">
        <v>11404</v>
      </c>
      <c r="H18982" s="40" t="s">
        <v>11404</v>
      </c>
    </row>
    <row r="18983">
      <c r="A18983" s="39"/>
      <c r="E18983" s="40" t="s">
        <v>11404</v>
      </c>
      <c r="F18983" s="40" t="s">
        <v>11404</v>
      </c>
      <c r="G18983" s="40" t="s">
        <v>11404</v>
      </c>
      <c r="H18983" s="40" t="s">
        <v>11404</v>
      </c>
    </row>
    <row r="18984">
      <c r="A18984" s="39"/>
      <c r="E18984" s="40" t="s">
        <v>11404</v>
      </c>
      <c r="F18984" s="40" t="s">
        <v>11404</v>
      </c>
      <c r="G18984" s="40" t="s">
        <v>11404</v>
      </c>
      <c r="H18984" s="40" t="s">
        <v>11404</v>
      </c>
    </row>
    <row r="18985">
      <c r="A18985" s="39"/>
      <c r="E18985" s="40" t="s">
        <v>11404</v>
      </c>
      <c r="F18985" s="40" t="s">
        <v>11404</v>
      </c>
      <c r="G18985" s="40" t="s">
        <v>11404</v>
      </c>
      <c r="H18985" s="40" t="s">
        <v>11404</v>
      </c>
    </row>
    <row r="18986">
      <c r="A18986" s="39"/>
      <c r="E18986" s="40" t="s">
        <v>11404</v>
      </c>
      <c r="F18986" s="40" t="s">
        <v>11404</v>
      </c>
      <c r="G18986" s="40" t="s">
        <v>11404</v>
      </c>
      <c r="H18986" s="40" t="s">
        <v>11404</v>
      </c>
    </row>
    <row r="18987">
      <c r="A18987" s="39"/>
      <c r="E18987" s="40" t="s">
        <v>11404</v>
      </c>
      <c r="F18987" s="40" t="s">
        <v>11404</v>
      </c>
      <c r="G18987" s="40" t="s">
        <v>11404</v>
      </c>
      <c r="H18987" s="40" t="s">
        <v>11404</v>
      </c>
    </row>
    <row r="18988">
      <c r="A18988" s="39"/>
      <c r="E18988" s="40" t="s">
        <v>11404</v>
      </c>
      <c r="F18988" s="40" t="s">
        <v>11404</v>
      </c>
      <c r="G18988" s="40" t="s">
        <v>11404</v>
      </c>
      <c r="H18988" s="40" t="s">
        <v>11404</v>
      </c>
    </row>
    <row r="18989">
      <c r="A18989" s="39"/>
      <c r="E18989" s="40" t="s">
        <v>11404</v>
      </c>
      <c r="F18989" s="40" t="s">
        <v>11404</v>
      </c>
      <c r="G18989" s="40" t="s">
        <v>11404</v>
      </c>
      <c r="H18989" s="40" t="s">
        <v>11404</v>
      </c>
    </row>
    <row r="18990">
      <c r="A18990" s="39"/>
      <c r="E18990" s="40" t="s">
        <v>11404</v>
      </c>
      <c r="F18990" s="40" t="s">
        <v>11404</v>
      </c>
      <c r="G18990" s="40" t="s">
        <v>11404</v>
      </c>
      <c r="H18990" s="40" t="s">
        <v>11404</v>
      </c>
    </row>
    <row r="18991">
      <c r="A18991" s="39"/>
      <c r="E18991" s="40" t="s">
        <v>11404</v>
      </c>
      <c r="F18991" s="40" t="s">
        <v>11404</v>
      </c>
      <c r="G18991" s="40" t="s">
        <v>11404</v>
      </c>
      <c r="H18991" s="40" t="s">
        <v>11404</v>
      </c>
    </row>
    <row r="18992">
      <c r="A18992" s="39"/>
      <c r="E18992" s="40" t="s">
        <v>11404</v>
      </c>
      <c r="F18992" s="40" t="s">
        <v>11404</v>
      </c>
      <c r="G18992" s="40" t="s">
        <v>11404</v>
      </c>
      <c r="H18992" s="40" t="s">
        <v>11404</v>
      </c>
    </row>
    <row r="18993">
      <c r="A18993" s="39"/>
      <c r="E18993" s="40" t="s">
        <v>11404</v>
      </c>
      <c r="F18993" s="40" t="s">
        <v>11404</v>
      </c>
      <c r="G18993" s="40" t="s">
        <v>11404</v>
      </c>
      <c r="H18993" s="40" t="s">
        <v>11404</v>
      </c>
    </row>
    <row r="18994">
      <c r="A18994" s="39"/>
      <c r="E18994" s="40" t="s">
        <v>11404</v>
      </c>
      <c r="F18994" s="40" t="s">
        <v>11404</v>
      </c>
      <c r="G18994" s="40" t="s">
        <v>11404</v>
      </c>
      <c r="H18994" s="40" t="s">
        <v>11404</v>
      </c>
    </row>
    <row r="18995">
      <c r="A18995" s="39"/>
      <c r="E18995" s="40" t="s">
        <v>11404</v>
      </c>
      <c r="F18995" s="40" t="s">
        <v>11404</v>
      </c>
      <c r="G18995" s="40" t="s">
        <v>11404</v>
      </c>
      <c r="H18995" s="40" t="s">
        <v>11404</v>
      </c>
    </row>
    <row r="18996">
      <c r="A18996" s="39"/>
      <c r="E18996" s="40" t="s">
        <v>11404</v>
      </c>
      <c r="F18996" s="40" t="s">
        <v>11404</v>
      </c>
      <c r="G18996" s="40" t="s">
        <v>11404</v>
      </c>
      <c r="H18996" s="40" t="s">
        <v>11404</v>
      </c>
    </row>
    <row r="18997">
      <c r="A18997" s="39"/>
      <c r="E18997" s="40" t="s">
        <v>11404</v>
      </c>
      <c r="F18997" s="40" t="s">
        <v>11404</v>
      </c>
      <c r="G18997" s="40" t="s">
        <v>11404</v>
      </c>
      <c r="H18997" s="40" t="s">
        <v>11404</v>
      </c>
    </row>
    <row r="18998">
      <c r="A18998" s="39"/>
      <c r="E18998" s="40" t="s">
        <v>11404</v>
      </c>
      <c r="F18998" s="40" t="s">
        <v>11404</v>
      </c>
      <c r="G18998" s="40" t="s">
        <v>11404</v>
      </c>
      <c r="H18998" s="40" t="s">
        <v>11404</v>
      </c>
    </row>
    <row r="18999">
      <c r="A18999" s="39"/>
      <c r="E18999" s="40" t="s">
        <v>11404</v>
      </c>
      <c r="F18999" s="40" t="s">
        <v>11404</v>
      </c>
      <c r="G18999" s="40" t="s">
        <v>11404</v>
      </c>
      <c r="H18999" s="40" t="s">
        <v>11404</v>
      </c>
    </row>
    <row r="19000">
      <c r="A19000" s="39"/>
      <c r="E19000" s="40" t="s">
        <v>11404</v>
      </c>
      <c r="F19000" s="40" t="s">
        <v>11404</v>
      </c>
      <c r="G19000" s="40" t="s">
        <v>11404</v>
      </c>
      <c r="H19000" s="40" t="s">
        <v>11404</v>
      </c>
    </row>
    <row r="19001">
      <c r="A19001" s="39"/>
      <c r="E19001" s="40" t="s">
        <v>11404</v>
      </c>
      <c r="F19001" s="40" t="s">
        <v>11404</v>
      </c>
      <c r="G19001" s="40" t="s">
        <v>11404</v>
      </c>
      <c r="H19001" s="40" t="s">
        <v>11404</v>
      </c>
    </row>
    <row r="19002">
      <c r="A19002" s="39"/>
      <c r="E19002" s="40" t="s">
        <v>11404</v>
      </c>
      <c r="F19002" s="40" t="s">
        <v>11404</v>
      </c>
      <c r="G19002" s="40" t="s">
        <v>11404</v>
      </c>
      <c r="H19002" s="40" t="s">
        <v>11404</v>
      </c>
    </row>
    <row r="19003">
      <c r="A19003" s="39"/>
      <c r="E19003" s="40" t="s">
        <v>11404</v>
      </c>
      <c r="F19003" s="40" t="s">
        <v>11404</v>
      </c>
      <c r="G19003" s="40" t="s">
        <v>11404</v>
      </c>
      <c r="H19003" s="40" t="s">
        <v>11404</v>
      </c>
    </row>
    <row r="19004">
      <c r="A19004" s="39"/>
      <c r="E19004" s="40" t="s">
        <v>11404</v>
      </c>
      <c r="F19004" s="40" t="s">
        <v>11404</v>
      </c>
      <c r="G19004" s="40" t="s">
        <v>11404</v>
      </c>
      <c r="H19004" s="40" t="s">
        <v>11404</v>
      </c>
    </row>
    <row r="19005">
      <c r="A19005" s="39"/>
      <c r="E19005" s="40" t="s">
        <v>11404</v>
      </c>
      <c r="F19005" s="40" t="s">
        <v>11404</v>
      </c>
      <c r="G19005" s="40" t="s">
        <v>11404</v>
      </c>
      <c r="H19005" s="40" t="s">
        <v>11404</v>
      </c>
    </row>
    <row r="19006">
      <c r="A19006" s="39"/>
      <c r="E19006" s="40" t="s">
        <v>11404</v>
      </c>
      <c r="F19006" s="40" t="s">
        <v>11404</v>
      </c>
      <c r="G19006" s="40" t="s">
        <v>11404</v>
      </c>
      <c r="H19006" s="40" t="s">
        <v>11404</v>
      </c>
    </row>
    <row r="19007">
      <c r="A19007" s="39"/>
      <c r="E19007" s="40" t="s">
        <v>11404</v>
      </c>
      <c r="F19007" s="40" t="s">
        <v>11404</v>
      </c>
      <c r="G19007" s="40" t="s">
        <v>11404</v>
      </c>
      <c r="H19007" s="40" t="s">
        <v>11404</v>
      </c>
    </row>
    <row r="19008">
      <c r="A19008" s="39"/>
      <c r="E19008" s="40" t="s">
        <v>11404</v>
      </c>
      <c r="F19008" s="40" t="s">
        <v>11404</v>
      </c>
      <c r="G19008" s="40" t="s">
        <v>11404</v>
      </c>
      <c r="H19008" s="40" t="s">
        <v>11404</v>
      </c>
    </row>
    <row r="19009">
      <c r="A19009" s="39"/>
      <c r="E19009" s="40" t="s">
        <v>11404</v>
      </c>
      <c r="F19009" s="40" t="s">
        <v>11404</v>
      </c>
      <c r="G19009" s="40" t="s">
        <v>11404</v>
      </c>
      <c r="H19009" s="40" t="s">
        <v>11404</v>
      </c>
    </row>
    <row r="19010">
      <c r="A19010" s="39"/>
      <c r="E19010" s="40" t="s">
        <v>11404</v>
      </c>
      <c r="F19010" s="40" t="s">
        <v>11404</v>
      </c>
      <c r="G19010" s="40" t="s">
        <v>11404</v>
      </c>
      <c r="H19010" s="40" t="s">
        <v>11404</v>
      </c>
    </row>
    <row r="19011">
      <c r="A19011" s="39"/>
      <c r="E19011" s="40" t="s">
        <v>11404</v>
      </c>
      <c r="F19011" s="40" t="s">
        <v>11404</v>
      </c>
      <c r="G19011" s="40" t="s">
        <v>11404</v>
      </c>
      <c r="H19011" s="40" t="s">
        <v>11404</v>
      </c>
    </row>
    <row r="19012">
      <c r="A19012" s="39"/>
      <c r="E19012" s="40" t="s">
        <v>11404</v>
      </c>
      <c r="F19012" s="40" t="s">
        <v>11404</v>
      </c>
      <c r="G19012" s="40" t="s">
        <v>11404</v>
      </c>
      <c r="H19012" s="40" t="s">
        <v>11404</v>
      </c>
    </row>
    <row r="19013">
      <c r="A19013" s="39"/>
      <c r="E19013" s="40" t="s">
        <v>11404</v>
      </c>
      <c r="F19013" s="40" t="s">
        <v>11404</v>
      </c>
      <c r="G19013" s="40" t="s">
        <v>11404</v>
      </c>
      <c r="H19013" s="40" t="s">
        <v>11404</v>
      </c>
    </row>
    <row r="19014">
      <c r="A19014" s="39"/>
      <c r="E19014" s="40" t="s">
        <v>11404</v>
      </c>
      <c r="F19014" s="40" t="s">
        <v>11404</v>
      </c>
      <c r="G19014" s="40" t="s">
        <v>11404</v>
      </c>
      <c r="H19014" s="40" t="s">
        <v>11404</v>
      </c>
    </row>
    <row r="19015">
      <c r="A19015" s="39"/>
      <c r="E19015" s="40" t="s">
        <v>11404</v>
      </c>
      <c r="F19015" s="40" t="s">
        <v>11404</v>
      </c>
      <c r="G19015" s="40" t="s">
        <v>11404</v>
      </c>
      <c r="H19015" s="40" t="s">
        <v>11404</v>
      </c>
    </row>
    <row r="19016">
      <c r="A19016" s="39"/>
      <c r="E19016" s="40" t="s">
        <v>11404</v>
      </c>
      <c r="F19016" s="40" t="s">
        <v>11404</v>
      </c>
      <c r="G19016" s="40" t="s">
        <v>11404</v>
      </c>
      <c r="H19016" s="40" t="s">
        <v>11404</v>
      </c>
    </row>
    <row r="19017">
      <c r="A19017" s="39"/>
      <c r="E19017" s="40" t="s">
        <v>11404</v>
      </c>
      <c r="F19017" s="40" t="s">
        <v>11404</v>
      </c>
      <c r="G19017" s="40" t="s">
        <v>11404</v>
      </c>
      <c r="H19017" s="40" t="s">
        <v>11404</v>
      </c>
    </row>
    <row r="19018">
      <c r="A19018" s="39"/>
      <c r="E19018" s="40" t="s">
        <v>11404</v>
      </c>
      <c r="F19018" s="40" t="s">
        <v>11404</v>
      </c>
      <c r="G19018" s="40" t="s">
        <v>11404</v>
      </c>
      <c r="H19018" s="40" t="s">
        <v>11404</v>
      </c>
    </row>
    <row r="19019">
      <c r="A19019" s="39"/>
      <c r="E19019" s="40" t="s">
        <v>11404</v>
      </c>
      <c r="F19019" s="40" t="s">
        <v>11404</v>
      </c>
      <c r="G19019" s="40" t="s">
        <v>11404</v>
      </c>
      <c r="H19019" s="40" t="s">
        <v>11404</v>
      </c>
    </row>
    <row r="19020">
      <c r="A19020" s="39"/>
      <c r="E19020" s="40" t="s">
        <v>11404</v>
      </c>
      <c r="F19020" s="40" t="s">
        <v>11404</v>
      </c>
      <c r="G19020" s="40" t="s">
        <v>11404</v>
      </c>
      <c r="H19020" s="40" t="s">
        <v>11404</v>
      </c>
    </row>
    <row r="19021">
      <c r="A19021" s="39"/>
      <c r="E19021" s="40" t="s">
        <v>11404</v>
      </c>
      <c r="F19021" s="40" t="s">
        <v>11404</v>
      </c>
      <c r="G19021" s="40" t="s">
        <v>11404</v>
      </c>
      <c r="H19021" s="40" t="s">
        <v>11404</v>
      </c>
    </row>
    <row r="19022">
      <c r="A19022" s="39"/>
      <c r="E19022" s="40" t="s">
        <v>11404</v>
      </c>
      <c r="F19022" s="40" t="s">
        <v>11404</v>
      </c>
      <c r="G19022" s="40" t="s">
        <v>11404</v>
      </c>
      <c r="H19022" s="40" t="s">
        <v>11404</v>
      </c>
    </row>
    <row r="19023">
      <c r="A19023" s="39"/>
      <c r="E19023" s="40" t="s">
        <v>11404</v>
      </c>
      <c r="F19023" s="40" t="s">
        <v>11404</v>
      </c>
      <c r="G19023" s="40" t="s">
        <v>11404</v>
      </c>
      <c r="H19023" s="40" t="s">
        <v>11404</v>
      </c>
    </row>
    <row r="19024">
      <c r="A19024" s="39"/>
      <c r="E19024" s="40" t="s">
        <v>11404</v>
      </c>
      <c r="F19024" s="40" t="s">
        <v>11404</v>
      </c>
      <c r="G19024" s="40" t="s">
        <v>11404</v>
      </c>
      <c r="H19024" s="40" t="s">
        <v>11404</v>
      </c>
    </row>
    <row r="19025">
      <c r="A19025" s="39"/>
      <c r="E19025" s="40" t="s">
        <v>11404</v>
      </c>
      <c r="F19025" s="40" t="s">
        <v>11404</v>
      </c>
      <c r="G19025" s="40" t="s">
        <v>11404</v>
      </c>
      <c r="H19025" s="40" t="s">
        <v>11404</v>
      </c>
    </row>
    <row r="19026">
      <c r="A19026" s="39"/>
      <c r="E19026" s="40" t="s">
        <v>11404</v>
      </c>
      <c r="F19026" s="40" t="s">
        <v>11404</v>
      </c>
      <c r="G19026" s="40" t="s">
        <v>11404</v>
      </c>
      <c r="H19026" s="40" t="s">
        <v>11404</v>
      </c>
    </row>
    <row r="19027">
      <c r="A19027" s="39"/>
      <c r="E19027" s="40" t="s">
        <v>11404</v>
      </c>
      <c r="F19027" s="40" t="s">
        <v>11404</v>
      </c>
      <c r="G19027" s="40" t="s">
        <v>11404</v>
      </c>
      <c r="H19027" s="40" t="s">
        <v>11404</v>
      </c>
    </row>
    <row r="19028">
      <c r="A19028" s="39"/>
      <c r="E19028" s="40" t="s">
        <v>11404</v>
      </c>
      <c r="F19028" s="40" t="s">
        <v>11404</v>
      </c>
      <c r="G19028" s="40" t="s">
        <v>11404</v>
      </c>
      <c r="H19028" s="40" t="s">
        <v>11404</v>
      </c>
    </row>
    <row r="19029">
      <c r="A19029" s="39"/>
      <c r="E19029" s="40" t="s">
        <v>11404</v>
      </c>
      <c r="F19029" s="40" t="s">
        <v>11404</v>
      </c>
      <c r="G19029" s="40" t="s">
        <v>11404</v>
      </c>
      <c r="H19029" s="40" t="s">
        <v>11404</v>
      </c>
    </row>
    <row r="19030">
      <c r="A19030" s="39"/>
      <c r="E19030" s="40" t="s">
        <v>11404</v>
      </c>
      <c r="F19030" s="40" t="s">
        <v>11404</v>
      </c>
      <c r="G19030" s="40" t="s">
        <v>11404</v>
      </c>
      <c r="H19030" s="40" t="s">
        <v>11404</v>
      </c>
    </row>
    <row r="19031">
      <c r="A19031" s="39"/>
      <c r="E19031" s="40" t="s">
        <v>11404</v>
      </c>
      <c r="F19031" s="40" t="s">
        <v>11404</v>
      </c>
      <c r="G19031" s="40" t="s">
        <v>11404</v>
      </c>
      <c r="H19031" s="40" t="s">
        <v>11404</v>
      </c>
    </row>
    <row r="19032">
      <c r="A19032" s="39"/>
      <c r="E19032" s="40" t="s">
        <v>11404</v>
      </c>
      <c r="F19032" s="40" t="s">
        <v>11404</v>
      </c>
      <c r="G19032" s="40" t="s">
        <v>11404</v>
      </c>
      <c r="H19032" s="40" t="s">
        <v>11404</v>
      </c>
    </row>
    <row r="19033">
      <c r="A19033" s="39"/>
      <c r="E19033" s="40" t="s">
        <v>11404</v>
      </c>
      <c r="F19033" s="40" t="s">
        <v>11404</v>
      </c>
      <c r="G19033" s="40" t="s">
        <v>11404</v>
      </c>
      <c r="H19033" s="40" t="s">
        <v>11404</v>
      </c>
    </row>
    <row r="19034">
      <c r="A19034" s="39"/>
      <c r="E19034" s="40" t="s">
        <v>11404</v>
      </c>
      <c r="F19034" s="40" t="s">
        <v>11404</v>
      </c>
      <c r="G19034" s="40" t="s">
        <v>11404</v>
      </c>
      <c r="H19034" s="40" t="s">
        <v>11404</v>
      </c>
    </row>
    <row r="19035">
      <c r="A19035" s="39"/>
      <c r="E19035" s="40" t="s">
        <v>11404</v>
      </c>
      <c r="F19035" s="40" t="s">
        <v>11404</v>
      </c>
      <c r="G19035" s="40" t="s">
        <v>11404</v>
      </c>
      <c r="H19035" s="40" t="s">
        <v>11404</v>
      </c>
    </row>
    <row r="19036">
      <c r="A19036" s="39"/>
      <c r="E19036" s="40" t="s">
        <v>11404</v>
      </c>
      <c r="F19036" s="40" t="s">
        <v>11404</v>
      </c>
      <c r="G19036" s="40" t="s">
        <v>11404</v>
      </c>
      <c r="H19036" s="40" t="s">
        <v>11404</v>
      </c>
    </row>
    <row r="19037">
      <c r="A19037" s="39"/>
      <c r="E19037" s="40" t="s">
        <v>11404</v>
      </c>
      <c r="F19037" s="40" t="s">
        <v>11404</v>
      </c>
      <c r="G19037" s="40" t="s">
        <v>11404</v>
      </c>
      <c r="H19037" s="40" t="s">
        <v>11404</v>
      </c>
    </row>
    <row r="19038">
      <c r="A19038" s="39"/>
      <c r="E19038" s="40" t="s">
        <v>11404</v>
      </c>
      <c r="F19038" s="40" t="s">
        <v>11404</v>
      </c>
      <c r="G19038" s="40" t="s">
        <v>11404</v>
      </c>
      <c r="H19038" s="40" t="s">
        <v>11404</v>
      </c>
    </row>
    <row r="19039">
      <c r="A19039" s="39"/>
      <c r="E19039" s="40" t="s">
        <v>11404</v>
      </c>
      <c r="F19039" s="40" t="s">
        <v>11404</v>
      </c>
      <c r="G19039" s="40" t="s">
        <v>11404</v>
      </c>
      <c r="H19039" s="40" t="s">
        <v>11404</v>
      </c>
    </row>
    <row r="19040">
      <c r="A19040" s="39"/>
      <c r="E19040" s="40" t="s">
        <v>11404</v>
      </c>
      <c r="F19040" s="40" t="s">
        <v>11404</v>
      </c>
      <c r="G19040" s="40" t="s">
        <v>11404</v>
      </c>
      <c r="H19040" s="40" t="s">
        <v>11404</v>
      </c>
    </row>
    <row r="19041">
      <c r="A19041" s="39"/>
      <c r="E19041" s="40" t="s">
        <v>11404</v>
      </c>
      <c r="F19041" s="40" t="s">
        <v>11404</v>
      </c>
      <c r="G19041" s="40" t="s">
        <v>11404</v>
      </c>
      <c r="H19041" s="40" t="s">
        <v>11404</v>
      </c>
    </row>
    <row r="19042">
      <c r="A19042" s="39"/>
      <c r="E19042" s="40" t="s">
        <v>11404</v>
      </c>
      <c r="F19042" s="40" t="s">
        <v>11404</v>
      </c>
      <c r="G19042" s="40" t="s">
        <v>11404</v>
      </c>
      <c r="H19042" s="40" t="s">
        <v>11404</v>
      </c>
    </row>
    <row r="19043">
      <c r="A19043" s="39"/>
      <c r="E19043" s="40" t="s">
        <v>11404</v>
      </c>
      <c r="F19043" s="40" t="s">
        <v>11404</v>
      </c>
      <c r="G19043" s="40" t="s">
        <v>11404</v>
      </c>
      <c r="H19043" s="40" t="s">
        <v>11404</v>
      </c>
    </row>
    <row r="19044">
      <c r="A19044" s="39"/>
      <c r="E19044" s="40" t="s">
        <v>11404</v>
      </c>
      <c r="F19044" s="40" t="s">
        <v>11404</v>
      </c>
      <c r="G19044" s="40" t="s">
        <v>11404</v>
      </c>
      <c r="H19044" s="40" t="s">
        <v>11404</v>
      </c>
    </row>
    <row r="19045">
      <c r="A19045" s="39"/>
      <c r="E19045" s="40" t="s">
        <v>11404</v>
      </c>
      <c r="F19045" s="40" t="s">
        <v>11404</v>
      </c>
      <c r="G19045" s="40" t="s">
        <v>11404</v>
      </c>
      <c r="H19045" s="40" t="s">
        <v>11404</v>
      </c>
    </row>
    <row r="19046">
      <c r="A19046" s="39"/>
      <c r="E19046" s="40" t="s">
        <v>11404</v>
      </c>
      <c r="F19046" s="40" t="s">
        <v>11404</v>
      </c>
      <c r="G19046" s="40" t="s">
        <v>11404</v>
      </c>
      <c r="H19046" s="40" t="s">
        <v>11404</v>
      </c>
    </row>
    <row r="19047">
      <c r="A19047" s="39"/>
      <c r="E19047" s="40" t="s">
        <v>11404</v>
      </c>
      <c r="F19047" s="40" t="s">
        <v>11404</v>
      </c>
      <c r="G19047" s="40" t="s">
        <v>11404</v>
      </c>
      <c r="H19047" s="40" t="s">
        <v>11404</v>
      </c>
    </row>
    <row r="19048">
      <c r="A19048" s="39"/>
      <c r="E19048" s="40" t="s">
        <v>11404</v>
      </c>
      <c r="F19048" s="40" t="s">
        <v>11404</v>
      </c>
      <c r="G19048" s="40" t="s">
        <v>11404</v>
      </c>
      <c r="H19048" s="40" t="s">
        <v>11404</v>
      </c>
    </row>
    <row r="19049">
      <c r="A19049" s="39"/>
      <c r="E19049" s="40" t="s">
        <v>11404</v>
      </c>
      <c r="F19049" s="40" t="s">
        <v>11404</v>
      </c>
      <c r="G19049" s="40" t="s">
        <v>11404</v>
      </c>
      <c r="H19049" s="40" t="s">
        <v>11404</v>
      </c>
    </row>
    <row r="19050">
      <c r="A19050" s="39"/>
      <c r="E19050" s="40" t="s">
        <v>11404</v>
      </c>
      <c r="F19050" s="40" t="s">
        <v>11404</v>
      </c>
      <c r="G19050" s="40" t="s">
        <v>11404</v>
      </c>
      <c r="H19050" s="40" t="s">
        <v>11404</v>
      </c>
    </row>
    <row r="19051">
      <c r="A19051" s="39"/>
      <c r="E19051" s="40" t="s">
        <v>11404</v>
      </c>
      <c r="F19051" s="40" t="s">
        <v>11404</v>
      </c>
      <c r="G19051" s="40" t="s">
        <v>11404</v>
      </c>
      <c r="H19051" s="40" t="s">
        <v>11404</v>
      </c>
    </row>
    <row r="19052">
      <c r="A19052" s="39"/>
      <c r="E19052" s="40" t="s">
        <v>11404</v>
      </c>
      <c r="F19052" s="40" t="s">
        <v>11404</v>
      </c>
      <c r="G19052" s="40" t="s">
        <v>11404</v>
      </c>
      <c r="H19052" s="40" t="s">
        <v>11404</v>
      </c>
    </row>
    <row r="19053">
      <c r="A19053" s="39"/>
      <c r="E19053" s="40" t="s">
        <v>11404</v>
      </c>
      <c r="F19053" s="40" t="s">
        <v>11404</v>
      </c>
      <c r="G19053" s="40" t="s">
        <v>11404</v>
      </c>
      <c r="H19053" s="40" t="s">
        <v>11404</v>
      </c>
    </row>
    <row r="19054">
      <c r="A19054" s="39"/>
      <c r="E19054" s="40" t="s">
        <v>11404</v>
      </c>
      <c r="F19054" s="40" t="s">
        <v>11404</v>
      </c>
      <c r="G19054" s="40" t="s">
        <v>11404</v>
      </c>
      <c r="H19054" s="40" t="s">
        <v>11404</v>
      </c>
    </row>
    <row r="19055">
      <c r="A19055" s="39"/>
      <c r="E19055" s="40" t="s">
        <v>11404</v>
      </c>
      <c r="F19055" s="40" t="s">
        <v>11404</v>
      </c>
      <c r="G19055" s="40" t="s">
        <v>11404</v>
      </c>
      <c r="H19055" s="40" t="s">
        <v>11404</v>
      </c>
    </row>
    <row r="19056">
      <c r="A19056" s="39"/>
      <c r="E19056" s="40" t="s">
        <v>11404</v>
      </c>
      <c r="F19056" s="40" t="s">
        <v>11404</v>
      </c>
      <c r="G19056" s="40" t="s">
        <v>11404</v>
      </c>
      <c r="H19056" s="40" t="s">
        <v>11404</v>
      </c>
    </row>
    <row r="19057">
      <c r="A19057" s="39"/>
      <c r="E19057" s="40" t="s">
        <v>11404</v>
      </c>
      <c r="F19057" s="40" t="s">
        <v>11404</v>
      </c>
      <c r="G19057" s="40" t="s">
        <v>11404</v>
      </c>
      <c r="H19057" s="40" t="s">
        <v>11404</v>
      </c>
    </row>
    <row r="19058">
      <c r="A19058" s="39"/>
      <c r="E19058" s="40" t="s">
        <v>11404</v>
      </c>
      <c r="F19058" s="40" t="s">
        <v>11404</v>
      </c>
      <c r="G19058" s="40" t="s">
        <v>11404</v>
      </c>
      <c r="H19058" s="40" t="s">
        <v>11404</v>
      </c>
    </row>
    <row r="19059">
      <c r="A19059" s="39"/>
      <c r="E19059" s="40" t="s">
        <v>11404</v>
      </c>
      <c r="F19059" s="40" t="s">
        <v>11404</v>
      </c>
      <c r="G19059" s="40" t="s">
        <v>11404</v>
      </c>
      <c r="H19059" s="40" t="s">
        <v>11404</v>
      </c>
    </row>
    <row r="19060">
      <c r="A19060" s="39"/>
      <c r="E19060" s="40" t="s">
        <v>11404</v>
      </c>
      <c r="F19060" s="40" t="s">
        <v>11404</v>
      </c>
      <c r="G19060" s="40" t="s">
        <v>11404</v>
      </c>
      <c r="H19060" s="40" t="s">
        <v>11404</v>
      </c>
    </row>
    <row r="19061">
      <c r="A19061" s="39"/>
      <c r="E19061" s="40" t="s">
        <v>11404</v>
      </c>
      <c r="F19061" s="40" t="s">
        <v>11404</v>
      </c>
      <c r="G19061" s="40" t="s">
        <v>11404</v>
      </c>
      <c r="H19061" s="40" t="s">
        <v>11404</v>
      </c>
    </row>
    <row r="19062">
      <c r="A19062" s="39"/>
      <c r="E19062" s="40" t="s">
        <v>11404</v>
      </c>
      <c r="F19062" s="40" t="s">
        <v>11404</v>
      </c>
      <c r="G19062" s="40" t="s">
        <v>11404</v>
      </c>
      <c r="H19062" s="40" t="s">
        <v>11404</v>
      </c>
    </row>
    <row r="19063">
      <c r="A19063" s="39"/>
      <c r="E19063" s="40" t="s">
        <v>11404</v>
      </c>
      <c r="F19063" s="40" t="s">
        <v>11404</v>
      </c>
      <c r="G19063" s="40" t="s">
        <v>11404</v>
      </c>
      <c r="H19063" s="40" t="s">
        <v>11404</v>
      </c>
    </row>
    <row r="19064">
      <c r="A19064" s="39"/>
      <c r="E19064" s="40" t="s">
        <v>11404</v>
      </c>
      <c r="F19064" s="40" t="s">
        <v>11404</v>
      </c>
      <c r="G19064" s="40" t="s">
        <v>11404</v>
      </c>
      <c r="H19064" s="40" t="s">
        <v>11404</v>
      </c>
    </row>
    <row r="19065">
      <c r="A19065" s="39"/>
      <c r="E19065" s="40" t="s">
        <v>11404</v>
      </c>
      <c r="F19065" s="40" t="s">
        <v>11404</v>
      </c>
      <c r="G19065" s="40" t="s">
        <v>11404</v>
      </c>
      <c r="H19065" s="40" t="s">
        <v>11404</v>
      </c>
    </row>
    <row r="19066">
      <c r="A19066" s="39"/>
      <c r="E19066" s="40" t="s">
        <v>11404</v>
      </c>
      <c r="F19066" s="40" t="s">
        <v>11404</v>
      </c>
      <c r="G19066" s="40" t="s">
        <v>11404</v>
      </c>
      <c r="H19066" s="40" t="s">
        <v>11404</v>
      </c>
    </row>
    <row r="19067">
      <c r="A19067" s="39"/>
      <c r="E19067" s="40" t="s">
        <v>11404</v>
      </c>
      <c r="F19067" s="40" t="s">
        <v>11404</v>
      </c>
      <c r="G19067" s="40" t="s">
        <v>11404</v>
      </c>
      <c r="H19067" s="40" t="s">
        <v>11404</v>
      </c>
    </row>
    <row r="19068">
      <c r="A19068" s="39"/>
      <c r="E19068" s="40" t="s">
        <v>11404</v>
      </c>
      <c r="F19068" s="40" t="s">
        <v>11404</v>
      </c>
      <c r="G19068" s="40" t="s">
        <v>11404</v>
      </c>
      <c r="H19068" s="40" t="s">
        <v>11404</v>
      </c>
    </row>
    <row r="19069">
      <c r="A19069" s="39"/>
      <c r="E19069" s="40" t="s">
        <v>11404</v>
      </c>
      <c r="F19069" s="40" t="s">
        <v>11404</v>
      </c>
      <c r="G19069" s="40" t="s">
        <v>11404</v>
      </c>
      <c r="H19069" s="40" t="s">
        <v>11404</v>
      </c>
    </row>
    <row r="19070">
      <c r="A19070" s="39"/>
      <c r="E19070" s="40" t="s">
        <v>11404</v>
      </c>
      <c r="F19070" s="40" t="s">
        <v>11404</v>
      </c>
      <c r="G19070" s="40" t="s">
        <v>11404</v>
      </c>
      <c r="H19070" s="40" t="s">
        <v>11404</v>
      </c>
    </row>
    <row r="19071">
      <c r="A19071" s="39"/>
      <c r="E19071" s="40" t="s">
        <v>11404</v>
      </c>
      <c r="F19071" s="40" t="s">
        <v>11404</v>
      </c>
      <c r="G19071" s="40" t="s">
        <v>11404</v>
      </c>
      <c r="H19071" s="40" t="s">
        <v>11404</v>
      </c>
    </row>
    <row r="19072">
      <c r="A19072" s="39"/>
      <c r="E19072" s="40" t="s">
        <v>11404</v>
      </c>
      <c r="F19072" s="40" t="s">
        <v>11404</v>
      </c>
      <c r="G19072" s="40" t="s">
        <v>11404</v>
      </c>
      <c r="H19072" s="40" t="s">
        <v>11404</v>
      </c>
    </row>
    <row r="19073">
      <c r="A19073" s="39"/>
      <c r="E19073" s="40" t="s">
        <v>11404</v>
      </c>
      <c r="F19073" s="40" t="s">
        <v>11404</v>
      </c>
      <c r="G19073" s="40" t="s">
        <v>11404</v>
      </c>
      <c r="H19073" s="40" t="s">
        <v>11404</v>
      </c>
    </row>
    <row r="19074">
      <c r="A19074" s="39"/>
      <c r="E19074" s="40" t="s">
        <v>11404</v>
      </c>
      <c r="F19074" s="40" t="s">
        <v>11404</v>
      </c>
      <c r="G19074" s="40" t="s">
        <v>11404</v>
      </c>
      <c r="H19074" s="40" t="s">
        <v>11404</v>
      </c>
    </row>
    <row r="19075">
      <c r="A19075" s="39"/>
      <c r="E19075" s="40" t="s">
        <v>11404</v>
      </c>
      <c r="F19075" s="40" t="s">
        <v>11404</v>
      </c>
      <c r="G19075" s="40" t="s">
        <v>11404</v>
      </c>
      <c r="H19075" s="40" t="s">
        <v>11404</v>
      </c>
    </row>
    <row r="19076">
      <c r="A19076" s="39"/>
      <c r="E19076" s="40" t="s">
        <v>11404</v>
      </c>
      <c r="F19076" s="40" t="s">
        <v>11404</v>
      </c>
      <c r="G19076" s="40" t="s">
        <v>11404</v>
      </c>
      <c r="H19076" s="40" t="s">
        <v>11404</v>
      </c>
    </row>
    <row r="19077">
      <c r="A19077" s="39"/>
      <c r="E19077" s="40" t="s">
        <v>11404</v>
      </c>
      <c r="F19077" s="40" t="s">
        <v>11404</v>
      </c>
      <c r="G19077" s="40" t="s">
        <v>11404</v>
      </c>
      <c r="H19077" s="40" t="s">
        <v>11404</v>
      </c>
    </row>
    <row r="19078">
      <c r="A19078" s="39"/>
      <c r="E19078" s="40" t="s">
        <v>11404</v>
      </c>
      <c r="F19078" s="40" t="s">
        <v>11404</v>
      </c>
      <c r="G19078" s="40" t="s">
        <v>11404</v>
      </c>
      <c r="H19078" s="40" t="s">
        <v>11404</v>
      </c>
    </row>
    <row r="19079">
      <c r="A19079" s="39"/>
      <c r="E19079" s="40" t="s">
        <v>11404</v>
      </c>
      <c r="F19079" s="40" t="s">
        <v>11404</v>
      </c>
      <c r="G19079" s="40" t="s">
        <v>11404</v>
      </c>
      <c r="H19079" s="40" t="s">
        <v>11404</v>
      </c>
    </row>
    <row r="19080">
      <c r="A19080" s="39"/>
      <c r="E19080" s="40" t="s">
        <v>11404</v>
      </c>
      <c r="F19080" s="40" t="s">
        <v>11404</v>
      </c>
      <c r="G19080" s="40" t="s">
        <v>11404</v>
      </c>
      <c r="H19080" s="40" t="s">
        <v>11404</v>
      </c>
    </row>
    <row r="19081">
      <c r="A19081" s="39"/>
      <c r="E19081" s="40" t="s">
        <v>11404</v>
      </c>
      <c r="F19081" s="40" t="s">
        <v>11404</v>
      </c>
      <c r="G19081" s="40" t="s">
        <v>11404</v>
      </c>
      <c r="H19081" s="40" t="s">
        <v>11404</v>
      </c>
    </row>
    <row r="19082">
      <c r="A19082" s="39"/>
      <c r="E19082" s="40" t="s">
        <v>11404</v>
      </c>
      <c r="F19082" s="40" t="s">
        <v>11404</v>
      </c>
      <c r="G19082" s="40" t="s">
        <v>11404</v>
      </c>
      <c r="H19082" s="40" t="s">
        <v>11404</v>
      </c>
    </row>
    <row r="19083">
      <c r="A19083" s="39"/>
      <c r="E19083" s="40" t="s">
        <v>11404</v>
      </c>
      <c r="F19083" s="40" t="s">
        <v>11404</v>
      </c>
      <c r="G19083" s="40" t="s">
        <v>11404</v>
      </c>
      <c r="H19083" s="40" t="s">
        <v>11404</v>
      </c>
    </row>
    <row r="19084">
      <c r="A19084" s="39"/>
      <c r="E19084" s="40" t="s">
        <v>11404</v>
      </c>
      <c r="F19084" s="40" t="s">
        <v>11404</v>
      </c>
      <c r="G19084" s="40" t="s">
        <v>11404</v>
      </c>
      <c r="H19084" s="40" t="s">
        <v>11404</v>
      </c>
    </row>
    <row r="19085">
      <c r="A19085" s="39"/>
      <c r="E19085" s="40" t="s">
        <v>11404</v>
      </c>
      <c r="F19085" s="40" t="s">
        <v>11404</v>
      </c>
      <c r="G19085" s="40" t="s">
        <v>11404</v>
      </c>
      <c r="H19085" s="40" t="s">
        <v>11404</v>
      </c>
    </row>
    <row r="19086">
      <c r="A19086" s="39"/>
      <c r="E19086" s="40" t="s">
        <v>11404</v>
      </c>
      <c r="F19086" s="40" t="s">
        <v>11404</v>
      </c>
      <c r="G19086" s="40" t="s">
        <v>11404</v>
      </c>
      <c r="H19086" s="40" t="s">
        <v>11404</v>
      </c>
    </row>
    <row r="19087">
      <c r="A19087" s="39"/>
      <c r="E19087" s="40" t="s">
        <v>11404</v>
      </c>
      <c r="F19087" s="40" t="s">
        <v>11404</v>
      </c>
      <c r="G19087" s="40" t="s">
        <v>11404</v>
      </c>
      <c r="H19087" s="40" t="s">
        <v>11404</v>
      </c>
    </row>
    <row r="19088">
      <c r="A19088" s="39"/>
      <c r="E19088" s="40" t="s">
        <v>11404</v>
      </c>
      <c r="F19088" s="40" t="s">
        <v>11404</v>
      </c>
      <c r="G19088" s="40" t="s">
        <v>11404</v>
      </c>
      <c r="H19088" s="40" t="s">
        <v>11404</v>
      </c>
    </row>
    <row r="19089">
      <c r="A19089" s="39"/>
      <c r="E19089" s="40" t="s">
        <v>11404</v>
      </c>
      <c r="F19089" s="40" t="s">
        <v>11404</v>
      </c>
      <c r="G19089" s="40" t="s">
        <v>11404</v>
      </c>
      <c r="H19089" s="40" t="s">
        <v>11404</v>
      </c>
    </row>
    <row r="19090">
      <c r="A19090" s="39"/>
      <c r="E19090" s="40" t="s">
        <v>11404</v>
      </c>
      <c r="F19090" s="40" t="s">
        <v>11404</v>
      </c>
      <c r="G19090" s="40" t="s">
        <v>11404</v>
      </c>
      <c r="H19090" s="40" t="s">
        <v>11404</v>
      </c>
    </row>
    <row r="19091">
      <c r="A19091" s="39"/>
      <c r="E19091" s="40" t="s">
        <v>11404</v>
      </c>
      <c r="F19091" s="40" t="s">
        <v>11404</v>
      </c>
      <c r="G19091" s="40" t="s">
        <v>11404</v>
      </c>
      <c r="H19091" s="40" t="s">
        <v>11404</v>
      </c>
    </row>
    <row r="19092">
      <c r="A19092" s="39"/>
      <c r="E19092" s="40" t="s">
        <v>11404</v>
      </c>
      <c r="F19092" s="40" t="s">
        <v>11404</v>
      </c>
      <c r="G19092" s="40" t="s">
        <v>11404</v>
      </c>
      <c r="H19092" s="40" t="s">
        <v>11404</v>
      </c>
    </row>
    <row r="19093">
      <c r="A19093" s="39"/>
      <c r="E19093" s="40" t="s">
        <v>11404</v>
      </c>
      <c r="F19093" s="40" t="s">
        <v>11404</v>
      </c>
      <c r="G19093" s="40" t="s">
        <v>11404</v>
      </c>
      <c r="H19093" s="40" t="s">
        <v>11404</v>
      </c>
    </row>
    <row r="19094">
      <c r="A19094" s="39"/>
      <c r="E19094" s="40" t="s">
        <v>11404</v>
      </c>
      <c r="F19094" s="40" t="s">
        <v>11404</v>
      </c>
      <c r="G19094" s="40" t="s">
        <v>11404</v>
      </c>
      <c r="H19094" s="40" t="s">
        <v>11404</v>
      </c>
    </row>
    <row r="19095">
      <c r="A19095" s="39"/>
      <c r="E19095" s="40" t="s">
        <v>11404</v>
      </c>
      <c r="F19095" s="40" t="s">
        <v>11404</v>
      </c>
      <c r="G19095" s="40" t="s">
        <v>11404</v>
      </c>
      <c r="H19095" s="40" t="s">
        <v>11404</v>
      </c>
    </row>
    <row r="19096">
      <c r="A19096" s="39"/>
      <c r="E19096" s="40" t="s">
        <v>11404</v>
      </c>
      <c r="F19096" s="40" t="s">
        <v>11404</v>
      </c>
      <c r="G19096" s="40" t="s">
        <v>11404</v>
      </c>
      <c r="H19096" s="40" t="s">
        <v>11404</v>
      </c>
    </row>
    <row r="19097">
      <c r="A19097" s="39"/>
      <c r="E19097" s="40" t="s">
        <v>11404</v>
      </c>
      <c r="F19097" s="40" t="s">
        <v>11404</v>
      </c>
      <c r="G19097" s="40" t="s">
        <v>11404</v>
      </c>
      <c r="H19097" s="40" t="s">
        <v>11404</v>
      </c>
    </row>
    <row r="19098">
      <c r="A19098" s="39"/>
      <c r="E19098" s="40" t="s">
        <v>11404</v>
      </c>
      <c r="F19098" s="40" t="s">
        <v>11404</v>
      </c>
      <c r="G19098" s="40" t="s">
        <v>11404</v>
      </c>
      <c r="H19098" s="40" t="s">
        <v>11404</v>
      </c>
    </row>
    <row r="19099">
      <c r="A19099" s="39"/>
      <c r="E19099" s="40" t="s">
        <v>11404</v>
      </c>
      <c r="F19099" s="40" t="s">
        <v>11404</v>
      </c>
      <c r="G19099" s="40" t="s">
        <v>11404</v>
      </c>
      <c r="H19099" s="40" t="s">
        <v>11404</v>
      </c>
    </row>
    <row r="19100">
      <c r="A19100" s="39"/>
      <c r="E19100" s="40" t="s">
        <v>11404</v>
      </c>
      <c r="F19100" s="40" t="s">
        <v>11404</v>
      </c>
      <c r="G19100" s="40" t="s">
        <v>11404</v>
      </c>
      <c r="H19100" s="40" t="s">
        <v>11404</v>
      </c>
    </row>
    <row r="19101">
      <c r="A19101" s="39"/>
      <c r="E19101" s="40" t="s">
        <v>11404</v>
      </c>
      <c r="F19101" s="40" t="s">
        <v>11404</v>
      </c>
      <c r="G19101" s="40" t="s">
        <v>11404</v>
      </c>
      <c r="H19101" s="40" t="s">
        <v>11404</v>
      </c>
    </row>
    <row r="19102">
      <c r="A19102" s="39"/>
      <c r="E19102" s="40" t="s">
        <v>11404</v>
      </c>
      <c r="F19102" s="40" t="s">
        <v>11404</v>
      </c>
      <c r="G19102" s="40" t="s">
        <v>11404</v>
      </c>
      <c r="H19102" s="40" t="s">
        <v>11404</v>
      </c>
    </row>
    <row r="19103">
      <c r="A19103" s="39"/>
      <c r="E19103" s="40" t="s">
        <v>11404</v>
      </c>
      <c r="F19103" s="40" t="s">
        <v>11404</v>
      </c>
      <c r="G19103" s="40" t="s">
        <v>11404</v>
      </c>
      <c r="H19103" s="40" t="s">
        <v>11404</v>
      </c>
    </row>
    <row r="19104">
      <c r="A19104" s="39"/>
      <c r="E19104" s="40" t="s">
        <v>11404</v>
      </c>
      <c r="F19104" s="40" t="s">
        <v>11404</v>
      </c>
      <c r="G19104" s="40" t="s">
        <v>11404</v>
      </c>
      <c r="H19104" s="40" t="s">
        <v>11404</v>
      </c>
    </row>
    <row r="19105">
      <c r="A19105" s="39"/>
      <c r="E19105" s="40" t="s">
        <v>11404</v>
      </c>
      <c r="F19105" s="40" t="s">
        <v>11404</v>
      </c>
      <c r="G19105" s="40" t="s">
        <v>11404</v>
      </c>
      <c r="H19105" s="40" t="s">
        <v>11404</v>
      </c>
    </row>
    <row r="19106">
      <c r="A19106" s="39"/>
      <c r="E19106" s="40" t="s">
        <v>11404</v>
      </c>
      <c r="F19106" s="40" t="s">
        <v>11404</v>
      </c>
      <c r="G19106" s="40" t="s">
        <v>11404</v>
      </c>
      <c r="H19106" s="40" t="s">
        <v>11404</v>
      </c>
    </row>
    <row r="19107">
      <c r="A19107" s="39"/>
      <c r="E19107" s="40" t="s">
        <v>11404</v>
      </c>
      <c r="F19107" s="40" t="s">
        <v>11404</v>
      </c>
      <c r="G19107" s="40" t="s">
        <v>11404</v>
      </c>
      <c r="H19107" s="40" t="s">
        <v>11404</v>
      </c>
    </row>
    <row r="19108">
      <c r="A19108" s="39"/>
      <c r="E19108" s="40" t="s">
        <v>11404</v>
      </c>
      <c r="F19108" s="40" t="s">
        <v>11404</v>
      </c>
      <c r="G19108" s="40" t="s">
        <v>11404</v>
      </c>
      <c r="H19108" s="40" t="s">
        <v>11404</v>
      </c>
    </row>
    <row r="19109">
      <c r="A19109" s="39"/>
      <c r="E19109" s="40" t="s">
        <v>11404</v>
      </c>
      <c r="F19109" s="40" t="s">
        <v>11404</v>
      </c>
      <c r="G19109" s="40" t="s">
        <v>11404</v>
      </c>
      <c r="H19109" s="40" t="s">
        <v>11404</v>
      </c>
    </row>
    <row r="19110">
      <c r="A19110" s="39"/>
      <c r="E19110" s="40" t="s">
        <v>11404</v>
      </c>
      <c r="F19110" s="40" t="s">
        <v>11404</v>
      </c>
      <c r="G19110" s="40" t="s">
        <v>11404</v>
      </c>
      <c r="H19110" s="40" t="s">
        <v>11404</v>
      </c>
    </row>
    <row r="19111">
      <c r="A19111" s="39"/>
      <c r="E19111" s="40" t="s">
        <v>11404</v>
      </c>
      <c r="F19111" s="40" t="s">
        <v>11404</v>
      </c>
      <c r="G19111" s="40" t="s">
        <v>11404</v>
      </c>
      <c r="H19111" s="40" t="s">
        <v>11404</v>
      </c>
    </row>
    <row r="19112">
      <c r="A19112" s="39"/>
      <c r="E19112" s="40" t="s">
        <v>11404</v>
      </c>
      <c r="F19112" s="40" t="s">
        <v>11404</v>
      </c>
      <c r="G19112" s="40" t="s">
        <v>11404</v>
      </c>
      <c r="H19112" s="40" t="s">
        <v>11404</v>
      </c>
    </row>
    <row r="19113">
      <c r="A19113" s="39"/>
      <c r="E19113" s="40" t="s">
        <v>11404</v>
      </c>
      <c r="F19113" s="40" t="s">
        <v>11404</v>
      </c>
      <c r="G19113" s="40" t="s">
        <v>11404</v>
      </c>
      <c r="H19113" s="40" t="s">
        <v>11404</v>
      </c>
    </row>
    <row r="19114">
      <c r="A19114" s="39"/>
      <c r="E19114" s="40" t="s">
        <v>11404</v>
      </c>
      <c r="F19114" s="40" t="s">
        <v>11404</v>
      </c>
      <c r="G19114" s="40" t="s">
        <v>11404</v>
      </c>
      <c r="H19114" s="40" t="s">
        <v>11404</v>
      </c>
    </row>
    <row r="19115">
      <c r="A19115" s="39"/>
      <c r="E19115" s="40" t="s">
        <v>11404</v>
      </c>
      <c r="F19115" s="40" t="s">
        <v>11404</v>
      </c>
      <c r="G19115" s="40" t="s">
        <v>11404</v>
      </c>
      <c r="H19115" s="40" t="s">
        <v>11404</v>
      </c>
    </row>
    <row r="19116">
      <c r="A19116" s="39"/>
      <c r="E19116" s="40" t="s">
        <v>11404</v>
      </c>
      <c r="F19116" s="40" t="s">
        <v>11404</v>
      </c>
      <c r="G19116" s="40" t="s">
        <v>11404</v>
      </c>
      <c r="H19116" s="40" t="s">
        <v>11404</v>
      </c>
    </row>
    <row r="19117">
      <c r="A19117" s="39"/>
      <c r="E19117" s="40" t="s">
        <v>11404</v>
      </c>
      <c r="F19117" s="40" t="s">
        <v>11404</v>
      </c>
      <c r="G19117" s="40" t="s">
        <v>11404</v>
      </c>
      <c r="H19117" s="40" t="s">
        <v>11404</v>
      </c>
    </row>
    <row r="19118">
      <c r="A19118" s="39"/>
      <c r="E19118" s="40" t="s">
        <v>11404</v>
      </c>
      <c r="F19118" s="40" t="s">
        <v>11404</v>
      </c>
      <c r="G19118" s="40" t="s">
        <v>11404</v>
      </c>
      <c r="H19118" s="40" t="s">
        <v>11404</v>
      </c>
    </row>
    <row r="19119">
      <c r="A19119" s="39"/>
      <c r="E19119" s="40" t="s">
        <v>11404</v>
      </c>
      <c r="F19119" s="40" t="s">
        <v>11404</v>
      </c>
      <c r="G19119" s="40" t="s">
        <v>11404</v>
      </c>
      <c r="H19119" s="40" t="s">
        <v>11404</v>
      </c>
    </row>
    <row r="19120">
      <c r="A19120" s="39"/>
      <c r="E19120" s="40" t="s">
        <v>11404</v>
      </c>
      <c r="F19120" s="40" t="s">
        <v>11404</v>
      </c>
      <c r="G19120" s="40" t="s">
        <v>11404</v>
      </c>
      <c r="H19120" s="40" t="s">
        <v>11404</v>
      </c>
    </row>
    <row r="19121">
      <c r="A19121" s="39"/>
      <c r="E19121" s="40" t="s">
        <v>11404</v>
      </c>
      <c r="F19121" s="40" t="s">
        <v>11404</v>
      </c>
      <c r="G19121" s="40" t="s">
        <v>11404</v>
      </c>
      <c r="H19121" s="40" t="s">
        <v>11404</v>
      </c>
    </row>
    <row r="19122">
      <c r="A19122" s="39"/>
      <c r="E19122" s="40" t="s">
        <v>11404</v>
      </c>
      <c r="F19122" s="40" t="s">
        <v>11404</v>
      </c>
      <c r="G19122" s="40" t="s">
        <v>11404</v>
      </c>
      <c r="H19122" s="40" t="s">
        <v>11404</v>
      </c>
    </row>
    <row r="19123">
      <c r="A19123" s="39"/>
      <c r="E19123" s="40" t="s">
        <v>11404</v>
      </c>
      <c r="F19123" s="40" t="s">
        <v>11404</v>
      </c>
      <c r="G19123" s="40" t="s">
        <v>11404</v>
      </c>
      <c r="H19123" s="40" t="s">
        <v>11404</v>
      </c>
    </row>
    <row r="19124">
      <c r="A19124" s="39"/>
      <c r="E19124" s="40" t="s">
        <v>11404</v>
      </c>
      <c r="F19124" s="40" t="s">
        <v>11404</v>
      </c>
      <c r="G19124" s="40" t="s">
        <v>11404</v>
      </c>
      <c r="H19124" s="40" t="s">
        <v>11404</v>
      </c>
    </row>
    <row r="19125">
      <c r="A19125" s="39"/>
      <c r="E19125" s="40" t="s">
        <v>11404</v>
      </c>
      <c r="F19125" s="40" t="s">
        <v>11404</v>
      </c>
      <c r="G19125" s="40" t="s">
        <v>11404</v>
      </c>
      <c r="H19125" s="40" t="s">
        <v>11404</v>
      </c>
    </row>
    <row r="19126">
      <c r="A19126" s="39"/>
      <c r="E19126" s="40" t="s">
        <v>11404</v>
      </c>
      <c r="F19126" s="40" t="s">
        <v>11404</v>
      </c>
      <c r="G19126" s="40" t="s">
        <v>11404</v>
      </c>
      <c r="H19126" s="40" t="s">
        <v>11404</v>
      </c>
    </row>
    <row r="19127">
      <c r="A19127" s="39"/>
      <c r="E19127" s="40" t="s">
        <v>11404</v>
      </c>
      <c r="F19127" s="40" t="s">
        <v>11404</v>
      </c>
      <c r="G19127" s="40" t="s">
        <v>11404</v>
      </c>
      <c r="H19127" s="40" t="s">
        <v>11404</v>
      </c>
    </row>
    <row r="19128">
      <c r="A19128" s="39"/>
      <c r="E19128" s="40" t="s">
        <v>11404</v>
      </c>
      <c r="F19128" s="40" t="s">
        <v>11404</v>
      </c>
      <c r="G19128" s="40" t="s">
        <v>11404</v>
      </c>
      <c r="H19128" s="40" t="s">
        <v>11404</v>
      </c>
    </row>
    <row r="19129">
      <c r="A19129" s="39"/>
      <c r="E19129" s="40" t="s">
        <v>11404</v>
      </c>
      <c r="F19129" s="40" t="s">
        <v>11404</v>
      </c>
      <c r="G19129" s="40" t="s">
        <v>11404</v>
      </c>
      <c r="H19129" s="40" t="s">
        <v>11404</v>
      </c>
    </row>
    <row r="19130">
      <c r="A19130" s="39"/>
      <c r="E19130" s="40" t="s">
        <v>11404</v>
      </c>
      <c r="F19130" s="40" t="s">
        <v>11404</v>
      </c>
      <c r="G19130" s="40" t="s">
        <v>11404</v>
      </c>
      <c r="H19130" s="40" t="s">
        <v>11404</v>
      </c>
    </row>
    <row r="19131">
      <c r="A19131" s="39"/>
      <c r="E19131" s="40" t="s">
        <v>11404</v>
      </c>
      <c r="F19131" s="40" t="s">
        <v>11404</v>
      </c>
      <c r="G19131" s="40" t="s">
        <v>11404</v>
      </c>
      <c r="H19131" s="40" t="s">
        <v>11404</v>
      </c>
    </row>
    <row r="19132">
      <c r="A19132" s="39"/>
      <c r="E19132" s="40" t="s">
        <v>11404</v>
      </c>
      <c r="F19132" s="40" t="s">
        <v>11404</v>
      </c>
      <c r="G19132" s="40" t="s">
        <v>11404</v>
      </c>
      <c r="H19132" s="40" t="s">
        <v>11404</v>
      </c>
    </row>
    <row r="19133">
      <c r="A19133" s="39"/>
      <c r="E19133" s="40" t="s">
        <v>11404</v>
      </c>
      <c r="F19133" s="40" t="s">
        <v>11404</v>
      </c>
      <c r="G19133" s="40" t="s">
        <v>11404</v>
      </c>
      <c r="H19133" s="40" t="s">
        <v>11404</v>
      </c>
    </row>
    <row r="19134">
      <c r="A19134" s="39"/>
      <c r="E19134" s="40" t="s">
        <v>11404</v>
      </c>
      <c r="F19134" s="40" t="s">
        <v>11404</v>
      </c>
      <c r="G19134" s="40" t="s">
        <v>11404</v>
      </c>
      <c r="H19134" s="40" t="s">
        <v>11404</v>
      </c>
    </row>
    <row r="19135">
      <c r="A19135" s="39"/>
      <c r="E19135" s="40" t="s">
        <v>11404</v>
      </c>
      <c r="F19135" s="40" t="s">
        <v>11404</v>
      </c>
      <c r="G19135" s="40" t="s">
        <v>11404</v>
      </c>
      <c r="H19135" s="40" t="s">
        <v>11404</v>
      </c>
    </row>
    <row r="19136">
      <c r="A19136" s="39"/>
      <c r="E19136" s="40" t="s">
        <v>11404</v>
      </c>
      <c r="F19136" s="40" t="s">
        <v>11404</v>
      </c>
      <c r="G19136" s="40" t="s">
        <v>11404</v>
      </c>
      <c r="H19136" s="40" t="s">
        <v>11404</v>
      </c>
    </row>
    <row r="19137">
      <c r="A19137" s="39"/>
      <c r="E19137" s="40" t="s">
        <v>11404</v>
      </c>
      <c r="F19137" s="40" t="s">
        <v>11404</v>
      </c>
      <c r="G19137" s="40" t="s">
        <v>11404</v>
      </c>
      <c r="H19137" s="40" t="s">
        <v>11404</v>
      </c>
    </row>
    <row r="19138">
      <c r="A19138" s="39"/>
      <c r="E19138" s="40" t="s">
        <v>11404</v>
      </c>
      <c r="F19138" s="40" t="s">
        <v>11404</v>
      </c>
      <c r="G19138" s="40" t="s">
        <v>11404</v>
      </c>
      <c r="H19138" s="40" t="s">
        <v>11404</v>
      </c>
    </row>
    <row r="19139">
      <c r="A19139" s="39"/>
      <c r="E19139" s="40" t="s">
        <v>11404</v>
      </c>
      <c r="F19139" s="40" t="s">
        <v>11404</v>
      </c>
      <c r="G19139" s="40" t="s">
        <v>11404</v>
      </c>
      <c r="H19139" s="40" t="s">
        <v>11404</v>
      </c>
    </row>
    <row r="19140">
      <c r="A19140" s="39"/>
      <c r="E19140" s="40" t="s">
        <v>11404</v>
      </c>
      <c r="F19140" s="40" t="s">
        <v>11404</v>
      </c>
      <c r="G19140" s="40" t="s">
        <v>11404</v>
      </c>
      <c r="H19140" s="40" t="s">
        <v>11404</v>
      </c>
    </row>
    <row r="19141">
      <c r="A19141" s="39"/>
      <c r="E19141" s="40" t="s">
        <v>11404</v>
      </c>
      <c r="F19141" s="40" t="s">
        <v>11404</v>
      </c>
      <c r="G19141" s="40" t="s">
        <v>11404</v>
      </c>
      <c r="H19141" s="40" t="s">
        <v>11404</v>
      </c>
    </row>
    <row r="19142">
      <c r="A19142" s="39"/>
      <c r="E19142" s="40" t="s">
        <v>11404</v>
      </c>
      <c r="F19142" s="40" t="s">
        <v>11404</v>
      </c>
      <c r="G19142" s="40" t="s">
        <v>11404</v>
      </c>
      <c r="H19142" s="40" t="s">
        <v>11404</v>
      </c>
    </row>
    <row r="19143">
      <c r="A19143" s="39"/>
      <c r="E19143" s="40" t="s">
        <v>11404</v>
      </c>
      <c r="F19143" s="40" t="s">
        <v>11404</v>
      </c>
      <c r="G19143" s="40" t="s">
        <v>11404</v>
      </c>
      <c r="H19143" s="40" t="s">
        <v>11404</v>
      </c>
    </row>
    <row r="19144">
      <c r="A19144" s="39"/>
      <c r="E19144" s="40" t="s">
        <v>11404</v>
      </c>
      <c r="F19144" s="40" t="s">
        <v>11404</v>
      </c>
      <c r="G19144" s="40" t="s">
        <v>11404</v>
      </c>
      <c r="H19144" s="40" t="s">
        <v>11404</v>
      </c>
    </row>
    <row r="19145">
      <c r="A19145" s="39"/>
      <c r="E19145" s="40" t="s">
        <v>11404</v>
      </c>
      <c r="F19145" s="40" t="s">
        <v>11404</v>
      </c>
      <c r="G19145" s="40" t="s">
        <v>11404</v>
      </c>
      <c r="H19145" s="40" t="s">
        <v>11404</v>
      </c>
    </row>
    <row r="19146">
      <c r="A19146" s="39"/>
      <c r="E19146" s="40" t="s">
        <v>11404</v>
      </c>
      <c r="F19146" s="40" t="s">
        <v>11404</v>
      </c>
      <c r="G19146" s="40" t="s">
        <v>11404</v>
      </c>
      <c r="H19146" s="40" t="s">
        <v>11404</v>
      </c>
    </row>
    <row r="19147">
      <c r="A19147" s="39"/>
      <c r="E19147" s="40" t="s">
        <v>11404</v>
      </c>
      <c r="F19147" s="40" t="s">
        <v>11404</v>
      </c>
      <c r="G19147" s="40" t="s">
        <v>11404</v>
      </c>
      <c r="H19147" s="40" t="s">
        <v>11404</v>
      </c>
    </row>
    <row r="19148">
      <c r="A19148" s="39"/>
      <c r="E19148" s="40" t="s">
        <v>11404</v>
      </c>
      <c r="F19148" s="40" t="s">
        <v>11404</v>
      </c>
      <c r="G19148" s="40" t="s">
        <v>11404</v>
      </c>
      <c r="H19148" s="40" t="s">
        <v>11404</v>
      </c>
    </row>
    <row r="19149">
      <c r="A19149" s="39"/>
      <c r="E19149" s="40" t="s">
        <v>11404</v>
      </c>
      <c r="F19149" s="40" t="s">
        <v>11404</v>
      </c>
      <c r="G19149" s="40" t="s">
        <v>11404</v>
      </c>
      <c r="H19149" s="40" t="s">
        <v>11404</v>
      </c>
    </row>
    <row r="19150">
      <c r="A19150" s="39"/>
      <c r="E19150" s="40" t="s">
        <v>11404</v>
      </c>
      <c r="F19150" s="40" t="s">
        <v>11404</v>
      </c>
      <c r="G19150" s="40" t="s">
        <v>11404</v>
      </c>
      <c r="H19150" s="40" t="s">
        <v>11404</v>
      </c>
    </row>
    <row r="19151">
      <c r="A19151" s="39"/>
      <c r="E19151" s="40" t="s">
        <v>11404</v>
      </c>
      <c r="F19151" s="40" t="s">
        <v>11404</v>
      </c>
      <c r="G19151" s="40" t="s">
        <v>11404</v>
      </c>
      <c r="H19151" s="40" t="s">
        <v>11404</v>
      </c>
    </row>
    <row r="19152">
      <c r="A19152" s="39"/>
      <c r="E19152" s="40" t="s">
        <v>11404</v>
      </c>
      <c r="F19152" s="40" t="s">
        <v>11404</v>
      </c>
      <c r="G19152" s="40" t="s">
        <v>11404</v>
      </c>
      <c r="H19152" s="40" t="s">
        <v>11404</v>
      </c>
    </row>
    <row r="19153">
      <c r="A19153" s="39"/>
      <c r="E19153" s="40" t="s">
        <v>11404</v>
      </c>
      <c r="F19153" s="40" t="s">
        <v>11404</v>
      </c>
      <c r="G19153" s="40" t="s">
        <v>11404</v>
      </c>
      <c r="H19153" s="40" t="s">
        <v>11404</v>
      </c>
    </row>
    <row r="19154">
      <c r="A19154" s="39"/>
      <c r="E19154" s="40" t="s">
        <v>11404</v>
      </c>
      <c r="F19154" s="40" t="s">
        <v>11404</v>
      </c>
      <c r="G19154" s="40" t="s">
        <v>11404</v>
      </c>
      <c r="H19154" s="40" t="s">
        <v>11404</v>
      </c>
    </row>
    <row r="19155">
      <c r="A19155" s="39"/>
      <c r="E19155" s="40" t="s">
        <v>11404</v>
      </c>
      <c r="F19155" s="40" t="s">
        <v>11404</v>
      </c>
      <c r="G19155" s="40" t="s">
        <v>11404</v>
      </c>
      <c r="H19155" s="40" t="s">
        <v>11404</v>
      </c>
    </row>
    <row r="19156">
      <c r="A19156" s="39"/>
      <c r="E19156" s="40" t="s">
        <v>11404</v>
      </c>
      <c r="F19156" s="40" t="s">
        <v>11404</v>
      </c>
      <c r="G19156" s="40" t="s">
        <v>11404</v>
      </c>
      <c r="H19156" s="40" t="s">
        <v>11404</v>
      </c>
    </row>
    <row r="19157">
      <c r="A19157" s="39"/>
      <c r="E19157" s="40" t="s">
        <v>11404</v>
      </c>
      <c r="F19157" s="40" t="s">
        <v>11404</v>
      </c>
      <c r="G19157" s="40" t="s">
        <v>11404</v>
      </c>
      <c r="H19157" s="40" t="s">
        <v>11404</v>
      </c>
    </row>
    <row r="19158">
      <c r="A19158" s="39"/>
      <c r="E19158" s="40" t="s">
        <v>11404</v>
      </c>
      <c r="F19158" s="40" t="s">
        <v>11404</v>
      </c>
      <c r="G19158" s="40" t="s">
        <v>11404</v>
      </c>
      <c r="H19158" s="40" t="s">
        <v>11404</v>
      </c>
    </row>
    <row r="19159">
      <c r="A19159" s="39"/>
      <c r="E19159" s="40" t="s">
        <v>11404</v>
      </c>
      <c r="F19159" s="40" t="s">
        <v>11404</v>
      </c>
      <c r="G19159" s="40" t="s">
        <v>11404</v>
      </c>
      <c r="H19159" s="40" t="s">
        <v>11404</v>
      </c>
    </row>
    <row r="19160">
      <c r="A19160" s="39"/>
      <c r="E19160" s="40" t="s">
        <v>11404</v>
      </c>
      <c r="F19160" s="40" t="s">
        <v>11404</v>
      </c>
      <c r="G19160" s="40" t="s">
        <v>11404</v>
      </c>
      <c r="H19160" s="40" t="s">
        <v>11404</v>
      </c>
    </row>
    <row r="19161">
      <c r="A19161" s="39"/>
      <c r="E19161" s="40" t="s">
        <v>11404</v>
      </c>
      <c r="F19161" s="40" t="s">
        <v>11404</v>
      </c>
      <c r="G19161" s="40" t="s">
        <v>11404</v>
      </c>
      <c r="H19161" s="40" t="s">
        <v>11404</v>
      </c>
    </row>
    <row r="19162">
      <c r="A19162" s="39"/>
      <c r="E19162" s="40" t="s">
        <v>11404</v>
      </c>
      <c r="F19162" s="40" t="s">
        <v>11404</v>
      </c>
      <c r="G19162" s="40" t="s">
        <v>11404</v>
      </c>
      <c r="H19162" s="40" t="s">
        <v>11404</v>
      </c>
    </row>
    <row r="19163">
      <c r="A19163" s="39"/>
      <c r="E19163" s="40" t="s">
        <v>11404</v>
      </c>
      <c r="F19163" s="40" t="s">
        <v>11404</v>
      </c>
      <c r="G19163" s="40" t="s">
        <v>11404</v>
      </c>
      <c r="H19163" s="40" t="s">
        <v>11404</v>
      </c>
    </row>
    <row r="19164">
      <c r="A19164" s="39"/>
      <c r="E19164" s="40" t="s">
        <v>11404</v>
      </c>
      <c r="F19164" s="40" t="s">
        <v>11404</v>
      </c>
      <c r="G19164" s="40" t="s">
        <v>11404</v>
      </c>
      <c r="H19164" s="40" t="s">
        <v>11404</v>
      </c>
    </row>
    <row r="19165">
      <c r="A19165" s="39"/>
      <c r="E19165" s="40" t="s">
        <v>11404</v>
      </c>
      <c r="F19165" s="40" t="s">
        <v>11404</v>
      </c>
      <c r="G19165" s="40" t="s">
        <v>11404</v>
      </c>
      <c r="H19165" s="40" t="s">
        <v>11404</v>
      </c>
    </row>
    <row r="19166">
      <c r="A19166" s="39"/>
      <c r="E19166" s="40" t="s">
        <v>11404</v>
      </c>
      <c r="F19166" s="40" t="s">
        <v>11404</v>
      </c>
      <c r="G19166" s="40" t="s">
        <v>11404</v>
      </c>
      <c r="H19166" s="40" t="s">
        <v>11404</v>
      </c>
    </row>
    <row r="19167">
      <c r="A19167" s="39"/>
      <c r="E19167" s="40" t="s">
        <v>11404</v>
      </c>
      <c r="F19167" s="40" t="s">
        <v>11404</v>
      </c>
      <c r="G19167" s="40" t="s">
        <v>11404</v>
      </c>
      <c r="H19167" s="40" t="s">
        <v>11404</v>
      </c>
    </row>
    <row r="19168">
      <c r="A19168" s="39"/>
      <c r="E19168" s="40" t="s">
        <v>11404</v>
      </c>
      <c r="F19168" s="40" t="s">
        <v>11404</v>
      </c>
      <c r="G19168" s="40" t="s">
        <v>11404</v>
      </c>
      <c r="H19168" s="40" t="s">
        <v>11404</v>
      </c>
    </row>
    <row r="19169">
      <c r="A19169" s="39"/>
      <c r="E19169" s="40" t="s">
        <v>11404</v>
      </c>
      <c r="F19169" s="40" t="s">
        <v>11404</v>
      </c>
      <c r="G19169" s="40" t="s">
        <v>11404</v>
      </c>
      <c r="H19169" s="40" t="s">
        <v>11404</v>
      </c>
    </row>
    <row r="19170">
      <c r="A19170" s="39"/>
      <c r="E19170" s="40" t="s">
        <v>11404</v>
      </c>
      <c r="F19170" s="40" t="s">
        <v>11404</v>
      </c>
      <c r="G19170" s="40" t="s">
        <v>11404</v>
      </c>
      <c r="H19170" s="40" t="s">
        <v>11404</v>
      </c>
    </row>
    <row r="19171">
      <c r="A19171" s="39"/>
      <c r="E19171" s="40" t="s">
        <v>11404</v>
      </c>
      <c r="F19171" s="40" t="s">
        <v>11404</v>
      </c>
      <c r="G19171" s="40" t="s">
        <v>11404</v>
      </c>
      <c r="H19171" s="40" t="s">
        <v>11404</v>
      </c>
    </row>
    <row r="19172">
      <c r="A19172" s="39"/>
      <c r="E19172" s="40" t="s">
        <v>11404</v>
      </c>
      <c r="F19172" s="40" t="s">
        <v>11404</v>
      </c>
      <c r="G19172" s="40" t="s">
        <v>11404</v>
      </c>
      <c r="H19172" s="40" t="s">
        <v>11404</v>
      </c>
    </row>
    <row r="19173">
      <c r="A19173" s="39"/>
      <c r="E19173" s="40" t="s">
        <v>11404</v>
      </c>
      <c r="F19173" s="40" t="s">
        <v>11404</v>
      </c>
      <c r="G19173" s="40" t="s">
        <v>11404</v>
      </c>
      <c r="H19173" s="40" t="s">
        <v>11404</v>
      </c>
    </row>
    <row r="19174">
      <c r="A19174" s="39"/>
      <c r="E19174" s="40" t="s">
        <v>11404</v>
      </c>
      <c r="F19174" s="40" t="s">
        <v>11404</v>
      </c>
      <c r="G19174" s="40" t="s">
        <v>11404</v>
      </c>
      <c r="H19174" s="40" t="s">
        <v>11404</v>
      </c>
    </row>
    <row r="19175">
      <c r="A19175" s="39"/>
      <c r="E19175" s="40" t="s">
        <v>11404</v>
      </c>
      <c r="F19175" s="40" t="s">
        <v>11404</v>
      </c>
      <c r="G19175" s="40" t="s">
        <v>11404</v>
      </c>
      <c r="H19175" s="40" t="s">
        <v>11404</v>
      </c>
    </row>
    <row r="19176">
      <c r="A19176" s="39"/>
      <c r="E19176" s="40" t="s">
        <v>11404</v>
      </c>
      <c r="F19176" s="40" t="s">
        <v>11404</v>
      </c>
      <c r="G19176" s="40" t="s">
        <v>11404</v>
      </c>
      <c r="H19176" s="40" t="s">
        <v>11404</v>
      </c>
    </row>
    <row r="19177">
      <c r="A19177" s="39"/>
      <c r="E19177" s="40" t="s">
        <v>11404</v>
      </c>
      <c r="F19177" s="40" t="s">
        <v>11404</v>
      </c>
      <c r="G19177" s="40" t="s">
        <v>11404</v>
      </c>
      <c r="H19177" s="40" t="s">
        <v>11404</v>
      </c>
    </row>
    <row r="19178">
      <c r="A19178" s="39"/>
      <c r="E19178" s="40" t="s">
        <v>11404</v>
      </c>
      <c r="F19178" s="40" t="s">
        <v>11404</v>
      </c>
      <c r="G19178" s="40" t="s">
        <v>11404</v>
      </c>
      <c r="H19178" s="40" t="s">
        <v>11404</v>
      </c>
    </row>
    <row r="19179">
      <c r="A19179" s="39"/>
      <c r="E19179" s="40" t="s">
        <v>11404</v>
      </c>
      <c r="F19179" s="40" t="s">
        <v>11404</v>
      </c>
      <c r="G19179" s="40" t="s">
        <v>11404</v>
      </c>
      <c r="H19179" s="40" t="s">
        <v>11404</v>
      </c>
    </row>
    <row r="19180">
      <c r="A19180" s="39"/>
      <c r="E19180" s="40" t="s">
        <v>11404</v>
      </c>
      <c r="F19180" s="40" t="s">
        <v>11404</v>
      </c>
      <c r="G19180" s="40" t="s">
        <v>11404</v>
      </c>
      <c r="H19180" s="40" t="s">
        <v>11404</v>
      </c>
    </row>
    <row r="19181">
      <c r="A19181" s="39"/>
      <c r="E19181" s="40" t="s">
        <v>11404</v>
      </c>
      <c r="F19181" s="40" t="s">
        <v>11404</v>
      </c>
      <c r="G19181" s="40" t="s">
        <v>11404</v>
      </c>
      <c r="H19181" s="40" t="s">
        <v>11404</v>
      </c>
    </row>
    <row r="19182">
      <c r="A19182" s="39"/>
      <c r="E19182" s="40" t="s">
        <v>11404</v>
      </c>
      <c r="F19182" s="40" t="s">
        <v>11404</v>
      </c>
      <c r="G19182" s="40" t="s">
        <v>11404</v>
      </c>
      <c r="H19182" s="40" t="s">
        <v>11404</v>
      </c>
    </row>
    <row r="19183">
      <c r="A19183" s="39"/>
      <c r="E19183" s="40" t="s">
        <v>11404</v>
      </c>
      <c r="F19183" s="40" t="s">
        <v>11404</v>
      </c>
      <c r="G19183" s="40" t="s">
        <v>11404</v>
      </c>
      <c r="H19183" s="40" t="s">
        <v>11404</v>
      </c>
    </row>
    <row r="19184">
      <c r="A19184" s="39"/>
      <c r="E19184" s="40" t="s">
        <v>11404</v>
      </c>
      <c r="F19184" s="40" t="s">
        <v>11404</v>
      </c>
      <c r="G19184" s="40" t="s">
        <v>11404</v>
      </c>
      <c r="H19184" s="40" t="s">
        <v>11404</v>
      </c>
    </row>
    <row r="19185">
      <c r="A19185" s="39"/>
      <c r="E19185" s="40" t="s">
        <v>11404</v>
      </c>
      <c r="F19185" s="40" t="s">
        <v>11404</v>
      </c>
      <c r="G19185" s="40" t="s">
        <v>11404</v>
      </c>
      <c r="H19185" s="40" t="s">
        <v>11404</v>
      </c>
    </row>
    <row r="19186">
      <c r="A19186" s="39"/>
      <c r="E19186" s="40" t="s">
        <v>11404</v>
      </c>
      <c r="F19186" s="40" t="s">
        <v>11404</v>
      </c>
      <c r="G19186" s="40" t="s">
        <v>11404</v>
      </c>
      <c r="H19186" s="40" t="s">
        <v>11404</v>
      </c>
    </row>
    <row r="19187">
      <c r="A19187" s="39"/>
      <c r="E19187" s="40" t="s">
        <v>11404</v>
      </c>
      <c r="F19187" s="40" t="s">
        <v>11404</v>
      </c>
      <c r="G19187" s="40" t="s">
        <v>11404</v>
      </c>
      <c r="H19187" s="40" t="s">
        <v>11404</v>
      </c>
    </row>
    <row r="19188">
      <c r="A19188" s="39"/>
      <c r="E19188" s="40" t="s">
        <v>11404</v>
      </c>
      <c r="F19188" s="40" t="s">
        <v>11404</v>
      </c>
      <c r="G19188" s="40" t="s">
        <v>11404</v>
      </c>
      <c r="H19188" s="40" t="s">
        <v>11404</v>
      </c>
    </row>
    <row r="19189">
      <c r="A19189" s="39"/>
      <c r="E19189" s="40" t="s">
        <v>11404</v>
      </c>
      <c r="F19189" s="40" t="s">
        <v>11404</v>
      </c>
      <c r="G19189" s="40" t="s">
        <v>11404</v>
      </c>
      <c r="H19189" s="40" t="s">
        <v>11404</v>
      </c>
    </row>
    <row r="19190">
      <c r="A19190" s="39"/>
      <c r="E19190" s="40" t="s">
        <v>11404</v>
      </c>
      <c r="F19190" s="40" t="s">
        <v>11404</v>
      </c>
      <c r="G19190" s="40" t="s">
        <v>11404</v>
      </c>
      <c r="H19190" s="40" t="s">
        <v>11404</v>
      </c>
    </row>
    <row r="19191">
      <c r="A19191" s="39"/>
      <c r="E19191" s="40" t="s">
        <v>11404</v>
      </c>
      <c r="F19191" s="40" t="s">
        <v>11404</v>
      </c>
      <c r="G19191" s="40" t="s">
        <v>11404</v>
      </c>
      <c r="H19191" s="40" t="s">
        <v>11404</v>
      </c>
    </row>
    <row r="19192">
      <c r="A19192" s="39"/>
      <c r="E19192" s="40" t="s">
        <v>11404</v>
      </c>
      <c r="F19192" s="40" t="s">
        <v>11404</v>
      </c>
      <c r="G19192" s="40" t="s">
        <v>11404</v>
      </c>
      <c r="H19192" s="40" t="s">
        <v>11404</v>
      </c>
    </row>
    <row r="19193">
      <c r="A19193" s="39"/>
      <c r="E19193" s="40" t="s">
        <v>11404</v>
      </c>
      <c r="F19193" s="40" t="s">
        <v>11404</v>
      </c>
      <c r="G19193" s="40" t="s">
        <v>11404</v>
      </c>
      <c r="H19193" s="40" t="s">
        <v>11404</v>
      </c>
    </row>
    <row r="19194">
      <c r="A19194" s="39"/>
      <c r="E19194" s="40" t="s">
        <v>11404</v>
      </c>
      <c r="F19194" s="40" t="s">
        <v>11404</v>
      </c>
      <c r="G19194" s="40" t="s">
        <v>11404</v>
      </c>
      <c r="H19194" s="40" t="s">
        <v>11404</v>
      </c>
    </row>
    <row r="19195">
      <c r="A19195" s="39"/>
      <c r="E19195" s="40" t="s">
        <v>11404</v>
      </c>
      <c r="F19195" s="40" t="s">
        <v>11404</v>
      </c>
      <c r="G19195" s="40" t="s">
        <v>11404</v>
      </c>
      <c r="H19195" s="40" t="s">
        <v>11404</v>
      </c>
    </row>
    <row r="19196">
      <c r="A19196" s="39"/>
      <c r="E19196" s="40" t="s">
        <v>11404</v>
      </c>
      <c r="F19196" s="40" t="s">
        <v>11404</v>
      </c>
      <c r="G19196" s="40" t="s">
        <v>11404</v>
      </c>
      <c r="H19196" s="40" t="s">
        <v>11404</v>
      </c>
    </row>
    <row r="19197">
      <c r="A19197" s="39"/>
      <c r="E19197" s="40" t="s">
        <v>11404</v>
      </c>
      <c r="F19197" s="40" t="s">
        <v>11404</v>
      </c>
      <c r="G19197" s="40" t="s">
        <v>11404</v>
      </c>
      <c r="H19197" s="40" t="s">
        <v>11404</v>
      </c>
    </row>
    <row r="19198">
      <c r="A19198" s="39"/>
      <c r="E19198" s="40" t="s">
        <v>11404</v>
      </c>
      <c r="F19198" s="40" t="s">
        <v>11404</v>
      </c>
      <c r="G19198" s="40" t="s">
        <v>11404</v>
      </c>
      <c r="H19198" s="40" t="s">
        <v>11404</v>
      </c>
    </row>
    <row r="19199">
      <c r="A19199" s="39"/>
      <c r="E19199" s="40" t="s">
        <v>11404</v>
      </c>
      <c r="F19199" s="40" t="s">
        <v>11404</v>
      </c>
      <c r="G19199" s="40" t="s">
        <v>11404</v>
      </c>
      <c r="H19199" s="40" t="s">
        <v>11404</v>
      </c>
    </row>
    <row r="19200">
      <c r="A19200" s="39"/>
      <c r="E19200" s="40" t="s">
        <v>11404</v>
      </c>
      <c r="F19200" s="40" t="s">
        <v>11404</v>
      </c>
      <c r="G19200" s="40" t="s">
        <v>11404</v>
      </c>
      <c r="H19200" s="40" t="s">
        <v>11404</v>
      </c>
    </row>
    <row r="19201">
      <c r="A19201" s="39"/>
      <c r="E19201" s="40" t="s">
        <v>11404</v>
      </c>
      <c r="F19201" s="40" t="s">
        <v>11404</v>
      </c>
      <c r="G19201" s="40" t="s">
        <v>11404</v>
      </c>
      <c r="H19201" s="40" t="s">
        <v>11404</v>
      </c>
    </row>
    <row r="19202">
      <c r="A19202" s="39"/>
      <c r="E19202" s="40" t="s">
        <v>11404</v>
      </c>
      <c r="F19202" s="40" t="s">
        <v>11404</v>
      </c>
      <c r="G19202" s="40" t="s">
        <v>11404</v>
      </c>
      <c r="H19202" s="40" t="s">
        <v>11404</v>
      </c>
    </row>
    <row r="19203">
      <c r="A19203" s="39"/>
      <c r="E19203" s="40" t="s">
        <v>11404</v>
      </c>
      <c r="F19203" s="40" t="s">
        <v>11404</v>
      </c>
      <c r="G19203" s="40" t="s">
        <v>11404</v>
      </c>
      <c r="H19203" s="40" t="s">
        <v>11404</v>
      </c>
    </row>
    <row r="19204">
      <c r="A19204" s="39"/>
      <c r="E19204" s="40" t="s">
        <v>11404</v>
      </c>
      <c r="F19204" s="40" t="s">
        <v>11404</v>
      </c>
      <c r="G19204" s="40" t="s">
        <v>11404</v>
      </c>
      <c r="H19204" s="40" t="s">
        <v>11404</v>
      </c>
    </row>
    <row r="19205">
      <c r="A19205" s="39"/>
      <c r="E19205" s="40" t="s">
        <v>11404</v>
      </c>
      <c r="F19205" s="40" t="s">
        <v>11404</v>
      </c>
      <c r="G19205" s="40" t="s">
        <v>11404</v>
      </c>
      <c r="H19205" s="40" t="s">
        <v>11404</v>
      </c>
    </row>
    <row r="19206">
      <c r="A19206" s="39"/>
      <c r="E19206" s="40" t="s">
        <v>11404</v>
      </c>
      <c r="F19206" s="40" t="s">
        <v>11404</v>
      </c>
      <c r="G19206" s="40" t="s">
        <v>11404</v>
      </c>
      <c r="H19206" s="40" t="s">
        <v>11404</v>
      </c>
    </row>
    <row r="19207">
      <c r="A19207" s="39"/>
      <c r="E19207" s="40" t="s">
        <v>11404</v>
      </c>
      <c r="F19207" s="40" t="s">
        <v>11404</v>
      </c>
      <c r="G19207" s="40" t="s">
        <v>11404</v>
      </c>
      <c r="H19207" s="40" t="s">
        <v>11404</v>
      </c>
    </row>
    <row r="19208">
      <c r="A19208" s="39"/>
      <c r="E19208" s="40" t="s">
        <v>11404</v>
      </c>
      <c r="F19208" s="40" t="s">
        <v>11404</v>
      </c>
      <c r="G19208" s="40" t="s">
        <v>11404</v>
      </c>
      <c r="H19208" s="40" t="s">
        <v>11404</v>
      </c>
    </row>
    <row r="19209">
      <c r="A19209" s="39"/>
      <c r="E19209" s="40" t="s">
        <v>11404</v>
      </c>
      <c r="F19209" s="40" t="s">
        <v>11404</v>
      </c>
      <c r="G19209" s="40" t="s">
        <v>11404</v>
      </c>
      <c r="H19209" s="40" t="s">
        <v>11404</v>
      </c>
    </row>
    <row r="19210">
      <c r="A19210" s="39"/>
      <c r="E19210" s="40" t="s">
        <v>11404</v>
      </c>
      <c r="F19210" s="40" t="s">
        <v>11404</v>
      </c>
      <c r="G19210" s="40" t="s">
        <v>11404</v>
      </c>
      <c r="H19210" s="40" t="s">
        <v>11404</v>
      </c>
    </row>
    <row r="19211">
      <c r="A19211" s="39"/>
      <c r="E19211" s="40" t="s">
        <v>11404</v>
      </c>
      <c r="F19211" s="40" t="s">
        <v>11404</v>
      </c>
      <c r="G19211" s="40" t="s">
        <v>11404</v>
      </c>
      <c r="H19211" s="40" t="s">
        <v>11404</v>
      </c>
    </row>
    <row r="19212">
      <c r="A19212" s="39"/>
      <c r="E19212" s="40" t="s">
        <v>11404</v>
      </c>
      <c r="F19212" s="40" t="s">
        <v>11404</v>
      </c>
      <c r="G19212" s="40" t="s">
        <v>11404</v>
      </c>
      <c r="H19212" s="40" t="s">
        <v>11404</v>
      </c>
    </row>
    <row r="19213">
      <c r="A19213" s="39"/>
      <c r="E19213" s="40" t="s">
        <v>11404</v>
      </c>
      <c r="F19213" s="40" t="s">
        <v>11404</v>
      </c>
      <c r="G19213" s="40" t="s">
        <v>11404</v>
      </c>
      <c r="H19213" s="40" t="s">
        <v>11404</v>
      </c>
    </row>
    <row r="19214">
      <c r="A19214" s="39"/>
      <c r="E19214" s="40" t="s">
        <v>11404</v>
      </c>
      <c r="F19214" s="40" t="s">
        <v>11404</v>
      </c>
      <c r="G19214" s="40" t="s">
        <v>11404</v>
      </c>
      <c r="H19214" s="40" t="s">
        <v>11404</v>
      </c>
    </row>
    <row r="19215">
      <c r="A19215" s="39"/>
      <c r="E19215" s="40" t="s">
        <v>11404</v>
      </c>
      <c r="F19215" s="40" t="s">
        <v>11404</v>
      </c>
      <c r="G19215" s="40" t="s">
        <v>11404</v>
      </c>
      <c r="H19215" s="40" t="s">
        <v>11404</v>
      </c>
    </row>
    <row r="19216">
      <c r="A19216" s="39"/>
      <c r="E19216" s="40" t="s">
        <v>11404</v>
      </c>
      <c r="F19216" s="40" t="s">
        <v>11404</v>
      </c>
      <c r="G19216" s="40" t="s">
        <v>11404</v>
      </c>
      <c r="H19216" s="40" t="s">
        <v>11404</v>
      </c>
    </row>
    <row r="19217">
      <c r="A19217" s="39"/>
      <c r="E19217" s="40" t="s">
        <v>11404</v>
      </c>
      <c r="F19217" s="40" t="s">
        <v>11404</v>
      </c>
      <c r="G19217" s="40" t="s">
        <v>11404</v>
      </c>
      <c r="H19217" s="40" t="s">
        <v>11404</v>
      </c>
    </row>
    <row r="19218">
      <c r="A19218" s="39"/>
      <c r="E19218" s="40" t="s">
        <v>11404</v>
      </c>
      <c r="F19218" s="40" t="s">
        <v>11404</v>
      </c>
      <c r="G19218" s="40" t="s">
        <v>11404</v>
      </c>
      <c r="H19218" s="40" t="s">
        <v>11404</v>
      </c>
    </row>
    <row r="19219">
      <c r="A19219" s="39"/>
      <c r="E19219" s="40" t="s">
        <v>11404</v>
      </c>
      <c r="F19219" s="40" t="s">
        <v>11404</v>
      </c>
      <c r="G19219" s="40" t="s">
        <v>11404</v>
      </c>
      <c r="H19219" s="40" t="s">
        <v>11404</v>
      </c>
    </row>
    <row r="19220">
      <c r="A19220" s="39"/>
      <c r="E19220" s="40" t="s">
        <v>11404</v>
      </c>
      <c r="F19220" s="40" t="s">
        <v>11404</v>
      </c>
      <c r="G19220" s="40" t="s">
        <v>11404</v>
      </c>
      <c r="H19220" s="40" t="s">
        <v>11404</v>
      </c>
    </row>
    <row r="19221">
      <c r="A19221" s="39"/>
      <c r="E19221" s="40" t="s">
        <v>11404</v>
      </c>
      <c r="F19221" s="40" t="s">
        <v>11404</v>
      </c>
      <c r="G19221" s="40" t="s">
        <v>11404</v>
      </c>
      <c r="H19221" s="40" t="s">
        <v>11404</v>
      </c>
    </row>
    <row r="19222">
      <c r="A19222" s="39"/>
      <c r="E19222" s="40" t="s">
        <v>11404</v>
      </c>
      <c r="F19222" s="40" t="s">
        <v>11404</v>
      </c>
      <c r="G19222" s="40" t="s">
        <v>11404</v>
      </c>
      <c r="H19222" s="40" t="s">
        <v>11404</v>
      </c>
    </row>
    <row r="19223">
      <c r="A19223" s="39"/>
      <c r="E19223" s="40" t="s">
        <v>11404</v>
      </c>
      <c r="F19223" s="40" t="s">
        <v>11404</v>
      </c>
      <c r="G19223" s="40" t="s">
        <v>11404</v>
      </c>
      <c r="H19223" s="40" t="s">
        <v>11404</v>
      </c>
    </row>
    <row r="19224">
      <c r="A19224" s="39"/>
      <c r="E19224" s="40" t="s">
        <v>11404</v>
      </c>
      <c r="F19224" s="40" t="s">
        <v>11404</v>
      </c>
      <c r="G19224" s="40" t="s">
        <v>11404</v>
      </c>
      <c r="H19224" s="40" t="s">
        <v>11404</v>
      </c>
    </row>
    <row r="19225">
      <c r="A19225" s="39"/>
      <c r="E19225" s="40" t="s">
        <v>11404</v>
      </c>
      <c r="F19225" s="40" t="s">
        <v>11404</v>
      </c>
      <c r="G19225" s="40" t="s">
        <v>11404</v>
      </c>
      <c r="H19225" s="40" t="s">
        <v>11404</v>
      </c>
    </row>
    <row r="19226">
      <c r="A19226" s="39"/>
      <c r="E19226" s="40" t="s">
        <v>11404</v>
      </c>
      <c r="F19226" s="40" t="s">
        <v>11404</v>
      </c>
      <c r="G19226" s="40" t="s">
        <v>11404</v>
      </c>
      <c r="H19226" s="40" t="s">
        <v>11404</v>
      </c>
    </row>
    <row r="19227">
      <c r="A19227" s="39"/>
      <c r="E19227" s="40" t="s">
        <v>11404</v>
      </c>
      <c r="F19227" s="40" t="s">
        <v>11404</v>
      </c>
      <c r="G19227" s="40" t="s">
        <v>11404</v>
      </c>
      <c r="H19227" s="40" t="s">
        <v>11404</v>
      </c>
    </row>
    <row r="19228">
      <c r="A19228" s="39"/>
      <c r="E19228" s="40" t="s">
        <v>11404</v>
      </c>
      <c r="F19228" s="40" t="s">
        <v>11404</v>
      </c>
      <c r="G19228" s="40" t="s">
        <v>11404</v>
      </c>
      <c r="H19228" s="40" t="s">
        <v>11404</v>
      </c>
    </row>
    <row r="19229">
      <c r="A19229" s="39"/>
      <c r="E19229" s="40" t="s">
        <v>11404</v>
      </c>
      <c r="F19229" s="40" t="s">
        <v>11404</v>
      </c>
      <c r="G19229" s="40" t="s">
        <v>11404</v>
      </c>
      <c r="H19229" s="40" t="s">
        <v>11404</v>
      </c>
    </row>
    <row r="19230">
      <c r="A19230" s="39"/>
      <c r="E19230" s="40" t="s">
        <v>11404</v>
      </c>
      <c r="F19230" s="40" t="s">
        <v>11404</v>
      </c>
      <c r="G19230" s="40" t="s">
        <v>11404</v>
      </c>
      <c r="H19230" s="40" t="s">
        <v>11404</v>
      </c>
    </row>
    <row r="19231">
      <c r="A19231" s="39"/>
      <c r="E19231" s="40" t="s">
        <v>11404</v>
      </c>
      <c r="F19231" s="40" t="s">
        <v>11404</v>
      </c>
      <c r="G19231" s="40" t="s">
        <v>11404</v>
      </c>
      <c r="H19231" s="40" t="s">
        <v>11404</v>
      </c>
    </row>
    <row r="19232">
      <c r="A19232" s="39"/>
      <c r="E19232" s="40" t="s">
        <v>11404</v>
      </c>
      <c r="F19232" s="40" t="s">
        <v>11404</v>
      </c>
      <c r="G19232" s="40" t="s">
        <v>11404</v>
      </c>
      <c r="H19232" s="40" t="s">
        <v>11404</v>
      </c>
    </row>
    <row r="19233">
      <c r="A19233" s="39"/>
      <c r="E19233" s="40" t="s">
        <v>11404</v>
      </c>
      <c r="F19233" s="40" t="s">
        <v>11404</v>
      </c>
      <c r="G19233" s="40" t="s">
        <v>11404</v>
      </c>
      <c r="H19233" s="40" t="s">
        <v>11404</v>
      </c>
    </row>
    <row r="19234">
      <c r="A19234" s="39"/>
      <c r="E19234" s="40" t="s">
        <v>11404</v>
      </c>
      <c r="F19234" s="40" t="s">
        <v>11404</v>
      </c>
      <c r="G19234" s="40" t="s">
        <v>11404</v>
      </c>
      <c r="H19234" s="40" t="s">
        <v>11404</v>
      </c>
    </row>
    <row r="19235">
      <c r="A19235" s="39"/>
      <c r="E19235" s="40" t="s">
        <v>11404</v>
      </c>
      <c r="F19235" s="40" t="s">
        <v>11404</v>
      </c>
      <c r="G19235" s="40" t="s">
        <v>11404</v>
      </c>
      <c r="H19235" s="40" t="s">
        <v>11404</v>
      </c>
    </row>
    <row r="19236">
      <c r="A19236" s="39"/>
      <c r="E19236" s="40" t="s">
        <v>11404</v>
      </c>
      <c r="F19236" s="40" t="s">
        <v>11404</v>
      </c>
      <c r="G19236" s="40" t="s">
        <v>11404</v>
      </c>
      <c r="H19236" s="40" t="s">
        <v>11404</v>
      </c>
    </row>
    <row r="19237">
      <c r="A19237" s="39"/>
      <c r="E19237" s="40" t="s">
        <v>11404</v>
      </c>
      <c r="F19237" s="40" t="s">
        <v>11404</v>
      </c>
      <c r="G19237" s="40" t="s">
        <v>11404</v>
      </c>
      <c r="H19237" s="40" t="s">
        <v>11404</v>
      </c>
    </row>
    <row r="19238">
      <c r="A19238" s="39"/>
      <c r="E19238" s="40" t="s">
        <v>11404</v>
      </c>
      <c r="F19238" s="40" t="s">
        <v>11404</v>
      </c>
      <c r="G19238" s="40" t="s">
        <v>11404</v>
      </c>
      <c r="H19238" s="40" t="s">
        <v>11404</v>
      </c>
    </row>
    <row r="19239">
      <c r="A19239" s="39"/>
      <c r="E19239" s="40" t="s">
        <v>11404</v>
      </c>
      <c r="F19239" s="40" t="s">
        <v>11404</v>
      </c>
      <c r="G19239" s="40" t="s">
        <v>11404</v>
      </c>
      <c r="H19239" s="40" t="s">
        <v>11404</v>
      </c>
    </row>
    <row r="19240">
      <c r="A19240" s="39"/>
      <c r="E19240" s="40" t="s">
        <v>11404</v>
      </c>
      <c r="F19240" s="40" t="s">
        <v>11404</v>
      </c>
      <c r="G19240" s="40" t="s">
        <v>11404</v>
      </c>
      <c r="H19240" s="40" t="s">
        <v>11404</v>
      </c>
    </row>
    <row r="19241">
      <c r="A19241" s="39"/>
      <c r="E19241" s="40" t="s">
        <v>11404</v>
      </c>
      <c r="F19241" s="40" t="s">
        <v>11404</v>
      </c>
      <c r="G19241" s="40" t="s">
        <v>11404</v>
      </c>
      <c r="H19241" s="40" t="s">
        <v>11404</v>
      </c>
    </row>
    <row r="19242">
      <c r="A19242" s="39"/>
      <c r="E19242" s="40" t="s">
        <v>11404</v>
      </c>
      <c r="F19242" s="40" t="s">
        <v>11404</v>
      </c>
      <c r="G19242" s="40" t="s">
        <v>11404</v>
      </c>
      <c r="H19242" s="40" t="s">
        <v>11404</v>
      </c>
    </row>
    <row r="19243">
      <c r="A19243" s="39"/>
      <c r="E19243" s="40" t="s">
        <v>11404</v>
      </c>
      <c r="F19243" s="40" t="s">
        <v>11404</v>
      </c>
      <c r="G19243" s="40" t="s">
        <v>11404</v>
      </c>
      <c r="H19243" s="40" t="s">
        <v>11404</v>
      </c>
    </row>
    <row r="19244">
      <c r="A19244" s="39"/>
      <c r="E19244" s="40" t="s">
        <v>11404</v>
      </c>
      <c r="F19244" s="40" t="s">
        <v>11404</v>
      </c>
      <c r="G19244" s="40" t="s">
        <v>11404</v>
      </c>
      <c r="H19244" s="40" t="s">
        <v>11404</v>
      </c>
    </row>
    <row r="19245">
      <c r="A19245" s="39"/>
      <c r="E19245" s="40" t="s">
        <v>11404</v>
      </c>
      <c r="F19245" s="40" t="s">
        <v>11404</v>
      </c>
      <c r="G19245" s="40" t="s">
        <v>11404</v>
      </c>
      <c r="H19245" s="40" t="s">
        <v>11404</v>
      </c>
    </row>
    <row r="19246">
      <c r="A19246" s="39"/>
      <c r="E19246" s="40" t="s">
        <v>11404</v>
      </c>
      <c r="F19246" s="40" t="s">
        <v>11404</v>
      </c>
      <c r="G19246" s="40" t="s">
        <v>11404</v>
      </c>
      <c r="H19246" s="40" t="s">
        <v>11404</v>
      </c>
    </row>
    <row r="19247">
      <c r="A19247" s="39"/>
      <c r="E19247" s="40" t="s">
        <v>11404</v>
      </c>
      <c r="F19247" s="40" t="s">
        <v>11404</v>
      </c>
      <c r="G19247" s="40" t="s">
        <v>11404</v>
      </c>
      <c r="H19247" s="40" t="s">
        <v>11404</v>
      </c>
    </row>
    <row r="19248">
      <c r="A19248" s="39"/>
      <c r="E19248" s="40" t="s">
        <v>11404</v>
      </c>
      <c r="F19248" s="40" t="s">
        <v>11404</v>
      </c>
      <c r="G19248" s="40" t="s">
        <v>11404</v>
      </c>
      <c r="H19248" s="40" t="s">
        <v>11404</v>
      </c>
    </row>
    <row r="19249">
      <c r="A19249" s="39"/>
      <c r="E19249" s="40" t="s">
        <v>11404</v>
      </c>
      <c r="F19249" s="40" t="s">
        <v>11404</v>
      </c>
      <c r="G19249" s="40" t="s">
        <v>11404</v>
      </c>
      <c r="H19249" s="40" t="s">
        <v>11404</v>
      </c>
    </row>
    <row r="19250">
      <c r="A19250" s="39"/>
      <c r="E19250" s="40" t="s">
        <v>11404</v>
      </c>
      <c r="F19250" s="40" t="s">
        <v>11404</v>
      </c>
      <c r="G19250" s="40" t="s">
        <v>11404</v>
      </c>
      <c r="H19250" s="40" t="s">
        <v>11404</v>
      </c>
    </row>
    <row r="19251">
      <c r="A19251" s="39"/>
      <c r="E19251" s="40" t="s">
        <v>11404</v>
      </c>
      <c r="F19251" s="40" t="s">
        <v>11404</v>
      </c>
      <c r="G19251" s="40" t="s">
        <v>11404</v>
      </c>
      <c r="H19251" s="40" t="s">
        <v>11404</v>
      </c>
    </row>
    <row r="19252">
      <c r="A19252" s="39"/>
      <c r="E19252" s="40" t="s">
        <v>11404</v>
      </c>
      <c r="F19252" s="40" t="s">
        <v>11404</v>
      </c>
      <c r="G19252" s="40" t="s">
        <v>11404</v>
      </c>
      <c r="H19252" s="40" t="s">
        <v>11404</v>
      </c>
    </row>
    <row r="19253">
      <c r="A19253" s="39"/>
      <c r="E19253" s="40" t="s">
        <v>11404</v>
      </c>
      <c r="F19253" s="40" t="s">
        <v>11404</v>
      </c>
      <c r="G19253" s="40" t="s">
        <v>11404</v>
      </c>
      <c r="H19253" s="40" t="s">
        <v>11404</v>
      </c>
    </row>
    <row r="19254">
      <c r="A19254" s="39"/>
      <c r="E19254" s="40" t="s">
        <v>11404</v>
      </c>
      <c r="F19254" s="40" t="s">
        <v>11404</v>
      </c>
      <c r="G19254" s="40" t="s">
        <v>11404</v>
      </c>
      <c r="H19254" s="40" t="s">
        <v>11404</v>
      </c>
    </row>
    <row r="19255">
      <c r="A19255" s="39"/>
      <c r="E19255" s="40" t="s">
        <v>11404</v>
      </c>
      <c r="F19255" s="40" t="s">
        <v>11404</v>
      </c>
      <c r="G19255" s="40" t="s">
        <v>11404</v>
      </c>
      <c r="H19255" s="40" t="s">
        <v>11404</v>
      </c>
    </row>
    <row r="19256">
      <c r="A19256" s="39"/>
      <c r="E19256" s="40" t="s">
        <v>11404</v>
      </c>
      <c r="F19256" s="40" t="s">
        <v>11404</v>
      </c>
      <c r="G19256" s="40" t="s">
        <v>11404</v>
      </c>
      <c r="H19256" s="40" t="s">
        <v>11404</v>
      </c>
    </row>
    <row r="19257">
      <c r="A19257" s="39"/>
      <c r="E19257" s="40" t="s">
        <v>11404</v>
      </c>
      <c r="F19257" s="40" t="s">
        <v>11404</v>
      </c>
      <c r="G19257" s="40" t="s">
        <v>11404</v>
      </c>
      <c r="H19257" s="40" t="s">
        <v>11404</v>
      </c>
    </row>
    <row r="19258">
      <c r="A19258" s="39"/>
      <c r="E19258" s="40" t="s">
        <v>11404</v>
      </c>
      <c r="F19258" s="40" t="s">
        <v>11404</v>
      </c>
      <c r="G19258" s="40" t="s">
        <v>11404</v>
      </c>
      <c r="H19258" s="40" t="s">
        <v>11404</v>
      </c>
    </row>
    <row r="19259">
      <c r="A19259" s="39"/>
      <c r="E19259" s="40" t="s">
        <v>11404</v>
      </c>
      <c r="F19259" s="40" t="s">
        <v>11404</v>
      </c>
      <c r="G19259" s="40" t="s">
        <v>11404</v>
      </c>
      <c r="H19259" s="40" t="s">
        <v>11404</v>
      </c>
    </row>
    <row r="19260">
      <c r="A19260" s="39"/>
      <c r="E19260" s="40" t="s">
        <v>11404</v>
      </c>
      <c r="F19260" s="40" t="s">
        <v>11404</v>
      </c>
      <c r="G19260" s="40" t="s">
        <v>11404</v>
      </c>
      <c r="H19260" s="40" t="s">
        <v>11404</v>
      </c>
    </row>
    <row r="19261">
      <c r="A19261" s="39"/>
      <c r="E19261" s="40" t="s">
        <v>11404</v>
      </c>
      <c r="F19261" s="40" t="s">
        <v>11404</v>
      </c>
      <c r="G19261" s="40" t="s">
        <v>11404</v>
      </c>
      <c r="H19261" s="40" t="s">
        <v>11404</v>
      </c>
    </row>
    <row r="19262">
      <c r="A19262" s="39"/>
      <c r="E19262" s="40" t="s">
        <v>11404</v>
      </c>
      <c r="F19262" s="40" t="s">
        <v>11404</v>
      </c>
      <c r="G19262" s="40" t="s">
        <v>11404</v>
      </c>
      <c r="H19262" s="40" t="s">
        <v>11404</v>
      </c>
    </row>
    <row r="19263">
      <c r="A19263" s="39"/>
      <c r="E19263" s="40" t="s">
        <v>11404</v>
      </c>
      <c r="F19263" s="40" t="s">
        <v>11404</v>
      </c>
      <c r="G19263" s="40" t="s">
        <v>11404</v>
      </c>
      <c r="H19263" s="40" t="s">
        <v>11404</v>
      </c>
    </row>
    <row r="19264">
      <c r="A19264" s="39"/>
      <c r="E19264" s="40" t="s">
        <v>11404</v>
      </c>
      <c r="F19264" s="40" t="s">
        <v>11404</v>
      </c>
      <c r="G19264" s="40" t="s">
        <v>11404</v>
      </c>
      <c r="H19264" s="40" t="s">
        <v>11404</v>
      </c>
    </row>
    <row r="19265">
      <c r="A19265" s="39"/>
      <c r="E19265" s="40" t="s">
        <v>11404</v>
      </c>
      <c r="F19265" s="40" t="s">
        <v>11404</v>
      </c>
      <c r="G19265" s="40" t="s">
        <v>11404</v>
      </c>
      <c r="H19265" s="40" t="s">
        <v>11404</v>
      </c>
    </row>
    <row r="19266">
      <c r="A19266" s="39"/>
      <c r="E19266" s="40" t="s">
        <v>11404</v>
      </c>
      <c r="F19266" s="40" t="s">
        <v>11404</v>
      </c>
      <c r="G19266" s="40" t="s">
        <v>11404</v>
      </c>
      <c r="H19266" s="40" t="s">
        <v>11404</v>
      </c>
    </row>
    <row r="19267">
      <c r="A19267" s="39"/>
      <c r="E19267" s="40" t="s">
        <v>11404</v>
      </c>
      <c r="F19267" s="40" t="s">
        <v>11404</v>
      </c>
      <c r="G19267" s="40" t="s">
        <v>11404</v>
      </c>
      <c r="H19267" s="40" t="s">
        <v>11404</v>
      </c>
    </row>
    <row r="19268">
      <c r="A19268" s="39"/>
      <c r="E19268" s="40" t="s">
        <v>11404</v>
      </c>
      <c r="F19268" s="40" t="s">
        <v>11404</v>
      </c>
      <c r="G19268" s="40" t="s">
        <v>11404</v>
      </c>
      <c r="H19268" s="40" t="s">
        <v>11404</v>
      </c>
    </row>
    <row r="19269">
      <c r="A19269" s="39"/>
      <c r="E19269" s="40" t="s">
        <v>11404</v>
      </c>
      <c r="F19269" s="40" t="s">
        <v>11404</v>
      </c>
      <c r="G19269" s="40" t="s">
        <v>11404</v>
      </c>
      <c r="H19269" s="40" t="s">
        <v>11404</v>
      </c>
    </row>
    <row r="19270">
      <c r="A19270" s="39"/>
      <c r="E19270" s="40" t="s">
        <v>11404</v>
      </c>
      <c r="F19270" s="40" t="s">
        <v>11404</v>
      </c>
      <c r="G19270" s="40" t="s">
        <v>11404</v>
      </c>
      <c r="H19270" s="40" t="s">
        <v>11404</v>
      </c>
    </row>
    <row r="19271">
      <c r="A19271" s="39"/>
      <c r="E19271" s="40" t="s">
        <v>11404</v>
      </c>
      <c r="F19271" s="40" t="s">
        <v>11404</v>
      </c>
      <c r="G19271" s="40" t="s">
        <v>11404</v>
      </c>
      <c r="H19271" s="40" t="s">
        <v>11404</v>
      </c>
    </row>
    <row r="19272">
      <c r="A19272" s="39"/>
      <c r="E19272" s="40" t="s">
        <v>11404</v>
      </c>
      <c r="F19272" s="40" t="s">
        <v>11404</v>
      </c>
      <c r="G19272" s="40" t="s">
        <v>11404</v>
      </c>
      <c r="H19272" s="40" t="s">
        <v>11404</v>
      </c>
    </row>
    <row r="19273">
      <c r="A19273" s="39"/>
      <c r="E19273" s="40" t="s">
        <v>11404</v>
      </c>
      <c r="F19273" s="40" t="s">
        <v>11404</v>
      </c>
      <c r="G19273" s="40" t="s">
        <v>11404</v>
      </c>
      <c r="H19273" s="40" t="s">
        <v>11404</v>
      </c>
    </row>
    <row r="19274">
      <c r="A19274" s="39"/>
      <c r="E19274" s="40" t="s">
        <v>11404</v>
      </c>
      <c r="F19274" s="40" t="s">
        <v>11404</v>
      </c>
      <c r="G19274" s="40" t="s">
        <v>11404</v>
      </c>
      <c r="H19274" s="40" t="s">
        <v>11404</v>
      </c>
    </row>
    <row r="19275">
      <c r="A19275" s="39"/>
      <c r="E19275" s="40" t="s">
        <v>11404</v>
      </c>
      <c r="F19275" s="40" t="s">
        <v>11404</v>
      </c>
      <c r="G19275" s="40" t="s">
        <v>11404</v>
      </c>
      <c r="H19275" s="40" t="s">
        <v>11404</v>
      </c>
    </row>
    <row r="19276">
      <c r="A19276" s="39"/>
      <c r="E19276" s="40" t="s">
        <v>11404</v>
      </c>
      <c r="F19276" s="40" t="s">
        <v>11404</v>
      </c>
      <c r="G19276" s="40" t="s">
        <v>11404</v>
      </c>
      <c r="H19276" s="40" t="s">
        <v>11404</v>
      </c>
    </row>
    <row r="19277">
      <c r="A19277" s="39"/>
      <c r="E19277" s="40" t="s">
        <v>11404</v>
      </c>
      <c r="F19277" s="40" t="s">
        <v>11404</v>
      </c>
      <c r="G19277" s="40" t="s">
        <v>11404</v>
      </c>
      <c r="H19277" s="40" t="s">
        <v>11404</v>
      </c>
    </row>
    <row r="19278">
      <c r="A19278" s="39"/>
      <c r="E19278" s="40" t="s">
        <v>11404</v>
      </c>
      <c r="F19278" s="40" t="s">
        <v>11404</v>
      </c>
      <c r="G19278" s="40" t="s">
        <v>11404</v>
      </c>
      <c r="H19278" s="40" t="s">
        <v>11404</v>
      </c>
    </row>
    <row r="19279">
      <c r="A19279" s="39"/>
      <c r="E19279" s="40" t="s">
        <v>11404</v>
      </c>
      <c r="F19279" s="40" t="s">
        <v>11404</v>
      </c>
      <c r="G19279" s="40" t="s">
        <v>11404</v>
      </c>
      <c r="H19279" s="40" t="s">
        <v>11404</v>
      </c>
    </row>
    <row r="19280">
      <c r="A19280" s="39"/>
      <c r="E19280" s="40" t="s">
        <v>11404</v>
      </c>
      <c r="F19280" s="40" t="s">
        <v>11404</v>
      </c>
      <c r="G19280" s="40" t="s">
        <v>11404</v>
      </c>
      <c r="H19280" s="40" t="s">
        <v>11404</v>
      </c>
    </row>
    <row r="19281">
      <c r="A19281" s="39"/>
      <c r="E19281" s="40" t="s">
        <v>11404</v>
      </c>
      <c r="F19281" s="40" t="s">
        <v>11404</v>
      </c>
      <c r="G19281" s="40" t="s">
        <v>11404</v>
      </c>
      <c r="H19281" s="40" t="s">
        <v>11404</v>
      </c>
    </row>
    <row r="19282">
      <c r="A19282" s="39"/>
      <c r="E19282" s="40" t="s">
        <v>11404</v>
      </c>
      <c r="F19282" s="40" t="s">
        <v>11404</v>
      </c>
      <c r="G19282" s="40" t="s">
        <v>11404</v>
      </c>
      <c r="H19282" s="40" t="s">
        <v>11404</v>
      </c>
    </row>
    <row r="19283">
      <c r="A19283" s="39"/>
      <c r="E19283" s="40" t="s">
        <v>11404</v>
      </c>
      <c r="F19283" s="40" t="s">
        <v>11404</v>
      </c>
      <c r="G19283" s="40" t="s">
        <v>11404</v>
      </c>
      <c r="H19283" s="40" t="s">
        <v>11404</v>
      </c>
    </row>
    <row r="19284">
      <c r="A19284" s="39"/>
      <c r="E19284" s="40" t="s">
        <v>11404</v>
      </c>
      <c r="F19284" s="40" t="s">
        <v>11404</v>
      </c>
      <c r="G19284" s="40" t="s">
        <v>11404</v>
      </c>
      <c r="H19284" s="40" t="s">
        <v>11404</v>
      </c>
    </row>
    <row r="19285">
      <c r="A19285" s="39"/>
      <c r="E19285" s="40" t="s">
        <v>11404</v>
      </c>
      <c r="F19285" s="40" t="s">
        <v>11404</v>
      </c>
      <c r="G19285" s="40" t="s">
        <v>11404</v>
      </c>
      <c r="H19285" s="40" t="s">
        <v>11404</v>
      </c>
    </row>
    <row r="19286">
      <c r="A19286" s="39"/>
      <c r="E19286" s="40" t="s">
        <v>11404</v>
      </c>
      <c r="F19286" s="40" t="s">
        <v>11404</v>
      </c>
      <c r="G19286" s="40" t="s">
        <v>11404</v>
      </c>
      <c r="H19286" s="40" t="s">
        <v>11404</v>
      </c>
    </row>
    <row r="19287">
      <c r="A19287" s="39"/>
      <c r="E19287" s="40" t="s">
        <v>11404</v>
      </c>
      <c r="F19287" s="40" t="s">
        <v>11404</v>
      </c>
      <c r="G19287" s="40" t="s">
        <v>11404</v>
      </c>
      <c r="H19287" s="40" t="s">
        <v>11404</v>
      </c>
    </row>
    <row r="19288">
      <c r="A19288" s="39"/>
      <c r="E19288" s="40" t="s">
        <v>11404</v>
      </c>
      <c r="F19288" s="40" t="s">
        <v>11404</v>
      </c>
      <c r="G19288" s="40" t="s">
        <v>11404</v>
      </c>
      <c r="H19288" s="40" t="s">
        <v>11404</v>
      </c>
    </row>
    <row r="19289">
      <c r="A19289" s="39"/>
      <c r="E19289" s="40" t="s">
        <v>11404</v>
      </c>
      <c r="F19289" s="40" t="s">
        <v>11404</v>
      </c>
      <c r="G19289" s="40" t="s">
        <v>11404</v>
      </c>
      <c r="H19289" s="40" t="s">
        <v>11404</v>
      </c>
    </row>
    <row r="19290">
      <c r="A19290" s="39"/>
      <c r="E19290" s="40" t="s">
        <v>11404</v>
      </c>
      <c r="F19290" s="40" t="s">
        <v>11404</v>
      </c>
      <c r="G19290" s="40" t="s">
        <v>11404</v>
      </c>
      <c r="H19290" s="40" t="s">
        <v>11404</v>
      </c>
    </row>
    <row r="19291">
      <c r="A19291" s="39"/>
      <c r="E19291" s="40" t="s">
        <v>11404</v>
      </c>
      <c r="F19291" s="40" t="s">
        <v>11404</v>
      </c>
      <c r="G19291" s="40" t="s">
        <v>11404</v>
      </c>
      <c r="H19291" s="40" t="s">
        <v>11404</v>
      </c>
    </row>
    <row r="19292">
      <c r="A19292" s="39"/>
      <c r="E19292" s="40" t="s">
        <v>11404</v>
      </c>
      <c r="F19292" s="40" t="s">
        <v>11404</v>
      </c>
      <c r="G19292" s="40" t="s">
        <v>11404</v>
      </c>
      <c r="H19292" s="40" t="s">
        <v>11404</v>
      </c>
    </row>
    <row r="19293">
      <c r="A19293" s="39"/>
      <c r="E19293" s="40" t="s">
        <v>11404</v>
      </c>
      <c r="F19293" s="40" t="s">
        <v>11404</v>
      </c>
      <c r="G19293" s="40" t="s">
        <v>11404</v>
      </c>
      <c r="H19293" s="40" t="s">
        <v>11404</v>
      </c>
    </row>
    <row r="19294">
      <c r="A19294" s="39"/>
      <c r="E19294" s="40" t="s">
        <v>11404</v>
      </c>
      <c r="F19294" s="40" t="s">
        <v>11404</v>
      </c>
      <c r="G19294" s="40" t="s">
        <v>11404</v>
      </c>
      <c r="H19294" s="40" t="s">
        <v>11404</v>
      </c>
    </row>
    <row r="19295">
      <c r="A19295" s="39"/>
      <c r="E19295" s="40" t="s">
        <v>11404</v>
      </c>
      <c r="F19295" s="40" t="s">
        <v>11404</v>
      </c>
      <c r="G19295" s="40" t="s">
        <v>11404</v>
      </c>
      <c r="H19295" s="40" t="s">
        <v>11404</v>
      </c>
    </row>
    <row r="19296">
      <c r="A19296" s="39"/>
      <c r="E19296" s="40" t="s">
        <v>11404</v>
      </c>
      <c r="F19296" s="40" t="s">
        <v>11404</v>
      </c>
      <c r="G19296" s="40" t="s">
        <v>11404</v>
      </c>
      <c r="H19296" s="40" t="s">
        <v>11404</v>
      </c>
    </row>
    <row r="19297">
      <c r="A19297" s="39"/>
      <c r="E19297" s="40" t="s">
        <v>11404</v>
      </c>
      <c r="F19297" s="40" t="s">
        <v>11404</v>
      </c>
      <c r="G19297" s="40" t="s">
        <v>11404</v>
      </c>
      <c r="H19297" s="40" t="s">
        <v>11404</v>
      </c>
    </row>
    <row r="19298">
      <c r="A19298" s="39"/>
      <c r="E19298" s="40" t="s">
        <v>11404</v>
      </c>
      <c r="F19298" s="40" t="s">
        <v>11404</v>
      </c>
      <c r="G19298" s="40" t="s">
        <v>11404</v>
      </c>
      <c r="H19298" s="40" t="s">
        <v>11404</v>
      </c>
    </row>
    <row r="19299">
      <c r="A19299" s="39"/>
      <c r="E19299" s="40" t="s">
        <v>11404</v>
      </c>
      <c r="F19299" s="40" t="s">
        <v>11404</v>
      </c>
      <c r="G19299" s="40" t="s">
        <v>11404</v>
      </c>
      <c r="H19299" s="40" t="s">
        <v>11404</v>
      </c>
    </row>
    <row r="19300">
      <c r="A19300" s="39"/>
      <c r="E19300" s="40" t="s">
        <v>11404</v>
      </c>
      <c r="F19300" s="40" t="s">
        <v>11404</v>
      </c>
      <c r="G19300" s="40" t="s">
        <v>11404</v>
      </c>
      <c r="H19300" s="40" t="s">
        <v>11404</v>
      </c>
    </row>
    <row r="19301">
      <c r="A19301" s="39"/>
      <c r="E19301" s="40" t="s">
        <v>11404</v>
      </c>
      <c r="F19301" s="40" t="s">
        <v>11404</v>
      </c>
      <c r="G19301" s="40" t="s">
        <v>11404</v>
      </c>
      <c r="H19301" s="40" t="s">
        <v>11404</v>
      </c>
    </row>
    <row r="19302">
      <c r="A19302" s="39"/>
      <c r="E19302" s="40" t="s">
        <v>11404</v>
      </c>
      <c r="F19302" s="40" t="s">
        <v>11404</v>
      </c>
      <c r="G19302" s="40" t="s">
        <v>11404</v>
      </c>
      <c r="H19302" s="40" t="s">
        <v>11404</v>
      </c>
    </row>
    <row r="19303">
      <c r="A19303" s="39"/>
      <c r="E19303" s="40" t="s">
        <v>11404</v>
      </c>
      <c r="F19303" s="40" t="s">
        <v>11404</v>
      </c>
      <c r="G19303" s="40" t="s">
        <v>11404</v>
      </c>
      <c r="H19303" s="40" t="s">
        <v>11404</v>
      </c>
    </row>
    <row r="19304">
      <c r="A19304" s="39"/>
      <c r="E19304" s="40" t="s">
        <v>11404</v>
      </c>
      <c r="F19304" s="40" t="s">
        <v>11404</v>
      </c>
      <c r="G19304" s="40" t="s">
        <v>11404</v>
      </c>
      <c r="H19304" s="40" t="s">
        <v>11404</v>
      </c>
    </row>
    <row r="19305">
      <c r="A19305" s="39"/>
      <c r="E19305" s="40" t="s">
        <v>11404</v>
      </c>
      <c r="F19305" s="40" t="s">
        <v>11404</v>
      </c>
      <c r="G19305" s="40" t="s">
        <v>11404</v>
      </c>
      <c r="H19305" s="40" t="s">
        <v>11404</v>
      </c>
    </row>
    <row r="19306">
      <c r="A19306" s="39"/>
      <c r="E19306" s="40" t="s">
        <v>11404</v>
      </c>
      <c r="F19306" s="40" t="s">
        <v>11404</v>
      </c>
      <c r="G19306" s="40" t="s">
        <v>11404</v>
      </c>
      <c r="H19306" s="40" t="s">
        <v>11404</v>
      </c>
    </row>
    <row r="19307">
      <c r="A19307" s="39"/>
      <c r="E19307" s="40" t="s">
        <v>11404</v>
      </c>
      <c r="F19307" s="40" t="s">
        <v>11404</v>
      </c>
      <c r="G19307" s="40" t="s">
        <v>11404</v>
      </c>
      <c r="H19307" s="40" t="s">
        <v>11404</v>
      </c>
    </row>
    <row r="19308">
      <c r="A19308" s="39"/>
      <c r="E19308" s="40" t="s">
        <v>11404</v>
      </c>
      <c r="F19308" s="40" t="s">
        <v>11404</v>
      </c>
      <c r="G19308" s="40" t="s">
        <v>11404</v>
      </c>
      <c r="H19308" s="40" t="s">
        <v>11404</v>
      </c>
    </row>
    <row r="19309">
      <c r="A19309" s="39"/>
      <c r="E19309" s="40" t="s">
        <v>11404</v>
      </c>
      <c r="F19309" s="40" t="s">
        <v>11404</v>
      </c>
      <c r="G19309" s="40" t="s">
        <v>11404</v>
      </c>
      <c r="H19309" s="40" t="s">
        <v>11404</v>
      </c>
    </row>
    <row r="19310">
      <c r="A19310" s="39"/>
      <c r="E19310" s="40" t="s">
        <v>11404</v>
      </c>
      <c r="F19310" s="40" t="s">
        <v>11404</v>
      </c>
      <c r="G19310" s="40" t="s">
        <v>11404</v>
      </c>
      <c r="H19310" s="40" t="s">
        <v>11404</v>
      </c>
    </row>
    <row r="19311">
      <c r="A19311" s="39"/>
      <c r="E19311" s="40" t="s">
        <v>11404</v>
      </c>
      <c r="F19311" s="40" t="s">
        <v>11404</v>
      </c>
      <c r="G19311" s="40" t="s">
        <v>11404</v>
      </c>
      <c r="H19311" s="40" t="s">
        <v>11404</v>
      </c>
    </row>
    <row r="19312">
      <c r="A19312" s="39"/>
      <c r="E19312" s="40" t="s">
        <v>11404</v>
      </c>
      <c r="F19312" s="40" t="s">
        <v>11404</v>
      </c>
      <c r="G19312" s="40" t="s">
        <v>11404</v>
      </c>
      <c r="H19312" s="40" t="s">
        <v>11404</v>
      </c>
    </row>
    <row r="19313">
      <c r="A19313" s="39"/>
      <c r="E19313" s="40" t="s">
        <v>11404</v>
      </c>
      <c r="F19313" s="40" t="s">
        <v>11404</v>
      </c>
      <c r="G19313" s="40" t="s">
        <v>11404</v>
      </c>
      <c r="H19313" s="40" t="s">
        <v>11404</v>
      </c>
    </row>
    <row r="19314">
      <c r="A19314" s="39"/>
      <c r="E19314" s="40" t="s">
        <v>11404</v>
      </c>
      <c r="F19314" s="40" t="s">
        <v>11404</v>
      </c>
      <c r="G19314" s="40" t="s">
        <v>11404</v>
      </c>
      <c r="H19314" s="40" t="s">
        <v>11404</v>
      </c>
    </row>
    <row r="19315">
      <c r="A19315" s="39"/>
      <c r="E19315" s="40" t="s">
        <v>11404</v>
      </c>
      <c r="F19315" s="40" t="s">
        <v>11404</v>
      </c>
      <c r="G19315" s="40" t="s">
        <v>11404</v>
      </c>
      <c r="H19315" s="40" t="s">
        <v>11404</v>
      </c>
    </row>
    <row r="19316">
      <c r="A19316" s="39"/>
      <c r="E19316" s="40" t="s">
        <v>11404</v>
      </c>
      <c r="F19316" s="40" t="s">
        <v>11404</v>
      </c>
      <c r="G19316" s="40" t="s">
        <v>11404</v>
      </c>
      <c r="H19316" s="40" t="s">
        <v>11404</v>
      </c>
    </row>
    <row r="19317">
      <c r="A19317" s="39"/>
      <c r="E19317" s="40" t="s">
        <v>11404</v>
      </c>
      <c r="F19317" s="40" t="s">
        <v>11404</v>
      </c>
      <c r="G19317" s="40" t="s">
        <v>11404</v>
      </c>
      <c r="H19317" s="40" t="s">
        <v>11404</v>
      </c>
    </row>
    <row r="19318">
      <c r="A19318" s="39"/>
      <c r="E19318" s="40" t="s">
        <v>11404</v>
      </c>
      <c r="F19318" s="40" t="s">
        <v>11404</v>
      </c>
      <c r="G19318" s="40" t="s">
        <v>11404</v>
      </c>
      <c r="H19318" s="40" t="s">
        <v>11404</v>
      </c>
    </row>
    <row r="19319">
      <c r="A19319" s="39"/>
      <c r="E19319" s="40" t="s">
        <v>11404</v>
      </c>
      <c r="F19319" s="40" t="s">
        <v>11404</v>
      </c>
      <c r="G19319" s="40" t="s">
        <v>11404</v>
      </c>
      <c r="H19319" s="40" t="s">
        <v>11404</v>
      </c>
    </row>
    <row r="19320">
      <c r="A19320" s="39"/>
      <c r="E19320" s="40" t="s">
        <v>11404</v>
      </c>
      <c r="F19320" s="40" t="s">
        <v>11404</v>
      </c>
      <c r="G19320" s="40" t="s">
        <v>11404</v>
      </c>
      <c r="H19320" s="40" t="s">
        <v>11404</v>
      </c>
    </row>
    <row r="19321">
      <c r="A19321" s="39"/>
      <c r="E19321" s="40" t="s">
        <v>11404</v>
      </c>
      <c r="F19321" s="40" t="s">
        <v>11404</v>
      </c>
      <c r="G19321" s="40" t="s">
        <v>11404</v>
      </c>
      <c r="H19321" s="40" t="s">
        <v>11404</v>
      </c>
    </row>
    <row r="19322">
      <c r="A19322" s="39"/>
      <c r="E19322" s="40" t="s">
        <v>11404</v>
      </c>
      <c r="F19322" s="40" t="s">
        <v>11404</v>
      </c>
      <c r="G19322" s="40" t="s">
        <v>11404</v>
      </c>
      <c r="H19322" s="40" t="s">
        <v>11404</v>
      </c>
    </row>
    <row r="19323">
      <c r="A19323" s="39"/>
      <c r="E19323" s="40" t="s">
        <v>11404</v>
      </c>
      <c r="F19323" s="40" t="s">
        <v>11404</v>
      </c>
      <c r="G19323" s="40" t="s">
        <v>11404</v>
      </c>
      <c r="H19323" s="40" t="s">
        <v>11404</v>
      </c>
    </row>
    <row r="19324">
      <c r="A19324" s="39"/>
      <c r="E19324" s="40" t="s">
        <v>11404</v>
      </c>
      <c r="F19324" s="40" t="s">
        <v>11404</v>
      </c>
      <c r="G19324" s="40" t="s">
        <v>11404</v>
      </c>
      <c r="H19324" s="40" t="s">
        <v>11404</v>
      </c>
    </row>
    <row r="19325">
      <c r="A19325" s="39"/>
      <c r="E19325" s="40" t="s">
        <v>11404</v>
      </c>
      <c r="F19325" s="40" t="s">
        <v>11404</v>
      </c>
      <c r="G19325" s="40" t="s">
        <v>11404</v>
      </c>
      <c r="H19325" s="40" t="s">
        <v>11404</v>
      </c>
    </row>
    <row r="19326">
      <c r="A19326" s="39"/>
      <c r="E19326" s="40" t="s">
        <v>11404</v>
      </c>
      <c r="F19326" s="40" t="s">
        <v>11404</v>
      </c>
      <c r="G19326" s="40" t="s">
        <v>11404</v>
      </c>
      <c r="H19326" s="40" t="s">
        <v>11404</v>
      </c>
    </row>
    <row r="19327">
      <c r="A19327" s="39"/>
      <c r="E19327" s="40" t="s">
        <v>11404</v>
      </c>
      <c r="F19327" s="40" t="s">
        <v>11404</v>
      </c>
      <c r="G19327" s="40" t="s">
        <v>11404</v>
      </c>
      <c r="H19327" s="40" t="s">
        <v>11404</v>
      </c>
    </row>
    <row r="19328">
      <c r="A19328" s="39"/>
      <c r="E19328" s="40" t="s">
        <v>11404</v>
      </c>
      <c r="F19328" s="40" t="s">
        <v>11404</v>
      </c>
      <c r="G19328" s="40" t="s">
        <v>11404</v>
      </c>
      <c r="H19328" s="40" t="s">
        <v>11404</v>
      </c>
    </row>
    <row r="19329">
      <c r="A19329" s="39"/>
      <c r="E19329" s="40" t="s">
        <v>11404</v>
      </c>
      <c r="F19329" s="40" t="s">
        <v>11404</v>
      </c>
      <c r="G19329" s="40" t="s">
        <v>11404</v>
      </c>
      <c r="H19329" s="40" t="s">
        <v>11404</v>
      </c>
    </row>
    <row r="19330">
      <c r="A19330" s="39"/>
      <c r="E19330" s="40" t="s">
        <v>11404</v>
      </c>
      <c r="F19330" s="40" t="s">
        <v>11404</v>
      </c>
      <c r="G19330" s="40" t="s">
        <v>11404</v>
      </c>
      <c r="H19330" s="40" t="s">
        <v>11404</v>
      </c>
    </row>
    <row r="19331">
      <c r="A19331" s="39"/>
      <c r="E19331" s="40" t="s">
        <v>11404</v>
      </c>
      <c r="F19331" s="40" t="s">
        <v>11404</v>
      </c>
      <c r="G19331" s="40" t="s">
        <v>11404</v>
      </c>
      <c r="H19331" s="40" t="s">
        <v>11404</v>
      </c>
    </row>
    <row r="19332">
      <c r="A19332" s="39"/>
      <c r="E19332" s="40" t="s">
        <v>11404</v>
      </c>
      <c r="F19332" s="40" t="s">
        <v>11404</v>
      </c>
      <c r="G19332" s="40" t="s">
        <v>11404</v>
      </c>
      <c r="H19332" s="40" t="s">
        <v>11404</v>
      </c>
    </row>
    <row r="19333">
      <c r="A19333" s="39"/>
      <c r="E19333" s="40" t="s">
        <v>11404</v>
      </c>
      <c r="F19333" s="40" t="s">
        <v>11404</v>
      </c>
      <c r="G19333" s="40" t="s">
        <v>11404</v>
      </c>
      <c r="H19333" s="40" t="s">
        <v>11404</v>
      </c>
    </row>
    <row r="19334">
      <c r="A19334" s="39"/>
      <c r="E19334" s="40" t="s">
        <v>11404</v>
      </c>
      <c r="F19334" s="40" t="s">
        <v>11404</v>
      </c>
      <c r="G19334" s="40" t="s">
        <v>11404</v>
      </c>
      <c r="H19334" s="40" t="s">
        <v>11404</v>
      </c>
    </row>
    <row r="19335">
      <c r="A19335" s="39"/>
      <c r="E19335" s="40" t="s">
        <v>11404</v>
      </c>
      <c r="F19335" s="40" t="s">
        <v>11404</v>
      </c>
      <c r="G19335" s="40" t="s">
        <v>11404</v>
      </c>
      <c r="H19335" s="40" t="s">
        <v>11404</v>
      </c>
    </row>
    <row r="19336">
      <c r="A19336" s="39"/>
      <c r="E19336" s="40" t="s">
        <v>11404</v>
      </c>
      <c r="F19336" s="40" t="s">
        <v>11404</v>
      </c>
      <c r="G19336" s="40" t="s">
        <v>11404</v>
      </c>
      <c r="H19336" s="40" t="s">
        <v>11404</v>
      </c>
    </row>
    <row r="19337">
      <c r="A19337" s="39"/>
      <c r="E19337" s="40" t="s">
        <v>11404</v>
      </c>
      <c r="F19337" s="40" t="s">
        <v>11404</v>
      </c>
      <c r="G19337" s="40" t="s">
        <v>11404</v>
      </c>
      <c r="H19337" s="40" t="s">
        <v>11404</v>
      </c>
    </row>
    <row r="19338">
      <c r="A19338" s="39"/>
      <c r="E19338" s="40" t="s">
        <v>11404</v>
      </c>
      <c r="F19338" s="40" t="s">
        <v>11404</v>
      </c>
      <c r="G19338" s="40" t="s">
        <v>11404</v>
      </c>
      <c r="H19338" s="40" t="s">
        <v>11404</v>
      </c>
    </row>
    <row r="19339">
      <c r="A19339" s="39"/>
      <c r="E19339" s="40" t="s">
        <v>11404</v>
      </c>
      <c r="F19339" s="40" t="s">
        <v>11404</v>
      </c>
      <c r="G19339" s="40" t="s">
        <v>11404</v>
      </c>
      <c r="H19339" s="40" t="s">
        <v>11404</v>
      </c>
    </row>
    <row r="19340">
      <c r="A19340" s="39"/>
      <c r="E19340" s="40" t="s">
        <v>11404</v>
      </c>
      <c r="F19340" s="40" t="s">
        <v>11404</v>
      </c>
      <c r="G19340" s="40" t="s">
        <v>11404</v>
      </c>
      <c r="H19340" s="40" t="s">
        <v>11404</v>
      </c>
    </row>
    <row r="19341">
      <c r="A19341" s="39"/>
      <c r="E19341" s="40" t="s">
        <v>11404</v>
      </c>
      <c r="F19341" s="40" t="s">
        <v>11404</v>
      </c>
      <c r="G19341" s="40" t="s">
        <v>11404</v>
      </c>
      <c r="H19341" s="40" t="s">
        <v>11404</v>
      </c>
    </row>
    <row r="19342">
      <c r="A19342" s="39"/>
      <c r="E19342" s="40" t="s">
        <v>11404</v>
      </c>
      <c r="F19342" s="40" t="s">
        <v>11404</v>
      </c>
      <c r="G19342" s="40" t="s">
        <v>11404</v>
      </c>
      <c r="H19342" s="40" t="s">
        <v>11404</v>
      </c>
    </row>
    <row r="19343">
      <c r="A19343" s="39"/>
      <c r="E19343" s="40" t="s">
        <v>11404</v>
      </c>
      <c r="F19343" s="40" t="s">
        <v>11404</v>
      </c>
      <c r="G19343" s="40" t="s">
        <v>11404</v>
      </c>
      <c r="H19343" s="40" t="s">
        <v>11404</v>
      </c>
    </row>
    <row r="19344">
      <c r="A19344" s="39"/>
      <c r="E19344" s="40" t="s">
        <v>11404</v>
      </c>
      <c r="F19344" s="40" t="s">
        <v>11404</v>
      </c>
      <c r="G19344" s="40" t="s">
        <v>11404</v>
      </c>
      <c r="H19344" s="40" t="s">
        <v>11404</v>
      </c>
    </row>
    <row r="19345">
      <c r="A19345" s="39"/>
      <c r="E19345" s="40" t="s">
        <v>11404</v>
      </c>
      <c r="F19345" s="40" t="s">
        <v>11404</v>
      </c>
      <c r="G19345" s="40" t="s">
        <v>11404</v>
      </c>
      <c r="H19345" s="40" t="s">
        <v>11404</v>
      </c>
    </row>
    <row r="19346">
      <c r="A19346" s="39"/>
      <c r="E19346" s="40" t="s">
        <v>11404</v>
      </c>
      <c r="F19346" s="40" t="s">
        <v>11404</v>
      </c>
      <c r="G19346" s="40" t="s">
        <v>11404</v>
      </c>
      <c r="H19346" s="40" t="s">
        <v>11404</v>
      </c>
    </row>
    <row r="19347">
      <c r="A19347" s="39"/>
      <c r="E19347" s="40" t="s">
        <v>11404</v>
      </c>
      <c r="F19347" s="40" t="s">
        <v>11404</v>
      </c>
      <c r="G19347" s="40" t="s">
        <v>11404</v>
      </c>
      <c r="H19347" s="40" t="s">
        <v>11404</v>
      </c>
    </row>
    <row r="19348">
      <c r="A19348" s="39"/>
      <c r="E19348" s="40" t="s">
        <v>11404</v>
      </c>
      <c r="F19348" s="40" t="s">
        <v>11404</v>
      </c>
      <c r="G19348" s="40" t="s">
        <v>11404</v>
      </c>
      <c r="H19348" s="40" t="s">
        <v>11404</v>
      </c>
    </row>
    <row r="19349">
      <c r="A19349" s="39"/>
      <c r="E19349" s="40" t="s">
        <v>11404</v>
      </c>
      <c r="F19349" s="40" t="s">
        <v>11404</v>
      </c>
      <c r="G19349" s="40" t="s">
        <v>11404</v>
      </c>
      <c r="H19349" s="40" t="s">
        <v>11404</v>
      </c>
    </row>
    <row r="19350">
      <c r="A19350" s="39"/>
      <c r="E19350" s="40" t="s">
        <v>11404</v>
      </c>
      <c r="F19350" s="40" t="s">
        <v>11404</v>
      </c>
      <c r="G19350" s="40" t="s">
        <v>11404</v>
      </c>
      <c r="H19350" s="40" t="s">
        <v>11404</v>
      </c>
    </row>
    <row r="19351">
      <c r="A19351" s="39"/>
      <c r="E19351" s="40" t="s">
        <v>11404</v>
      </c>
      <c r="F19351" s="40" t="s">
        <v>11404</v>
      </c>
      <c r="G19351" s="40" t="s">
        <v>11404</v>
      </c>
      <c r="H19351" s="40" t="s">
        <v>11404</v>
      </c>
    </row>
    <row r="19352">
      <c r="A19352" s="39"/>
      <c r="E19352" s="40" t="s">
        <v>11404</v>
      </c>
      <c r="F19352" s="40" t="s">
        <v>11404</v>
      </c>
      <c r="G19352" s="40" t="s">
        <v>11404</v>
      </c>
      <c r="H19352" s="40" t="s">
        <v>11404</v>
      </c>
    </row>
    <row r="19353">
      <c r="A19353" s="39"/>
      <c r="E19353" s="40" t="s">
        <v>11404</v>
      </c>
      <c r="F19353" s="40" t="s">
        <v>11404</v>
      </c>
      <c r="G19353" s="40" t="s">
        <v>11404</v>
      </c>
      <c r="H19353" s="40" t="s">
        <v>11404</v>
      </c>
    </row>
    <row r="19354">
      <c r="A19354" s="39"/>
      <c r="E19354" s="40" t="s">
        <v>11404</v>
      </c>
      <c r="F19354" s="40" t="s">
        <v>11404</v>
      </c>
      <c r="G19354" s="40" t="s">
        <v>11404</v>
      </c>
      <c r="H19354" s="40" t="s">
        <v>11404</v>
      </c>
    </row>
    <row r="19355">
      <c r="A19355" s="39"/>
      <c r="E19355" s="40" t="s">
        <v>11404</v>
      </c>
      <c r="F19355" s="40" t="s">
        <v>11404</v>
      </c>
      <c r="G19355" s="40" t="s">
        <v>11404</v>
      </c>
      <c r="H19355" s="40" t="s">
        <v>11404</v>
      </c>
    </row>
    <row r="19356">
      <c r="A19356" s="39"/>
      <c r="E19356" s="40" t="s">
        <v>11404</v>
      </c>
      <c r="F19356" s="40" t="s">
        <v>11404</v>
      </c>
      <c r="G19356" s="40" t="s">
        <v>11404</v>
      </c>
      <c r="H19356" s="40" t="s">
        <v>11404</v>
      </c>
    </row>
    <row r="19357">
      <c r="A19357" s="39"/>
      <c r="E19357" s="40" t="s">
        <v>11404</v>
      </c>
      <c r="F19357" s="40" t="s">
        <v>11404</v>
      </c>
      <c r="G19357" s="40" t="s">
        <v>11404</v>
      </c>
      <c r="H19357" s="40" t="s">
        <v>11404</v>
      </c>
    </row>
    <row r="19358">
      <c r="A19358" s="39"/>
      <c r="E19358" s="40" t="s">
        <v>11404</v>
      </c>
      <c r="F19358" s="40" t="s">
        <v>11404</v>
      </c>
      <c r="G19358" s="40" t="s">
        <v>11404</v>
      </c>
      <c r="H19358" s="40" t="s">
        <v>11404</v>
      </c>
    </row>
    <row r="19359">
      <c r="A19359" s="39"/>
      <c r="E19359" s="40" t="s">
        <v>11404</v>
      </c>
      <c r="F19359" s="40" t="s">
        <v>11404</v>
      </c>
      <c r="G19359" s="40" t="s">
        <v>11404</v>
      </c>
      <c r="H19359" s="40" t="s">
        <v>11404</v>
      </c>
    </row>
    <row r="19360">
      <c r="A19360" s="39"/>
      <c r="E19360" s="40" t="s">
        <v>11404</v>
      </c>
      <c r="F19360" s="40" t="s">
        <v>11404</v>
      </c>
      <c r="G19360" s="40" t="s">
        <v>11404</v>
      </c>
      <c r="H19360" s="40" t="s">
        <v>11404</v>
      </c>
    </row>
    <row r="19361">
      <c r="A19361" s="39"/>
      <c r="E19361" s="40" t="s">
        <v>11404</v>
      </c>
      <c r="F19361" s="40" t="s">
        <v>11404</v>
      </c>
      <c r="G19361" s="40" t="s">
        <v>11404</v>
      </c>
      <c r="H19361" s="40" t="s">
        <v>11404</v>
      </c>
    </row>
    <row r="19362">
      <c r="A19362" s="39"/>
      <c r="E19362" s="40" t="s">
        <v>11404</v>
      </c>
      <c r="F19362" s="40" t="s">
        <v>11404</v>
      </c>
      <c r="G19362" s="40" t="s">
        <v>11404</v>
      </c>
      <c r="H19362" s="40" t="s">
        <v>11404</v>
      </c>
    </row>
    <row r="19363">
      <c r="A19363" s="39"/>
      <c r="E19363" s="40" t="s">
        <v>11404</v>
      </c>
      <c r="F19363" s="40" t="s">
        <v>11404</v>
      </c>
      <c r="G19363" s="40" t="s">
        <v>11404</v>
      </c>
      <c r="H19363" s="40" t="s">
        <v>11404</v>
      </c>
    </row>
    <row r="19364">
      <c r="A19364" s="39"/>
      <c r="E19364" s="40" t="s">
        <v>11404</v>
      </c>
      <c r="F19364" s="40" t="s">
        <v>11404</v>
      </c>
      <c r="G19364" s="40" t="s">
        <v>11404</v>
      </c>
      <c r="H19364" s="40" t="s">
        <v>11404</v>
      </c>
    </row>
    <row r="19365">
      <c r="A19365" s="39"/>
      <c r="E19365" s="40" t="s">
        <v>11404</v>
      </c>
      <c r="F19365" s="40" t="s">
        <v>11404</v>
      </c>
      <c r="G19365" s="40" t="s">
        <v>11404</v>
      </c>
      <c r="H19365" s="40" t="s">
        <v>11404</v>
      </c>
    </row>
    <row r="19366">
      <c r="A19366" s="39"/>
      <c r="E19366" s="40" t="s">
        <v>11404</v>
      </c>
      <c r="F19366" s="40" t="s">
        <v>11404</v>
      </c>
      <c r="G19366" s="40" t="s">
        <v>11404</v>
      </c>
      <c r="H19366" s="40" t="s">
        <v>11404</v>
      </c>
    </row>
    <row r="19367">
      <c r="A19367" s="39"/>
      <c r="E19367" s="40" t="s">
        <v>11404</v>
      </c>
      <c r="F19367" s="40" t="s">
        <v>11404</v>
      </c>
      <c r="G19367" s="40" t="s">
        <v>11404</v>
      </c>
      <c r="H19367" s="40" t="s">
        <v>11404</v>
      </c>
    </row>
    <row r="19368">
      <c r="A19368" s="39"/>
      <c r="E19368" s="40" t="s">
        <v>11404</v>
      </c>
      <c r="F19368" s="40" t="s">
        <v>11404</v>
      </c>
      <c r="G19368" s="40" t="s">
        <v>11404</v>
      </c>
      <c r="H19368" s="40" t="s">
        <v>11404</v>
      </c>
    </row>
    <row r="19369">
      <c r="A19369" s="39"/>
      <c r="E19369" s="40" t="s">
        <v>11404</v>
      </c>
      <c r="F19369" s="40" t="s">
        <v>11404</v>
      </c>
      <c r="G19369" s="40" t="s">
        <v>11404</v>
      </c>
      <c r="H19369" s="40" t="s">
        <v>11404</v>
      </c>
    </row>
    <row r="19370">
      <c r="A19370" s="39"/>
      <c r="E19370" s="40" t="s">
        <v>11404</v>
      </c>
      <c r="F19370" s="40" t="s">
        <v>11404</v>
      </c>
      <c r="G19370" s="40" t="s">
        <v>11404</v>
      </c>
      <c r="H19370" s="40" t="s">
        <v>11404</v>
      </c>
    </row>
    <row r="19371">
      <c r="A19371" s="39"/>
      <c r="E19371" s="40" t="s">
        <v>11404</v>
      </c>
      <c r="F19371" s="40" t="s">
        <v>11404</v>
      </c>
      <c r="G19371" s="40" t="s">
        <v>11404</v>
      </c>
      <c r="H19371" s="40" t="s">
        <v>11404</v>
      </c>
    </row>
    <row r="19372">
      <c r="A19372" s="39"/>
      <c r="E19372" s="40" t="s">
        <v>11404</v>
      </c>
      <c r="F19372" s="40" t="s">
        <v>11404</v>
      </c>
      <c r="G19372" s="40" t="s">
        <v>11404</v>
      </c>
      <c r="H19372" s="40" t="s">
        <v>11404</v>
      </c>
    </row>
    <row r="19373">
      <c r="A19373" s="39"/>
      <c r="E19373" s="40" t="s">
        <v>11404</v>
      </c>
      <c r="F19373" s="40" t="s">
        <v>11404</v>
      </c>
      <c r="G19373" s="40" t="s">
        <v>11404</v>
      </c>
      <c r="H19373" s="40" t="s">
        <v>11404</v>
      </c>
    </row>
    <row r="19374">
      <c r="A19374" s="39"/>
      <c r="E19374" s="40" t="s">
        <v>11404</v>
      </c>
      <c r="F19374" s="40" t="s">
        <v>11404</v>
      </c>
      <c r="G19374" s="40" t="s">
        <v>11404</v>
      </c>
      <c r="H19374" s="40" t="s">
        <v>11404</v>
      </c>
    </row>
    <row r="19375">
      <c r="A19375" s="39"/>
      <c r="E19375" s="40" t="s">
        <v>11404</v>
      </c>
      <c r="F19375" s="40" t="s">
        <v>11404</v>
      </c>
      <c r="G19375" s="40" t="s">
        <v>11404</v>
      </c>
      <c r="H19375" s="40" t="s">
        <v>11404</v>
      </c>
    </row>
    <row r="19376">
      <c r="A19376" s="39"/>
      <c r="E19376" s="40" t="s">
        <v>11404</v>
      </c>
      <c r="F19376" s="40" t="s">
        <v>11404</v>
      </c>
      <c r="G19376" s="40" t="s">
        <v>11404</v>
      </c>
      <c r="H19376" s="40" t="s">
        <v>11404</v>
      </c>
    </row>
    <row r="19377">
      <c r="A19377" s="39"/>
      <c r="E19377" s="40" t="s">
        <v>11404</v>
      </c>
      <c r="F19377" s="40" t="s">
        <v>11404</v>
      </c>
      <c r="G19377" s="40" t="s">
        <v>11404</v>
      </c>
      <c r="H19377" s="40" t="s">
        <v>11404</v>
      </c>
    </row>
    <row r="19378">
      <c r="A19378" s="39"/>
      <c r="E19378" s="40" t="s">
        <v>11404</v>
      </c>
      <c r="F19378" s="40" t="s">
        <v>11404</v>
      </c>
      <c r="G19378" s="40" t="s">
        <v>11404</v>
      </c>
      <c r="H19378" s="40" t="s">
        <v>11404</v>
      </c>
    </row>
    <row r="19379">
      <c r="A19379" s="39"/>
      <c r="E19379" s="40" t="s">
        <v>11404</v>
      </c>
      <c r="F19379" s="40" t="s">
        <v>11404</v>
      </c>
      <c r="G19379" s="40" t="s">
        <v>11404</v>
      </c>
      <c r="H19379" s="40" t="s">
        <v>11404</v>
      </c>
    </row>
    <row r="19380">
      <c r="A19380" s="39"/>
      <c r="E19380" s="40" t="s">
        <v>11404</v>
      </c>
      <c r="F19380" s="40" t="s">
        <v>11404</v>
      </c>
      <c r="G19380" s="40" t="s">
        <v>11404</v>
      </c>
      <c r="H19380" s="40" t="s">
        <v>11404</v>
      </c>
    </row>
    <row r="19381">
      <c r="A19381" s="39"/>
      <c r="E19381" s="40" t="s">
        <v>11404</v>
      </c>
      <c r="F19381" s="40" t="s">
        <v>11404</v>
      </c>
      <c r="G19381" s="40" t="s">
        <v>11404</v>
      </c>
      <c r="H19381" s="40" t="s">
        <v>11404</v>
      </c>
    </row>
    <row r="19382">
      <c r="A19382" s="39"/>
      <c r="E19382" s="40" t="s">
        <v>11404</v>
      </c>
      <c r="F19382" s="40" t="s">
        <v>11404</v>
      </c>
      <c r="G19382" s="40" t="s">
        <v>11404</v>
      </c>
      <c r="H19382" s="40" t="s">
        <v>11404</v>
      </c>
    </row>
    <row r="19383">
      <c r="A19383" s="39"/>
      <c r="E19383" s="40" t="s">
        <v>11404</v>
      </c>
      <c r="F19383" s="40" t="s">
        <v>11404</v>
      </c>
      <c r="G19383" s="40" t="s">
        <v>11404</v>
      </c>
      <c r="H19383" s="40" t="s">
        <v>11404</v>
      </c>
    </row>
    <row r="19384">
      <c r="A19384" s="39"/>
      <c r="E19384" s="40" t="s">
        <v>11404</v>
      </c>
      <c r="F19384" s="40" t="s">
        <v>11404</v>
      </c>
      <c r="G19384" s="40" t="s">
        <v>11404</v>
      </c>
      <c r="H19384" s="40" t="s">
        <v>11404</v>
      </c>
    </row>
    <row r="19385">
      <c r="A19385" s="39"/>
      <c r="E19385" s="40" t="s">
        <v>11404</v>
      </c>
      <c r="F19385" s="40" t="s">
        <v>11404</v>
      </c>
      <c r="G19385" s="40" t="s">
        <v>11404</v>
      </c>
      <c r="H19385" s="40" t="s">
        <v>11404</v>
      </c>
    </row>
    <row r="19386">
      <c r="A19386" s="39"/>
      <c r="E19386" s="40" t="s">
        <v>11404</v>
      </c>
      <c r="F19386" s="40" t="s">
        <v>11404</v>
      </c>
      <c r="G19386" s="40" t="s">
        <v>11404</v>
      </c>
      <c r="H19386" s="40" t="s">
        <v>11404</v>
      </c>
    </row>
    <row r="19387">
      <c r="A19387" s="39"/>
      <c r="E19387" s="40" t="s">
        <v>11404</v>
      </c>
      <c r="F19387" s="40" t="s">
        <v>11404</v>
      </c>
      <c r="G19387" s="40" t="s">
        <v>11404</v>
      </c>
      <c r="H19387" s="40" t="s">
        <v>11404</v>
      </c>
    </row>
    <row r="19388">
      <c r="A19388" s="39"/>
      <c r="E19388" s="40" t="s">
        <v>11404</v>
      </c>
      <c r="F19388" s="40" t="s">
        <v>11404</v>
      </c>
      <c r="G19388" s="40" t="s">
        <v>11404</v>
      </c>
      <c r="H19388" s="40" t="s">
        <v>11404</v>
      </c>
    </row>
    <row r="19389">
      <c r="A19389" s="39"/>
      <c r="E19389" s="40" t="s">
        <v>11404</v>
      </c>
      <c r="F19389" s="40" t="s">
        <v>11404</v>
      </c>
      <c r="G19389" s="40" t="s">
        <v>11404</v>
      </c>
      <c r="H19389" s="40" t="s">
        <v>11404</v>
      </c>
    </row>
    <row r="19390">
      <c r="A19390" s="39"/>
      <c r="E19390" s="40" t="s">
        <v>11404</v>
      </c>
      <c r="F19390" s="40" t="s">
        <v>11404</v>
      </c>
      <c r="G19390" s="40" t="s">
        <v>11404</v>
      </c>
      <c r="H19390" s="40" t="s">
        <v>11404</v>
      </c>
    </row>
    <row r="19391">
      <c r="A19391" s="39"/>
      <c r="E19391" s="40" t="s">
        <v>11404</v>
      </c>
      <c r="F19391" s="40" t="s">
        <v>11404</v>
      </c>
      <c r="G19391" s="40" t="s">
        <v>11404</v>
      </c>
      <c r="H19391" s="40" t="s">
        <v>11404</v>
      </c>
    </row>
    <row r="19392">
      <c r="A19392" s="39"/>
      <c r="E19392" s="40" t="s">
        <v>11404</v>
      </c>
      <c r="F19392" s="40" t="s">
        <v>11404</v>
      </c>
      <c r="G19392" s="40" t="s">
        <v>11404</v>
      </c>
      <c r="H19392" s="40" t="s">
        <v>11404</v>
      </c>
    </row>
    <row r="19393">
      <c r="A19393" s="39"/>
      <c r="E19393" s="40" t="s">
        <v>11404</v>
      </c>
      <c r="F19393" s="40" t="s">
        <v>11404</v>
      </c>
      <c r="G19393" s="40" t="s">
        <v>11404</v>
      </c>
      <c r="H19393" s="40" t="s">
        <v>11404</v>
      </c>
    </row>
    <row r="19394">
      <c r="A19394" s="39"/>
      <c r="E19394" s="40" t="s">
        <v>11404</v>
      </c>
      <c r="F19394" s="40" t="s">
        <v>11404</v>
      </c>
      <c r="G19394" s="40" t="s">
        <v>11404</v>
      </c>
      <c r="H19394" s="40" t="s">
        <v>11404</v>
      </c>
    </row>
    <row r="19395">
      <c r="A19395" s="39"/>
      <c r="E19395" s="40" t="s">
        <v>11404</v>
      </c>
      <c r="F19395" s="40" t="s">
        <v>11404</v>
      </c>
      <c r="G19395" s="40" t="s">
        <v>11404</v>
      </c>
      <c r="H19395" s="40" t="s">
        <v>11404</v>
      </c>
    </row>
    <row r="19396">
      <c r="A19396" s="39"/>
      <c r="E19396" s="40" t="s">
        <v>11404</v>
      </c>
      <c r="F19396" s="40" t="s">
        <v>11404</v>
      </c>
      <c r="G19396" s="40" t="s">
        <v>11404</v>
      </c>
      <c r="H19396" s="40" t="s">
        <v>11404</v>
      </c>
    </row>
    <row r="19397">
      <c r="A19397" s="39"/>
      <c r="E19397" s="40" t="s">
        <v>11404</v>
      </c>
      <c r="F19397" s="40" t="s">
        <v>11404</v>
      </c>
      <c r="G19397" s="40" t="s">
        <v>11404</v>
      </c>
      <c r="H19397" s="40" t="s">
        <v>11404</v>
      </c>
    </row>
    <row r="19398">
      <c r="A19398" s="39"/>
      <c r="E19398" s="40" t="s">
        <v>11404</v>
      </c>
      <c r="F19398" s="40" t="s">
        <v>11404</v>
      </c>
      <c r="G19398" s="40" t="s">
        <v>11404</v>
      </c>
      <c r="H19398" s="40" t="s">
        <v>11404</v>
      </c>
    </row>
    <row r="19399">
      <c r="A19399" s="39"/>
      <c r="E19399" s="40" t="s">
        <v>11404</v>
      </c>
      <c r="F19399" s="40" t="s">
        <v>11404</v>
      </c>
      <c r="G19399" s="40" t="s">
        <v>11404</v>
      </c>
      <c r="H19399" s="40" t="s">
        <v>11404</v>
      </c>
    </row>
    <row r="19400">
      <c r="A19400" s="39"/>
      <c r="E19400" s="40" t="s">
        <v>11404</v>
      </c>
      <c r="F19400" s="40" t="s">
        <v>11404</v>
      </c>
      <c r="G19400" s="40" t="s">
        <v>11404</v>
      </c>
      <c r="H19400" s="40" t="s">
        <v>11404</v>
      </c>
    </row>
    <row r="19401">
      <c r="A19401" s="39"/>
      <c r="E19401" s="40" t="s">
        <v>11404</v>
      </c>
      <c r="F19401" s="40" t="s">
        <v>11404</v>
      </c>
      <c r="G19401" s="40" t="s">
        <v>11404</v>
      </c>
      <c r="H19401" s="40" t="s">
        <v>11404</v>
      </c>
    </row>
    <row r="19402">
      <c r="A19402" s="39"/>
      <c r="E19402" s="40" t="s">
        <v>11404</v>
      </c>
      <c r="F19402" s="40" t="s">
        <v>11404</v>
      </c>
      <c r="G19402" s="40" t="s">
        <v>11404</v>
      </c>
      <c r="H19402" s="40" t="s">
        <v>11404</v>
      </c>
    </row>
    <row r="19403">
      <c r="A19403" s="39"/>
      <c r="E19403" s="40" t="s">
        <v>11404</v>
      </c>
      <c r="F19403" s="40" t="s">
        <v>11404</v>
      </c>
      <c r="G19403" s="40" t="s">
        <v>11404</v>
      </c>
      <c r="H19403" s="40" t="s">
        <v>11404</v>
      </c>
    </row>
    <row r="19404">
      <c r="A19404" s="39"/>
      <c r="E19404" s="40" t="s">
        <v>11404</v>
      </c>
      <c r="F19404" s="40" t="s">
        <v>11404</v>
      </c>
      <c r="G19404" s="40" t="s">
        <v>11404</v>
      </c>
      <c r="H19404" s="40" t="s">
        <v>11404</v>
      </c>
    </row>
    <row r="19405">
      <c r="A19405" s="39"/>
      <c r="E19405" s="40" t="s">
        <v>11404</v>
      </c>
      <c r="F19405" s="40" t="s">
        <v>11404</v>
      </c>
      <c r="G19405" s="40" t="s">
        <v>11404</v>
      </c>
      <c r="H19405" s="40" t="s">
        <v>11404</v>
      </c>
    </row>
    <row r="19406">
      <c r="A19406" s="39"/>
      <c r="E19406" s="40" t="s">
        <v>11404</v>
      </c>
      <c r="F19406" s="40" t="s">
        <v>11404</v>
      </c>
      <c r="G19406" s="40" t="s">
        <v>11404</v>
      </c>
      <c r="H19406" s="40" t="s">
        <v>11404</v>
      </c>
    </row>
    <row r="19407">
      <c r="A19407" s="39"/>
      <c r="E19407" s="40" t="s">
        <v>11404</v>
      </c>
      <c r="F19407" s="40" t="s">
        <v>11404</v>
      </c>
      <c r="G19407" s="40" t="s">
        <v>11404</v>
      </c>
      <c r="H19407" s="40" t="s">
        <v>11404</v>
      </c>
    </row>
    <row r="19408">
      <c r="A19408" s="39"/>
      <c r="E19408" s="40" t="s">
        <v>11404</v>
      </c>
      <c r="F19408" s="40" t="s">
        <v>11404</v>
      </c>
      <c r="G19408" s="40" t="s">
        <v>11404</v>
      </c>
      <c r="H19408" s="40" t="s">
        <v>11404</v>
      </c>
    </row>
    <row r="19409">
      <c r="A19409" s="39"/>
      <c r="E19409" s="40" t="s">
        <v>11404</v>
      </c>
      <c r="F19409" s="40" t="s">
        <v>11404</v>
      </c>
      <c r="G19409" s="40" t="s">
        <v>11404</v>
      </c>
      <c r="H19409" s="40" t="s">
        <v>11404</v>
      </c>
    </row>
    <row r="19410">
      <c r="A19410" s="39"/>
      <c r="E19410" s="40" t="s">
        <v>11404</v>
      </c>
      <c r="F19410" s="40" t="s">
        <v>11404</v>
      </c>
      <c r="G19410" s="40" t="s">
        <v>11404</v>
      </c>
      <c r="H19410" s="40" t="s">
        <v>11404</v>
      </c>
    </row>
    <row r="19411">
      <c r="A19411" s="39"/>
      <c r="E19411" s="40" t="s">
        <v>11404</v>
      </c>
      <c r="F19411" s="40" t="s">
        <v>11404</v>
      </c>
      <c r="G19411" s="40" t="s">
        <v>11404</v>
      </c>
      <c r="H19411" s="40" t="s">
        <v>11404</v>
      </c>
    </row>
    <row r="19412">
      <c r="A19412" s="39"/>
      <c r="E19412" s="40" t="s">
        <v>11404</v>
      </c>
      <c r="F19412" s="40" t="s">
        <v>11404</v>
      </c>
      <c r="G19412" s="40" t="s">
        <v>11404</v>
      </c>
      <c r="H19412" s="40" t="s">
        <v>11404</v>
      </c>
    </row>
    <row r="19413">
      <c r="A19413" s="39"/>
      <c r="E19413" s="40" t="s">
        <v>11404</v>
      </c>
      <c r="F19413" s="40" t="s">
        <v>11404</v>
      </c>
      <c r="G19413" s="40" t="s">
        <v>11404</v>
      </c>
      <c r="H19413" s="40" t="s">
        <v>11404</v>
      </c>
    </row>
    <row r="19414">
      <c r="A19414" s="39"/>
      <c r="E19414" s="40" t="s">
        <v>11404</v>
      </c>
      <c r="F19414" s="40" t="s">
        <v>11404</v>
      </c>
      <c r="G19414" s="40" t="s">
        <v>11404</v>
      </c>
      <c r="H19414" s="40" t="s">
        <v>11404</v>
      </c>
    </row>
    <row r="19415">
      <c r="A19415" s="39"/>
      <c r="E19415" s="40" t="s">
        <v>11404</v>
      </c>
      <c r="F19415" s="40" t="s">
        <v>11404</v>
      </c>
      <c r="G19415" s="40" t="s">
        <v>11404</v>
      </c>
      <c r="H19415" s="40" t="s">
        <v>11404</v>
      </c>
    </row>
    <row r="19416">
      <c r="A19416" s="39"/>
      <c r="E19416" s="40" t="s">
        <v>11404</v>
      </c>
      <c r="F19416" s="40" t="s">
        <v>11404</v>
      </c>
      <c r="G19416" s="40" t="s">
        <v>11404</v>
      </c>
      <c r="H19416" s="40" t="s">
        <v>11404</v>
      </c>
    </row>
    <row r="19417">
      <c r="A19417" s="39"/>
      <c r="E19417" s="40" t="s">
        <v>11404</v>
      </c>
      <c r="F19417" s="40" t="s">
        <v>11404</v>
      </c>
      <c r="G19417" s="40" t="s">
        <v>11404</v>
      </c>
      <c r="H19417" s="40" t="s">
        <v>11404</v>
      </c>
    </row>
    <row r="19418">
      <c r="A19418" s="39"/>
      <c r="E19418" s="40" t="s">
        <v>11404</v>
      </c>
      <c r="F19418" s="40" t="s">
        <v>11404</v>
      </c>
      <c r="G19418" s="40" t="s">
        <v>11404</v>
      </c>
      <c r="H19418" s="40" t="s">
        <v>11404</v>
      </c>
    </row>
    <row r="19419">
      <c r="A19419" s="39"/>
      <c r="E19419" s="40" t="s">
        <v>11404</v>
      </c>
      <c r="F19419" s="40" t="s">
        <v>11404</v>
      </c>
      <c r="G19419" s="40" t="s">
        <v>11404</v>
      </c>
      <c r="H19419" s="40" t="s">
        <v>11404</v>
      </c>
    </row>
    <row r="19420">
      <c r="A19420" s="39"/>
      <c r="E19420" s="40" t="s">
        <v>11404</v>
      </c>
      <c r="F19420" s="40" t="s">
        <v>11404</v>
      </c>
      <c r="G19420" s="40" t="s">
        <v>11404</v>
      </c>
      <c r="H19420" s="40" t="s">
        <v>11404</v>
      </c>
    </row>
    <row r="19421">
      <c r="A19421" s="39"/>
      <c r="E19421" s="40" t="s">
        <v>11404</v>
      </c>
      <c r="F19421" s="40" t="s">
        <v>11404</v>
      </c>
      <c r="G19421" s="40" t="s">
        <v>11404</v>
      </c>
      <c r="H19421" s="40" t="s">
        <v>11404</v>
      </c>
    </row>
    <row r="19422">
      <c r="A19422" s="39"/>
      <c r="E19422" s="40" t="s">
        <v>11404</v>
      </c>
      <c r="F19422" s="40" t="s">
        <v>11404</v>
      </c>
      <c r="G19422" s="40" t="s">
        <v>11404</v>
      </c>
      <c r="H19422" s="40" t="s">
        <v>11404</v>
      </c>
    </row>
    <row r="19423">
      <c r="A19423" s="39"/>
      <c r="E19423" s="40" t="s">
        <v>11404</v>
      </c>
      <c r="F19423" s="40" t="s">
        <v>11404</v>
      </c>
      <c r="G19423" s="40" t="s">
        <v>11404</v>
      </c>
      <c r="H19423" s="40" t="s">
        <v>11404</v>
      </c>
    </row>
    <row r="19424">
      <c r="A19424" s="39"/>
      <c r="E19424" s="40" t="s">
        <v>11404</v>
      </c>
      <c r="F19424" s="40" t="s">
        <v>11404</v>
      </c>
      <c r="G19424" s="40" t="s">
        <v>11404</v>
      </c>
      <c r="H19424" s="40" t="s">
        <v>11404</v>
      </c>
    </row>
    <row r="19425">
      <c r="A19425" s="39"/>
      <c r="E19425" s="40" t="s">
        <v>11404</v>
      </c>
      <c r="F19425" s="40" t="s">
        <v>11404</v>
      </c>
      <c r="G19425" s="40" t="s">
        <v>11404</v>
      </c>
      <c r="H19425" s="40" t="s">
        <v>11404</v>
      </c>
    </row>
    <row r="19426">
      <c r="A19426" s="39"/>
      <c r="E19426" s="40" t="s">
        <v>11404</v>
      </c>
      <c r="F19426" s="40" t="s">
        <v>11404</v>
      </c>
      <c r="G19426" s="40" t="s">
        <v>11404</v>
      </c>
      <c r="H19426" s="40" t="s">
        <v>11404</v>
      </c>
    </row>
    <row r="19427">
      <c r="A19427" s="39"/>
      <c r="E19427" s="40" t="s">
        <v>11404</v>
      </c>
      <c r="F19427" s="40" t="s">
        <v>11404</v>
      </c>
      <c r="G19427" s="40" t="s">
        <v>11404</v>
      </c>
      <c r="H19427" s="40" t="s">
        <v>11404</v>
      </c>
    </row>
    <row r="19428">
      <c r="A19428" s="39"/>
      <c r="E19428" s="40" t="s">
        <v>11404</v>
      </c>
      <c r="F19428" s="40" t="s">
        <v>11404</v>
      </c>
      <c r="G19428" s="40" t="s">
        <v>11404</v>
      </c>
      <c r="H19428" s="40" t="s">
        <v>11404</v>
      </c>
    </row>
    <row r="19429">
      <c r="A19429" s="39"/>
      <c r="E19429" s="40" t="s">
        <v>11404</v>
      </c>
      <c r="F19429" s="40" t="s">
        <v>11404</v>
      </c>
      <c r="G19429" s="40" t="s">
        <v>11404</v>
      </c>
      <c r="H19429" s="40" t="s">
        <v>11404</v>
      </c>
    </row>
    <row r="19430">
      <c r="A19430" s="39"/>
      <c r="E19430" s="40" t="s">
        <v>11404</v>
      </c>
      <c r="F19430" s="40" t="s">
        <v>11404</v>
      </c>
      <c r="G19430" s="40" t="s">
        <v>11404</v>
      </c>
      <c r="H19430" s="40" t="s">
        <v>11404</v>
      </c>
    </row>
    <row r="19431">
      <c r="A19431" s="39"/>
      <c r="E19431" s="40" t="s">
        <v>11404</v>
      </c>
      <c r="F19431" s="40" t="s">
        <v>11404</v>
      </c>
      <c r="G19431" s="40" t="s">
        <v>11404</v>
      </c>
      <c r="H19431" s="40" t="s">
        <v>11404</v>
      </c>
    </row>
    <row r="19432">
      <c r="A19432" s="39"/>
      <c r="E19432" s="40" t="s">
        <v>11404</v>
      </c>
      <c r="F19432" s="40" t="s">
        <v>11404</v>
      </c>
      <c r="G19432" s="40" t="s">
        <v>11404</v>
      </c>
      <c r="H19432" s="40" t="s">
        <v>11404</v>
      </c>
    </row>
    <row r="19433">
      <c r="A19433" s="39"/>
      <c r="E19433" s="40" t="s">
        <v>11404</v>
      </c>
      <c r="F19433" s="40" t="s">
        <v>11404</v>
      </c>
      <c r="G19433" s="40" t="s">
        <v>11404</v>
      </c>
      <c r="H19433" s="40" t="s">
        <v>11404</v>
      </c>
    </row>
    <row r="19434">
      <c r="A19434" s="39"/>
      <c r="E19434" s="40" t="s">
        <v>11404</v>
      </c>
      <c r="F19434" s="40" t="s">
        <v>11404</v>
      </c>
      <c r="G19434" s="40" t="s">
        <v>11404</v>
      </c>
      <c r="H19434" s="40" t="s">
        <v>11404</v>
      </c>
    </row>
    <row r="19435">
      <c r="A19435" s="39"/>
      <c r="E19435" s="40" t="s">
        <v>11404</v>
      </c>
      <c r="F19435" s="40" t="s">
        <v>11404</v>
      </c>
      <c r="G19435" s="40" t="s">
        <v>11404</v>
      </c>
      <c r="H19435" s="40" t="s">
        <v>11404</v>
      </c>
    </row>
    <row r="19436">
      <c r="A19436" s="39"/>
      <c r="E19436" s="40" t="s">
        <v>11404</v>
      </c>
      <c r="F19436" s="40" t="s">
        <v>11404</v>
      </c>
      <c r="G19436" s="40" t="s">
        <v>11404</v>
      </c>
      <c r="H19436" s="40" t="s">
        <v>11404</v>
      </c>
    </row>
    <row r="19437">
      <c r="A19437" s="39"/>
      <c r="E19437" s="40" t="s">
        <v>11404</v>
      </c>
      <c r="F19437" s="40" t="s">
        <v>11404</v>
      </c>
      <c r="G19437" s="40" t="s">
        <v>11404</v>
      </c>
      <c r="H19437" s="40" t="s">
        <v>11404</v>
      </c>
    </row>
    <row r="19438">
      <c r="A19438" s="39"/>
      <c r="E19438" s="40" t="s">
        <v>11404</v>
      </c>
      <c r="F19438" s="40" t="s">
        <v>11404</v>
      </c>
      <c r="G19438" s="40" t="s">
        <v>11404</v>
      </c>
      <c r="H19438" s="40" t="s">
        <v>11404</v>
      </c>
    </row>
    <row r="19439">
      <c r="A19439" s="39"/>
      <c r="E19439" s="40" t="s">
        <v>11404</v>
      </c>
      <c r="F19439" s="40" t="s">
        <v>11404</v>
      </c>
      <c r="G19439" s="40" t="s">
        <v>11404</v>
      </c>
      <c r="H19439" s="40" t="s">
        <v>11404</v>
      </c>
    </row>
    <row r="19440">
      <c r="A19440" s="39"/>
      <c r="E19440" s="40" t="s">
        <v>11404</v>
      </c>
      <c r="F19440" s="40" t="s">
        <v>11404</v>
      </c>
      <c r="G19440" s="40" t="s">
        <v>11404</v>
      </c>
      <c r="H19440" s="40" t="s">
        <v>11404</v>
      </c>
    </row>
    <row r="19441">
      <c r="A19441" s="39"/>
      <c r="E19441" s="40" t="s">
        <v>11404</v>
      </c>
      <c r="F19441" s="40" t="s">
        <v>11404</v>
      </c>
      <c r="G19441" s="40" t="s">
        <v>11404</v>
      </c>
      <c r="H19441" s="40" t="s">
        <v>11404</v>
      </c>
    </row>
    <row r="19442">
      <c r="A19442" s="39"/>
      <c r="E19442" s="40" t="s">
        <v>11404</v>
      </c>
      <c r="F19442" s="40" t="s">
        <v>11404</v>
      </c>
      <c r="G19442" s="40" t="s">
        <v>11404</v>
      </c>
      <c r="H19442" s="40" t="s">
        <v>11404</v>
      </c>
    </row>
    <row r="19443">
      <c r="A19443" s="39"/>
      <c r="E19443" s="40" t="s">
        <v>11404</v>
      </c>
      <c r="F19443" s="40" t="s">
        <v>11404</v>
      </c>
      <c r="G19443" s="40" t="s">
        <v>11404</v>
      </c>
      <c r="H19443" s="40" t="s">
        <v>11404</v>
      </c>
    </row>
    <row r="19444">
      <c r="A19444" s="39"/>
      <c r="E19444" s="40" t="s">
        <v>11404</v>
      </c>
      <c r="F19444" s="40" t="s">
        <v>11404</v>
      </c>
      <c r="G19444" s="40" t="s">
        <v>11404</v>
      </c>
      <c r="H19444" s="40" t="s">
        <v>11404</v>
      </c>
    </row>
    <row r="19445">
      <c r="A19445" s="39"/>
      <c r="E19445" s="40" t="s">
        <v>11404</v>
      </c>
      <c r="F19445" s="40" t="s">
        <v>11404</v>
      </c>
      <c r="G19445" s="40" t="s">
        <v>11404</v>
      </c>
      <c r="H19445" s="40" t="s">
        <v>11404</v>
      </c>
    </row>
    <row r="19446">
      <c r="A19446" s="39"/>
      <c r="E19446" s="40" t="s">
        <v>11404</v>
      </c>
      <c r="F19446" s="40" t="s">
        <v>11404</v>
      </c>
      <c r="G19446" s="40" t="s">
        <v>11404</v>
      </c>
      <c r="H19446" s="40" t="s">
        <v>11404</v>
      </c>
    </row>
    <row r="19447">
      <c r="A19447" s="39"/>
      <c r="E19447" s="40" t="s">
        <v>11404</v>
      </c>
      <c r="F19447" s="40" t="s">
        <v>11404</v>
      </c>
      <c r="G19447" s="40" t="s">
        <v>11404</v>
      </c>
      <c r="H19447" s="40" t="s">
        <v>11404</v>
      </c>
    </row>
    <row r="19448">
      <c r="A19448" s="39"/>
      <c r="E19448" s="40" t="s">
        <v>11404</v>
      </c>
      <c r="F19448" s="40" t="s">
        <v>11404</v>
      </c>
      <c r="G19448" s="40" t="s">
        <v>11404</v>
      </c>
      <c r="H19448" s="40" t="s">
        <v>11404</v>
      </c>
    </row>
    <row r="19449">
      <c r="A19449" s="39"/>
      <c r="E19449" s="40" t="s">
        <v>11404</v>
      </c>
      <c r="F19449" s="40" t="s">
        <v>11404</v>
      </c>
      <c r="G19449" s="40" t="s">
        <v>11404</v>
      </c>
      <c r="H19449" s="40" t="s">
        <v>11404</v>
      </c>
    </row>
    <row r="19450">
      <c r="A19450" s="39"/>
      <c r="E19450" s="40" t="s">
        <v>11404</v>
      </c>
      <c r="F19450" s="40" t="s">
        <v>11404</v>
      </c>
      <c r="G19450" s="40" t="s">
        <v>11404</v>
      </c>
      <c r="H19450" s="40" t="s">
        <v>11404</v>
      </c>
    </row>
    <row r="19451">
      <c r="A19451" s="39"/>
      <c r="E19451" s="40" t="s">
        <v>11404</v>
      </c>
      <c r="F19451" s="40" t="s">
        <v>11404</v>
      </c>
      <c r="G19451" s="40" t="s">
        <v>11404</v>
      </c>
      <c r="H19451" s="40" t="s">
        <v>11404</v>
      </c>
    </row>
    <row r="19452">
      <c r="A19452" s="39"/>
      <c r="E19452" s="40" t="s">
        <v>11404</v>
      </c>
      <c r="F19452" s="40" t="s">
        <v>11404</v>
      </c>
      <c r="G19452" s="40" t="s">
        <v>11404</v>
      </c>
      <c r="H19452" s="40" t="s">
        <v>11404</v>
      </c>
    </row>
    <row r="19453">
      <c r="A19453" s="39"/>
      <c r="E19453" s="40" t="s">
        <v>11404</v>
      </c>
      <c r="F19453" s="40" t="s">
        <v>11404</v>
      </c>
      <c r="G19453" s="40" t="s">
        <v>11404</v>
      </c>
      <c r="H19453" s="40" t="s">
        <v>11404</v>
      </c>
    </row>
    <row r="19454">
      <c r="A19454" s="39"/>
      <c r="E19454" s="40" t="s">
        <v>11404</v>
      </c>
      <c r="F19454" s="40" t="s">
        <v>11404</v>
      </c>
      <c r="G19454" s="40" t="s">
        <v>11404</v>
      </c>
      <c r="H19454" s="40" t="s">
        <v>11404</v>
      </c>
    </row>
    <row r="19455">
      <c r="A19455" s="39"/>
      <c r="E19455" s="40" t="s">
        <v>11404</v>
      </c>
      <c r="F19455" s="40" t="s">
        <v>11404</v>
      </c>
      <c r="G19455" s="40" t="s">
        <v>11404</v>
      </c>
      <c r="H19455" s="40" t="s">
        <v>11404</v>
      </c>
    </row>
    <row r="19456">
      <c r="A19456" s="39"/>
      <c r="E19456" s="40" t="s">
        <v>11404</v>
      </c>
      <c r="F19456" s="40" t="s">
        <v>11404</v>
      </c>
      <c r="G19456" s="40" t="s">
        <v>11404</v>
      </c>
      <c r="H19456" s="40" t="s">
        <v>11404</v>
      </c>
    </row>
    <row r="19457">
      <c r="A19457" s="39"/>
      <c r="E19457" s="40" t="s">
        <v>11404</v>
      </c>
      <c r="F19457" s="40" t="s">
        <v>11404</v>
      </c>
      <c r="G19457" s="40" t="s">
        <v>11404</v>
      </c>
      <c r="H19457" s="40" t="s">
        <v>11404</v>
      </c>
    </row>
    <row r="19458">
      <c r="A19458" s="39"/>
      <c r="E19458" s="40" t="s">
        <v>11404</v>
      </c>
      <c r="F19458" s="40" t="s">
        <v>11404</v>
      </c>
      <c r="G19458" s="40" t="s">
        <v>11404</v>
      </c>
      <c r="H19458" s="40" t="s">
        <v>11404</v>
      </c>
    </row>
    <row r="19459">
      <c r="A19459" s="39"/>
      <c r="E19459" s="40" t="s">
        <v>11404</v>
      </c>
      <c r="F19459" s="40" t="s">
        <v>11404</v>
      </c>
      <c r="G19459" s="40" t="s">
        <v>11404</v>
      </c>
      <c r="H19459" s="40" t="s">
        <v>11404</v>
      </c>
    </row>
    <row r="19460">
      <c r="A19460" s="39"/>
      <c r="E19460" s="40" t="s">
        <v>11404</v>
      </c>
      <c r="F19460" s="40" t="s">
        <v>11404</v>
      </c>
      <c r="G19460" s="40" t="s">
        <v>11404</v>
      </c>
      <c r="H19460" s="40" t="s">
        <v>11404</v>
      </c>
    </row>
    <row r="19461">
      <c r="A19461" s="39"/>
      <c r="E19461" s="40" t="s">
        <v>11404</v>
      </c>
      <c r="F19461" s="40" t="s">
        <v>11404</v>
      </c>
      <c r="G19461" s="40" t="s">
        <v>11404</v>
      </c>
      <c r="H19461" s="40" t="s">
        <v>11404</v>
      </c>
    </row>
    <row r="19462">
      <c r="A19462" s="39"/>
      <c r="E19462" s="40" t="s">
        <v>11404</v>
      </c>
      <c r="F19462" s="40" t="s">
        <v>11404</v>
      </c>
      <c r="G19462" s="40" t="s">
        <v>11404</v>
      </c>
      <c r="H19462" s="40" t="s">
        <v>11404</v>
      </c>
    </row>
    <row r="19463">
      <c r="A19463" s="39"/>
      <c r="E19463" s="40" t="s">
        <v>11404</v>
      </c>
      <c r="F19463" s="40" t="s">
        <v>11404</v>
      </c>
      <c r="G19463" s="40" t="s">
        <v>11404</v>
      </c>
      <c r="H19463" s="40" t="s">
        <v>11404</v>
      </c>
    </row>
    <row r="19464">
      <c r="A19464" s="39"/>
      <c r="E19464" s="40" t="s">
        <v>11404</v>
      </c>
      <c r="F19464" s="40" t="s">
        <v>11404</v>
      </c>
      <c r="G19464" s="40" t="s">
        <v>11404</v>
      </c>
      <c r="H19464" s="40" t="s">
        <v>11404</v>
      </c>
    </row>
    <row r="19465">
      <c r="A19465" s="39"/>
      <c r="E19465" s="40" t="s">
        <v>11404</v>
      </c>
      <c r="F19465" s="40" t="s">
        <v>11404</v>
      </c>
      <c r="G19465" s="40" t="s">
        <v>11404</v>
      </c>
      <c r="H19465" s="40" t="s">
        <v>11404</v>
      </c>
    </row>
    <row r="19466">
      <c r="A19466" s="39"/>
      <c r="E19466" s="40" t="s">
        <v>11404</v>
      </c>
      <c r="F19466" s="40" t="s">
        <v>11404</v>
      </c>
      <c r="G19466" s="40" t="s">
        <v>11404</v>
      </c>
      <c r="H19466" s="40" t="s">
        <v>11404</v>
      </c>
    </row>
    <row r="19467">
      <c r="A19467" s="39"/>
      <c r="E19467" s="40" t="s">
        <v>11404</v>
      </c>
      <c r="F19467" s="40" t="s">
        <v>11404</v>
      </c>
      <c r="G19467" s="40" t="s">
        <v>11404</v>
      </c>
      <c r="H19467" s="40" t="s">
        <v>11404</v>
      </c>
    </row>
    <row r="19468">
      <c r="A19468" s="39"/>
      <c r="E19468" s="40" t="s">
        <v>11404</v>
      </c>
      <c r="F19468" s="40" t="s">
        <v>11404</v>
      </c>
      <c r="G19468" s="40" t="s">
        <v>11404</v>
      </c>
      <c r="H19468" s="40" t="s">
        <v>11404</v>
      </c>
    </row>
    <row r="19469">
      <c r="A19469" s="39"/>
      <c r="E19469" s="40" t="s">
        <v>11404</v>
      </c>
      <c r="F19469" s="40" t="s">
        <v>11404</v>
      </c>
      <c r="G19469" s="40" t="s">
        <v>11404</v>
      </c>
      <c r="H19469" s="40" t="s">
        <v>11404</v>
      </c>
    </row>
    <row r="19470">
      <c r="A19470" s="39"/>
      <c r="E19470" s="40" t="s">
        <v>11404</v>
      </c>
      <c r="F19470" s="40" t="s">
        <v>11404</v>
      </c>
      <c r="G19470" s="40" t="s">
        <v>11404</v>
      </c>
      <c r="H19470" s="40" t="s">
        <v>11404</v>
      </c>
    </row>
    <row r="19471">
      <c r="A19471" s="39"/>
      <c r="E19471" s="40" t="s">
        <v>11404</v>
      </c>
      <c r="F19471" s="40" t="s">
        <v>11404</v>
      </c>
      <c r="G19471" s="40" t="s">
        <v>11404</v>
      </c>
      <c r="H19471" s="40" t="s">
        <v>11404</v>
      </c>
    </row>
    <row r="19472">
      <c r="A19472" s="39"/>
      <c r="E19472" s="40" t="s">
        <v>11404</v>
      </c>
      <c r="F19472" s="40" t="s">
        <v>11404</v>
      </c>
      <c r="G19472" s="40" t="s">
        <v>11404</v>
      </c>
      <c r="H19472" s="40" t="s">
        <v>11404</v>
      </c>
    </row>
    <row r="19473">
      <c r="A19473" s="39"/>
      <c r="E19473" s="40" t="s">
        <v>11404</v>
      </c>
      <c r="F19473" s="40" t="s">
        <v>11404</v>
      </c>
      <c r="G19473" s="40" t="s">
        <v>11404</v>
      </c>
      <c r="H19473" s="40" t="s">
        <v>11404</v>
      </c>
    </row>
    <row r="19474">
      <c r="A19474" s="39"/>
      <c r="E19474" s="40" t="s">
        <v>11404</v>
      </c>
      <c r="F19474" s="40" t="s">
        <v>11404</v>
      </c>
      <c r="G19474" s="40" t="s">
        <v>11404</v>
      </c>
      <c r="H19474" s="40" t="s">
        <v>11404</v>
      </c>
    </row>
    <row r="19475">
      <c r="A19475" s="39"/>
      <c r="E19475" s="40" t="s">
        <v>11404</v>
      </c>
      <c r="F19475" s="40" t="s">
        <v>11404</v>
      </c>
      <c r="G19475" s="40" t="s">
        <v>11404</v>
      </c>
      <c r="H19475" s="40" t="s">
        <v>11404</v>
      </c>
    </row>
    <row r="19476">
      <c r="A19476" s="39"/>
      <c r="E19476" s="40" t="s">
        <v>11404</v>
      </c>
      <c r="F19476" s="40" t="s">
        <v>11404</v>
      </c>
      <c r="G19476" s="40" t="s">
        <v>11404</v>
      </c>
      <c r="H19476" s="40" t="s">
        <v>11404</v>
      </c>
    </row>
    <row r="19477">
      <c r="A19477" s="39"/>
      <c r="E19477" s="40" t="s">
        <v>11404</v>
      </c>
      <c r="F19477" s="40" t="s">
        <v>11404</v>
      </c>
      <c r="G19477" s="40" t="s">
        <v>11404</v>
      </c>
      <c r="H19477" s="40" t="s">
        <v>11404</v>
      </c>
    </row>
    <row r="19478">
      <c r="A19478" s="39"/>
      <c r="E19478" s="40" t="s">
        <v>11404</v>
      </c>
      <c r="F19478" s="40" t="s">
        <v>11404</v>
      </c>
      <c r="G19478" s="40" t="s">
        <v>11404</v>
      </c>
      <c r="H19478" s="40" t="s">
        <v>11404</v>
      </c>
    </row>
    <row r="19479">
      <c r="A19479" s="39"/>
      <c r="E19479" s="40" t="s">
        <v>11404</v>
      </c>
      <c r="F19479" s="40" t="s">
        <v>11404</v>
      </c>
      <c r="G19479" s="40" t="s">
        <v>11404</v>
      </c>
      <c r="H19479" s="40" t="s">
        <v>11404</v>
      </c>
    </row>
    <row r="19480">
      <c r="A19480" s="39"/>
      <c r="E19480" s="40" t="s">
        <v>11404</v>
      </c>
      <c r="F19480" s="40" t="s">
        <v>11404</v>
      </c>
      <c r="G19480" s="40" t="s">
        <v>11404</v>
      </c>
      <c r="H19480" s="40" t="s">
        <v>11404</v>
      </c>
    </row>
    <row r="19481">
      <c r="A19481" s="39"/>
      <c r="E19481" s="40" t="s">
        <v>11404</v>
      </c>
      <c r="F19481" s="40" t="s">
        <v>11404</v>
      </c>
      <c r="G19481" s="40" t="s">
        <v>11404</v>
      </c>
      <c r="H19481" s="40" t="s">
        <v>11404</v>
      </c>
    </row>
    <row r="19482">
      <c r="A19482" s="39"/>
      <c r="E19482" s="40" t="s">
        <v>11404</v>
      </c>
      <c r="F19482" s="40" t="s">
        <v>11404</v>
      </c>
      <c r="G19482" s="40" t="s">
        <v>11404</v>
      </c>
      <c r="H19482" s="40" t="s">
        <v>11404</v>
      </c>
    </row>
    <row r="19483">
      <c r="A19483" s="39"/>
      <c r="E19483" s="40" t="s">
        <v>11404</v>
      </c>
      <c r="F19483" s="40" t="s">
        <v>11404</v>
      </c>
      <c r="G19483" s="40" t="s">
        <v>11404</v>
      </c>
      <c r="H19483" s="40" t="s">
        <v>11404</v>
      </c>
    </row>
    <row r="19484">
      <c r="A19484" s="39"/>
      <c r="E19484" s="40" t="s">
        <v>11404</v>
      </c>
      <c r="F19484" s="40" t="s">
        <v>11404</v>
      </c>
      <c r="G19484" s="40" t="s">
        <v>11404</v>
      </c>
      <c r="H19484" s="40" t="s">
        <v>11404</v>
      </c>
    </row>
    <row r="19485">
      <c r="A19485" s="39"/>
      <c r="E19485" s="40" t="s">
        <v>11404</v>
      </c>
      <c r="F19485" s="40" t="s">
        <v>11404</v>
      </c>
      <c r="G19485" s="40" t="s">
        <v>11404</v>
      </c>
      <c r="H19485" s="40" t="s">
        <v>11404</v>
      </c>
    </row>
    <row r="19486">
      <c r="A19486" s="39"/>
      <c r="E19486" s="40" t="s">
        <v>11404</v>
      </c>
      <c r="F19486" s="40" t="s">
        <v>11404</v>
      </c>
      <c r="G19486" s="40" t="s">
        <v>11404</v>
      </c>
      <c r="H19486" s="40" t="s">
        <v>11404</v>
      </c>
    </row>
    <row r="19487">
      <c r="A19487" s="39"/>
      <c r="E19487" s="40" t="s">
        <v>11404</v>
      </c>
      <c r="F19487" s="40" t="s">
        <v>11404</v>
      </c>
      <c r="G19487" s="40" t="s">
        <v>11404</v>
      </c>
      <c r="H19487" s="40" t="s">
        <v>11404</v>
      </c>
    </row>
    <row r="19488">
      <c r="A19488" s="39"/>
      <c r="E19488" s="40" t="s">
        <v>11404</v>
      </c>
      <c r="F19488" s="40" t="s">
        <v>11404</v>
      </c>
      <c r="G19488" s="40" t="s">
        <v>11404</v>
      </c>
      <c r="H19488" s="40" t="s">
        <v>11404</v>
      </c>
    </row>
    <row r="19489">
      <c r="A19489" s="39"/>
      <c r="E19489" s="40" t="s">
        <v>11404</v>
      </c>
      <c r="F19489" s="40" t="s">
        <v>11404</v>
      </c>
      <c r="G19489" s="40" t="s">
        <v>11404</v>
      </c>
      <c r="H19489" s="40" t="s">
        <v>11404</v>
      </c>
    </row>
    <row r="19490">
      <c r="A19490" s="39"/>
      <c r="E19490" s="40" t="s">
        <v>11404</v>
      </c>
      <c r="F19490" s="40" t="s">
        <v>11404</v>
      </c>
      <c r="G19490" s="40" t="s">
        <v>11404</v>
      </c>
      <c r="H19490" s="40" t="s">
        <v>11404</v>
      </c>
    </row>
    <row r="19491">
      <c r="A19491" s="39"/>
      <c r="E19491" s="40" t="s">
        <v>11404</v>
      </c>
      <c r="F19491" s="40" t="s">
        <v>11404</v>
      </c>
      <c r="G19491" s="40" t="s">
        <v>11404</v>
      </c>
      <c r="H19491" s="40" t="s">
        <v>11404</v>
      </c>
    </row>
    <row r="19492">
      <c r="A19492" s="39"/>
      <c r="E19492" s="40" t="s">
        <v>11404</v>
      </c>
      <c r="F19492" s="40" t="s">
        <v>11404</v>
      </c>
      <c r="G19492" s="40" t="s">
        <v>11404</v>
      </c>
      <c r="H19492" s="40" t="s">
        <v>11404</v>
      </c>
    </row>
    <row r="19493">
      <c r="A19493" s="39"/>
      <c r="E19493" s="40" t="s">
        <v>11404</v>
      </c>
      <c r="F19493" s="40" t="s">
        <v>11404</v>
      </c>
      <c r="G19493" s="40" t="s">
        <v>11404</v>
      </c>
      <c r="H19493" s="40" t="s">
        <v>11404</v>
      </c>
    </row>
    <row r="19494">
      <c r="A19494" s="39"/>
      <c r="E19494" s="40" t="s">
        <v>11404</v>
      </c>
      <c r="F19494" s="40" t="s">
        <v>11404</v>
      </c>
      <c r="G19494" s="40" t="s">
        <v>11404</v>
      </c>
      <c r="H19494" s="40" t="s">
        <v>11404</v>
      </c>
    </row>
    <row r="19495">
      <c r="A19495" s="39"/>
      <c r="E19495" s="40" t="s">
        <v>11404</v>
      </c>
      <c r="F19495" s="40" t="s">
        <v>11404</v>
      </c>
      <c r="G19495" s="40" t="s">
        <v>11404</v>
      </c>
      <c r="H19495" s="40" t="s">
        <v>11404</v>
      </c>
    </row>
    <row r="19496">
      <c r="A19496" s="39"/>
      <c r="E19496" s="40" t="s">
        <v>11404</v>
      </c>
      <c r="F19496" s="40" t="s">
        <v>11404</v>
      </c>
      <c r="G19496" s="40" t="s">
        <v>11404</v>
      </c>
      <c r="H19496" s="40" t="s">
        <v>11404</v>
      </c>
    </row>
    <row r="19497">
      <c r="A19497" s="39"/>
      <c r="E19497" s="40" t="s">
        <v>11404</v>
      </c>
      <c r="F19497" s="40" t="s">
        <v>11404</v>
      </c>
      <c r="G19497" s="40" t="s">
        <v>11404</v>
      </c>
      <c r="H19497" s="40" t="s">
        <v>11404</v>
      </c>
    </row>
    <row r="19498">
      <c r="A19498" s="39"/>
      <c r="E19498" s="40" t="s">
        <v>11404</v>
      </c>
      <c r="F19498" s="40" t="s">
        <v>11404</v>
      </c>
      <c r="G19498" s="40" t="s">
        <v>11404</v>
      </c>
      <c r="H19498" s="40" t="s">
        <v>11404</v>
      </c>
    </row>
    <row r="19499">
      <c r="A19499" s="39"/>
      <c r="E19499" s="40" t="s">
        <v>11404</v>
      </c>
      <c r="F19499" s="40" t="s">
        <v>11404</v>
      </c>
      <c r="G19499" s="40" t="s">
        <v>11404</v>
      </c>
      <c r="H19499" s="40" t="s">
        <v>11404</v>
      </c>
    </row>
    <row r="19500">
      <c r="A19500" s="39"/>
      <c r="E19500" s="40" t="s">
        <v>11404</v>
      </c>
      <c r="F19500" s="40" t="s">
        <v>11404</v>
      </c>
      <c r="G19500" s="40" t="s">
        <v>11404</v>
      </c>
      <c r="H19500" s="40" t="s">
        <v>11404</v>
      </c>
    </row>
    <row r="19501">
      <c r="A19501" s="39"/>
      <c r="E19501" s="40" t="s">
        <v>11404</v>
      </c>
      <c r="F19501" s="40" t="s">
        <v>11404</v>
      </c>
      <c r="G19501" s="40" t="s">
        <v>11404</v>
      </c>
      <c r="H19501" s="40" t="s">
        <v>11404</v>
      </c>
    </row>
    <row r="19502">
      <c r="A19502" s="39"/>
      <c r="E19502" s="40" t="s">
        <v>11404</v>
      </c>
      <c r="F19502" s="40" t="s">
        <v>11404</v>
      </c>
      <c r="G19502" s="40" t="s">
        <v>11404</v>
      </c>
      <c r="H19502" s="40" t="s">
        <v>11404</v>
      </c>
    </row>
    <row r="19503">
      <c r="A19503" s="39"/>
      <c r="E19503" s="40" t="s">
        <v>11404</v>
      </c>
      <c r="F19503" s="40" t="s">
        <v>11404</v>
      </c>
      <c r="G19503" s="40" t="s">
        <v>11404</v>
      </c>
      <c r="H19503" s="40" t="s">
        <v>11404</v>
      </c>
    </row>
    <row r="19504">
      <c r="A19504" s="39"/>
      <c r="E19504" s="40" t="s">
        <v>11404</v>
      </c>
      <c r="F19504" s="40" t="s">
        <v>11404</v>
      </c>
      <c r="G19504" s="40" t="s">
        <v>11404</v>
      </c>
      <c r="H19504" s="40" t="s">
        <v>11404</v>
      </c>
    </row>
    <row r="19505">
      <c r="A19505" s="39"/>
      <c r="E19505" s="40" t="s">
        <v>11404</v>
      </c>
      <c r="F19505" s="40" t="s">
        <v>11404</v>
      </c>
      <c r="G19505" s="40" t="s">
        <v>11404</v>
      </c>
      <c r="H19505" s="40" t="s">
        <v>11404</v>
      </c>
    </row>
    <row r="19506">
      <c r="A19506" s="39"/>
      <c r="E19506" s="40" t="s">
        <v>11404</v>
      </c>
      <c r="F19506" s="40" t="s">
        <v>11404</v>
      </c>
      <c r="G19506" s="40" t="s">
        <v>11404</v>
      </c>
      <c r="H19506" s="40" t="s">
        <v>11404</v>
      </c>
    </row>
    <row r="19507">
      <c r="A19507" s="39"/>
      <c r="E19507" s="40" t="s">
        <v>11404</v>
      </c>
      <c r="F19507" s="40" t="s">
        <v>11404</v>
      </c>
      <c r="G19507" s="40" t="s">
        <v>11404</v>
      </c>
      <c r="H19507" s="40" t="s">
        <v>11404</v>
      </c>
    </row>
    <row r="19508">
      <c r="A19508" s="39"/>
      <c r="E19508" s="40" t="s">
        <v>11404</v>
      </c>
      <c r="F19508" s="40" t="s">
        <v>11404</v>
      </c>
      <c r="G19508" s="40" t="s">
        <v>11404</v>
      </c>
      <c r="H19508" s="40" t="s">
        <v>11404</v>
      </c>
    </row>
    <row r="19509">
      <c r="A19509" s="39"/>
      <c r="E19509" s="40" t="s">
        <v>11404</v>
      </c>
      <c r="F19509" s="40" t="s">
        <v>11404</v>
      </c>
      <c r="G19509" s="40" t="s">
        <v>11404</v>
      </c>
      <c r="H19509" s="40" t="s">
        <v>11404</v>
      </c>
    </row>
    <row r="19510">
      <c r="A19510" s="39"/>
      <c r="E19510" s="40" t="s">
        <v>11404</v>
      </c>
      <c r="F19510" s="40" t="s">
        <v>11404</v>
      </c>
      <c r="G19510" s="40" t="s">
        <v>11404</v>
      </c>
      <c r="H19510" s="40" t="s">
        <v>11404</v>
      </c>
    </row>
    <row r="19511">
      <c r="A19511" s="39"/>
      <c r="E19511" s="40" t="s">
        <v>11404</v>
      </c>
      <c r="F19511" s="40" t="s">
        <v>11404</v>
      </c>
      <c r="G19511" s="40" t="s">
        <v>11404</v>
      </c>
      <c r="H19511" s="40" t="s">
        <v>11404</v>
      </c>
    </row>
    <row r="19512">
      <c r="A19512" s="39"/>
      <c r="E19512" s="40" t="s">
        <v>11404</v>
      </c>
      <c r="F19512" s="40" t="s">
        <v>11404</v>
      </c>
      <c r="G19512" s="40" t="s">
        <v>11404</v>
      </c>
      <c r="H19512" s="40" t="s">
        <v>11404</v>
      </c>
    </row>
    <row r="19513">
      <c r="A19513" s="39"/>
      <c r="E19513" s="40" t="s">
        <v>11404</v>
      </c>
      <c r="F19513" s="40" t="s">
        <v>11404</v>
      </c>
      <c r="G19513" s="40" t="s">
        <v>11404</v>
      </c>
      <c r="H19513" s="40" t="s">
        <v>11404</v>
      </c>
    </row>
    <row r="19514">
      <c r="A19514" s="39"/>
      <c r="E19514" s="40" t="s">
        <v>11404</v>
      </c>
      <c r="F19514" s="40" t="s">
        <v>11404</v>
      </c>
      <c r="G19514" s="40" t="s">
        <v>11404</v>
      </c>
      <c r="H19514" s="40" t="s">
        <v>11404</v>
      </c>
    </row>
    <row r="19515">
      <c r="A19515" s="39"/>
      <c r="E19515" s="40" t="s">
        <v>11404</v>
      </c>
      <c r="F19515" s="40" t="s">
        <v>11404</v>
      </c>
      <c r="G19515" s="40" t="s">
        <v>11404</v>
      </c>
      <c r="H19515" s="40" t="s">
        <v>11404</v>
      </c>
    </row>
    <row r="19516">
      <c r="A19516" s="39"/>
      <c r="E19516" s="40" t="s">
        <v>11404</v>
      </c>
      <c r="F19516" s="40" t="s">
        <v>11404</v>
      </c>
      <c r="G19516" s="40" t="s">
        <v>11404</v>
      </c>
      <c r="H19516" s="40" t="s">
        <v>11404</v>
      </c>
    </row>
    <row r="19517">
      <c r="A19517" s="39"/>
      <c r="E19517" s="40" t="s">
        <v>11404</v>
      </c>
      <c r="F19517" s="40" t="s">
        <v>11404</v>
      </c>
      <c r="G19517" s="40" t="s">
        <v>11404</v>
      </c>
      <c r="H19517" s="40" t="s">
        <v>11404</v>
      </c>
    </row>
    <row r="19518">
      <c r="A19518" s="39"/>
      <c r="E19518" s="40" t="s">
        <v>11404</v>
      </c>
      <c r="F19518" s="40" t="s">
        <v>11404</v>
      </c>
      <c r="G19518" s="40" t="s">
        <v>11404</v>
      </c>
      <c r="H19518" s="40" t="s">
        <v>11404</v>
      </c>
    </row>
    <row r="19519">
      <c r="A19519" s="39"/>
      <c r="E19519" s="40" t="s">
        <v>11404</v>
      </c>
      <c r="F19519" s="40" t="s">
        <v>11404</v>
      </c>
      <c r="G19519" s="40" t="s">
        <v>11404</v>
      </c>
      <c r="H19519" s="40" t="s">
        <v>11404</v>
      </c>
    </row>
    <row r="19520">
      <c r="A19520" s="39"/>
      <c r="E19520" s="40" t="s">
        <v>11404</v>
      </c>
      <c r="F19520" s="40" t="s">
        <v>11404</v>
      </c>
      <c r="G19520" s="40" t="s">
        <v>11404</v>
      </c>
      <c r="H19520" s="40" t="s">
        <v>11404</v>
      </c>
    </row>
    <row r="19521">
      <c r="A19521" s="39"/>
      <c r="E19521" s="40" t="s">
        <v>11404</v>
      </c>
      <c r="F19521" s="40" t="s">
        <v>11404</v>
      </c>
      <c r="G19521" s="40" t="s">
        <v>11404</v>
      </c>
      <c r="H19521" s="40" t="s">
        <v>11404</v>
      </c>
    </row>
    <row r="19522">
      <c r="A19522" s="39"/>
      <c r="E19522" s="40" t="s">
        <v>11404</v>
      </c>
      <c r="F19522" s="40" t="s">
        <v>11404</v>
      </c>
      <c r="G19522" s="40" t="s">
        <v>11404</v>
      </c>
      <c r="H19522" s="40" t="s">
        <v>11404</v>
      </c>
    </row>
    <row r="19523">
      <c r="A19523" s="39"/>
      <c r="E19523" s="40" t="s">
        <v>11404</v>
      </c>
      <c r="F19523" s="40" t="s">
        <v>11404</v>
      </c>
      <c r="G19523" s="40" t="s">
        <v>11404</v>
      </c>
      <c r="H19523" s="40" t="s">
        <v>11404</v>
      </c>
    </row>
    <row r="19524">
      <c r="A19524" s="39"/>
      <c r="E19524" s="40" t="s">
        <v>11404</v>
      </c>
      <c r="F19524" s="40" t="s">
        <v>11404</v>
      </c>
      <c r="G19524" s="40" t="s">
        <v>11404</v>
      </c>
      <c r="H19524" s="40" t="s">
        <v>11404</v>
      </c>
    </row>
    <row r="19525">
      <c r="A19525" s="39"/>
      <c r="E19525" s="40" t="s">
        <v>11404</v>
      </c>
      <c r="F19525" s="40" t="s">
        <v>11404</v>
      </c>
      <c r="G19525" s="40" t="s">
        <v>11404</v>
      </c>
      <c r="H19525" s="40" t="s">
        <v>11404</v>
      </c>
    </row>
    <row r="19526">
      <c r="A19526" s="39"/>
      <c r="E19526" s="40" t="s">
        <v>11404</v>
      </c>
      <c r="F19526" s="40" t="s">
        <v>11404</v>
      </c>
      <c r="G19526" s="40" t="s">
        <v>11404</v>
      </c>
      <c r="H19526" s="40" t="s">
        <v>11404</v>
      </c>
    </row>
    <row r="19527">
      <c r="A19527" s="39"/>
      <c r="E19527" s="40" t="s">
        <v>11404</v>
      </c>
      <c r="F19527" s="40" t="s">
        <v>11404</v>
      </c>
      <c r="G19527" s="40" t="s">
        <v>11404</v>
      </c>
      <c r="H19527" s="40" t="s">
        <v>11404</v>
      </c>
    </row>
    <row r="19528">
      <c r="A19528" s="39"/>
      <c r="E19528" s="40" t="s">
        <v>11404</v>
      </c>
      <c r="F19528" s="40" t="s">
        <v>11404</v>
      </c>
      <c r="G19528" s="40" t="s">
        <v>11404</v>
      </c>
      <c r="H19528" s="40" t="s">
        <v>11404</v>
      </c>
    </row>
    <row r="19529">
      <c r="A19529" s="39"/>
      <c r="E19529" s="40" t="s">
        <v>11404</v>
      </c>
      <c r="F19529" s="40" t="s">
        <v>11404</v>
      </c>
      <c r="G19529" s="40" t="s">
        <v>11404</v>
      </c>
      <c r="H19529" s="40" t="s">
        <v>11404</v>
      </c>
    </row>
    <row r="19530">
      <c r="A19530" s="39"/>
      <c r="E19530" s="40" t="s">
        <v>11404</v>
      </c>
      <c r="F19530" s="40" t="s">
        <v>11404</v>
      </c>
      <c r="G19530" s="40" t="s">
        <v>11404</v>
      </c>
      <c r="H19530" s="40" t="s">
        <v>11404</v>
      </c>
    </row>
    <row r="19531">
      <c r="A19531" s="39"/>
      <c r="E19531" s="40" t="s">
        <v>11404</v>
      </c>
      <c r="F19531" s="40" t="s">
        <v>11404</v>
      </c>
      <c r="G19531" s="40" t="s">
        <v>11404</v>
      </c>
      <c r="H19531" s="40" t="s">
        <v>11404</v>
      </c>
    </row>
    <row r="19532">
      <c r="A19532" s="39"/>
      <c r="E19532" s="40" t="s">
        <v>11404</v>
      </c>
      <c r="F19532" s="40" t="s">
        <v>11404</v>
      </c>
      <c r="G19532" s="40" t="s">
        <v>11404</v>
      </c>
      <c r="H19532" s="40" t="s">
        <v>11404</v>
      </c>
    </row>
    <row r="19533">
      <c r="A19533" s="39"/>
      <c r="E19533" s="40" t="s">
        <v>11404</v>
      </c>
      <c r="F19533" s="40" t="s">
        <v>11404</v>
      </c>
      <c r="G19533" s="40" t="s">
        <v>11404</v>
      </c>
      <c r="H19533" s="40" t="s">
        <v>11404</v>
      </c>
    </row>
    <row r="19534">
      <c r="A19534" s="39"/>
      <c r="E19534" s="40" t="s">
        <v>11404</v>
      </c>
      <c r="F19534" s="40" t="s">
        <v>11404</v>
      </c>
      <c r="G19534" s="40" t="s">
        <v>11404</v>
      </c>
      <c r="H19534" s="40" t="s">
        <v>11404</v>
      </c>
    </row>
    <row r="19535">
      <c r="A19535" s="39"/>
      <c r="E19535" s="40" t="s">
        <v>11404</v>
      </c>
      <c r="F19535" s="40" t="s">
        <v>11404</v>
      </c>
      <c r="G19535" s="40" t="s">
        <v>11404</v>
      </c>
      <c r="H19535" s="40" t="s">
        <v>11404</v>
      </c>
    </row>
    <row r="19536">
      <c r="A19536" s="39"/>
      <c r="E19536" s="40" t="s">
        <v>11404</v>
      </c>
      <c r="F19536" s="40" t="s">
        <v>11404</v>
      </c>
      <c r="G19536" s="40" t="s">
        <v>11404</v>
      </c>
      <c r="H19536" s="40" t="s">
        <v>11404</v>
      </c>
    </row>
    <row r="19537">
      <c r="A19537" s="39"/>
      <c r="E19537" s="40" t="s">
        <v>11404</v>
      </c>
      <c r="F19537" s="40" t="s">
        <v>11404</v>
      </c>
      <c r="G19537" s="40" t="s">
        <v>11404</v>
      </c>
      <c r="H19537" s="40" t="s">
        <v>11404</v>
      </c>
    </row>
    <row r="19538">
      <c r="A19538" s="39"/>
      <c r="E19538" s="40" t="s">
        <v>11404</v>
      </c>
      <c r="F19538" s="40" t="s">
        <v>11404</v>
      </c>
      <c r="G19538" s="40" t="s">
        <v>11404</v>
      </c>
      <c r="H19538" s="40" t="s">
        <v>11404</v>
      </c>
    </row>
    <row r="19539">
      <c r="A19539" s="39"/>
      <c r="E19539" s="40" t="s">
        <v>11404</v>
      </c>
      <c r="F19539" s="40" t="s">
        <v>11404</v>
      </c>
      <c r="G19539" s="40" t="s">
        <v>11404</v>
      </c>
      <c r="H19539" s="40" t="s">
        <v>11404</v>
      </c>
    </row>
    <row r="19540">
      <c r="A19540" s="39"/>
      <c r="E19540" s="40" t="s">
        <v>11404</v>
      </c>
      <c r="F19540" s="40" t="s">
        <v>11404</v>
      </c>
      <c r="G19540" s="40" t="s">
        <v>11404</v>
      </c>
      <c r="H19540" s="40" t="s">
        <v>11404</v>
      </c>
    </row>
    <row r="19541">
      <c r="A19541" s="39"/>
      <c r="E19541" s="40" t="s">
        <v>11404</v>
      </c>
      <c r="F19541" s="40" t="s">
        <v>11404</v>
      </c>
      <c r="G19541" s="40" t="s">
        <v>11404</v>
      </c>
      <c r="H19541" s="40" t="s">
        <v>11404</v>
      </c>
    </row>
    <row r="19542">
      <c r="A19542" s="39"/>
      <c r="E19542" s="40" t="s">
        <v>11404</v>
      </c>
      <c r="F19542" s="40" t="s">
        <v>11404</v>
      </c>
      <c r="G19542" s="40" t="s">
        <v>11404</v>
      </c>
      <c r="H19542" s="40" t="s">
        <v>11404</v>
      </c>
    </row>
    <row r="19543">
      <c r="A19543" s="39"/>
      <c r="E19543" s="40" t="s">
        <v>11404</v>
      </c>
      <c r="F19543" s="40" t="s">
        <v>11404</v>
      </c>
      <c r="G19543" s="40" t="s">
        <v>11404</v>
      </c>
      <c r="H19543" s="40" t="s">
        <v>11404</v>
      </c>
    </row>
    <row r="19544">
      <c r="A19544" s="39"/>
      <c r="E19544" s="40" t="s">
        <v>11404</v>
      </c>
      <c r="F19544" s="40" t="s">
        <v>11404</v>
      </c>
      <c r="G19544" s="40" t="s">
        <v>11404</v>
      </c>
      <c r="H19544" s="40" t="s">
        <v>11404</v>
      </c>
    </row>
    <row r="19545">
      <c r="A19545" s="39"/>
      <c r="E19545" s="40" t="s">
        <v>11404</v>
      </c>
      <c r="F19545" s="40" t="s">
        <v>11404</v>
      </c>
      <c r="G19545" s="40" t="s">
        <v>11404</v>
      </c>
      <c r="H19545" s="40" t="s">
        <v>11404</v>
      </c>
    </row>
    <row r="19546">
      <c r="A19546" s="39"/>
      <c r="E19546" s="40" t="s">
        <v>11404</v>
      </c>
      <c r="F19546" s="40" t="s">
        <v>11404</v>
      </c>
      <c r="G19546" s="40" t="s">
        <v>11404</v>
      </c>
      <c r="H19546" s="40" t="s">
        <v>11404</v>
      </c>
    </row>
    <row r="19547">
      <c r="A19547" s="39"/>
      <c r="E19547" s="40" t="s">
        <v>11404</v>
      </c>
      <c r="F19547" s="40" t="s">
        <v>11404</v>
      </c>
      <c r="G19547" s="40" t="s">
        <v>11404</v>
      </c>
      <c r="H19547" s="40" t="s">
        <v>11404</v>
      </c>
    </row>
    <row r="19548">
      <c r="A19548" s="39"/>
      <c r="E19548" s="40" t="s">
        <v>11404</v>
      </c>
      <c r="F19548" s="40" t="s">
        <v>11404</v>
      </c>
      <c r="G19548" s="40" t="s">
        <v>11404</v>
      </c>
      <c r="H19548" s="40" t="s">
        <v>11404</v>
      </c>
    </row>
    <row r="19549">
      <c r="A19549" s="39"/>
      <c r="E19549" s="40" t="s">
        <v>11404</v>
      </c>
      <c r="F19549" s="40" t="s">
        <v>11404</v>
      </c>
      <c r="G19549" s="40" t="s">
        <v>11404</v>
      </c>
      <c r="H19549" s="40" t="s">
        <v>11404</v>
      </c>
    </row>
    <row r="19550">
      <c r="A19550" s="39"/>
      <c r="E19550" s="40" t="s">
        <v>11404</v>
      </c>
      <c r="F19550" s="40" t="s">
        <v>11404</v>
      </c>
      <c r="G19550" s="40" t="s">
        <v>11404</v>
      </c>
      <c r="H19550" s="40" t="s">
        <v>11404</v>
      </c>
    </row>
    <row r="19551">
      <c r="A19551" s="39"/>
      <c r="E19551" s="40" t="s">
        <v>11404</v>
      </c>
      <c r="F19551" s="40" t="s">
        <v>11404</v>
      </c>
      <c r="G19551" s="40" t="s">
        <v>11404</v>
      </c>
      <c r="H19551" s="40" t="s">
        <v>11404</v>
      </c>
    </row>
    <row r="19552">
      <c r="A19552" s="39"/>
      <c r="E19552" s="40" t="s">
        <v>11404</v>
      </c>
      <c r="F19552" s="40" t="s">
        <v>11404</v>
      </c>
      <c r="G19552" s="40" t="s">
        <v>11404</v>
      </c>
      <c r="H19552" s="40" t="s">
        <v>11404</v>
      </c>
    </row>
    <row r="19553">
      <c r="A19553" s="39"/>
      <c r="E19553" s="40" t="s">
        <v>11404</v>
      </c>
      <c r="F19553" s="40" t="s">
        <v>11404</v>
      </c>
      <c r="G19553" s="40" t="s">
        <v>11404</v>
      </c>
      <c r="H19553" s="40" t="s">
        <v>11404</v>
      </c>
    </row>
    <row r="19554">
      <c r="A19554" s="39"/>
      <c r="E19554" s="40" t="s">
        <v>11404</v>
      </c>
      <c r="F19554" s="40" t="s">
        <v>11404</v>
      </c>
      <c r="G19554" s="40" t="s">
        <v>11404</v>
      </c>
      <c r="H19554" s="40" t="s">
        <v>11404</v>
      </c>
    </row>
    <row r="19555">
      <c r="A19555" s="39"/>
      <c r="E19555" s="40" t="s">
        <v>11404</v>
      </c>
      <c r="F19555" s="40" t="s">
        <v>11404</v>
      </c>
      <c r="G19555" s="40" t="s">
        <v>11404</v>
      </c>
      <c r="H19555" s="40" t="s">
        <v>11404</v>
      </c>
    </row>
    <row r="19556">
      <c r="A19556" s="39"/>
      <c r="E19556" s="40" t="s">
        <v>11404</v>
      </c>
      <c r="F19556" s="40" t="s">
        <v>11404</v>
      </c>
      <c r="G19556" s="40" t="s">
        <v>11404</v>
      </c>
      <c r="H19556" s="40" t="s">
        <v>11404</v>
      </c>
    </row>
    <row r="19557">
      <c r="A19557" s="39"/>
      <c r="E19557" s="40" t="s">
        <v>11404</v>
      </c>
      <c r="F19557" s="40" t="s">
        <v>11404</v>
      </c>
      <c r="G19557" s="40" t="s">
        <v>11404</v>
      </c>
      <c r="H19557" s="40" t="s">
        <v>11404</v>
      </c>
    </row>
    <row r="19558">
      <c r="A19558" s="39"/>
      <c r="E19558" s="40" t="s">
        <v>11404</v>
      </c>
      <c r="F19558" s="40" t="s">
        <v>11404</v>
      </c>
      <c r="G19558" s="40" t="s">
        <v>11404</v>
      </c>
      <c r="H19558" s="40" t="s">
        <v>11404</v>
      </c>
    </row>
    <row r="19559">
      <c r="A19559" s="39"/>
      <c r="E19559" s="40" t="s">
        <v>11404</v>
      </c>
      <c r="F19559" s="40" t="s">
        <v>11404</v>
      </c>
      <c r="G19559" s="40" t="s">
        <v>11404</v>
      </c>
      <c r="H19559" s="40" t="s">
        <v>11404</v>
      </c>
    </row>
    <row r="19560">
      <c r="A19560" s="39"/>
      <c r="E19560" s="40" t="s">
        <v>11404</v>
      </c>
      <c r="F19560" s="40" t="s">
        <v>11404</v>
      </c>
      <c r="G19560" s="40" t="s">
        <v>11404</v>
      </c>
      <c r="H19560" s="40" t="s">
        <v>11404</v>
      </c>
    </row>
    <row r="19561">
      <c r="A19561" s="39"/>
      <c r="E19561" s="40" t="s">
        <v>11404</v>
      </c>
      <c r="F19561" s="40" t="s">
        <v>11404</v>
      </c>
      <c r="G19561" s="40" t="s">
        <v>11404</v>
      </c>
      <c r="H19561" s="40" t="s">
        <v>11404</v>
      </c>
    </row>
    <row r="19562">
      <c r="A19562" s="39"/>
      <c r="E19562" s="40" t="s">
        <v>11404</v>
      </c>
      <c r="F19562" s="40" t="s">
        <v>11404</v>
      </c>
      <c r="G19562" s="40" t="s">
        <v>11404</v>
      </c>
      <c r="H19562" s="40" t="s">
        <v>11404</v>
      </c>
    </row>
    <row r="19563">
      <c r="A19563" s="39"/>
      <c r="E19563" s="40" t="s">
        <v>11404</v>
      </c>
      <c r="F19563" s="40" t="s">
        <v>11404</v>
      </c>
      <c r="G19563" s="40" t="s">
        <v>11404</v>
      </c>
      <c r="H19563" s="40" t="s">
        <v>11404</v>
      </c>
    </row>
    <row r="19564">
      <c r="A19564" s="39"/>
      <c r="E19564" s="40" t="s">
        <v>11404</v>
      </c>
      <c r="F19564" s="40" t="s">
        <v>11404</v>
      </c>
      <c r="G19564" s="40" t="s">
        <v>11404</v>
      </c>
      <c r="H19564" s="40" t="s">
        <v>11404</v>
      </c>
    </row>
    <row r="19565">
      <c r="A19565" s="39"/>
      <c r="E19565" s="40" t="s">
        <v>11404</v>
      </c>
      <c r="F19565" s="40" t="s">
        <v>11404</v>
      </c>
      <c r="G19565" s="40" t="s">
        <v>11404</v>
      </c>
      <c r="H19565" s="40" t="s">
        <v>11404</v>
      </c>
    </row>
    <row r="19566">
      <c r="A19566" s="39"/>
      <c r="E19566" s="40" t="s">
        <v>11404</v>
      </c>
      <c r="F19566" s="40" t="s">
        <v>11404</v>
      </c>
      <c r="G19566" s="40" t="s">
        <v>11404</v>
      </c>
      <c r="H19566" s="40" t="s">
        <v>11404</v>
      </c>
    </row>
    <row r="19567">
      <c r="A19567" s="39"/>
      <c r="E19567" s="40" t="s">
        <v>11404</v>
      </c>
      <c r="F19567" s="40" t="s">
        <v>11404</v>
      </c>
      <c r="G19567" s="40" t="s">
        <v>11404</v>
      </c>
      <c r="H19567" s="40" t="s">
        <v>11404</v>
      </c>
    </row>
    <row r="19568">
      <c r="A19568" s="39"/>
      <c r="E19568" s="40" t="s">
        <v>11404</v>
      </c>
      <c r="F19568" s="40" t="s">
        <v>11404</v>
      </c>
      <c r="G19568" s="40" t="s">
        <v>11404</v>
      </c>
      <c r="H19568" s="40" t="s">
        <v>11404</v>
      </c>
    </row>
    <row r="19569">
      <c r="A19569" s="39"/>
      <c r="E19569" s="40" t="s">
        <v>11404</v>
      </c>
      <c r="F19569" s="40" t="s">
        <v>11404</v>
      </c>
      <c r="G19569" s="40" t="s">
        <v>11404</v>
      </c>
      <c r="H19569" s="40" t="s">
        <v>11404</v>
      </c>
    </row>
    <row r="19570">
      <c r="A19570" s="39"/>
      <c r="E19570" s="40" t="s">
        <v>11404</v>
      </c>
      <c r="F19570" s="40" t="s">
        <v>11404</v>
      </c>
      <c r="G19570" s="40" t="s">
        <v>11404</v>
      </c>
      <c r="H19570" s="40" t="s">
        <v>11404</v>
      </c>
    </row>
    <row r="19571">
      <c r="A19571" s="39"/>
      <c r="E19571" s="40" t="s">
        <v>11404</v>
      </c>
      <c r="F19571" s="40" t="s">
        <v>11404</v>
      </c>
      <c r="G19571" s="40" t="s">
        <v>11404</v>
      </c>
      <c r="H19571" s="40" t="s">
        <v>11404</v>
      </c>
    </row>
    <row r="19572">
      <c r="A19572" s="39"/>
      <c r="E19572" s="40" t="s">
        <v>11404</v>
      </c>
      <c r="F19572" s="40" t="s">
        <v>11404</v>
      </c>
      <c r="G19572" s="40" t="s">
        <v>11404</v>
      </c>
      <c r="H19572" s="40" t="s">
        <v>11404</v>
      </c>
    </row>
    <row r="19573">
      <c r="A19573" s="39"/>
      <c r="E19573" s="40" t="s">
        <v>11404</v>
      </c>
      <c r="F19573" s="40" t="s">
        <v>11404</v>
      </c>
      <c r="G19573" s="40" t="s">
        <v>11404</v>
      </c>
      <c r="H19573" s="40" t="s">
        <v>11404</v>
      </c>
    </row>
    <row r="19574">
      <c r="A19574" s="39"/>
      <c r="E19574" s="40" t="s">
        <v>11404</v>
      </c>
      <c r="F19574" s="40" t="s">
        <v>11404</v>
      </c>
      <c r="G19574" s="40" t="s">
        <v>11404</v>
      </c>
      <c r="H19574" s="40" t="s">
        <v>11404</v>
      </c>
    </row>
    <row r="19575">
      <c r="A19575" s="39"/>
      <c r="E19575" s="40" t="s">
        <v>11404</v>
      </c>
      <c r="F19575" s="40" t="s">
        <v>11404</v>
      </c>
      <c r="G19575" s="40" t="s">
        <v>11404</v>
      </c>
      <c r="H19575" s="40" t="s">
        <v>11404</v>
      </c>
    </row>
    <row r="19576">
      <c r="A19576" s="39"/>
      <c r="E19576" s="40" t="s">
        <v>11404</v>
      </c>
      <c r="F19576" s="40" t="s">
        <v>11404</v>
      </c>
      <c r="G19576" s="40" t="s">
        <v>11404</v>
      </c>
      <c r="H19576" s="40" t="s">
        <v>11404</v>
      </c>
    </row>
    <row r="19577">
      <c r="A19577" s="39"/>
      <c r="E19577" s="40" t="s">
        <v>11404</v>
      </c>
      <c r="F19577" s="40" t="s">
        <v>11404</v>
      </c>
      <c r="G19577" s="40" t="s">
        <v>11404</v>
      </c>
      <c r="H19577" s="40" t="s">
        <v>11404</v>
      </c>
    </row>
    <row r="19578">
      <c r="A19578" s="39"/>
      <c r="E19578" s="40" t="s">
        <v>11404</v>
      </c>
      <c r="F19578" s="40" t="s">
        <v>11404</v>
      </c>
      <c r="G19578" s="40" t="s">
        <v>11404</v>
      </c>
      <c r="H19578" s="40" t="s">
        <v>11404</v>
      </c>
    </row>
    <row r="19579">
      <c r="A19579" s="39"/>
      <c r="E19579" s="40" t="s">
        <v>11404</v>
      </c>
      <c r="F19579" s="40" t="s">
        <v>11404</v>
      </c>
      <c r="G19579" s="40" t="s">
        <v>11404</v>
      </c>
      <c r="H19579" s="40" t="s">
        <v>11404</v>
      </c>
    </row>
    <row r="19580">
      <c r="A19580" s="39"/>
      <c r="E19580" s="40" t="s">
        <v>11404</v>
      </c>
      <c r="F19580" s="40" t="s">
        <v>11404</v>
      </c>
      <c r="G19580" s="40" t="s">
        <v>11404</v>
      </c>
      <c r="H19580" s="40" t="s">
        <v>11404</v>
      </c>
    </row>
    <row r="19581">
      <c r="A19581" s="39"/>
      <c r="E19581" s="40" t="s">
        <v>11404</v>
      </c>
      <c r="F19581" s="40" t="s">
        <v>11404</v>
      </c>
      <c r="G19581" s="40" t="s">
        <v>11404</v>
      </c>
      <c r="H19581" s="40" t="s">
        <v>11404</v>
      </c>
    </row>
    <row r="19582">
      <c r="A19582" s="39"/>
      <c r="E19582" s="40" t="s">
        <v>11404</v>
      </c>
      <c r="F19582" s="40" t="s">
        <v>11404</v>
      </c>
      <c r="G19582" s="40" t="s">
        <v>11404</v>
      </c>
      <c r="H19582" s="40" t="s">
        <v>11404</v>
      </c>
    </row>
    <row r="19583">
      <c r="A19583" s="39"/>
      <c r="E19583" s="40" t="s">
        <v>11404</v>
      </c>
      <c r="F19583" s="40" t="s">
        <v>11404</v>
      </c>
      <c r="G19583" s="40" t="s">
        <v>11404</v>
      </c>
      <c r="H19583" s="40" t="s">
        <v>11404</v>
      </c>
    </row>
    <row r="19584">
      <c r="A19584" s="39"/>
      <c r="E19584" s="40" t="s">
        <v>11404</v>
      </c>
      <c r="F19584" s="40" t="s">
        <v>11404</v>
      </c>
      <c r="G19584" s="40" t="s">
        <v>11404</v>
      </c>
      <c r="H19584" s="40" t="s">
        <v>11404</v>
      </c>
    </row>
    <row r="19585">
      <c r="A19585" s="39"/>
      <c r="E19585" s="40" t="s">
        <v>11404</v>
      </c>
      <c r="F19585" s="40" t="s">
        <v>11404</v>
      </c>
      <c r="G19585" s="40" t="s">
        <v>11404</v>
      </c>
      <c r="H19585" s="40" t="s">
        <v>11404</v>
      </c>
    </row>
    <row r="19586">
      <c r="A19586" s="39"/>
      <c r="E19586" s="40" t="s">
        <v>11404</v>
      </c>
      <c r="F19586" s="40" t="s">
        <v>11404</v>
      </c>
      <c r="G19586" s="40" t="s">
        <v>11404</v>
      </c>
      <c r="H19586" s="40" t="s">
        <v>11404</v>
      </c>
    </row>
    <row r="19587">
      <c r="A19587" s="39"/>
      <c r="E19587" s="40" t="s">
        <v>11404</v>
      </c>
      <c r="F19587" s="40" t="s">
        <v>11404</v>
      </c>
      <c r="G19587" s="40" t="s">
        <v>11404</v>
      </c>
      <c r="H19587" s="40" t="s">
        <v>11404</v>
      </c>
    </row>
    <row r="19588">
      <c r="A19588" s="39"/>
      <c r="E19588" s="40" t="s">
        <v>11404</v>
      </c>
      <c r="F19588" s="40" t="s">
        <v>11404</v>
      </c>
      <c r="G19588" s="40" t="s">
        <v>11404</v>
      </c>
      <c r="H19588" s="40" t="s">
        <v>11404</v>
      </c>
    </row>
    <row r="19589">
      <c r="A19589" s="39"/>
      <c r="E19589" s="40" t="s">
        <v>11404</v>
      </c>
      <c r="F19589" s="40" t="s">
        <v>11404</v>
      </c>
      <c r="G19589" s="40" t="s">
        <v>11404</v>
      </c>
      <c r="H19589" s="40" t="s">
        <v>11404</v>
      </c>
    </row>
    <row r="19590">
      <c r="A19590" s="39"/>
      <c r="E19590" s="40" t="s">
        <v>11404</v>
      </c>
      <c r="F19590" s="40" t="s">
        <v>11404</v>
      </c>
      <c r="G19590" s="40" t="s">
        <v>11404</v>
      </c>
      <c r="H19590" s="40" t="s">
        <v>11404</v>
      </c>
    </row>
    <row r="19591">
      <c r="A19591" s="39"/>
      <c r="E19591" s="40" t="s">
        <v>11404</v>
      </c>
      <c r="F19591" s="40" t="s">
        <v>11404</v>
      </c>
      <c r="G19591" s="40" t="s">
        <v>11404</v>
      </c>
      <c r="H19591" s="40" t="s">
        <v>11404</v>
      </c>
    </row>
    <row r="19592">
      <c r="A19592" s="39"/>
      <c r="E19592" s="40" t="s">
        <v>11404</v>
      </c>
      <c r="F19592" s="40" t="s">
        <v>11404</v>
      </c>
      <c r="G19592" s="40" t="s">
        <v>11404</v>
      </c>
      <c r="H19592" s="40" t="s">
        <v>11404</v>
      </c>
    </row>
    <row r="19593">
      <c r="A19593" s="39"/>
      <c r="E19593" s="40" t="s">
        <v>11404</v>
      </c>
      <c r="F19593" s="40" t="s">
        <v>11404</v>
      </c>
      <c r="G19593" s="40" t="s">
        <v>11404</v>
      </c>
      <c r="H19593" s="40" t="s">
        <v>11404</v>
      </c>
    </row>
    <row r="19594">
      <c r="A19594" s="39"/>
      <c r="E19594" s="40" t="s">
        <v>11404</v>
      </c>
      <c r="F19594" s="40" t="s">
        <v>11404</v>
      </c>
      <c r="G19594" s="40" t="s">
        <v>11404</v>
      </c>
      <c r="H19594" s="40" t="s">
        <v>11404</v>
      </c>
    </row>
    <row r="19595">
      <c r="A19595" s="39"/>
      <c r="E19595" s="40" t="s">
        <v>11404</v>
      </c>
      <c r="F19595" s="40" t="s">
        <v>11404</v>
      </c>
      <c r="G19595" s="40" t="s">
        <v>11404</v>
      </c>
      <c r="H19595" s="40" t="s">
        <v>11404</v>
      </c>
    </row>
    <row r="19596">
      <c r="A19596" s="39"/>
      <c r="E19596" s="40" t="s">
        <v>11404</v>
      </c>
      <c r="F19596" s="40" t="s">
        <v>11404</v>
      </c>
      <c r="G19596" s="40" t="s">
        <v>11404</v>
      </c>
      <c r="H19596" s="40" t="s">
        <v>11404</v>
      </c>
    </row>
    <row r="19597">
      <c r="A19597" s="39"/>
      <c r="E19597" s="40" t="s">
        <v>11404</v>
      </c>
      <c r="F19597" s="40" t="s">
        <v>11404</v>
      </c>
      <c r="G19597" s="40" t="s">
        <v>11404</v>
      </c>
      <c r="H19597" s="40" t="s">
        <v>11404</v>
      </c>
    </row>
    <row r="19598">
      <c r="A19598" s="39"/>
      <c r="E19598" s="40" t="s">
        <v>11404</v>
      </c>
      <c r="F19598" s="40" t="s">
        <v>11404</v>
      </c>
      <c r="G19598" s="40" t="s">
        <v>11404</v>
      </c>
      <c r="H19598" s="40" t="s">
        <v>11404</v>
      </c>
    </row>
    <row r="19599">
      <c r="A19599" s="39"/>
      <c r="E19599" s="40" t="s">
        <v>11404</v>
      </c>
      <c r="F19599" s="40" t="s">
        <v>11404</v>
      </c>
      <c r="G19599" s="40" t="s">
        <v>11404</v>
      </c>
      <c r="H19599" s="40" t="s">
        <v>11404</v>
      </c>
    </row>
    <row r="19600">
      <c r="A19600" s="39"/>
      <c r="E19600" s="40" t="s">
        <v>11404</v>
      </c>
      <c r="F19600" s="40" t="s">
        <v>11404</v>
      </c>
      <c r="G19600" s="40" t="s">
        <v>11404</v>
      </c>
      <c r="H19600" s="40" t="s">
        <v>11404</v>
      </c>
    </row>
    <row r="19601">
      <c r="A19601" s="39"/>
      <c r="E19601" s="40" t="s">
        <v>11404</v>
      </c>
      <c r="F19601" s="40" t="s">
        <v>11404</v>
      </c>
      <c r="G19601" s="40" t="s">
        <v>11404</v>
      </c>
      <c r="H19601" s="40" t="s">
        <v>11404</v>
      </c>
    </row>
    <row r="19602">
      <c r="A19602" s="39"/>
      <c r="E19602" s="40" t="s">
        <v>11404</v>
      </c>
      <c r="F19602" s="40" t="s">
        <v>11404</v>
      </c>
      <c r="G19602" s="40" t="s">
        <v>11404</v>
      </c>
      <c r="H19602" s="40" t="s">
        <v>11404</v>
      </c>
    </row>
    <row r="19603">
      <c r="A19603" s="39"/>
      <c r="E19603" s="40" t="s">
        <v>11404</v>
      </c>
      <c r="F19603" s="40" t="s">
        <v>11404</v>
      </c>
      <c r="G19603" s="40" t="s">
        <v>11404</v>
      </c>
      <c r="H19603" s="40" t="s">
        <v>11404</v>
      </c>
    </row>
    <row r="19604">
      <c r="A19604" s="39"/>
      <c r="E19604" s="40" t="s">
        <v>11404</v>
      </c>
      <c r="F19604" s="40" t="s">
        <v>11404</v>
      </c>
      <c r="G19604" s="40" t="s">
        <v>11404</v>
      </c>
      <c r="H19604" s="40" t="s">
        <v>11404</v>
      </c>
    </row>
    <row r="19605">
      <c r="A19605" s="39"/>
      <c r="E19605" s="40" t="s">
        <v>11404</v>
      </c>
      <c r="F19605" s="40" t="s">
        <v>11404</v>
      </c>
      <c r="G19605" s="40" t="s">
        <v>11404</v>
      </c>
      <c r="H19605" s="40" t="s">
        <v>11404</v>
      </c>
    </row>
    <row r="19606">
      <c r="A19606" s="39"/>
      <c r="E19606" s="40" t="s">
        <v>11404</v>
      </c>
      <c r="F19606" s="40" t="s">
        <v>11404</v>
      </c>
      <c r="G19606" s="40" t="s">
        <v>11404</v>
      </c>
      <c r="H19606" s="40" t="s">
        <v>11404</v>
      </c>
    </row>
    <row r="19607">
      <c r="A19607" s="39"/>
      <c r="E19607" s="40" t="s">
        <v>11404</v>
      </c>
      <c r="F19607" s="40" t="s">
        <v>11404</v>
      </c>
      <c r="G19607" s="40" t="s">
        <v>11404</v>
      </c>
      <c r="H19607" s="40" t="s">
        <v>11404</v>
      </c>
    </row>
    <row r="19608">
      <c r="A19608" s="39"/>
      <c r="E19608" s="40" t="s">
        <v>11404</v>
      </c>
      <c r="F19608" s="40" t="s">
        <v>11404</v>
      </c>
      <c r="G19608" s="40" t="s">
        <v>11404</v>
      </c>
      <c r="H19608" s="40" t="s">
        <v>11404</v>
      </c>
    </row>
    <row r="19609">
      <c r="A19609" s="39"/>
      <c r="E19609" s="40" t="s">
        <v>11404</v>
      </c>
      <c r="F19609" s="40" t="s">
        <v>11404</v>
      </c>
      <c r="G19609" s="40" t="s">
        <v>11404</v>
      </c>
      <c r="H19609" s="40" t="s">
        <v>11404</v>
      </c>
    </row>
    <row r="19610">
      <c r="A19610" s="39"/>
      <c r="E19610" s="40" t="s">
        <v>11404</v>
      </c>
      <c r="F19610" s="40" t="s">
        <v>11404</v>
      </c>
      <c r="G19610" s="40" t="s">
        <v>11404</v>
      </c>
      <c r="H19610" s="40" t="s">
        <v>11404</v>
      </c>
    </row>
    <row r="19611">
      <c r="A19611" s="39"/>
      <c r="E19611" s="40" t="s">
        <v>11404</v>
      </c>
      <c r="F19611" s="40" t="s">
        <v>11404</v>
      </c>
      <c r="G19611" s="40" t="s">
        <v>11404</v>
      </c>
      <c r="H19611" s="40" t="s">
        <v>11404</v>
      </c>
    </row>
    <row r="19612">
      <c r="A19612" s="39"/>
      <c r="E19612" s="40" t="s">
        <v>11404</v>
      </c>
      <c r="F19612" s="40" t="s">
        <v>11404</v>
      </c>
      <c r="G19612" s="40" t="s">
        <v>11404</v>
      </c>
      <c r="H19612" s="40" t="s">
        <v>11404</v>
      </c>
    </row>
    <row r="19613">
      <c r="A19613" s="39"/>
      <c r="E19613" s="40" t="s">
        <v>11404</v>
      </c>
      <c r="F19613" s="40" t="s">
        <v>11404</v>
      </c>
      <c r="G19613" s="40" t="s">
        <v>11404</v>
      </c>
      <c r="H19613" s="40" t="s">
        <v>11404</v>
      </c>
    </row>
    <row r="19614">
      <c r="A19614" s="39"/>
      <c r="E19614" s="40" t="s">
        <v>11404</v>
      </c>
      <c r="F19614" s="40" t="s">
        <v>11404</v>
      </c>
      <c r="G19614" s="40" t="s">
        <v>11404</v>
      </c>
      <c r="H19614" s="40" t="s">
        <v>11404</v>
      </c>
    </row>
    <row r="19615">
      <c r="A19615" s="39"/>
      <c r="E19615" s="40" t="s">
        <v>11404</v>
      </c>
      <c r="F19615" s="40" t="s">
        <v>11404</v>
      </c>
      <c r="G19615" s="40" t="s">
        <v>11404</v>
      </c>
      <c r="H19615" s="40" t="s">
        <v>11404</v>
      </c>
    </row>
    <row r="19616">
      <c r="A19616" s="39"/>
      <c r="E19616" s="40" t="s">
        <v>11404</v>
      </c>
      <c r="F19616" s="40" t="s">
        <v>11404</v>
      </c>
      <c r="G19616" s="40" t="s">
        <v>11404</v>
      </c>
      <c r="H19616" s="40" t="s">
        <v>11404</v>
      </c>
    </row>
    <row r="19617">
      <c r="A19617" s="39"/>
      <c r="E19617" s="40" t="s">
        <v>11404</v>
      </c>
      <c r="F19617" s="40" t="s">
        <v>11404</v>
      </c>
      <c r="G19617" s="40" t="s">
        <v>11404</v>
      </c>
      <c r="H19617" s="40" t="s">
        <v>11404</v>
      </c>
    </row>
    <row r="19618">
      <c r="A19618" s="39"/>
      <c r="E19618" s="40" t="s">
        <v>11404</v>
      </c>
      <c r="F19618" s="40" t="s">
        <v>11404</v>
      </c>
      <c r="G19618" s="40" t="s">
        <v>11404</v>
      </c>
      <c r="H19618" s="40" t="s">
        <v>11404</v>
      </c>
    </row>
    <row r="19619">
      <c r="A19619" s="39"/>
      <c r="E19619" s="40" t="s">
        <v>11404</v>
      </c>
      <c r="F19619" s="40" t="s">
        <v>11404</v>
      </c>
      <c r="G19619" s="40" t="s">
        <v>11404</v>
      </c>
      <c r="H19619" s="40" t="s">
        <v>11404</v>
      </c>
    </row>
    <row r="19620">
      <c r="A19620" s="39"/>
      <c r="E19620" s="40" t="s">
        <v>11404</v>
      </c>
      <c r="F19620" s="40" t="s">
        <v>11404</v>
      </c>
      <c r="G19620" s="40" t="s">
        <v>11404</v>
      </c>
      <c r="H19620" s="40" t="s">
        <v>11404</v>
      </c>
    </row>
    <row r="19621">
      <c r="A19621" s="39"/>
      <c r="E19621" s="40" t="s">
        <v>11404</v>
      </c>
      <c r="F19621" s="40" t="s">
        <v>11404</v>
      </c>
      <c r="G19621" s="40" t="s">
        <v>11404</v>
      </c>
      <c r="H19621" s="40" t="s">
        <v>11404</v>
      </c>
    </row>
    <row r="19622">
      <c r="A19622" s="39"/>
      <c r="E19622" s="40" t="s">
        <v>11404</v>
      </c>
      <c r="F19622" s="40" t="s">
        <v>11404</v>
      </c>
      <c r="G19622" s="40" t="s">
        <v>11404</v>
      </c>
      <c r="H19622" s="40" t="s">
        <v>11404</v>
      </c>
    </row>
    <row r="19623">
      <c r="A19623" s="39"/>
      <c r="E19623" s="40" t="s">
        <v>11404</v>
      </c>
      <c r="F19623" s="40" t="s">
        <v>11404</v>
      </c>
      <c r="G19623" s="40" t="s">
        <v>11404</v>
      </c>
      <c r="H19623" s="40" t="s">
        <v>11404</v>
      </c>
    </row>
    <row r="19624">
      <c r="A19624" s="39"/>
      <c r="E19624" s="40" t="s">
        <v>11404</v>
      </c>
      <c r="F19624" s="40" t="s">
        <v>11404</v>
      </c>
      <c r="G19624" s="40" t="s">
        <v>11404</v>
      </c>
      <c r="H19624" s="40" t="s">
        <v>11404</v>
      </c>
    </row>
    <row r="19625">
      <c r="A19625" s="39"/>
      <c r="E19625" s="40" t="s">
        <v>11404</v>
      </c>
      <c r="F19625" s="40" t="s">
        <v>11404</v>
      </c>
      <c r="G19625" s="40" t="s">
        <v>11404</v>
      </c>
      <c r="H19625" s="40" t="s">
        <v>11404</v>
      </c>
    </row>
    <row r="19626">
      <c r="A19626" s="39"/>
      <c r="E19626" s="40" t="s">
        <v>11404</v>
      </c>
      <c r="F19626" s="40" t="s">
        <v>11404</v>
      </c>
      <c r="G19626" s="40" t="s">
        <v>11404</v>
      </c>
      <c r="H19626" s="40" t="s">
        <v>11404</v>
      </c>
    </row>
    <row r="19627">
      <c r="A19627" s="39"/>
      <c r="E19627" s="40" t="s">
        <v>11404</v>
      </c>
      <c r="F19627" s="40" t="s">
        <v>11404</v>
      </c>
      <c r="G19627" s="40" t="s">
        <v>11404</v>
      </c>
      <c r="H19627" s="40" t="s">
        <v>11404</v>
      </c>
    </row>
    <row r="19628">
      <c r="A19628" s="39"/>
      <c r="E19628" s="40" t="s">
        <v>11404</v>
      </c>
      <c r="F19628" s="40" t="s">
        <v>11404</v>
      </c>
      <c r="G19628" s="40" t="s">
        <v>11404</v>
      </c>
      <c r="H19628" s="40" t="s">
        <v>11404</v>
      </c>
    </row>
    <row r="19629">
      <c r="A19629" s="39"/>
      <c r="E19629" s="40" t="s">
        <v>11404</v>
      </c>
      <c r="F19629" s="40" t="s">
        <v>11404</v>
      </c>
      <c r="G19629" s="40" t="s">
        <v>11404</v>
      </c>
      <c r="H19629" s="40" t="s">
        <v>11404</v>
      </c>
    </row>
    <row r="19630">
      <c r="A19630" s="39"/>
      <c r="E19630" s="40" t="s">
        <v>11404</v>
      </c>
      <c r="F19630" s="40" t="s">
        <v>11404</v>
      </c>
      <c r="G19630" s="40" t="s">
        <v>11404</v>
      </c>
      <c r="H19630" s="40" t="s">
        <v>11404</v>
      </c>
    </row>
    <row r="19631">
      <c r="A19631" s="39"/>
      <c r="E19631" s="40" t="s">
        <v>11404</v>
      </c>
      <c r="F19631" s="40" t="s">
        <v>11404</v>
      </c>
      <c r="G19631" s="40" t="s">
        <v>11404</v>
      </c>
      <c r="H19631" s="40" t="s">
        <v>11404</v>
      </c>
    </row>
    <row r="19632">
      <c r="A19632" s="39"/>
      <c r="E19632" s="40" t="s">
        <v>11404</v>
      </c>
      <c r="F19632" s="40" t="s">
        <v>11404</v>
      </c>
      <c r="G19632" s="40" t="s">
        <v>11404</v>
      </c>
      <c r="H19632" s="40" t="s">
        <v>11404</v>
      </c>
    </row>
    <row r="19633">
      <c r="A19633" s="39"/>
      <c r="E19633" s="40" t="s">
        <v>11404</v>
      </c>
      <c r="F19633" s="40" t="s">
        <v>11404</v>
      </c>
      <c r="G19633" s="40" t="s">
        <v>11404</v>
      </c>
      <c r="H19633" s="40" t="s">
        <v>11404</v>
      </c>
    </row>
    <row r="19634">
      <c r="A19634" s="39"/>
      <c r="E19634" s="40" t="s">
        <v>11404</v>
      </c>
      <c r="F19634" s="40" t="s">
        <v>11404</v>
      </c>
      <c r="G19634" s="40" t="s">
        <v>11404</v>
      </c>
      <c r="H19634" s="40" t="s">
        <v>11404</v>
      </c>
    </row>
    <row r="19635">
      <c r="A19635" s="39"/>
      <c r="E19635" s="40" t="s">
        <v>11404</v>
      </c>
      <c r="F19635" s="40" t="s">
        <v>11404</v>
      </c>
      <c r="G19635" s="40" t="s">
        <v>11404</v>
      </c>
      <c r="H19635" s="40" t="s">
        <v>11404</v>
      </c>
    </row>
    <row r="19636">
      <c r="A19636" s="39"/>
      <c r="E19636" s="40" t="s">
        <v>11404</v>
      </c>
      <c r="F19636" s="40" t="s">
        <v>11404</v>
      </c>
      <c r="G19636" s="40" t="s">
        <v>11404</v>
      </c>
      <c r="H19636" s="40" t="s">
        <v>11404</v>
      </c>
    </row>
    <row r="19637">
      <c r="A19637" s="39"/>
      <c r="E19637" s="40" t="s">
        <v>11404</v>
      </c>
      <c r="F19637" s="40" t="s">
        <v>11404</v>
      </c>
      <c r="G19637" s="40" t="s">
        <v>11404</v>
      </c>
      <c r="H19637" s="40" t="s">
        <v>11404</v>
      </c>
    </row>
    <row r="19638">
      <c r="A19638" s="39"/>
      <c r="E19638" s="40" t="s">
        <v>11404</v>
      </c>
      <c r="F19638" s="40" t="s">
        <v>11404</v>
      </c>
      <c r="G19638" s="40" t="s">
        <v>11404</v>
      </c>
      <c r="H19638" s="40" t="s">
        <v>11404</v>
      </c>
    </row>
    <row r="19639">
      <c r="A19639" s="39"/>
      <c r="E19639" s="40" t="s">
        <v>11404</v>
      </c>
      <c r="F19639" s="40" t="s">
        <v>11404</v>
      </c>
      <c r="G19639" s="40" t="s">
        <v>11404</v>
      </c>
      <c r="H19639" s="40" t="s">
        <v>11404</v>
      </c>
    </row>
    <row r="19640">
      <c r="A19640" s="39"/>
      <c r="E19640" s="40" t="s">
        <v>11404</v>
      </c>
      <c r="F19640" s="40" t="s">
        <v>11404</v>
      </c>
      <c r="G19640" s="40" t="s">
        <v>11404</v>
      </c>
      <c r="H19640" s="40" t="s">
        <v>11404</v>
      </c>
    </row>
    <row r="19641">
      <c r="A19641" s="39"/>
      <c r="E19641" s="40" t="s">
        <v>11404</v>
      </c>
      <c r="F19641" s="40" t="s">
        <v>11404</v>
      </c>
      <c r="G19641" s="40" t="s">
        <v>11404</v>
      </c>
      <c r="H19641" s="40" t="s">
        <v>11404</v>
      </c>
    </row>
    <row r="19642">
      <c r="A19642" s="39"/>
      <c r="E19642" s="40" t="s">
        <v>11404</v>
      </c>
      <c r="F19642" s="40" t="s">
        <v>11404</v>
      </c>
      <c r="G19642" s="40" t="s">
        <v>11404</v>
      </c>
      <c r="H19642" s="40" t="s">
        <v>11404</v>
      </c>
    </row>
    <row r="19643">
      <c r="A19643" s="39"/>
      <c r="E19643" s="40" t="s">
        <v>11404</v>
      </c>
      <c r="F19643" s="40" t="s">
        <v>11404</v>
      </c>
      <c r="G19643" s="40" t="s">
        <v>11404</v>
      </c>
      <c r="H19643" s="40" t="s">
        <v>11404</v>
      </c>
    </row>
    <row r="19644">
      <c r="A19644" s="39"/>
      <c r="E19644" s="40" t="s">
        <v>11404</v>
      </c>
      <c r="F19644" s="40" t="s">
        <v>11404</v>
      </c>
      <c r="G19644" s="40" t="s">
        <v>11404</v>
      </c>
      <c r="H19644" s="40" t="s">
        <v>11404</v>
      </c>
    </row>
    <row r="19645">
      <c r="A19645" s="39"/>
      <c r="E19645" s="40" t="s">
        <v>11404</v>
      </c>
      <c r="F19645" s="40" t="s">
        <v>11404</v>
      </c>
      <c r="G19645" s="40" t="s">
        <v>11404</v>
      </c>
      <c r="H19645" s="40" t="s">
        <v>11404</v>
      </c>
    </row>
    <row r="19646">
      <c r="A19646" s="39"/>
      <c r="E19646" s="40" t="s">
        <v>11404</v>
      </c>
      <c r="F19646" s="40" t="s">
        <v>11404</v>
      </c>
      <c r="G19646" s="40" t="s">
        <v>11404</v>
      </c>
      <c r="H19646" s="40" t="s">
        <v>11404</v>
      </c>
    </row>
    <row r="19647">
      <c r="A19647" s="39"/>
      <c r="E19647" s="40" t="s">
        <v>11404</v>
      </c>
      <c r="F19647" s="40" t="s">
        <v>11404</v>
      </c>
      <c r="G19647" s="40" t="s">
        <v>11404</v>
      </c>
      <c r="H19647" s="40" t="s">
        <v>11404</v>
      </c>
    </row>
    <row r="19648">
      <c r="A19648" s="39"/>
      <c r="E19648" s="40" t="s">
        <v>11404</v>
      </c>
      <c r="F19648" s="40" t="s">
        <v>11404</v>
      </c>
      <c r="G19648" s="40" t="s">
        <v>11404</v>
      </c>
      <c r="H19648" s="40" t="s">
        <v>11404</v>
      </c>
    </row>
    <row r="19649">
      <c r="A19649" s="39"/>
      <c r="E19649" s="40" t="s">
        <v>11404</v>
      </c>
      <c r="F19649" s="40" t="s">
        <v>11404</v>
      </c>
      <c r="G19649" s="40" t="s">
        <v>11404</v>
      </c>
      <c r="H19649" s="40" t="s">
        <v>11404</v>
      </c>
    </row>
    <row r="19650">
      <c r="A19650" s="39"/>
      <c r="E19650" s="40" t="s">
        <v>11404</v>
      </c>
      <c r="F19650" s="40" t="s">
        <v>11404</v>
      </c>
      <c r="G19650" s="40" t="s">
        <v>11404</v>
      </c>
      <c r="H19650" s="40" t="s">
        <v>11404</v>
      </c>
    </row>
    <row r="19651">
      <c r="A19651" s="39"/>
      <c r="E19651" s="40" t="s">
        <v>11404</v>
      </c>
      <c r="F19651" s="40" t="s">
        <v>11404</v>
      </c>
      <c r="G19651" s="40" t="s">
        <v>11404</v>
      </c>
      <c r="H19651" s="40" t="s">
        <v>11404</v>
      </c>
    </row>
    <row r="19652">
      <c r="A19652" s="39"/>
      <c r="E19652" s="40" t="s">
        <v>11404</v>
      </c>
      <c r="F19652" s="40" t="s">
        <v>11404</v>
      </c>
      <c r="G19652" s="40" t="s">
        <v>11404</v>
      </c>
      <c r="H19652" s="40" t="s">
        <v>11404</v>
      </c>
    </row>
    <row r="19653">
      <c r="A19653" s="39"/>
      <c r="E19653" s="40" t="s">
        <v>11404</v>
      </c>
      <c r="F19653" s="40" t="s">
        <v>11404</v>
      </c>
      <c r="G19653" s="40" t="s">
        <v>11404</v>
      </c>
      <c r="H19653" s="40" t="s">
        <v>11404</v>
      </c>
    </row>
    <row r="19654">
      <c r="A19654" s="39"/>
      <c r="E19654" s="40" t="s">
        <v>11404</v>
      </c>
      <c r="F19654" s="40" t="s">
        <v>11404</v>
      </c>
      <c r="G19654" s="40" t="s">
        <v>11404</v>
      </c>
      <c r="H19654" s="40" t="s">
        <v>11404</v>
      </c>
    </row>
    <row r="19655">
      <c r="A19655" s="39"/>
      <c r="E19655" s="40" t="s">
        <v>11404</v>
      </c>
      <c r="F19655" s="40" t="s">
        <v>11404</v>
      </c>
      <c r="G19655" s="40" t="s">
        <v>11404</v>
      </c>
      <c r="H19655" s="40" t="s">
        <v>11404</v>
      </c>
    </row>
    <row r="19656">
      <c r="A19656" s="39"/>
      <c r="E19656" s="40" t="s">
        <v>11404</v>
      </c>
      <c r="F19656" s="40" t="s">
        <v>11404</v>
      </c>
      <c r="G19656" s="40" t="s">
        <v>11404</v>
      </c>
      <c r="H19656" s="40" t="s">
        <v>11404</v>
      </c>
    </row>
    <row r="19657">
      <c r="A19657" s="39"/>
      <c r="E19657" s="40" t="s">
        <v>11404</v>
      </c>
      <c r="F19657" s="40" t="s">
        <v>11404</v>
      </c>
      <c r="G19657" s="40" t="s">
        <v>11404</v>
      </c>
      <c r="H19657" s="40" t="s">
        <v>11404</v>
      </c>
    </row>
    <row r="19658">
      <c r="A19658" s="39"/>
      <c r="E19658" s="40" t="s">
        <v>11404</v>
      </c>
      <c r="F19658" s="40" t="s">
        <v>11404</v>
      </c>
      <c r="G19658" s="40" t="s">
        <v>11404</v>
      </c>
      <c r="H19658" s="40" t="s">
        <v>11404</v>
      </c>
    </row>
    <row r="19659">
      <c r="A19659" s="39"/>
      <c r="E19659" s="40" t="s">
        <v>11404</v>
      </c>
      <c r="F19659" s="40" t="s">
        <v>11404</v>
      </c>
      <c r="G19659" s="40" t="s">
        <v>11404</v>
      </c>
      <c r="H19659" s="40" t="s">
        <v>11404</v>
      </c>
    </row>
    <row r="19660">
      <c r="A19660" s="39"/>
      <c r="E19660" s="40" t="s">
        <v>11404</v>
      </c>
      <c r="F19660" s="40" t="s">
        <v>11404</v>
      </c>
      <c r="G19660" s="40" t="s">
        <v>11404</v>
      </c>
      <c r="H19660" s="40" t="s">
        <v>11404</v>
      </c>
    </row>
    <row r="19661">
      <c r="A19661" s="39"/>
      <c r="E19661" s="40" t="s">
        <v>11404</v>
      </c>
      <c r="F19661" s="40" t="s">
        <v>11404</v>
      </c>
      <c r="G19661" s="40" t="s">
        <v>11404</v>
      </c>
      <c r="H19661" s="40" t="s">
        <v>11404</v>
      </c>
    </row>
    <row r="19662">
      <c r="A19662" s="39"/>
      <c r="E19662" s="40" t="s">
        <v>11404</v>
      </c>
      <c r="F19662" s="40" t="s">
        <v>11404</v>
      </c>
      <c r="G19662" s="40" t="s">
        <v>11404</v>
      </c>
      <c r="H19662" s="40" t="s">
        <v>11404</v>
      </c>
    </row>
    <row r="19663">
      <c r="A19663" s="39"/>
      <c r="E19663" s="40" t="s">
        <v>11404</v>
      </c>
      <c r="F19663" s="40" t="s">
        <v>11404</v>
      </c>
      <c r="G19663" s="40" t="s">
        <v>11404</v>
      </c>
      <c r="H19663" s="40" t="s">
        <v>11404</v>
      </c>
    </row>
    <row r="19664">
      <c r="A19664" s="39"/>
      <c r="E19664" s="40" t="s">
        <v>11404</v>
      </c>
      <c r="F19664" s="40" t="s">
        <v>11404</v>
      </c>
      <c r="G19664" s="40" t="s">
        <v>11404</v>
      </c>
      <c r="H19664" s="40" t="s">
        <v>11404</v>
      </c>
    </row>
    <row r="19665">
      <c r="A19665" s="39"/>
      <c r="E19665" s="40" t="s">
        <v>11404</v>
      </c>
      <c r="F19665" s="40" t="s">
        <v>11404</v>
      </c>
      <c r="G19665" s="40" t="s">
        <v>11404</v>
      </c>
      <c r="H19665" s="40" t="s">
        <v>11404</v>
      </c>
    </row>
    <row r="19666">
      <c r="A19666" s="39"/>
      <c r="E19666" s="40" t="s">
        <v>11404</v>
      </c>
      <c r="F19666" s="40" t="s">
        <v>11404</v>
      </c>
      <c r="G19666" s="40" t="s">
        <v>11404</v>
      </c>
      <c r="H19666" s="40" t="s">
        <v>11404</v>
      </c>
    </row>
    <row r="19667">
      <c r="A19667" s="39"/>
      <c r="E19667" s="40" t="s">
        <v>11404</v>
      </c>
      <c r="F19667" s="40" t="s">
        <v>11404</v>
      </c>
      <c r="G19667" s="40" t="s">
        <v>11404</v>
      </c>
      <c r="H19667" s="40" t="s">
        <v>11404</v>
      </c>
    </row>
    <row r="19668">
      <c r="A19668" s="39"/>
      <c r="E19668" s="40" t="s">
        <v>11404</v>
      </c>
      <c r="F19668" s="40" t="s">
        <v>11404</v>
      </c>
      <c r="G19668" s="40" t="s">
        <v>11404</v>
      </c>
      <c r="H19668" s="40" t="s">
        <v>11404</v>
      </c>
    </row>
    <row r="19669">
      <c r="A19669" s="39"/>
      <c r="E19669" s="40" t="s">
        <v>11404</v>
      </c>
      <c r="F19669" s="40" t="s">
        <v>11404</v>
      </c>
      <c r="G19669" s="40" t="s">
        <v>11404</v>
      </c>
      <c r="H19669" s="40" t="s">
        <v>11404</v>
      </c>
    </row>
    <row r="19670">
      <c r="A19670" s="39"/>
      <c r="E19670" s="40" t="s">
        <v>11404</v>
      </c>
      <c r="F19670" s="40" t="s">
        <v>11404</v>
      </c>
      <c r="G19670" s="40" t="s">
        <v>11404</v>
      </c>
      <c r="H19670" s="40" t="s">
        <v>11404</v>
      </c>
    </row>
    <row r="19671">
      <c r="A19671" s="39"/>
      <c r="E19671" s="40" t="s">
        <v>11404</v>
      </c>
      <c r="F19671" s="40" t="s">
        <v>11404</v>
      </c>
      <c r="G19671" s="40" t="s">
        <v>11404</v>
      </c>
      <c r="H19671" s="40" t="s">
        <v>11404</v>
      </c>
    </row>
    <row r="19672">
      <c r="A19672" s="39"/>
      <c r="E19672" s="40" t="s">
        <v>11404</v>
      </c>
      <c r="F19672" s="40" t="s">
        <v>11404</v>
      </c>
      <c r="G19672" s="40" t="s">
        <v>11404</v>
      </c>
      <c r="H19672" s="40" t="s">
        <v>11404</v>
      </c>
    </row>
    <row r="19673">
      <c r="A19673" s="39"/>
      <c r="E19673" s="40" t="s">
        <v>11404</v>
      </c>
      <c r="F19673" s="40" t="s">
        <v>11404</v>
      </c>
      <c r="G19673" s="40" t="s">
        <v>11404</v>
      </c>
      <c r="H19673" s="40" t="s">
        <v>11404</v>
      </c>
    </row>
    <row r="19674">
      <c r="A19674" s="39"/>
      <c r="E19674" s="40" t="s">
        <v>11404</v>
      </c>
      <c r="F19674" s="40" t="s">
        <v>11404</v>
      </c>
      <c r="G19674" s="40" t="s">
        <v>11404</v>
      </c>
      <c r="H19674" s="40" t="s">
        <v>11404</v>
      </c>
    </row>
    <row r="19675">
      <c r="A19675" s="39"/>
      <c r="E19675" s="40" t="s">
        <v>11404</v>
      </c>
      <c r="F19675" s="40" t="s">
        <v>11404</v>
      </c>
      <c r="G19675" s="40" t="s">
        <v>11404</v>
      </c>
      <c r="H19675" s="40" t="s">
        <v>11404</v>
      </c>
    </row>
    <row r="19676">
      <c r="A19676" s="39"/>
      <c r="E19676" s="40" t="s">
        <v>11404</v>
      </c>
      <c r="F19676" s="40" t="s">
        <v>11404</v>
      </c>
      <c r="G19676" s="40" t="s">
        <v>11404</v>
      </c>
      <c r="H19676" s="40" t="s">
        <v>11404</v>
      </c>
    </row>
    <row r="19677">
      <c r="A19677" s="39"/>
      <c r="E19677" s="40" t="s">
        <v>11404</v>
      </c>
      <c r="F19677" s="40" t="s">
        <v>11404</v>
      </c>
      <c r="G19677" s="40" t="s">
        <v>11404</v>
      </c>
      <c r="H19677" s="40" t="s">
        <v>11404</v>
      </c>
    </row>
    <row r="19678">
      <c r="A19678" s="39"/>
      <c r="E19678" s="40" t="s">
        <v>11404</v>
      </c>
      <c r="F19678" s="40" t="s">
        <v>11404</v>
      </c>
      <c r="G19678" s="40" t="s">
        <v>11404</v>
      </c>
      <c r="H19678" s="40" t="s">
        <v>11404</v>
      </c>
    </row>
    <row r="19679">
      <c r="A19679" s="39"/>
      <c r="E19679" s="40" t="s">
        <v>11404</v>
      </c>
      <c r="F19679" s="40" t="s">
        <v>11404</v>
      </c>
      <c r="G19679" s="40" t="s">
        <v>11404</v>
      </c>
      <c r="H19679" s="40" t="s">
        <v>11404</v>
      </c>
    </row>
    <row r="19680">
      <c r="A19680" s="39"/>
      <c r="E19680" s="40" t="s">
        <v>11404</v>
      </c>
      <c r="F19680" s="40" t="s">
        <v>11404</v>
      </c>
      <c r="G19680" s="40" t="s">
        <v>11404</v>
      </c>
      <c r="H19680" s="40" t="s">
        <v>11404</v>
      </c>
    </row>
    <row r="19681">
      <c r="A19681" s="39"/>
      <c r="E19681" s="40" t="s">
        <v>11404</v>
      </c>
      <c r="F19681" s="40" t="s">
        <v>11404</v>
      </c>
      <c r="G19681" s="40" t="s">
        <v>11404</v>
      </c>
      <c r="H19681" s="40" t="s">
        <v>11404</v>
      </c>
    </row>
    <row r="19682">
      <c r="A19682" s="39"/>
      <c r="E19682" s="40" t="s">
        <v>11404</v>
      </c>
      <c r="F19682" s="40" t="s">
        <v>11404</v>
      </c>
      <c r="G19682" s="40" t="s">
        <v>11404</v>
      </c>
      <c r="H19682" s="40" t="s">
        <v>11404</v>
      </c>
    </row>
    <row r="19683">
      <c r="A19683" s="39"/>
      <c r="E19683" s="40" t="s">
        <v>11404</v>
      </c>
      <c r="F19683" s="40" t="s">
        <v>11404</v>
      </c>
      <c r="G19683" s="40" t="s">
        <v>11404</v>
      </c>
      <c r="H19683" s="40" t="s">
        <v>11404</v>
      </c>
    </row>
    <row r="19684">
      <c r="A19684" s="39"/>
      <c r="E19684" s="40" t="s">
        <v>11404</v>
      </c>
      <c r="F19684" s="40" t="s">
        <v>11404</v>
      </c>
      <c r="G19684" s="40" t="s">
        <v>11404</v>
      </c>
      <c r="H19684" s="40" t="s">
        <v>11404</v>
      </c>
    </row>
    <row r="19685">
      <c r="A19685" s="39"/>
      <c r="E19685" s="40" t="s">
        <v>11404</v>
      </c>
      <c r="F19685" s="40" t="s">
        <v>11404</v>
      </c>
      <c r="G19685" s="40" t="s">
        <v>11404</v>
      </c>
      <c r="H19685" s="40" t="s">
        <v>11404</v>
      </c>
    </row>
    <row r="19686">
      <c r="A19686" s="39"/>
      <c r="E19686" s="40" t="s">
        <v>11404</v>
      </c>
      <c r="F19686" s="40" t="s">
        <v>11404</v>
      </c>
      <c r="G19686" s="40" t="s">
        <v>11404</v>
      </c>
      <c r="H19686" s="40" t="s">
        <v>11404</v>
      </c>
    </row>
    <row r="19687">
      <c r="A19687" s="39"/>
      <c r="E19687" s="40" t="s">
        <v>11404</v>
      </c>
      <c r="F19687" s="40" t="s">
        <v>11404</v>
      </c>
      <c r="G19687" s="40" t="s">
        <v>11404</v>
      </c>
      <c r="H19687" s="40" t="s">
        <v>11404</v>
      </c>
    </row>
    <row r="19688">
      <c r="A19688" s="39"/>
      <c r="E19688" s="40" t="s">
        <v>11404</v>
      </c>
      <c r="F19688" s="40" t="s">
        <v>11404</v>
      </c>
      <c r="G19688" s="40" t="s">
        <v>11404</v>
      </c>
      <c r="H19688" s="40" t="s">
        <v>11404</v>
      </c>
    </row>
    <row r="19689">
      <c r="A19689" s="39"/>
      <c r="E19689" s="40" t="s">
        <v>11404</v>
      </c>
      <c r="F19689" s="40" t="s">
        <v>11404</v>
      </c>
      <c r="G19689" s="40" t="s">
        <v>11404</v>
      </c>
      <c r="H19689" s="40" t="s">
        <v>11404</v>
      </c>
    </row>
    <row r="19690">
      <c r="A19690" s="39"/>
      <c r="E19690" s="40" t="s">
        <v>11404</v>
      </c>
      <c r="F19690" s="40" t="s">
        <v>11404</v>
      </c>
      <c r="G19690" s="40" t="s">
        <v>11404</v>
      </c>
      <c r="H19690" s="40" t="s">
        <v>11404</v>
      </c>
    </row>
    <row r="19691">
      <c r="A19691" s="39"/>
      <c r="E19691" s="40" t="s">
        <v>11404</v>
      </c>
      <c r="F19691" s="40" t="s">
        <v>11404</v>
      </c>
      <c r="G19691" s="40" t="s">
        <v>11404</v>
      </c>
      <c r="H19691" s="40" t="s">
        <v>11404</v>
      </c>
    </row>
    <row r="19692">
      <c r="A19692" s="39"/>
      <c r="E19692" s="40" t="s">
        <v>11404</v>
      </c>
      <c r="F19692" s="40" t="s">
        <v>11404</v>
      </c>
      <c r="G19692" s="40" t="s">
        <v>11404</v>
      </c>
      <c r="H19692" s="40" t="s">
        <v>11404</v>
      </c>
    </row>
    <row r="19693">
      <c r="A19693" s="39"/>
      <c r="E19693" s="40" t="s">
        <v>11404</v>
      </c>
      <c r="F19693" s="40" t="s">
        <v>11404</v>
      </c>
      <c r="G19693" s="40" t="s">
        <v>11404</v>
      </c>
      <c r="H19693" s="40" t="s">
        <v>11404</v>
      </c>
    </row>
    <row r="19694">
      <c r="A19694" s="39"/>
      <c r="E19694" s="40" t="s">
        <v>11404</v>
      </c>
      <c r="F19694" s="40" t="s">
        <v>11404</v>
      </c>
      <c r="G19694" s="40" t="s">
        <v>11404</v>
      </c>
      <c r="H19694" s="40" t="s">
        <v>11404</v>
      </c>
    </row>
    <row r="19695">
      <c r="A19695" s="39"/>
      <c r="E19695" s="40" t="s">
        <v>11404</v>
      </c>
      <c r="F19695" s="40" t="s">
        <v>11404</v>
      </c>
      <c r="G19695" s="40" t="s">
        <v>11404</v>
      </c>
      <c r="H19695" s="40" t="s">
        <v>11404</v>
      </c>
    </row>
    <row r="19696">
      <c r="A19696" s="39"/>
      <c r="E19696" s="40" t="s">
        <v>11404</v>
      </c>
      <c r="F19696" s="40" t="s">
        <v>11404</v>
      </c>
      <c r="G19696" s="40" t="s">
        <v>11404</v>
      </c>
      <c r="H19696" s="40" t="s">
        <v>11404</v>
      </c>
    </row>
    <row r="19697">
      <c r="A19697" s="39"/>
      <c r="E19697" s="40" t="s">
        <v>11404</v>
      </c>
      <c r="F19697" s="40" t="s">
        <v>11404</v>
      </c>
      <c r="G19697" s="40" t="s">
        <v>11404</v>
      </c>
      <c r="H19697" s="40" t="s">
        <v>11404</v>
      </c>
    </row>
    <row r="19698">
      <c r="A19698" s="39"/>
      <c r="E19698" s="40" t="s">
        <v>11404</v>
      </c>
      <c r="F19698" s="40" t="s">
        <v>11404</v>
      </c>
      <c r="G19698" s="40" t="s">
        <v>11404</v>
      </c>
      <c r="H19698" s="40" t="s">
        <v>11404</v>
      </c>
    </row>
    <row r="19699">
      <c r="A19699" s="39"/>
      <c r="E19699" s="40" t="s">
        <v>11404</v>
      </c>
      <c r="F19699" s="40" t="s">
        <v>11404</v>
      </c>
      <c r="G19699" s="40" t="s">
        <v>11404</v>
      </c>
      <c r="H19699" s="40" t="s">
        <v>11404</v>
      </c>
    </row>
    <row r="19700">
      <c r="A19700" s="39"/>
      <c r="E19700" s="40" t="s">
        <v>11404</v>
      </c>
      <c r="F19700" s="40" t="s">
        <v>11404</v>
      </c>
      <c r="G19700" s="40" t="s">
        <v>11404</v>
      </c>
      <c r="H19700" s="40" t="s">
        <v>11404</v>
      </c>
    </row>
    <row r="19701">
      <c r="A19701" s="39"/>
      <c r="E19701" s="40" t="s">
        <v>11404</v>
      </c>
      <c r="F19701" s="40" t="s">
        <v>11404</v>
      </c>
      <c r="G19701" s="40" t="s">
        <v>11404</v>
      </c>
      <c r="H19701" s="40" t="s">
        <v>11404</v>
      </c>
    </row>
    <row r="19702">
      <c r="A19702" s="39"/>
      <c r="E19702" s="40" t="s">
        <v>11404</v>
      </c>
      <c r="F19702" s="40" t="s">
        <v>11404</v>
      </c>
      <c r="G19702" s="40" t="s">
        <v>11404</v>
      </c>
      <c r="H19702" s="40" t="s">
        <v>11404</v>
      </c>
    </row>
    <row r="19703">
      <c r="A19703" s="39"/>
      <c r="E19703" s="40" t="s">
        <v>11404</v>
      </c>
      <c r="F19703" s="40" t="s">
        <v>11404</v>
      </c>
      <c r="G19703" s="40" t="s">
        <v>11404</v>
      </c>
      <c r="H19703" s="40" t="s">
        <v>11404</v>
      </c>
    </row>
    <row r="19704">
      <c r="A19704" s="39"/>
      <c r="E19704" s="40" t="s">
        <v>11404</v>
      </c>
      <c r="F19704" s="40" t="s">
        <v>11404</v>
      </c>
      <c r="G19704" s="40" t="s">
        <v>11404</v>
      </c>
      <c r="H19704" s="40" t="s">
        <v>11404</v>
      </c>
    </row>
    <row r="19705">
      <c r="A19705" s="39"/>
      <c r="E19705" s="40" t="s">
        <v>11404</v>
      </c>
      <c r="F19705" s="40" t="s">
        <v>11404</v>
      </c>
      <c r="G19705" s="40" t="s">
        <v>11404</v>
      </c>
      <c r="H19705" s="40" t="s">
        <v>11404</v>
      </c>
    </row>
    <row r="19706">
      <c r="A19706" s="39"/>
      <c r="E19706" s="40" t="s">
        <v>11404</v>
      </c>
      <c r="F19706" s="40" t="s">
        <v>11404</v>
      </c>
      <c r="G19706" s="40" t="s">
        <v>11404</v>
      </c>
      <c r="H19706" s="40" t="s">
        <v>11404</v>
      </c>
    </row>
    <row r="19707">
      <c r="A19707" s="39"/>
      <c r="E19707" s="40" t="s">
        <v>11404</v>
      </c>
      <c r="F19707" s="40" t="s">
        <v>11404</v>
      </c>
      <c r="G19707" s="40" t="s">
        <v>11404</v>
      </c>
      <c r="H19707" s="40" t="s">
        <v>11404</v>
      </c>
    </row>
    <row r="19708">
      <c r="A19708" s="39"/>
      <c r="E19708" s="40" t="s">
        <v>11404</v>
      </c>
      <c r="F19708" s="40" t="s">
        <v>11404</v>
      </c>
      <c r="G19708" s="40" t="s">
        <v>11404</v>
      </c>
      <c r="H19708" s="40" t="s">
        <v>11404</v>
      </c>
    </row>
    <row r="19709">
      <c r="A19709" s="39"/>
      <c r="E19709" s="40" t="s">
        <v>11404</v>
      </c>
      <c r="F19709" s="40" t="s">
        <v>11404</v>
      </c>
      <c r="G19709" s="40" t="s">
        <v>11404</v>
      </c>
      <c r="H19709" s="40" t="s">
        <v>11404</v>
      </c>
    </row>
    <row r="19710">
      <c r="A19710" s="39"/>
      <c r="E19710" s="40" t="s">
        <v>11404</v>
      </c>
      <c r="F19710" s="40" t="s">
        <v>11404</v>
      </c>
      <c r="G19710" s="40" t="s">
        <v>11404</v>
      </c>
      <c r="H19710" s="40" t="s">
        <v>11404</v>
      </c>
    </row>
    <row r="19711">
      <c r="A19711" s="39"/>
      <c r="E19711" s="40" t="s">
        <v>11404</v>
      </c>
      <c r="F19711" s="40" t="s">
        <v>11404</v>
      </c>
      <c r="G19711" s="40" t="s">
        <v>11404</v>
      </c>
      <c r="H19711" s="40" t="s">
        <v>11404</v>
      </c>
    </row>
    <row r="19712">
      <c r="A19712" s="39"/>
      <c r="E19712" s="40" t="s">
        <v>11404</v>
      </c>
      <c r="F19712" s="40" t="s">
        <v>11404</v>
      </c>
      <c r="G19712" s="40" t="s">
        <v>11404</v>
      </c>
      <c r="H19712" s="40" t="s">
        <v>11404</v>
      </c>
    </row>
    <row r="19713">
      <c r="A19713" s="39"/>
      <c r="E19713" s="40" t="s">
        <v>11404</v>
      </c>
      <c r="F19713" s="40" t="s">
        <v>11404</v>
      </c>
      <c r="G19713" s="40" t="s">
        <v>11404</v>
      </c>
      <c r="H19713" s="40" t="s">
        <v>11404</v>
      </c>
    </row>
    <row r="19714">
      <c r="A19714" s="39"/>
      <c r="E19714" s="40" t="s">
        <v>11404</v>
      </c>
      <c r="F19714" s="40" t="s">
        <v>11404</v>
      </c>
      <c r="G19714" s="40" t="s">
        <v>11404</v>
      </c>
      <c r="H19714" s="40" t="s">
        <v>11404</v>
      </c>
    </row>
    <row r="19715">
      <c r="A19715" s="39"/>
      <c r="E19715" s="40" t="s">
        <v>11404</v>
      </c>
      <c r="F19715" s="40" t="s">
        <v>11404</v>
      </c>
      <c r="G19715" s="40" t="s">
        <v>11404</v>
      </c>
      <c r="H19715" s="40" t="s">
        <v>11404</v>
      </c>
    </row>
    <row r="19716">
      <c r="A19716" s="39"/>
      <c r="E19716" s="40" t="s">
        <v>11404</v>
      </c>
      <c r="F19716" s="40" t="s">
        <v>11404</v>
      </c>
      <c r="G19716" s="40" t="s">
        <v>11404</v>
      </c>
      <c r="H19716" s="40" t="s">
        <v>11404</v>
      </c>
    </row>
    <row r="19717">
      <c r="A19717" s="39"/>
      <c r="E19717" s="40" t="s">
        <v>11404</v>
      </c>
      <c r="F19717" s="40" t="s">
        <v>11404</v>
      </c>
      <c r="G19717" s="40" t="s">
        <v>11404</v>
      </c>
      <c r="H19717" s="40" t="s">
        <v>11404</v>
      </c>
    </row>
    <row r="19718">
      <c r="A19718" s="39"/>
      <c r="E19718" s="40" t="s">
        <v>11404</v>
      </c>
      <c r="F19718" s="40" t="s">
        <v>11404</v>
      </c>
      <c r="G19718" s="40" t="s">
        <v>11404</v>
      </c>
      <c r="H19718" s="40" t="s">
        <v>11404</v>
      </c>
    </row>
    <row r="19719">
      <c r="A19719" s="39"/>
      <c r="E19719" s="40" t="s">
        <v>11404</v>
      </c>
      <c r="F19719" s="40" t="s">
        <v>11404</v>
      </c>
      <c r="G19719" s="40" t="s">
        <v>11404</v>
      </c>
      <c r="H19719" s="40" t="s">
        <v>11404</v>
      </c>
    </row>
    <row r="19720">
      <c r="A19720" s="39"/>
      <c r="E19720" s="40" t="s">
        <v>11404</v>
      </c>
      <c r="F19720" s="40" t="s">
        <v>11404</v>
      </c>
      <c r="G19720" s="40" t="s">
        <v>11404</v>
      </c>
      <c r="H19720" s="40" t="s">
        <v>11404</v>
      </c>
    </row>
    <row r="19721">
      <c r="A19721" s="39"/>
      <c r="E19721" s="40" t="s">
        <v>11404</v>
      </c>
      <c r="F19721" s="40" t="s">
        <v>11404</v>
      </c>
      <c r="G19721" s="40" t="s">
        <v>11404</v>
      </c>
      <c r="H19721" s="40" t="s">
        <v>11404</v>
      </c>
    </row>
    <row r="19722">
      <c r="A19722" s="39"/>
      <c r="E19722" s="40" t="s">
        <v>11404</v>
      </c>
      <c r="F19722" s="40" t="s">
        <v>11404</v>
      </c>
      <c r="G19722" s="40" t="s">
        <v>11404</v>
      </c>
      <c r="H19722" s="40" t="s">
        <v>11404</v>
      </c>
    </row>
    <row r="19723">
      <c r="A19723" s="39"/>
      <c r="E19723" s="40" t="s">
        <v>11404</v>
      </c>
      <c r="F19723" s="40" t="s">
        <v>11404</v>
      </c>
      <c r="G19723" s="40" t="s">
        <v>11404</v>
      </c>
      <c r="H19723" s="40" t="s">
        <v>11404</v>
      </c>
    </row>
    <row r="19724">
      <c r="A19724" s="39"/>
      <c r="E19724" s="40" t="s">
        <v>11404</v>
      </c>
      <c r="F19724" s="40" t="s">
        <v>11404</v>
      </c>
      <c r="G19724" s="40" t="s">
        <v>11404</v>
      </c>
      <c r="H19724" s="40" t="s">
        <v>11404</v>
      </c>
    </row>
    <row r="19725">
      <c r="A19725" s="39"/>
      <c r="E19725" s="40" t="s">
        <v>11404</v>
      </c>
      <c r="F19725" s="40" t="s">
        <v>11404</v>
      </c>
      <c r="G19725" s="40" t="s">
        <v>11404</v>
      </c>
      <c r="H19725" s="40" t="s">
        <v>11404</v>
      </c>
    </row>
    <row r="19726">
      <c r="A19726" s="39"/>
      <c r="E19726" s="40" t="s">
        <v>11404</v>
      </c>
      <c r="F19726" s="40" t="s">
        <v>11404</v>
      </c>
      <c r="G19726" s="40" t="s">
        <v>11404</v>
      </c>
      <c r="H19726" s="40" t="s">
        <v>11404</v>
      </c>
    </row>
    <row r="19727">
      <c r="A19727" s="39"/>
      <c r="E19727" s="40" t="s">
        <v>11404</v>
      </c>
      <c r="F19727" s="40" t="s">
        <v>11404</v>
      </c>
      <c r="G19727" s="40" t="s">
        <v>11404</v>
      </c>
      <c r="H19727" s="40" t="s">
        <v>11404</v>
      </c>
    </row>
    <row r="19728">
      <c r="A19728" s="39"/>
      <c r="E19728" s="40" t="s">
        <v>11404</v>
      </c>
      <c r="F19728" s="40" t="s">
        <v>11404</v>
      </c>
      <c r="G19728" s="40" t="s">
        <v>11404</v>
      </c>
      <c r="H19728" s="40" t="s">
        <v>11404</v>
      </c>
    </row>
    <row r="19729">
      <c r="A19729" s="39"/>
      <c r="E19729" s="40" t="s">
        <v>11404</v>
      </c>
      <c r="F19729" s="40" t="s">
        <v>11404</v>
      </c>
      <c r="G19729" s="40" t="s">
        <v>11404</v>
      </c>
      <c r="H19729" s="40" t="s">
        <v>11404</v>
      </c>
    </row>
    <row r="19730">
      <c r="A19730" s="39"/>
      <c r="E19730" s="40" t="s">
        <v>11404</v>
      </c>
      <c r="F19730" s="40" t="s">
        <v>11404</v>
      </c>
      <c r="G19730" s="40" t="s">
        <v>11404</v>
      </c>
      <c r="H19730" s="40" t="s">
        <v>11404</v>
      </c>
    </row>
    <row r="19731">
      <c r="A19731" s="39"/>
      <c r="E19731" s="40" t="s">
        <v>11404</v>
      </c>
      <c r="F19731" s="40" t="s">
        <v>11404</v>
      </c>
      <c r="G19731" s="40" t="s">
        <v>11404</v>
      </c>
      <c r="H19731" s="40" t="s">
        <v>11404</v>
      </c>
    </row>
    <row r="19732">
      <c r="A19732" s="39"/>
      <c r="E19732" s="40" t="s">
        <v>11404</v>
      </c>
      <c r="F19732" s="40" t="s">
        <v>11404</v>
      </c>
      <c r="G19732" s="40" t="s">
        <v>11404</v>
      </c>
      <c r="H19732" s="40" t="s">
        <v>11404</v>
      </c>
    </row>
    <row r="19733">
      <c r="A19733" s="39"/>
      <c r="E19733" s="40" t="s">
        <v>11404</v>
      </c>
      <c r="F19733" s="40" t="s">
        <v>11404</v>
      </c>
      <c r="G19733" s="40" t="s">
        <v>11404</v>
      </c>
      <c r="H19733" s="40" t="s">
        <v>11404</v>
      </c>
    </row>
    <row r="19734">
      <c r="A19734" s="39"/>
      <c r="E19734" s="40" t="s">
        <v>11404</v>
      </c>
      <c r="F19734" s="40" t="s">
        <v>11404</v>
      </c>
      <c r="G19734" s="40" t="s">
        <v>11404</v>
      </c>
      <c r="H19734" s="40" t="s">
        <v>11404</v>
      </c>
    </row>
    <row r="19735">
      <c r="A19735" s="39"/>
      <c r="E19735" s="40" t="s">
        <v>11404</v>
      </c>
      <c r="F19735" s="40" t="s">
        <v>11404</v>
      </c>
      <c r="G19735" s="40" t="s">
        <v>11404</v>
      </c>
      <c r="H19735" s="40" t="s">
        <v>11404</v>
      </c>
    </row>
    <row r="19736">
      <c r="A19736" s="39"/>
      <c r="E19736" s="40" t="s">
        <v>11404</v>
      </c>
      <c r="F19736" s="40" t="s">
        <v>11404</v>
      </c>
      <c r="G19736" s="40" t="s">
        <v>11404</v>
      </c>
      <c r="H19736" s="40" t="s">
        <v>11404</v>
      </c>
    </row>
    <row r="19737">
      <c r="A19737" s="39"/>
      <c r="E19737" s="40" t="s">
        <v>11404</v>
      </c>
      <c r="F19737" s="40" t="s">
        <v>11404</v>
      </c>
      <c r="G19737" s="40" t="s">
        <v>11404</v>
      </c>
      <c r="H19737" s="40" t="s">
        <v>11404</v>
      </c>
    </row>
    <row r="19738">
      <c r="A19738" s="39"/>
      <c r="E19738" s="40" t="s">
        <v>11404</v>
      </c>
      <c r="F19738" s="40" t="s">
        <v>11404</v>
      </c>
      <c r="G19738" s="40" t="s">
        <v>11404</v>
      </c>
      <c r="H19738" s="40" t="s">
        <v>11404</v>
      </c>
    </row>
    <row r="19739">
      <c r="A19739" s="39"/>
      <c r="E19739" s="40" t="s">
        <v>11404</v>
      </c>
      <c r="F19739" s="40" t="s">
        <v>11404</v>
      </c>
      <c r="G19739" s="40" t="s">
        <v>11404</v>
      </c>
      <c r="H19739" s="40" t="s">
        <v>11404</v>
      </c>
    </row>
    <row r="19740">
      <c r="A19740" s="39"/>
      <c r="E19740" s="40" t="s">
        <v>11404</v>
      </c>
      <c r="F19740" s="40" t="s">
        <v>11404</v>
      </c>
      <c r="G19740" s="40" t="s">
        <v>11404</v>
      </c>
      <c r="H19740" s="40" t="s">
        <v>11404</v>
      </c>
    </row>
    <row r="19741">
      <c r="A19741" s="39"/>
      <c r="E19741" s="40" t="s">
        <v>11404</v>
      </c>
      <c r="F19741" s="40" t="s">
        <v>11404</v>
      </c>
      <c r="G19741" s="40" t="s">
        <v>11404</v>
      </c>
      <c r="H19741" s="40" t="s">
        <v>11404</v>
      </c>
    </row>
    <row r="19742">
      <c r="A19742" s="39"/>
      <c r="E19742" s="40" t="s">
        <v>11404</v>
      </c>
      <c r="F19742" s="40" t="s">
        <v>11404</v>
      </c>
      <c r="G19742" s="40" t="s">
        <v>11404</v>
      </c>
      <c r="H19742" s="40" t="s">
        <v>11404</v>
      </c>
    </row>
    <row r="19743">
      <c r="A19743" s="39"/>
      <c r="E19743" s="40" t="s">
        <v>11404</v>
      </c>
      <c r="F19743" s="40" t="s">
        <v>11404</v>
      </c>
      <c r="G19743" s="40" t="s">
        <v>11404</v>
      </c>
      <c r="H19743" s="40" t="s">
        <v>11404</v>
      </c>
    </row>
    <row r="19744">
      <c r="A19744" s="39"/>
      <c r="E19744" s="40" t="s">
        <v>11404</v>
      </c>
      <c r="F19744" s="40" t="s">
        <v>11404</v>
      </c>
      <c r="G19744" s="40" t="s">
        <v>11404</v>
      </c>
      <c r="H19744" s="40" t="s">
        <v>11404</v>
      </c>
    </row>
    <row r="19745">
      <c r="A19745" s="39"/>
      <c r="E19745" s="40" t="s">
        <v>11404</v>
      </c>
      <c r="F19745" s="40" t="s">
        <v>11404</v>
      </c>
      <c r="G19745" s="40" t="s">
        <v>11404</v>
      </c>
      <c r="H19745" s="40" t="s">
        <v>11404</v>
      </c>
    </row>
    <row r="19746">
      <c r="A19746" s="39"/>
      <c r="E19746" s="40" t="s">
        <v>11404</v>
      </c>
      <c r="F19746" s="40" t="s">
        <v>11404</v>
      </c>
      <c r="G19746" s="40" t="s">
        <v>11404</v>
      </c>
      <c r="H19746" s="40" t="s">
        <v>11404</v>
      </c>
    </row>
    <row r="19747">
      <c r="A19747" s="39"/>
      <c r="E19747" s="40" t="s">
        <v>11404</v>
      </c>
      <c r="F19747" s="40" t="s">
        <v>11404</v>
      </c>
      <c r="G19747" s="40" t="s">
        <v>11404</v>
      </c>
      <c r="H19747" s="40" t="s">
        <v>11404</v>
      </c>
    </row>
    <row r="19748">
      <c r="A19748" s="39"/>
      <c r="E19748" s="40" t="s">
        <v>11404</v>
      </c>
      <c r="F19748" s="40" t="s">
        <v>11404</v>
      </c>
      <c r="G19748" s="40" t="s">
        <v>11404</v>
      </c>
      <c r="H19748" s="40" t="s">
        <v>11404</v>
      </c>
    </row>
    <row r="19749">
      <c r="A19749" s="39"/>
      <c r="E19749" s="40" t="s">
        <v>11404</v>
      </c>
      <c r="F19749" s="40" t="s">
        <v>11404</v>
      </c>
      <c r="G19749" s="40" t="s">
        <v>11404</v>
      </c>
      <c r="H19749" s="40" t="s">
        <v>11404</v>
      </c>
    </row>
    <row r="19750">
      <c r="A19750" s="39"/>
      <c r="E19750" s="40" t="s">
        <v>11404</v>
      </c>
      <c r="F19750" s="40" t="s">
        <v>11404</v>
      </c>
      <c r="G19750" s="40" t="s">
        <v>11404</v>
      </c>
      <c r="H19750" s="40" t="s">
        <v>11404</v>
      </c>
    </row>
    <row r="19751">
      <c r="A19751" s="39"/>
      <c r="E19751" s="40" t="s">
        <v>11404</v>
      </c>
      <c r="F19751" s="40" t="s">
        <v>11404</v>
      </c>
      <c r="G19751" s="40" t="s">
        <v>11404</v>
      </c>
      <c r="H19751" s="40" t="s">
        <v>11404</v>
      </c>
    </row>
    <row r="19752">
      <c r="A19752" s="39"/>
      <c r="E19752" s="40" t="s">
        <v>11404</v>
      </c>
      <c r="F19752" s="40" t="s">
        <v>11404</v>
      </c>
      <c r="G19752" s="40" t="s">
        <v>11404</v>
      </c>
      <c r="H19752" s="40" t="s">
        <v>11404</v>
      </c>
    </row>
    <row r="19753">
      <c r="A19753" s="39"/>
      <c r="E19753" s="40" t="s">
        <v>11404</v>
      </c>
      <c r="F19753" s="40" t="s">
        <v>11404</v>
      </c>
      <c r="G19753" s="40" t="s">
        <v>11404</v>
      </c>
      <c r="H19753" s="40" t="s">
        <v>11404</v>
      </c>
    </row>
    <row r="19754">
      <c r="A19754" s="39"/>
      <c r="E19754" s="40" t="s">
        <v>11404</v>
      </c>
      <c r="F19754" s="40" t="s">
        <v>11404</v>
      </c>
      <c r="G19754" s="40" t="s">
        <v>11404</v>
      </c>
      <c r="H19754" s="40" t="s">
        <v>11404</v>
      </c>
    </row>
    <row r="19755">
      <c r="A19755" s="39"/>
      <c r="E19755" s="40" t="s">
        <v>11404</v>
      </c>
      <c r="F19755" s="40" t="s">
        <v>11404</v>
      </c>
      <c r="G19755" s="40" t="s">
        <v>11404</v>
      </c>
      <c r="H19755" s="40" t="s">
        <v>11404</v>
      </c>
    </row>
    <row r="19756">
      <c r="A19756" s="39"/>
      <c r="E19756" s="40" t="s">
        <v>11404</v>
      </c>
      <c r="F19756" s="40" t="s">
        <v>11404</v>
      </c>
      <c r="G19756" s="40" t="s">
        <v>11404</v>
      </c>
      <c r="H19756" s="40" t="s">
        <v>11404</v>
      </c>
    </row>
    <row r="19757">
      <c r="A19757" s="39"/>
      <c r="E19757" s="40" t="s">
        <v>11404</v>
      </c>
      <c r="F19757" s="40" t="s">
        <v>11404</v>
      </c>
      <c r="G19757" s="40" t="s">
        <v>11404</v>
      </c>
      <c r="H19757" s="40" t="s">
        <v>11404</v>
      </c>
    </row>
    <row r="19758">
      <c r="A19758" s="39"/>
      <c r="E19758" s="40" t="s">
        <v>11404</v>
      </c>
      <c r="F19758" s="40" t="s">
        <v>11404</v>
      </c>
      <c r="G19758" s="40" t="s">
        <v>11404</v>
      </c>
      <c r="H19758" s="40" t="s">
        <v>11404</v>
      </c>
    </row>
    <row r="19759">
      <c r="A19759" s="39"/>
      <c r="E19759" s="40" t="s">
        <v>11404</v>
      </c>
      <c r="F19759" s="40" t="s">
        <v>11404</v>
      </c>
      <c r="G19759" s="40" t="s">
        <v>11404</v>
      </c>
      <c r="H19759" s="40" t="s">
        <v>11404</v>
      </c>
    </row>
    <row r="19760">
      <c r="A19760" s="39"/>
      <c r="E19760" s="40" t="s">
        <v>11404</v>
      </c>
      <c r="F19760" s="40" t="s">
        <v>11404</v>
      </c>
      <c r="G19760" s="40" t="s">
        <v>11404</v>
      </c>
      <c r="H19760" s="40" t="s">
        <v>11404</v>
      </c>
    </row>
    <row r="19761">
      <c r="A19761" s="39"/>
      <c r="E19761" s="40" t="s">
        <v>11404</v>
      </c>
      <c r="F19761" s="40" t="s">
        <v>11404</v>
      </c>
      <c r="G19761" s="40" t="s">
        <v>11404</v>
      </c>
      <c r="H19761" s="40" t="s">
        <v>11404</v>
      </c>
    </row>
    <row r="19762">
      <c r="A19762" s="39"/>
      <c r="E19762" s="40" t="s">
        <v>11404</v>
      </c>
      <c r="F19762" s="40" t="s">
        <v>11404</v>
      </c>
      <c r="G19762" s="40" t="s">
        <v>11404</v>
      </c>
      <c r="H19762" s="40" t="s">
        <v>11404</v>
      </c>
    </row>
    <row r="19763">
      <c r="A19763" s="39"/>
      <c r="E19763" s="40" t="s">
        <v>11404</v>
      </c>
      <c r="F19763" s="40" t="s">
        <v>11404</v>
      </c>
      <c r="G19763" s="40" t="s">
        <v>11404</v>
      </c>
      <c r="H19763" s="40" t="s">
        <v>11404</v>
      </c>
    </row>
    <row r="19764">
      <c r="A19764" s="39"/>
      <c r="E19764" s="40" t="s">
        <v>11404</v>
      </c>
      <c r="F19764" s="40" t="s">
        <v>11404</v>
      </c>
      <c r="G19764" s="40" t="s">
        <v>11404</v>
      </c>
      <c r="H19764" s="40" t="s">
        <v>11404</v>
      </c>
    </row>
    <row r="19765">
      <c r="A19765" s="39"/>
      <c r="E19765" s="40" t="s">
        <v>11404</v>
      </c>
      <c r="F19765" s="40" t="s">
        <v>11404</v>
      </c>
      <c r="G19765" s="40" t="s">
        <v>11404</v>
      </c>
      <c r="H19765" s="40" t="s">
        <v>11404</v>
      </c>
    </row>
    <row r="19766">
      <c r="A19766" s="39"/>
      <c r="E19766" s="40" t="s">
        <v>11404</v>
      </c>
      <c r="F19766" s="40" t="s">
        <v>11404</v>
      </c>
      <c r="G19766" s="40" t="s">
        <v>11404</v>
      </c>
      <c r="H19766" s="40" t="s">
        <v>11404</v>
      </c>
    </row>
    <row r="19767">
      <c r="A19767" s="39"/>
      <c r="E19767" s="40" t="s">
        <v>11404</v>
      </c>
      <c r="F19767" s="40" t="s">
        <v>11404</v>
      </c>
      <c r="G19767" s="40" t="s">
        <v>11404</v>
      </c>
      <c r="H19767" s="40" t="s">
        <v>11404</v>
      </c>
    </row>
    <row r="19768">
      <c r="A19768" s="39"/>
      <c r="E19768" s="40" t="s">
        <v>11404</v>
      </c>
      <c r="F19768" s="40" t="s">
        <v>11404</v>
      </c>
      <c r="G19768" s="40" t="s">
        <v>11404</v>
      </c>
      <c r="H19768" s="40" t="s">
        <v>11404</v>
      </c>
    </row>
    <row r="19769">
      <c r="A19769" s="39"/>
      <c r="E19769" s="40" t="s">
        <v>11404</v>
      </c>
      <c r="F19769" s="40" t="s">
        <v>11404</v>
      </c>
      <c r="G19769" s="40" t="s">
        <v>11404</v>
      </c>
      <c r="H19769" s="40" t="s">
        <v>11404</v>
      </c>
    </row>
    <row r="19770">
      <c r="A19770" s="39"/>
      <c r="E19770" s="40" t="s">
        <v>11404</v>
      </c>
      <c r="F19770" s="40" t="s">
        <v>11404</v>
      </c>
      <c r="G19770" s="40" t="s">
        <v>11404</v>
      </c>
      <c r="H19770" s="40" t="s">
        <v>11404</v>
      </c>
    </row>
    <row r="19771">
      <c r="A19771" s="39"/>
      <c r="E19771" s="40" t="s">
        <v>11404</v>
      </c>
      <c r="F19771" s="40" t="s">
        <v>11404</v>
      </c>
      <c r="G19771" s="40" t="s">
        <v>11404</v>
      </c>
      <c r="H19771" s="40" t="s">
        <v>11404</v>
      </c>
    </row>
    <row r="19772">
      <c r="A19772" s="39"/>
      <c r="E19772" s="40" t="s">
        <v>11404</v>
      </c>
      <c r="F19772" s="40" t="s">
        <v>11404</v>
      </c>
      <c r="G19772" s="40" t="s">
        <v>11404</v>
      </c>
      <c r="H19772" s="40" t="s">
        <v>11404</v>
      </c>
    </row>
    <row r="19773">
      <c r="A19773" s="39"/>
      <c r="E19773" s="40" t="s">
        <v>11404</v>
      </c>
      <c r="F19773" s="40" t="s">
        <v>11404</v>
      </c>
      <c r="G19773" s="40" t="s">
        <v>11404</v>
      </c>
      <c r="H19773" s="40" t="s">
        <v>11404</v>
      </c>
    </row>
    <row r="19774">
      <c r="A19774" s="39"/>
      <c r="E19774" s="40" t="s">
        <v>11404</v>
      </c>
      <c r="F19774" s="40" t="s">
        <v>11404</v>
      </c>
      <c r="G19774" s="40" t="s">
        <v>11404</v>
      </c>
      <c r="H19774" s="40" t="s">
        <v>11404</v>
      </c>
    </row>
    <row r="19775">
      <c r="A19775" s="39"/>
      <c r="E19775" s="40" t="s">
        <v>11404</v>
      </c>
      <c r="F19775" s="40" t="s">
        <v>11404</v>
      </c>
      <c r="G19775" s="40" t="s">
        <v>11404</v>
      </c>
      <c r="H19775" s="40" t="s">
        <v>11404</v>
      </c>
    </row>
    <row r="19776">
      <c r="A19776" s="39"/>
      <c r="E19776" s="40" t="s">
        <v>11404</v>
      </c>
      <c r="F19776" s="40" t="s">
        <v>11404</v>
      </c>
      <c r="G19776" s="40" t="s">
        <v>11404</v>
      </c>
      <c r="H19776" s="40" t="s">
        <v>11404</v>
      </c>
    </row>
    <row r="19777">
      <c r="A19777" s="39"/>
      <c r="E19777" s="40" t="s">
        <v>11404</v>
      </c>
      <c r="F19777" s="40" t="s">
        <v>11404</v>
      </c>
      <c r="G19777" s="40" t="s">
        <v>11404</v>
      </c>
      <c r="H19777" s="40" t="s">
        <v>11404</v>
      </c>
    </row>
    <row r="19778">
      <c r="A19778" s="39"/>
      <c r="E19778" s="40" t="s">
        <v>11404</v>
      </c>
      <c r="F19778" s="40" t="s">
        <v>11404</v>
      </c>
      <c r="G19778" s="40" t="s">
        <v>11404</v>
      </c>
      <c r="H19778" s="40" t="s">
        <v>11404</v>
      </c>
    </row>
    <row r="19779">
      <c r="A19779" s="39"/>
      <c r="E19779" s="40" t="s">
        <v>11404</v>
      </c>
      <c r="F19779" s="40" t="s">
        <v>11404</v>
      </c>
      <c r="G19779" s="40" t="s">
        <v>11404</v>
      </c>
      <c r="H19779" s="40" t="s">
        <v>11404</v>
      </c>
    </row>
    <row r="19780">
      <c r="A19780" s="39"/>
      <c r="E19780" s="40" t="s">
        <v>11404</v>
      </c>
      <c r="F19780" s="40" t="s">
        <v>11404</v>
      </c>
      <c r="G19780" s="40" t="s">
        <v>11404</v>
      </c>
      <c r="H19780" s="40" t="s">
        <v>11404</v>
      </c>
    </row>
    <row r="19781">
      <c r="A19781" s="39"/>
      <c r="E19781" s="40" t="s">
        <v>11404</v>
      </c>
      <c r="F19781" s="40" t="s">
        <v>11404</v>
      </c>
      <c r="G19781" s="40" t="s">
        <v>11404</v>
      </c>
      <c r="H19781" s="40" t="s">
        <v>11404</v>
      </c>
    </row>
    <row r="19782">
      <c r="A19782" s="39"/>
      <c r="E19782" s="40" t="s">
        <v>11404</v>
      </c>
      <c r="F19782" s="40" t="s">
        <v>11404</v>
      </c>
      <c r="G19782" s="40" t="s">
        <v>11404</v>
      </c>
      <c r="H19782" s="40" t="s">
        <v>11404</v>
      </c>
    </row>
    <row r="19783">
      <c r="A19783" s="39"/>
      <c r="E19783" s="40" t="s">
        <v>11404</v>
      </c>
      <c r="F19783" s="40" t="s">
        <v>11404</v>
      </c>
      <c r="G19783" s="40" t="s">
        <v>11404</v>
      </c>
      <c r="H19783" s="40" t="s">
        <v>11404</v>
      </c>
    </row>
    <row r="19784">
      <c r="A19784" s="39"/>
      <c r="E19784" s="40" t="s">
        <v>11404</v>
      </c>
      <c r="F19784" s="40" t="s">
        <v>11404</v>
      </c>
      <c r="G19784" s="40" t="s">
        <v>11404</v>
      </c>
      <c r="H19784" s="40" t="s">
        <v>11404</v>
      </c>
    </row>
    <row r="19785">
      <c r="A19785" s="39"/>
      <c r="E19785" s="40" t="s">
        <v>11404</v>
      </c>
      <c r="F19785" s="40" t="s">
        <v>11404</v>
      </c>
      <c r="G19785" s="40" t="s">
        <v>11404</v>
      </c>
      <c r="H19785" s="40" t="s">
        <v>11404</v>
      </c>
    </row>
    <row r="19786">
      <c r="A19786" s="39"/>
      <c r="E19786" s="40" t="s">
        <v>11404</v>
      </c>
      <c r="F19786" s="40" t="s">
        <v>11404</v>
      </c>
      <c r="G19786" s="40" t="s">
        <v>11404</v>
      </c>
      <c r="H19786" s="40" t="s">
        <v>11404</v>
      </c>
    </row>
    <row r="19787">
      <c r="A19787" s="39"/>
      <c r="E19787" s="40" t="s">
        <v>11404</v>
      </c>
      <c r="F19787" s="40" t="s">
        <v>11404</v>
      </c>
      <c r="G19787" s="40" t="s">
        <v>11404</v>
      </c>
      <c r="H19787" s="40" t="s">
        <v>11404</v>
      </c>
    </row>
    <row r="19788">
      <c r="A19788" s="39"/>
      <c r="E19788" s="40" t="s">
        <v>11404</v>
      </c>
      <c r="F19788" s="40" t="s">
        <v>11404</v>
      </c>
      <c r="G19788" s="40" t="s">
        <v>11404</v>
      </c>
      <c r="H19788" s="40" t="s">
        <v>11404</v>
      </c>
    </row>
    <row r="19789">
      <c r="A19789" s="39"/>
      <c r="E19789" s="40" t="s">
        <v>11404</v>
      </c>
      <c r="F19789" s="40" t="s">
        <v>11404</v>
      </c>
      <c r="G19789" s="40" t="s">
        <v>11404</v>
      </c>
      <c r="H19789" s="40" t="s">
        <v>11404</v>
      </c>
    </row>
    <row r="19790">
      <c r="A19790" s="39"/>
      <c r="E19790" s="40" t="s">
        <v>11404</v>
      </c>
      <c r="F19790" s="40" t="s">
        <v>11404</v>
      </c>
      <c r="G19790" s="40" t="s">
        <v>11404</v>
      </c>
      <c r="H19790" s="40" t="s">
        <v>11404</v>
      </c>
    </row>
    <row r="19791">
      <c r="A19791" s="39"/>
      <c r="E19791" s="40" t="s">
        <v>11404</v>
      </c>
      <c r="F19791" s="40" t="s">
        <v>11404</v>
      </c>
      <c r="G19791" s="40" t="s">
        <v>11404</v>
      </c>
      <c r="H19791" s="40" t="s">
        <v>11404</v>
      </c>
    </row>
    <row r="19792">
      <c r="A19792" s="39"/>
      <c r="E19792" s="40" t="s">
        <v>11404</v>
      </c>
      <c r="F19792" s="40" t="s">
        <v>11404</v>
      </c>
      <c r="G19792" s="40" t="s">
        <v>11404</v>
      </c>
      <c r="H19792" s="40" t="s">
        <v>11404</v>
      </c>
    </row>
    <row r="19793">
      <c r="A19793" s="39"/>
      <c r="E19793" s="40" t="s">
        <v>11404</v>
      </c>
      <c r="F19793" s="40" t="s">
        <v>11404</v>
      </c>
      <c r="G19793" s="40" t="s">
        <v>11404</v>
      </c>
      <c r="H19793" s="40" t="s">
        <v>11404</v>
      </c>
    </row>
    <row r="19794">
      <c r="A19794" s="39"/>
      <c r="E19794" s="40" t="s">
        <v>11404</v>
      </c>
      <c r="F19794" s="40" t="s">
        <v>11404</v>
      </c>
      <c r="G19794" s="40" t="s">
        <v>11404</v>
      </c>
      <c r="H19794" s="40" t="s">
        <v>11404</v>
      </c>
    </row>
    <row r="19795">
      <c r="A19795" s="39"/>
      <c r="E19795" s="40" t="s">
        <v>11404</v>
      </c>
      <c r="F19795" s="40" t="s">
        <v>11404</v>
      </c>
      <c r="G19795" s="40" t="s">
        <v>11404</v>
      </c>
      <c r="H19795" s="40" t="s">
        <v>11404</v>
      </c>
    </row>
    <row r="19796">
      <c r="A19796" s="39"/>
      <c r="E19796" s="40" t="s">
        <v>11404</v>
      </c>
      <c r="F19796" s="40" t="s">
        <v>11404</v>
      </c>
      <c r="G19796" s="40" t="s">
        <v>11404</v>
      </c>
      <c r="H19796" s="40" t="s">
        <v>11404</v>
      </c>
    </row>
    <row r="19797">
      <c r="A19797" s="39"/>
      <c r="E19797" s="40" t="s">
        <v>11404</v>
      </c>
      <c r="F19797" s="40" t="s">
        <v>11404</v>
      </c>
      <c r="G19797" s="40" t="s">
        <v>11404</v>
      </c>
      <c r="H19797" s="40" t="s">
        <v>11404</v>
      </c>
    </row>
    <row r="19798">
      <c r="A19798" s="39"/>
      <c r="E19798" s="40" t="s">
        <v>11404</v>
      </c>
      <c r="F19798" s="40" t="s">
        <v>11404</v>
      </c>
      <c r="G19798" s="40" t="s">
        <v>11404</v>
      </c>
      <c r="H19798" s="40" t="s">
        <v>11404</v>
      </c>
    </row>
    <row r="19799">
      <c r="A19799" s="39"/>
      <c r="E19799" s="40" t="s">
        <v>11404</v>
      </c>
      <c r="F19799" s="40" t="s">
        <v>11404</v>
      </c>
      <c r="G19799" s="40" t="s">
        <v>11404</v>
      </c>
      <c r="H19799" s="40" t="s">
        <v>11404</v>
      </c>
    </row>
    <row r="19800">
      <c r="A19800" s="39"/>
      <c r="E19800" s="40" t="s">
        <v>11404</v>
      </c>
      <c r="F19800" s="40" t="s">
        <v>11404</v>
      </c>
      <c r="G19800" s="40" t="s">
        <v>11404</v>
      </c>
      <c r="H19800" s="40" t="s">
        <v>11404</v>
      </c>
    </row>
    <row r="19801">
      <c r="A19801" s="39"/>
      <c r="E19801" s="40" t="s">
        <v>11404</v>
      </c>
      <c r="F19801" s="40" t="s">
        <v>11404</v>
      </c>
      <c r="G19801" s="40" t="s">
        <v>11404</v>
      </c>
      <c r="H19801" s="40" t="s">
        <v>11404</v>
      </c>
    </row>
    <row r="19802">
      <c r="A19802" s="39"/>
      <c r="E19802" s="40" t="s">
        <v>11404</v>
      </c>
      <c r="F19802" s="40" t="s">
        <v>11404</v>
      </c>
      <c r="G19802" s="40" t="s">
        <v>11404</v>
      </c>
      <c r="H19802" s="40" t="s">
        <v>11404</v>
      </c>
    </row>
    <row r="19803">
      <c r="A19803" s="39"/>
      <c r="E19803" s="40" t="s">
        <v>11404</v>
      </c>
      <c r="F19803" s="40" t="s">
        <v>11404</v>
      </c>
      <c r="G19803" s="40" t="s">
        <v>11404</v>
      </c>
      <c r="H19803" s="40" t="s">
        <v>11404</v>
      </c>
    </row>
    <row r="19804">
      <c r="A19804" s="39"/>
      <c r="E19804" s="40" t="s">
        <v>11404</v>
      </c>
      <c r="F19804" s="40" t="s">
        <v>11404</v>
      </c>
      <c r="G19804" s="40" t="s">
        <v>11404</v>
      </c>
      <c r="H19804" s="40" t="s">
        <v>11404</v>
      </c>
    </row>
    <row r="19805">
      <c r="A19805" s="39"/>
      <c r="E19805" s="40" t="s">
        <v>11404</v>
      </c>
      <c r="F19805" s="40" t="s">
        <v>11404</v>
      </c>
      <c r="G19805" s="40" t="s">
        <v>11404</v>
      </c>
      <c r="H19805" s="40" t="s">
        <v>11404</v>
      </c>
    </row>
    <row r="19806">
      <c r="A19806" s="39"/>
      <c r="E19806" s="40" t="s">
        <v>11404</v>
      </c>
      <c r="F19806" s="40" t="s">
        <v>11404</v>
      </c>
      <c r="G19806" s="40" t="s">
        <v>11404</v>
      </c>
      <c r="H19806" s="40" t="s">
        <v>11404</v>
      </c>
    </row>
    <row r="19807">
      <c r="A19807" s="39"/>
      <c r="E19807" s="40" t="s">
        <v>11404</v>
      </c>
      <c r="F19807" s="40" t="s">
        <v>11404</v>
      </c>
      <c r="G19807" s="40" t="s">
        <v>11404</v>
      </c>
      <c r="H19807" s="40" t="s">
        <v>11404</v>
      </c>
    </row>
    <row r="19808">
      <c r="A19808" s="39"/>
      <c r="E19808" s="40" t="s">
        <v>11404</v>
      </c>
      <c r="F19808" s="40" t="s">
        <v>11404</v>
      </c>
      <c r="G19808" s="40" t="s">
        <v>11404</v>
      </c>
      <c r="H19808" s="40" t="s">
        <v>11404</v>
      </c>
    </row>
    <row r="19809">
      <c r="A19809" s="39"/>
      <c r="E19809" s="40" t="s">
        <v>11404</v>
      </c>
      <c r="F19809" s="40" t="s">
        <v>11404</v>
      </c>
      <c r="G19809" s="40" t="s">
        <v>11404</v>
      </c>
      <c r="H19809" s="40" t="s">
        <v>11404</v>
      </c>
    </row>
    <row r="19810">
      <c r="A19810" s="39"/>
      <c r="E19810" s="40" t="s">
        <v>11404</v>
      </c>
      <c r="F19810" s="40" t="s">
        <v>11404</v>
      </c>
      <c r="G19810" s="40" t="s">
        <v>11404</v>
      </c>
      <c r="H19810" s="40" t="s">
        <v>11404</v>
      </c>
    </row>
    <row r="19811">
      <c r="A19811" s="39"/>
      <c r="E19811" s="40" t="s">
        <v>11404</v>
      </c>
      <c r="F19811" s="40" t="s">
        <v>11404</v>
      </c>
      <c r="G19811" s="40" t="s">
        <v>11404</v>
      </c>
      <c r="H19811" s="40" t="s">
        <v>11404</v>
      </c>
    </row>
    <row r="19812">
      <c r="A19812" s="39"/>
      <c r="E19812" s="40" t="s">
        <v>11404</v>
      </c>
      <c r="F19812" s="40" t="s">
        <v>11404</v>
      </c>
      <c r="G19812" s="40" t="s">
        <v>11404</v>
      </c>
      <c r="H19812" s="40" t="s">
        <v>11404</v>
      </c>
    </row>
    <row r="19813">
      <c r="A19813" s="39"/>
      <c r="E19813" s="40" t="s">
        <v>11404</v>
      </c>
      <c r="F19813" s="40" t="s">
        <v>11404</v>
      </c>
      <c r="G19813" s="40" t="s">
        <v>11404</v>
      </c>
      <c r="H19813" s="40" t="s">
        <v>11404</v>
      </c>
    </row>
    <row r="19814">
      <c r="A19814" s="39"/>
      <c r="E19814" s="40" t="s">
        <v>11404</v>
      </c>
      <c r="F19814" s="40" t="s">
        <v>11404</v>
      </c>
      <c r="G19814" s="40" t="s">
        <v>11404</v>
      </c>
      <c r="H19814" s="40" t="s">
        <v>11404</v>
      </c>
    </row>
    <row r="19815">
      <c r="A19815" s="39"/>
      <c r="E19815" s="40" t="s">
        <v>11404</v>
      </c>
      <c r="F19815" s="40" t="s">
        <v>11404</v>
      </c>
      <c r="G19815" s="40" t="s">
        <v>11404</v>
      </c>
      <c r="H19815" s="40" t="s">
        <v>11404</v>
      </c>
    </row>
    <row r="19816">
      <c r="A19816" s="39"/>
      <c r="E19816" s="40" t="s">
        <v>11404</v>
      </c>
      <c r="F19816" s="40" t="s">
        <v>11404</v>
      </c>
      <c r="G19816" s="40" t="s">
        <v>11404</v>
      </c>
      <c r="H19816" s="40" t="s">
        <v>11404</v>
      </c>
    </row>
    <row r="19817">
      <c r="A19817" s="39"/>
      <c r="E19817" s="40" t="s">
        <v>11404</v>
      </c>
      <c r="F19817" s="40" t="s">
        <v>11404</v>
      </c>
      <c r="G19817" s="40" t="s">
        <v>11404</v>
      </c>
      <c r="H19817" s="40" t="s">
        <v>11404</v>
      </c>
    </row>
    <row r="19818">
      <c r="A19818" s="39"/>
      <c r="E19818" s="40" t="s">
        <v>11404</v>
      </c>
      <c r="F19818" s="40" t="s">
        <v>11404</v>
      </c>
      <c r="G19818" s="40" t="s">
        <v>11404</v>
      </c>
      <c r="H19818" s="40" t="s">
        <v>11404</v>
      </c>
    </row>
    <row r="19819">
      <c r="A19819" s="39"/>
      <c r="E19819" s="40" t="s">
        <v>11404</v>
      </c>
      <c r="F19819" s="40" t="s">
        <v>11404</v>
      </c>
      <c r="G19819" s="40" t="s">
        <v>11404</v>
      </c>
      <c r="H19819" s="40" t="s">
        <v>11404</v>
      </c>
    </row>
    <row r="19820">
      <c r="A19820" s="39"/>
      <c r="E19820" s="40" t="s">
        <v>11404</v>
      </c>
      <c r="F19820" s="40" t="s">
        <v>11404</v>
      </c>
      <c r="G19820" s="40" t="s">
        <v>11404</v>
      </c>
      <c r="H19820" s="40" t="s">
        <v>11404</v>
      </c>
    </row>
    <row r="19821">
      <c r="A19821" s="39"/>
      <c r="E19821" s="40" t="s">
        <v>11404</v>
      </c>
      <c r="F19821" s="40" t="s">
        <v>11404</v>
      </c>
      <c r="G19821" s="40" t="s">
        <v>11404</v>
      </c>
      <c r="H19821" s="40" t="s">
        <v>11404</v>
      </c>
    </row>
    <row r="19822">
      <c r="A19822" s="39"/>
      <c r="E19822" s="40" t="s">
        <v>11404</v>
      </c>
      <c r="F19822" s="40" t="s">
        <v>11404</v>
      </c>
      <c r="G19822" s="40" t="s">
        <v>11404</v>
      </c>
      <c r="H19822" s="40" t="s">
        <v>11404</v>
      </c>
    </row>
    <row r="19823">
      <c r="A19823" s="39"/>
      <c r="E19823" s="40" t="s">
        <v>11404</v>
      </c>
      <c r="F19823" s="40" t="s">
        <v>11404</v>
      </c>
      <c r="G19823" s="40" t="s">
        <v>11404</v>
      </c>
      <c r="H19823" s="40" t="s">
        <v>11404</v>
      </c>
    </row>
    <row r="19824">
      <c r="A19824" s="39"/>
      <c r="E19824" s="40" t="s">
        <v>11404</v>
      </c>
      <c r="F19824" s="40" t="s">
        <v>11404</v>
      </c>
      <c r="G19824" s="40" t="s">
        <v>11404</v>
      </c>
      <c r="H19824" s="40" t="s">
        <v>11404</v>
      </c>
    </row>
    <row r="19825">
      <c r="A19825" s="39"/>
      <c r="E19825" s="40" t="s">
        <v>11404</v>
      </c>
      <c r="F19825" s="40" t="s">
        <v>11404</v>
      </c>
      <c r="G19825" s="40" t="s">
        <v>11404</v>
      </c>
      <c r="H19825" s="40" t="s">
        <v>11404</v>
      </c>
    </row>
    <row r="19826">
      <c r="A19826" s="39"/>
      <c r="E19826" s="40" t="s">
        <v>11404</v>
      </c>
      <c r="F19826" s="40" t="s">
        <v>11404</v>
      </c>
      <c r="G19826" s="40" t="s">
        <v>11404</v>
      </c>
      <c r="H19826" s="40" t="s">
        <v>11404</v>
      </c>
    </row>
    <row r="19827">
      <c r="A19827" s="39"/>
      <c r="E19827" s="40" t="s">
        <v>11404</v>
      </c>
      <c r="F19827" s="40" t="s">
        <v>11404</v>
      </c>
      <c r="G19827" s="40" t="s">
        <v>11404</v>
      </c>
      <c r="H19827" s="40" t="s">
        <v>11404</v>
      </c>
    </row>
    <row r="19828">
      <c r="A19828" s="39"/>
      <c r="E19828" s="40" t="s">
        <v>11404</v>
      </c>
      <c r="F19828" s="40" t="s">
        <v>11404</v>
      </c>
      <c r="G19828" s="40" t="s">
        <v>11404</v>
      </c>
      <c r="H19828" s="40" t="s">
        <v>11404</v>
      </c>
    </row>
    <row r="19829">
      <c r="A19829" s="39"/>
      <c r="E19829" s="40" t="s">
        <v>11404</v>
      </c>
      <c r="F19829" s="40" t="s">
        <v>11404</v>
      </c>
      <c r="G19829" s="40" t="s">
        <v>11404</v>
      </c>
      <c r="H19829" s="40" t="s">
        <v>11404</v>
      </c>
    </row>
    <row r="19830">
      <c r="A19830" s="39"/>
      <c r="E19830" s="40" t="s">
        <v>11404</v>
      </c>
      <c r="F19830" s="40" t="s">
        <v>11404</v>
      </c>
      <c r="G19830" s="40" t="s">
        <v>11404</v>
      </c>
      <c r="H19830" s="40" t="s">
        <v>11404</v>
      </c>
    </row>
    <row r="19831">
      <c r="A19831" s="39"/>
      <c r="E19831" s="40" t="s">
        <v>11404</v>
      </c>
      <c r="F19831" s="40" t="s">
        <v>11404</v>
      </c>
      <c r="G19831" s="40" t="s">
        <v>11404</v>
      </c>
      <c r="H19831" s="40" t="s">
        <v>11404</v>
      </c>
    </row>
    <row r="19832">
      <c r="A19832" s="39"/>
      <c r="E19832" s="40" t="s">
        <v>11404</v>
      </c>
      <c r="F19832" s="40" t="s">
        <v>11404</v>
      </c>
      <c r="G19832" s="40" t="s">
        <v>11404</v>
      </c>
      <c r="H19832" s="40" t="s">
        <v>11404</v>
      </c>
    </row>
    <row r="19833">
      <c r="A19833" s="39"/>
      <c r="E19833" s="40" t="s">
        <v>11404</v>
      </c>
      <c r="F19833" s="40" t="s">
        <v>11404</v>
      </c>
      <c r="G19833" s="40" t="s">
        <v>11404</v>
      </c>
      <c r="H19833" s="40" t="s">
        <v>11404</v>
      </c>
    </row>
    <row r="19834">
      <c r="A19834" s="39"/>
      <c r="E19834" s="40" t="s">
        <v>11404</v>
      </c>
      <c r="F19834" s="40" t="s">
        <v>11404</v>
      </c>
      <c r="G19834" s="40" t="s">
        <v>11404</v>
      </c>
      <c r="H19834" s="40" t="s">
        <v>11404</v>
      </c>
    </row>
    <row r="19835">
      <c r="A19835" s="39"/>
      <c r="E19835" s="40" t="s">
        <v>11404</v>
      </c>
      <c r="F19835" s="40" t="s">
        <v>11404</v>
      </c>
      <c r="G19835" s="40" t="s">
        <v>11404</v>
      </c>
      <c r="H19835" s="40" t="s">
        <v>11404</v>
      </c>
    </row>
    <row r="19836">
      <c r="A19836" s="39"/>
      <c r="E19836" s="40" t="s">
        <v>11404</v>
      </c>
      <c r="F19836" s="40" t="s">
        <v>11404</v>
      </c>
      <c r="G19836" s="40" t="s">
        <v>11404</v>
      </c>
      <c r="H19836" s="40" t="s">
        <v>11404</v>
      </c>
    </row>
    <row r="19837">
      <c r="A19837" s="39"/>
      <c r="E19837" s="40" t="s">
        <v>11404</v>
      </c>
      <c r="F19837" s="40" t="s">
        <v>11404</v>
      </c>
      <c r="G19837" s="40" t="s">
        <v>11404</v>
      </c>
      <c r="H19837" s="40" t="s">
        <v>11404</v>
      </c>
    </row>
    <row r="19838">
      <c r="A19838" s="39"/>
      <c r="E19838" s="40" t="s">
        <v>11404</v>
      </c>
      <c r="F19838" s="40" t="s">
        <v>11404</v>
      </c>
      <c r="G19838" s="40" t="s">
        <v>11404</v>
      </c>
      <c r="H19838" s="40" t="s">
        <v>11404</v>
      </c>
    </row>
    <row r="19839">
      <c r="A19839" s="39"/>
      <c r="E19839" s="40" t="s">
        <v>11404</v>
      </c>
      <c r="F19839" s="40" t="s">
        <v>11404</v>
      </c>
      <c r="G19839" s="40" t="s">
        <v>11404</v>
      </c>
      <c r="H19839" s="40" t="s">
        <v>11404</v>
      </c>
    </row>
    <row r="19840">
      <c r="A19840" s="39"/>
      <c r="E19840" s="40" t="s">
        <v>11404</v>
      </c>
      <c r="F19840" s="40" t="s">
        <v>11404</v>
      </c>
      <c r="G19840" s="40" t="s">
        <v>11404</v>
      </c>
      <c r="H19840" s="40" t="s">
        <v>11404</v>
      </c>
    </row>
    <row r="19841">
      <c r="A19841" s="39"/>
      <c r="E19841" s="40" t="s">
        <v>11404</v>
      </c>
      <c r="F19841" s="40" t="s">
        <v>11404</v>
      </c>
      <c r="G19841" s="40" t="s">
        <v>11404</v>
      </c>
      <c r="H19841" s="40" t="s">
        <v>11404</v>
      </c>
    </row>
    <row r="19842">
      <c r="A19842" s="39"/>
      <c r="E19842" s="40" t="s">
        <v>11404</v>
      </c>
      <c r="F19842" s="40" t="s">
        <v>11404</v>
      </c>
      <c r="G19842" s="40" t="s">
        <v>11404</v>
      </c>
      <c r="H19842" s="40" t="s">
        <v>11404</v>
      </c>
    </row>
    <row r="19843">
      <c r="A19843" s="39"/>
      <c r="E19843" s="40" t="s">
        <v>11404</v>
      </c>
      <c r="F19843" s="40" t="s">
        <v>11404</v>
      </c>
      <c r="G19843" s="40" t="s">
        <v>11404</v>
      </c>
      <c r="H19843" s="40" t="s">
        <v>11404</v>
      </c>
    </row>
    <row r="19844">
      <c r="A19844" s="39"/>
      <c r="E19844" s="40" t="s">
        <v>11404</v>
      </c>
      <c r="F19844" s="40" t="s">
        <v>11404</v>
      </c>
      <c r="G19844" s="40" t="s">
        <v>11404</v>
      </c>
      <c r="H19844" s="40" t="s">
        <v>11404</v>
      </c>
    </row>
    <row r="19845">
      <c r="A19845" s="39"/>
      <c r="E19845" s="40" t="s">
        <v>11404</v>
      </c>
      <c r="F19845" s="40" t="s">
        <v>11404</v>
      </c>
      <c r="G19845" s="40" t="s">
        <v>11404</v>
      </c>
      <c r="H19845" s="40" t="s">
        <v>11404</v>
      </c>
    </row>
    <row r="19846">
      <c r="A19846" s="39"/>
      <c r="E19846" s="40" t="s">
        <v>11404</v>
      </c>
      <c r="F19846" s="40" t="s">
        <v>11404</v>
      </c>
      <c r="G19846" s="40" t="s">
        <v>11404</v>
      </c>
      <c r="H19846" s="40" t="s">
        <v>11404</v>
      </c>
    </row>
    <row r="19847">
      <c r="A19847" s="39"/>
      <c r="E19847" s="40" t="s">
        <v>11404</v>
      </c>
      <c r="F19847" s="40" t="s">
        <v>11404</v>
      </c>
      <c r="G19847" s="40" t="s">
        <v>11404</v>
      </c>
      <c r="H19847" s="40" t="s">
        <v>11404</v>
      </c>
    </row>
    <row r="19848">
      <c r="A19848" s="39"/>
      <c r="E19848" s="40" t="s">
        <v>11404</v>
      </c>
      <c r="F19848" s="40" t="s">
        <v>11404</v>
      </c>
      <c r="G19848" s="40" t="s">
        <v>11404</v>
      </c>
      <c r="H19848" s="40" t="s">
        <v>11404</v>
      </c>
    </row>
    <row r="19849">
      <c r="A19849" s="39"/>
      <c r="E19849" s="40" t="s">
        <v>11404</v>
      </c>
      <c r="F19849" s="40" t="s">
        <v>11404</v>
      </c>
      <c r="G19849" s="40" t="s">
        <v>11404</v>
      </c>
      <c r="H19849" s="40" t="s">
        <v>11404</v>
      </c>
    </row>
    <row r="19850">
      <c r="A19850" s="39"/>
      <c r="E19850" s="40" t="s">
        <v>11404</v>
      </c>
      <c r="F19850" s="40" t="s">
        <v>11404</v>
      </c>
      <c r="G19850" s="40" t="s">
        <v>11404</v>
      </c>
      <c r="H19850" s="40" t="s">
        <v>11404</v>
      </c>
    </row>
    <row r="19851">
      <c r="A19851" s="39"/>
      <c r="E19851" s="40" t="s">
        <v>11404</v>
      </c>
      <c r="F19851" s="40" t="s">
        <v>11404</v>
      </c>
      <c r="G19851" s="40" t="s">
        <v>11404</v>
      </c>
      <c r="H19851" s="40" t="s">
        <v>11404</v>
      </c>
    </row>
    <row r="19852">
      <c r="A19852" s="39"/>
      <c r="E19852" s="40" t="s">
        <v>11404</v>
      </c>
      <c r="F19852" s="40" t="s">
        <v>11404</v>
      </c>
      <c r="G19852" s="40" t="s">
        <v>11404</v>
      </c>
      <c r="H19852" s="40" t="s">
        <v>11404</v>
      </c>
    </row>
    <row r="19853">
      <c r="A19853" s="39"/>
      <c r="E19853" s="40" t="s">
        <v>11404</v>
      </c>
      <c r="F19853" s="40" t="s">
        <v>11404</v>
      </c>
      <c r="G19853" s="40" t="s">
        <v>11404</v>
      </c>
      <c r="H19853" s="40" t="s">
        <v>11404</v>
      </c>
    </row>
    <row r="19854">
      <c r="A19854" s="39"/>
      <c r="E19854" s="40" t="s">
        <v>11404</v>
      </c>
      <c r="F19854" s="40" t="s">
        <v>11404</v>
      </c>
      <c r="G19854" s="40" t="s">
        <v>11404</v>
      </c>
      <c r="H19854" s="40" t="s">
        <v>11404</v>
      </c>
    </row>
    <row r="19855">
      <c r="A19855" s="39"/>
      <c r="E19855" s="40" t="s">
        <v>11404</v>
      </c>
      <c r="F19855" s="40" t="s">
        <v>11404</v>
      </c>
      <c r="G19855" s="40" t="s">
        <v>11404</v>
      </c>
      <c r="H19855" s="40" t="s">
        <v>11404</v>
      </c>
    </row>
    <row r="19856">
      <c r="A19856" s="39"/>
      <c r="E19856" s="40" t="s">
        <v>11404</v>
      </c>
      <c r="F19856" s="40" t="s">
        <v>11404</v>
      </c>
      <c r="G19856" s="40" t="s">
        <v>11404</v>
      </c>
      <c r="H19856" s="40" t="s">
        <v>11404</v>
      </c>
    </row>
    <row r="19857">
      <c r="A19857" s="39"/>
      <c r="E19857" s="40" t="s">
        <v>11404</v>
      </c>
      <c r="F19857" s="40" t="s">
        <v>11404</v>
      </c>
      <c r="G19857" s="40" t="s">
        <v>11404</v>
      </c>
      <c r="H19857" s="40" t="s">
        <v>11404</v>
      </c>
    </row>
    <row r="19858">
      <c r="A19858" s="39"/>
      <c r="E19858" s="40" t="s">
        <v>11404</v>
      </c>
      <c r="F19858" s="40" t="s">
        <v>11404</v>
      </c>
      <c r="G19858" s="40" t="s">
        <v>11404</v>
      </c>
      <c r="H19858" s="40" t="s">
        <v>11404</v>
      </c>
    </row>
    <row r="19859">
      <c r="A19859" s="39"/>
      <c r="E19859" s="40" t="s">
        <v>11404</v>
      </c>
      <c r="F19859" s="40" t="s">
        <v>11404</v>
      </c>
      <c r="G19859" s="40" t="s">
        <v>11404</v>
      </c>
      <c r="H19859" s="40" t="s">
        <v>11404</v>
      </c>
    </row>
    <row r="19860">
      <c r="A19860" s="39"/>
      <c r="E19860" s="40" t="s">
        <v>11404</v>
      </c>
      <c r="F19860" s="40" t="s">
        <v>11404</v>
      </c>
      <c r="G19860" s="40" t="s">
        <v>11404</v>
      </c>
      <c r="H19860" s="40" t="s">
        <v>11404</v>
      </c>
    </row>
    <row r="19861">
      <c r="A19861" s="39"/>
      <c r="E19861" s="40" t="s">
        <v>11404</v>
      </c>
      <c r="F19861" s="40" t="s">
        <v>11404</v>
      </c>
      <c r="G19861" s="40" t="s">
        <v>11404</v>
      </c>
      <c r="H19861" s="40" t="s">
        <v>11404</v>
      </c>
    </row>
    <row r="19862">
      <c r="A19862" s="39"/>
      <c r="E19862" s="40" t="s">
        <v>11404</v>
      </c>
      <c r="F19862" s="40" t="s">
        <v>11404</v>
      </c>
      <c r="G19862" s="40" t="s">
        <v>11404</v>
      </c>
      <c r="H19862" s="40" t="s">
        <v>11404</v>
      </c>
    </row>
    <row r="19863">
      <c r="A19863" s="39"/>
      <c r="E19863" s="40" t="s">
        <v>11404</v>
      </c>
      <c r="F19863" s="40" t="s">
        <v>11404</v>
      </c>
      <c r="G19863" s="40" t="s">
        <v>11404</v>
      </c>
      <c r="H19863" s="40" t="s">
        <v>11404</v>
      </c>
    </row>
    <row r="19864">
      <c r="A19864" s="39"/>
      <c r="E19864" s="40" t="s">
        <v>11404</v>
      </c>
      <c r="F19864" s="40" t="s">
        <v>11404</v>
      </c>
      <c r="G19864" s="40" t="s">
        <v>11404</v>
      </c>
      <c r="H19864" s="40" t="s">
        <v>11404</v>
      </c>
    </row>
    <row r="19865">
      <c r="A19865" s="39"/>
      <c r="E19865" s="40" t="s">
        <v>11404</v>
      </c>
      <c r="F19865" s="40" t="s">
        <v>11404</v>
      </c>
      <c r="G19865" s="40" t="s">
        <v>11404</v>
      </c>
      <c r="H19865" s="40" t="s">
        <v>11404</v>
      </c>
    </row>
    <row r="19866">
      <c r="A19866" s="39"/>
      <c r="E19866" s="40" t="s">
        <v>11404</v>
      </c>
      <c r="F19866" s="40" t="s">
        <v>11404</v>
      </c>
      <c r="G19866" s="40" t="s">
        <v>11404</v>
      </c>
      <c r="H19866" s="40" t="s">
        <v>11404</v>
      </c>
    </row>
    <row r="19867">
      <c r="A19867" s="39"/>
      <c r="E19867" s="40" t="s">
        <v>11404</v>
      </c>
      <c r="F19867" s="40" t="s">
        <v>11404</v>
      </c>
      <c r="G19867" s="40" t="s">
        <v>11404</v>
      </c>
      <c r="H19867" s="40" t="s">
        <v>11404</v>
      </c>
    </row>
    <row r="19868">
      <c r="A19868" s="39"/>
      <c r="E19868" s="40" t="s">
        <v>11404</v>
      </c>
      <c r="F19868" s="40" t="s">
        <v>11404</v>
      </c>
      <c r="G19868" s="40" t="s">
        <v>11404</v>
      </c>
      <c r="H19868" s="40" t="s">
        <v>11404</v>
      </c>
    </row>
    <row r="19869">
      <c r="A19869" s="39"/>
      <c r="E19869" s="40" t="s">
        <v>11404</v>
      </c>
      <c r="F19869" s="40" t="s">
        <v>11404</v>
      </c>
      <c r="G19869" s="40" t="s">
        <v>11404</v>
      </c>
      <c r="H19869" s="40" t="s">
        <v>11404</v>
      </c>
    </row>
    <row r="19870">
      <c r="A19870" s="39"/>
      <c r="E19870" s="40" t="s">
        <v>11404</v>
      </c>
      <c r="F19870" s="40" t="s">
        <v>11404</v>
      </c>
      <c r="G19870" s="40" t="s">
        <v>11404</v>
      </c>
      <c r="H19870" s="40" t="s">
        <v>11404</v>
      </c>
    </row>
    <row r="19871">
      <c r="A19871" s="39"/>
      <c r="E19871" s="40" t="s">
        <v>11404</v>
      </c>
      <c r="F19871" s="40" t="s">
        <v>11404</v>
      </c>
      <c r="G19871" s="40" t="s">
        <v>11404</v>
      </c>
      <c r="H19871" s="40" t="s">
        <v>11404</v>
      </c>
    </row>
    <row r="19872">
      <c r="A19872" s="39"/>
      <c r="E19872" s="40" t="s">
        <v>11404</v>
      </c>
      <c r="F19872" s="40" t="s">
        <v>11404</v>
      </c>
      <c r="G19872" s="40" t="s">
        <v>11404</v>
      </c>
      <c r="H19872" s="40" t="s">
        <v>11404</v>
      </c>
    </row>
    <row r="19873">
      <c r="A19873" s="39"/>
      <c r="E19873" s="40" t="s">
        <v>11404</v>
      </c>
      <c r="F19873" s="40" t="s">
        <v>11404</v>
      </c>
      <c r="G19873" s="40" t="s">
        <v>11404</v>
      </c>
      <c r="H19873" s="40" t="s">
        <v>11404</v>
      </c>
    </row>
    <row r="19874">
      <c r="A19874" s="39"/>
      <c r="E19874" s="40" t="s">
        <v>11404</v>
      </c>
      <c r="F19874" s="40" t="s">
        <v>11404</v>
      </c>
      <c r="G19874" s="40" t="s">
        <v>11404</v>
      </c>
      <c r="H19874" s="40" t="s">
        <v>11404</v>
      </c>
    </row>
    <row r="19875">
      <c r="A19875" s="39"/>
      <c r="E19875" s="40" t="s">
        <v>11404</v>
      </c>
      <c r="F19875" s="40" t="s">
        <v>11404</v>
      </c>
      <c r="G19875" s="40" t="s">
        <v>11404</v>
      </c>
      <c r="H19875" s="40" t="s">
        <v>11404</v>
      </c>
    </row>
    <row r="19876">
      <c r="A19876" s="39"/>
      <c r="E19876" s="40" t="s">
        <v>11404</v>
      </c>
      <c r="F19876" s="40" t="s">
        <v>11404</v>
      </c>
      <c r="G19876" s="40" t="s">
        <v>11404</v>
      </c>
      <c r="H19876" s="40" t="s">
        <v>11404</v>
      </c>
    </row>
    <row r="19877">
      <c r="A19877" s="39"/>
      <c r="E19877" s="40" t="s">
        <v>11404</v>
      </c>
      <c r="F19877" s="40" t="s">
        <v>11404</v>
      </c>
      <c r="G19877" s="40" t="s">
        <v>11404</v>
      </c>
      <c r="H19877" s="40" t="s">
        <v>11404</v>
      </c>
    </row>
    <row r="19878">
      <c r="A19878" s="39"/>
      <c r="E19878" s="40" t="s">
        <v>11404</v>
      </c>
      <c r="F19878" s="40" t="s">
        <v>11404</v>
      </c>
      <c r="G19878" s="40" t="s">
        <v>11404</v>
      </c>
      <c r="H19878" s="40" t="s">
        <v>11404</v>
      </c>
    </row>
    <row r="19879">
      <c r="A19879" s="39"/>
      <c r="E19879" s="40" t="s">
        <v>11404</v>
      </c>
      <c r="F19879" s="40" t="s">
        <v>11404</v>
      </c>
      <c r="G19879" s="40" t="s">
        <v>11404</v>
      </c>
      <c r="H19879" s="40" t="s">
        <v>11404</v>
      </c>
    </row>
    <row r="19880">
      <c r="A19880" s="39"/>
      <c r="E19880" s="40" t="s">
        <v>11404</v>
      </c>
      <c r="F19880" s="40" t="s">
        <v>11404</v>
      </c>
      <c r="G19880" s="40" t="s">
        <v>11404</v>
      </c>
      <c r="H19880" s="40" t="s">
        <v>11404</v>
      </c>
    </row>
    <row r="19881">
      <c r="A19881" s="39"/>
      <c r="E19881" s="40" t="s">
        <v>11404</v>
      </c>
      <c r="F19881" s="40" t="s">
        <v>11404</v>
      </c>
      <c r="G19881" s="40" t="s">
        <v>11404</v>
      </c>
      <c r="H19881" s="40" t="s">
        <v>11404</v>
      </c>
    </row>
    <row r="19882">
      <c r="A19882" s="39"/>
      <c r="E19882" s="40" t="s">
        <v>11404</v>
      </c>
      <c r="F19882" s="40" t="s">
        <v>11404</v>
      </c>
      <c r="G19882" s="40" t="s">
        <v>11404</v>
      </c>
      <c r="H19882" s="40" t="s">
        <v>11404</v>
      </c>
    </row>
    <row r="19883">
      <c r="A19883" s="39"/>
      <c r="E19883" s="40" t="s">
        <v>11404</v>
      </c>
      <c r="F19883" s="40" t="s">
        <v>11404</v>
      </c>
      <c r="G19883" s="40" t="s">
        <v>11404</v>
      </c>
      <c r="H19883" s="40" t="s">
        <v>11404</v>
      </c>
    </row>
    <row r="19884">
      <c r="A19884" s="39"/>
      <c r="E19884" s="40" t="s">
        <v>11404</v>
      </c>
      <c r="F19884" s="40" t="s">
        <v>11404</v>
      </c>
      <c r="G19884" s="40" t="s">
        <v>11404</v>
      </c>
      <c r="H19884" s="40" t="s">
        <v>11404</v>
      </c>
    </row>
    <row r="19885">
      <c r="A19885" s="39"/>
      <c r="E19885" s="40" t="s">
        <v>11404</v>
      </c>
      <c r="F19885" s="40" t="s">
        <v>11404</v>
      </c>
      <c r="G19885" s="40" t="s">
        <v>11404</v>
      </c>
      <c r="H19885" s="40" t="s">
        <v>11404</v>
      </c>
    </row>
    <row r="19886">
      <c r="A19886" s="39"/>
      <c r="E19886" s="40" t="s">
        <v>11404</v>
      </c>
      <c r="F19886" s="40" t="s">
        <v>11404</v>
      </c>
      <c r="G19886" s="40" t="s">
        <v>11404</v>
      </c>
      <c r="H19886" s="40" t="s">
        <v>11404</v>
      </c>
    </row>
    <row r="19887">
      <c r="A19887" s="39"/>
      <c r="E19887" s="40" t="s">
        <v>11404</v>
      </c>
      <c r="F19887" s="40" t="s">
        <v>11404</v>
      </c>
      <c r="G19887" s="40" t="s">
        <v>11404</v>
      </c>
      <c r="H19887" s="40" t="s">
        <v>11404</v>
      </c>
    </row>
    <row r="19888">
      <c r="A19888" s="39"/>
      <c r="E19888" s="40" t="s">
        <v>11404</v>
      </c>
      <c r="F19888" s="40" t="s">
        <v>11404</v>
      </c>
      <c r="G19888" s="40" t="s">
        <v>11404</v>
      </c>
      <c r="H19888" s="40" t="s">
        <v>11404</v>
      </c>
    </row>
    <row r="19889">
      <c r="A19889" s="39"/>
      <c r="E19889" s="40" t="s">
        <v>11404</v>
      </c>
      <c r="F19889" s="40" t="s">
        <v>11404</v>
      </c>
      <c r="G19889" s="40" t="s">
        <v>11404</v>
      </c>
      <c r="H19889" s="40" t="s">
        <v>11404</v>
      </c>
    </row>
    <row r="19890">
      <c r="A19890" s="39"/>
      <c r="E19890" s="40" t="s">
        <v>11404</v>
      </c>
      <c r="F19890" s="40" t="s">
        <v>11404</v>
      </c>
      <c r="G19890" s="40" t="s">
        <v>11404</v>
      </c>
      <c r="H19890" s="40" t="s">
        <v>11404</v>
      </c>
    </row>
    <row r="19891">
      <c r="A19891" s="39"/>
      <c r="E19891" s="40" t="s">
        <v>11404</v>
      </c>
      <c r="F19891" s="40" t="s">
        <v>11404</v>
      </c>
      <c r="G19891" s="40" t="s">
        <v>11404</v>
      </c>
      <c r="H19891" s="40" t="s">
        <v>11404</v>
      </c>
    </row>
    <row r="19892">
      <c r="A19892" s="39"/>
      <c r="E19892" s="40" t="s">
        <v>11404</v>
      </c>
      <c r="F19892" s="40" t="s">
        <v>11404</v>
      </c>
      <c r="G19892" s="40" t="s">
        <v>11404</v>
      </c>
      <c r="H19892" s="40" t="s">
        <v>11404</v>
      </c>
    </row>
    <row r="19893">
      <c r="A19893" s="39"/>
      <c r="E19893" s="40" t="s">
        <v>11404</v>
      </c>
      <c r="F19893" s="40" t="s">
        <v>11404</v>
      </c>
      <c r="G19893" s="40" t="s">
        <v>11404</v>
      </c>
      <c r="H19893" s="40" t="s">
        <v>11404</v>
      </c>
    </row>
    <row r="19894">
      <c r="A19894" s="39"/>
      <c r="E19894" s="40" t="s">
        <v>11404</v>
      </c>
      <c r="F19894" s="40" t="s">
        <v>11404</v>
      </c>
      <c r="G19894" s="40" t="s">
        <v>11404</v>
      </c>
      <c r="H19894" s="40" t="s">
        <v>11404</v>
      </c>
    </row>
    <row r="19895">
      <c r="A19895" s="39"/>
      <c r="E19895" s="40" t="s">
        <v>11404</v>
      </c>
      <c r="F19895" s="40" t="s">
        <v>11404</v>
      </c>
      <c r="G19895" s="40" t="s">
        <v>11404</v>
      </c>
      <c r="H19895" s="40" t="s">
        <v>11404</v>
      </c>
    </row>
    <row r="19896">
      <c r="A19896" s="39"/>
      <c r="E19896" s="40" t="s">
        <v>11404</v>
      </c>
      <c r="F19896" s="40" t="s">
        <v>11404</v>
      </c>
      <c r="G19896" s="40" t="s">
        <v>11404</v>
      </c>
      <c r="H19896" s="40" t="s">
        <v>11404</v>
      </c>
    </row>
    <row r="19897">
      <c r="A19897" s="39"/>
      <c r="E19897" s="40" t="s">
        <v>11404</v>
      </c>
      <c r="F19897" s="40" t="s">
        <v>11404</v>
      </c>
      <c r="G19897" s="40" t="s">
        <v>11404</v>
      </c>
      <c r="H19897" s="40" t="s">
        <v>11404</v>
      </c>
    </row>
    <row r="19898">
      <c r="A19898" s="39"/>
      <c r="E19898" s="40" t="s">
        <v>11404</v>
      </c>
      <c r="F19898" s="40" t="s">
        <v>11404</v>
      </c>
      <c r="G19898" s="40" t="s">
        <v>11404</v>
      </c>
      <c r="H19898" s="40" t="s">
        <v>11404</v>
      </c>
    </row>
    <row r="19899">
      <c r="A19899" s="39"/>
      <c r="E19899" s="40" t="s">
        <v>11404</v>
      </c>
      <c r="F19899" s="40" t="s">
        <v>11404</v>
      </c>
      <c r="G19899" s="40" t="s">
        <v>11404</v>
      </c>
      <c r="H19899" s="40" t="s">
        <v>11404</v>
      </c>
    </row>
    <row r="19900">
      <c r="A19900" s="39"/>
      <c r="E19900" s="40" t="s">
        <v>11404</v>
      </c>
      <c r="F19900" s="40" t="s">
        <v>11404</v>
      </c>
      <c r="G19900" s="40" t="s">
        <v>11404</v>
      </c>
      <c r="H19900" s="40" t="s">
        <v>11404</v>
      </c>
    </row>
    <row r="19901">
      <c r="A19901" s="39"/>
      <c r="E19901" s="40" t="s">
        <v>11404</v>
      </c>
      <c r="F19901" s="40" t="s">
        <v>11404</v>
      </c>
      <c r="G19901" s="40" t="s">
        <v>11404</v>
      </c>
      <c r="H19901" s="40" t="s">
        <v>11404</v>
      </c>
    </row>
    <row r="19902">
      <c r="A19902" s="39"/>
      <c r="E19902" s="40" t="s">
        <v>11404</v>
      </c>
      <c r="F19902" s="40" t="s">
        <v>11404</v>
      </c>
      <c r="G19902" s="40" t="s">
        <v>11404</v>
      </c>
      <c r="H19902" s="40" t="s">
        <v>11404</v>
      </c>
    </row>
    <row r="19903">
      <c r="A19903" s="39"/>
      <c r="E19903" s="40" t="s">
        <v>11404</v>
      </c>
      <c r="F19903" s="40" t="s">
        <v>11404</v>
      </c>
      <c r="G19903" s="40" t="s">
        <v>11404</v>
      </c>
      <c r="H19903" s="40" t="s">
        <v>11404</v>
      </c>
    </row>
    <row r="19904">
      <c r="A19904" s="39"/>
      <c r="E19904" s="40" t="s">
        <v>11404</v>
      </c>
      <c r="F19904" s="40" t="s">
        <v>11404</v>
      </c>
      <c r="G19904" s="40" t="s">
        <v>11404</v>
      </c>
      <c r="H19904" s="40" t="s">
        <v>11404</v>
      </c>
    </row>
    <row r="19905">
      <c r="A19905" s="39"/>
      <c r="E19905" s="40" t="s">
        <v>11404</v>
      </c>
      <c r="F19905" s="40" t="s">
        <v>11404</v>
      </c>
      <c r="G19905" s="40" t="s">
        <v>11404</v>
      </c>
      <c r="H19905" s="40" t="s">
        <v>11404</v>
      </c>
    </row>
    <row r="19906">
      <c r="A19906" s="39"/>
      <c r="E19906" s="40" t="s">
        <v>11404</v>
      </c>
      <c r="F19906" s="40" t="s">
        <v>11404</v>
      </c>
      <c r="G19906" s="40" t="s">
        <v>11404</v>
      </c>
      <c r="H19906" s="40" t="s">
        <v>11404</v>
      </c>
    </row>
    <row r="19907">
      <c r="A19907" s="39"/>
      <c r="E19907" s="40" t="s">
        <v>11404</v>
      </c>
      <c r="F19907" s="40" t="s">
        <v>11404</v>
      </c>
      <c r="G19907" s="40" t="s">
        <v>11404</v>
      </c>
      <c r="H19907" s="40" t="s">
        <v>11404</v>
      </c>
    </row>
    <row r="19908">
      <c r="A19908" s="39"/>
      <c r="E19908" s="40" t="s">
        <v>11404</v>
      </c>
      <c r="F19908" s="40" t="s">
        <v>11404</v>
      </c>
      <c r="G19908" s="40" t="s">
        <v>11404</v>
      </c>
      <c r="H19908" s="40" t="s">
        <v>11404</v>
      </c>
    </row>
    <row r="19909">
      <c r="A19909" s="39"/>
      <c r="E19909" s="40" t="s">
        <v>11404</v>
      </c>
      <c r="F19909" s="40" t="s">
        <v>11404</v>
      </c>
      <c r="G19909" s="40" t="s">
        <v>11404</v>
      </c>
      <c r="H19909" s="40" t="s">
        <v>11404</v>
      </c>
    </row>
    <row r="19910">
      <c r="A19910" s="39"/>
      <c r="E19910" s="40" t="s">
        <v>11404</v>
      </c>
      <c r="F19910" s="40" t="s">
        <v>11404</v>
      </c>
      <c r="G19910" s="40" t="s">
        <v>11404</v>
      </c>
      <c r="H19910" s="40" t="s">
        <v>11404</v>
      </c>
    </row>
    <row r="19911">
      <c r="A19911" s="39"/>
      <c r="E19911" s="40" t="s">
        <v>11404</v>
      </c>
      <c r="F19911" s="40" t="s">
        <v>11404</v>
      </c>
      <c r="G19911" s="40" t="s">
        <v>11404</v>
      </c>
      <c r="H19911" s="40" t="s">
        <v>11404</v>
      </c>
    </row>
    <row r="19912">
      <c r="A19912" s="39"/>
      <c r="E19912" s="40" t="s">
        <v>11404</v>
      </c>
      <c r="F19912" s="40" t="s">
        <v>11404</v>
      </c>
      <c r="G19912" s="40" t="s">
        <v>11404</v>
      </c>
      <c r="H19912" s="40" t="s">
        <v>11404</v>
      </c>
    </row>
    <row r="19913">
      <c r="A19913" s="39"/>
      <c r="E19913" s="40" t="s">
        <v>11404</v>
      </c>
      <c r="F19913" s="40" t="s">
        <v>11404</v>
      </c>
      <c r="G19913" s="40" t="s">
        <v>11404</v>
      </c>
      <c r="H19913" s="40" t="s">
        <v>11404</v>
      </c>
    </row>
    <row r="19914">
      <c r="A19914" s="39"/>
      <c r="E19914" s="40" t="s">
        <v>11404</v>
      </c>
      <c r="F19914" s="40" t="s">
        <v>11404</v>
      </c>
      <c r="G19914" s="40" t="s">
        <v>11404</v>
      </c>
      <c r="H19914" s="40" t="s">
        <v>11404</v>
      </c>
    </row>
    <row r="19915">
      <c r="A19915" s="39"/>
      <c r="E19915" s="40" t="s">
        <v>11404</v>
      </c>
      <c r="F19915" s="40" t="s">
        <v>11404</v>
      </c>
      <c r="G19915" s="40" t="s">
        <v>11404</v>
      </c>
      <c r="H19915" s="40" t="s">
        <v>11404</v>
      </c>
    </row>
    <row r="19916">
      <c r="A19916" s="39"/>
      <c r="E19916" s="40" t="s">
        <v>11404</v>
      </c>
      <c r="F19916" s="40" t="s">
        <v>11404</v>
      </c>
      <c r="G19916" s="40" t="s">
        <v>11404</v>
      </c>
      <c r="H19916" s="40" t="s">
        <v>11404</v>
      </c>
    </row>
    <row r="19917">
      <c r="A19917" s="39"/>
      <c r="E19917" s="40" t="s">
        <v>11404</v>
      </c>
      <c r="F19917" s="40" t="s">
        <v>11404</v>
      </c>
      <c r="G19917" s="40" t="s">
        <v>11404</v>
      </c>
      <c r="H19917" s="40" t="s">
        <v>11404</v>
      </c>
    </row>
    <row r="19918">
      <c r="A19918" s="39"/>
      <c r="E19918" s="40" t="s">
        <v>11404</v>
      </c>
      <c r="F19918" s="40" t="s">
        <v>11404</v>
      </c>
      <c r="G19918" s="40" t="s">
        <v>11404</v>
      </c>
      <c r="H19918" s="40" t="s">
        <v>11404</v>
      </c>
    </row>
    <row r="19919">
      <c r="A19919" s="39"/>
      <c r="E19919" s="40" t="s">
        <v>11404</v>
      </c>
      <c r="F19919" s="40" t="s">
        <v>11404</v>
      </c>
      <c r="G19919" s="40" t="s">
        <v>11404</v>
      </c>
      <c r="H19919" s="40" t="s">
        <v>11404</v>
      </c>
    </row>
    <row r="19920">
      <c r="A19920" s="39"/>
      <c r="E19920" s="40" t="s">
        <v>11404</v>
      </c>
      <c r="F19920" s="40" t="s">
        <v>11404</v>
      </c>
      <c r="G19920" s="40" t="s">
        <v>11404</v>
      </c>
      <c r="H19920" s="40" t="s">
        <v>11404</v>
      </c>
    </row>
    <row r="19921">
      <c r="A19921" s="39"/>
      <c r="E19921" s="40" t="s">
        <v>11404</v>
      </c>
      <c r="F19921" s="40" t="s">
        <v>11404</v>
      </c>
      <c r="G19921" s="40" t="s">
        <v>11404</v>
      </c>
      <c r="H19921" s="40" t="s">
        <v>11404</v>
      </c>
    </row>
    <row r="19922">
      <c r="A19922" s="39"/>
      <c r="E19922" s="40" t="s">
        <v>11404</v>
      </c>
      <c r="F19922" s="40" t="s">
        <v>11404</v>
      </c>
      <c r="G19922" s="40" t="s">
        <v>11404</v>
      </c>
      <c r="H19922" s="40" t="s">
        <v>11404</v>
      </c>
    </row>
    <row r="19923">
      <c r="A19923" s="39"/>
      <c r="E19923" s="40" t="s">
        <v>11404</v>
      </c>
      <c r="F19923" s="40" t="s">
        <v>11404</v>
      </c>
      <c r="G19923" s="40" t="s">
        <v>11404</v>
      </c>
      <c r="H19923" s="40" t="s">
        <v>11404</v>
      </c>
    </row>
    <row r="19924">
      <c r="A19924" s="39"/>
      <c r="E19924" s="40" t="s">
        <v>11404</v>
      </c>
      <c r="F19924" s="40" t="s">
        <v>11404</v>
      </c>
      <c r="G19924" s="40" t="s">
        <v>11404</v>
      </c>
      <c r="H19924" s="40" t="s">
        <v>11404</v>
      </c>
    </row>
    <row r="19925">
      <c r="A19925" s="39"/>
      <c r="E19925" s="40" t="s">
        <v>11404</v>
      </c>
      <c r="F19925" s="40" t="s">
        <v>11404</v>
      </c>
      <c r="G19925" s="40" t="s">
        <v>11404</v>
      </c>
      <c r="H19925" s="40" t="s">
        <v>11404</v>
      </c>
    </row>
    <row r="19926">
      <c r="A19926" s="39"/>
      <c r="E19926" s="40" t="s">
        <v>11404</v>
      </c>
      <c r="F19926" s="40" t="s">
        <v>11404</v>
      </c>
      <c r="G19926" s="40" t="s">
        <v>11404</v>
      </c>
      <c r="H19926" s="40" t="s">
        <v>11404</v>
      </c>
    </row>
    <row r="19927">
      <c r="A19927" s="39"/>
      <c r="E19927" s="40" t="s">
        <v>11404</v>
      </c>
      <c r="F19927" s="40" t="s">
        <v>11404</v>
      </c>
      <c r="G19927" s="40" t="s">
        <v>11404</v>
      </c>
      <c r="H19927" s="40" t="s">
        <v>11404</v>
      </c>
    </row>
    <row r="19928">
      <c r="A19928" s="39"/>
      <c r="E19928" s="40" t="s">
        <v>11404</v>
      </c>
      <c r="F19928" s="40" t="s">
        <v>11404</v>
      </c>
      <c r="G19928" s="40" t="s">
        <v>11404</v>
      </c>
      <c r="H19928" s="40" t="s">
        <v>11404</v>
      </c>
    </row>
    <row r="19929">
      <c r="A19929" s="39"/>
      <c r="E19929" s="40" t="s">
        <v>11404</v>
      </c>
      <c r="F19929" s="40" t="s">
        <v>11404</v>
      </c>
      <c r="G19929" s="40" t="s">
        <v>11404</v>
      </c>
      <c r="H19929" s="40" t="s">
        <v>11404</v>
      </c>
    </row>
    <row r="19930">
      <c r="A19930" s="39"/>
      <c r="E19930" s="40" t="s">
        <v>11404</v>
      </c>
      <c r="F19930" s="40" t="s">
        <v>11404</v>
      </c>
      <c r="G19930" s="40" t="s">
        <v>11404</v>
      </c>
      <c r="H19930" s="40" t="s">
        <v>11404</v>
      </c>
    </row>
    <row r="19931">
      <c r="A19931" s="39"/>
      <c r="E19931" s="40" t="s">
        <v>11404</v>
      </c>
      <c r="F19931" s="40" t="s">
        <v>11404</v>
      </c>
      <c r="G19931" s="40" t="s">
        <v>11404</v>
      </c>
      <c r="H19931" s="40" t="s">
        <v>11404</v>
      </c>
    </row>
    <row r="19932">
      <c r="A19932" s="39"/>
      <c r="E19932" s="40" t="s">
        <v>11404</v>
      </c>
      <c r="F19932" s="40" t="s">
        <v>11404</v>
      </c>
      <c r="G19932" s="40" t="s">
        <v>11404</v>
      </c>
      <c r="H19932" s="40" t="s">
        <v>11404</v>
      </c>
    </row>
    <row r="19933">
      <c r="A19933" s="39"/>
      <c r="E19933" s="40" t="s">
        <v>11404</v>
      </c>
      <c r="F19933" s="40" t="s">
        <v>11404</v>
      </c>
      <c r="G19933" s="40" t="s">
        <v>11404</v>
      </c>
      <c r="H19933" s="40" t="s">
        <v>11404</v>
      </c>
    </row>
    <row r="19934">
      <c r="A19934" s="39"/>
      <c r="E19934" s="40" t="s">
        <v>11404</v>
      </c>
      <c r="F19934" s="40" t="s">
        <v>11404</v>
      </c>
      <c r="G19934" s="40" t="s">
        <v>11404</v>
      </c>
      <c r="H19934" s="40" t="s">
        <v>11404</v>
      </c>
    </row>
    <row r="19935">
      <c r="A19935" s="39"/>
      <c r="E19935" s="40" t="s">
        <v>11404</v>
      </c>
      <c r="F19935" s="40" t="s">
        <v>11404</v>
      </c>
      <c r="G19935" s="40" t="s">
        <v>11404</v>
      </c>
      <c r="H19935" s="40" t="s">
        <v>11404</v>
      </c>
    </row>
    <row r="19936">
      <c r="A19936" s="39"/>
      <c r="E19936" s="40" t="s">
        <v>11404</v>
      </c>
      <c r="F19936" s="40" t="s">
        <v>11404</v>
      </c>
      <c r="G19936" s="40" t="s">
        <v>11404</v>
      </c>
      <c r="H19936" s="40" t="s">
        <v>11404</v>
      </c>
    </row>
    <row r="19937">
      <c r="A19937" s="39"/>
      <c r="E19937" s="40" t="s">
        <v>11404</v>
      </c>
      <c r="F19937" s="40" t="s">
        <v>11404</v>
      </c>
      <c r="G19937" s="40" t="s">
        <v>11404</v>
      </c>
      <c r="H19937" s="40" t="s">
        <v>11404</v>
      </c>
    </row>
    <row r="19938">
      <c r="A19938" s="39"/>
      <c r="E19938" s="40" t="s">
        <v>11404</v>
      </c>
      <c r="F19938" s="40" t="s">
        <v>11404</v>
      </c>
      <c r="G19938" s="40" t="s">
        <v>11404</v>
      </c>
      <c r="H19938" s="40" t="s">
        <v>11404</v>
      </c>
    </row>
    <row r="19939">
      <c r="A19939" s="39"/>
      <c r="E19939" s="40" t="s">
        <v>11404</v>
      </c>
      <c r="F19939" s="40" t="s">
        <v>11404</v>
      </c>
      <c r="G19939" s="40" t="s">
        <v>11404</v>
      </c>
      <c r="H19939" s="40" t="s">
        <v>11404</v>
      </c>
    </row>
    <row r="19940">
      <c r="A19940" s="39"/>
      <c r="E19940" s="40" t="s">
        <v>11404</v>
      </c>
      <c r="F19940" s="40" t="s">
        <v>11404</v>
      </c>
      <c r="G19940" s="40" t="s">
        <v>11404</v>
      </c>
      <c r="H19940" s="40" t="s">
        <v>11404</v>
      </c>
    </row>
    <row r="19941">
      <c r="A19941" s="39"/>
      <c r="E19941" s="40" t="s">
        <v>11404</v>
      </c>
      <c r="F19941" s="40" t="s">
        <v>11404</v>
      </c>
      <c r="G19941" s="40" t="s">
        <v>11404</v>
      </c>
      <c r="H19941" s="40" t="s">
        <v>11404</v>
      </c>
    </row>
    <row r="19942">
      <c r="A19942" s="39"/>
      <c r="E19942" s="40" t="s">
        <v>11404</v>
      </c>
      <c r="F19942" s="40" t="s">
        <v>11404</v>
      </c>
      <c r="G19942" s="40" t="s">
        <v>11404</v>
      </c>
      <c r="H19942" s="40" t="s">
        <v>11404</v>
      </c>
    </row>
    <row r="19943">
      <c r="A19943" s="39"/>
      <c r="E19943" s="40" t="s">
        <v>11404</v>
      </c>
      <c r="F19943" s="40" t="s">
        <v>11404</v>
      </c>
      <c r="G19943" s="40" t="s">
        <v>11404</v>
      </c>
      <c r="H19943" s="40" t="s">
        <v>11404</v>
      </c>
    </row>
    <row r="19944">
      <c r="A19944" s="39"/>
      <c r="E19944" s="40" t="s">
        <v>11404</v>
      </c>
      <c r="F19944" s="40" t="s">
        <v>11404</v>
      </c>
      <c r="G19944" s="40" t="s">
        <v>11404</v>
      </c>
      <c r="H19944" s="40" t="s">
        <v>11404</v>
      </c>
    </row>
    <row r="19945">
      <c r="A19945" s="39"/>
      <c r="E19945" s="40" t="s">
        <v>11404</v>
      </c>
      <c r="F19945" s="40" t="s">
        <v>11404</v>
      </c>
      <c r="G19945" s="40" t="s">
        <v>11404</v>
      </c>
      <c r="H19945" s="40" t="s">
        <v>11404</v>
      </c>
    </row>
    <row r="19946">
      <c r="A19946" s="39"/>
      <c r="E19946" s="40" t="s">
        <v>11404</v>
      </c>
      <c r="F19946" s="40" t="s">
        <v>11404</v>
      </c>
      <c r="G19946" s="40" t="s">
        <v>11404</v>
      </c>
      <c r="H19946" s="40" t="s">
        <v>11404</v>
      </c>
    </row>
    <row r="19947">
      <c r="A19947" s="39"/>
      <c r="E19947" s="40" t="s">
        <v>11404</v>
      </c>
      <c r="F19947" s="40" t="s">
        <v>11404</v>
      </c>
      <c r="G19947" s="40" t="s">
        <v>11404</v>
      </c>
      <c r="H19947" s="40" t="s">
        <v>11404</v>
      </c>
    </row>
    <row r="19948">
      <c r="A19948" s="39"/>
      <c r="E19948" s="40" t="s">
        <v>11404</v>
      </c>
      <c r="F19948" s="40" t="s">
        <v>11404</v>
      </c>
      <c r="G19948" s="40" t="s">
        <v>11404</v>
      </c>
      <c r="H19948" s="40" t="s">
        <v>11404</v>
      </c>
    </row>
    <row r="19949">
      <c r="A19949" s="39"/>
      <c r="E19949" s="40" t="s">
        <v>11404</v>
      </c>
      <c r="F19949" s="40" t="s">
        <v>11404</v>
      </c>
      <c r="G19949" s="40" t="s">
        <v>11404</v>
      </c>
      <c r="H19949" s="40" t="s">
        <v>11404</v>
      </c>
    </row>
    <row r="19950">
      <c r="A19950" s="39"/>
      <c r="E19950" s="40" t="s">
        <v>11404</v>
      </c>
      <c r="F19950" s="40" t="s">
        <v>11404</v>
      </c>
      <c r="G19950" s="40" t="s">
        <v>11404</v>
      </c>
      <c r="H19950" s="40" t="s">
        <v>11404</v>
      </c>
    </row>
    <row r="19951">
      <c r="A19951" s="39"/>
      <c r="E19951" s="40" t="s">
        <v>11404</v>
      </c>
      <c r="F19951" s="40" t="s">
        <v>11404</v>
      </c>
      <c r="G19951" s="40" t="s">
        <v>11404</v>
      </c>
      <c r="H19951" s="40" t="s">
        <v>11404</v>
      </c>
    </row>
    <row r="19952">
      <c r="A19952" s="39"/>
      <c r="E19952" s="40" t="s">
        <v>11404</v>
      </c>
      <c r="F19952" s="40" t="s">
        <v>11404</v>
      </c>
      <c r="G19952" s="40" t="s">
        <v>11404</v>
      </c>
      <c r="H19952" s="40" t="s">
        <v>11404</v>
      </c>
    </row>
    <row r="19953">
      <c r="A19953" s="39"/>
      <c r="E19953" s="40" t="s">
        <v>11404</v>
      </c>
      <c r="F19953" s="40" t="s">
        <v>11404</v>
      </c>
      <c r="G19953" s="40" t="s">
        <v>11404</v>
      </c>
      <c r="H19953" s="40" t="s">
        <v>11404</v>
      </c>
    </row>
    <row r="19954">
      <c r="A19954" s="39"/>
      <c r="E19954" s="40" t="s">
        <v>11404</v>
      </c>
      <c r="F19954" s="40" t="s">
        <v>11404</v>
      </c>
      <c r="G19954" s="40" t="s">
        <v>11404</v>
      </c>
      <c r="H19954" s="40" t="s">
        <v>11404</v>
      </c>
    </row>
    <row r="19955">
      <c r="A19955" s="39"/>
      <c r="E19955" s="40" t="s">
        <v>11404</v>
      </c>
      <c r="F19955" s="40" t="s">
        <v>11404</v>
      </c>
      <c r="G19955" s="40" t="s">
        <v>11404</v>
      </c>
      <c r="H19955" s="40" t="s">
        <v>11404</v>
      </c>
    </row>
    <row r="19956">
      <c r="A19956" s="39"/>
      <c r="E19956" s="40" t="s">
        <v>11404</v>
      </c>
      <c r="F19956" s="40" t="s">
        <v>11404</v>
      </c>
      <c r="G19956" s="40" t="s">
        <v>11404</v>
      </c>
      <c r="H19956" s="40" t="s">
        <v>11404</v>
      </c>
    </row>
    <row r="19957">
      <c r="A19957" s="39"/>
      <c r="E19957" s="40" t="s">
        <v>11404</v>
      </c>
      <c r="F19957" s="40" t="s">
        <v>11404</v>
      </c>
      <c r="G19957" s="40" t="s">
        <v>11404</v>
      </c>
      <c r="H19957" s="40" t="s">
        <v>11404</v>
      </c>
    </row>
    <row r="19958">
      <c r="A19958" s="39"/>
      <c r="E19958" s="40" t="s">
        <v>11404</v>
      </c>
      <c r="F19958" s="40" t="s">
        <v>11404</v>
      </c>
      <c r="G19958" s="40" t="s">
        <v>11404</v>
      </c>
      <c r="H19958" s="40" t="s">
        <v>11404</v>
      </c>
    </row>
    <row r="19959">
      <c r="A19959" s="39"/>
      <c r="E19959" s="40" t="s">
        <v>11404</v>
      </c>
      <c r="F19959" s="40" t="s">
        <v>11404</v>
      </c>
      <c r="G19959" s="40" t="s">
        <v>11404</v>
      </c>
      <c r="H19959" s="40" t="s">
        <v>11404</v>
      </c>
    </row>
    <row r="19960">
      <c r="A19960" s="39"/>
      <c r="E19960" s="40" t="s">
        <v>11404</v>
      </c>
      <c r="F19960" s="40" t="s">
        <v>11404</v>
      </c>
      <c r="G19960" s="40" t="s">
        <v>11404</v>
      </c>
      <c r="H19960" s="40" t="s">
        <v>11404</v>
      </c>
    </row>
    <row r="19961">
      <c r="A19961" s="39"/>
      <c r="E19961" s="40" t="s">
        <v>11404</v>
      </c>
      <c r="F19961" s="40" t="s">
        <v>11404</v>
      </c>
      <c r="G19961" s="40" t="s">
        <v>11404</v>
      </c>
      <c r="H19961" s="40" t="s">
        <v>11404</v>
      </c>
    </row>
    <row r="19962">
      <c r="A19962" s="39"/>
      <c r="E19962" s="40" t="s">
        <v>11404</v>
      </c>
      <c r="F19962" s="40" t="s">
        <v>11404</v>
      </c>
      <c r="G19962" s="40" t="s">
        <v>11404</v>
      </c>
      <c r="H19962" s="40" t="s">
        <v>11404</v>
      </c>
    </row>
    <row r="19963">
      <c r="A19963" s="39"/>
      <c r="E19963" s="40" t="s">
        <v>11404</v>
      </c>
      <c r="F19963" s="40" t="s">
        <v>11404</v>
      </c>
      <c r="G19963" s="40" t="s">
        <v>11404</v>
      </c>
      <c r="H19963" s="40" t="s">
        <v>11404</v>
      </c>
    </row>
    <row r="19964">
      <c r="A19964" s="39"/>
      <c r="E19964" s="40" t="s">
        <v>11404</v>
      </c>
      <c r="F19964" s="40" t="s">
        <v>11404</v>
      </c>
      <c r="G19964" s="40" t="s">
        <v>11404</v>
      </c>
      <c r="H19964" s="40" t="s">
        <v>11404</v>
      </c>
    </row>
    <row r="19965">
      <c r="A19965" s="39"/>
      <c r="E19965" s="40" t="s">
        <v>11404</v>
      </c>
      <c r="F19965" s="40" t="s">
        <v>11404</v>
      </c>
      <c r="G19965" s="40" t="s">
        <v>11404</v>
      </c>
      <c r="H19965" s="40" t="s">
        <v>11404</v>
      </c>
    </row>
    <row r="19966">
      <c r="A19966" s="39"/>
      <c r="E19966" s="40" t="s">
        <v>11404</v>
      </c>
      <c r="F19966" s="40" t="s">
        <v>11404</v>
      </c>
      <c r="G19966" s="40" t="s">
        <v>11404</v>
      </c>
      <c r="H19966" s="40" t="s">
        <v>11404</v>
      </c>
    </row>
    <row r="19967">
      <c r="A19967" s="39"/>
      <c r="E19967" s="40" t="s">
        <v>11404</v>
      </c>
      <c r="F19967" s="40" t="s">
        <v>11404</v>
      </c>
      <c r="G19967" s="40" t="s">
        <v>11404</v>
      </c>
      <c r="H19967" s="40" t="s">
        <v>11404</v>
      </c>
    </row>
    <row r="19968">
      <c r="A19968" s="39"/>
      <c r="E19968" s="40" t="s">
        <v>11404</v>
      </c>
      <c r="F19968" s="40" t="s">
        <v>11404</v>
      </c>
      <c r="G19968" s="40" t="s">
        <v>11404</v>
      </c>
      <c r="H19968" s="40" t="s">
        <v>11404</v>
      </c>
    </row>
    <row r="19969">
      <c r="A19969" s="39"/>
      <c r="E19969" s="40" t="s">
        <v>11404</v>
      </c>
      <c r="F19969" s="40" t="s">
        <v>11404</v>
      </c>
      <c r="G19969" s="40" t="s">
        <v>11404</v>
      </c>
      <c r="H19969" s="40" t="s">
        <v>11404</v>
      </c>
    </row>
    <row r="19970">
      <c r="A19970" s="39"/>
      <c r="E19970" s="40" t="s">
        <v>11404</v>
      </c>
      <c r="F19970" s="40" t="s">
        <v>11404</v>
      </c>
      <c r="G19970" s="40" t="s">
        <v>11404</v>
      </c>
      <c r="H19970" s="40" t="s">
        <v>11404</v>
      </c>
    </row>
    <row r="19971">
      <c r="A19971" s="39"/>
      <c r="E19971" s="40" t="s">
        <v>11404</v>
      </c>
      <c r="F19971" s="40" t="s">
        <v>11404</v>
      </c>
      <c r="G19971" s="40" t="s">
        <v>11404</v>
      </c>
      <c r="H19971" s="40" t="s">
        <v>11404</v>
      </c>
    </row>
    <row r="19972">
      <c r="A19972" s="39"/>
      <c r="E19972" s="40" t="s">
        <v>11404</v>
      </c>
      <c r="F19972" s="40" t="s">
        <v>11404</v>
      </c>
      <c r="G19972" s="40" t="s">
        <v>11404</v>
      </c>
      <c r="H19972" s="40" t="s">
        <v>11404</v>
      </c>
    </row>
    <row r="19973">
      <c r="A19973" s="39"/>
      <c r="E19973" s="40" t="s">
        <v>11404</v>
      </c>
      <c r="F19973" s="40" t="s">
        <v>11404</v>
      </c>
      <c r="G19973" s="40" t="s">
        <v>11404</v>
      </c>
      <c r="H19973" s="40" t="s">
        <v>11404</v>
      </c>
    </row>
    <row r="19974">
      <c r="A19974" s="39"/>
      <c r="E19974" s="40" t="s">
        <v>11404</v>
      </c>
      <c r="F19974" s="40" t="s">
        <v>11404</v>
      </c>
      <c r="G19974" s="40" t="s">
        <v>11404</v>
      </c>
      <c r="H19974" s="40" t="s">
        <v>11404</v>
      </c>
    </row>
    <row r="19975">
      <c r="A19975" s="39"/>
      <c r="E19975" s="40" t="s">
        <v>11404</v>
      </c>
      <c r="F19975" s="40" t="s">
        <v>11404</v>
      </c>
      <c r="G19975" s="40" t="s">
        <v>11404</v>
      </c>
      <c r="H19975" s="40" t="s">
        <v>11404</v>
      </c>
    </row>
    <row r="19976">
      <c r="A19976" s="39"/>
      <c r="E19976" s="40" t="s">
        <v>11404</v>
      </c>
      <c r="F19976" s="40" t="s">
        <v>11404</v>
      </c>
      <c r="G19976" s="40" t="s">
        <v>11404</v>
      </c>
      <c r="H19976" s="40" t="s">
        <v>11404</v>
      </c>
    </row>
    <row r="19977">
      <c r="A19977" s="39"/>
      <c r="E19977" s="40" t="s">
        <v>11404</v>
      </c>
      <c r="F19977" s="40" t="s">
        <v>11404</v>
      </c>
      <c r="G19977" s="40" t="s">
        <v>11404</v>
      </c>
      <c r="H19977" s="40" t="s">
        <v>11404</v>
      </c>
    </row>
    <row r="19978">
      <c r="A19978" s="39"/>
      <c r="E19978" s="40" t="s">
        <v>11404</v>
      </c>
      <c r="F19978" s="40" t="s">
        <v>11404</v>
      </c>
      <c r="G19978" s="40" t="s">
        <v>11404</v>
      </c>
      <c r="H19978" s="40" t="s">
        <v>11404</v>
      </c>
    </row>
    <row r="19979">
      <c r="A19979" s="39"/>
      <c r="E19979" s="40" t="s">
        <v>11404</v>
      </c>
      <c r="F19979" s="40" t="s">
        <v>11404</v>
      </c>
      <c r="G19979" s="40" t="s">
        <v>11404</v>
      </c>
      <c r="H19979" s="40" t="s">
        <v>11404</v>
      </c>
    </row>
    <row r="19980">
      <c r="A19980" s="39"/>
      <c r="E19980" s="40" t="s">
        <v>11404</v>
      </c>
      <c r="F19980" s="40" t="s">
        <v>11404</v>
      </c>
      <c r="G19980" s="40" t="s">
        <v>11404</v>
      </c>
      <c r="H19980" s="40" t="s">
        <v>11404</v>
      </c>
    </row>
    <row r="19981">
      <c r="A19981" s="39"/>
      <c r="E19981" s="40" t="s">
        <v>11404</v>
      </c>
      <c r="F19981" s="40" t="s">
        <v>11404</v>
      </c>
      <c r="G19981" s="40" t="s">
        <v>11404</v>
      </c>
      <c r="H19981" s="40" t="s">
        <v>11404</v>
      </c>
    </row>
    <row r="19982">
      <c r="A19982" s="39"/>
      <c r="E19982" s="40" t="s">
        <v>11404</v>
      </c>
      <c r="F19982" s="40" t="s">
        <v>11404</v>
      </c>
      <c r="G19982" s="40" t="s">
        <v>11404</v>
      </c>
      <c r="H19982" s="40" t="s">
        <v>11404</v>
      </c>
    </row>
    <row r="19983">
      <c r="A19983" s="39"/>
      <c r="E19983" s="40" t="s">
        <v>11404</v>
      </c>
      <c r="F19983" s="40" t="s">
        <v>11404</v>
      </c>
      <c r="G19983" s="40" t="s">
        <v>11404</v>
      </c>
      <c r="H19983" s="40" t="s">
        <v>11404</v>
      </c>
    </row>
    <row r="19984">
      <c r="A19984" s="39"/>
      <c r="E19984" s="40" t="s">
        <v>11404</v>
      </c>
      <c r="F19984" s="40" t="s">
        <v>11404</v>
      </c>
      <c r="G19984" s="40" t="s">
        <v>11404</v>
      </c>
      <c r="H19984" s="40" t="s">
        <v>11404</v>
      </c>
    </row>
    <row r="19985">
      <c r="A19985" s="39"/>
      <c r="E19985" s="40" t="s">
        <v>11404</v>
      </c>
      <c r="F19985" s="40" t="s">
        <v>11404</v>
      </c>
      <c r="G19985" s="40" t="s">
        <v>11404</v>
      </c>
      <c r="H19985" s="40" t="s">
        <v>11404</v>
      </c>
    </row>
    <row r="19986">
      <c r="A19986" s="39"/>
      <c r="E19986" s="40" t="s">
        <v>11404</v>
      </c>
      <c r="F19986" s="40" t="s">
        <v>11404</v>
      </c>
      <c r="G19986" s="40" t="s">
        <v>11404</v>
      </c>
      <c r="H19986" s="40" t="s">
        <v>11404</v>
      </c>
    </row>
    <row r="19987">
      <c r="A19987" s="39"/>
      <c r="E19987" s="40" t="s">
        <v>11404</v>
      </c>
      <c r="F19987" s="40" t="s">
        <v>11404</v>
      </c>
      <c r="G19987" s="40" t="s">
        <v>11404</v>
      </c>
      <c r="H19987" s="40" t="s">
        <v>11404</v>
      </c>
    </row>
    <row r="19988">
      <c r="A19988" s="39"/>
      <c r="E19988" s="40" t="s">
        <v>11404</v>
      </c>
      <c r="F19988" s="40" t="s">
        <v>11404</v>
      </c>
      <c r="G19988" s="40" t="s">
        <v>11404</v>
      </c>
      <c r="H19988" s="40" t="s">
        <v>11404</v>
      </c>
    </row>
    <row r="19989">
      <c r="A19989" s="39"/>
      <c r="E19989" s="40" t="s">
        <v>11404</v>
      </c>
      <c r="F19989" s="40" t="s">
        <v>11404</v>
      </c>
      <c r="G19989" s="40" t="s">
        <v>11404</v>
      </c>
      <c r="H19989" s="40" t="s">
        <v>11404</v>
      </c>
    </row>
    <row r="19990">
      <c r="A19990" s="39"/>
      <c r="E19990" s="40" t="s">
        <v>11404</v>
      </c>
      <c r="F19990" s="40" t="s">
        <v>11404</v>
      </c>
      <c r="G19990" s="40" t="s">
        <v>11404</v>
      </c>
      <c r="H19990" s="40" t="s">
        <v>11404</v>
      </c>
    </row>
    <row r="19991">
      <c r="A19991" s="39"/>
      <c r="E19991" s="40" t="s">
        <v>11404</v>
      </c>
      <c r="F19991" s="40" t="s">
        <v>11404</v>
      </c>
      <c r="G19991" s="40" t="s">
        <v>11404</v>
      </c>
      <c r="H19991" s="40" t="s">
        <v>11404</v>
      </c>
    </row>
    <row r="19992">
      <c r="A19992" s="39"/>
      <c r="E19992" s="40" t="s">
        <v>11404</v>
      </c>
      <c r="F19992" s="40" t="s">
        <v>11404</v>
      </c>
      <c r="G19992" s="40" t="s">
        <v>11404</v>
      </c>
      <c r="H19992" s="40" t="s">
        <v>11404</v>
      </c>
    </row>
    <row r="19993">
      <c r="A19993" s="39"/>
      <c r="E19993" s="40" t="s">
        <v>11404</v>
      </c>
      <c r="F19993" s="40" t="s">
        <v>11404</v>
      </c>
      <c r="G19993" s="40" t="s">
        <v>11404</v>
      </c>
      <c r="H19993" s="40" t="s">
        <v>11404</v>
      </c>
    </row>
    <row r="19994">
      <c r="A19994" s="39"/>
      <c r="E19994" s="40" t="s">
        <v>11404</v>
      </c>
      <c r="F19994" s="40" t="s">
        <v>11404</v>
      </c>
      <c r="G19994" s="40" t="s">
        <v>11404</v>
      </c>
      <c r="H19994" s="40" t="s">
        <v>11404</v>
      </c>
    </row>
    <row r="19995">
      <c r="A19995" s="39"/>
      <c r="E19995" s="40" t="s">
        <v>11404</v>
      </c>
      <c r="F19995" s="40" t="s">
        <v>11404</v>
      </c>
      <c r="G19995" s="40" t="s">
        <v>11404</v>
      </c>
      <c r="H19995" s="40" t="s">
        <v>11404</v>
      </c>
    </row>
    <row r="19996">
      <c r="A19996" s="39"/>
      <c r="E19996" s="40" t="s">
        <v>11404</v>
      </c>
      <c r="F19996" s="40" t="s">
        <v>11404</v>
      </c>
      <c r="G19996" s="40" t="s">
        <v>11404</v>
      </c>
      <c r="H19996" s="40" t="s">
        <v>11404</v>
      </c>
    </row>
    <row r="19997">
      <c r="A19997" s="39"/>
      <c r="E19997" s="40" t="s">
        <v>11404</v>
      </c>
      <c r="F19997" s="40" t="s">
        <v>11404</v>
      </c>
      <c r="G19997" s="40" t="s">
        <v>11404</v>
      </c>
      <c r="H19997" s="40" t="s">
        <v>11404</v>
      </c>
    </row>
    <row r="19998">
      <c r="A19998" s="39"/>
      <c r="E19998" s="40" t="s">
        <v>11404</v>
      </c>
      <c r="F19998" s="40" t="s">
        <v>11404</v>
      </c>
      <c r="G19998" s="40" t="s">
        <v>11404</v>
      </c>
      <c r="H19998" s="40" t="s">
        <v>11404</v>
      </c>
    </row>
    <row r="19999">
      <c r="A19999" s="39"/>
      <c r="E19999" s="40" t="s">
        <v>11404</v>
      </c>
      <c r="F19999" s="40" t="s">
        <v>11404</v>
      </c>
      <c r="G19999" s="40" t="s">
        <v>11404</v>
      </c>
      <c r="H19999" s="40" t="s">
        <v>11404</v>
      </c>
    </row>
    <row r="20000">
      <c r="A20000" s="39"/>
      <c r="E20000" s="40" t="s">
        <v>11404</v>
      </c>
      <c r="F20000" s="40" t="s">
        <v>11404</v>
      </c>
      <c r="G20000" s="40" t="s">
        <v>11404</v>
      </c>
      <c r="H20000" s="40" t="s">
        <v>11404</v>
      </c>
    </row>
    <row r="20001">
      <c r="A20001" s="39"/>
      <c r="E20001" s="40" t="s">
        <v>11404</v>
      </c>
      <c r="F20001" s="40" t="s">
        <v>11404</v>
      </c>
      <c r="G20001" s="40" t="s">
        <v>11404</v>
      </c>
      <c r="H20001" s="40" t="s">
        <v>11404</v>
      </c>
    </row>
    <row r="20002">
      <c r="A20002" s="39"/>
      <c r="E20002" s="40" t="s">
        <v>11404</v>
      </c>
      <c r="F20002" s="40" t="s">
        <v>11404</v>
      </c>
      <c r="G20002" s="40" t="s">
        <v>11404</v>
      </c>
      <c r="H20002" s="40" t="s">
        <v>11404</v>
      </c>
    </row>
    <row r="20003">
      <c r="A20003" s="39"/>
      <c r="E20003" s="40" t="s">
        <v>11404</v>
      </c>
      <c r="F20003" s="40" t="s">
        <v>11404</v>
      </c>
      <c r="G20003" s="40" t="s">
        <v>11404</v>
      </c>
      <c r="H20003" s="40" t="s">
        <v>11404</v>
      </c>
    </row>
    <row r="20004">
      <c r="A20004" s="39"/>
      <c r="E20004" s="40" t="s">
        <v>11404</v>
      </c>
      <c r="F20004" s="40" t="s">
        <v>11404</v>
      </c>
      <c r="G20004" s="40" t="s">
        <v>11404</v>
      </c>
      <c r="H20004" s="40" t="s">
        <v>11404</v>
      </c>
    </row>
    <row r="20005">
      <c r="A20005" s="39"/>
      <c r="E20005" s="40" t="s">
        <v>11404</v>
      </c>
      <c r="F20005" s="40" t="s">
        <v>11404</v>
      </c>
      <c r="G20005" s="40" t="s">
        <v>11404</v>
      </c>
      <c r="H20005" s="40" t="s">
        <v>11404</v>
      </c>
    </row>
    <row r="20006">
      <c r="A20006" s="39"/>
      <c r="E20006" s="40" t="s">
        <v>11404</v>
      </c>
      <c r="F20006" s="40" t="s">
        <v>11404</v>
      </c>
      <c r="G20006" s="40" t="s">
        <v>11404</v>
      </c>
      <c r="H20006" s="40" t="s">
        <v>11404</v>
      </c>
    </row>
    <row r="20007">
      <c r="A20007" s="39"/>
      <c r="E20007" s="40" t="s">
        <v>11404</v>
      </c>
      <c r="F20007" s="40" t="s">
        <v>11404</v>
      </c>
      <c r="G20007" s="40" t="s">
        <v>11404</v>
      </c>
      <c r="H20007" s="40" t="s">
        <v>11404</v>
      </c>
    </row>
    <row r="20008">
      <c r="A20008" s="39"/>
      <c r="E20008" s="40" t="s">
        <v>11404</v>
      </c>
      <c r="F20008" s="40" t="s">
        <v>11404</v>
      </c>
      <c r="G20008" s="40" t="s">
        <v>11404</v>
      </c>
      <c r="H20008" s="40" t="s">
        <v>11404</v>
      </c>
    </row>
    <row r="20009">
      <c r="A20009" s="39"/>
      <c r="E20009" s="40" t="s">
        <v>11404</v>
      </c>
      <c r="F20009" s="40" t="s">
        <v>11404</v>
      </c>
      <c r="G20009" s="40" t="s">
        <v>11404</v>
      </c>
      <c r="H20009" s="40" t="s">
        <v>11404</v>
      </c>
    </row>
    <row r="20010">
      <c r="A20010" s="39"/>
      <c r="E20010" s="40" t="s">
        <v>11404</v>
      </c>
      <c r="F20010" s="40" t="s">
        <v>11404</v>
      </c>
      <c r="G20010" s="40" t="s">
        <v>11404</v>
      </c>
      <c r="H20010" s="40" t="s">
        <v>11404</v>
      </c>
    </row>
    <row r="20011">
      <c r="A20011" s="39"/>
      <c r="E20011" s="40" t="s">
        <v>11404</v>
      </c>
      <c r="F20011" s="40" t="s">
        <v>11404</v>
      </c>
      <c r="G20011" s="40" t="s">
        <v>11404</v>
      </c>
      <c r="H20011" s="40" t="s">
        <v>11404</v>
      </c>
    </row>
    <row r="20012">
      <c r="A20012" s="39"/>
      <c r="E20012" s="40" t="s">
        <v>11404</v>
      </c>
      <c r="F20012" s="40" t="s">
        <v>11404</v>
      </c>
      <c r="G20012" s="40" t="s">
        <v>11404</v>
      </c>
      <c r="H20012" s="40" t="s">
        <v>11404</v>
      </c>
    </row>
    <row r="20013">
      <c r="A20013" s="39"/>
      <c r="E20013" s="40" t="s">
        <v>11404</v>
      </c>
      <c r="F20013" s="40" t="s">
        <v>11404</v>
      </c>
      <c r="G20013" s="40" t="s">
        <v>11404</v>
      </c>
      <c r="H20013" s="40" t="s">
        <v>11404</v>
      </c>
    </row>
    <row r="20014">
      <c r="A20014" s="39"/>
      <c r="E20014" s="40" t="s">
        <v>11404</v>
      </c>
      <c r="F20014" s="40" t="s">
        <v>11404</v>
      </c>
      <c r="G20014" s="40" t="s">
        <v>11404</v>
      </c>
      <c r="H20014" s="40" t="s">
        <v>11404</v>
      </c>
    </row>
    <row r="20015">
      <c r="A20015" s="39"/>
      <c r="E20015" s="40" t="s">
        <v>11404</v>
      </c>
      <c r="F20015" s="40" t="s">
        <v>11404</v>
      </c>
      <c r="G20015" s="40" t="s">
        <v>11404</v>
      </c>
      <c r="H20015" s="40" t="s">
        <v>11404</v>
      </c>
    </row>
    <row r="20016">
      <c r="A20016" s="39"/>
      <c r="E20016" s="40" t="s">
        <v>11404</v>
      </c>
      <c r="F20016" s="40" t="s">
        <v>11404</v>
      </c>
      <c r="G20016" s="40" t="s">
        <v>11404</v>
      </c>
      <c r="H20016" s="40" t="s">
        <v>11404</v>
      </c>
    </row>
    <row r="20017">
      <c r="A20017" s="39"/>
      <c r="E20017" s="40" t="s">
        <v>11404</v>
      </c>
      <c r="F20017" s="40" t="s">
        <v>11404</v>
      </c>
      <c r="G20017" s="40" t="s">
        <v>11404</v>
      </c>
      <c r="H20017" s="40" t="s">
        <v>11404</v>
      </c>
    </row>
    <row r="20018">
      <c r="A20018" s="39"/>
      <c r="E20018" s="40" t="s">
        <v>11404</v>
      </c>
      <c r="F20018" s="40" t="s">
        <v>11404</v>
      </c>
      <c r="G20018" s="40" t="s">
        <v>11404</v>
      </c>
      <c r="H20018" s="40" t="s">
        <v>11404</v>
      </c>
    </row>
    <row r="20019">
      <c r="A20019" s="39"/>
      <c r="E20019" s="40" t="s">
        <v>11404</v>
      </c>
      <c r="F20019" s="40" t="s">
        <v>11404</v>
      </c>
      <c r="G20019" s="40" t="s">
        <v>11404</v>
      </c>
      <c r="H20019" s="40" t="s">
        <v>11404</v>
      </c>
    </row>
    <row r="20020">
      <c r="A20020" s="39"/>
      <c r="E20020" s="40" t="s">
        <v>11404</v>
      </c>
      <c r="F20020" s="40" t="s">
        <v>11404</v>
      </c>
      <c r="G20020" s="40" t="s">
        <v>11404</v>
      </c>
      <c r="H20020" s="40" t="s">
        <v>11404</v>
      </c>
    </row>
    <row r="20021">
      <c r="A20021" s="39"/>
      <c r="E20021" s="40" t="s">
        <v>11404</v>
      </c>
      <c r="F20021" s="40" t="s">
        <v>11404</v>
      </c>
      <c r="G20021" s="40" t="s">
        <v>11404</v>
      </c>
      <c r="H20021" s="40" t="s">
        <v>11404</v>
      </c>
    </row>
    <row r="20022">
      <c r="A20022" s="39"/>
      <c r="E20022" s="40" t="s">
        <v>11404</v>
      </c>
      <c r="F20022" s="40" t="s">
        <v>11404</v>
      </c>
      <c r="G20022" s="40" t="s">
        <v>11404</v>
      </c>
      <c r="H20022" s="40" t="s">
        <v>11404</v>
      </c>
    </row>
    <row r="20023">
      <c r="A20023" s="39"/>
      <c r="E20023" s="40" t="s">
        <v>11404</v>
      </c>
      <c r="F20023" s="40" t="s">
        <v>11404</v>
      </c>
      <c r="G20023" s="40" t="s">
        <v>11404</v>
      </c>
      <c r="H20023" s="40" t="s">
        <v>11404</v>
      </c>
    </row>
    <row r="20024">
      <c r="A20024" s="39"/>
      <c r="E20024" s="40" t="s">
        <v>11404</v>
      </c>
      <c r="F20024" s="40" t="s">
        <v>11404</v>
      </c>
      <c r="G20024" s="40" t="s">
        <v>11404</v>
      </c>
      <c r="H20024" s="40" t="s">
        <v>11404</v>
      </c>
    </row>
    <row r="20025">
      <c r="A20025" s="39"/>
      <c r="E20025" s="40" t="s">
        <v>11404</v>
      </c>
      <c r="F20025" s="40" t="s">
        <v>11404</v>
      </c>
      <c r="G20025" s="40" t="s">
        <v>11404</v>
      </c>
      <c r="H20025" s="40" t="s">
        <v>11404</v>
      </c>
    </row>
    <row r="20026">
      <c r="A20026" s="39"/>
      <c r="E20026" s="40" t="s">
        <v>11404</v>
      </c>
      <c r="F20026" s="40" t="s">
        <v>11404</v>
      </c>
      <c r="G20026" s="40" t="s">
        <v>11404</v>
      </c>
      <c r="H20026" s="40" t="s">
        <v>11404</v>
      </c>
    </row>
    <row r="20027">
      <c r="A20027" s="39"/>
      <c r="E20027" s="40" t="s">
        <v>11404</v>
      </c>
      <c r="F20027" s="40" t="s">
        <v>11404</v>
      </c>
      <c r="G20027" s="40" t="s">
        <v>11404</v>
      </c>
      <c r="H20027" s="40" t="s">
        <v>11404</v>
      </c>
    </row>
    <row r="20028">
      <c r="A20028" s="39"/>
      <c r="E20028" s="40" t="s">
        <v>11404</v>
      </c>
      <c r="F20028" s="40" t="s">
        <v>11404</v>
      </c>
      <c r="G20028" s="40" t="s">
        <v>11404</v>
      </c>
      <c r="H20028" s="40" t="s">
        <v>11404</v>
      </c>
    </row>
    <row r="20029">
      <c r="A20029" s="39"/>
      <c r="E20029" s="40" t="s">
        <v>11404</v>
      </c>
      <c r="F20029" s="40" t="s">
        <v>11404</v>
      </c>
      <c r="G20029" s="40" t="s">
        <v>11404</v>
      </c>
      <c r="H20029" s="40" t="s">
        <v>11404</v>
      </c>
    </row>
    <row r="20030">
      <c r="A20030" s="39"/>
      <c r="E20030" s="40" t="s">
        <v>11404</v>
      </c>
      <c r="F20030" s="40" t="s">
        <v>11404</v>
      </c>
      <c r="G20030" s="40" t="s">
        <v>11404</v>
      </c>
      <c r="H20030" s="40" t="s">
        <v>11404</v>
      </c>
    </row>
    <row r="20031">
      <c r="A20031" s="39"/>
      <c r="E20031" s="40" t="s">
        <v>11404</v>
      </c>
      <c r="F20031" s="40" t="s">
        <v>11404</v>
      </c>
      <c r="G20031" s="40" t="s">
        <v>11404</v>
      </c>
      <c r="H20031" s="40" t="s">
        <v>11404</v>
      </c>
    </row>
    <row r="20032">
      <c r="A20032" s="39"/>
      <c r="E20032" s="40" t="s">
        <v>11404</v>
      </c>
      <c r="F20032" s="40" t="s">
        <v>11404</v>
      </c>
      <c r="G20032" s="40" t="s">
        <v>11404</v>
      </c>
      <c r="H20032" s="40" t="s">
        <v>11404</v>
      </c>
    </row>
    <row r="20033">
      <c r="A20033" s="39"/>
      <c r="E20033" s="40" t="s">
        <v>11404</v>
      </c>
      <c r="F20033" s="40" t="s">
        <v>11404</v>
      </c>
      <c r="G20033" s="40" t="s">
        <v>11404</v>
      </c>
      <c r="H20033" s="40" t="s">
        <v>11404</v>
      </c>
    </row>
    <row r="20034">
      <c r="A20034" s="39"/>
      <c r="E20034" s="40" t="s">
        <v>11404</v>
      </c>
      <c r="F20034" s="40" t="s">
        <v>11404</v>
      </c>
      <c r="G20034" s="40" t="s">
        <v>11404</v>
      </c>
      <c r="H20034" s="40" t="s">
        <v>11404</v>
      </c>
    </row>
    <row r="20035">
      <c r="A20035" s="39"/>
      <c r="E20035" s="40" t="s">
        <v>11404</v>
      </c>
      <c r="F20035" s="40" t="s">
        <v>11404</v>
      </c>
      <c r="G20035" s="40" t="s">
        <v>11404</v>
      </c>
      <c r="H20035" s="40" t="s">
        <v>11404</v>
      </c>
    </row>
    <row r="20036">
      <c r="A20036" s="39"/>
      <c r="E20036" s="40" t="s">
        <v>11404</v>
      </c>
      <c r="F20036" s="40" t="s">
        <v>11404</v>
      </c>
      <c r="G20036" s="40" t="s">
        <v>11404</v>
      </c>
      <c r="H20036" s="40" t="s">
        <v>11404</v>
      </c>
    </row>
    <row r="20037">
      <c r="A20037" s="39"/>
      <c r="E20037" s="40" t="s">
        <v>11404</v>
      </c>
      <c r="F20037" s="40" t="s">
        <v>11404</v>
      </c>
      <c r="G20037" s="40" t="s">
        <v>11404</v>
      </c>
      <c r="H20037" s="40" t="s">
        <v>11404</v>
      </c>
    </row>
    <row r="20038">
      <c r="A20038" s="39"/>
      <c r="E20038" s="40" t="s">
        <v>11404</v>
      </c>
      <c r="F20038" s="40" t="s">
        <v>11404</v>
      </c>
      <c r="G20038" s="40" t="s">
        <v>11404</v>
      </c>
      <c r="H20038" s="40" t="s">
        <v>11404</v>
      </c>
    </row>
    <row r="20039">
      <c r="A20039" s="39"/>
      <c r="E20039" s="40" t="s">
        <v>11404</v>
      </c>
      <c r="F20039" s="40" t="s">
        <v>11404</v>
      </c>
      <c r="G20039" s="40" t="s">
        <v>11404</v>
      </c>
      <c r="H20039" s="40" t="s">
        <v>11404</v>
      </c>
    </row>
    <row r="20040">
      <c r="A20040" s="39"/>
      <c r="E20040" s="40" t="s">
        <v>11404</v>
      </c>
      <c r="F20040" s="40" t="s">
        <v>11404</v>
      </c>
      <c r="G20040" s="40" t="s">
        <v>11404</v>
      </c>
      <c r="H20040" s="40" t="s">
        <v>11404</v>
      </c>
    </row>
    <row r="20041">
      <c r="A20041" s="39"/>
      <c r="E20041" s="40" t="s">
        <v>11404</v>
      </c>
      <c r="F20041" s="40" t="s">
        <v>11404</v>
      </c>
      <c r="G20041" s="40" t="s">
        <v>11404</v>
      </c>
      <c r="H20041" s="40" t="s">
        <v>11404</v>
      </c>
    </row>
    <row r="20042">
      <c r="A20042" s="39"/>
      <c r="E20042" s="40" t="s">
        <v>11404</v>
      </c>
      <c r="F20042" s="40" t="s">
        <v>11404</v>
      </c>
      <c r="G20042" s="40" t="s">
        <v>11404</v>
      </c>
      <c r="H20042" s="40" t="s">
        <v>11404</v>
      </c>
    </row>
    <row r="20043">
      <c r="A20043" s="39"/>
      <c r="E20043" s="40" t="s">
        <v>11404</v>
      </c>
      <c r="F20043" s="40" t="s">
        <v>11404</v>
      </c>
      <c r="G20043" s="40" t="s">
        <v>11404</v>
      </c>
      <c r="H20043" s="40" t="s">
        <v>11404</v>
      </c>
    </row>
    <row r="20044">
      <c r="A20044" s="39"/>
      <c r="E20044" s="40" t="s">
        <v>11404</v>
      </c>
      <c r="F20044" s="40" t="s">
        <v>11404</v>
      </c>
      <c r="G20044" s="40" t="s">
        <v>11404</v>
      </c>
      <c r="H20044" s="40" t="s">
        <v>11404</v>
      </c>
    </row>
    <row r="20045">
      <c r="A20045" s="39"/>
      <c r="E20045" s="40" t="s">
        <v>11404</v>
      </c>
      <c r="F20045" s="40" t="s">
        <v>11404</v>
      </c>
      <c r="G20045" s="40" t="s">
        <v>11404</v>
      </c>
      <c r="H20045" s="40" t="s">
        <v>11404</v>
      </c>
    </row>
    <row r="20046">
      <c r="A20046" s="39"/>
      <c r="E20046" s="40" t="s">
        <v>11404</v>
      </c>
      <c r="F20046" s="40" t="s">
        <v>11404</v>
      </c>
      <c r="G20046" s="40" t="s">
        <v>11404</v>
      </c>
      <c r="H20046" s="40" t="s">
        <v>11404</v>
      </c>
    </row>
    <row r="20047">
      <c r="A20047" s="39"/>
      <c r="E20047" s="40" t="s">
        <v>11404</v>
      </c>
      <c r="F20047" s="40" t="s">
        <v>11404</v>
      </c>
      <c r="G20047" s="40" t="s">
        <v>11404</v>
      </c>
      <c r="H20047" s="40" t="s">
        <v>11404</v>
      </c>
    </row>
    <row r="20048">
      <c r="A20048" s="39"/>
      <c r="E20048" s="40" t="s">
        <v>11404</v>
      </c>
      <c r="F20048" s="40" t="s">
        <v>11404</v>
      </c>
      <c r="G20048" s="40" t="s">
        <v>11404</v>
      </c>
      <c r="H20048" s="40" t="s">
        <v>11404</v>
      </c>
    </row>
    <row r="20049">
      <c r="A20049" s="39"/>
      <c r="E20049" s="40" t="s">
        <v>11404</v>
      </c>
      <c r="F20049" s="40" t="s">
        <v>11404</v>
      </c>
      <c r="G20049" s="40" t="s">
        <v>11404</v>
      </c>
      <c r="H20049" s="40" t="s">
        <v>11404</v>
      </c>
    </row>
    <row r="20050">
      <c r="A20050" s="39"/>
      <c r="E20050" s="40" t="s">
        <v>11404</v>
      </c>
      <c r="F20050" s="40" t="s">
        <v>11404</v>
      </c>
      <c r="G20050" s="40" t="s">
        <v>11404</v>
      </c>
      <c r="H20050" s="40" t="s">
        <v>11404</v>
      </c>
    </row>
    <row r="20051">
      <c r="A20051" s="39"/>
      <c r="E20051" s="40" t="s">
        <v>11404</v>
      </c>
      <c r="F20051" s="40" t="s">
        <v>11404</v>
      </c>
      <c r="G20051" s="40" t="s">
        <v>11404</v>
      </c>
      <c r="H20051" s="40" t="s">
        <v>11404</v>
      </c>
    </row>
    <row r="20052">
      <c r="A20052" s="39"/>
      <c r="E20052" s="40" t="s">
        <v>11404</v>
      </c>
      <c r="F20052" s="40" t="s">
        <v>11404</v>
      </c>
      <c r="G20052" s="40" t="s">
        <v>11404</v>
      </c>
      <c r="H20052" s="40" t="s">
        <v>11404</v>
      </c>
    </row>
    <row r="20053">
      <c r="A20053" s="39"/>
      <c r="E20053" s="40" t="s">
        <v>11404</v>
      </c>
      <c r="F20053" s="40" t="s">
        <v>11404</v>
      </c>
      <c r="G20053" s="40" t="s">
        <v>11404</v>
      </c>
      <c r="H20053" s="40" t="s">
        <v>11404</v>
      </c>
    </row>
    <row r="20054">
      <c r="A20054" s="39"/>
      <c r="E20054" s="40" t="s">
        <v>11404</v>
      </c>
      <c r="F20054" s="40" t="s">
        <v>11404</v>
      </c>
      <c r="G20054" s="40" t="s">
        <v>11404</v>
      </c>
      <c r="H20054" s="40" t="s">
        <v>11404</v>
      </c>
    </row>
    <row r="20055">
      <c r="A20055" s="39"/>
      <c r="E20055" s="40" t="s">
        <v>11404</v>
      </c>
      <c r="F20055" s="40" t="s">
        <v>11404</v>
      </c>
      <c r="G20055" s="40" t="s">
        <v>11404</v>
      </c>
      <c r="H20055" s="40" t="s">
        <v>11404</v>
      </c>
    </row>
    <row r="20056">
      <c r="A20056" s="39"/>
      <c r="E20056" s="40" t="s">
        <v>11404</v>
      </c>
      <c r="F20056" s="40" t="s">
        <v>11404</v>
      </c>
      <c r="G20056" s="40" t="s">
        <v>11404</v>
      </c>
      <c r="H20056" s="40" t="s">
        <v>11404</v>
      </c>
    </row>
    <row r="20057">
      <c r="A20057" s="39"/>
      <c r="E20057" s="40" t="s">
        <v>11404</v>
      </c>
      <c r="F20057" s="40" t="s">
        <v>11404</v>
      </c>
      <c r="G20057" s="40" t="s">
        <v>11404</v>
      </c>
      <c r="H20057" s="40" t="s">
        <v>11404</v>
      </c>
    </row>
    <row r="20058">
      <c r="A20058" s="39"/>
      <c r="E20058" s="40" t="s">
        <v>11404</v>
      </c>
      <c r="F20058" s="40" t="s">
        <v>11404</v>
      </c>
      <c r="G20058" s="40" t="s">
        <v>11404</v>
      </c>
      <c r="H20058" s="40" t="s">
        <v>11404</v>
      </c>
    </row>
    <row r="20059">
      <c r="A20059" s="39"/>
      <c r="E20059" s="40" t="s">
        <v>11404</v>
      </c>
      <c r="F20059" s="40" t="s">
        <v>11404</v>
      </c>
      <c r="G20059" s="40" t="s">
        <v>11404</v>
      </c>
      <c r="H20059" s="40" t="s">
        <v>11404</v>
      </c>
    </row>
    <row r="20060">
      <c r="A20060" s="39"/>
      <c r="E20060" s="40" t="s">
        <v>11404</v>
      </c>
      <c r="F20060" s="40" t="s">
        <v>11404</v>
      </c>
      <c r="G20060" s="40" t="s">
        <v>11404</v>
      </c>
      <c r="H20060" s="40" t="s">
        <v>11404</v>
      </c>
    </row>
    <row r="20061">
      <c r="A20061" s="39"/>
      <c r="E20061" s="40" t="s">
        <v>11404</v>
      </c>
      <c r="F20061" s="40" t="s">
        <v>11404</v>
      </c>
      <c r="G20061" s="40" t="s">
        <v>11404</v>
      </c>
      <c r="H20061" s="40" t="s">
        <v>11404</v>
      </c>
    </row>
    <row r="20062">
      <c r="A20062" s="39"/>
      <c r="E20062" s="40" t="s">
        <v>11404</v>
      </c>
      <c r="F20062" s="40" t="s">
        <v>11404</v>
      </c>
      <c r="G20062" s="40" t="s">
        <v>11404</v>
      </c>
      <c r="H20062" s="40" t="s">
        <v>11404</v>
      </c>
    </row>
    <row r="20063">
      <c r="A20063" s="39"/>
      <c r="E20063" s="40" t="s">
        <v>11404</v>
      </c>
      <c r="F20063" s="40" t="s">
        <v>11404</v>
      </c>
      <c r="G20063" s="40" t="s">
        <v>11404</v>
      </c>
      <c r="H20063" s="40" t="s">
        <v>11404</v>
      </c>
    </row>
    <row r="20064">
      <c r="A20064" s="39"/>
      <c r="E20064" s="40" t="s">
        <v>11404</v>
      </c>
      <c r="F20064" s="40" t="s">
        <v>11404</v>
      </c>
      <c r="G20064" s="40" t="s">
        <v>11404</v>
      </c>
      <c r="H20064" s="40" t="s">
        <v>11404</v>
      </c>
    </row>
    <row r="20065">
      <c r="A20065" s="39"/>
      <c r="E20065" s="40" t="s">
        <v>11404</v>
      </c>
      <c r="F20065" s="40" t="s">
        <v>11404</v>
      </c>
      <c r="G20065" s="40" t="s">
        <v>11404</v>
      </c>
      <c r="H20065" s="40" t="s">
        <v>11404</v>
      </c>
    </row>
    <row r="20066">
      <c r="A20066" s="39"/>
      <c r="E20066" s="40" t="s">
        <v>11404</v>
      </c>
      <c r="F20066" s="40" t="s">
        <v>11404</v>
      </c>
      <c r="G20066" s="40" t="s">
        <v>11404</v>
      </c>
      <c r="H20066" s="40" t="s">
        <v>11404</v>
      </c>
    </row>
    <row r="20067">
      <c r="A20067" s="39"/>
      <c r="E20067" s="40" t="s">
        <v>11404</v>
      </c>
      <c r="F20067" s="40" t="s">
        <v>11404</v>
      </c>
      <c r="G20067" s="40" t="s">
        <v>11404</v>
      </c>
      <c r="H20067" s="40" t="s">
        <v>11404</v>
      </c>
    </row>
    <row r="20068">
      <c r="A20068" s="39"/>
      <c r="E20068" s="40" t="s">
        <v>11404</v>
      </c>
      <c r="F20068" s="40" t="s">
        <v>11404</v>
      </c>
      <c r="G20068" s="40" t="s">
        <v>11404</v>
      </c>
      <c r="H20068" s="40" t="s">
        <v>11404</v>
      </c>
    </row>
    <row r="20069">
      <c r="A20069" s="39"/>
      <c r="E20069" s="40" t="s">
        <v>11404</v>
      </c>
      <c r="F20069" s="40" t="s">
        <v>11404</v>
      </c>
      <c r="G20069" s="40" t="s">
        <v>11404</v>
      </c>
      <c r="H20069" s="40" t="s">
        <v>11404</v>
      </c>
    </row>
    <row r="20070">
      <c r="A20070" s="39"/>
      <c r="E20070" s="40" t="s">
        <v>11404</v>
      </c>
      <c r="F20070" s="40" t="s">
        <v>11404</v>
      </c>
      <c r="G20070" s="40" t="s">
        <v>11404</v>
      </c>
      <c r="H20070" s="40" t="s">
        <v>11404</v>
      </c>
    </row>
    <row r="20071">
      <c r="A20071" s="39"/>
      <c r="E20071" s="40" t="s">
        <v>11404</v>
      </c>
      <c r="F20071" s="40" t="s">
        <v>11404</v>
      </c>
      <c r="G20071" s="40" t="s">
        <v>11404</v>
      </c>
      <c r="H20071" s="40" t="s">
        <v>11404</v>
      </c>
    </row>
    <row r="20072">
      <c r="A20072" s="39"/>
      <c r="E20072" s="40" t="s">
        <v>11404</v>
      </c>
      <c r="F20072" s="40" t="s">
        <v>11404</v>
      </c>
      <c r="G20072" s="40" t="s">
        <v>11404</v>
      </c>
      <c r="H20072" s="40" t="s">
        <v>11404</v>
      </c>
    </row>
    <row r="20073">
      <c r="A20073" s="39"/>
      <c r="E20073" s="40" t="s">
        <v>11404</v>
      </c>
      <c r="F20073" s="40" t="s">
        <v>11404</v>
      </c>
      <c r="G20073" s="40" t="s">
        <v>11404</v>
      </c>
      <c r="H20073" s="40" t="s">
        <v>11404</v>
      </c>
    </row>
    <row r="20074">
      <c r="A20074" s="39"/>
      <c r="E20074" s="40" t="s">
        <v>11404</v>
      </c>
      <c r="F20074" s="40" t="s">
        <v>11404</v>
      </c>
      <c r="G20074" s="40" t="s">
        <v>11404</v>
      </c>
      <c r="H20074" s="40" t="s">
        <v>11404</v>
      </c>
    </row>
    <row r="20075">
      <c r="A20075" s="39"/>
      <c r="E20075" s="40" t="s">
        <v>11404</v>
      </c>
      <c r="F20075" s="40" t="s">
        <v>11404</v>
      </c>
      <c r="G20075" s="40" t="s">
        <v>11404</v>
      </c>
      <c r="H20075" s="40" t="s">
        <v>11404</v>
      </c>
    </row>
    <row r="20076">
      <c r="A20076" s="39"/>
      <c r="E20076" s="40" t="s">
        <v>11404</v>
      </c>
      <c r="F20076" s="40" t="s">
        <v>11404</v>
      </c>
      <c r="G20076" s="40" t="s">
        <v>11404</v>
      </c>
      <c r="H20076" s="40" t="s">
        <v>11404</v>
      </c>
    </row>
    <row r="20077">
      <c r="A20077" s="39"/>
      <c r="E20077" s="40" t="s">
        <v>11404</v>
      </c>
      <c r="F20077" s="40" t="s">
        <v>11404</v>
      </c>
      <c r="G20077" s="40" t="s">
        <v>11404</v>
      </c>
      <c r="H20077" s="40" t="s">
        <v>11404</v>
      </c>
    </row>
    <row r="20078">
      <c r="A20078" s="39"/>
      <c r="E20078" s="40" t="s">
        <v>11404</v>
      </c>
      <c r="F20078" s="40" t="s">
        <v>11404</v>
      </c>
      <c r="G20078" s="40" t="s">
        <v>11404</v>
      </c>
      <c r="H20078" s="40" t="s">
        <v>11404</v>
      </c>
    </row>
    <row r="20079">
      <c r="A20079" s="39"/>
      <c r="E20079" s="40" t="s">
        <v>11404</v>
      </c>
      <c r="F20079" s="40" t="s">
        <v>11404</v>
      </c>
      <c r="G20079" s="40" t="s">
        <v>11404</v>
      </c>
      <c r="H20079" s="40" t="s">
        <v>11404</v>
      </c>
    </row>
    <row r="20080">
      <c r="A20080" s="39"/>
      <c r="E20080" s="40" t="s">
        <v>11404</v>
      </c>
      <c r="F20080" s="40" t="s">
        <v>11404</v>
      </c>
      <c r="G20080" s="40" t="s">
        <v>11404</v>
      </c>
      <c r="H20080" s="40" t="s">
        <v>11404</v>
      </c>
    </row>
    <row r="20081">
      <c r="A20081" s="39"/>
      <c r="E20081" s="40" t="s">
        <v>11404</v>
      </c>
      <c r="F20081" s="40" t="s">
        <v>11404</v>
      </c>
      <c r="G20081" s="40" t="s">
        <v>11404</v>
      </c>
      <c r="H20081" s="40" t="s">
        <v>11404</v>
      </c>
    </row>
    <row r="20082">
      <c r="A20082" s="39"/>
      <c r="E20082" s="40" t="s">
        <v>11404</v>
      </c>
      <c r="F20082" s="40" t="s">
        <v>11404</v>
      </c>
      <c r="G20082" s="40" t="s">
        <v>11404</v>
      </c>
      <c r="H20082" s="40" t="s">
        <v>11404</v>
      </c>
    </row>
    <row r="20083">
      <c r="A20083" s="39"/>
      <c r="E20083" s="40" t="s">
        <v>11404</v>
      </c>
      <c r="F20083" s="40" t="s">
        <v>11404</v>
      </c>
      <c r="G20083" s="40" t="s">
        <v>11404</v>
      </c>
      <c r="H20083" s="40" t="s">
        <v>11404</v>
      </c>
    </row>
    <row r="20084">
      <c r="A20084" s="39"/>
      <c r="E20084" s="40" t="s">
        <v>11404</v>
      </c>
      <c r="F20084" s="40" t="s">
        <v>11404</v>
      </c>
      <c r="G20084" s="40" t="s">
        <v>11404</v>
      </c>
      <c r="H20084" s="40" t="s">
        <v>11404</v>
      </c>
    </row>
    <row r="20085">
      <c r="A20085" s="39"/>
      <c r="E20085" s="40" t="s">
        <v>11404</v>
      </c>
      <c r="F20085" s="40" t="s">
        <v>11404</v>
      </c>
      <c r="G20085" s="40" t="s">
        <v>11404</v>
      </c>
      <c r="H20085" s="40" t="s">
        <v>11404</v>
      </c>
    </row>
    <row r="20086">
      <c r="A20086" s="39"/>
      <c r="E20086" s="40" t="s">
        <v>11404</v>
      </c>
      <c r="F20086" s="40" t="s">
        <v>11404</v>
      </c>
      <c r="G20086" s="40" t="s">
        <v>11404</v>
      </c>
      <c r="H20086" s="40" t="s">
        <v>11404</v>
      </c>
    </row>
    <row r="20087">
      <c r="A20087" s="39"/>
      <c r="E20087" s="40" t="s">
        <v>11404</v>
      </c>
      <c r="F20087" s="40" t="s">
        <v>11404</v>
      </c>
      <c r="G20087" s="40" t="s">
        <v>11404</v>
      </c>
      <c r="H20087" s="40" t="s">
        <v>11404</v>
      </c>
    </row>
    <row r="20088">
      <c r="A20088" s="39"/>
      <c r="E20088" s="40" t="s">
        <v>11404</v>
      </c>
      <c r="F20088" s="40" t="s">
        <v>11404</v>
      </c>
      <c r="G20088" s="40" t="s">
        <v>11404</v>
      </c>
      <c r="H20088" s="40" t="s">
        <v>11404</v>
      </c>
    </row>
    <row r="20089">
      <c r="A20089" s="39"/>
      <c r="E20089" s="40" t="s">
        <v>11404</v>
      </c>
      <c r="F20089" s="40" t="s">
        <v>11404</v>
      </c>
      <c r="G20089" s="40" t="s">
        <v>11404</v>
      </c>
      <c r="H20089" s="40" t="s">
        <v>11404</v>
      </c>
    </row>
    <row r="20090">
      <c r="A20090" s="39"/>
      <c r="E20090" s="40" t="s">
        <v>11404</v>
      </c>
      <c r="F20090" s="40" t="s">
        <v>11404</v>
      </c>
      <c r="G20090" s="40" t="s">
        <v>11404</v>
      </c>
      <c r="H20090" s="40" t="s">
        <v>11404</v>
      </c>
    </row>
    <row r="20091">
      <c r="A20091" s="39"/>
      <c r="E20091" s="40" t="s">
        <v>11404</v>
      </c>
      <c r="F20091" s="40" t="s">
        <v>11404</v>
      </c>
      <c r="G20091" s="40" t="s">
        <v>11404</v>
      </c>
      <c r="H20091" s="40" t="s">
        <v>11404</v>
      </c>
    </row>
    <row r="20092">
      <c r="A20092" s="39"/>
      <c r="E20092" s="40" t="s">
        <v>11404</v>
      </c>
      <c r="F20092" s="40" t="s">
        <v>11404</v>
      </c>
      <c r="G20092" s="40" t="s">
        <v>11404</v>
      </c>
      <c r="H20092" s="40" t="s">
        <v>11404</v>
      </c>
    </row>
    <row r="20093">
      <c r="A20093" s="39"/>
      <c r="E20093" s="40" t="s">
        <v>11404</v>
      </c>
      <c r="F20093" s="40" t="s">
        <v>11404</v>
      </c>
      <c r="G20093" s="40" t="s">
        <v>11404</v>
      </c>
      <c r="H20093" s="40" t="s">
        <v>11404</v>
      </c>
    </row>
    <row r="20094">
      <c r="A20094" s="39"/>
      <c r="E20094" s="40" t="s">
        <v>11404</v>
      </c>
      <c r="F20094" s="40" t="s">
        <v>11404</v>
      </c>
      <c r="G20094" s="40" t="s">
        <v>11404</v>
      </c>
      <c r="H20094" s="40" t="s">
        <v>11404</v>
      </c>
    </row>
    <row r="20095">
      <c r="A20095" s="39"/>
      <c r="E20095" s="40" t="s">
        <v>11404</v>
      </c>
      <c r="F20095" s="40" t="s">
        <v>11404</v>
      </c>
      <c r="G20095" s="40" t="s">
        <v>11404</v>
      </c>
      <c r="H20095" s="40" t="s">
        <v>11404</v>
      </c>
    </row>
    <row r="20096">
      <c r="A20096" s="39"/>
      <c r="E20096" s="40" t="s">
        <v>11404</v>
      </c>
      <c r="F20096" s="40" t="s">
        <v>11404</v>
      </c>
      <c r="G20096" s="40" t="s">
        <v>11404</v>
      </c>
      <c r="H20096" s="40" t="s">
        <v>11404</v>
      </c>
    </row>
    <row r="20097">
      <c r="A20097" s="39"/>
      <c r="E20097" s="40" t="s">
        <v>11404</v>
      </c>
      <c r="F20097" s="40" t="s">
        <v>11404</v>
      </c>
      <c r="G20097" s="40" t="s">
        <v>11404</v>
      </c>
      <c r="H20097" s="40" t="s">
        <v>11404</v>
      </c>
    </row>
    <row r="20098">
      <c r="A20098" s="39"/>
      <c r="E20098" s="40" t="s">
        <v>11404</v>
      </c>
      <c r="F20098" s="40" t="s">
        <v>11404</v>
      </c>
      <c r="G20098" s="40" t="s">
        <v>11404</v>
      </c>
      <c r="H20098" s="40" t="s">
        <v>11404</v>
      </c>
    </row>
    <row r="20099">
      <c r="A20099" s="39"/>
      <c r="E20099" s="40" t="s">
        <v>11404</v>
      </c>
      <c r="F20099" s="40" t="s">
        <v>11404</v>
      </c>
      <c r="G20099" s="40" t="s">
        <v>11404</v>
      </c>
      <c r="H20099" s="40" t="s">
        <v>11404</v>
      </c>
    </row>
    <row r="20100">
      <c r="A20100" s="39"/>
      <c r="E20100" s="40" t="s">
        <v>11404</v>
      </c>
      <c r="F20100" s="40" t="s">
        <v>11404</v>
      </c>
      <c r="G20100" s="40" t="s">
        <v>11404</v>
      </c>
      <c r="H20100" s="40" t="s">
        <v>11404</v>
      </c>
    </row>
    <row r="20101">
      <c r="A20101" s="39"/>
      <c r="E20101" s="40" t="s">
        <v>11404</v>
      </c>
      <c r="F20101" s="40" t="s">
        <v>11404</v>
      </c>
      <c r="G20101" s="40" t="s">
        <v>11404</v>
      </c>
      <c r="H20101" s="40" t="s">
        <v>11404</v>
      </c>
    </row>
    <row r="20102">
      <c r="A20102" s="39"/>
      <c r="E20102" s="40" t="s">
        <v>11404</v>
      </c>
      <c r="F20102" s="40" t="s">
        <v>11404</v>
      </c>
      <c r="G20102" s="40" t="s">
        <v>11404</v>
      </c>
      <c r="H20102" s="40" t="s">
        <v>11404</v>
      </c>
    </row>
    <row r="20103">
      <c r="A20103" s="39"/>
      <c r="E20103" s="40" t="s">
        <v>11404</v>
      </c>
      <c r="F20103" s="40" t="s">
        <v>11404</v>
      </c>
      <c r="G20103" s="40" t="s">
        <v>11404</v>
      </c>
      <c r="H20103" s="40" t="s">
        <v>11404</v>
      </c>
    </row>
    <row r="20104">
      <c r="A20104" s="39"/>
      <c r="E20104" s="40" t="s">
        <v>11404</v>
      </c>
      <c r="F20104" s="40" t="s">
        <v>11404</v>
      </c>
      <c r="G20104" s="40" t="s">
        <v>11404</v>
      </c>
      <c r="H20104" s="40" t="s">
        <v>11404</v>
      </c>
    </row>
    <row r="20105">
      <c r="A20105" s="39"/>
      <c r="E20105" s="40" t="s">
        <v>11404</v>
      </c>
      <c r="F20105" s="40" t="s">
        <v>11404</v>
      </c>
      <c r="G20105" s="40" t="s">
        <v>11404</v>
      </c>
      <c r="H20105" s="40" t="s">
        <v>11404</v>
      </c>
    </row>
    <row r="20106">
      <c r="A20106" s="39"/>
      <c r="E20106" s="40" t="s">
        <v>11404</v>
      </c>
      <c r="F20106" s="40" t="s">
        <v>11404</v>
      </c>
      <c r="G20106" s="40" t="s">
        <v>11404</v>
      </c>
      <c r="H20106" s="40" t="s">
        <v>11404</v>
      </c>
    </row>
    <row r="20107">
      <c r="A20107" s="39"/>
      <c r="E20107" s="40" t="s">
        <v>11404</v>
      </c>
      <c r="F20107" s="40" t="s">
        <v>11404</v>
      </c>
      <c r="G20107" s="40" t="s">
        <v>11404</v>
      </c>
      <c r="H20107" s="40" t="s">
        <v>11404</v>
      </c>
    </row>
    <row r="20108">
      <c r="A20108" s="39"/>
      <c r="E20108" s="40" t="s">
        <v>11404</v>
      </c>
      <c r="F20108" s="40" t="s">
        <v>11404</v>
      </c>
      <c r="G20108" s="40" t="s">
        <v>11404</v>
      </c>
      <c r="H20108" s="40" t="s">
        <v>11404</v>
      </c>
    </row>
    <row r="20109">
      <c r="A20109" s="39"/>
      <c r="E20109" s="40" t="s">
        <v>11404</v>
      </c>
      <c r="F20109" s="40" t="s">
        <v>11404</v>
      </c>
      <c r="G20109" s="40" t="s">
        <v>11404</v>
      </c>
      <c r="H20109" s="40" t="s">
        <v>11404</v>
      </c>
    </row>
    <row r="20110">
      <c r="A20110" s="39"/>
      <c r="E20110" s="40" t="s">
        <v>11404</v>
      </c>
      <c r="F20110" s="40" t="s">
        <v>11404</v>
      </c>
      <c r="G20110" s="40" t="s">
        <v>11404</v>
      </c>
      <c r="H20110" s="40" t="s">
        <v>11404</v>
      </c>
    </row>
    <row r="20111">
      <c r="A20111" s="39"/>
      <c r="E20111" s="40" t="s">
        <v>11404</v>
      </c>
      <c r="F20111" s="40" t="s">
        <v>11404</v>
      </c>
      <c r="G20111" s="40" t="s">
        <v>11404</v>
      </c>
      <c r="H20111" s="40" t="s">
        <v>11404</v>
      </c>
    </row>
    <row r="20112">
      <c r="A20112" s="39"/>
      <c r="E20112" s="40" t="s">
        <v>11404</v>
      </c>
      <c r="F20112" s="40" t="s">
        <v>11404</v>
      </c>
      <c r="G20112" s="40" t="s">
        <v>11404</v>
      </c>
      <c r="H20112" s="40" t="s">
        <v>11404</v>
      </c>
    </row>
    <row r="20113">
      <c r="A20113" s="39"/>
      <c r="E20113" s="40" t="s">
        <v>11404</v>
      </c>
      <c r="F20113" s="40" t="s">
        <v>11404</v>
      </c>
      <c r="G20113" s="40" t="s">
        <v>11404</v>
      </c>
      <c r="H20113" s="40" t="s">
        <v>11404</v>
      </c>
    </row>
    <row r="20114">
      <c r="A20114" s="39"/>
      <c r="E20114" s="40" t="s">
        <v>11404</v>
      </c>
      <c r="F20114" s="40" t="s">
        <v>11404</v>
      </c>
      <c r="G20114" s="40" t="s">
        <v>11404</v>
      </c>
      <c r="H20114" s="40" t="s">
        <v>11404</v>
      </c>
    </row>
    <row r="20115">
      <c r="A20115" s="39"/>
      <c r="E20115" s="40" t="s">
        <v>11404</v>
      </c>
      <c r="F20115" s="40" t="s">
        <v>11404</v>
      </c>
      <c r="G20115" s="40" t="s">
        <v>11404</v>
      </c>
      <c r="H20115" s="40" t="s">
        <v>11404</v>
      </c>
    </row>
    <row r="20116">
      <c r="A20116" s="39"/>
      <c r="E20116" s="40" t="s">
        <v>11404</v>
      </c>
      <c r="F20116" s="40" t="s">
        <v>11404</v>
      </c>
      <c r="G20116" s="40" t="s">
        <v>11404</v>
      </c>
      <c r="H20116" s="40" t="s">
        <v>11404</v>
      </c>
    </row>
    <row r="20117">
      <c r="A20117" s="39"/>
      <c r="E20117" s="40" t="s">
        <v>11404</v>
      </c>
      <c r="F20117" s="40" t="s">
        <v>11404</v>
      </c>
      <c r="G20117" s="40" t="s">
        <v>11404</v>
      </c>
      <c r="H20117" s="40" t="s">
        <v>11404</v>
      </c>
    </row>
    <row r="20118">
      <c r="A20118" s="39"/>
      <c r="E20118" s="40" t="s">
        <v>11404</v>
      </c>
      <c r="F20118" s="40" t="s">
        <v>11404</v>
      </c>
      <c r="G20118" s="40" t="s">
        <v>11404</v>
      </c>
      <c r="H20118" s="40" t="s">
        <v>11404</v>
      </c>
    </row>
    <row r="20119">
      <c r="A20119" s="39"/>
      <c r="E20119" s="40" t="s">
        <v>11404</v>
      </c>
      <c r="F20119" s="40" t="s">
        <v>11404</v>
      </c>
      <c r="G20119" s="40" t="s">
        <v>11404</v>
      </c>
      <c r="H20119" s="40" t="s">
        <v>11404</v>
      </c>
    </row>
    <row r="20120">
      <c r="A20120" s="39"/>
      <c r="E20120" s="40" t="s">
        <v>11404</v>
      </c>
      <c r="F20120" s="40" t="s">
        <v>11404</v>
      </c>
      <c r="G20120" s="40" t="s">
        <v>11404</v>
      </c>
      <c r="H20120" s="40" t="s">
        <v>11404</v>
      </c>
    </row>
    <row r="20121">
      <c r="A20121" s="39"/>
      <c r="E20121" s="40" t="s">
        <v>11404</v>
      </c>
      <c r="F20121" s="40" t="s">
        <v>11404</v>
      </c>
      <c r="G20121" s="40" t="s">
        <v>11404</v>
      </c>
      <c r="H20121" s="40" t="s">
        <v>11404</v>
      </c>
    </row>
    <row r="20122">
      <c r="A20122" s="39"/>
      <c r="E20122" s="40" t="s">
        <v>11404</v>
      </c>
      <c r="F20122" s="40" t="s">
        <v>11404</v>
      </c>
      <c r="G20122" s="40" t="s">
        <v>11404</v>
      </c>
      <c r="H20122" s="40" t="s">
        <v>11404</v>
      </c>
    </row>
    <row r="20123">
      <c r="A20123" s="39"/>
      <c r="E20123" s="40" t="s">
        <v>11404</v>
      </c>
      <c r="F20123" s="40" t="s">
        <v>11404</v>
      </c>
      <c r="G20123" s="40" t="s">
        <v>11404</v>
      </c>
      <c r="H20123" s="40" t="s">
        <v>11404</v>
      </c>
    </row>
    <row r="20124">
      <c r="A20124" s="39"/>
      <c r="E20124" s="40" t="s">
        <v>11404</v>
      </c>
      <c r="F20124" s="40" t="s">
        <v>11404</v>
      </c>
      <c r="G20124" s="40" t="s">
        <v>11404</v>
      </c>
      <c r="H20124" s="40" t="s">
        <v>11404</v>
      </c>
    </row>
    <row r="20125">
      <c r="A20125" s="39"/>
      <c r="E20125" s="40" t="s">
        <v>11404</v>
      </c>
      <c r="F20125" s="40" t="s">
        <v>11404</v>
      </c>
      <c r="G20125" s="40" t="s">
        <v>11404</v>
      </c>
      <c r="H20125" s="40" t="s">
        <v>11404</v>
      </c>
    </row>
    <row r="20126">
      <c r="A20126" s="39"/>
      <c r="E20126" s="40" t="s">
        <v>11404</v>
      </c>
      <c r="F20126" s="40" t="s">
        <v>11404</v>
      </c>
      <c r="G20126" s="40" t="s">
        <v>11404</v>
      </c>
      <c r="H20126" s="40" t="s">
        <v>11404</v>
      </c>
    </row>
    <row r="20127">
      <c r="A20127" s="39"/>
      <c r="E20127" s="40" t="s">
        <v>11404</v>
      </c>
      <c r="F20127" s="40" t="s">
        <v>11404</v>
      </c>
      <c r="G20127" s="40" t="s">
        <v>11404</v>
      </c>
      <c r="H20127" s="40" t="s">
        <v>11404</v>
      </c>
    </row>
    <row r="20128">
      <c r="A20128" s="39"/>
      <c r="E20128" s="40" t="s">
        <v>11404</v>
      </c>
      <c r="F20128" s="40" t="s">
        <v>11404</v>
      </c>
      <c r="G20128" s="40" t="s">
        <v>11404</v>
      </c>
      <c r="H20128" s="40" t="s">
        <v>11404</v>
      </c>
    </row>
    <row r="20129">
      <c r="A20129" s="39"/>
      <c r="E20129" s="40" t="s">
        <v>11404</v>
      </c>
      <c r="F20129" s="40" t="s">
        <v>11404</v>
      </c>
      <c r="G20129" s="40" t="s">
        <v>11404</v>
      </c>
      <c r="H20129" s="40" t="s">
        <v>11404</v>
      </c>
    </row>
    <row r="20130">
      <c r="A20130" s="39"/>
      <c r="E20130" s="40" t="s">
        <v>11404</v>
      </c>
      <c r="F20130" s="40" t="s">
        <v>11404</v>
      </c>
      <c r="G20130" s="40" t="s">
        <v>11404</v>
      </c>
      <c r="H20130" s="40" t="s">
        <v>11404</v>
      </c>
    </row>
    <row r="20131">
      <c r="A20131" s="39"/>
      <c r="E20131" s="40" t="s">
        <v>11404</v>
      </c>
      <c r="F20131" s="40" t="s">
        <v>11404</v>
      </c>
      <c r="G20131" s="40" t="s">
        <v>11404</v>
      </c>
      <c r="H20131" s="40" t="s">
        <v>11404</v>
      </c>
    </row>
    <row r="20132">
      <c r="A20132" s="39"/>
      <c r="E20132" s="40" t="s">
        <v>11404</v>
      </c>
      <c r="F20132" s="40" t="s">
        <v>11404</v>
      </c>
      <c r="G20132" s="40" t="s">
        <v>11404</v>
      </c>
      <c r="H20132" s="40" t="s">
        <v>11404</v>
      </c>
    </row>
    <row r="20133">
      <c r="A20133" s="39"/>
      <c r="E20133" s="40" t="s">
        <v>11404</v>
      </c>
      <c r="F20133" s="40" t="s">
        <v>11404</v>
      </c>
      <c r="G20133" s="40" t="s">
        <v>11404</v>
      </c>
      <c r="H20133" s="40" t="s">
        <v>11404</v>
      </c>
    </row>
    <row r="20134">
      <c r="A20134" s="39"/>
      <c r="E20134" s="40" t="s">
        <v>11404</v>
      </c>
      <c r="F20134" s="40" t="s">
        <v>11404</v>
      </c>
      <c r="G20134" s="40" t="s">
        <v>11404</v>
      </c>
      <c r="H20134" s="40" t="s">
        <v>11404</v>
      </c>
    </row>
    <row r="20135">
      <c r="A20135" s="39"/>
      <c r="E20135" s="40" t="s">
        <v>11404</v>
      </c>
      <c r="F20135" s="40" t="s">
        <v>11404</v>
      </c>
      <c r="G20135" s="40" t="s">
        <v>11404</v>
      </c>
      <c r="H20135" s="40" t="s">
        <v>11404</v>
      </c>
    </row>
    <row r="20136">
      <c r="A20136" s="39"/>
      <c r="E20136" s="40" t="s">
        <v>11404</v>
      </c>
      <c r="F20136" s="40" t="s">
        <v>11404</v>
      </c>
      <c r="G20136" s="40" t="s">
        <v>11404</v>
      </c>
      <c r="H20136" s="40" t="s">
        <v>11404</v>
      </c>
    </row>
    <row r="20137">
      <c r="A20137" s="39"/>
      <c r="E20137" s="40" t="s">
        <v>11404</v>
      </c>
      <c r="F20137" s="40" t="s">
        <v>11404</v>
      </c>
      <c r="G20137" s="40" t="s">
        <v>11404</v>
      </c>
      <c r="H20137" s="40" t="s">
        <v>11404</v>
      </c>
    </row>
    <row r="20138">
      <c r="A20138" s="39"/>
      <c r="E20138" s="40" t="s">
        <v>11404</v>
      </c>
      <c r="F20138" s="40" t="s">
        <v>11404</v>
      </c>
      <c r="G20138" s="40" t="s">
        <v>11404</v>
      </c>
      <c r="H20138" s="40" t="s">
        <v>11404</v>
      </c>
    </row>
    <row r="20139">
      <c r="A20139" s="39"/>
      <c r="E20139" s="40" t="s">
        <v>11404</v>
      </c>
      <c r="F20139" s="40" t="s">
        <v>11404</v>
      </c>
      <c r="G20139" s="40" t="s">
        <v>11404</v>
      </c>
      <c r="H20139" s="40" t="s">
        <v>11404</v>
      </c>
    </row>
    <row r="20140">
      <c r="A20140" s="39"/>
      <c r="E20140" s="40" t="s">
        <v>11404</v>
      </c>
      <c r="F20140" s="40" t="s">
        <v>11404</v>
      </c>
      <c r="G20140" s="40" t="s">
        <v>11404</v>
      </c>
      <c r="H20140" s="40" t="s">
        <v>11404</v>
      </c>
    </row>
    <row r="20141">
      <c r="A20141" s="39"/>
      <c r="E20141" s="40" t="s">
        <v>11404</v>
      </c>
      <c r="F20141" s="40" t="s">
        <v>11404</v>
      </c>
      <c r="G20141" s="40" t="s">
        <v>11404</v>
      </c>
      <c r="H20141" s="40" t="s">
        <v>11404</v>
      </c>
    </row>
    <row r="20142">
      <c r="A20142" s="39"/>
      <c r="E20142" s="40" t="s">
        <v>11404</v>
      </c>
      <c r="F20142" s="40" t="s">
        <v>11404</v>
      </c>
      <c r="G20142" s="40" t="s">
        <v>11404</v>
      </c>
      <c r="H20142" s="40" t="s">
        <v>11404</v>
      </c>
    </row>
    <row r="20143">
      <c r="A20143" s="39"/>
      <c r="E20143" s="40" t="s">
        <v>11404</v>
      </c>
      <c r="F20143" s="40" t="s">
        <v>11404</v>
      </c>
      <c r="G20143" s="40" t="s">
        <v>11404</v>
      </c>
      <c r="H20143" s="40" t="s">
        <v>11404</v>
      </c>
    </row>
    <row r="20144">
      <c r="A20144" s="39"/>
      <c r="E20144" s="40" t="s">
        <v>11404</v>
      </c>
      <c r="F20144" s="40" t="s">
        <v>11404</v>
      </c>
      <c r="G20144" s="40" t="s">
        <v>11404</v>
      </c>
      <c r="H20144" s="40" t="s">
        <v>11404</v>
      </c>
    </row>
    <row r="20145">
      <c r="A20145" s="39"/>
      <c r="E20145" s="40" t="s">
        <v>11404</v>
      </c>
      <c r="F20145" s="40" t="s">
        <v>11404</v>
      </c>
      <c r="G20145" s="40" t="s">
        <v>11404</v>
      </c>
      <c r="H20145" s="40" t="s">
        <v>11404</v>
      </c>
    </row>
    <row r="20146">
      <c r="A20146" s="39"/>
      <c r="E20146" s="40" t="s">
        <v>11404</v>
      </c>
      <c r="F20146" s="40" t="s">
        <v>11404</v>
      </c>
      <c r="G20146" s="40" t="s">
        <v>11404</v>
      </c>
      <c r="H20146" s="40" t="s">
        <v>11404</v>
      </c>
    </row>
    <row r="20147">
      <c r="A20147" s="39"/>
      <c r="E20147" s="40" t="s">
        <v>11404</v>
      </c>
      <c r="F20147" s="40" t="s">
        <v>11404</v>
      </c>
      <c r="G20147" s="40" t="s">
        <v>11404</v>
      </c>
      <c r="H20147" s="40" t="s">
        <v>11404</v>
      </c>
    </row>
    <row r="20148">
      <c r="A20148" s="39"/>
      <c r="E20148" s="40" t="s">
        <v>11404</v>
      </c>
      <c r="F20148" s="40" t="s">
        <v>11404</v>
      </c>
      <c r="G20148" s="40" t="s">
        <v>11404</v>
      </c>
      <c r="H20148" s="40" t="s">
        <v>11404</v>
      </c>
    </row>
    <row r="20149">
      <c r="A20149" s="39"/>
      <c r="E20149" s="40" t="s">
        <v>11404</v>
      </c>
      <c r="F20149" s="40" t="s">
        <v>11404</v>
      </c>
      <c r="G20149" s="40" t="s">
        <v>11404</v>
      </c>
      <c r="H20149" s="40" t="s">
        <v>11404</v>
      </c>
    </row>
    <row r="20150">
      <c r="A20150" s="39"/>
      <c r="E20150" s="40" t="s">
        <v>11404</v>
      </c>
      <c r="F20150" s="40" t="s">
        <v>11404</v>
      </c>
      <c r="G20150" s="40" t="s">
        <v>11404</v>
      </c>
      <c r="H20150" s="40" t="s">
        <v>11404</v>
      </c>
    </row>
    <row r="20151">
      <c r="A20151" s="39"/>
      <c r="E20151" s="40" t="s">
        <v>11404</v>
      </c>
      <c r="F20151" s="40" t="s">
        <v>11404</v>
      </c>
      <c r="G20151" s="40" t="s">
        <v>11404</v>
      </c>
      <c r="H20151" s="40" t="s">
        <v>11404</v>
      </c>
    </row>
    <row r="20152">
      <c r="A20152" s="39"/>
      <c r="E20152" s="40" t="s">
        <v>11404</v>
      </c>
      <c r="F20152" s="40" t="s">
        <v>11404</v>
      </c>
      <c r="G20152" s="40" t="s">
        <v>11404</v>
      </c>
      <c r="H20152" s="40" t="s">
        <v>11404</v>
      </c>
    </row>
    <row r="20153">
      <c r="A20153" s="39"/>
      <c r="E20153" s="40" t="s">
        <v>11404</v>
      </c>
      <c r="F20153" s="40" t="s">
        <v>11404</v>
      </c>
      <c r="G20153" s="40" t="s">
        <v>11404</v>
      </c>
      <c r="H20153" s="40" t="s">
        <v>11404</v>
      </c>
    </row>
    <row r="20154">
      <c r="A20154" s="39"/>
      <c r="E20154" s="40" t="s">
        <v>11404</v>
      </c>
      <c r="F20154" s="40" t="s">
        <v>11404</v>
      </c>
      <c r="G20154" s="40" t="s">
        <v>11404</v>
      </c>
      <c r="H20154" s="40" t="s">
        <v>11404</v>
      </c>
    </row>
    <row r="20155">
      <c r="A20155" s="39"/>
      <c r="E20155" s="40" t="s">
        <v>11404</v>
      </c>
      <c r="F20155" s="40" t="s">
        <v>11404</v>
      </c>
      <c r="G20155" s="40" t="s">
        <v>11404</v>
      </c>
      <c r="H20155" s="40" t="s">
        <v>11404</v>
      </c>
    </row>
    <row r="20156">
      <c r="A20156" s="39"/>
      <c r="E20156" s="40" t="s">
        <v>11404</v>
      </c>
      <c r="F20156" s="40" t="s">
        <v>11404</v>
      </c>
      <c r="G20156" s="40" t="s">
        <v>11404</v>
      </c>
      <c r="H20156" s="40" t="s">
        <v>11404</v>
      </c>
    </row>
    <row r="20157">
      <c r="A20157" s="39"/>
      <c r="E20157" s="40" t="s">
        <v>11404</v>
      </c>
      <c r="F20157" s="40" t="s">
        <v>11404</v>
      </c>
      <c r="G20157" s="40" t="s">
        <v>11404</v>
      </c>
      <c r="H20157" s="40" t="s">
        <v>11404</v>
      </c>
    </row>
    <row r="20158">
      <c r="A20158" s="39"/>
      <c r="E20158" s="40" t="s">
        <v>11404</v>
      </c>
      <c r="F20158" s="40" t="s">
        <v>11404</v>
      </c>
      <c r="G20158" s="40" t="s">
        <v>11404</v>
      </c>
      <c r="H20158" s="40" t="s">
        <v>11404</v>
      </c>
    </row>
    <row r="20159">
      <c r="A20159" s="39"/>
      <c r="E20159" s="40" t="s">
        <v>11404</v>
      </c>
      <c r="F20159" s="40" t="s">
        <v>11404</v>
      </c>
      <c r="G20159" s="40" t="s">
        <v>11404</v>
      </c>
      <c r="H20159" s="40" t="s">
        <v>11404</v>
      </c>
    </row>
    <row r="20160">
      <c r="A20160" s="39"/>
      <c r="E20160" s="40" t="s">
        <v>11404</v>
      </c>
      <c r="F20160" s="40" t="s">
        <v>11404</v>
      </c>
      <c r="G20160" s="40" t="s">
        <v>11404</v>
      </c>
      <c r="H20160" s="40" t="s">
        <v>11404</v>
      </c>
    </row>
    <row r="20161">
      <c r="A20161" s="39"/>
      <c r="E20161" s="40" t="s">
        <v>11404</v>
      </c>
      <c r="F20161" s="40" t="s">
        <v>11404</v>
      </c>
      <c r="G20161" s="40" t="s">
        <v>11404</v>
      </c>
      <c r="H20161" s="40" t="s">
        <v>11404</v>
      </c>
    </row>
    <row r="20162">
      <c r="A20162" s="39"/>
      <c r="E20162" s="40" t="s">
        <v>11404</v>
      </c>
      <c r="F20162" s="40" t="s">
        <v>11404</v>
      </c>
      <c r="G20162" s="40" t="s">
        <v>11404</v>
      </c>
      <c r="H20162" s="40" t="s">
        <v>11404</v>
      </c>
    </row>
    <row r="20163">
      <c r="A20163" s="39"/>
      <c r="E20163" s="40" t="s">
        <v>11404</v>
      </c>
      <c r="F20163" s="40" t="s">
        <v>11404</v>
      </c>
      <c r="G20163" s="40" t="s">
        <v>11404</v>
      </c>
      <c r="H20163" s="40" t="s">
        <v>11404</v>
      </c>
    </row>
    <row r="20164">
      <c r="A20164" s="39"/>
      <c r="E20164" s="40" t="s">
        <v>11404</v>
      </c>
      <c r="F20164" s="40" t="s">
        <v>11404</v>
      </c>
      <c r="G20164" s="40" t="s">
        <v>11404</v>
      </c>
      <c r="H20164" s="40" t="s">
        <v>11404</v>
      </c>
    </row>
    <row r="20165">
      <c r="A20165" s="39"/>
      <c r="E20165" s="40" t="s">
        <v>11404</v>
      </c>
      <c r="F20165" s="40" t="s">
        <v>11404</v>
      </c>
      <c r="G20165" s="40" t="s">
        <v>11404</v>
      </c>
      <c r="H20165" s="40" t="s">
        <v>11404</v>
      </c>
    </row>
    <row r="20166">
      <c r="A20166" s="39"/>
      <c r="E20166" s="40" t="s">
        <v>11404</v>
      </c>
      <c r="F20166" s="40" t="s">
        <v>11404</v>
      </c>
      <c r="G20166" s="40" t="s">
        <v>11404</v>
      </c>
      <c r="H20166" s="40" t="s">
        <v>11404</v>
      </c>
    </row>
    <row r="20167">
      <c r="A20167" s="39"/>
      <c r="E20167" s="40" t="s">
        <v>11404</v>
      </c>
      <c r="F20167" s="40" t="s">
        <v>11404</v>
      </c>
      <c r="G20167" s="40" t="s">
        <v>11404</v>
      </c>
      <c r="H20167" s="40" t="s">
        <v>11404</v>
      </c>
    </row>
    <row r="20168">
      <c r="A20168" s="39"/>
      <c r="E20168" s="40" t="s">
        <v>11404</v>
      </c>
      <c r="F20168" s="40" t="s">
        <v>11404</v>
      </c>
      <c r="G20168" s="40" t="s">
        <v>11404</v>
      </c>
      <c r="H20168" s="40" t="s">
        <v>11404</v>
      </c>
    </row>
    <row r="20169">
      <c r="A20169" s="39"/>
      <c r="E20169" s="40" t="s">
        <v>11404</v>
      </c>
      <c r="F20169" s="40" t="s">
        <v>11404</v>
      </c>
      <c r="G20169" s="40" t="s">
        <v>11404</v>
      </c>
      <c r="H20169" s="40" t="s">
        <v>11404</v>
      </c>
    </row>
    <row r="20170">
      <c r="A20170" s="39"/>
      <c r="E20170" s="40" t="s">
        <v>11404</v>
      </c>
      <c r="F20170" s="40" t="s">
        <v>11404</v>
      </c>
      <c r="G20170" s="40" t="s">
        <v>11404</v>
      </c>
      <c r="H20170" s="40" t="s">
        <v>11404</v>
      </c>
    </row>
    <row r="20171">
      <c r="A20171" s="39"/>
      <c r="E20171" s="40" t="s">
        <v>11404</v>
      </c>
      <c r="F20171" s="40" t="s">
        <v>11404</v>
      </c>
      <c r="G20171" s="40" t="s">
        <v>11404</v>
      </c>
      <c r="H20171" s="40" t="s">
        <v>11404</v>
      </c>
    </row>
    <row r="20172">
      <c r="A20172" s="39"/>
      <c r="E20172" s="40" t="s">
        <v>11404</v>
      </c>
      <c r="F20172" s="40" t="s">
        <v>11404</v>
      </c>
      <c r="G20172" s="40" t="s">
        <v>11404</v>
      </c>
      <c r="H20172" s="40" t="s">
        <v>11404</v>
      </c>
    </row>
    <row r="20173">
      <c r="A20173" s="39"/>
      <c r="E20173" s="40" t="s">
        <v>11404</v>
      </c>
      <c r="F20173" s="40" t="s">
        <v>11404</v>
      </c>
      <c r="G20173" s="40" t="s">
        <v>11404</v>
      </c>
      <c r="H20173" s="40" t="s">
        <v>11404</v>
      </c>
    </row>
    <row r="20174">
      <c r="A20174" s="39"/>
      <c r="E20174" s="40" t="s">
        <v>11404</v>
      </c>
      <c r="F20174" s="40" t="s">
        <v>11404</v>
      </c>
      <c r="G20174" s="40" t="s">
        <v>11404</v>
      </c>
      <c r="H20174" s="40" t="s">
        <v>11404</v>
      </c>
    </row>
    <row r="20175">
      <c r="A20175" s="39"/>
      <c r="E20175" s="40" t="s">
        <v>11404</v>
      </c>
      <c r="F20175" s="40" t="s">
        <v>11404</v>
      </c>
      <c r="G20175" s="40" t="s">
        <v>11404</v>
      </c>
      <c r="H20175" s="40" t="s">
        <v>11404</v>
      </c>
    </row>
    <row r="20176">
      <c r="A20176" s="39"/>
      <c r="E20176" s="40" t="s">
        <v>11404</v>
      </c>
      <c r="F20176" s="40" t="s">
        <v>11404</v>
      </c>
      <c r="G20176" s="40" t="s">
        <v>11404</v>
      </c>
      <c r="H20176" s="40" t="s">
        <v>11404</v>
      </c>
    </row>
    <row r="20177">
      <c r="A20177" s="39"/>
      <c r="E20177" s="40" t="s">
        <v>11404</v>
      </c>
      <c r="F20177" s="40" t="s">
        <v>11404</v>
      </c>
      <c r="G20177" s="40" t="s">
        <v>11404</v>
      </c>
      <c r="H20177" s="40" t="s">
        <v>11404</v>
      </c>
    </row>
    <row r="20178">
      <c r="A20178" s="39"/>
      <c r="E20178" s="40" t="s">
        <v>11404</v>
      </c>
      <c r="F20178" s="40" t="s">
        <v>11404</v>
      </c>
      <c r="G20178" s="40" t="s">
        <v>11404</v>
      </c>
      <c r="H20178" s="40" t="s">
        <v>11404</v>
      </c>
    </row>
    <row r="20179">
      <c r="A20179" s="39"/>
      <c r="E20179" s="40" t="s">
        <v>11404</v>
      </c>
      <c r="F20179" s="40" t="s">
        <v>11404</v>
      </c>
      <c r="G20179" s="40" t="s">
        <v>11404</v>
      </c>
      <c r="H20179" s="40" t="s">
        <v>11404</v>
      </c>
    </row>
    <row r="20180">
      <c r="A20180" s="39"/>
      <c r="E20180" s="40" t="s">
        <v>11404</v>
      </c>
      <c r="F20180" s="40" t="s">
        <v>11404</v>
      </c>
      <c r="G20180" s="40" t="s">
        <v>11404</v>
      </c>
      <c r="H20180" s="40" t="s">
        <v>11404</v>
      </c>
    </row>
    <row r="20181">
      <c r="A20181" s="39"/>
      <c r="E20181" s="40" t="s">
        <v>11404</v>
      </c>
      <c r="F20181" s="40" t="s">
        <v>11404</v>
      </c>
      <c r="G20181" s="40" t="s">
        <v>11404</v>
      </c>
      <c r="H20181" s="40" t="s">
        <v>11404</v>
      </c>
    </row>
    <row r="20182">
      <c r="A20182" s="39"/>
      <c r="E20182" s="40" t="s">
        <v>11404</v>
      </c>
      <c r="F20182" s="40" t="s">
        <v>11404</v>
      </c>
      <c r="G20182" s="40" t="s">
        <v>11404</v>
      </c>
      <c r="H20182" s="40" t="s">
        <v>11404</v>
      </c>
    </row>
    <row r="20183">
      <c r="A20183" s="39"/>
      <c r="E20183" s="40" t="s">
        <v>11404</v>
      </c>
      <c r="F20183" s="40" t="s">
        <v>11404</v>
      </c>
      <c r="G20183" s="40" t="s">
        <v>11404</v>
      </c>
      <c r="H20183" s="40" t="s">
        <v>11404</v>
      </c>
    </row>
    <row r="20184">
      <c r="A20184" s="39"/>
      <c r="E20184" s="40" t="s">
        <v>11404</v>
      </c>
      <c r="F20184" s="40" t="s">
        <v>11404</v>
      </c>
      <c r="G20184" s="40" t="s">
        <v>11404</v>
      </c>
      <c r="H20184" s="40" t="s">
        <v>11404</v>
      </c>
    </row>
    <row r="20185">
      <c r="A20185" s="39"/>
      <c r="E20185" s="40" t="s">
        <v>11404</v>
      </c>
      <c r="F20185" s="40" t="s">
        <v>11404</v>
      </c>
      <c r="G20185" s="40" t="s">
        <v>11404</v>
      </c>
      <c r="H20185" s="40" t="s">
        <v>11404</v>
      </c>
    </row>
    <row r="20186">
      <c r="A20186" s="39"/>
      <c r="E20186" s="40" t="s">
        <v>11404</v>
      </c>
      <c r="F20186" s="40" t="s">
        <v>11404</v>
      </c>
      <c r="G20186" s="40" t="s">
        <v>11404</v>
      </c>
      <c r="H20186" s="40" t="s">
        <v>11404</v>
      </c>
    </row>
    <row r="20187">
      <c r="A20187" s="39"/>
      <c r="E20187" s="40" t="s">
        <v>11404</v>
      </c>
      <c r="F20187" s="40" t="s">
        <v>11404</v>
      </c>
      <c r="G20187" s="40" t="s">
        <v>11404</v>
      </c>
      <c r="H20187" s="40" t="s">
        <v>11404</v>
      </c>
    </row>
    <row r="20188">
      <c r="A20188" s="39"/>
      <c r="E20188" s="40" t="s">
        <v>11404</v>
      </c>
      <c r="F20188" s="40" t="s">
        <v>11404</v>
      </c>
      <c r="G20188" s="40" t="s">
        <v>11404</v>
      </c>
      <c r="H20188" s="40" t="s">
        <v>11404</v>
      </c>
    </row>
    <row r="20189">
      <c r="A20189" s="39"/>
      <c r="E20189" s="40" t="s">
        <v>11404</v>
      </c>
      <c r="F20189" s="40" t="s">
        <v>11404</v>
      </c>
      <c r="G20189" s="40" t="s">
        <v>11404</v>
      </c>
      <c r="H20189" s="40" t="s">
        <v>11404</v>
      </c>
    </row>
    <row r="20190">
      <c r="A20190" s="39"/>
      <c r="E20190" s="40" t="s">
        <v>11404</v>
      </c>
      <c r="F20190" s="40" t="s">
        <v>11404</v>
      </c>
      <c r="G20190" s="40" t="s">
        <v>11404</v>
      </c>
      <c r="H20190" s="40" t="s">
        <v>11404</v>
      </c>
    </row>
    <row r="20191">
      <c r="A20191" s="39"/>
      <c r="E20191" s="40" t="s">
        <v>11404</v>
      </c>
      <c r="F20191" s="40" t="s">
        <v>11404</v>
      </c>
      <c r="G20191" s="40" t="s">
        <v>11404</v>
      </c>
      <c r="H20191" s="40" t="s">
        <v>11404</v>
      </c>
    </row>
    <row r="20192">
      <c r="A20192" s="39"/>
      <c r="E20192" s="40" t="s">
        <v>11404</v>
      </c>
      <c r="F20192" s="40" t="s">
        <v>11404</v>
      </c>
      <c r="G20192" s="40" t="s">
        <v>11404</v>
      </c>
      <c r="H20192" s="40" t="s">
        <v>11404</v>
      </c>
    </row>
    <row r="20193">
      <c r="A20193" s="39"/>
      <c r="E20193" s="40" t="s">
        <v>11404</v>
      </c>
      <c r="F20193" s="40" t="s">
        <v>11404</v>
      </c>
      <c r="G20193" s="40" t="s">
        <v>11404</v>
      </c>
      <c r="H20193" s="40" t="s">
        <v>11404</v>
      </c>
    </row>
    <row r="20194">
      <c r="A20194" s="39"/>
      <c r="E20194" s="40" t="s">
        <v>11404</v>
      </c>
      <c r="F20194" s="40" t="s">
        <v>11404</v>
      </c>
      <c r="G20194" s="40" t="s">
        <v>11404</v>
      </c>
      <c r="H20194" s="40" t="s">
        <v>11404</v>
      </c>
    </row>
    <row r="20195">
      <c r="A20195" s="39"/>
      <c r="E20195" s="40" t="s">
        <v>11404</v>
      </c>
      <c r="F20195" s="40" t="s">
        <v>11404</v>
      </c>
      <c r="G20195" s="40" t="s">
        <v>11404</v>
      </c>
      <c r="H20195" s="40" t="s">
        <v>11404</v>
      </c>
    </row>
    <row r="20196">
      <c r="A20196" s="39"/>
      <c r="E20196" s="40" t="s">
        <v>11404</v>
      </c>
      <c r="F20196" s="40" t="s">
        <v>11404</v>
      </c>
      <c r="G20196" s="40" t="s">
        <v>11404</v>
      </c>
      <c r="H20196" s="40" t="s">
        <v>11404</v>
      </c>
    </row>
    <row r="20197">
      <c r="A20197" s="39"/>
      <c r="E20197" s="40" t="s">
        <v>11404</v>
      </c>
      <c r="F20197" s="40" t="s">
        <v>11404</v>
      </c>
      <c r="G20197" s="40" t="s">
        <v>11404</v>
      </c>
      <c r="H20197" s="40" t="s">
        <v>11404</v>
      </c>
    </row>
    <row r="20198">
      <c r="A20198" s="39"/>
      <c r="E20198" s="40" t="s">
        <v>11404</v>
      </c>
      <c r="F20198" s="40" t="s">
        <v>11404</v>
      </c>
      <c r="G20198" s="40" t="s">
        <v>11404</v>
      </c>
      <c r="H20198" s="40" t="s">
        <v>11404</v>
      </c>
    </row>
    <row r="20199">
      <c r="A20199" s="39"/>
      <c r="E20199" s="40" t="s">
        <v>11404</v>
      </c>
      <c r="F20199" s="40" t="s">
        <v>11404</v>
      </c>
      <c r="G20199" s="40" t="s">
        <v>11404</v>
      </c>
      <c r="H20199" s="40" t="s">
        <v>11404</v>
      </c>
    </row>
    <row r="20200">
      <c r="A20200" s="39"/>
      <c r="E20200" s="40" t="s">
        <v>11404</v>
      </c>
      <c r="F20200" s="40" t="s">
        <v>11404</v>
      </c>
      <c r="G20200" s="40" t="s">
        <v>11404</v>
      </c>
      <c r="H20200" s="40" t="s">
        <v>11404</v>
      </c>
    </row>
    <row r="20201">
      <c r="A20201" s="39"/>
      <c r="E20201" s="40" t="s">
        <v>11404</v>
      </c>
      <c r="F20201" s="40" t="s">
        <v>11404</v>
      </c>
      <c r="G20201" s="40" t="s">
        <v>11404</v>
      </c>
      <c r="H20201" s="40" t="s">
        <v>11404</v>
      </c>
    </row>
    <row r="20202">
      <c r="A20202" s="39"/>
      <c r="E20202" s="40" t="s">
        <v>11404</v>
      </c>
      <c r="F20202" s="40" t="s">
        <v>11404</v>
      </c>
      <c r="G20202" s="40" t="s">
        <v>11404</v>
      </c>
      <c r="H20202" s="40" t="s">
        <v>11404</v>
      </c>
    </row>
    <row r="20203">
      <c r="A20203" s="39"/>
      <c r="E20203" s="40" t="s">
        <v>11404</v>
      </c>
      <c r="F20203" s="40" t="s">
        <v>11404</v>
      </c>
      <c r="G20203" s="40" t="s">
        <v>11404</v>
      </c>
      <c r="H20203" s="40" t="s">
        <v>11404</v>
      </c>
    </row>
    <row r="20204">
      <c r="A20204" s="39"/>
      <c r="E20204" s="40" t="s">
        <v>11404</v>
      </c>
      <c r="F20204" s="40" t="s">
        <v>11404</v>
      </c>
      <c r="G20204" s="40" t="s">
        <v>11404</v>
      </c>
      <c r="H20204" s="40" t="s">
        <v>11404</v>
      </c>
    </row>
    <row r="20205">
      <c r="A20205" s="39"/>
      <c r="E20205" s="40" t="s">
        <v>11404</v>
      </c>
      <c r="F20205" s="40" t="s">
        <v>11404</v>
      </c>
      <c r="G20205" s="40" t="s">
        <v>11404</v>
      </c>
      <c r="H20205" s="40" t="s">
        <v>11404</v>
      </c>
    </row>
    <row r="20206">
      <c r="A20206" s="39"/>
      <c r="E20206" s="40" t="s">
        <v>11404</v>
      </c>
      <c r="F20206" s="40" t="s">
        <v>11404</v>
      </c>
      <c r="G20206" s="40" t="s">
        <v>11404</v>
      </c>
      <c r="H20206" s="40" t="s">
        <v>11404</v>
      </c>
    </row>
    <row r="20207">
      <c r="A20207" s="39"/>
      <c r="E20207" s="40" t="s">
        <v>11404</v>
      </c>
      <c r="F20207" s="40" t="s">
        <v>11404</v>
      </c>
      <c r="G20207" s="40" t="s">
        <v>11404</v>
      </c>
      <c r="H20207" s="40" t="s">
        <v>11404</v>
      </c>
    </row>
    <row r="20208">
      <c r="A20208" s="39"/>
      <c r="E20208" s="40" t="s">
        <v>11404</v>
      </c>
      <c r="F20208" s="40" t="s">
        <v>11404</v>
      </c>
      <c r="G20208" s="40" t="s">
        <v>11404</v>
      </c>
      <c r="H20208" s="40" t="s">
        <v>11404</v>
      </c>
    </row>
    <row r="20209">
      <c r="A20209" s="39"/>
      <c r="E20209" s="40" t="s">
        <v>11404</v>
      </c>
      <c r="F20209" s="40" t="s">
        <v>11404</v>
      </c>
      <c r="G20209" s="40" t="s">
        <v>11404</v>
      </c>
      <c r="H20209" s="40" t="s">
        <v>11404</v>
      </c>
    </row>
    <row r="20210">
      <c r="A20210" s="39"/>
      <c r="E20210" s="40" t="s">
        <v>11404</v>
      </c>
      <c r="F20210" s="40" t="s">
        <v>11404</v>
      </c>
      <c r="G20210" s="40" t="s">
        <v>11404</v>
      </c>
      <c r="H20210" s="40" t="s">
        <v>11404</v>
      </c>
    </row>
    <row r="20211">
      <c r="A20211" s="39"/>
      <c r="E20211" s="40" t="s">
        <v>11404</v>
      </c>
      <c r="F20211" s="40" t="s">
        <v>11404</v>
      </c>
      <c r="G20211" s="40" t="s">
        <v>11404</v>
      </c>
      <c r="H20211" s="40" t="s">
        <v>11404</v>
      </c>
    </row>
    <row r="20212">
      <c r="A20212" s="39"/>
      <c r="E20212" s="40" t="s">
        <v>11404</v>
      </c>
      <c r="F20212" s="40" t="s">
        <v>11404</v>
      </c>
      <c r="G20212" s="40" t="s">
        <v>11404</v>
      </c>
      <c r="H20212" s="40" t="s">
        <v>11404</v>
      </c>
    </row>
    <row r="20213">
      <c r="A20213" s="39"/>
      <c r="E20213" s="40" t="s">
        <v>11404</v>
      </c>
      <c r="F20213" s="40" t="s">
        <v>11404</v>
      </c>
      <c r="G20213" s="40" t="s">
        <v>11404</v>
      </c>
      <c r="H20213" s="40" t="s">
        <v>11404</v>
      </c>
    </row>
    <row r="20214">
      <c r="A20214" s="39"/>
      <c r="E20214" s="40" t="s">
        <v>11404</v>
      </c>
      <c r="F20214" s="40" t="s">
        <v>11404</v>
      </c>
      <c r="G20214" s="40" t="s">
        <v>11404</v>
      </c>
      <c r="H20214" s="40" t="s">
        <v>11404</v>
      </c>
    </row>
    <row r="20215">
      <c r="A20215" s="39"/>
      <c r="E20215" s="40" t="s">
        <v>11404</v>
      </c>
      <c r="F20215" s="40" t="s">
        <v>11404</v>
      </c>
      <c r="G20215" s="40" t="s">
        <v>11404</v>
      </c>
      <c r="H20215" s="40" t="s">
        <v>11404</v>
      </c>
    </row>
    <row r="20216">
      <c r="A20216" s="39"/>
      <c r="E20216" s="40" t="s">
        <v>11404</v>
      </c>
      <c r="F20216" s="40" t="s">
        <v>11404</v>
      </c>
      <c r="G20216" s="40" t="s">
        <v>11404</v>
      </c>
      <c r="H20216" s="40" t="s">
        <v>11404</v>
      </c>
    </row>
    <row r="20217">
      <c r="A20217" s="39"/>
      <c r="E20217" s="40" t="s">
        <v>11404</v>
      </c>
      <c r="F20217" s="40" t="s">
        <v>11404</v>
      </c>
      <c r="G20217" s="40" t="s">
        <v>11404</v>
      </c>
      <c r="H20217" s="40" t="s">
        <v>11404</v>
      </c>
    </row>
    <row r="20218">
      <c r="A20218" s="39"/>
      <c r="E20218" s="40" t="s">
        <v>11404</v>
      </c>
      <c r="F20218" s="40" t="s">
        <v>11404</v>
      </c>
      <c r="G20218" s="40" t="s">
        <v>11404</v>
      </c>
      <c r="H20218" s="40" t="s">
        <v>11404</v>
      </c>
    </row>
    <row r="20219">
      <c r="A20219" s="39"/>
      <c r="E20219" s="40" t="s">
        <v>11404</v>
      </c>
      <c r="F20219" s="40" t="s">
        <v>11404</v>
      </c>
      <c r="G20219" s="40" t="s">
        <v>11404</v>
      </c>
      <c r="H20219" s="40" t="s">
        <v>11404</v>
      </c>
    </row>
    <row r="20220">
      <c r="A20220" s="39"/>
      <c r="E20220" s="40" t="s">
        <v>11404</v>
      </c>
      <c r="F20220" s="40" t="s">
        <v>11404</v>
      </c>
      <c r="G20220" s="40" t="s">
        <v>11404</v>
      </c>
      <c r="H20220" s="40" t="s">
        <v>11404</v>
      </c>
    </row>
    <row r="20221">
      <c r="A20221" s="39"/>
      <c r="E20221" s="40" t="s">
        <v>11404</v>
      </c>
      <c r="F20221" s="40" t="s">
        <v>11404</v>
      </c>
      <c r="G20221" s="40" t="s">
        <v>11404</v>
      </c>
      <c r="H20221" s="40" t="s">
        <v>11404</v>
      </c>
    </row>
    <row r="20222">
      <c r="A20222" s="39"/>
      <c r="E20222" s="40" t="s">
        <v>11404</v>
      </c>
      <c r="F20222" s="40" t="s">
        <v>11404</v>
      </c>
      <c r="G20222" s="40" t="s">
        <v>11404</v>
      </c>
      <c r="H20222" s="40" t="s">
        <v>11404</v>
      </c>
    </row>
    <row r="20223">
      <c r="A20223" s="39"/>
      <c r="E20223" s="40" t="s">
        <v>11404</v>
      </c>
      <c r="F20223" s="40" t="s">
        <v>11404</v>
      </c>
      <c r="G20223" s="40" t="s">
        <v>11404</v>
      </c>
      <c r="H20223" s="40" t="s">
        <v>11404</v>
      </c>
    </row>
    <row r="20224">
      <c r="A20224" s="39"/>
      <c r="E20224" s="40" t="s">
        <v>11404</v>
      </c>
      <c r="F20224" s="40" t="s">
        <v>11404</v>
      </c>
      <c r="G20224" s="40" t="s">
        <v>11404</v>
      </c>
      <c r="H20224" s="40" t="s">
        <v>11404</v>
      </c>
    </row>
    <row r="20225">
      <c r="A20225" s="39"/>
      <c r="E20225" s="40" t="s">
        <v>11404</v>
      </c>
      <c r="F20225" s="40" t="s">
        <v>11404</v>
      </c>
      <c r="G20225" s="40" t="s">
        <v>11404</v>
      </c>
      <c r="H20225" s="40" t="s">
        <v>11404</v>
      </c>
    </row>
    <row r="20226">
      <c r="A20226" s="39"/>
      <c r="E20226" s="40" t="s">
        <v>11404</v>
      </c>
      <c r="F20226" s="40" t="s">
        <v>11404</v>
      </c>
      <c r="G20226" s="40" t="s">
        <v>11404</v>
      </c>
      <c r="H20226" s="40" t="s">
        <v>11404</v>
      </c>
    </row>
    <row r="20227">
      <c r="A20227" s="39"/>
      <c r="E20227" s="40" t="s">
        <v>11404</v>
      </c>
      <c r="F20227" s="40" t="s">
        <v>11404</v>
      </c>
      <c r="G20227" s="40" t="s">
        <v>11404</v>
      </c>
      <c r="H20227" s="40" t="s">
        <v>11404</v>
      </c>
    </row>
    <row r="20228">
      <c r="A20228" s="39"/>
      <c r="E20228" s="40" t="s">
        <v>11404</v>
      </c>
      <c r="F20228" s="40" t="s">
        <v>11404</v>
      </c>
      <c r="G20228" s="40" t="s">
        <v>11404</v>
      </c>
      <c r="H20228" s="40" t="s">
        <v>11404</v>
      </c>
    </row>
    <row r="20229">
      <c r="A20229" s="39"/>
      <c r="E20229" s="40" t="s">
        <v>11404</v>
      </c>
      <c r="F20229" s="40" t="s">
        <v>11404</v>
      </c>
      <c r="G20229" s="40" t="s">
        <v>11404</v>
      </c>
      <c r="H20229" s="40" t="s">
        <v>11404</v>
      </c>
    </row>
    <row r="20230">
      <c r="A20230" s="39"/>
      <c r="E20230" s="40" t="s">
        <v>11404</v>
      </c>
      <c r="F20230" s="40" t="s">
        <v>11404</v>
      </c>
      <c r="G20230" s="40" t="s">
        <v>11404</v>
      </c>
      <c r="H20230" s="40" t="s">
        <v>11404</v>
      </c>
    </row>
    <row r="20231">
      <c r="A20231" s="39"/>
      <c r="E20231" s="40" t="s">
        <v>11404</v>
      </c>
      <c r="F20231" s="40" t="s">
        <v>11404</v>
      </c>
      <c r="G20231" s="40" t="s">
        <v>11404</v>
      </c>
      <c r="H20231" s="40" t="s">
        <v>11404</v>
      </c>
    </row>
    <row r="20232">
      <c r="A20232" s="39"/>
      <c r="E20232" s="40" t="s">
        <v>11404</v>
      </c>
      <c r="F20232" s="40" t="s">
        <v>11404</v>
      </c>
      <c r="G20232" s="40" t="s">
        <v>11404</v>
      </c>
      <c r="H20232" s="40" t="s">
        <v>11404</v>
      </c>
    </row>
    <row r="20233">
      <c r="A20233" s="39"/>
      <c r="E20233" s="40" t="s">
        <v>11404</v>
      </c>
      <c r="F20233" s="40" t="s">
        <v>11404</v>
      </c>
      <c r="G20233" s="40" t="s">
        <v>11404</v>
      </c>
      <c r="H20233" s="40" t="s">
        <v>11404</v>
      </c>
    </row>
    <row r="20234">
      <c r="A20234" s="39"/>
      <c r="E20234" s="40" t="s">
        <v>11404</v>
      </c>
      <c r="F20234" s="40" t="s">
        <v>11404</v>
      </c>
      <c r="G20234" s="40" t="s">
        <v>11404</v>
      </c>
      <c r="H20234" s="40" t="s">
        <v>11404</v>
      </c>
    </row>
    <row r="20235">
      <c r="A20235" s="39"/>
      <c r="E20235" s="40" t="s">
        <v>11404</v>
      </c>
      <c r="F20235" s="40" t="s">
        <v>11404</v>
      </c>
      <c r="G20235" s="40" t="s">
        <v>11404</v>
      </c>
      <c r="H20235" s="40" t="s">
        <v>11404</v>
      </c>
    </row>
    <row r="20236">
      <c r="A20236" s="39"/>
      <c r="E20236" s="40" t="s">
        <v>11404</v>
      </c>
      <c r="F20236" s="40" t="s">
        <v>11404</v>
      </c>
      <c r="G20236" s="40" t="s">
        <v>11404</v>
      </c>
      <c r="H20236" s="40" t="s">
        <v>11404</v>
      </c>
    </row>
    <row r="20237">
      <c r="A20237" s="39"/>
      <c r="E20237" s="40" t="s">
        <v>11404</v>
      </c>
      <c r="F20237" s="40" t="s">
        <v>11404</v>
      </c>
      <c r="G20237" s="40" t="s">
        <v>11404</v>
      </c>
      <c r="H20237" s="40" t="s">
        <v>11404</v>
      </c>
    </row>
    <row r="20238">
      <c r="A20238" s="39"/>
      <c r="E20238" s="40" t="s">
        <v>11404</v>
      </c>
      <c r="F20238" s="40" t="s">
        <v>11404</v>
      </c>
      <c r="G20238" s="40" t="s">
        <v>11404</v>
      </c>
      <c r="H20238" s="40" t="s">
        <v>11404</v>
      </c>
    </row>
    <row r="20239">
      <c r="A20239" s="39"/>
      <c r="E20239" s="40" t="s">
        <v>11404</v>
      </c>
      <c r="F20239" s="40" t="s">
        <v>11404</v>
      </c>
      <c r="G20239" s="40" t="s">
        <v>11404</v>
      </c>
      <c r="H20239" s="40" t="s">
        <v>11404</v>
      </c>
    </row>
    <row r="20240">
      <c r="A20240" s="39"/>
      <c r="E20240" s="40" t="s">
        <v>11404</v>
      </c>
      <c r="F20240" s="40" t="s">
        <v>11404</v>
      </c>
      <c r="G20240" s="40" t="s">
        <v>11404</v>
      </c>
      <c r="H20240" s="40" t="s">
        <v>11404</v>
      </c>
    </row>
    <row r="20241">
      <c r="A20241" s="39"/>
      <c r="E20241" s="40" t="s">
        <v>11404</v>
      </c>
      <c r="F20241" s="40" t="s">
        <v>11404</v>
      </c>
      <c r="G20241" s="40" t="s">
        <v>11404</v>
      </c>
      <c r="H20241" s="40" t="s">
        <v>11404</v>
      </c>
    </row>
    <row r="20242">
      <c r="A20242" s="39"/>
      <c r="E20242" s="40" t="s">
        <v>11404</v>
      </c>
      <c r="F20242" s="40" t="s">
        <v>11404</v>
      </c>
      <c r="G20242" s="40" t="s">
        <v>11404</v>
      </c>
      <c r="H20242" s="40" t="s">
        <v>11404</v>
      </c>
    </row>
    <row r="20243">
      <c r="A20243" s="39"/>
      <c r="E20243" s="40" t="s">
        <v>11404</v>
      </c>
      <c r="F20243" s="40" t="s">
        <v>11404</v>
      </c>
      <c r="G20243" s="40" t="s">
        <v>11404</v>
      </c>
      <c r="H20243" s="40" t="s">
        <v>11404</v>
      </c>
    </row>
    <row r="20244">
      <c r="A20244" s="39"/>
      <c r="E20244" s="40" t="s">
        <v>11404</v>
      </c>
      <c r="F20244" s="40" t="s">
        <v>11404</v>
      </c>
      <c r="G20244" s="40" t="s">
        <v>11404</v>
      </c>
      <c r="H20244" s="40" t="s">
        <v>11404</v>
      </c>
    </row>
    <row r="20245">
      <c r="A20245" s="39"/>
      <c r="E20245" s="40" t="s">
        <v>11404</v>
      </c>
      <c r="F20245" s="40" t="s">
        <v>11404</v>
      </c>
      <c r="G20245" s="40" t="s">
        <v>11404</v>
      </c>
      <c r="H20245" s="40" t="s">
        <v>11404</v>
      </c>
    </row>
    <row r="20246">
      <c r="A20246" s="39"/>
      <c r="E20246" s="40" t="s">
        <v>11404</v>
      </c>
      <c r="F20246" s="40" t="s">
        <v>11404</v>
      </c>
      <c r="G20246" s="40" t="s">
        <v>11404</v>
      </c>
      <c r="H20246" s="40" t="s">
        <v>11404</v>
      </c>
    </row>
    <row r="20247">
      <c r="A20247" s="39"/>
      <c r="E20247" s="40" t="s">
        <v>11404</v>
      </c>
      <c r="F20247" s="40" t="s">
        <v>11404</v>
      </c>
      <c r="G20247" s="40" t="s">
        <v>11404</v>
      </c>
      <c r="H20247" s="40" t="s">
        <v>11404</v>
      </c>
    </row>
    <row r="20248">
      <c r="A20248" s="39"/>
      <c r="E20248" s="40" t="s">
        <v>11404</v>
      </c>
      <c r="F20248" s="40" t="s">
        <v>11404</v>
      </c>
      <c r="G20248" s="40" t="s">
        <v>11404</v>
      </c>
      <c r="H20248" s="40" t="s">
        <v>11404</v>
      </c>
    </row>
    <row r="20249">
      <c r="A20249" s="39"/>
      <c r="E20249" s="40" t="s">
        <v>11404</v>
      </c>
      <c r="F20249" s="40" t="s">
        <v>11404</v>
      </c>
      <c r="G20249" s="40" t="s">
        <v>11404</v>
      </c>
      <c r="H20249" s="40" t="s">
        <v>11404</v>
      </c>
    </row>
    <row r="20250">
      <c r="A20250" s="39"/>
      <c r="E20250" s="40" t="s">
        <v>11404</v>
      </c>
      <c r="F20250" s="40" t="s">
        <v>11404</v>
      </c>
      <c r="G20250" s="40" t="s">
        <v>11404</v>
      </c>
      <c r="H20250" s="40" t="s">
        <v>11404</v>
      </c>
    </row>
    <row r="20251">
      <c r="A20251" s="39"/>
      <c r="E20251" s="40" t="s">
        <v>11404</v>
      </c>
      <c r="F20251" s="40" t="s">
        <v>11404</v>
      </c>
      <c r="G20251" s="40" t="s">
        <v>11404</v>
      </c>
      <c r="H20251" s="40" t="s">
        <v>11404</v>
      </c>
    </row>
    <row r="20252">
      <c r="A20252" s="39"/>
      <c r="E20252" s="40" t="s">
        <v>11404</v>
      </c>
      <c r="F20252" s="40" t="s">
        <v>11404</v>
      </c>
      <c r="G20252" s="40" t="s">
        <v>11404</v>
      </c>
      <c r="H20252" s="40" t="s">
        <v>11404</v>
      </c>
    </row>
    <row r="20253">
      <c r="A20253" s="39"/>
      <c r="E20253" s="40" t="s">
        <v>11404</v>
      </c>
      <c r="F20253" s="40" t="s">
        <v>11404</v>
      </c>
      <c r="G20253" s="40" t="s">
        <v>11404</v>
      </c>
      <c r="H20253" s="40" t="s">
        <v>11404</v>
      </c>
    </row>
    <row r="20254">
      <c r="A20254" s="39"/>
      <c r="E20254" s="40" t="s">
        <v>11404</v>
      </c>
      <c r="F20254" s="40" t="s">
        <v>11404</v>
      </c>
      <c r="G20254" s="40" t="s">
        <v>11404</v>
      </c>
      <c r="H20254" s="40" t="s">
        <v>11404</v>
      </c>
    </row>
    <row r="20255">
      <c r="A20255" s="39"/>
      <c r="E20255" s="40" t="s">
        <v>11404</v>
      </c>
      <c r="F20255" s="40" t="s">
        <v>11404</v>
      </c>
      <c r="G20255" s="40" t="s">
        <v>11404</v>
      </c>
      <c r="H20255" s="40" t="s">
        <v>11404</v>
      </c>
    </row>
    <row r="20256">
      <c r="A20256" s="39"/>
      <c r="E20256" s="40" t="s">
        <v>11404</v>
      </c>
      <c r="F20256" s="40" t="s">
        <v>11404</v>
      </c>
      <c r="G20256" s="40" t="s">
        <v>11404</v>
      </c>
      <c r="H20256" s="40" t="s">
        <v>11404</v>
      </c>
    </row>
    <row r="20257">
      <c r="A20257" s="39"/>
      <c r="E20257" s="40" t="s">
        <v>11404</v>
      </c>
      <c r="F20257" s="40" t="s">
        <v>11404</v>
      </c>
      <c r="G20257" s="40" t="s">
        <v>11404</v>
      </c>
      <c r="H20257" s="40" t="s">
        <v>11404</v>
      </c>
    </row>
    <row r="20258">
      <c r="A20258" s="39"/>
      <c r="E20258" s="40" t="s">
        <v>11404</v>
      </c>
      <c r="F20258" s="40" t="s">
        <v>11404</v>
      </c>
      <c r="G20258" s="40" t="s">
        <v>11404</v>
      </c>
      <c r="H20258" s="40" t="s">
        <v>11404</v>
      </c>
    </row>
    <row r="20259">
      <c r="A20259" s="39"/>
      <c r="E20259" s="40" t="s">
        <v>11404</v>
      </c>
      <c r="F20259" s="40" t="s">
        <v>11404</v>
      </c>
      <c r="G20259" s="40" t="s">
        <v>11404</v>
      </c>
      <c r="H20259" s="40" t="s">
        <v>11404</v>
      </c>
    </row>
    <row r="20260">
      <c r="A20260" s="39"/>
      <c r="E20260" s="40" t="s">
        <v>11404</v>
      </c>
      <c r="F20260" s="40" t="s">
        <v>11404</v>
      </c>
      <c r="G20260" s="40" t="s">
        <v>11404</v>
      </c>
      <c r="H20260" s="40" t="s">
        <v>11404</v>
      </c>
    </row>
    <row r="20261">
      <c r="A20261" s="39"/>
      <c r="E20261" s="40" t="s">
        <v>11404</v>
      </c>
      <c r="F20261" s="40" t="s">
        <v>11404</v>
      </c>
      <c r="G20261" s="40" t="s">
        <v>11404</v>
      </c>
      <c r="H20261" s="40" t="s">
        <v>11404</v>
      </c>
    </row>
    <row r="20262">
      <c r="A20262" s="39"/>
      <c r="E20262" s="40" t="s">
        <v>11404</v>
      </c>
      <c r="F20262" s="40" t="s">
        <v>11404</v>
      </c>
      <c r="G20262" s="40" t="s">
        <v>11404</v>
      </c>
      <c r="H20262" s="40" t="s">
        <v>11404</v>
      </c>
    </row>
    <row r="20263">
      <c r="A20263" s="39"/>
      <c r="E20263" s="40" t="s">
        <v>11404</v>
      </c>
      <c r="F20263" s="40" t="s">
        <v>11404</v>
      </c>
      <c r="G20263" s="40" t="s">
        <v>11404</v>
      </c>
      <c r="H20263" s="40" t="s">
        <v>11404</v>
      </c>
    </row>
    <row r="20264">
      <c r="A20264" s="39"/>
      <c r="E20264" s="40" t="s">
        <v>11404</v>
      </c>
      <c r="F20264" s="40" t="s">
        <v>11404</v>
      </c>
      <c r="G20264" s="40" t="s">
        <v>11404</v>
      </c>
      <c r="H20264" s="40" t="s">
        <v>11404</v>
      </c>
    </row>
    <row r="20265">
      <c r="A20265" s="39"/>
      <c r="E20265" s="40" t="s">
        <v>11404</v>
      </c>
      <c r="F20265" s="40" t="s">
        <v>11404</v>
      </c>
      <c r="G20265" s="40" t="s">
        <v>11404</v>
      </c>
      <c r="H20265" s="40" t="s">
        <v>11404</v>
      </c>
    </row>
    <row r="20266">
      <c r="A20266" s="39"/>
      <c r="E20266" s="40" t="s">
        <v>11404</v>
      </c>
      <c r="F20266" s="40" t="s">
        <v>11404</v>
      </c>
      <c r="G20266" s="40" t="s">
        <v>11404</v>
      </c>
      <c r="H20266" s="40" t="s">
        <v>11404</v>
      </c>
    </row>
    <row r="20267">
      <c r="A20267" s="39"/>
      <c r="E20267" s="40" t="s">
        <v>11404</v>
      </c>
      <c r="F20267" s="40" t="s">
        <v>11404</v>
      </c>
      <c r="G20267" s="40" t="s">
        <v>11404</v>
      </c>
      <c r="H20267" s="40" t="s">
        <v>11404</v>
      </c>
    </row>
    <row r="20268">
      <c r="A20268" s="39"/>
      <c r="E20268" s="40" t="s">
        <v>11404</v>
      </c>
      <c r="F20268" s="40" t="s">
        <v>11404</v>
      </c>
      <c r="G20268" s="40" t="s">
        <v>11404</v>
      </c>
      <c r="H20268" s="40" t="s">
        <v>11404</v>
      </c>
    </row>
    <row r="20269">
      <c r="A20269" s="39"/>
      <c r="E20269" s="40" t="s">
        <v>11404</v>
      </c>
      <c r="F20269" s="40" t="s">
        <v>11404</v>
      </c>
      <c r="G20269" s="40" t="s">
        <v>11404</v>
      </c>
      <c r="H20269" s="40" t="s">
        <v>11404</v>
      </c>
    </row>
    <row r="20270">
      <c r="A20270" s="39"/>
      <c r="E20270" s="40" t="s">
        <v>11404</v>
      </c>
      <c r="F20270" s="40" t="s">
        <v>11404</v>
      </c>
      <c r="G20270" s="40" t="s">
        <v>11404</v>
      </c>
      <c r="H20270" s="40" t="s">
        <v>11404</v>
      </c>
    </row>
    <row r="20271">
      <c r="A20271" s="39"/>
      <c r="E20271" s="40" t="s">
        <v>11404</v>
      </c>
      <c r="F20271" s="40" t="s">
        <v>11404</v>
      </c>
      <c r="G20271" s="40" t="s">
        <v>11404</v>
      </c>
      <c r="H20271" s="40" t="s">
        <v>11404</v>
      </c>
    </row>
    <row r="20272">
      <c r="A20272" s="39"/>
      <c r="E20272" s="40" t="s">
        <v>11404</v>
      </c>
      <c r="F20272" s="40" t="s">
        <v>11404</v>
      </c>
      <c r="G20272" s="40" t="s">
        <v>11404</v>
      </c>
      <c r="H20272" s="40" t="s">
        <v>11404</v>
      </c>
    </row>
    <row r="20273">
      <c r="A20273" s="39"/>
      <c r="E20273" s="40" t="s">
        <v>11404</v>
      </c>
      <c r="F20273" s="40" t="s">
        <v>11404</v>
      </c>
      <c r="G20273" s="40" t="s">
        <v>11404</v>
      </c>
      <c r="H20273" s="40" t="s">
        <v>11404</v>
      </c>
    </row>
    <row r="20274">
      <c r="A20274" s="39"/>
      <c r="E20274" s="40" t="s">
        <v>11404</v>
      </c>
      <c r="F20274" s="40" t="s">
        <v>11404</v>
      </c>
      <c r="G20274" s="40" t="s">
        <v>11404</v>
      </c>
      <c r="H20274" s="40" t="s">
        <v>11404</v>
      </c>
    </row>
    <row r="20275">
      <c r="A20275" s="39"/>
      <c r="E20275" s="40" t="s">
        <v>11404</v>
      </c>
      <c r="F20275" s="40" t="s">
        <v>11404</v>
      </c>
      <c r="G20275" s="40" t="s">
        <v>11404</v>
      </c>
      <c r="H20275" s="40" t="s">
        <v>11404</v>
      </c>
    </row>
    <row r="20276">
      <c r="A20276" s="39"/>
      <c r="E20276" s="40" t="s">
        <v>11404</v>
      </c>
      <c r="F20276" s="40" t="s">
        <v>11404</v>
      </c>
      <c r="G20276" s="40" t="s">
        <v>11404</v>
      </c>
      <c r="H20276" s="40" t="s">
        <v>11404</v>
      </c>
    </row>
    <row r="20277">
      <c r="A20277" s="39"/>
      <c r="E20277" s="40" t="s">
        <v>11404</v>
      </c>
      <c r="F20277" s="40" t="s">
        <v>11404</v>
      </c>
      <c r="G20277" s="40" t="s">
        <v>11404</v>
      </c>
      <c r="H20277" s="40" t="s">
        <v>11404</v>
      </c>
    </row>
    <row r="20278">
      <c r="A20278" s="39"/>
      <c r="E20278" s="40" t="s">
        <v>11404</v>
      </c>
      <c r="F20278" s="40" t="s">
        <v>11404</v>
      </c>
      <c r="G20278" s="40" t="s">
        <v>11404</v>
      </c>
      <c r="H20278" s="40" t="s">
        <v>11404</v>
      </c>
    </row>
    <row r="20279">
      <c r="A20279" s="39"/>
      <c r="E20279" s="40" t="s">
        <v>11404</v>
      </c>
      <c r="F20279" s="40" t="s">
        <v>11404</v>
      </c>
      <c r="G20279" s="40" t="s">
        <v>11404</v>
      </c>
      <c r="H20279" s="40" t="s">
        <v>11404</v>
      </c>
    </row>
    <row r="20280">
      <c r="A20280" s="39"/>
      <c r="E20280" s="40" t="s">
        <v>11404</v>
      </c>
      <c r="F20280" s="40" t="s">
        <v>11404</v>
      </c>
      <c r="G20280" s="40" t="s">
        <v>11404</v>
      </c>
      <c r="H20280" s="40" t="s">
        <v>11404</v>
      </c>
    </row>
    <row r="20281">
      <c r="A20281" s="39"/>
      <c r="E20281" s="40" t="s">
        <v>11404</v>
      </c>
      <c r="F20281" s="40" t="s">
        <v>11404</v>
      </c>
      <c r="G20281" s="40" t="s">
        <v>11404</v>
      </c>
      <c r="H20281" s="40" t="s">
        <v>11404</v>
      </c>
    </row>
    <row r="20282">
      <c r="A20282" s="39"/>
      <c r="E20282" s="40" t="s">
        <v>11404</v>
      </c>
      <c r="F20282" s="40" t="s">
        <v>11404</v>
      </c>
      <c r="G20282" s="40" t="s">
        <v>11404</v>
      </c>
      <c r="H20282" s="40" t="s">
        <v>11404</v>
      </c>
    </row>
    <row r="20283">
      <c r="A20283" s="39"/>
      <c r="E20283" s="40" t="s">
        <v>11404</v>
      </c>
      <c r="F20283" s="40" t="s">
        <v>11404</v>
      </c>
      <c r="G20283" s="40" t="s">
        <v>11404</v>
      </c>
      <c r="H20283" s="40" t="s">
        <v>11404</v>
      </c>
    </row>
    <row r="20284">
      <c r="A20284" s="39"/>
      <c r="E20284" s="40" t="s">
        <v>11404</v>
      </c>
      <c r="F20284" s="40" t="s">
        <v>11404</v>
      </c>
      <c r="G20284" s="40" t="s">
        <v>11404</v>
      </c>
      <c r="H20284" s="40" t="s">
        <v>11404</v>
      </c>
    </row>
    <row r="20285">
      <c r="A20285" s="39"/>
      <c r="E20285" s="40" t="s">
        <v>11404</v>
      </c>
      <c r="F20285" s="40" t="s">
        <v>11404</v>
      </c>
      <c r="G20285" s="40" t="s">
        <v>11404</v>
      </c>
      <c r="H20285" s="40" t="s">
        <v>11404</v>
      </c>
    </row>
    <row r="20286">
      <c r="A20286" s="39"/>
      <c r="E20286" s="40" t="s">
        <v>11404</v>
      </c>
      <c r="F20286" s="40" t="s">
        <v>11404</v>
      </c>
      <c r="G20286" s="40" t="s">
        <v>11404</v>
      </c>
      <c r="H20286" s="40" t="s">
        <v>11404</v>
      </c>
    </row>
    <row r="20287">
      <c r="A20287" s="39"/>
      <c r="E20287" s="40" t="s">
        <v>11404</v>
      </c>
      <c r="F20287" s="40" t="s">
        <v>11404</v>
      </c>
      <c r="G20287" s="40" t="s">
        <v>11404</v>
      </c>
      <c r="H20287" s="40" t="s">
        <v>11404</v>
      </c>
    </row>
    <row r="20288">
      <c r="A20288" s="39"/>
      <c r="E20288" s="40" t="s">
        <v>11404</v>
      </c>
      <c r="F20288" s="40" t="s">
        <v>11404</v>
      </c>
      <c r="G20288" s="40" t="s">
        <v>11404</v>
      </c>
      <c r="H20288" s="40" t="s">
        <v>11404</v>
      </c>
    </row>
    <row r="20289">
      <c r="A20289" s="39"/>
      <c r="E20289" s="40" t="s">
        <v>11404</v>
      </c>
      <c r="F20289" s="40" t="s">
        <v>11404</v>
      </c>
      <c r="G20289" s="40" t="s">
        <v>11404</v>
      </c>
      <c r="H20289" s="40" t="s">
        <v>11404</v>
      </c>
    </row>
    <row r="20290">
      <c r="A20290" s="39"/>
      <c r="E20290" s="40" t="s">
        <v>11404</v>
      </c>
      <c r="F20290" s="40" t="s">
        <v>11404</v>
      </c>
      <c r="G20290" s="40" t="s">
        <v>11404</v>
      </c>
      <c r="H20290" s="40" t="s">
        <v>11404</v>
      </c>
    </row>
    <row r="20291">
      <c r="A20291" s="39"/>
      <c r="E20291" s="40" t="s">
        <v>11404</v>
      </c>
      <c r="F20291" s="40" t="s">
        <v>11404</v>
      </c>
      <c r="G20291" s="40" t="s">
        <v>11404</v>
      </c>
      <c r="H20291" s="40" t="s">
        <v>11404</v>
      </c>
    </row>
    <row r="20292">
      <c r="A20292" s="39"/>
      <c r="E20292" s="40" t="s">
        <v>11404</v>
      </c>
      <c r="F20292" s="40" t="s">
        <v>11404</v>
      </c>
      <c r="G20292" s="40" t="s">
        <v>11404</v>
      </c>
      <c r="H20292" s="40" t="s">
        <v>11404</v>
      </c>
    </row>
    <row r="20293">
      <c r="A20293" s="39"/>
      <c r="E20293" s="40" t="s">
        <v>11404</v>
      </c>
      <c r="F20293" s="40" t="s">
        <v>11404</v>
      </c>
      <c r="G20293" s="40" t="s">
        <v>11404</v>
      </c>
      <c r="H20293" s="40" t="s">
        <v>11404</v>
      </c>
    </row>
    <row r="20294">
      <c r="A20294" s="39"/>
      <c r="E20294" s="40" t="s">
        <v>11404</v>
      </c>
      <c r="F20294" s="40" t="s">
        <v>11404</v>
      </c>
      <c r="G20294" s="40" t="s">
        <v>11404</v>
      </c>
      <c r="H20294" s="40" t="s">
        <v>11404</v>
      </c>
    </row>
    <row r="20295">
      <c r="A20295" s="39"/>
      <c r="E20295" s="40" t="s">
        <v>11404</v>
      </c>
      <c r="F20295" s="40" t="s">
        <v>11404</v>
      </c>
      <c r="G20295" s="40" t="s">
        <v>11404</v>
      </c>
      <c r="H20295" s="40" t="s">
        <v>11404</v>
      </c>
    </row>
    <row r="20296">
      <c r="A20296" s="39"/>
      <c r="E20296" s="40" t="s">
        <v>11404</v>
      </c>
      <c r="F20296" s="40" t="s">
        <v>11404</v>
      </c>
      <c r="G20296" s="40" t="s">
        <v>11404</v>
      </c>
      <c r="H20296" s="40" t="s">
        <v>11404</v>
      </c>
    </row>
    <row r="20297">
      <c r="A20297" s="39"/>
      <c r="E20297" s="40" t="s">
        <v>11404</v>
      </c>
      <c r="F20297" s="40" t="s">
        <v>11404</v>
      </c>
      <c r="G20297" s="40" t="s">
        <v>11404</v>
      </c>
      <c r="H20297" s="40" t="s">
        <v>11404</v>
      </c>
    </row>
    <row r="20298">
      <c r="A20298" s="39"/>
      <c r="E20298" s="40" t="s">
        <v>11404</v>
      </c>
      <c r="F20298" s="40" t="s">
        <v>11404</v>
      </c>
      <c r="G20298" s="40" t="s">
        <v>11404</v>
      </c>
      <c r="H20298" s="40" t="s">
        <v>11404</v>
      </c>
    </row>
    <row r="20299">
      <c r="A20299" s="39"/>
      <c r="E20299" s="40" t="s">
        <v>11404</v>
      </c>
      <c r="F20299" s="40" t="s">
        <v>11404</v>
      </c>
      <c r="G20299" s="40" t="s">
        <v>11404</v>
      </c>
      <c r="H20299" s="40" t="s">
        <v>11404</v>
      </c>
    </row>
    <row r="20300">
      <c r="A20300" s="39"/>
      <c r="E20300" s="40" t="s">
        <v>11404</v>
      </c>
      <c r="F20300" s="40" t="s">
        <v>11404</v>
      </c>
      <c r="G20300" s="40" t="s">
        <v>11404</v>
      </c>
      <c r="H20300" s="40" t="s">
        <v>11404</v>
      </c>
    </row>
    <row r="20301">
      <c r="A20301" s="39"/>
      <c r="E20301" s="40" t="s">
        <v>11404</v>
      </c>
      <c r="F20301" s="40" t="s">
        <v>11404</v>
      </c>
      <c r="G20301" s="40" t="s">
        <v>11404</v>
      </c>
      <c r="H20301" s="40" t="s">
        <v>11404</v>
      </c>
    </row>
    <row r="20302">
      <c r="A20302" s="39"/>
      <c r="E20302" s="40" t="s">
        <v>11404</v>
      </c>
      <c r="F20302" s="40" t="s">
        <v>11404</v>
      </c>
      <c r="G20302" s="40" t="s">
        <v>11404</v>
      </c>
      <c r="H20302" s="40" t="s">
        <v>11404</v>
      </c>
    </row>
    <row r="20303">
      <c r="A20303" s="39"/>
      <c r="E20303" s="40" t="s">
        <v>11404</v>
      </c>
      <c r="F20303" s="40" t="s">
        <v>11404</v>
      </c>
      <c r="G20303" s="40" t="s">
        <v>11404</v>
      </c>
      <c r="H20303" s="40" t="s">
        <v>11404</v>
      </c>
    </row>
    <row r="20304">
      <c r="A20304" s="39"/>
      <c r="E20304" s="40" t="s">
        <v>11404</v>
      </c>
      <c r="F20304" s="40" t="s">
        <v>11404</v>
      </c>
      <c r="G20304" s="40" t="s">
        <v>11404</v>
      </c>
      <c r="H20304" s="40" t="s">
        <v>11404</v>
      </c>
    </row>
    <row r="20305">
      <c r="A20305" s="39"/>
      <c r="E20305" s="40" t="s">
        <v>11404</v>
      </c>
      <c r="F20305" s="40" t="s">
        <v>11404</v>
      </c>
      <c r="G20305" s="40" t="s">
        <v>11404</v>
      </c>
      <c r="H20305" s="40" t="s">
        <v>11404</v>
      </c>
    </row>
    <row r="20306">
      <c r="A20306" s="39"/>
      <c r="E20306" s="40" t="s">
        <v>11404</v>
      </c>
      <c r="F20306" s="40" t="s">
        <v>11404</v>
      </c>
      <c r="G20306" s="40" t="s">
        <v>11404</v>
      </c>
      <c r="H20306" s="40" t="s">
        <v>11404</v>
      </c>
    </row>
    <row r="20307">
      <c r="A20307" s="39"/>
      <c r="E20307" s="40" t="s">
        <v>11404</v>
      </c>
      <c r="F20307" s="40" t="s">
        <v>11404</v>
      </c>
      <c r="G20307" s="40" t="s">
        <v>11404</v>
      </c>
      <c r="H20307" s="40" t="s">
        <v>11404</v>
      </c>
    </row>
    <row r="20308">
      <c r="A20308" s="39"/>
      <c r="E20308" s="40" t="s">
        <v>11404</v>
      </c>
      <c r="F20308" s="40" t="s">
        <v>11404</v>
      </c>
      <c r="G20308" s="40" t="s">
        <v>11404</v>
      </c>
      <c r="H20308" s="40" t="s">
        <v>11404</v>
      </c>
    </row>
    <row r="20309">
      <c r="A20309" s="39"/>
      <c r="E20309" s="40" t="s">
        <v>11404</v>
      </c>
      <c r="F20309" s="40" t="s">
        <v>11404</v>
      </c>
      <c r="G20309" s="40" t="s">
        <v>11404</v>
      </c>
      <c r="H20309" s="40" t="s">
        <v>11404</v>
      </c>
    </row>
    <row r="20310">
      <c r="A20310" s="39"/>
      <c r="E20310" s="40" t="s">
        <v>11404</v>
      </c>
      <c r="F20310" s="40" t="s">
        <v>11404</v>
      </c>
      <c r="G20310" s="40" t="s">
        <v>11404</v>
      </c>
      <c r="H20310" s="40" t="s">
        <v>11404</v>
      </c>
    </row>
    <row r="20311">
      <c r="A20311" s="39"/>
      <c r="E20311" s="40" t="s">
        <v>11404</v>
      </c>
      <c r="F20311" s="40" t="s">
        <v>11404</v>
      </c>
      <c r="G20311" s="40" t="s">
        <v>11404</v>
      </c>
      <c r="H20311" s="40" t="s">
        <v>11404</v>
      </c>
    </row>
    <row r="20312">
      <c r="A20312" s="39"/>
      <c r="E20312" s="40" t="s">
        <v>11404</v>
      </c>
      <c r="F20312" s="40" t="s">
        <v>11404</v>
      </c>
      <c r="G20312" s="40" t="s">
        <v>11404</v>
      </c>
      <c r="H20312" s="40" t="s">
        <v>11404</v>
      </c>
    </row>
    <row r="20313">
      <c r="A20313" s="39"/>
      <c r="E20313" s="40" t="s">
        <v>11404</v>
      </c>
      <c r="F20313" s="40" t="s">
        <v>11404</v>
      </c>
      <c r="G20313" s="40" t="s">
        <v>11404</v>
      </c>
      <c r="H20313" s="40" t="s">
        <v>11404</v>
      </c>
    </row>
    <row r="20314">
      <c r="A20314" s="39"/>
      <c r="E20314" s="40" t="s">
        <v>11404</v>
      </c>
      <c r="F20314" s="40" t="s">
        <v>11404</v>
      </c>
      <c r="G20314" s="40" t="s">
        <v>11404</v>
      </c>
      <c r="H20314" s="40" t="s">
        <v>11404</v>
      </c>
    </row>
    <row r="20315">
      <c r="A20315" s="39"/>
      <c r="E20315" s="40" t="s">
        <v>11404</v>
      </c>
      <c r="F20315" s="40" t="s">
        <v>11404</v>
      </c>
      <c r="G20315" s="40" t="s">
        <v>11404</v>
      </c>
      <c r="H20315" s="40" t="s">
        <v>11404</v>
      </c>
    </row>
    <row r="20316">
      <c r="A20316" s="39"/>
      <c r="E20316" s="40" t="s">
        <v>11404</v>
      </c>
      <c r="F20316" s="40" t="s">
        <v>11404</v>
      </c>
      <c r="G20316" s="40" t="s">
        <v>11404</v>
      </c>
      <c r="H20316" s="40" t="s">
        <v>11404</v>
      </c>
    </row>
    <row r="20317">
      <c r="A20317" s="39"/>
      <c r="E20317" s="40" t="s">
        <v>11404</v>
      </c>
      <c r="F20317" s="40" t="s">
        <v>11404</v>
      </c>
      <c r="G20317" s="40" t="s">
        <v>11404</v>
      </c>
      <c r="H20317" s="40" t="s">
        <v>11404</v>
      </c>
    </row>
    <row r="20318">
      <c r="A20318" s="39"/>
      <c r="E20318" s="40" t="s">
        <v>11404</v>
      </c>
      <c r="F20318" s="40" t="s">
        <v>11404</v>
      </c>
      <c r="G20318" s="40" t="s">
        <v>11404</v>
      </c>
      <c r="H20318" s="40" t="s">
        <v>11404</v>
      </c>
    </row>
    <row r="20319">
      <c r="A20319" s="39"/>
      <c r="E20319" s="40" t="s">
        <v>11404</v>
      </c>
      <c r="F20319" s="40" t="s">
        <v>11404</v>
      </c>
      <c r="G20319" s="40" t="s">
        <v>11404</v>
      </c>
      <c r="H20319" s="40" t="s">
        <v>11404</v>
      </c>
    </row>
    <row r="20320">
      <c r="A20320" s="39"/>
      <c r="E20320" s="40" t="s">
        <v>11404</v>
      </c>
      <c r="F20320" s="40" t="s">
        <v>11404</v>
      </c>
      <c r="G20320" s="40" t="s">
        <v>11404</v>
      </c>
      <c r="H20320" s="40" t="s">
        <v>11404</v>
      </c>
    </row>
    <row r="20321">
      <c r="A20321" s="39"/>
      <c r="E20321" s="40" t="s">
        <v>11404</v>
      </c>
      <c r="F20321" s="40" t="s">
        <v>11404</v>
      </c>
      <c r="G20321" s="40" t="s">
        <v>11404</v>
      </c>
      <c r="H20321" s="40" t="s">
        <v>11404</v>
      </c>
    </row>
    <row r="20322">
      <c r="A20322" s="39"/>
      <c r="E20322" s="40" t="s">
        <v>11404</v>
      </c>
      <c r="F20322" s="40" t="s">
        <v>11404</v>
      </c>
      <c r="G20322" s="40" t="s">
        <v>11404</v>
      </c>
      <c r="H20322" s="40" t="s">
        <v>11404</v>
      </c>
    </row>
    <row r="20323">
      <c r="A20323" s="39"/>
      <c r="E20323" s="40" t="s">
        <v>11404</v>
      </c>
      <c r="F20323" s="40" t="s">
        <v>11404</v>
      </c>
      <c r="G20323" s="40" t="s">
        <v>11404</v>
      </c>
      <c r="H20323" s="40" t="s">
        <v>11404</v>
      </c>
    </row>
    <row r="20324">
      <c r="A20324" s="39"/>
      <c r="E20324" s="40" t="s">
        <v>11404</v>
      </c>
      <c r="F20324" s="40" t="s">
        <v>11404</v>
      </c>
      <c r="G20324" s="40" t="s">
        <v>11404</v>
      </c>
      <c r="H20324" s="40" t="s">
        <v>11404</v>
      </c>
    </row>
    <row r="20325">
      <c r="A20325" s="39"/>
      <c r="E20325" s="40" t="s">
        <v>11404</v>
      </c>
      <c r="F20325" s="40" t="s">
        <v>11404</v>
      </c>
      <c r="G20325" s="40" t="s">
        <v>11404</v>
      </c>
      <c r="H20325" s="40" t="s">
        <v>11404</v>
      </c>
    </row>
    <row r="20326">
      <c r="A20326" s="39"/>
      <c r="E20326" s="40" t="s">
        <v>11404</v>
      </c>
      <c r="F20326" s="40" t="s">
        <v>11404</v>
      </c>
      <c r="G20326" s="40" t="s">
        <v>11404</v>
      </c>
      <c r="H20326" s="40" t="s">
        <v>11404</v>
      </c>
    </row>
    <row r="20327">
      <c r="A20327" s="39"/>
      <c r="E20327" s="40" t="s">
        <v>11404</v>
      </c>
      <c r="F20327" s="40" t="s">
        <v>11404</v>
      </c>
      <c r="G20327" s="40" t="s">
        <v>11404</v>
      </c>
      <c r="H20327" s="40" t="s">
        <v>11404</v>
      </c>
    </row>
    <row r="20328">
      <c r="A20328" s="39"/>
      <c r="E20328" s="40" t="s">
        <v>11404</v>
      </c>
      <c r="F20328" s="40" t="s">
        <v>11404</v>
      </c>
      <c r="G20328" s="40" t="s">
        <v>11404</v>
      </c>
      <c r="H20328" s="40" t="s">
        <v>11404</v>
      </c>
    </row>
    <row r="20329">
      <c r="A20329" s="39"/>
      <c r="E20329" s="40" t="s">
        <v>11404</v>
      </c>
      <c r="F20329" s="40" t="s">
        <v>11404</v>
      </c>
      <c r="G20329" s="40" t="s">
        <v>11404</v>
      </c>
      <c r="H20329" s="40" t="s">
        <v>11404</v>
      </c>
    </row>
    <row r="20330">
      <c r="A20330" s="39"/>
      <c r="E20330" s="40" t="s">
        <v>11404</v>
      </c>
      <c r="F20330" s="40" t="s">
        <v>11404</v>
      </c>
      <c r="G20330" s="40" t="s">
        <v>11404</v>
      </c>
      <c r="H20330" s="40" t="s">
        <v>11404</v>
      </c>
    </row>
    <row r="20331">
      <c r="A20331" s="39"/>
      <c r="E20331" s="40" t="s">
        <v>11404</v>
      </c>
      <c r="F20331" s="40" t="s">
        <v>11404</v>
      </c>
      <c r="G20331" s="40" t="s">
        <v>11404</v>
      </c>
      <c r="H20331" s="40" t="s">
        <v>11404</v>
      </c>
    </row>
    <row r="20332">
      <c r="A20332" s="39"/>
      <c r="E20332" s="40" t="s">
        <v>11404</v>
      </c>
      <c r="F20332" s="40" t="s">
        <v>11404</v>
      </c>
      <c r="G20332" s="40" t="s">
        <v>11404</v>
      </c>
      <c r="H20332" s="40" t="s">
        <v>11404</v>
      </c>
    </row>
    <row r="20333">
      <c r="A20333" s="39"/>
      <c r="E20333" s="40" t="s">
        <v>11404</v>
      </c>
      <c r="F20333" s="40" t="s">
        <v>11404</v>
      </c>
      <c r="G20333" s="40" t="s">
        <v>11404</v>
      </c>
      <c r="H20333" s="40" t="s">
        <v>11404</v>
      </c>
    </row>
    <row r="20334">
      <c r="A20334" s="39"/>
      <c r="E20334" s="40" t="s">
        <v>11404</v>
      </c>
      <c r="F20334" s="40" t="s">
        <v>11404</v>
      </c>
      <c r="G20334" s="40" t="s">
        <v>11404</v>
      </c>
      <c r="H20334" s="40" t="s">
        <v>11404</v>
      </c>
    </row>
    <row r="20335">
      <c r="A20335" s="39"/>
      <c r="E20335" s="40" t="s">
        <v>11404</v>
      </c>
      <c r="F20335" s="40" t="s">
        <v>11404</v>
      </c>
      <c r="G20335" s="40" t="s">
        <v>11404</v>
      </c>
      <c r="H20335" s="40" t="s">
        <v>11404</v>
      </c>
    </row>
    <row r="20336">
      <c r="A20336" s="39"/>
      <c r="E20336" s="40" t="s">
        <v>11404</v>
      </c>
      <c r="F20336" s="40" t="s">
        <v>11404</v>
      </c>
      <c r="G20336" s="40" t="s">
        <v>11404</v>
      </c>
      <c r="H20336" s="40" t="s">
        <v>11404</v>
      </c>
    </row>
    <row r="20337">
      <c r="A20337" s="39"/>
      <c r="E20337" s="40" t="s">
        <v>11404</v>
      </c>
      <c r="F20337" s="40" t="s">
        <v>11404</v>
      </c>
      <c r="G20337" s="40" t="s">
        <v>11404</v>
      </c>
      <c r="H20337" s="40" t="s">
        <v>11404</v>
      </c>
    </row>
    <row r="20338">
      <c r="A20338" s="39"/>
      <c r="E20338" s="40" t="s">
        <v>11404</v>
      </c>
      <c r="F20338" s="40" t="s">
        <v>11404</v>
      </c>
      <c r="G20338" s="40" t="s">
        <v>11404</v>
      </c>
      <c r="H20338" s="40" t="s">
        <v>11404</v>
      </c>
    </row>
    <row r="20339">
      <c r="A20339" s="39"/>
      <c r="E20339" s="40" t="s">
        <v>11404</v>
      </c>
      <c r="F20339" s="40" t="s">
        <v>11404</v>
      </c>
      <c r="G20339" s="40" t="s">
        <v>11404</v>
      </c>
      <c r="H20339" s="40" t="s">
        <v>11404</v>
      </c>
    </row>
    <row r="20340">
      <c r="A20340" s="39"/>
      <c r="E20340" s="40" t="s">
        <v>11404</v>
      </c>
      <c r="F20340" s="40" t="s">
        <v>11404</v>
      </c>
      <c r="G20340" s="40" t="s">
        <v>11404</v>
      </c>
      <c r="H20340" s="40" t="s">
        <v>11404</v>
      </c>
    </row>
    <row r="20341">
      <c r="A20341" s="39"/>
      <c r="E20341" s="40" t="s">
        <v>11404</v>
      </c>
      <c r="F20341" s="40" t="s">
        <v>11404</v>
      </c>
      <c r="G20341" s="40" t="s">
        <v>11404</v>
      </c>
      <c r="H20341" s="40" t="s">
        <v>11404</v>
      </c>
    </row>
    <row r="20342">
      <c r="A20342" s="39"/>
      <c r="E20342" s="40" t="s">
        <v>11404</v>
      </c>
      <c r="F20342" s="40" t="s">
        <v>11404</v>
      </c>
      <c r="G20342" s="40" t="s">
        <v>11404</v>
      </c>
      <c r="H20342" s="40" t="s">
        <v>11404</v>
      </c>
    </row>
    <row r="20343">
      <c r="A20343" s="39"/>
      <c r="E20343" s="40" t="s">
        <v>11404</v>
      </c>
      <c r="F20343" s="40" t="s">
        <v>11404</v>
      </c>
      <c r="G20343" s="40" t="s">
        <v>11404</v>
      </c>
      <c r="H20343" s="40" t="s">
        <v>11404</v>
      </c>
    </row>
    <row r="20344">
      <c r="A20344" s="39"/>
      <c r="E20344" s="40" t="s">
        <v>11404</v>
      </c>
      <c r="F20344" s="40" t="s">
        <v>11404</v>
      </c>
      <c r="G20344" s="40" t="s">
        <v>11404</v>
      </c>
      <c r="H20344" s="40" t="s">
        <v>11404</v>
      </c>
    </row>
    <row r="20345">
      <c r="A20345" s="39"/>
      <c r="E20345" s="40" t="s">
        <v>11404</v>
      </c>
      <c r="F20345" s="40" t="s">
        <v>11404</v>
      </c>
      <c r="G20345" s="40" t="s">
        <v>11404</v>
      </c>
      <c r="H20345" s="40" t="s">
        <v>11404</v>
      </c>
    </row>
    <row r="20346">
      <c r="A20346" s="39"/>
      <c r="E20346" s="40" t="s">
        <v>11404</v>
      </c>
      <c r="F20346" s="40" t="s">
        <v>11404</v>
      </c>
      <c r="G20346" s="40" t="s">
        <v>11404</v>
      </c>
      <c r="H20346" s="40" t="s">
        <v>11404</v>
      </c>
    </row>
    <row r="20347">
      <c r="A20347" s="39"/>
      <c r="E20347" s="40" t="s">
        <v>11404</v>
      </c>
      <c r="F20347" s="40" t="s">
        <v>11404</v>
      </c>
      <c r="G20347" s="40" t="s">
        <v>11404</v>
      </c>
      <c r="H20347" s="40" t="s">
        <v>11404</v>
      </c>
    </row>
    <row r="20348">
      <c r="A20348" s="39"/>
      <c r="E20348" s="40" t="s">
        <v>11404</v>
      </c>
      <c r="F20348" s="40" t="s">
        <v>11404</v>
      </c>
      <c r="G20348" s="40" t="s">
        <v>11404</v>
      </c>
      <c r="H20348" s="40" t="s">
        <v>11404</v>
      </c>
    </row>
    <row r="20349">
      <c r="A20349" s="39"/>
      <c r="E20349" s="40" t="s">
        <v>11404</v>
      </c>
      <c r="F20349" s="40" t="s">
        <v>11404</v>
      </c>
      <c r="G20349" s="40" t="s">
        <v>11404</v>
      </c>
      <c r="H20349" s="40" t="s">
        <v>11404</v>
      </c>
    </row>
    <row r="20350">
      <c r="A20350" s="39"/>
      <c r="E20350" s="40" t="s">
        <v>11404</v>
      </c>
      <c r="F20350" s="40" t="s">
        <v>11404</v>
      </c>
      <c r="G20350" s="40" t="s">
        <v>11404</v>
      </c>
      <c r="H20350" s="40" t="s">
        <v>11404</v>
      </c>
    </row>
    <row r="20351">
      <c r="A20351" s="39"/>
      <c r="E20351" s="40" t="s">
        <v>11404</v>
      </c>
      <c r="F20351" s="40" t="s">
        <v>11404</v>
      </c>
      <c r="G20351" s="40" t="s">
        <v>11404</v>
      </c>
      <c r="H20351" s="40" t="s">
        <v>11404</v>
      </c>
    </row>
    <row r="20352">
      <c r="A20352" s="39"/>
      <c r="E20352" s="40" t="s">
        <v>11404</v>
      </c>
      <c r="F20352" s="40" t="s">
        <v>11404</v>
      </c>
      <c r="G20352" s="40" t="s">
        <v>11404</v>
      </c>
      <c r="H20352" s="40" t="s">
        <v>11404</v>
      </c>
    </row>
    <row r="20353">
      <c r="A20353" s="39"/>
      <c r="E20353" s="40" t="s">
        <v>11404</v>
      </c>
      <c r="F20353" s="40" t="s">
        <v>11404</v>
      </c>
      <c r="G20353" s="40" t="s">
        <v>11404</v>
      </c>
      <c r="H20353" s="40" t="s">
        <v>11404</v>
      </c>
    </row>
    <row r="20354">
      <c r="A20354" s="39"/>
      <c r="E20354" s="40" t="s">
        <v>11404</v>
      </c>
      <c r="F20354" s="40" t="s">
        <v>11404</v>
      </c>
      <c r="G20354" s="40" t="s">
        <v>11404</v>
      </c>
      <c r="H20354" s="40" t="s">
        <v>11404</v>
      </c>
    </row>
    <row r="20355">
      <c r="A20355" s="39"/>
      <c r="E20355" s="40" t="s">
        <v>11404</v>
      </c>
      <c r="F20355" s="40" t="s">
        <v>11404</v>
      </c>
      <c r="G20355" s="40" t="s">
        <v>11404</v>
      </c>
      <c r="H20355" s="40" t="s">
        <v>11404</v>
      </c>
    </row>
    <row r="20356">
      <c r="A20356" s="39"/>
      <c r="E20356" s="40" t="s">
        <v>11404</v>
      </c>
      <c r="F20356" s="40" t="s">
        <v>11404</v>
      </c>
      <c r="G20356" s="40" t="s">
        <v>11404</v>
      </c>
      <c r="H20356" s="40" t="s">
        <v>11404</v>
      </c>
    </row>
    <row r="20357">
      <c r="A20357" s="39"/>
      <c r="E20357" s="40" t="s">
        <v>11404</v>
      </c>
      <c r="F20357" s="40" t="s">
        <v>11404</v>
      </c>
      <c r="G20357" s="40" t="s">
        <v>11404</v>
      </c>
      <c r="H20357" s="40" t="s">
        <v>11404</v>
      </c>
    </row>
    <row r="20358">
      <c r="A20358" s="39"/>
      <c r="E20358" s="40" t="s">
        <v>11404</v>
      </c>
      <c r="F20358" s="40" t="s">
        <v>11404</v>
      </c>
      <c r="G20358" s="40" t="s">
        <v>11404</v>
      </c>
      <c r="H20358" s="40" t="s">
        <v>11404</v>
      </c>
    </row>
    <row r="20359">
      <c r="A20359" s="39"/>
      <c r="E20359" s="40" t="s">
        <v>11404</v>
      </c>
      <c r="F20359" s="40" t="s">
        <v>11404</v>
      </c>
      <c r="G20359" s="40" t="s">
        <v>11404</v>
      </c>
      <c r="H20359" s="40" t="s">
        <v>11404</v>
      </c>
    </row>
    <row r="20360">
      <c r="A20360" s="39"/>
      <c r="E20360" s="40" t="s">
        <v>11404</v>
      </c>
      <c r="F20360" s="40" t="s">
        <v>11404</v>
      </c>
      <c r="G20360" s="40" t="s">
        <v>11404</v>
      </c>
      <c r="H20360" s="40" t="s">
        <v>11404</v>
      </c>
    </row>
    <row r="20361">
      <c r="A20361" s="39"/>
      <c r="E20361" s="40" t="s">
        <v>11404</v>
      </c>
      <c r="F20361" s="40" t="s">
        <v>11404</v>
      </c>
      <c r="G20361" s="40" t="s">
        <v>11404</v>
      </c>
      <c r="H20361" s="40" t="s">
        <v>11404</v>
      </c>
    </row>
    <row r="20362">
      <c r="A20362" s="39"/>
      <c r="E20362" s="40" t="s">
        <v>11404</v>
      </c>
      <c r="F20362" s="40" t="s">
        <v>11404</v>
      </c>
      <c r="G20362" s="40" t="s">
        <v>11404</v>
      </c>
      <c r="H20362" s="40" t="s">
        <v>11404</v>
      </c>
    </row>
    <row r="20363">
      <c r="A20363" s="39"/>
      <c r="E20363" s="40" t="s">
        <v>11404</v>
      </c>
      <c r="F20363" s="40" t="s">
        <v>11404</v>
      </c>
      <c r="G20363" s="40" t="s">
        <v>11404</v>
      </c>
      <c r="H20363" s="40" t="s">
        <v>11404</v>
      </c>
    </row>
    <row r="20364">
      <c r="A20364" s="39"/>
      <c r="E20364" s="40" t="s">
        <v>11404</v>
      </c>
      <c r="F20364" s="40" t="s">
        <v>11404</v>
      </c>
      <c r="G20364" s="40" t="s">
        <v>11404</v>
      </c>
      <c r="H20364" s="40" t="s">
        <v>11404</v>
      </c>
    </row>
    <row r="20365">
      <c r="A20365" s="39"/>
      <c r="E20365" s="40" t="s">
        <v>11404</v>
      </c>
      <c r="F20365" s="40" t="s">
        <v>11404</v>
      </c>
      <c r="G20365" s="40" t="s">
        <v>11404</v>
      </c>
      <c r="H20365" s="40" t="s">
        <v>11404</v>
      </c>
    </row>
    <row r="20366">
      <c r="A20366" s="39"/>
      <c r="E20366" s="40" t="s">
        <v>11404</v>
      </c>
      <c r="F20366" s="40" t="s">
        <v>11404</v>
      </c>
      <c r="G20366" s="40" t="s">
        <v>11404</v>
      </c>
      <c r="H20366" s="40" t="s">
        <v>11404</v>
      </c>
    </row>
    <row r="20367">
      <c r="A20367" s="39"/>
      <c r="E20367" s="40" t="s">
        <v>11404</v>
      </c>
      <c r="F20367" s="40" t="s">
        <v>11404</v>
      </c>
      <c r="G20367" s="40" t="s">
        <v>11404</v>
      </c>
      <c r="H20367" s="40" t="s">
        <v>11404</v>
      </c>
    </row>
    <row r="20368">
      <c r="A20368" s="39"/>
      <c r="E20368" s="40" t="s">
        <v>11404</v>
      </c>
      <c r="F20368" s="40" t="s">
        <v>11404</v>
      </c>
      <c r="G20368" s="40" t="s">
        <v>11404</v>
      </c>
      <c r="H20368" s="40" t="s">
        <v>11404</v>
      </c>
    </row>
    <row r="20369">
      <c r="A20369" s="39"/>
      <c r="E20369" s="40" t="s">
        <v>11404</v>
      </c>
      <c r="F20369" s="40" t="s">
        <v>11404</v>
      </c>
      <c r="G20369" s="40" t="s">
        <v>11404</v>
      </c>
      <c r="H20369" s="40" t="s">
        <v>11404</v>
      </c>
    </row>
    <row r="20370">
      <c r="A20370" s="39"/>
      <c r="E20370" s="40" t="s">
        <v>11404</v>
      </c>
      <c r="F20370" s="40" t="s">
        <v>11404</v>
      </c>
      <c r="G20370" s="40" t="s">
        <v>11404</v>
      </c>
      <c r="H20370" s="40" t="s">
        <v>11404</v>
      </c>
    </row>
    <row r="20371">
      <c r="A20371" s="39"/>
      <c r="E20371" s="40" t="s">
        <v>11404</v>
      </c>
      <c r="F20371" s="40" t="s">
        <v>11404</v>
      </c>
      <c r="G20371" s="40" t="s">
        <v>11404</v>
      </c>
      <c r="H20371" s="40" t="s">
        <v>11404</v>
      </c>
    </row>
    <row r="20372">
      <c r="A20372" s="39"/>
      <c r="E20372" s="40" t="s">
        <v>11404</v>
      </c>
      <c r="F20372" s="40" t="s">
        <v>11404</v>
      </c>
      <c r="G20372" s="40" t="s">
        <v>11404</v>
      </c>
      <c r="H20372" s="40" t="s">
        <v>11404</v>
      </c>
    </row>
    <row r="20373">
      <c r="A20373" s="39"/>
      <c r="E20373" s="40" t="s">
        <v>11404</v>
      </c>
      <c r="F20373" s="40" t="s">
        <v>11404</v>
      </c>
      <c r="G20373" s="40" t="s">
        <v>11404</v>
      </c>
      <c r="H20373" s="40" t="s">
        <v>11404</v>
      </c>
    </row>
    <row r="20374">
      <c r="A20374" s="39"/>
      <c r="E20374" s="40" t="s">
        <v>11404</v>
      </c>
      <c r="F20374" s="40" t="s">
        <v>11404</v>
      </c>
      <c r="G20374" s="40" t="s">
        <v>11404</v>
      </c>
      <c r="H20374" s="40" t="s">
        <v>11404</v>
      </c>
    </row>
    <row r="20375">
      <c r="A20375" s="39"/>
      <c r="E20375" s="40" t="s">
        <v>11404</v>
      </c>
      <c r="F20375" s="40" t="s">
        <v>11404</v>
      </c>
      <c r="G20375" s="40" t="s">
        <v>11404</v>
      </c>
      <c r="H20375" s="40" t="s">
        <v>11404</v>
      </c>
    </row>
    <row r="20376">
      <c r="A20376" s="39"/>
      <c r="E20376" s="40" t="s">
        <v>11404</v>
      </c>
      <c r="F20376" s="40" t="s">
        <v>11404</v>
      </c>
      <c r="G20376" s="40" t="s">
        <v>11404</v>
      </c>
      <c r="H20376" s="40" t="s">
        <v>11404</v>
      </c>
    </row>
    <row r="20377">
      <c r="A20377" s="39"/>
      <c r="E20377" s="40" t="s">
        <v>11404</v>
      </c>
      <c r="F20377" s="40" t="s">
        <v>11404</v>
      </c>
      <c r="G20377" s="40" t="s">
        <v>11404</v>
      </c>
      <c r="H20377" s="40" t="s">
        <v>11404</v>
      </c>
    </row>
    <row r="20378">
      <c r="A20378" s="39"/>
      <c r="E20378" s="40" t="s">
        <v>11404</v>
      </c>
      <c r="F20378" s="40" t="s">
        <v>11404</v>
      </c>
      <c r="G20378" s="40" t="s">
        <v>11404</v>
      </c>
      <c r="H20378" s="40" t="s">
        <v>11404</v>
      </c>
    </row>
    <row r="20379">
      <c r="A20379" s="39"/>
      <c r="E20379" s="40" t="s">
        <v>11404</v>
      </c>
      <c r="F20379" s="40" t="s">
        <v>11404</v>
      </c>
      <c r="G20379" s="40" t="s">
        <v>11404</v>
      </c>
      <c r="H20379" s="40" t="s">
        <v>11404</v>
      </c>
    </row>
    <row r="20380">
      <c r="A20380" s="39"/>
      <c r="E20380" s="40" t="s">
        <v>11404</v>
      </c>
      <c r="F20380" s="40" t="s">
        <v>11404</v>
      </c>
      <c r="G20380" s="40" t="s">
        <v>11404</v>
      </c>
      <c r="H20380" s="40" t="s">
        <v>11404</v>
      </c>
    </row>
    <row r="20381">
      <c r="A20381" s="39"/>
      <c r="E20381" s="40" t="s">
        <v>11404</v>
      </c>
      <c r="F20381" s="40" t="s">
        <v>11404</v>
      </c>
      <c r="G20381" s="40" t="s">
        <v>11404</v>
      </c>
      <c r="H20381" s="40" t="s">
        <v>11404</v>
      </c>
    </row>
    <row r="20382">
      <c r="A20382" s="39"/>
      <c r="E20382" s="40" t="s">
        <v>11404</v>
      </c>
      <c r="F20382" s="40" t="s">
        <v>11404</v>
      </c>
      <c r="G20382" s="40" t="s">
        <v>11404</v>
      </c>
      <c r="H20382" s="40" t="s">
        <v>11404</v>
      </c>
    </row>
    <row r="20383">
      <c r="A20383" s="39"/>
      <c r="E20383" s="40" t="s">
        <v>11404</v>
      </c>
      <c r="F20383" s="40" t="s">
        <v>11404</v>
      </c>
      <c r="G20383" s="40" t="s">
        <v>11404</v>
      </c>
      <c r="H20383" s="40" t="s">
        <v>11404</v>
      </c>
    </row>
    <row r="20384">
      <c r="A20384" s="39"/>
      <c r="E20384" s="40" t="s">
        <v>11404</v>
      </c>
      <c r="F20384" s="40" t="s">
        <v>11404</v>
      </c>
      <c r="G20384" s="40" t="s">
        <v>11404</v>
      </c>
      <c r="H20384" s="40" t="s">
        <v>11404</v>
      </c>
    </row>
    <row r="20385">
      <c r="A20385" s="39"/>
      <c r="E20385" s="40" t="s">
        <v>11404</v>
      </c>
      <c r="F20385" s="40" t="s">
        <v>11404</v>
      </c>
      <c r="G20385" s="40" t="s">
        <v>11404</v>
      </c>
      <c r="H20385" s="40" t="s">
        <v>11404</v>
      </c>
    </row>
    <row r="20386">
      <c r="A20386" s="39"/>
      <c r="E20386" s="40" t="s">
        <v>11404</v>
      </c>
      <c r="F20386" s="40" t="s">
        <v>11404</v>
      </c>
      <c r="G20386" s="40" t="s">
        <v>11404</v>
      </c>
      <c r="H20386" s="40" t="s">
        <v>11404</v>
      </c>
    </row>
    <row r="20387">
      <c r="A20387" s="39"/>
      <c r="E20387" s="40" t="s">
        <v>11404</v>
      </c>
      <c r="F20387" s="40" t="s">
        <v>11404</v>
      </c>
      <c r="G20387" s="40" t="s">
        <v>11404</v>
      </c>
      <c r="H20387" s="40" t="s">
        <v>11404</v>
      </c>
    </row>
    <row r="20388">
      <c r="A20388" s="39"/>
      <c r="E20388" s="40" t="s">
        <v>11404</v>
      </c>
      <c r="F20388" s="40" t="s">
        <v>11404</v>
      </c>
      <c r="G20388" s="40" t="s">
        <v>11404</v>
      </c>
      <c r="H20388" s="40" t="s">
        <v>11404</v>
      </c>
    </row>
    <row r="20389">
      <c r="A20389" s="39"/>
      <c r="E20389" s="40" t="s">
        <v>11404</v>
      </c>
      <c r="F20389" s="40" t="s">
        <v>11404</v>
      </c>
      <c r="G20389" s="40" t="s">
        <v>11404</v>
      </c>
      <c r="H20389" s="40" t="s">
        <v>11404</v>
      </c>
    </row>
    <row r="20390">
      <c r="A20390" s="39"/>
      <c r="E20390" s="40" t="s">
        <v>11404</v>
      </c>
      <c r="F20390" s="40" t="s">
        <v>11404</v>
      </c>
      <c r="G20390" s="40" t="s">
        <v>11404</v>
      </c>
      <c r="H20390" s="40" t="s">
        <v>11404</v>
      </c>
    </row>
    <row r="20391">
      <c r="A20391" s="39"/>
      <c r="E20391" s="40" t="s">
        <v>11404</v>
      </c>
      <c r="F20391" s="40" t="s">
        <v>11404</v>
      </c>
      <c r="G20391" s="40" t="s">
        <v>11404</v>
      </c>
      <c r="H20391" s="40" t="s">
        <v>11404</v>
      </c>
    </row>
    <row r="20392">
      <c r="A20392" s="39"/>
      <c r="E20392" s="40" t="s">
        <v>11404</v>
      </c>
      <c r="F20392" s="40" t="s">
        <v>11404</v>
      </c>
      <c r="G20392" s="40" t="s">
        <v>11404</v>
      </c>
      <c r="H20392" s="40" t="s">
        <v>11404</v>
      </c>
    </row>
    <row r="20393">
      <c r="A20393" s="39"/>
      <c r="E20393" s="40" t="s">
        <v>11404</v>
      </c>
      <c r="F20393" s="40" t="s">
        <v>11404</v>
      </c>
      <c r="G20393" s="40" t="s">
        <v>11404</v>
      </c>
      <c r="H20393" s="40" t="s">
        <v>11404</v>
      </c>
    </row>
    <row r="20394">
      <c r="A20394" s="39"/>
      <c r="E20394" s="40" t="s">
        <v>11404</v>
      </c>
      <c r="F20394" s="40" t="s">
        <v>11404</v>
      </c>
      <c r="G20394" s="40" t="s">
        <v>11404</v>
      </c>
      <c r="H20394" s="40" t="s">
        <v>11404</v>
      </c>
    </row>
    <row r="20395">
      <c r="A20395" s="39"/>
      <c r="E20395" s="40" t="s">
        <v>11404</v>
      </c>
      <c r="F20395" s="40" t="s">
        <v>11404</v>
      </c>
      <c r="G20395" s="40" t="s">
        <v>11404</v>
      </c>
      <c r="H20395" s="40" t="s">
        <v>11404</v>
      </c>
    </row>
    <row r="20396">
      <c r="A20396" s="39"/>
      <c r="E20396" s="40" t="s">
        <v>11404</v>
      </c>
      <c r="F20396" s="40" t="s">
        <v>11404</v>
      </c>
      <c r="G20396" s="40" t="s">
        <v>11404</v>
      </c>
      <c r="H20396" s="40" t="s">
        <v>11404</v>
      </c>
    </row>
    <row r="20397">
      <c r="A20397" s="39"/>
      <c r="E20397" s="40" t="s">
        <v>11404</v>
      </c>
      <c r="F20397" s="40" t="s">
        <v>11404</v>
      </c>
      <c r="G20397" s="40" t="s">
        <v>11404</v>
      </c>
      <c r="H20397" s="40" t="s">
        <v>11404</v>
      </c>
    </row>
    <row r="20398">
      <c r="A20398" s="39"/>
      <c r="E20398" s="40" t="s">
        <v>11404</v>
      </c>
      <c r="F20398" s="40" t="s">
        <v>11404</v>
      </c>
      <c r="G20398" s="40" t="s">
        <v>11404</v>
      </c>
      <c r="H20398" s="40" t="s">
        <v>11404</v>
      </c>
    </row>
    <row r="20399">
      <c r="A20399" s="39"/>
      <c r="E20399" s="40" t="s">
        <v>11404</v>
      </c>
      <c r="F20399" s="40" t="s">
        <v>11404</v>
      </c>
      <c r="G20399" s="40" t="s">
        <v>11404</v>
      </c>
      <c r="H20399" s="40" t="s">
        <v>11404</v>
      </c>
    </row>
    <row r="20400">
      <c r="A20400" s="39"/>
      <c r="E20400" s="40" t="s">
        <v>11404</v>
      </c>
      <c r="F20400" s="40" t="s">
        <v>11404</v>
      </c>
      <c r="G20400" s="40" t="s">
        <v>11404</v>
      </c>
      <c r="H20400" s="40" t="s">
        <v>11404</v>
      </c>
    </row>
    <row r="20401">
      <c r="A20401" s="39"/>
      <c r="E20401" s="40" t="s">
        <v>11404</v>
      </c>
      <c r="F20401" s="40" t="s">
        <v>11404</v>
      </c>
      <c r="G20401" s="40" t="s">
        <v>11404</v>
      </c>
      <c r="H20401" s="40" t="s">
        <v>11404</v>
      </c>
    </row>
    <row r="20402">
      <c r="A20402" s="39"/>
      <c r="E20402" s="40" t="s">
        <v>11404</v>
      </c>
      <c r="F20402" s="40" t="s">
        <v>11404</v>
      </c>
      <c r="G20402" s="40" t="s">
        <v>11404</v>
      </c>
      <c r="H20402" s="40" t="s">
        <v>11404</v>
      </c>
    </row>
    <row r="20403">
      <c r="A20403" s="39"/>
      <c r="E20403" s="40" t="s">
        <v>11404</v>
      </c>
      <c r="F20403" s="40" t="s">
        <v>11404</v>
      </c>
      <c r="G20403" s="40" t="s">
        <v>11404</v>
      </c>
      <c r="H20403" s="40" t="s">
        <v>11404</v>
      </c>
    </row>
    <row r="20404">
      <c r="A20404" s="39"/>
      <c r="E20404" s="40" t="s">
        <v>11404</v>
      </c>
      <c r="F20404" s="40" t="s">
        <v>11404</v>
      </c>
      <c r="G20404" s="40" t="s">
        <v>11404</v>
      </c>
      <c r="H20404" s="40" t="s">
        <v>11404</v>
      </c>
    </row>
    <row r="20405">
      <c r="A20405" s="39"/>
      <c r="E20405" s="40" t="s">
        <v>11404</v>
      </c>
      <c r="F20405" s="40" t="s">
        <v>11404</v>
      </c>
      <c r="G20405" s="40" t="s">
        <v>11404</v>
      </c>
      <c r="H20405" s="40" t="s">
        <v>11404</v>
      </c>
    </row>
    <row r="20406">
      <c r="A20406" s="39"/>
      <c r="E20406" s="40" t="s">
        <v>11404</v>
      </c>
      <c r="F20406" s="40" t="s">
        <v>11404</v>
      </c>
      <c r="G20406" s="40" t="s">
        <v>11404</v>
      </c>
      <c r="H20406" s="40" t="s">
        <v>11404</v>
      </c>
    </row>
    <row r="20407">
      <c r="A20407" s="39"/>
      <c r="E20407" s="40" t="s">
        <v>11404</v>
      </c>
      <c r="F20407" s="40" t="s">
        <v>11404</v>
      </c>
      <c r="G20407" s="40" t="s">
        <v>11404</v>
      </c>
      <c r="H20407" s="40" t="s">
        <v>11404</v>
      </c>
    </row>
    <row r="20408">
      <c r="A20408" s="39"/>
      <c r="E20408" s="40" t="s">
        <v>11404</v>
      </c>
      <c r="F20408" s="40" t="s">
        <v>11404</v>
      </c>
      <c r="G20408" s="40" t="s">
        <v>11404</v>
      </c>
      <c r="H20408" s="40" t="s">
        <v>11404</v>
      </c>
    </row>
    <row r="20409">
      <c r="A20409" s="39"/>
      <c r="E20409" s="40" t="s">
        <v>11404</v>
      </c>
      <c r="F20409" s="40" t="s">
        <v>11404</v>
      </c>
      <c r="G20409" s="40" t="s">
        <v>11404</v>
      </c>
      <c r="H20409" s="40" t="s">
        <v>11404</v>
      </c>
    </row>
    <row r="20410">
      <c r="A20410" s="39"/>
      <c r="E20410" s="40" t="s">
        <v>11404</v>
      </c>
      <c r="F20410" s="40" t="s">
        <v>11404</v>
      </c>
      <c r="G20410" s="40" t="s">
        <v>11404</v>
      </c>
      <c r="H20410" s="40" t="s">
        <v>11404</v>
      </c>
    </row>
    <row r="20411">
      <c r="A20411" s="39"/>
      <c r="E20411" s="40" t="s">
        <v>11404</v>
      </c>
      <c r="F20411" s="40" t="s">
        <v>11404</v>
      </c>
      <c r="G20411" s="40" t="s">
        <v>11404</v>
      </c>
      <c r="H20411" s="40" t="s">
        <v>11404</v>
      </c>
    </row>
    <row r="20412">
      <c r="A20412" s="39"/>
      <c r="E20412" s="40" t="s">
        <v>11404</v>
      </c>
      <c r="F20412" s="40" t="s">
        <v>11404</v>
      </c>
      <c r="G20412" s="40" t="s">
        <v>11404</v>
      </c>
      <c r="H20412" s="40" t="s">
        <v>11404</v>
      </c>
    </row>
    <row r="20413">
      <c r="A20413" s="39"/>
      <c r="E20413" s="40" t="s">
        <v>11404</v>
      </c>
      <c r="F20413" s="40" t="s">
        <v>11404</v>
      </c>
      <c r="G20413" s="40" t="s">
        <v>11404</v>
      </c>
      <c r="H20413" s="40" t="s">
        <v>11404</v>
      </c>
    </row>
    <row r="20414">
      <c r="A20414" s="39"/>
      <c r="E20414" s="40" t="s">
        <v>11404</v>
      </c>
      <c r="F20414" s="40" t="s">
        <v>11404</v>
      </c>
      <c r="G20414" s="40" t="s">
        <v>11404</v>
      </c>
      <c r="H20414" s="40" t="s">
        <v>11404</v>
      </c>
    </row>
    <row r="20415">
      <c r="A20415" s="39"/>
      <c r="E20415" s="40" t="s">
        <v>11404</v>
      </c>
      <c r="F20415" s="40" t="s">
        <v>11404</v>
      </c>
      <c r="G20415" s="40" t="s">
        <v>11404</v>
      </c>
      <c r="H20415" s="40" t="s">
        <v>11404</v>
      </c>
    </row>
    <row r="20416">
      <c r="A20416" s="39"/>
      <c r="E20416" s="40" t="s">
        <v>11404</v>
      </c>
      <c r="F20416" s="40" t="s">
        <v>11404</v>
      </c>
      <c r="G20416" s="40" t="s">
        <v>11404</v>
      </c>
      <c r="H20416" s="40" t="s">
        <v>11404</v>
      </c>
    </row>
    <row r="20417">
      <c r="A20417" s="39"/>
      <c r="E20417" s="40" t="s">
        <v>11404</v>
      </c>
      <c r="F20417" s="40" t="s">
        <v>11404</v>
      </c>
      <c r="G20417" s="40" t="s">
        <v>11404</v>
      </c>
      <c r="H20417" s="40" t="s">
        <v>11404</v>
      </c>
    </row>
    <row r="20418">
      <c r="A20418" s="39"/>
      <c r="E20418" s="40" t="s">
        <v>11404</v>
      </c>
      <c r="F20418" s="40" t="s">
        <v>11404</v>
      </c>
      <c r="G20418" s="40" t="s">
        <v>11404</v>
      </c>
      <c r="H20418" s="40" t="s">
        <v>11404</v>
      </c>
    </row>
    <row r="20419">
      <c r="A20419" s="39"/>
      <c r="E20419" s="40" t="s">
        <v>11404</v>
      </c>
      <c r="F20419" s="40" t="s">
        <v>11404</v>
      </c>
      <c r="G20419" s="40" t="s">
        <v>11404</v>
      </c>
      <c r="H20419" s="40" t="s">
        <v>11404</v>
      </c>
    </row>
    <row r="20420">
      <c r="A20420" s="39"/>
      <c r="E20420" s="40" t="s">
        <v>11404</v>
      </c>
      <c r="F20420" s="40" t="s">
        <v>11404</v>
      </c>
      <c r="G20420" s="40" t="s">
        <v>11404</v>
      </c>
      <c r="H20420" s="40" t="s">
        <v>11404</v>
      </c>
    </row>
    <row r="20421">
      <c r="A20421" s="39"/>
      <c r="E20421" s="40" t="s">
        <v>11404</v>
      </c>
      <c r="F20421" s="40" t="s">
        <v>11404</v>
      </c>
      <c r="G20421" s="40" t="s">
        <v>11404</v>
      </c>
      <c r="H20421" s="40" t="s">
        <v>11404</v>
      </c>
    </row>
    <row r="20422">
      <c r="A20422" s="39"/>
      <c r="E20422" s="40" t="s">
        <v>11404</v>
      </c>
      <c r="F20422" s="40" t="s">
        <v>11404</v>
      </c>
      <c r="G20422" s="40" t="s">
        <v>11404</v>
      </c>
      <c r="H20422" s="40" t="s">
        <v>11404</v>
      </c>
    </row>
    <row r="20423">
      <c r="A20423" s="39"/>
      <c r="E20423" s="40" t="s">
        <v>11404</v>
      </c>
      <c r="F20423" s="40" t="s">
        <v>11404</v>
      </c>
      <c r="G20423" s="40" t="s">
        <v>11404</v>
      </c>
      <c r="H20423" s="40" t="s">
        <v>11404</v>
      </c>
    </row>
    <row r="20424">
      <c r="A20424" s="39"/>
      <c r="E20424" s="40" t="s">
        <v>11404</v>
      </c>
      <c r="F20424" s="40" t="s">
        <v>11404</v>
      </c>
      <c r="G20424" s="40" t="s">
        <v>11404</v>
      </c>
      <c r="H20424" s="40" t="s">
        <v>11404</v>
      </c>
    </row>
    <row r="20425">
      <c r="A20425" s="39"/>
      <c r="E20425" s="40" t="s">
        <v>11404</v>
      </c>
      <c r="F20425" s="40" t="s">
        <v>11404</v>
      </c>
      <c r="G20425" s="40" t="s">
        <v>11404</v>
      </c>
      <c r="H20425" s="40" t="s">
        <v>11404</v>
      </c>
    </row>
    <row r="20426">
      <c r="A20426" s="39"/>
      <c r="E20426" s="40" t="s">
        <v>11404</v>
      </c>
      <c r="F20426" s="40" t="s">
        <v>11404</v>
      </c>
      <c r="G20426" s="40" t="s">
        <v>11404</v>
      </c>
      <c r="H20426" s="40" t="s">
        <v>11404</v>
      </c>
    </row>
    <row r="20427">
      <c r="A20427" s="39"/>
      <c r="E20427" s="40" t="s">
        <v>11404</v>
      </c>
      <c r="F20427" s="40" t="s">
        <v>11404</v>
      </c>
      <c r="G20427" s="40" t="s">
        <v>11404</v>
      </c>
      <c r="H20427" s="40" t="s">
        <v>11404</v>
      </c>
    </row>
    <row r="20428">
      <c r="A20428" s="39"/>
      <c r="E20428" s="40" t="s">
        <v>11404</v>
      </c>
      <c r="F20428" s="40" t="s">
        <v>11404</v>
      </c>
      <c r="G20428" s="40" t="s">
        <v>11404</v>
      </c>
      <c r="H20428" s="40" t="s">
        <v>11404</v>
      </c>
    </row>
    <row r="20429">
      <c r="A20429" s="39"/>
      <c r="E20429" s="40" t="s">
        <v>11404</v>
      </c>
      <c r="F20429" s="40" t="s">
        <v>11404</v>
      </c>
      <c r="G20429" s="40" t="s">
        <v>11404</v>
      </c>
      <c r="H20429" s="40" t="s">
        <v>11404</v>
      </c>
    </row>
    <row r="20430">
      <c r="A20430" s="39"/>
      <c r="E20430" s="40" t="s">
        <v>11404</v>
      </c>
      <c r="F20430" s="40" t="s">
        <v>11404</v>
      </c>
      <c r="G20430" s="40" t="s">
        <v>11404</v>
      </c>
      <c r="H20430" s="40" t="s">
        <v>11404</v>
      </c>
    </row>
    <row r="20431">
      <c r="A20431" s="39"/>
      <c r="E20431" s="40" t="s">
        <v>11404</v>
      </c>
      <c r="F20431" s="40" t="s">
        <v>11404</v>
      </c>
      <c r="G20431" s="40" t="s">
        <v>11404</v>
      </c>
      <c r="H20431" s="40" t="s">
        <v>11404</v>
      </c>
    </row>
    <row r="20432">
      <c r="A20432" s="39"/>
      <c r="E20432" s="40" t="s">
        <v>11404</v>
      </c>
      <c r="F20432" s="40" t="s">
        <v>11404</v>
      </c>
      <c r="G20432" s="40" t="s">
        <v>11404</v>
      </c>
      <c r="H20432" s="40" t="s">
        <v>11404</v>
      </c>
    </row>
    <row r="20433">
      <c r="A20433" s="39"/>
      <c r="E20433" s="40" t="s">
        <v>11404</v>
      </c>
      <c r="F20433" s="40" t="s">
        <v>11404</v>
      </c>
      <c r="G20433" s="40" t="s">
        <v>11404</v>
      </c>
      <c r="H20433" s="40" t="s">
        <v>11404</v>
      </c>
    </row>
    <row r="20434">
      <c r="A20434" s="39"/>
      <c r="E20434" s="40" t="s">
        <v>11404</v>
      </c>
      <c r="F20434" s="40" t="s">
        <v>11404</v>
      </c>
      <c r="G20434" s="40" t="s">
        <v>11404</v>
      </c>
      <c r="H20434" s="40" t="s">
        <v>11404</v>
      </c>
    </row>
    <row r="20435">
      <c r="A20435" s="39"/>
      <c r="E20435" s="40" t="s">
        <v>11404</v>
      </c>
      <c r="F20435" s="40" t="s">
        <v>11404</v>
      </c>
      <c r="G20435" s="40" t="s">
        <v>11404</v>
      </c>
      <c r="H20435" s="40" t="s">
        <v>11404</v>
      </c>
    </row>
    <row r="20436">
      <c r="A20436" s="39"/>
      <c r="E20436" s="40" t="s">
        <v>11404</v>
      </c>
      <c r="F20436" s="40" t="s">
        <v>11404</v>
      </c>
      <c r="G20436" s="40" t="s">
        <v>11404</v>
      </c>
      <c r="H20436" s="40" t="s">
        <v>11404</v>
      </c>
    </row>
    <row r="20437">
      <c r="A20437" s="39"/>
      <c r="E20437" s="40" t="s">
        <v>11404</v>
      </c>
      <c r="F20437" s="40" t="s">
        <v>11404</v>
      </c>
      <c r="G20437" s="40" t="s">
        <v>11404</v>
      </c>
      <c r="H20437" s="40" t="s">
        <v>11404</v>
      </c>
    </row>
    <row r="20438">
      <c r="A20438" s="39"/>
      <c r="E20438" s="40" t="s">
        <v>11404</v>
      </c>
      <c r="F20438" s="40" t="s">
        <v>11404</v>
      </c>
      <c r="G20438" s="40" t="s">
        <v>11404</v>
      </c>
      <c r="H20438" s="40" t="s">
        <v>11404</v>
      </c>
    </row>
    <row r="20439">
      <c r="A20439" s="39"/>
      <c r="E20439" s="40" t="s">
        <v>11404</v>
      </c>
      <c r="F20439" s="40" t="s">
        <v>11404</v>
      </c>
      <c r="G20439" s="40" t="s">
        <v>11404</v>
      </c>
      <c r="H20439" s="40" t="s">
        <v>11404</v>
      </c>
    </row>
    <row r="20440">
      <c r="A20440" s="39"/>
      <c r="E20440" s="40" t="s">
        <v>11404</v>
      </c>
      <c r="F20440" s="40" t="s">
        <v>11404</v>
      </c>
      <c r="G20440" s="40" t="s">
        <v>11404</v>
      </c>
      <c r="H20440" s="40" t="s">
        <v>11404</v>
      </c>
    </row>
    <row r="20441">
      <c r="A20441" s="39"/>
      <c r="E20441" s="40" t="s">
        <v>11404</v>
      </c>
      <c r="F20441" s="40" t="s">
        <v>11404</v>
      </c>
      <c r="G20441" s="40" t="s">
        <v>11404</v>
      </c>
      <c r="H20441" s="40" t="s">
        <v>11404</v>
      </c>
    </row>
    <row r="20442">
      <c r="A20442" s="39"/>
      <c r="E20442" s="40" t="s">
        <v>11404</v>
      </c>
      <c r="F20442" s="40" t="s">
        <v>11404</v>
      </c>
      <c r="G20442" s="40" t="s">
        <v>11404</v>
      </c>
      <c r="H20442" s="40" t="s">
        <v>11404</v>
      </c>
    </row>
    <row r="20443">
      <c r="A20443" s="39"/>
      <c r="E20443" s="40" t="s">
        <v>11404</v>
      </c>
      <c r="F20443" s="40" t="s">
        <v>11404</v>
      </c>
      <c r="G20443" s="40" t="s">
        <v>11404</v>
      </c>
      <c r="H20443" s="40" t="s">
        <v>11404</v>
      </c>
    </row>
    <row r="20444">
      <c r="A20444" s="39"/>
      <c r="E20444" s="40" t="s">
        <v>11404</v>
      </c>
      <c r="F20444" s="40" t="s">
        <v>11404</v>
      </c>
      <c r="G20444" s="40" t="s">
        <v>11404</v>
      </c>
      <c r="H20444" s="40" t="s">
        <v>11404</v>
      </c>
    </row>
    <row r="20445">
      <c r="A20445" s="39"/>
      <c r="E20445" s="40" t="s">
        <v>11404</v>
      </c>
      <c r="F20445" s="40" t="s">
        <v>11404</v>
      </c>
      <c r="G20445" s="40" t="s">
        <v>11404</v>
      </c>
      <c r="H20445" s="40" t="s">
        <v>11404</v>
      </c>
    </row>
    <row r="20446">
      <c r="A20446" s="39"/>
      <c r="E20446" s="40" t="s">
        <v>11404</v>
      </c>
      <c r="F20446" s="40" t="s">
        <v>11404</v>
      </c>
      <c r="G20446" s="40" t="s">
        <v>11404</v>
      </c>
      <c r="H20446" s="40" t="s">
        <v>11404</v>
      </c>
    </row>
    <row r="20447">
      <c r="A20447" s="39"/>
      <c r="E20447" s="40" t="s">
        <v>11404</v>
      </c>
      <c r="F20447" s="40" t="s">
        <v>11404</v>
      </c>
      <c r="G20447" s="40" t="s">
        <v>11404</v>
      </c>
      <c r="H20447" s="40" t="s">
        <v>11404</v>
      </c>
    </row>
    <row r="20448">
      <c r="A20448" s="39"/>
      <c r="E20448" s="40" t="s">
        <v>11404</v>
      </c>
      <c r="F20448" s="40" t="s">
        <v>11404</v>
      </c>
      <c r="G20448" s="40" t="s">
        <v>11404</v>
      </c>
      <c r="H20448" s="40" t="s">
        <v>11404</v>
      </c>
    </row>
    <row r="20449">
      <c r="A20449" s="39"/>
      <c r="E20449" s="40" t="s">
        <v>11404</v>
      </c>
      <c r="F20449" s="40" t="s">
        <v>11404</v>
      </c>
      <c r="G20449" s="40" t="s">
        <v>11404</v>
      </c>
      <c r="H20449" s="40" t="s">
        <v>11404</v>
      </c>
    </row>
    <row r="20450">
      <c r="A20450" s="39"/>
      <c r="E20450" s="40" t="s">
        <v>11404</v>
      </c>
      <c r="F20450" s="40" t="s">
        <v>11404</v>
      </c>
      <c r="G20450" s="40" t="s">
        <v>11404</v>
      </c>
      <c r="H20450" s="40" t="s">
        <v>11404</v>
      </c>
    </row>
    <row r="20451">
      <c r="A20451" s="39"/>
      <c r="E20451" s="40" t="s">
        <v>11404</v>
      </c>
      <c r="F20451" s="40" t="s">
        <v>11404</v>
      </c>
      <c r="G20451" s="40" t="s">
        <v>11404</v>
      </c>
      <c r="H20451" s="40" t="s">
        <v>11404</v>
      </c>
    </row>
    <row r="20452">
      <c r="A20452" s="39"/>
      <c r="E20452" s="40" t="s">
        <v>11404</v>
      </c>
      <c r="F20452" s="40" t="s">
        <v>11404</v>
      </c>
      <c r="G20452" s="40" t="s">
        <v>11404</v>
      </c>
      <c r="H20452" s="40" t="s">
        <v>11404</v>
      </c>
    </row>
    <row r="20453">
      <c r="A20453" s="39"/>
      <c r="E20453" s="40" t="s">
        <v>11404</v>
      </c>
      <c r="F20453" s="40" t="s">
        <v>11404</v>
      </c>
      <c r="G20453" s="40" t="s">
        <v>11404</v>
      </c>
      <c r="H20453" s="40" t="s">
        <v>11404</v>
      </c>
    </row>
    <row r="20454">
      <c r="A20454" s="39"/>
      <c r="E20454" s="40" t="s">
        <v>11404</v>
      </c>
      <c r="F20454" s="40" t="s">
        <v>11404</v>
      </c>
      <c r="G20454" s="40" t="s">
        <v>11404</v>
      </c>
      <c r="H20454" s="40" t="s">
        <v>11404</v>
      </c>
    </row>
    <row r="20455">
      <c r="A20455" s="39"/>
      <c r="E20455" s="40" t="s">
        <v>11404</v>
      </c>
      <c r="F20455" s="40" t="s">
        <v>11404</v>
      </c>
      <c r="G20455" s="40" t="s">
        <v>11404</v>
      </c>
      <c r="H20455" s="40" t="s">
        <v>11404</v>
      </c>
    </row>
    <row r="20456">
      <c r="A20456" s="39"/>
      <c r="E20456" s="40" t="s">
        <v>11404</v>
      </c>
      <c r="F20456" s="40" t="s">
        <v>11404</v>
      </c>
      <c r="G20456" s="40" t="s">
        <v>11404</v>
      </c>
      <c r="H20456" s="40" t="s">
        <v>11404</v>
      </c>
    </row>
    <row r="20457">
      <c r="A20457" s="39"/>
      <c r="E20457" s="40" t="s">
        <v>11404</v>
      </c>
      <c r="F20457" s="40" t="s">
        <v>11404</v>
      </c>
      <c r="G20457" s="40" t="s">
        <v>11404</v>
      </c>
      <c r="H20457" s="40" t="s">
        <v>11404</v>
      </c>
    </row>
    <row r="20458">
      <c r="A20458" s="39"/>
      <c r="E20458" s="40" t="s">
        <v>11404</v>
      </c>
      <c r="F20458" s="40" t="s">
        <v>11404</v>
      </c>
      <c r="G20458" s="40" t="s">
        <v>11404</v>
      </c>
      <c r="H20458" s="40" t="s">
        <v>11404</v>
      </c>
    </row>
    <row r="20459">
      <c r="A20459" s="39"/>
      <c r="E20459" s="40" t="s">
        <v>11404</v>
      </c>
      <c r="F20459" s="40" t="s">
        <v>11404</v>
      </c>
      <c r="G20459" s="40" t="s">
        <v>11404</v>
      </c>
      <c r="H20459" s="40" t="s">
        <v>11404</v>
      </c>
    </row>
    <row r="20460">
      <c r="A20460" s="39"/>
      <c r="E20460" s="40" t="s">
        <v>11404</v>
      </c>
      <c r="F20460" s="40" t="s">
        <v>11404</v>
      </c>
      <c r="G20460" s="40" t="s">
        <v>11404</v>
      </c>
      <c r="H20460" s="40" t="s">
        <v>11404</v>
      </c>
    </row>
    <row r="20461">
      <c r="A20461" s="39"/>
      <c r="E20461" s="40" t="s">
        <v>11404</v>
      </c>
      <c r="F20461" s="40" t="s">
        <v>11404</v>
      </c>
      <c r="G20461" s="40" t="s">
        <v>11404</v>
      </c>
      <c r="H20461" s="40" t="s">
        <v>11404</v>
      </c>
    </row>
    <row r="20462">
      <c r="A20462" s="39"/>
      <c r="E20462" s="40" t="s">
        <v>11404</v>
      </c>
      <c r="F20462" s="40" t="s">
        <v>11404</v>
      </c>
      <c r="G20462" s="40" t="s">
        <v>11404</v>
      </c>
      <c r="H20462" s="40" t="s">
        <v>11404</v>
      </c>
    </row>
    <row r="20463">
      <c r="A20463" s="39"/>
      <c r="E20463" s="40" t="s">
        <v>11404</v>
      </c>
      <c r="F20463" s="40" t="s">
        <v>11404</v>
      </c>
      <c r="G20463" s="40" t="s">
        <v>11404</v>
      </c>
      <c r="H20463" s="40" t="s">
        <v>11404</v>
      </c>
    </row>
    <row r="20464">
      <c r="A20464" s="39"/>
      <c r="E20464" s="40" t="s">
        <v>11404</v>
      </c>
      <c r="F20464" s="40" t="s">
        <v>11404</v>
      </c>
      <c r="G20464" s="40" t="s">
        <v>11404</v>
      </c>
      <c r="H20464" s="40" t="s">
        <v>11404</v>
      </c>
    </row>
    <row r="20465">
      <c r="A20465" s="39"/>
      <c r="E20465" s="40" t="s">
        <v>11404</v>
      </c>
      <c r="F20465" s="40" t="s">
        <v>11404</v>
      </c>
      <c r="G20465" s="40" t="s">
        <v>11404</v>
      </c>
      <c r="H20465" s="40" t="s">
        <v>11404</v>
      </c>
    </row>
    <row r="20466">
      <c r="A20466" s="39"/>
      <c r="E20466" s="40" t="s">
        <v>11404</v>
      </c>
      <c r="F20466" s="40" t="s">
        <v>11404</v>
      </c>
      <c r="G20466" s="40" t="s">
        <v>11404</v>
      </c>
      <c r="H20466" s="40" t="s">
        <v>11404</v>
      </c>
    </row>
    <row r="20467">
      <c r="A20467" s="39"/>
      <c r="E20467" s="40" t="s">
        <v>11404</v>
      </c>
      <c r="F20467" s="40" t="s">
        <v>11404</v>
      </c>
      <c r="G20467" s="40" t="s">
        <v>11404</v>
      </c>
      <c r="H20467" s="40" t="s">
        <v>11404</v>
      </c>
    </row>
    <row r="20468">
      <c r="A20468" s="39"/>
      <c r="E20468" s="40" t="s">
        <v>11404</v>
      </c>
      <c r="F20468" s="40" t="s">
        <v>11404</v>
      </c>
      <c r="G20468" s="40" t="s">
        <v>11404</v>
      </c>
      <c r="H20468" s="40" t="s">
        <v>11404</v>
      </c>
    </row>
    <row r="20469">
      <c r="A20469" s="39"/>
      <c r="E20469" s="40" t="s">
        <v>11404</v>
      </c>
      <c r="F20469" s="40" t="s">
        <v>11404</v>
      </c>
      <c r="G20469" s="40" t="s">
        <v>11404</v>
      </c>
      <c r="H20469" s="40" t="s">
        <v>11404</v>
      </c>
    </row>
    <row r="20470">
      <c r="A20470" s="39"/>
      <c r="E20470" s="40" t="s">
        <v>11404</v>
      </c>
      <c r="F20470" s="40" t="s">
        <v>11404</v>
      </c>
      <c r="G20470" s="40" t="s">
        <v>11404</v>
      </c>
      <c r="H20470" s="40" t="s">
        <v>11404</v>
      </c>
    </row>
    <row r="20471">
      <c r="A20471" s="39"/>
      <c r="E20471" s="40" t="s">
        <v>11404</v>
      </c>
      <c r="F20471" s="40" t="s">
        <v>11404</v>
      </c>
      <c r="G20471" s="40" t="s">
        <v>11404</v>
      </c>
      <c r="H20471" s="40" t="s">
        <v>11404</v>
      </c>
    </row>
    <row r="20472">
      <c r="A20472" s="39"/>
      <c r="E20472" s="40" t="s">
        <v>11404</v>
      </c>
      <c r="F20472" s="40" t="s">
        <v>11404</v>
      </c>
      <c r="G20472" s="40" t="s">
        <v>11404</v>
      </c>
      <c r="H20472" s="40" t="s">
        <v>11404</v>
      </c>
    </row>
    <row r="20473">
      <c r="A20473" s="39"/>
      <c r="E20473" s="40" t="s">
        <v>11404</v>
      </c>
      <c r="F20473" s="40" t="s">
        <v>11404</v>
      </c>
      <c r="G20473" s="40" t="s">
        <v>11404</v>
      </c>
      <c r="H20473" s="40" t="s">
        <v>11404</v>
      </c>
    </row>
    <row r="20474">
      <c r="A20474" s="39"/>
      <c r="E20474" s="40" t="s">
        <v>11404</v>
      </c>
      <c r="F20474" s="40" t="s">
        <v>11404</v>
      </c>
      <c r="G20474" s="40" t="s">
        <v>11404</v>
      </c>
      <c r="H20474" s="40" t="s">
        <v>11404</v>
      </c>
    </row>
    <row r="20475">
      <c r="A20475" s="39"/>
      <c r="E20475" s="40" t="s">
        <v>11404</v>
      </c>
      <c r="F20475" s="40" t="s">
        <v>11404</v>
      </c>
      <c r="G20475" s="40" t="s">
        <v>11404</v>
      </c>
      <c r="H20475" s="40" t="s">
        <v>11404</v>
      </c>
    </row>
    <row r="20476">
      <c r="A20476" s="39"/>
      <c r="E20476" s="40" t="s">
        <v>11404</v>
      </c>
      <c r="F20476" s="40" t="s">
        <v>11404</v>
      </c>
      <c r="G20476" s="40" t="s">
        <v>11404</v>
      </c>
      <c r="H20476" s="40" t="s">
        <v>11404</v>
      </c>
    </row>
    <row r="20477">
      <c r="A20477" s="39"/>
      <c r="E20477" s="40" t="s">
        <v>11404</v>
      </c>
      <c r="F20477" s="40" t="s">
        <v>11404</v>
      </c>
      <c r="G20477" s="40" t="s">
        <v>11404</v>
      </c>
      <c r="H20477" s="40" t="s">
        <v>11404</v>
      </c>
    </row>
    <row r="20478">
      <c r="A20478" s="39"/>
      <c r="E20478" s="40" t="s">
        <v>11404</v>
      </c>
      <c r="F20478" s="40" t="s">
        <v>11404</v>
      </c>
      <c r="G20478" s="40" t="s">
        <v>11404</v>
      </c>
      <c r="H20478" s="40" t="s">
        <v>11404</v>
      </c>
    </row>
    <row r="20479">
      <c r="A20479" s="39"/>
      <c r="E20479" s="40" t="s">
        <v>11404</v>
      </c>
      <c r="F20479" s="40" t="s">
        <v>11404</v>
      </c>
      <c r="G20479" s="40" t="s">
        <v>11404</v>
      </c>
      <c r="H20479" s="40" t="s">
        <v>11404</v>
      </c>
    </row>
    <row r="20480">
      <c r="A20480" s="39"/>
      <c r="E20480" s="40" t="s">
        <v>11404</v>
      </c>
      <c r="F20480" s="40" t="s">
        <v>11404</v>
      </c>
      <c r="G20480" s="40" t="s">
        <v>11404</v>
      </c>
      <c r="H20480" s="40" t="s">
        <v>11404</v>
      </c>
    </row>
    <row r="20481">
      <c r="A20481" s="39"/>
      <c r="E20481" s="40" t="s">
        <v>11404</v>
      </c>
      <c r="F20481" s="40" t="s">
        <v>11404</v>
      </c>
      <c r="G20481" s="40" t="s">
        <v>11404</v>
      </c>
      <c r="H20481" s="40" t="s">
        <v>11404</v>
      </c>
    </row>
    <row r="20482">
      <c r="A20482" s="39"/>
      <c r="E20482" s="40" t="s">
        <v>11404</v>
      </c>
      <c r="F20482" s="40" t="s">
        <v>11404</v>
      </c>
      <c r="G20482" s="40" t="s">
        <v>11404</v>
      </c>
      <c r="H20482" s="40" t="s">
        <v>11404</v>
      </c>
    </row>
    <row r="20483">
      <c r="A20483" s="39"/>
      <c r="E20483" s="40" t="s">
        <v>11404</v>
      </c>
      <c r="F20483" s="40" t="s">
        <v>11404</v>
      </c>
      <c r="G20483" s="40" t="s">
        <v>11404</v>
      </c>
      <c r="H20483" s="40" t="s">
        <v>11404</v>
      </c>
    </row>
    <row r="20484">
      <c r="A20484" s="39"/>
      <c r="E20484" s="40" t="s">
        <v>11404</v>
      </c>
      <c r="F20484" s="40" t="s">
        <v>11404</v>
      </c>
      <c r="G20484" s="40" t="s">
        <v>11404</v>
      </c>
      <c r="H20484" s="40" t="s">
        <v>11404</v>
      </c>
    </row>
    <row r="20485">
      <c r="A20485" s="39"/>
      <c r="E20485" s="40" t="s">
        <v>11404</v>
      </c>
      <c r="F20485" s="40" t="s">
        <v>11404</v>
      </c>
      <c r="G20485" s="40" t="s">
        <v>11404</v>
      </c>
      <c r="H20485" s="40" t="s">
        <v>11404</v>
      </c>
    </row>
    <row r="20486">
      <c r="A20486" s="39"/>
      <c r="E20486" s="40" t="s">
        <v>11404</v>
      </c>
      <c r="F20486" s="40" t="s">
        <v>11404</v>
      </c>
      <c r="G20486" s="40" t="s">
        <v>11404</v>
      </c>
      <c r="H20486" s="40" t="s">
        <v>11404</v>
      </c>
    </row>
    <row r="20487">
      <c r="A20487" s="39"/>
      <c r="E20487" s="40" t="s">
        <v>11404</v>
      </c>
      <c r="F20487" s="40" t="s">
        <v>11404</v>
      </c>
      <c r="G20487" s="40" t="s">
        <v>11404</v>
      </c>
      <c r="H20487" s="40" t="s">
        <v>11404</v>
      </c>
    </row>
    <row r="20488">
      <c r="A20488" s="39"/>
      <c r="E20488" s="40" t="s">
        <v>11404</v>
      </c>
      <c r="F20488" s="40" t="s">
        <v>11404</v>
      </c>
      <c r="G20488" s="40" t="s">
        <v>11404</v>
      </c>
      <c r="H20488" s="40" t="s">
        <v>11404</v>
      </c>
    </row>
    <row r="20489">
      <c r="A20489" s="39"/>
      <c r="E20489" s="40" t="s">
        <v>11404</v>
      </c>
      <c r="F20489" s="40" t="s">
        <v>11404</v>
      </c>
      <c r="G20489" s="40" t="s">
        <v>11404</v>
      </c>
      <c r="H20489" s="40" t="s">
        <v>11404</v>
      </c>
    </row>
    <row r="20490">
      <c r="A20490" s="39"/>
      <c r="E20490" s="40" t="s">
        <v>11404</v>
      </c>
      <c r="F20490" s="40" t="s">
        <v>11404</v>
      </c>
      <c r="G20490" s="40" t="s">
        <v>11404</v>
      </c>
      <c r="H20490" s="40" t="s">
        <v>11404</v>
      </c>
    </row>
    <row r="20491">
      <c r="A20491" s="39"/>
      <c r="E20491" s="40" t="s">
        <v>11404</v>
      </c>
      <c r="F20491" s="40" t="s">
        <v>11404</v>
      </c>
      <c r="G20491" s="40" t="s">
        <v>11404</v>
      </c>
      <c r="H20491" s="40" t="s">
        <v>11404</v>
      </c>
    </row>
    <row r="20492">
      <c r="A20492" s="39"/>
      <c r="E20492" s="40" t="s">
        <v>11404</v>
      </c>
      <c r="F20492" s="40" t="s">
        <v>11404</v>
      </c>
      <c r="G20492" s="40" t="s">
        <v>11404</v>
      </c>
      <c r="H20492" s="40" t="s">
        <v>11404</v>
      </c>
    </row>
    <row r="20493">
      <c r="A20493" s="39"/>
      <c r="E20493" s="40" t="s">
        <v>11404</v>
      </c>
      <c r="F20493" s="40" t="s">
        <v>11404</v>
      </c>
      <c r="G20493" s="40" t="s">
        <v>11404</v>
      </c>
      <c r="H20493" s="40" t="s">
        <v>11404</v>
      </c>
    </row>
    <row r="20494">
      <c r="A20494" s="39"/>
      <c r="E20494" s="40" t="s">
        <v>11404</v>
      </c>
      <c r="F20494" s="40" t="s">
        <v>11404</v>
      </c>
      <c r="G20494" s="40" t="s">
        <v>11404</v>
      </c>
      <c r="H20494" s="40" t="s">
        <v>11404</v>
      </c>
    </row>
    <row r="20495">
      <c r="A20495" s="39"/>
      <c r="E20495" s="40" t="s">
        <v>11404</v>
      </c>
      <c r="F20495" s="40" t="s">
        <v>11404</v>
      </c>
      <c r="G20495" s="40" t="s">
        <v>11404</v>
      </c>
      <c r="H20495" s="40" t="s">
        <v>11404</v>
      </c>
    </row>
    <row r="20496">
      <c r="A20496" s="39"/>
      <c r="E20496" s="40" t="s">
        <v>11404</v>
      </c>
      <c r="F20496" s="40" t="s">
        <v>11404</v>
      </c>
      <c r="G20496" s="40" t="s">
        <v>11404</v>
      </c>
      <c r="H20496" s="40" t="s">
        <v>11404</v>
      </c>
    </row>
    <row r="20497">
      <c r="A20497" s="39"/>
      <c r="E20497" s="40" t="s">
        <v>11404</v>
      </c>
      <c r="F20497" s="40" t="s">
        <v>11404</v>
      </c>
      <c r="G20497" s="40" t="s">
        <v>11404</v>
      </c>
      <c r="H20497" s="40" t="s">
        <v>11404</v>
      </c>
    </row>
    <row r="20498">
      <c r="A20498" s="39"/>
      <c r="E20498" s="40" t="s">
        <v>11404</v>
      </c>
      <c r="F20498" s="40" t="s">
        <v>11404</v>
      </c>
      <c r="G20498" s="40" t="s">
        <v>11404</v>
      </c>
      <c r="H20498" s="40" t="s">
        <v>11404</v>
      </c>
    </row>
    <row r="20499">
      <c r="A20499" s="39"/>
      <c r="E20499" s="40" t="s">
        <v>11404</v>
      </c>
      <c r="F20499" s="40" t="s">
        <v>11404</v>
      </c>
      <c r="G20499" s="40" t="s">
        <v>11404</v>
      </c>
      <c r="H20499" s="40" t="s">
        <v>11404</v>
      </c>
    </row>
    <row r="20500">
      <c r="A20500" s="39"/>
      <c r="E20500" s="40" t="s">
        <v>11404</v>
      </c>
      <c r="F20500" s="40" t="s">
        <v>11404</v>
      </c>
      <c r="G20500" s="40" t="s">
        <v>11404</v>
      </c>
      <c r="H20500" s="40" t="s">
        <v>11404</v>
      </c>
    </row>
    <row r="20501">
      <c r="A20501" s="39"/>
      <c r="E20501" s="40" t="s">
        <v>11404</v>
      </c>
      <c r="F20501" s="40" t="s">
        <v>11404</v>
      </c>
      <c r="G20501" s="40" t="s">
        <v>11404</v>
      </c>
      <c r="H20501" s="40" t="s">
        <v>11404</v>
      </c>
    </row>
    <row r="20502">
      <c r="A20502" s="39"/>
      <c r="E20502" s="40" t="s">
        <v>11404</v>
      </c>
      <c r="F20502" s="40" t="s">
        <v>11404</v>
      </c>
      <c r="G20502" s="40" t="s">
        <v>11404</v>
      </c>
      <c r="H20502" s="40" t="s">
        <v>11404</v>
      </c>
    </row>
    <row r="20503">
      <c r="A20503" s="39"/>
      <c r="E20503" s="40" t="s">
        <v>11404</v>
      </c>
      <c r="F20503" s="40" t="s">
        <v>11404</v>
      </c>
      <c r="G20503" s="40" t="s">
        <v>11404</v>
      </c>
      <c r="H20503" s="40" t="s">
        <v>11404</v>
      </c>
    </row>
    <row r="20504">
      <c r="A20504" s="39"/>
      <c r="E20504" s="40" t="s">
        <v>11404</v>
      </c>
      <c r="F20504" s="40" t="s">
        <v>11404</v>
      </c>
      <c r="G20504" s="40" t="s">
        <v>11404</v>
      </c>
      <c r="H20504" s="40" t="s">
        <v>11404</v>
      </c>
    </row>
    <row r="20505">
      <c r="A20505" s="39"/>
      <c r="E20505" s="40" t="s">
        <v>11404</v>
      </c>
      <c r="F20505" s="40" t="s">
        <v>11404</v>
      </c>
      <c r="G20505" s="40" t="s">
        <v>11404</v>
      </c>
      <c r="H20505" s="40" t="s">
        <v>11404</v>
      </c>
    </row>
    <row r="20506">
      <c r="A20506" s="39"/>
      <c r="E20506" s="40" t="s">
        <v>11404</v>
      </c>
      <c r="F20506" s="40" t="s">
        <v>11404</v>
      </c>
      <c r="G20506" s="40" t="s">
        <v>11404</v>
      </c>
      <c r="H20506" s="40" t="s">
        <v>11404</v>
      </c>
    </row>
    <row r="20507">
      <c r="A20507" s="39"/>
      <c r="E20507" s="40" t="s">
        <v>11404</v>
      </c>
      <c r="F20507" s="40" t="s">
        <v>11404</v>
      </c>
      <c r="G20507" s="40" t="s">
        <v>11404</v>
      </c>
      <c r="H20507" s="40" t="s">
        <v>11404</v>
      </c>
    </row>
    <row r="20508">
      <c r="A20508" s="39"/>
      <c r="E20508" s="40" t="s">
        <v>11404</v>
      </c>
      <c r="F20508" s="40" t="s">
        <v>11404</v>
      </c>
      <c r="G20508" s="40" t="s">
        <v>11404</v>
      </c>
      <c r="H20508" s="40" t="s">
        <v>11404</v>
      </c>
    </row>
    <row r="20509">
      <c r="A20509" s="39"/>
      <c r="E20509" s="40" t="s">
        <v>11404</v>
      </c>
      <c r="F20509" s="40" t="s">
        <v>11404</v>
      </c>
      <c r="G20509" s="40" t="s">
        <v>11404</v>
      </c>
      <c r="H20509" s="40" t="s">
        <v>11404</v>
      </c>
    </row>
    <row r="20510">
      <c r="A20510" s="39"/>
      <c r="E20510" s="40" t="s">
        <v>11404</v>
      </c>
      <c r="F20510" s="40" t="s">
        <v>11404</v>
      </c>
      <c r="G20510" s="40" t="s">
        <v>11404</v>
      </c>
      <c r="H20510" s="40" t="s">
        <v>11404</v>
      </c>
    </row>
    <row r="20511">
      <c r="A20511" s="39"/>
      <c r="E20511" s="40" t="s">
        <v>11404</v>
      </c>
      <c r="F20511" s="40" t="s">
        <v>11404</v>
      </c>
      <c r="G20511" s="40" t="s">
        <v>11404</v>
      </c>
      <c r="H20511" s="40" t="s">
        <v>11404</v>
      </c>
    </row>
    <row r="20512">
      <c r="A20512" s="39"/>
      <c r="E20512" s="40" t="s">
        <v>11404</v>
      </c>
      <c r="F20512" s="40" t="s">
        <v>11404</v>
      </c>
      <c r="G20512" s="40" t="s">
        <v>11404</v>
      </c>
      <c r="H20512" s="40" t="s">
        <v>11404</v>
      </c>
    </row>
    <row r="20513">
      <c r="A20513" s="39"/>
      <c r="E20513" s="40" t="s">
        <v>11404</v>
      </c>
      <c r="F20513" s="40" t="s">
        <v>11404</v>
      </c>
      <c r="G20513" s="40" t="s">
        <v>11404</v>
      </c>
      <c r="H20513" s="40" t="s">
        <v>11404</v>
      </c>
    </row>
    <row r="20514">
      <c r="A20514" s="39"/>
      <c r="E20514" s="40" t="s">
        <v>11404</v>
      </c>
      <c r="F20514" s="40" t="s">
        <v>11404</v>
      </c>
      <c r="G20514" s="40" t="s">
        <v>11404</v>
      </c>
      <c r="H20514" s="40" t="s">
        <v>11404</v>
      </c>
    </row>
    <row r="20515">
      <c r="A20515" s="39"/>
      <c r="E20515" s="40" t="s">
        <v>11404</v>
      </c>
      <c r="F20515" s="40" t="s">
        <v>11404</v>
      </c>
      <c r="G20515" s="40" t="s">
        <v>11404</v>
      </c>
      <c r="H20515" s="40" t="s">
        <v>11404</v>
      </c>
    </row>
    <row r="20516">
      <c r="A20516" s="39"/>
      <c r="E20516" s="40" t="s">
        <v>11404</v>
      </c>
      <c r="F20516" s="40" t="s">
        <v>11404</v>
      </c>
      <c r="G20516" s="40" t="s">
        <v>11404</v>
      </c>
      <c r="H20516" s="40" t="s">
        <v>11404</v>
      </c>
    </row>
    <row r="20517">
      <c r="A20517" s="39"/>
      <c r="E20517" s="40" t="s">
        <v>11404</v>
      </c>
      <c r="F20517" s="40" t="s">
        <v>11404</v>
      </c>
      <c r="G20517" s="40" t="s">
        <v>11404</v>
      </c>
      <c r="H20517" s="40" t="s">
        <v>11404</v>
      </c>
    </row>
    <row r="20518">
      <c r="A20518" s="39"/>
      <c r="E20518" s="40" t="s">
        <v>11404</v>
      </c>
      <c r="F20518" s="40" t="s">
        <v>11404</v>
      </c>
      <c r="G20518" s="40" t="s">
        <v>11404</v>
      </c>
      <c r="H20518" s="40" t="s">
        <v>11404</v>
      </c>
    </row>
    <row r="20519">
      <c r="A20519" s="39"/>
      <c r="E20519" s="40" t="s">
        <v>11404</v>
      </c>
      <c r="F20519" s="40" t="s">
        <v>11404</v>
      </c>
      <c r="G20519" s="40" t="s">
        <v>11404</v>
      </c>
      <c r="H20519" s="40" t="s">
        <v>11404</v>
      </c>
    </row>
    <row r="20520">
      <c r="A20520" s="39"/>
      <c r="E20520" s="40" t="s">
        <v>11404</v>
      </c>
      <c r="F20520" s="40" t="s">
        <v>11404</v>
      </c>
      <c r="G20520" s="40" t="s">
        <v>11404</v>
      </c>
      <c r="H20520" s="40" t="s">
        <v>11404</v>
      </c>
    </row>
    <row r="20521">
      <c r="A20521" s="39"/>
      <c r="E20521" s="40" t="s">
        <v>11404</v>
      </c>
      <c r="F20521" s="40" t="s">
        <v>11404</v>
      </c>
      <c r="G20521" s="40" t="s">
        <v>11404</v>
      </c>
      <c r="H20521" s="40" t="s">
        <v>11404</v>
      </c>
    </row>
    <row r="20522">
      <c r="A20522" s="39"/>
      <c r="E20522" s="40" t="s">
        <v>11404</v>
      </c>
      <c r="F20522" s="40" t="s">
        <v>11404</v>
      </c>
      <c r="G20522" s="40" t="s">
        <v>11404</v>
      </c>
      <c r="H20522" s="40" t="s">
        <v>11404</v>
      </c>
    </row>
    <row r="20523">
      <c r="A20523" s="39"/>
      <c r="E20523" s="40" t="s">
        <v>11404</v>
      </c>
      <c r="F20523" s="40" t="s">
        <v>11404</v>
      </c>
      <c r="G20523" s="40" t="s">
        <v>11404</v>
      </c>
      <c r="H20523" s="40" t="s">
        <v>11404</v>
      </c>
    </row>
    <row r="20524">
      <c r="A20524" s="39"/>
      <c r="E20524" s="40" t="s">
        <v>11404</v>
      </c>
      <c r="F20524" s="40" t="s">
        <v>11404</v>
      </c>
      <c r="G20524" s="40" t="s">
        <v>11404</v>
      </c>
      <c r="H20524" s="40" t="s">
        <v>11404</v>
      </c>
    </row>
    <row r="20525">
      <c r="A20525" s="39"/>
      <c r="E20525" s="40" t="s">
        <v>11404</v>
      </c>
      <c r="F20525" s="40" t="s">
        <v>11404</v>
      </c>
      <c r="G20525" s="40" t="s">
        <v>11404</v>
      </c>
      <c r="H20525" s="40" t="s">
        <v>11404</v>
      </c>
    </row>
    <row r="20526">
      <c r="A20526" s="39"/>
      <c r="E20526" s="40" t="s">
        <v>11404</v>
      </c>
      <c r="F20526" s="40" t="s">
        <v>11404</v>
      </c>
      <c r="G20526" s="40" t="s">
        <v>11404</v>
      </c>
      <c r="H20526" s="40" t="s">
        <v>11404</v>
      </c>
    </row>
    <row r="20527">
      <c r="A20527" s="39"/>
      <c r="E20527" s="40" t="s">
        <v>11404</v>
      </c>
      <c r="F20527" s="40" t="s">
        <v>11404</v>
      </c>
      <c r="G20527" s="40" t="s">
        <v>11404</v>
      </c>
      <c r="H20527" s="40" t="s">
        <v>11404</v>
      </c>
    </row>
    <row r="20528">
      <c r="A20528" s="39"/>
      <c r="E20528" s="40" t="s">
        <v>11404</v>
      </c>
      <c r="F20528" s="40" t="s">
        <v>11404</v>
      </c>
      <c r="G20528" s="40" t="s">
        <v>11404</v>
      </c>
      <c r="H20528" s="40" t="s">
        <v>11404</v>
      </c>
    </row>
    <row r="20529">
      <c r="A20529" s="39"/>
      <c r="E20529" s="40" t="s">
        <v>11404</v>
      </c>
      <c r="F20529" s="40" t="s">
        <v>11404</v>
      </c>
      <c r="G20529" s="40" t="s">
        <v>11404</v>
      </c>
      <c r="H20529" s="40" t="s">
        <v>11404</v>
      </c>
    </row>
    <row r="20530">
      <c r="A20530" s="39"/>
      <c r="E20530" s="40" t="s">
        <v>11404</v>
      </c>
      <c r="F20530" s="40" t="s">
        <v>11404</v>
      </c>
      <c r="G20530" s="40" t="s">
        <v>11404</v>
      </c>
      <c r="H20530" s="40" t="s">
        <v>11404</v>
      </c>
    </row>
    <row r="20531">
      <c r="A20531" s="39"/>
      <c r="E20531" s="40" t="s">
        <v>11404</v>
      </c>
      <c r="F20531" s="40" t="s">
        <v>11404</v>
      </c>
      <c r="G20531" s="40" t="s">
        <v>11404</v>
      </c>
      <c r="H20531" s="40" t="s">
        <v>11404</v>
      </c>
    </row>
    <row r="20532">
      <c r="A20532" s="39"/>
      <c r="E20532" s="40" t="s">
        <v>11404</v>
      </c>
      <c r="F20532" s="40" t="s">
        <v>11404</v>
      </c>
      <c r="G20532" s="40" t="s">
        <v>11404</v>
      </c>
      <c r="H20532" s="40" t="s">
        <v>11404</v>
      </c>
    </row>
    <row r="20533">
      <c r="A20533" s="39"/>
      <c r="E20533" s="40" t="s">
        <v>11404</v>
      </c>
      <c r="F20533" s="40" t="s">
        <v>11404</v>
      </c>
      <c r="G20533" s="40" t="s">
        <v>11404</v>
      </c>
      <c r="H20533" s="40" t="s">
        <v>11404</v>
      </c>
    </row>
    <row r="20534">
      <c r="A20534" s="39"/>
      <c r="E20534" s="40" t="s">
        <v>11404</v>
      </c>
      <c r="F20534" s="40" t="s">
        <v>11404</v>
      </c>
      <c r="G20534" s="40" t="s">
        <v>11404</v>
      </c>
      <c r="H20534" s="40" t="s">
        <v>11404</v>
      </c>
    </row>
    <row r="20535">
      <c r="A20535" s="39"/>
      <c r="E20535" s="40" t="s">
        <v>11404</v>
      </c>
      <c r="F20535" s="40" t="s">
        <v>11404</v>
      </c>
      <c r="G20535" s="40" t="s">
        <v>11404</v>
      </c>
      <c r="H20535" s="40" t="s">
        <v>11404</v>
      </c>
    </row>
    <row r="20536">
      <c r="A20536" s="39"/>
      <c r="E20536" s="40" t="s">
        <v>11404</v>
      </c>
      <c r="F20536" s="40" t="s">
        <v>11404</v>
      </c>
      <c r="G20536" s="40" t="s">
        <v>11404</v>
      </c>
      <c r="H20536" s="40" t="s">
        <v>11404</v>
      </c>
    </row>
    <row r="20537">
      <c r="A20537" s="39"/>
      <c r="E20537" s="40" t="s">
        <v>11404</v>
      </c>
      <c r="F20537" s="40" t="s">
        <v>11404</v>
      </c>
      <c r="G20537" s="40" t="s">
        <v>11404</v>
      </c>
      <c r="H20537" s="40" t="s">
        <v>11404</v>
      </c>
    </row>
    <row r="20538">
      <c r="A20538" s="39"/>
      <c r="E20538" s="40" t="s">
        <v>11404</v>
      </c>
      <c r="F20538" s="40" t="s">
        <v>11404</v>
      </c>
      <c r="G20538" s="40" t="s">
        <v>11404</v>
      </c>
      <c r="H20538" s="40" t="s">
        <v>11404</v>
      </c>
    </row>
    <row r="20539">
      <c r="A20539" s="39"/>
      <c r="E20539" s="40" t="s">
        <v>11404</v>
      </c>
      <c r="F20539" s="40" t="s">
        <v>11404</v>
      </c>
      <c r="G20539" s="40" t="s">
        <v>11404</v>
      </c>
      <c r="H20539" s="40" t="s">
        <v>11404</v>
      </c>
    </row>
    <row r="20540">
      <c r="A20540" s="39"/>
      <c r="E20540" s="40" t="s">
        <v>11404</v>
      </c>
      <c r="F20540" s="40" t="s">
        <v>11404</v>
      </c>
      <c r="G20540" s="40" t="s">
        <v>11404</v>
      </c>
      <c r="H20540" s="40" t="s">
        <v>11404</v>
      </c>
    </row>
    <row r="20541">
      <c r="A20541" s="39"/>
      <c r="E20541" s="40" t="s">
        <v>11404</v>
      </c>
      <c r="F20541" s="40" t="s">
        <v>11404</v>
      </c>
      <c r="G20541" s="40" t="s">
        <v>11404</v>
      </c>
      <c r="H20541" s="40" t="s">
        <v>11404</v>
      </c>
    </row>
    <row r="20542">
      <c r="A20542" s="39"/>
      <c r="E20542" s="40" t="s">
        <v>11404</v>
      </c>
      <c r="F20542" s="40" t="s">
        <v>11404</v>
      </c>
      <c r="G20542" s="40" t="s">
        <v>11404</v>
      </c>
      <c r="H20542" s="40" t="s">
        <v>11404</v>
      </c>
    </row>
    <row r="20543">
      <c r="A20543" s="39"/>
      <c r="E20543" s="40" t="s">
        <v>11404</v>
      </c>
      <c r="F20543" s="40" t="s">
        <v>11404</v>
      </c>
      <c r="G20543" s="40" t="s">
        <v>11404</v>
      </c>
      <c r="H20543" s="40" t="s">
        <v>11404</v>
      </c>
    </row>
    <row r="20544">
      <c r="A20544" s="39"/>
      <c r="E20544" s="40" t="s">
        <v>11404</v>
      </c>
      <c r="F20544" s="40" t="s">
        <v>11404</v>
      </c>
      <c r="G20544" s="40" t="s">
        <v>11404</v>
      </c>
      <c r="H20544" s="40" t="s">
        <v>11404</v>
      </c>
    </row>
    <row r="20545">
      <c r="A20545" s="39"/>
      <c r="E20545" s="40" t="s">
        <v>11404</v>
      </c>
      <c r="F20545" s="40" t="s">
        <v>11404</v>
      </c>
      <c r="G20545" s="40" t="s">
        <v>11404</v>
      </c>
      <c r="H20545" s="40" t="s">
        <v>11404</v>
      </c>
    </row>
    <row r="20546">
      <c r="A20546" s="39"/>
      <c r="E20546" s="40" t="s">
        <v>11404</v>
      </c>
      <c r="F20546" s="40" t="s">
        <v>11404</v>
      </c>
      <c r="G20546" s="40" t="s">
        <v>11404</v>
      </c>
      <c r="H20546" s="40" t="s">
        <v>11404</v>
      </c>
    </row>
    <row r="20547">
      <c r="A20547" s="39"/>
      <c r="E20547" s="40" t="s">
        <v>11404</v>
      </c>
      <c r="F20547" s="40" t="s">
        <v>11404</v>
      </c>
      <c r="G20547" s="40" t="s">
        <v>11404</v>
      </c>
      <c r="H20547" s="40" t="s">
        <v>11404</v>
      </c>
    </row>
    <row r="20548">
      <c r="A20548" s="39"/>
      <c r="E20548" s="40" t="s">
        <v>11404</v>
      </c>
      <c r="F20548" s="40" t="s">
        <v>11404</v>
      </c>
      <c r="G20548" s="40" t="s">
        <v>11404</v>
      </c>
      <c r="H20548" s="40" t="s">
        <v>11404</v>
      </c>
    </row>
    <row r="20549">
      <c r="A20549" s="39"/>
      <c r="E20549" s="40" t="s">
        <v>11404</v>
      </c>
      <c r="F20549" s="40" t="s">
        <v>11404</v>
      </c>
      <c r="G20549" s="40" t="s">
        <v>11404</v>
      </c>
      <c r="H20549" s="40" t="s">
        <v>11404</v>
      </c>
    </row>
    <row r="20550">
      <c r="A20550" s="39"/>
      <c r="E20550" s="40" t="s">
        <v>11404</v>
      </c>
      <c r="F20550" s="40" t="s">
        <v>11404</v>
      </c>
      <c r="G20550" s="40" t="s">
        <v>11404</v>
      </c>
      <c r="H20550" s="40" t="s">
        <v>11404</v>
      </c>
    </row>
    <row r="20551">
      <c r="A20551" s="39"/>
      <c r="E20551" s="40" t="s">
        <v>11404</v>
      </c>
      <c r="F20551" s="40" t="s">
        <v>11404</v>
      </c>
      <c r="G20551" s="40" t="s">
        <v>11404</v>
      </c>
      <c r="H20551" s="40" t="s">
        <v>11404</v>
      </c>
    </row>
    <row r="20552">
      <c r="A20552" s="39"/>
      <c r="E20552" s="40" t="s">
        <v>11404</v>
      </c>
      <c r="F20552" s="40" t="s">
        <v>11404</v>
      </c>
      <c r="G20552" s="40" t="s">
        <v>11404</v>
      </c>
      <c r="H20552" s="40" t="s">
        <v>11404</v>
      </c>
    </row>
    <row r="20553">
      <c r="A20553" s="39"/>
      <c r="E20553" s="40" t="s">
        <v>11404</v>
      </c>
      <c r="F20553" s="40" t="s">
        <v>11404</v>
      </c>
      <c r="G20553" s="40" t="s">
        <v>11404</v>
      </c>
      <c r="H20553" s="40" t="s">
        <v>11404</v>
      </c>
    </row>
    <row r="20554">
      <c r="A20554" s="39"/>
      <c r="E20554" s="40" t="s">
        <v>11404</v>
      </c>
      <c r="F20554" s="40" t="s">
        <v>11404</v>
      </c>
      <c r="G20554" s="40" t="s">
        <v>11404</v>
      </c>
      <c r="H20554" s="40" t="s">
        <v>11404</v>
      </c>
    </row>
    <row r="20555">
      <c r="A20555" s="39"/>
      <c r="E20555" s="40" t="s">
        <v>11404</v>
      </c>
      <c r="F20555" s="40" t="s">
        <v>11404</v>
      </c>
      <c r="G20555" s="40" t="s">
        <v>11404</v>
      </c>
      <c r="H20555" s="40" t="s">
        <v>11404</v>
      </c>
    </row>
    <row r="20556">
      <c r="A20556" s="39"/>
      <c r="E20556" s="40" t="s">
        <v>11404</v>
      </c>
      <c r="F20556" s="40" t="s">
        <v>11404</v>
      </c>
      <c r="G20556" s="40" t="s">
        <v>11404</v>
      </c>
      <c r="H20556" s="40" t="s">
        <v>11404</v>
      </c>
    </row>
    <row r="20557">
      <c r="A20557" s="39"/>
      <c r="E20557" s="40" t="s">
        <v>11404</v>
      </c>
      <c r="F20557" s="40" t="s">
        <v>11404</v>
      </c>
      <c r="G20557" s="40" t="s">
        <v>11404</v>
      </c>
      <c r="H20557" s="40" t="s">
        <v>11404</v>
      </c>
    </row>
    <row r="20558">
      <c r="A20558" s="39"/>
      <c r="E20558" s="40" t="s">
        <v>11404</v>
      </c>
      <c r="F20558" s="40" t="s">
        <v>11404</v>
      </c>
      <c r="G20558" s="40" t="s">
        <v>11404</v>
      </c>
      <c r="H20558" s="40" t="s">
        <v>11404</v>
      </c>
    </row>
    <row r="20559">
      <c r="A20559" s="39"/>
      <c r="E20559" s="40" t="s">
        <v>11404</v>
      </c>
      <c r="F20559" s="40" t="s">
        <v>11404</v>
      </c>
      <c r="G20559" s="40" t="s">
        <v>11404</v>
      </c>
      <c r="H20559" s="40" t="s">
        <v>11404</v>
      </c>
    </row>
    <row r="20560">
      <c r="A20560" s="39"/>
      <c r="E20560" s="40" t="s">
        <v>11404</v>
      </c>
      <c r="F20560" s="40" t="s">
        <v>11404</v>
      </c>
      <c r="G20560" s="40" t="s">
        <v>11404</v>
      </c>
      <c r="H20560" s="40" t="s">
        <v>11404</v>
      </c>
    </row>
    <row r="20561">
      <c r="A20561" s="39"/>
      <c r="E20561" s="40" t="s">
        <v>11404</v>
      </c>
      <c r="F20561" s="40" t="s">
        <v>11404</v>
      </c>
      <c r="G20561" s="40" t="s">
        <v>11404</v>
      </c>
      <c r="H20561" s="40" t="s">
        <v>11404</v>
      </c>
    </row>
    <row r="20562">
      <c r="A20562" s="39"/>
      <c r="E20562" s="40" t="s">
        <v>11404</v>
      </c>
      <c r="F20562" s="40" t="s">
        <v>11404</v>
      </c>
      <c r="G20562" s="40" t="s">
        <v>11404</v>
      </c>
      <c r="H20562" s="40" t="s">
        <v>11404</v>
      </c>
    </row>
    <row r="20563">
      <c r="A20563" s="39"/>
      <c r="E20563" s="40" t="s">
        <v>11404</v>
      </c>
      <c r="F20563" s="40" t="s">
        <v>11404</v>
      </c>
      <c r="G20563" s="40" t="s">
        <v>11404</v>
      </c>
      <c r="H20563" s="40" t="s">
        <v>11404</v>
      </c>
    </row>
    <row r="20564">
      <c r="A20564" s="39"/>
      <c r="E20564" s="40" t="s">
        <v>11404</v>
      </c>
      <c r="F20564" s="40" t="s">
        <v>11404</v>
      </c>
      <c r="G20564" s="40" t="s">
        <v>11404</v>
      </c>
      <c r="H20564" s="40" t="s">
        <v>11404</v>
      </c>
    </row>
    <row r="20565">
      <c r="A20565" s="39"/>
      <c r="E20565" s="40" t="s">
        <v>11404</v>
      </c>
      <c r="F20565" s="40" t="s">
        <v>11404</v>
      </c>
      <c r="G20565" s="40" t="s">
        <v>11404</v>
      </c>
      <c r="H20565" s="40" t="s">
        <v>11404</v>
      </c>
    </row>
    <row r="20566">
      <c r="A20566" s="39"/>
      <c r="E20566" s="40" t="s">
        <v>11404</v>
      </c>
      <c r="F20566" s="40" t="s">
        <v>11404</v>
      </c>
      <c r="G20566" s="40" t="s">
        <v>11404</v>
      </c>
      <c r="H20566" s="40" t="s">
        <v>11404</v>
      </c>
    </row>
    <row r="20567">
      <c r="A20567" s="39"/>
      <c r="E20567" s="40" t="s">
        <v>11404</v>
      </c>
      <c r="F20567" s="40" t="s">
        <v>11404</v>
      </c>
      <c r="G20567" s="40" t="s">
        <v>11404</v>
      </c>
      <c r="H20567" s="40" t="s">
        <v>11404</v>
      </c>
    </row>
    <row r="20568">
      <c r="A20568" s="39"/>
      <c r="E20568" s="40" t="s">
        <v>11404</v>
      </c>
      <c r="F20568" s="40" t="s">
        <v>11404</v>
      </c>
      <c r="G20568" s="40" t="s">
        <v>11404</v>
      </c>
      <c r="H20568" s="40" t="s">
        <v>11404</v>
      </c>
    </row>
    <row r="20569">
      <c r="A20569" s="39"/>
      <c r="E20569" s="40" t="s">
        <v>11404</v>
      </c>
      <c r="F20569" s="40" t="s">
        <v>11404</v>
      </c>
      <c r="G20569" s="40" t="s">
        <v>11404</v>
      </c>
      <c r="H20569" s="40" t="s">
        <v>11404</v>
      </c>
    </row>
    <row r="20570">
      <c r="A20570" s="39"/>
      <c r="E20570" s="40" t="s">
        <v>11404</v>
      </c>
      <c r="F20570" s="40" t="s">
        <v>11404</v>
      </c>
      <c r="G20570" s="40" t="s">
        <v>11404</v>
      </c>
      <c r="H20570" s="40" t="s">
        <v>11404</v>
      </c>
    </row>
    <row r="20571">
      <c r="A20571" s="39"/>
      <c r="E20571" s="40" t="s">
        <v>11404</v>
      </c>
      <c r="F20571" s="40" t="s">
        <v>11404</v>
      </c>
      <c r="G20571" s="40" t="s">
        <v>11404</v>
      </c>
      <c r="H20571" s="40" t="s">
        <v>11404</v>
      </c>
    </row>
    <row r="20572">
      <c r="A20572" s="39"/>
      <c r="E20572" s="40" t="s">
        <v>11404</v>
      </c>
      <c r="F20572" s="40" t="s">
        <v>11404</v>
      </c>
      <c r="G20572" s="40" t="s">
        <v>11404</v>
      </c>
      <c r="H20572" s="40" t="s">
        <v>11404</v>
      </c>
    </row>
    <row r="20573">
      <c r="A20573" s="39"/>
      <c r="E20573" s="40" t="s">
        <v>11404</v>
      </c>
      <c r="F20573" s="40" t="s">
        <v>11404</v>
      </c>
      <c r="G20573" s="40" t="s">
        <v>11404</v>
      </c>
      <c r="H20573" s="40" t="s">
        <v>11404</v>
      </c>
    </row>
    <row r="20574">
      <c r="A20574" s="39"/>
      <c r="E20574" s="40" t="s">
        <v>11404</v>
      </c>
      <c r="F20574" s="40" t="s">
        <v>11404</v>
      </c>
      <c r="G20574" s="40" t="s">
        <v>11404</v>
      </c>
      <c r="H20574" s="40" t="s">
        <v>11404</v>
      </c>
    </row>
    <row r="20575">
      <c r="A20575" s="39"/>
      <c r="E20575" s="40" t="s">
        <v>11404</v>
      </c>
      <c r="F20575" s="40" t="s">
        <v>11404</v>
      </c>
      <c r="G20575" s="40" t="s">
        <v>11404</v>
      </c>
      <c r="H20575" s="40" t="s">
        <v>11404</v>
      </c>
    </row>
    <row r="20576">
      <c r="A20576" s="39"/>
      <c r="E20576" s="40" t="s">
        <v>11404</v>
      </c>
      <c r="F20576" s="40" t="s">
        <v>11404</v>
      </c>
      <c r="G20576" s="40" t="s">
        <v>11404</v>
      </c>
      <c r="H20576" s="40" t="s">
        <v>11404</v>
      </c>
    </row>
    <row r="20577">
      <c r="A20577" s="39"/>
      <c r="E20577" s="40" t="s">
        <v>11404</v>
      </c>
      <c r="F20577" s="40" t="s">
        <v>11404</v>
      </c>
      <c r="G20577" s="40" t="s">
        <v>11404</v>
      </c>
      <c r="H20577" s="40" t="s">
        <v>11404</v>
      </c>
    </row>
    <row r="20578">
      <c r="A20578" s="39"/>
      <c r="E20578" s="40" t="s">
        <v>11404</v>
      </c>
      <c r="F20578" s="40" t="s">
        <v>11404</v>
      </c>
      <c r="G20578" s="40" t="s">
        <v>11404</v>
      </c>
      <c r="H20578" s="40" t="s">
        <v>11404</v>
      </c>
    </row>
    <row r="20579">
      <c r="A20579" s="39"/>
      <c r="E20579" s="40" t="s">
        <v>11404</v>
      </c>
      <c r="F20579" s="40" t="s">
        <v>11404</v>
      </c>
      <c r="G20579" s="40" t="s">
        <v>11404</v>
      </c>
      <c r="H20579" s="40" t="s">
        <v>11404</v>
      </c>
    </row>
    <row r="20580">
      <c r="A20580" s="39"/>
      <c r="E20580" s="40" t="s">
        <v>11404</v>
      </c>
      <c r="F20580" s="40" t="s">
        <v>11404</v>
      </c>
      <c r="G20580" s="40" t="s">
        <v>11404</v>
      </c>
      <c r="H20580" s="40" t="s">
        <v>11404</v>
      </c>
    </row>
    <row r="20581">
      <c r="A20581" s="39"/>
      <c r="E20581" s="40" t="s">
        <v>11404</v>
      </c>
      <c r="F20581" s="40" t="s">
        <v>11404</v>
      </c>
      <c r="G20581" s="40" t="s">
        <v>11404</v>
      </c>
      <c r="H20581" s="40" t="s">
        <v>11404</v>
      </c>
    </row>
    <row r="20582">
      <c r="A20582" s="39"/>
      <c r="E20582" s="40" t="s">
        <v>11404</v>
      </c>
      <c r="F20582" s="40" t="s">
        <v>11404</v>
      </c>
      <c r="G20582" s="40" t="s">
        <v>11404</v>
      </c>
      <c r="H20582" s="40" t="s">
        <v>11404</v>
      </c>
    </row>
    <row r="20583">
      <c r="A20583" s="39"/>
      <c r="E20583" s="40" t="s">
        <v>11404</v>
      </c>
      <c r="F20583" s="40" t="s">
        <v>11404</v>
      </c>
      <c r="G20583" s="40" t="s">
        <v>11404</v>
      </c>
      <c r="H20583" s="40" t="s">
        <v>11404</v>
      </c>
    </row>
    <row r="20584">
      <c r="A20584" s="39"/>
      <c r="E20584" s="40" t="s">
        <v>11404</v>
      </c>
      <c r="F20584" s="40" t="s">
        <v>11404</v>
      </c>
      <c r="G20584" s="40" t="s">
        <v>11404</v>
      </c>
      <c r="H20584" s="40" t="s">
        <v>11404</v>
      </c>
    </row>
    <row r="20585">
      <c r="A20585" s="39"/>
      <c r="E20585" s="40" t="s">
        <v>11404</v>
      </c>
      <c r="F20585" s="40" t="s">
        <v>11404</v>
      </c>
      <c r="G20585" s="40" t="s">
        <v>11404</v>
      </c>
      <c r="H20585" s="40" t="s">
        <v>11404</v>
      </c>
    </row>
    <row r="20586">
      <c r="A20586" s="39"/>
      <c r="E20586" s="40" t="s">
        <v>11404</v>
      </c>
      <c r="F20586" s="40" t="s">
        <v>11404</v>
      </c>
      <c r="G20586" s="40" t="s">
        <v>11404</v>
      </c>
      <c r="H20586" s="40" t="s">
        <v>11404</v>
      </c>
    </row>
    <row r="20587">
      <c r="A20587" s="39"/>
      <c r="E20587" s="40" t="s">
        <v>11404</v>
      </c>
      <c r="F20587" s="40" t="s">
        <v>11404</v>
      </c>
      <c r="G20587" s="40" t="s">
        <v>11404</v>
      </c>
      <c r="H20587" s="40" t="s">
        <v>11404</v>
      </c>
    </row>
    <row r="20588">
      <c r="A20588" s="39"/>
      <c r="E20588" s="40" t="s">
        <v>11404</v>
      </c>
      <c r="F20588" s="40" t="s">
        <v>11404</v>
      </c>
      <c r="G20588" s="40" t="s">
        <v>11404</v>
      </c>
      <c r="H20588" s="40" t="s">
        <v>11404</v>
      </c>
    </row>
    <row r="20589">
      <c r="A20589" s="39"/>
      <c r="E20589" s="40" t="s">
        <v>11404</v>
      </c>
      <c r="F20589" s="40" t="s">
        <v>11404</v>
      </c>
      <c r="G20589" s="40" t="s">
        <v>11404</v>
      </c>
      <c r="H20589" s="40" t="s">
        <v>11404</v>
      </c>
    </row>
    <row r="20590">
      <c r="A20590" s="39"/>
      <c r="E20590" s="40" t="s">
        <v>11404</v>
      </c>
      <c r="F20590" s="40" t="s">
        <v>11404</v>
      </c>
      <c r="G20590" s="40" t="s">
        <v>11404</v>
      </c>
      <c r="H20590" s="40" t="s">
        <v>11404</v>
      </c>
    </row>
    <row r="20591">
      <c r="A20591" s="39"/>
      <c r="E20591" s="40" t="s">
        <v>11404</v>
      </c>
      <c r="F20591" s="40" t="s">
        <v>11404</v>
      </c>
      <c r="G20591" s="40" t="s">
        <v>11404</v>
      </c>
      <c r="H20591" s="40" t="s">
        <v>11404</v>
      </c>
    </row>
    <row r="20592">
      <c r="A20592" s="39"/>
      <c r="E20592" s="40" t="s">
        <v>11404</v>
      </c>
      <c r="F20592" s="40" t="s">
        <v>11404</v>
      </c>
      <c r="G20592" s="40" t="s">
        <v>11404</v>
      </c>
      <c r="H20592" s="40" t="s">
        <v>11404</v>
      </c>
    </row>
    <row r="20593">
      <c r="A20593" s="39"/>
      <c r="E20593" s="40" t="s">
        <v>11404</v>
      </c>
      <c r="F20593" s="40" t="s">
        <v>11404</v>
      </c>
      <c r="G20593" s="40" t="s">
        <v>11404</v>
      </c>
      <c r="H20593" s="40" t="s">
        <v>11404</v>
      </c>
    </row>
    <row r="20594">
      <c r="A20594" s="39"/>
      <c r="E20594" s="40" t="s">
        <v>11404</v>
      </c>
      <c r="F20594" s="40" t="s">
        <v>11404</v>
      </c>
      <c r="G20594" s="40" t="s">
        <v>11404</v>
      </c>
      <c r="H20594" s="40" t="s">
        <v>11404</v>
      </c>
    </row>
    <row r="20595">
      <c r="A20595" s="39"/>
      <c r="E20595" s="40" t="s">
        <v>11404</v>
      </c>
      <c r="F20595" s="40" t="s">
        <v>11404</v>
      </c>
      <c r="G20595" s="40" t="s">
        <v>11404</v>
      </c>
      <c r="H20595" s="40" t="s">
        <v>11404</v>
      </c>
    </row>
    <row r="20596">
      <c r="A20596" s="39"/>
      <c r="E20596" s="40" t="s">
        <v>11404</v>
      </c>
      <c r="F20596" s="40" t="s">
        <v>11404</v>
      </c>
      <c r="G20596" s="40" t="s">
        <v>11404</v>
      </c>
      <c r="H20596" s="40" t="s">
        <v>11404</v>
      </c>
    </row>
    <row r="20597">
      <c r="A20597" s="39"/>
      <c r="E20597" s="40" t="s">
        <v>11404</v>
      </c>
      <c r="F20597" s="40" t="s">
        <v>11404</v>
      </c>
      <c r="G20597" s="40" t="s">
        <v>11404</v>
      </c>
      <c r="H20597" s="40" t="s">
        <v>11404</v>
      </c>
    </row>
    <row r="20598">
      <c r="A20598" s="39"/>
      <c r="E20598" s="40" t="s">
        <v>11404</v>
      </c>
      <c r="F20598" s="40" t="s">
        <v>11404</v>
      </c>
      <c r="G20598" s="40" t="s">
        <v>11404</v>
      </c>
      <c r="H20598" s="40" t="s">
        <v>11404</v>
      </c>
    </row>
    <row r="20599">
      <c r="A20599" s="39"/>
      <c r="E20599" s="40" t="s">
        <v>11404</v>
      </c>
      <c r="F20599" s="40" t="s">
        <v>11404</v>
      </c>
      <c r="G20599" s="40" t="s">
        <v>11404</v>
      </c>
      <c r="H20599" s="40" t="s">
        <v>11404</v>
      </c>
    </row>
    <row r="20600">
      <c r="A20600" s="39"/>
      <c r="E20600" s="40" t="s">
        <v>11404</v>
      </c>
      <c r="F20600" s="40" t="s">
        <v>11404</v>
      </c>
      <c r="G20600" s="40" t="s">
        <v>11404</v>
      </c>
      <c r="H20600" s="40" t="s">
        <v>11404</v>
      </c>
    </row>
    <row r="20601">
      <c r="A20601" s="39"/>
      <c r="E20601" s="40" t="s">
        <v>11404</v>
      </c>
      <c r="F20601" s="40" t="s">
        <v>11404</v>
      </c>
      <c r="G20601" s="40" t="s">
        <v>11404</v>
      </c>
      <c r="H20601" s="40" t="s">
        <v>11404</v>
      </c>
    </row>
    <row r="20602">
      <c r="A20602" s="39"/>
      <c r="E20602" s="40" t="s">
        <v>11404</v>
      </c>
      <c r="F20602" s="40" t="s">
        <v>11404</v>
      </c>
      <c r="G20602" s="40" t="s">
        <v>11404</v>
      </c>
      <c r="H20602" s="40" t="s">
        <v>11404</v>
      </c>
    </row>
    <row r="20603">
      <c r="A20603" s="39"/>
      <c r="E20603" s="40" t="s">
        <v>11404</v>
      </c>
      <c r="F20603" s="40" t="s">
        <v>11404</v>
      </c>
      <c r="G20603" s="40" t="s">
        <v>11404</v>
      </c>
      <c r="H20603" s="40" t="s">
        <v>11404</v>
      </c>
    </row>
    <row r="20604">
      <c r="A20604" s="39"/>
      <c r="E20604" s="40" t="s">
        <v>11404</v>
      </c>
      <c r="F20604" s="40" t="s">
        <v>11404</v>
      </c>
      <c r="G20604" s="40" t="s">
        <v>11404</v>
      </c>
      <c r="H20604" s="40" t="s">
        <v>11404</v>
      </c>
    </row>
    <row r="20605">
      <c r="A20605" s="39"/>
      <c r="E20605" s="40" t="s">
        <v>11404</v>
      </c>
      <c r="F20605" s="40" t="s">
        <v>11404</v>
      </c>
      <c r="G20605" s="40" t="s">
        <v>11404</v>
      </c>
      <c r="H20605" s="40" t="s">
        <v>11404</v>
      </c>
    </row>
    <row r="20606">
      <c r="A20606" s="39"/>
      <c r="E20606" s="40" t="s">
        <v>11404</v>
      </c>
      <c r="F20606" s="40" t="s">
        <v>11404</v>
      </c>
      <c r="G20606" s="40" t="s">
        <v>11404</v>
      </c>
      <c r="H20606" s="40" t="s">
        <v>11404</v>
      </c>
    </row>
    <row r="20607">
      <c r="A20607" s="39"/>
      <c r="E20607" s="40" t="s">
        <v>11404</v>
      </c>
      <c r="F20607" s="40" t="s">
        <v>11404</v>
      </c>
      <c r="G20607" s="40" t="s">
        <v>11404</v>
      </c>
      <c r="H20607" s="40" t="s">
        <v>11404</v>
      </c>
    </row>
    <row r="20608">
      <c r="A20608" s="39"/>
      <c r="E20608" s="40" t="s">
        <v>11404</v>
      </c>
      <c r="F20608" s="40" t="s">
        <v>11404</v>
      </c>
      <c r="G20608" s="40" t="s">
        <v>11404</v>
      </c>
      <c r="H20608" s="40" t="s">
        <v>11404</v>
      </c>
    </row>
    <row r="20609">
      <c r="A20609" s="39"/>
      <c r="E20609" s="40" t="s">
        <v>11404</v>
      </c>
      <c r="F20609" s="40" t="s">
        <v>11404</v>
      </c>
      <c r="G20609" s="40" t="s">
        <v>11404</v>
      </c>
      <c r="H20609" s="40" t="s">
        <v>11404</v>
      </c>
    </row>
    <row r="20610">
      <c r="A20610" s="39"/>
      <c r="E20610" s="40" t="s">
        <v>11404</v>
      </c>
      <c r="F20610" s="40" t="s">
        <v>11404</v>
      </c>
      <c r="G20610" s="40" t="s">
        <v>11404</v>
      </c>
      <c r="H20610" s="40" t="s">
        <v>11404</v>
      </c>
    </row>
    <row r="20611">
      <c r="A20611" s="39"/>
      <c r="E20611" s="40" t="s">
        <v>11404</v>
      </c>
      <c r="F20611" s="40" t="s">
        <v>11404</v>
      </c>
      <c r="G20611" s="40" t="s">
        <v>11404</v>
      </c>
      <c r="H20611" s="40" t="s">
        <v>11404</v>
      </c>
    </row>
    <row r="20612">
      <c r="A20612" s="39"/>
      <c r="E20612" s="40" t="s">
        <v>11404</v>
      </c>
      <c r="F20612" s="40" t="s">
        <v>11404</v>
      </c>
      <c r="G20612" s="40" t="s">
        <v>11404</v>
      </c>
      <c r="H20612" s="40" t="s">
        <v>11404</v>
      </c>
    </row>
    <row r="20613">
      <c r="A20613" s="39"/>
      <c r="E20613" s="40" t="s">
        <v>11404</v>
      </c>
      <c r="F20613" s="40" t="s">
        <v>11404</v>
      </c>
      <c r="G20613" s="40" t="s">
        <v>11404</v>
      </c>
      <c r="H20613" s="40" t="s">
        <v>11404</v>
      </c>
    </row>
    <row r="20614">
      <c r="A20614" s="39"/>
      <c r="E20614" s="40" t="s">
        <v>11404</v>
      </c>
      <c r="F20614" s="40" t="s">
        <v>11404</v>
      </c>
      <c r="G20614" s="40" t="s">
        <v>11404</v>
      </c>
      <c r="H20614" s="40" t="s">
        <v>11404</v>
      </c>
    </row>
    <row r="20615">
      <c r="A20615" s="39"/>
      <c r="E20615" s="40" t="s">
        <v>11404</v>
      </c>
      <c r="F20615" s="40" t="s">
        <v>11404</v>
      </c>
      <c r="G20615" s="40" t="s">
        <v>11404</v>
      </c>
      <c r="H20615" s="40" t="s">
        <v>11404</v>
      </c>
    </row>
    <row r="20616">
      <c r="A20616" s="39"/>
      <c r="E20616" s="40" t="s">
        <v>11404</v>
      </c>
      <c r="F20616" s="40" t="s">
        <v>11404</v>
      </c>
      <c r="G20616" s="40" t="s">
        <v>11404</v>
      </c>
      <c r="H20616" s="40" t="s">
        <v>11404</v>
      </c>
    </row>
    <row r="20617">
      <c r="A20617" s="39"/>
      <c r="E20617" s="40" t="s">
        <v>11404</v>
      </c>
      <c r="F20617" s="40" t="s">
        <v>11404</v>
      </c>
      <c r="G20617" s="40" t="s">
        <v>11404</v>
      </c>
      <c r="H20617" s="40" t="s">
        <v>11404</v>
      </c>
    </row>
    <row r="20618">
      <c r="A20618" s="39"/>
      <c r="E20618" s="40" t="s">
        <v>11404</v>
      </c>
      <c r="F20618" s="40" t="s">
        <v>11404</v>
      </c>
      <c r="G20618" s="40" t="s">
        <v>11404</v>
      </c>
      <c r="H20618" s="40" t="s">
        <v>11404</v>
      </c>
    </row>
    <row r="20619">
      <c r="A20619" s="39"/>
      <c r="E20619" s="40" t="s">
        <v>11404</v>
      </c>
      <c r="F20619" s="40" t="s">
        <v>11404</v>
      </c>
      <c r="G20619" s="40" t="s">
        <v>11404</v>
      </c>
      <c r="H20619" s="40" t="s">
        <v>11404</v>
      </c>
    </row>
    <row r="20620">
      <c r="A20620" s="39"/>
      <c r="E20620" s="40" t="s">
        <v>11404</v>
      </c>
      <c r="F20620" s="40" t="s">
        <v>11404</v>
      </c>
      <c r="G20620" s="40" t="s">
        <v>11404</v>
      </c>
      <c r="H20620" s="40" t="s">
        <v>11404</v>
      </c>
    </row>
    <row r="20621">
      <c r="A20621" s="39"/>
      <c r="E20621" s="40" t="s">
        <v>11404</v>
      </c>
      <c r="F20621" s="40" t="s">
        <v>11404</v>
      </c>
      <c r="G20621" s="40" t="s">
        <v>11404</v>
      </c>
      <c r="H20621" s="40" t="s">
        <v>11404</v>
      </c>
    </row>
    <row r="20622">
      <c r="A20622" s="39"/>
      <c r="E20622" s="40" t="s">
        <v>11404</v>
      </c>
      <c r="F20622" s="40" t="s">
        <v>11404</v>
      </c>
      <c r="G20622" s="40" t="s">
        <v>11404</v>
      </c>
      <c r="H20622" s="40" t="s">
        <v>11404</v>
      </c>
    </row>
    <row r="20623">
      <c r="A20623" s="39"/>
      <c r="E20623" s="40" t="s">
        <v>11404</v>
      </c>
      <c r="F20623" s="40" t="s">
        <v>11404</v>
      </c>
      <c r="G20623" s="40" t="s">
        <v>11404</v>
      </c>
      <c r="H20623" s="40" t="s">
        <v>11404</v>
      </c>
    </row>
    <row r="20624">
      <c r="A20624" s="39"/>
      <c r="E20624" s="40" t="s">
        <v>11404</v>
      </c>
      <c r="F20624" s="40" t="s">
        <v>11404</v>
      </c>
      <c r="G20624" s="40" t="s">
        <v>11404</v>
      </c>
      <c r="H20624" s="40" t="s">
        <v>11404</v>
      </c>
    </row>
    <row r="20625">
      <c r="A20625" s="39"/>
      <c r="E20625" s="40" t="s">
        <v>11404</v>
      </c>
      <c r="F20625" s="40" t="s">
        <v>11404</v>
      </c>
      <c r="G20625" s="40" t="s">
        <v>11404</v>
      </c>
      <c r="H20625" s="40" t="s">
        <v>11404</v>
      </c>
    </row>
    <row r="20626">
      <c r="A20626" s="39"/>
      <c r="E20626" s="40" t="s">
        <v>11404</v>
      </c>
      <c r="F20626" s="40" t="s">
        <v>11404</v>
      </c>
      <c r="G20626" s="40" t="s">
        <v>11404</v>
      </c>
      <c r="H20626" s="40" t="s">
        <v>11404</v>
      </c>
    </row>
    <row r="20627">
      <c r="A20627" s="39"/>
      <c r="E20627" s="40" t="s">
        <v>11404</v>
      </c>
      <c r="F20627" s="40" t="s">
        <v>11404</v>
      </c>
      <c r="G20627" s="40" t="s">
        <v>11404</v>
      </c>
      <c r="H20627" s="40" t="s">
        <v>11404</v>
      </c>
    </row>
    <row r="20628">
      <c r="A20628" s="39"/>
      <c r="E20628" s="40" t="s">
        <v>11404</v>
      </c>
      <c r="F20628" s="40" t="s">
        <v>11404</v>
      </c>
      <c r="G20628" s="40" t="s">
        <v>11404</v>
      </c>
      <c r="H20628" s="40" t="s">
        <v>11404</v>
      </c>
    </row>
    <row r="20629">
      <c r="A20629" s="39"/>
      <c r="E20629" s="40" t="s">
        <v>11404</v>
      </c>
      <c r="F20629" s="40" t="s">
        <v>11404</v>
      </c>
      <c r="G20629" s="40" t="s">
        <v>11404</v>
      </c>
      <c r="H20629" s="40" t="s">
        <v>11404</v>
      </c>
    </row>
    <row r="20630">
      <c r="A20630" s="39"/>
      <c r="E20630" s="40" t="s">
        <v>11404</v>
      </c>
      <c r="F20630" s="40" t="s">
        <v>11404</v>
      </c>
      <c r="G20630" s="40" t="s">
        <v>11404</v>
      </c>
      <c r="H20630" s="40" t="s">
        <v>11404</v>
      </c>
    </row>
    <row r="20631">
      <c r="A20631" s="39"/>
      <c r="E20631" s="40" t="s">
        <v>11404</v>
      </c>
      <c r="F20631" s="40" t="s">
        <v>11404</v>
      </c>
      <c r="G20631" s="40" t="s">
        <v>11404</v>
      </c>
      <c r="H20631" s="40" t="s">
        <v>11404</v>
      </c>
    </row>
    <row r="20632">
      <c r="A20632" s="39"/>
      <c r="E20632" s="40" t="s">
        <v>11404</v>
      </c>
      <c r="F20632" s="40" t="s">
        <v>11404</v>
      </c>
      <c r="G20632" s="40" t="s">
        <v>11404</v>
      </c>
      <c r="H20632" s="40" t="s">
        <v>11404</v>
      </c>
    </row>
    <row r="20633">
      <c r="A20633" s="39"/>
      <c r="E20633" s="40" t="s">
        <v>11404</v>
      </c>
      <c r="F20633" s="40" t="s">
        <v>11404</v>
      </c>
      <c r="G20633" s="40" t="s">
        <v>11404</v>
      </c>
      <c r="H20633" s="40" t="s">
        <v>11404</v>
      </c>
    </row>
    <row r="20634">
      <c r="A20634" s="39"/>
      <c r="E20634" s="40" t="s">
        <v>11404</v>
      </c>
      <c r="F20634" s="40" t="s">
        <v>11404</v>
      </c>
      <c r="G20634" s="40" t="s">
        <v>11404</v>
      </c>
      <c r="H20634" s="40" t="s">
        <v>11404</v>
      </c>
    </row>
    <row r="20635">
      <c r="A20635" s="39"/>
      <c r="E20635" s="40" t="s">
        <v>11404</v>
      </c>
      <c r="F20635" s="40" t="s">
        <v>11404</v>
      </c>
      <c r="G20635" s="40" t="s">
        <v>11404</v>
      </c>
      <c r="H20635" s="40" t="s">
        <v>11404</v>
      </c>
    </row>
    <row r="20636">
      <c r="A20636" s="39"/>
      <c r="E20636" s="40" t="s">
        <v>11404</v>
      </c>
      <c r="F20636" s="40" t="s">
        <v>11404</v>
      </c>
      <c r="G20636" s="40" t="s">
        <v>11404</v>
      </c>
      <c r="H20636" s="40" t="s">
        <v>11404</v>
      </c>
    </row>
    <row r="20637">
      <c r="A20637" s="39"/>
      <c r="E20637" s="40" t="s">
        <v>11404</v>
      </c>
      <c r="F20637" s="40" t="s">
        <v>11404</v>
      </c>
      <c r="G20637" s="40" t="s">
        <v>11404</v>
      </c>
      <c r="H20637" s="40" t="s">
        <v>11404</v>
      </c>
    </row>
    <row r="20638">
      <c r="A20638" s="39"/>
      <c r="E20638" s="40" t="s">
        <v>11404</v>
      </c>
      <c r="F20638" s="40" t="s">
        <v>11404</v>
      </c>
      <c r="G20638" s="40" t="s">
        <v>11404</v>
      </c>
      <c r="H20638" s="40" t="s">
        <v>11404</v>
      </c>
    </row>
    <row r="20639">
      <c r="A20639" s="39"/>
      <c r="E20639" s="40" t="s">
        <v>11404</v>
      </c>
      <c r="F20639" s="40" t="s">
        <v>11404</v>
      </c>
      <c r="G20639" s="40" t="s">
        <v>11404</v>
      </c>
      <c r="H20639" s="40" t="s">
        <v>11404</v>
      </c>
    </row>
    <row r="20640">
      <c r="A20640" s="39"/>
      <c r="E20640" s="40" t="s">
        <v>11404</v>
      </c>
      <c r="F20640" s="40" t="s">
        <v>11404</v>
      </c>
      <c r="G20640" s="40" t="s">
        <v>11404</v>
      </c>
      <c r="H20640" s="40" t="s">
        <v>11404</v>
      </c>
    </row>
    <row r="20641">
      <c r="A20641" s="39"/>
      <c r="E20641" s="40" t="s">
        <v>11404</v>
      </c>
      <c r="F20641" s="40" t="s">
        <v>11404</v>
      </c>
      <c r="G20641" s="40" t="s">
        <v>11404</v>
      </c>
      <c r="H20641" s="40" t="s">
        <v>11404</v>
      </c>
    </row>
    <row r="20642">
      <c r="A20642" s="39"/>
      <c r="E20642" s="40" t="s">
        <v>11404</v>
      </c>
      <c r="F20642" s="40" t="s">
        <v>11404</v>
      </c>
      <c r="G20642" s="40" t="s">
        <v>11404</v>
      </c>
      <c r="H20642" s="40" t="s">
        <v>11404</v>
      </c>
    </row>
    <row r="20643">
      <c r="A20643" s="39"/>
      <c r="E20643" s="40" t="s">
        <v>11404</v>
      </c>
      <c r="F20643" s="40" t="s">
        <v>11404</v>
      </c>
      <c r="G20643" s="40" t="s">
        <v>11404</v>
      </c>
      <c r="H20643" s="40" t="s">
        <v>11404</v>
      </c>
    </row>
    <row r="20644">
      <c r="A20644" s="39"/>
      <c r="E20644" s="40" t="s">
        <v>11404</v>
      </c>
      <c r="F20644" s="40" t="s">
        <v>11404</v>
      </c>
      <c r="G20644" s="40" t="s">
        <v>11404</v>
      </c>
      <c r="H20644" s="40" t="s">
        <v>11404</v>
      </c>
    </row>
    <row r="20645">
      <c r="A20645" s="39"/>
      <c r="E20645" s="40" t="s">
        <v>11404</v>
      </c>
      <c r="F20645" s="40" t="s">
        <v>11404</v>
      </c>
      <c r="G20645" s="40" t="s">
        <v>11404</v>
      </c>
      <c r="H20645" s="40" t="s">
        <v>11404</v>
      </c>
    </row>
    <row r="20646">
      <c r="A20646" s="39"/>
      <c r="E20646" s="40" t="s">
        <v>11404</v>
      </c>
      <c r="F20646" s="40" t="s">
        <v>11404</v>
      </c>
      <c r="G20646" s="40" t="s">
        <v>11404</v>
      </c>
      <c r="H20646" s="40" t="s">
        <v>11404</v>
      </c>
    </row>
    <row r="20647">
      <c r="A20647" s="39"/>
      <c r="E20647" s="40" t="s">
        <v>11404</v>
      </c>
      <c r="F20647" s="40" t="s">
        <v>11404</v>
      </c>
      <c r="G20647" s="40" t="s">
        <v>11404</v>
      </c>
      <c r="H20647" s="40" t="s">
        <v>11404</v>
      </c>
    </row>
    <row r="20648">
      <c r="A20648" s="39"/>
      <c r="E20648" s="40" t="s">
        <v>11404</v>
      </c>
      <c r="F20648" s="40" t="s">
        <v>11404</v>
      </c>
      <c r="G20648" s="40" t="s">
        <v>11404</v>
      </c>
      <c r="H20648" s="40" t="s">
        <v>11404</v>
      </c>
    </row>
    <row r="20649">
      <c r="A20649" s="39"/>
      <c r="E20649" s="40" t="s">
        <v>11404</v>
      </c>
      <c r="F20649" s="40" t="s">
        <v>11404</v>
      </c>
      <c r="G20649" s="40" t="s">
        <v>11404</v>
      </c>
      <c r="H20649" s="40" t="s">
        <v>11404</v>
      </c>
    </row>
    <row r="20650">
      <c r="A20650" s="39"/>
      <c r="E20650" s="40" t="s">
        <v>11404</v>
      </c>
      <c r="F20650" s="40" t="s">
        <v>11404</v>
      </c>
      <c r="G20650" s="40" t="s">
        <v>11404</v>
      </c>
      <c r="H20650" s="40" t="s">
        <v>11404</v>
      </c>
    </row>
    <row r="20651">
      <c r="A20651" s="39"/>
      <c r="E20651" s="40" t="s">
        <v>11404</v>
      </c>
      <c r="F20651" s="40" t="s">
        <v>11404</v>
      </c>
      <c r="G20651" s="40" t="s">
        <v>11404</v>
      </c>
      <c r="H20651" s="40" t="s">
        <v>11404</v>
      </c>
    </row>
    <row r="20652">
      <c r="A20652" s="39"/>
      <c r="E20652" s="40" t="s">
        <v>11404</v>
      </c>
      <c r="F20652" s="40" t="s">
        <v>11404</v>
      </c>
      <c r="G20652" s="40" t="s">
        <v>11404</v>
      </c>
      <c r="H20652" s="40" t="s">
        <v>11404</v>
      </c>
    </row>
    <row r="20653">
      <c r="A20653" s="39"/>
      <c r="E20653" s="40" t="s">
        <v>11404</v>
      </c>
      <c r="F20653" s="40" t="s">
        <v>11404</v>
      </c>
      <c r="G20653" s="40" t="s">
        <v>11404</v>
      </c>
      <c r="H20653" s="40" t="s">
        <v>11404</v>
      </c>
    </row>
    <row r="20654">
      <c r="A20654" s="39"/>
      <c r="E20654" s="40" t="s">
        <v>11404</v>
      </c>
      <c r="F20654" s="40" t="s">
        <v>11404</v>
      </c>
      <c r="G20654" s="40" t="s">
        <v>11404</v>
      </c>
      <c r="H20654" s="40" t="s">
        <v>11404</v>
      </c>
    </row>
    <row r="20655">
      <c r="A20655" s="39"/>
      <c r="E20655" s="40" t="s">
        <v>11404</v>
      </c>
      <c r="F20655" s="40" t="s">
        <v>11404</v>
      </c>
      <c r="G20655" s="40" t="s">
        <v>11404</v>
      </c>
      <c r="H20655" s="40" t="s">
        <v>11404</v>
      </c>
    </row>
    <row r="20656">
      <c r="A20656" s="39"/>
      <c r="E20656" s="40" t="s">
        <v>11404</v>
      </c>
      <c r="F20656" s="40" t="s">
        <v>11404</v>
      </c>
      <c r="G20656" s="40" t="s">
        <v>11404</v>
      </c>
      <c r="H20656" s="40" t="s">
        <v>11404</v>
      </c>
    </row>
    <row r="20657">
      <c r="A20657" s="39"/>
      <c r="E20657" s="40" t="s">
        <v>11404</v>
      </c>
      <c r="F20657" s="40" t="s">
        <v>11404</v>
      </c>
      <c r="G20657" s="40" t="s">
        <v>11404</v>
      </c>
      <c r="H20657" s="40" t="s">
        <v>11404</v>
      </c>
    </row>
    <row r="20658">
      <c r="A20658" s="39"/>
      <c r="E20658" s="40" t="s">
        <v>11404</v>
      </c>
      <c r="F20658" s="40" t="s">
        <v>11404</v>
      </c>
      <c r="G20658" s="40" t="s">
        <v>11404</v>
      </c>
      <c r="H20658" s="40" t="s">
        <v>11404</v>
      </c>
    </row>
    <row r="20659">
      <c r="A20659" s="39"/>
      <c r="E20659" s="40" t="s">
        <v>11404</v>
      </c>
      <c r="F20659" s="40" t="s">
        <v>11404</v>
      </c>
      <c r="G20659" s="40" t="s">
        <v>11404</v>
      </c>
      <c r="H20659" s="40" t="s">
        <v>11404</v>
      </c>
    </row>
    <row r="20660">
      <c r="A20660" s="39"/>
      <c r="E20660" s="40" t="s">
        <v>11404</v>
      </c>
      <c r="F20660" s="40" t="s">
        <v>11404</v>
      </c>
      <c r="G20660" s="40" t="s">
        <v>11404</v>
      </c>
      <c r="H20660" s="40" t="s">
        <v>11404</v>
      </c>
    </row>
    <row r="20661">
      <c r="A20661" s="39"/>
      <c r="E20661" s="40" t="s">
        <v>11404</v>
      </c>
      <c r="F20661" s="40" t="s">
        <v>11404</v>
      </c>
      <c r="G20661" s="40" t="s">
        <v>11404</v>
      </c>
      <c r="H20661" s="40" t="s">
        <v>11404</v>
      </c>
    </row>
    <row r="20662">
      <c r="A20662" s="39"/>
      <c r="E20662" s="40" t="s">
        <v>11404</v>
      </c>
      <c r="F20662" s="40" t="s">
        <v>11404</v>
      </c>
      <c r="G20662" s="40" t="s">
        <v>11404</v>
      </c>
      <c r="H20662" s="40" t="s">
        <v>11404</v>
      </c>
    </row>
    <row r="20663">
      <c r="A20663" s="39"/>
      <c r="E20663" s="40" t="s">
        <v>11404</v>
      </c>
      <c r="F20663" s="40" t="s">
        <v>11404</v>
      </c>
      <c r="G20663" s="40" t="s">
        <v>11404</v>
      </c>
      <c r="H20663" s="40" t="s">
        <v>11404</v>
      </c>
    </row>
    <row r="20664">
      <c r="A20664" s="39"/>
      <c r="E20664" s="40" t="s">
        <v>11404</v>
      </c>
      <c r="F20664" s="40" t="s">
        <v>11404</v>
      </c>
      <c r="G20664" s="40" t="s">
        <v>11404</v>
      </c>
      <c r="H20664" s="40" t="s">
        <v>11404</v>
      </c>
    </row>
    <row r="20665">
      <c r="A20665" s="39"/>
      <c r="E20665" s="40" t="s">
        <v>11404</v>
      </c>
      <c r="F20665" s="40" t="s">
        <v>11404</v>
      </c>
      <c r="G20665" s="40" t="s">
        <v>11404</v>
      </c>
      <c r="H20665" s="40" t="s">
        <v>11404</v>
      </c>
    </row>
    <row r="20666">
      <c r="A20666" s="39"/>
      <c r="E20666" s="40" t="s">
        <v>11404</v>
      </c>
      <c r="F20666" s="40" t="s">
        <v>11404</v>
      </c>
      <c r="G20666" s="40" t="s">
        <v>11404</v>
      </c>
      <c r="H20666" s="40" t="s">
        <v>11404</v>
      </c>
    </row>
    <row r="20667">
      <c r="A20667" s="39"/>
      <c r="E20667" s="40" t="s">
        <v>11404</v>
      </c>
      <c r="F20667" s="40" t="s">
        <v>11404</v>
      </c>
      <c r="G20667" s="40" t="s">
        <v>11404</v>
      </c>
      <c r="H20667" s="40" t="s">
        <v>11404</v>
      </c>
    </row>
    <row r="20668">
      <c r="A20668" s="39"/>
      <c r="E20668" s="40" t="s">
        <v>11404</v>
      </c>
      <c r="F20668" s="40" t="s">
        <v>11404</v>
      </c>
      <c r="G20668" s="40" t="s">
        <v>11404</v>
      </c>
      <c r="H20668" s="40" t="s">
        <v>11404</v>
      </c>
    </row>
    <row r="20669">
      <c r="A20669" s="39"/>
      <c r="E20669" s="40" t="s">
        <v>11404</v>
      </c>
      <c r="F20669" s="40" t="s">
        <v>11404</v>
      </c>
      <c r="G20669" s="40" t="s">
        <v>11404</v>
      </c>
      <c r="H20669" s="40" t="s">
        <v>11404</v>
      </c>
    </row>
    <row r="20670">
      <c r="A20670" s="39"/>
      <c r="E20670" s="40" t="s">
        <v>11404</v>
      </c>
      <c r="F20670" s="40" t="s">
        <v>11404</v>
      </c>
      <c r="G20670" s="40" t="s">
        <v>11404</v>
      </c>
      <c r="H20670" s="40" t="s">
        <v>11404</v>
      </c>
    </row>
    <row r="20671">
      <c r="A20671" s="39"/>
      <c r="E20671" s="40" t="s">
        <v>11404</v>
      </c>
      <c r="F20671" s="40" t="s">
        <v>11404</v>
      </c>
      <c r="G20671" s="40" t="s">
        <v>11404</v>
      </c>
      <c r="H20671" s="40" t="s">
        <v>11404</v>
      </c>
    </row>
    <row r="20672">
      <c r="A20672" s="39"/>
      <c r="E20672" s="40" t="s">
        <v>11404</v>
      </c>
      <c r="F20672" s="40" t="s">
        <v>11404</v>
      </c>
      <c r="G20672" s="40" t="s">
        <v>11404</v>
      </c>
      <c r="H20672" s="40" t="s">
        <v>11404</v>
      </c>
    </row>
    <row r="20673">
      <c r="A20673" s="39"/>
      <c r="E20673" s="40" t="s">
        <v>11404</v>
      </c>
      <c r="F20673" s="40" t="s">
        <v>11404</v>
      </c>
      <c r="G20673" s="40" t="s">
        <v>11404</v>
      </c>
      <c r="H20673" s="40" t="s">
        <v>11404</v>
      </c>
    </row>
    <row r="20674">
      <c r="A20674" s="39"/>
      <c r="E20674" s="40" t="s">
        <v>11404</v>
      </c>
      <c r="F20674" s="40" t="s">
        <v>11404</v>
      </c>
      <c r="G20674" s="40" t="s">
        <v>11404</v>
      </c>
      <c r="H20674" s="40" t="s">
        <v>11404</v>
      </c>
    </row>
    <row r="20675">
      <c r="A20675" s="39"/>
      <c r="E20675" s="40" t="s">
        <v>11404</v>
      </c>
      <c r="F20675" s="40" t="s">
        <v>11404</v>
      </c>
      <c r="G20675" s="40" t="s">
        <v>11404</v>
      </c>
      <c r="H20675" s="40" t="s">
        <v>11404</v>
      </c>
    </row>
    <row r="20676">
      <c r="A20676" s="39"/>
      <c r="E20676" s="40" t="s">
        <v>11404</v>
      </c>
      <c r="F20676" s="40" t="s">
        <v>11404</v>
      </c>
      <c r="G20676" s="40" t="s">
        <v>11404</v>
      </c>
      <c r="H20676" s="40" t="s">
        <v>11404</v>
      </c>
    </row>
    <row r="20677">
      <c r="A20677" s="39"/>
      <c r="E20677" s="40" t="s">
        <v>11404</v>
      </c>
      <c r="F20677" s="40" t="s">
        <v>11404</v>
      </c>
      <c r="G20677" s="40" t="s">
        <v>11404</v>
      </c>
      <c r="H20677" s="40" t="s">
        <v>11404</v>
      </c>
    </row>
    <row r="20678">
      <c r="A20678" s="39"/>
      <c r="E20678" s="40" t="s">
        <v>11404</v>
      </c>
      <c r="F20678" s="40" t="s">
        <v>11404</v>
      </c>
      <c r="G20678" s="40" t="s">
        <v>11404</v>
      </c>
      <c r="H20678" s="40" t="s">
        <v>11404</v>
      </c>
    </row>
    <row r="20679">
      <c r="A20679" s="39"/>
      <c r="E20679" s="40" t="s">
        <v>11404</v>
      </c>
      <c r="F20679" s="40" t="s">
        <v>11404</v>
      </c>
      <c r="G20679" s="40" t="s">
        <v>11404</v>
      </c>
      <c r="H20679" s="40" t="s">
        <v>11404</v>
      </c>
    </row>
    <row r="20680">
      <c r="A20680" s="39"/>
      <c r="E20680" s="40" t="s">
        <v>11404</v>
      </c>
      <c r="F20680" s="40" t="s">
        <v>11404</v>
      </c>
      <c r="G20680" s="40" t="s">
        <v>11404</v>
      </c>
      <c r="H20680" s="40" t="s">
        <v>11404</v>
      </c>
    </row>
    <row r="20681">
      <c r="A20681" s="39"/>
      <c r="E20681" s="40" t="s">
        <v>11404</v>
      </c>
      <c r="F20681" s="40" t="s">
        <v>11404</v>
      </c>
      <c r="G20681" s="40" t="s">
        <v>11404</v>
      </c>
      <c r="H20681" s="40" t="s">
        <v>11404</v>
      </c>
    </row>
    <row r="20682">
      <c r="A20682" s="39"/>
      <c r="E20682" s="40" t="s">
        <v>11404</v>
      </c>
      <c r="F20682" s="40" t="s">
        <v>11404</v>
      </c>
      <c r="G20682" s="40" t="s">
        <v>11404</v>
      </c>
      <c r="H20682" s="40" t="s">
        <v>11404</v>
      </c>
    </row>
    <row r="20683">
      <c r="A20683" s="39"/>
      <c r="E20683" s="40" t="s">
        <v>11404</v>
      </c>
      <c r="F20683" s="40" t="s">
        <v>11404</v>
      </c>
      <c r="G20683" s="40" t="s">
        <v>11404</v>
      </c>
      <c r="H20683" s="40" t="s">
        <v>11404</v>
      </c>
    </row>
    <row r="20684">
      <c r="A20684" s="39"/>
      <c r="E20684" s="40" t="s">
        <v>11404</v>
      </c>
      <c r="F20684" s="40" t="s">
        <v>11404</v>
      </c>
      <c r="G20684" s="40" t="s">
        <v>11404</v>
      </c>
      <c r="H20684" s="40" t="s">
        <v>11404</v>
      </c>
    </row>
    <row r="20685">
      <c r="A20685" s="39"/>
      <c r="E20685" s="40" t="s">
        <v>11404</v>
      </c>
      <c r="F20685" s="40" t="s">
        <v>11404</v>
      </c>
      <c r="G20685" s="40" t="s">
        <v>11404</v>
      </c>
      <c r="H20685" s="40" t="s">
        <v>11404</v>
      </c>
    </row>
    <row r="20686">
      <c r="A20686" s="39"/>
      <c r="E20686" s="40" t="s">
        <v>11404</v>
      </c>
      <c r="F20686" s="40" t="s">
        <v>11404</v>
      </c>
      <c r="G20686" s="40" t="s">
        <v>11404</v>
      </c>
      <c r="H20686" s="40" t="s">
        <v>11404</v>
      </c>
    </row>
    <row r="20687">
      <c r="A20687" s="39"/>
      <c r="E20687" s="40" t="s">
        <v>11404</v>
      </c>
      <c r="F20687" s="40" t="s">
        <v>11404</v>
      </c>
      <c r="G20687" s="40" t="s">
        <v>11404</v>
      </c>
      <c r="H20687" s="40" t="s">
        <v>11404</v>
      </c>
    </row>
    <row r="20688">
      <c r="A20688" s="39"/>
      <c r="E20688" s="40" t="s">
        <v>11404</v>
      </c>
      <c r="F20688" s="40" t="s">
        <v>11404</v>
      </c>
      <c r="G20688" s="40" t="s">
        <v>11404</v>
      </c>
      <c r="H20688" s="40" t="s">
        <v>11404</v>
      </c>
    </row>
    <row r="20689">
      <c r="A20689" s="39"/>
      <c r="E20689" s="40" t="s">
        <v>11404</v>
      </c>
      <c r="F20689" s="40" t="s">
        <v>11404</v>
      </c>
      <c r="G20689" s="40" t="s">
        <v>11404</v>
      </c>
      <c r="H20689" s="40" t="s">
        <v>11404</v>
      </c>
    </row>
    <row r="20690">
      <c r="A20690" s="39"/>
      <c r="E20690" s="40" t="s">
        <v>11404</v>
      </c>
      <c r="F20690" s="40" t="s">
        <v>11404</v>
      </c>
      <c r="G20690" s="40" t="s">
        <v>11404</v>
      </c>
      <c r="H20690" s="40" t="s">
        <v>11404</v>
      </c>
    </row>
    <row r="20691">
      <c r="A20691" s="39"/>
      <c r="E20691" s="40" t="s">
        <v>11404</v>
      </c>
      <c r="F20691" s="40" t="s">
        <v>11404</v>
      </c>
      <c r="G20691" s="40" t="s">
        <v>11404</v>
      </c>
      <c r="H20691" s="40" t="s">
        <v>11404</v>
      </c>
    </row>
    <row r="20692">
      <c r="A20692" s="39"/>
      <c r="E20692" s="40" t="s">
        <v>11404</v>
      </c>
      <c r="F20692" s="40" t="s">
        <v>11404</v>
      </c>
      <c r="G20692" s="40" t="s">
        <v>11404</v>
      </c>
      <c r="H20692" s="40" t="s">
        <v>11404</v>
      </c>
    </row>
    <row r="20693">
      <c r="A20693" s="39"/>
      <c r="E20693" s="40" t="s">
        <v>11404</v>
      </c>
      <c r="F20693" s="40" t="s">
        <v>11404</v>
      </c>
      <c r="G20693" s="40" t="s">
        <v>11404</v>
      </c>
      <c r="H20693" s="40" t="s">
        <v>11404</v>
      </c>
    </row>
    <row r="20694">
      <c r="A20694" s="39"/>
      <c r="E20694" s="40" t="s">
        <v>11404</v>
      </c>
      <c r="F20694" s="40" t="s">
        <v>11404</v>
      </c>
      <c r="G20694" s="40" t="s">
        <v>11404</v>
      </c>
      <c r="H20694" s="40" t="s">
        <v>11404</v>
      </c>
    </row>
    <row r="20695">
      <c r="A20695" s="39"/>
      <c r="E20695" s="40" t="s">
        <v>11404</v>
      </c>
      <c r="F20695" s="40" t="s">
        <v>11404</v>
      </c>
      <c r="G20695" s="40" t="s">
        <v>11404</v>
      </c>
      <c r="H20695" s="40" t="s">
        <v>11404</v>
      </c>
    </row>
    <row r="20696">
      <c r="A20696" s="39"/>
      <c r="E20696" s="40" t="s">
        <v>11404</v>
      </c>
      <c r="F20696" s="40" t="s">
        <v>11404</v>
      </c>
      <c r="G20696" s="40" t="s">
        <v>11404</v>
      </c>
      <c r="H20696" s="40" t="s">
        <v>11404</v>
      </c>
    </row>
    <row r="20697">
      <c r="A20697" s="39"/>
      <c r="E20697" s="40" t="s">
        <v>11404</v>
      </c>
      <c r="F20697" s="40" t="s">
        <v>11404</v>
      </c>
      <c r="G20697" s="40" t="s">
        <v>11404</v>
      </c>
      <c r="H20697" s="40" t="s">
        <v>11404</v>
      </c>
    </row>
    <row r="20698">
      <c r="A20698" s="39"/>
      <c r="E20698" s="40" t="s">
        <v>11404</v>
      </c>
      <c r="F20698" s="40" t="s">
        <v>11404</v>
      </c>
      <c r="G20698" s="40" t="s">
        <v>11404</v>
      </c>
      <c r="H20698" s="40" t="s">
        <v>11404</v>
      </c>
    </row>
    <row r="20699">
      <c r="A20699" s="39"/>
      <c r="E20699" s="40" t="s">
        <v>11404</v>
      </c>
      <c r="F20699" s="40" t="s">
        <v>11404</v>
      </c>
      <c r="G20699" s="40" t="s">
        <v>11404</v>
      </c>
      <c r="H20699" s="40" t="s">
        <v>11404</v>
      </c>
    </row>
    <row r="20700">
      <c r="A20700" s="39"/>
      <c r="E20700" s="40" t="s">
        <v>11404</v>
      </c>
      <c r="F20700" s="40" t="s">
        <v>11404</v>
      </c>
      <c r="G20700" s="40" t="s">
        <v>11404</v>
      </c>
      <c r="H20700" s="40" t="s">
        <v>11404</v>
      </c>
    </row>
    <row r="20701">
      <c r="A20701" s="39"/>
      <c r="E20701" s="40" t="s">
        <v>11404</v>
      </c>
      <c r="F20701" s="40" t="s">
        <v>11404</v>
      </c>
      <c r="G20701" s="40" t="s">
        <v>11404</v>
      </c>
      <c r="H20701" s="40" t="s">
        <v>11404</v>
      </c>
    </row>
    <row r="20702">
      <c r="A20702" s="39"/>
      <c r="E20702" s="40" t="s">
        <v>11404</v>
      </c>
      <c r="F20702" s="40" t="s">
        <v>11404</v>
      </c>
      <c r="G20702" s="40" t="s">
        <v>11404</v>
      </c>
      <c r="H20702" s="40" t="s">
        <v>11404</v>
      </c>
    </row>
    <row r="20703">
      <c r="A20703" s="39"/>
      <c r="E20703" s="40" t="s">
        <v>11404</v>
      </c>
      <c r="F20703" s="40" t="s">
        <v>11404</v>
      </c>
      <c r="G20703" s="40" t="s">
        <v>11404</v>
      </c>
      <c r="H20703" s="40" t="s">
        <v>11404</v>
      </c>
    </row>
    <row r="20704">
      <c r="A20704" s="39"/>
      <c r="E20704" s="40" t="s">
        <v>11404</v>
      </c>
      <c r="F20704" s="40" t="s">
        <v>11404</v>
      </c>
      <c r="G20704" s="40" t="s">
        <v>11404</v>
      </c>
      <c r="H20704" s="40" t="s">
        <v>11404</v>
      </c>
    </row>
    <row r="20705">
      <c r="A20705" s="39"/>
      <c r="E20705" s="40" t="s">
        <v>11404</v>
      </c>
      <c r="F20705" s="40" t="s">
        <v>11404</v>
      </c>
      <c r="G20705" s="40" t="s">
        <v>11404</v>
      </c>
      <c r="H20705" s="40" t="s">
        <v>11404</v>
      </c>
    </row>
    <row r="20706">
      <c r="A20706" s="39"/>
      <c r="E20706" s="40" t="s">
        <v>11404</v>
      </c>
      <c r="F20706" s="40" t="s">
        <v>11404</v>
      </c>
      <c r="G20706" s="40" t="s">
        <v>11404</v>
      </c>
      <c r="H20706" s="40" t="s">
        <v>11404</v>
      </c>
    </row>
    <row r="20707">
      <c r="A20707" s="39"/>
      <c r="E20707" s="40" t="s">
        <v>11404</v>
      </c>
      <c r="F20707" s="40" t="s">
        <v>11404</v>
      </c>
      <c r="G20707" s="40" t="s">
        <v>11404</v>
      </c>
      <c r="H20707" s="40" t="s">
        <v>11404</v>
      </c>
    </row>
    <row r="20708">
      <c r="A20708" s="39"/>
      <c r="E20708" s="40" t="s">
        <v>11404</v>
      </c>
      <c r="F20708" s="40" t="s">
        <v>11404</v>
      </c>
      <c r="G20708" s="40" t="s">
        <v>11404</v>
      </c>
      <c r="H20708" s="40" t="s">
        <v>11404</v>
      </c>
    </row>
    <row r="20709">
      <c r="A20709" s="39"/>
      <c r="E20709" s="40" t="s">
        <v>11404</v>
      </c>
      <c r="F20709" s="40" t="s">
        <v>11404</v>
      </c>
      <c r="G20709" s="40" t="s">
        <v>11404</v>
      </c>
      <c r="H20709" s="40" t="s">
        <v>11404</v>
      </c>
    </row>
    <row r="20710">
      <c r="A20710" s="39"/>
      <c r="E20710" s="40" t="s">
        <v>11404</v>
      </c>
      <c r="F20710" s="40" t="s">
        <v>11404</v>
      </c>
      <c r="G20710" s="40" t="s">
        <v>11404</v>
      </c>
      <c r="H20710" s="40" t="s">
        <v>11404</v>
      </c>
    </row>
    <row r="20711">
      <c r="A20711" s="39"/>
      <c r="E20711" s="40" t="s">
        <v>11404</v>
      </c>
      <c r="F20711" s="40" t="s">
        <v>11404</v>
      </c>
      <c r="G20711" s="40" t="s">
        <v>11404</v>
      </c>
      <c r="H20711" s="40" t="s">
        <v>11404</v>
      </c>
    </row>
    <row r="20712">
      <c r="A20712" s="39"/>
      <c r="E20712" s="40" t="s">
        <v>11404</v>
      </c>
      <c r="F20712" s="40" t="s">
        <v>11404</v>
      </c>
      <c r="G20712" s="40" t="s">
        <v>11404</v>
      </c>
      <c r="H20712" s="40" t="s">
        <v>11404</v>
      </c>
    </row>
    <row r="20713">
      <c r="A20713" s="39"/>
      <c r="E20713" s="40" t="s">
        <v>11404</v>
      </c>
      <c r="F20713" s="40" t="s">
        <v>11404</v>
      </c>
      <c r="G20713" s="40" t="s">
        <v>11404</v>
      </c>
      <c r="H20713" s="40" t="s">
        <v>11404</v>
      </c>
    </row>
    <row r="20714">
      <c r="A20714" s="39"/>
      <c r="E20714" s="40" t="s">
        <v>11404</v>
      </c>
      <c r="F20714" s="40" t="s">
        <v>11404</v>
      </c>
      <c r="G20714" s="40" t="s">
        <v>11404</v>
      </c>
      <c r="H20714" s="40" t="s">
        <v>11404</v>
      </c>
    </row>
    <row r="20715">
      <c r="A20715" s="39"/>
      <c r="E20715" s="40" t="s">
        <v>11404</v>
      </c>
      <c r="F20715" s="40" t="s">
        <v>11404</v>
      </c>
      <c r="G20715" s="40" t="s">
        <v>11404</v>
      </c>
      <c r="H20715" s="40" t="s">
        <v>11404</v>
      </c>
    </row>
    <row r="20716">
      <c r="A20716" s="39"/>
      <c r="E20716" s="40" t="s">
        <v>11404</v>
      </c>
      <c r="F20716" s="40" t="s">
        <v>11404</v>
      </c>
      <c r="G20716" s="40" t="s">
        <v>11404</v>
      </c>
      <c r="H20716" s="40" t="s">
        <v>11404</v>
      </c>
    </row>
    <row r="20717">
      <c r="A20717" s="39"/>
      <c r="E20717" s="40" t="s">
        <v>11404</v>
      </c>
      <c r="F20717" s="40" t="s">
        <v>11404</v>
      </c>
      <c r="G20717" s="40" t="s">
        <v>11404</v>
      </c>
      <c r="H20717" s="40" t="s">
        <v>11404</v>
      </c>
    </row>
    <row r="20718">
      <c r="A20718" s="39"/>
      <c r="E20718" s="40" t="s">
        <v>11404</v>
      </c>
      <c r="F20718" s="40" t="s">
        <v>11404</v>
      </c>
      <c r="G20718" s="40" t="s">
        <v>11404</v>
      </c>
      <c r="H20718" s="40" t="s">
        <v>11404</v>
      </c>
    </row>
    <row r="20719">
      <c r="A20719" s="39"/>
      <c r="E20719" s="40" t="s">
        <v>11404</v>
      </c>
      <c r="F20719" s="40" t="s">
        <v>11404</v>
      </c>
      <c r="G20719" s="40" t="s">
        <v>11404</v>
      </c>
      <c r="H20719" s="40" t="s">
        <v>11404</v>
      </c>
    </row>
    <row r="20720">
      <c r="A20720" s="39"/>
      <c r="E20720" s="40" t="s">
        <v>11404</v>
      </c>
      <c r="F20720" s="40" t="s">
        <v>11404</v>
      </c>
      <c r="G20720" s="40" t="s">
        <v>11404</v>
      </c>
      <c r="H20720" s="40" t="s">
        <v>11404</v>
      </c>
    </row>
    <row r="20721">
      <c r="A20721" s="39"/>
      <c r="E20721" s="40" t="s">
        <v>11404</v>
      </c>
      <c r="F20721" s="40" t="s">
        <v>11404</v>
      </c>
      <c r="G20721" s="40" t="s">
        <v>11404</v>
      </c>
      <c r="H20721" s="40" t="s">
        <v>11404</v>
      </c>
    </row>
    <row r="20722">
      <c r="A20722" s="39"/>
      <c r="E20722" s="40" t="s">
        <v>11404</v>
      </c>
      <c r="F20722" s="40" t="s">
        <v>11404</v>
      </c>
      <c r="G20722" s="40" t="s">
        <v>11404</v>
      </c>
      <c r="H20722" s="40" t="s">
        <v>11404</v>
      </c>
    </row>
    <row r="20723">
      <c r="A20723" s="39"/>
      <c r="E20723" s="40" t="s">
        <v>11404</v>
      </c>
      <c r="F20723" s="40" t="s">
        <v>11404</v>
      </c>
      <c r="G20723" s="40" t="s">
        <v>11404</v>
      </c>
      <c r="H20723" s="40" t="s">
        <v>11404</v>
      </c>
    </row>
    <row r="20724">
      <c r="A20724" s="39"/>
      <c r="E20724" s="40" t="s">
        <v>11404</v>
      </c>
      <c r="F20724" s="40" t="s">
        <v>11404</v>
      </c>
      <c r="G20724" s="40" t="s">
        <v>11404</v>
      </c>
      <c r="H20724" s="40" t="s">
        <v>11404</v>
      </c>
    </row>
    <row r="20725">
      <c r="A20725" s="39"/>
      <c r="E20725" s="40" t="s">
        <v>11404</v>
      </c>
      <c r="F20725" s="40" t="s">
        <v>11404</v>
      </c>
      <c r="G20725" s="40" t="s">
        <v>11404</v>
      </c>
      <c r="H20725" s="40" t="s">
        <v>11404</v>
      </c>
    </row>
    <row r="20726">
      <c r="A20726" s="39"/>
      <c r="E20726" s="40" t="s">
        <v>11404</v>
      </c>
      <c r="F20726" s="40" t="s">
        <v>11404</v>
      </c>
      <c r="G20726" s="40" t="s">
        <v>11404</v>
      </c>
      <c r="H20726" s="40" t="s">
        <v>11404</v>
      </c>
    </row>
    <row r="20727">
      <c r="A20727" s="39"/>
      <c r="E20727" s="40" t="s">
        <v>11404</v>
      </c>
      <c r="F20727" s="40" t="s">
        <v>11404</v>
      </c>
      <c r="G20727" s="40" t="s">
        <v>11404</v>
      </c>
      <c r="H20727" s="40" t="s">
        <v>11404</v>
      </c>
    </row>
    <row r="20728">
      <c r="A20728" s="39"/>
      <c r="E20728" s="40" t="s">
        <v>11404</v>
      </c>
      <c r="F20728" s="40" t="s">
        <v>11404</v>
      </c>
      <c r="G20728" s="40" t="s">
        <v>11404</v>
      </c>
      <c r="H20728" s="40" t="s">
        <v>11404</v>
      </c>
    </row>
    <row r="20729">
      <c r="A20729" s="39"/>
      <c r="E20729" s="40" t="s">
        <v>11404</v>
      </c>
      <c r="F20729" s="40" t="s">
        <v>11404</v>
      </c>
      <c r="G20729" s="40" t="s">
        <v>11404</v>
      </c>
      <c r="H20729" s="40" t="s">
        <v>11404</v>
      </c>
    </row>
    <row r="20730">
      <c r="A20730" s="39"/>
      <c r="E20730" s="40" t="s">
        <v>11404</v>
      </c>
      <c r="F20730" s="40" t="s">
        <v>11404</v>
      </c>
      <c r="G20730" s="40" t="s">
        <v>11404</v>
      </c>
      <c r="H20730" s="40" t="s">
        <v>11404</v>
      </c>
    </row>
    <row r="20731">
      <c r="A20731" s="39"/>
      <c r="E20731" s="40" t="s">
        <v>11404</v>
      </c>
      <c r="F20731" s="40" t="s">
        <v>11404</v>
      </c>
      <c r="G20731" s="40" t="s">
        <v>11404</v>
      </c>
      <c r="H20731" s="40" t="s">
        <v>11404</v>
      </c>
    </row>
    <row r="20732">
      <c r="A20732" s="39"/>
      <c r="E20732" s="40" t="s">
        <v>11404</v>
      </c>
      <c r="F20732" s="40" t="s">
        <v>11404</v>
      </c>
      <c r="G20732" s="40" t="s">
        <v>11404</v>
      </c>
      <c r="H20732" s="40" t="s">
        <v>11404</v>
      </c>
    </row>
    <row r="20733">
      <c r="A20733" s="39"/>
      <c r="E20733" s="40" t="s">
        <v>11404</v>
      </c>
      <c r="F20733" s="40" t="s">
        <v>11404</v>
      </c>
      <c r="G20733" s="40" t="s">
        <v>11404</v>
      </c>
      <c r="H20733" s="40" t="s">
        <v>11404</v>
      </c>
    </row>
    <row r="20734">
      <c r="A20734" s="39"/>
      <c r="E20734" s="40" t="s">
        <v>11404</v>
      </c>
      <c r="F20734" s="40" t="s">
        <v>11404</v>
      </c>
      <c r="G20734" s="40" t="s">
        <v>11404</v>
      </c>
      <c r="H20734" s="40" t="s">
        <v>11404</v>
      </c>
    </row>
    <row r="20735">
      <c r="A20735" s="39"/>
      <c r="E20735" s="40" t="s">
        <v>11404</v>
      </c>
      <c r="F20735" s="40" t="s">
        <v>11404</v>
      </c>
      <c r="G20735" s="40" t="s">
        <v>11404</v>
      </c>
      <c r="H20735" s="40" t="s">
        <v>11404</v>
      </c>
    </row>
    <row r="20736">
      <c r="A20736" s="39"/>
      <c r="E20736" s="40" t="s">
        <v>11404</v>
      </c>
      <c r="F20736" s="40" t="s">
        <v>11404</v>
      </c>
      <c r="G20736" s="40" t="s">
        <v>11404</v>
      </c>
      <c r="H20736" s="40" t="s">
        <v>11404</v>
      </c>
    </row>
    <row r="20737">
      <c r="A20737" s="39"/>
      <c r="E20737" s="40" t="s">
        <v>11404</v>
      </c>
      <c r="F20737" s="40" t="s">
        <v>11404</v>
      </c>
      <c r="G20737" s="40" t="s">
        <v>11404</v>
      </c>
      <c r="H20737" s="40" t="s">
        <v>11404</v>
      </c>
    </row>
    <row r="20738">
      <c r="A20738" s="39"/>
      <c r="E20738" s="40" t="s">
        <v>11404</v>
      </c>
      <c r="F20738" s="40" t="s">
        <v>11404</v>
      </c>
      <c r="G20738" s="40" t="s">
        <v>11404</v>
      </c>
      <c r="H20738" s="40" t="s">
        <v>11404</v>
      </c>
    </row>
    <row r="20739">
      <c r="A20739" s="39"/>
      <c r="E20739" s="40" t="s">
        <v>11404</v>
      </c>
      <c r="F20739" s="40" t="s">
        <v>11404</v>
      </c>
      <c r="G20739" s="40" t="s">
        <v>11404</v>
      </c>
      <c r="H20739" s="40" t="s">
        <v>11404</v>
      </c>
    </row>
    <row r="20740">
      <c r="A20740" s="39"/>
      <c r="E20740" s="40" t="s">
        <v>11404</v>
      </c>
      <c r="F20740" s="40" t="s">
        <v>11404</v>
      </c>
      <c r="G20740" s="40" t="s">
        <v>11404</v>
      </c>
      <c r="H20740" s="40" t="s">
        <v>11404</v>
      </c>
    </row>
    <row r="20741">
      <c r="A20741" s="39"/>
      <c r="E20741" s="40" t="s">
        <v>11404</v>
      </c>
      <c r="F20741" s="40" t="s">
        <v>11404</v>
      </c>
      <c r="G20741" s="40" t="s">
        <v>11404</v>
      </c>
      <c r="H20741" s="40" t="s">
        <v>11404</v>
      </c>
    </row>
    <row r="20742">
      <c r="A20742" s="39"/>
      <c r="E20742" s="40" t="s">
        <v>11404</v>
      </c>
      <c r="F20742" s="40" t="s">
        <v>11404</v>
      </c>
      <c r="G20742" s="40" t="s">
        <v>11404</v>
      </c>
      <c r="H20742" s="40" t="s">
        <v>11404</v>
      </c>
    </row>
    <row r="20743">
      <c r="A20743" s="39"/>
      <c r="E20743" s="40" t="s">
        <v>11404</v>
      </c>
      <c r="F20743" s="40" t="s">
        <v>11404</v>
      </c>
      <c r="G20743" s="40" t="s">
        <v>11404</v>
      </c>
      <c r="H20743" s="40" t="s">
        <v>11404</v>
      </c>
    </row>
    <row r="20744">
      <c r="A20744" s="39"/>
      <c r="E20744" s="40" t="s">
        <v>11404</v>
      </c>
      <c r="F20744" s="40" t="s">
        <v>11404</v>
      </c>
      <c r="G20744" s="40" t="s">
        <v>11404</v>
      </c>
      <c r="H20744" s="40" t="s">
        <v>11404</v>
      </c>
    </row>
    <row r="20745">
      <c r="A20745" s="39"/>
      <c r="E20745" s="40" t="s">
        <v>11404</v>
      </c>
      <c r="F20745" s="40" t="s">
        <v>11404</v>
      </c>
      <c r="G20745" s="40" t="s">
        <v>11404</v>
      </c>
      <c r="H20745" s="40" t="s">
        <v>11404</v>
      </c>
    </row>
    <row r="20746">
      <c r="A20746" s="39"/>
      <c r="E20746" s="40" t="s">
        <v>11404</v>
      </c>
      <c r="F20746" s="40" t="s">
        <v>11404</v>
      </c>
      <c r="G20746" s="40" t="s">
        <v>11404</v>
      </c>
      <c r="H20746" s="40" t="s">
        <v>11404</v>
      </c>
    </row>
    <row r="20747">
      <c r="A20747" s="39"/>
      <c r="E20747" s="40" t="s">
        <v>11404</v>
      </c>
      <c r="F20747" s="40" t="s">
        <v>11404</v>
      </c>
      <c r="G20747" s="40" t="s">
        <v>11404</v>
      </c>
      <c r="H20747" s="40" t="s">
        <v>11404</v>
      </c>
    </row>
    <row r="20748">
      <c r="A20748" s="39"/>
      <c r="E20748" s="40" t="s">
        <v>11404</v>
      </c>
      <c r="F20748" s="40" t="s">
        <v>11404</v>
      </c>
      <c r="G20748" s="40" t="s">
        <v>11404</v>
      </c>
      <c r="H20748" s="40" t="s">
        <v>11404</v>
      </c>
    </row>
    <row r="20749">
      <c r="A20749" s="39"/>
      <c r="E20749" s="40" t="s">
        <v>11404</v>
      </c>
      <c r="F20749" s="40" t="s">
        <v>11404</v>
      </c>
      <c r="G20749" s="40" t="s">
        <v>11404</v>
      </c>
      <c r="H20749" s="40" t="s">
        <v>11404</v>
      </c>
    </row>
    <row r="20750">
      <c r="A20750" s="39"/>
      <c r="E20750" s="40" t="s">
        <v>11404</v>
      </c>
      <c r="F20750" s="40" t="s">
        <v>11404</v>
      </c>
      <c r="G20750" s="40" t="s">
        <v>11404</v>
      </c>
      <c r="H20750" s="40" t="s">
        <v>11404</v>
      </c>
    </row>
    <row r="20751">
      <c r="A20751" s="39"/>
      <c r="E20751" s="40" t="s">
        <v>11404</v>
      </c>
      <c r="F20751" s="40" t="s">
        <v>11404</v>
      </c>
      <c r="G20751" s="40" t="s">
        <v>11404</v>
      </c>
      <c r="H20751" s="40" t="s">
        <v>11404</v>
      </c>
    </row>
    <row r="20752">
      <c r="A20752" s="39"/>
      <c r="E20752" s="40" t="s">
        <v>11404</v>
      </c>
      <c r="F20752" s="40" t="s">
        <v>11404</v>
      </c>
      <c r="G20752" s="40" t="s">
        <v>11404</v>
      </c>
      <c r="H20752" s="40" t="s">
        <v>11404</v>
      </c>
    </row>
    <row r="20753">
      <c r="A20753" s="39"/>
      <c r="E20753" s="40" t="s">
        <v>11404</v>
      </c>
      <c r="F20753" s="40" t="s">
        <v>11404</v>
      </c>
      <c r="G20753" s="40" t="s">
        <v>11404</v>
      </c>
      <c r="H20753" s="40" t="s">
        <v>11404</v>
      </c>
    </row>
    <row r="20754">
      <c r="A20754" s="39"/>
      <c r="E20754" s="40" t="s">
        <v>11404</v>
      </c>
      <c r="F20754" s="40" t="s">
        <v>11404</v>
      </c>
      <c r="G20754" s="40" t="s">
        <v>11404</v>
      </c>
      <c r="H20754" s="40" t="s">
        <v>11404</v>
      </c>
    </row>
    <row r="20755">
      <c r="A20755" s="39"/>
      <c r="E20755" s="40" t="s">
        <v>11404</v>
      </c>
      <c r="F20755" s="40" t="s">
        <v>11404</v>
      </c>
      <c r="G20755" s="40" t="s">
        <v>11404</v>
      </c>
      <c r="H20755" s="40" t="s">
        <v>11404</v>
      </c>
    </row>
    <row r="20756">
      <c r="A20756" s="39"/>
      <c r="E20756" s="40" t="s">
        <v>11404</v>
      </c>
      <c r="F20756" s="40" t="s">
        <v>11404</v>
      </c>
      <c r="G20756" s="40" t="s">
        <v>11404</v>
      </c>
      <c r="H20756" s="40" t="s">
        <v>11404</v>
      </c>
    </row>
    <row r="20757">
      <c r="A20757" s="39"/>
      <c r="E20757" s="40" t="s">
        <v>11404</v>
      </c>
      <c r="F20757" s="40" t="s">
        <v>11404</v>
      </c>
      <c r="G20757" s="40" t="s">
        <v>11404</v>
      </c>
      <c r="H20757" s="40" t="s">
        <v>11404</v>
      </c>
    </row>
    <row r="20758">
      <c r="A20758" s="39"/>
      <c r="E20758" s="40" t="s">
        <v>11404</v>
      </c>
      <c r="F20758" s="40" t="s">
        <v>11404</v>
      </c>
      <c r="G20758" s="40" t="s">
        <v>11404</v>
      </c>
      <c r="H20758" s="40" t="s">
        <v>11404</v>
      </c>
    </row>
    <row r="20759">
      <c r="A20759" s="39"/>
      <c r="E20759" s="40" t="s">
        <v>11404</v>
      </c>
      <c r="F20759" s="40" t="s">
        <v>11404</v>
      </c>
      <c r="G20759" s="40" t="s">
        <v>11404</v>
      </c>
      <c r="H20759" s="40" t="s">
        <v>11404</v>
      </c>
    </row>
    <row r="20760">
      <c r="A20760" s="39"/>
      <c r="E20760" s="40" t="s">
        <v>11404</v>
      </c>
      <c r="F20760" s="40" t="s">
        <v>11404</v>
      </c>
      <c r="G20760" s="40" t="s">
        <v>11404</v>
      </c>
      <c r="H20760" s="40" t="s">
        <v>11404</v>
      </c>
    </row>
    <row r="20761">
      <c r="A20761" s="39"/>
      <c r="E20761" s="40" t="s">
        <v>11404</v>
      </c>
      <c r="F20761" s="40" t="s">
        <v>11404</v>
      </c>
      <c r="G20761" s="40" t="s">
        <v>11404</v>
      </c>
      <c r="H20761" s="40" t="s">
        <v>11404</v>
      </c>
    </row>
    <row r="20762">
      <c r="A20762" s="39"/>
      <c r="E20762" s="40" t="s">
        <v>11404</v>
      </c>
      <c r="F20762" s="40" t="s">
        <v>11404</v>
      </c>
      <c r="G20762" s="40" t="s">
        <v>11404</v>
      </c>
      <c r="H20762" s="40" t="s">
        <v>11404</v>
      </c>
    </row>
    <row r="20763">
      <c r="A20763" s="39"/>
      <c r="E20763" s="40" t="s">
        <v>11404</v>
      </c>
      <c r="F20763" s="40" t="s">
        <v>11404</v>
      </c>
      <c r="G20763" s="40" t="s">
        <v>11404</v>
      </c>
      <c r="H20763" s="40" t="s">
        <v>11404</v>
      </c>
    </row>
    <row r="20764">
      <c r="A20764" s="39"/>
      <c r="E20764" s="40" t="s">
        <v>11404</v>
      </c>
      <c r="F20764" s="40" t="s">
        <v>11404</v>
      </c>
      <c r="G20764" s="40" t="s">
        <v>11404</v>
      </c>
      <c r="H20764" s="40" t="s">
        <v>11404</v>
      </c>
    </row>
    <row r="20765">
      <c r="A20765" s="39"/>
      <c r="E20765" s="40" t="s">
        <v>11404</v>
      </c>
      <c r="F20765" s="40" t="s">
        <v>11404</v>
      </c>
      <c r="G20765" s="40" t="s">
        <v>11404</v>
      </c>
      <c r="H20765" s="40" t="s">
        <v>11404</v>
      </c>
    </row>
    <row r="20766">
      <c r="A20766" s="39"/>
      <c r="E20766" s="40" t="s">
        <v>11404</v>
      </c>
      <c r="F20766" s="40" t="s">
        <v>11404</v>
      </c>
      <c r="G20766" s="40" t="s">
        <v>11404</v>
      </c>
      <c r="H20766" s="40" t="s">
        <v>11404</v>
      </c>
    </row>
    <row r="20767">
      <c r="A20767" s="39"/>
      <c r="E20767" s="40" t="s">
        <v>11404</v>
      </c>
      <c r="F20767" s="40" t="s">
        <v>11404</v>
      </c>
      <c r="G20767" s="40" t="s">
        <v>11404</v>
      </c>
      <c r="H20767" s="40" t="s">
        <v>11404</v>
      </c>
    </row>
    <row r="20768">
      <c r="A20768" s="39"/>
      <c r="E20768" s="40" t="s">
        <v>11404</v>
      </c>
      <c r="F20768" s="40" t="s">
        <v>11404</v>
      </c>
      <c r="G20768" s="40" t="s">
        <v>11404</v>
      </c>
      <c r="H20768" s="40" t="s">
        <v>11404</v>
      </c>
    </row>
    <row r="20769">
      <c r="A20769" s="39"/>
      <c r="E20769" s="40" t="s">
        <v>11404</v>
      </c>
      <c r="F20769" s="40" t="s">
        <v>11404</v>
      </c>
      <c r="G20769" s="40" t="s">
        <v>11404</v>
      </c>
      <c r="H20769" s="40" t="s">
        <v>11404</v>
      </c>
    </row>
    <row r="20770">
      <c r="A20770" s="39"/>
      <c r="E20770" s="40" t="s">
        <v>11404</v>
      </c>
      <c r="F20770" s="40" t="s">
        <v>11404</v>
      </c>
      <c r="G20770" s="40" t="s">
        <v>11404</v>
      </c>
      <c r="H20770" s="40" t="s">
        <v>11404</v>
      </c>
    </row>
    <row r="20771">
      <c r="A20771" s="39"/>
      <c r="E20771" s="40" t="s">
        <v>11404</v>
      </c>
      <c r="F20771" s="40" t="s">
        <v>11404</v>
      </c>
      <c r="G20771" s="40" t="s">
        <v>11404</v>
      </c>
      <c r="H20771" s="40" t="s">
        <v>11404</v>
      </c>
    </row>
    <row r="20772">
      <c r="A20772" s="39"/>
      <c r="E20772" s="40" t="s">
        <v>11404</v>
      </c>
      <c r="F20772" s="40" t="s">
        <v>11404</v>
      </c>
      <c r="G20772" s="40" t="s">
        <v>11404</v>
      </c>
      <c r="H20772" s="40" t="s">
        <v>11404</v>
      </c>
    </row>
    <row r="20773">
      <c r="A20773" s="39"/>
      <c r="E20773" s="40" t="s">
        <v>11404</v>
      </c>
      <c r="F20773" s="40" t="s">
        <v>11404</v>
      </c>
      <c r="G20773" s="40" t="s">
        <v>11404</v>
      </c>
      <c r="H20773" s="40" t="s">
        <v>11404</v>
      </c>
    </row>
    <row r="20774">
      <c r="A20774" s="39"/>
      <c r="E20774" s="40" t="s">
        <v>11404</v>
      </c>
      <c r="F20774" s="40" t="s">
        <v>11404</v>
      </c>
      <c r="G20774" s="40" t="s">
        <v>11404</v>
      </c>
      <c r="H20774" s="40" t="s">
        <v>11404</v>
      </c>
    </row>
    <row r="20775">
      <c r="A20775" s="39"/>
      <c r="E20775" s="40" t="s">
        <v>11404</v>
      </c>
      <c r="F20775" s="40" t="s">
        <v>11404</v>
      </c>
      <c r="G20775" s="40" t="s">
        <v>11404</v>
      </c>
      <c r="H20775" s="40" t="s">
        <v>11404</v>
      </c>
    </row>
    <row r="20776">
      <c r="A20776" s="39"/>
      <c r="E20776" s="40" t="s">
        <v>11404</v>
      </c>
      <c r="F20776" s="40" t="s">
        <v>11404</v>
      </c>
      <c r="G20776" s="40" t="s">
        <v>11404</v>
      </c>
      <c r="H20776" s="40" t="s">
        <v>11404</v>
      </c>
    </row>
    <row r="20777">
      <c r="A20777" s="39"/>
      <c r="E20777" s="40" t="s">
        <v>11404</v>
      </c>
      <c r="F20777" s="40" t="s">
        <v>11404</v>
      </c>
      <c r="G20777" s="40" t="s">
        <v>11404</v>
      </c>
      <c r="H20777" s="40" t="s">
        <v>11404</v>
      </c>
    </row>
    <row r="20778">
      <c r="A20778" s="39"/>
      <c r="E20778" s="40" t="s">
        <v>11404</v>
      </c>
      <c r="F20778" s="40" t="s">
        <v>11404</v>
      </c>
      <c r="G20778" s="40" t="s">
        <v>11404</v>
      </c>
      <c r="H20778" s="40" t="s">
        <v>11404</v>
      </c>
    </row>
    <row r="20779">
      <c r="A20779" s="39"/>
      <c r="E20779" s="40" t="s">
        <v>11404</v>
      </c>
      <c r="F20779" s="40" t="s">
        <v>11404</v>
      </c>
      <c r="G20779" s="40" t="s">
        <v>11404</v>
      </c>
      <c r="H20779" s="40" t="s">
        <v>11404</v>
      </c>
    </row>
    <row r="20780">
      <c r="A20780" s="39"/>
      <c r="E20780" s="40" t="s">
        <v>11404</v>
      </c>
      <c r="F20780" s="40" t="s">
        <v>11404</v>
      </c>
      <c r="G20780" s="40" t="s">
        <v>11404</v>
      </c>
      <c r="H20780" s="40" t="s">
        <v>11404</v>
      </c>
    </row>
    <row r="20781">
      <c r="A20781" s="39"/>
      <c r="E20781" s="40" t="s">
        <v>11404</v>
      </c>
      <c r="F20781" s="40" t="s">
        <v>11404</v>
      </c>
      <c r="G20781" s="40" t="s">
        <v>11404</v>
      </c>
      <c r="H20781" s="40" t="s">
        <v>11404</v>
      </c>
    </row>
    <row r="20782">
      <c r="A20782" s="39"/>
      <c r="E20782" s="40" t="s">
        <v>11404</v>
      </c>
      <c r="F20782" s="40" t="s">
        <v>11404</v>
      </c>
      <c r="G20782" s="40" t="s">
        <v>11404</v>
      </c>
      <c r="H20782" s="40" t="s">
        <v>11404</v>
      </c>
    </row>
    <row r="20783">
      <c r="A20783" s="39"/>
      <c r="E20783" s="40" t="s">
        <v>11404</v>
      </c>
      <c r="F20783" s="40" t="s">
        <v>11404</v>
      </c>
      <c r="G20783" s="40" t="s">
        <v>11404</v>
      </c>
      <c r="H20783" s="40" t="s">
        <v>11404</v>
      </c>
    </row>
    <row r="20784">
      <c r="A20784" s="39"/>
      <c r="E20784" s="40" t="s">
        <v>11404</v>
      </c>
      <c r="F20784" s="40" t="s">
        <v>11404</v>
      </c>
      <c r="G20784" s="40" t="s">
        <v>11404</v>
      </c>
      <c r="H20784" s="40" t="s">
        <v>11404</v>
      </c>
    </row>
    <row r="20785">
      <c r="A20785" s="39"/>
      <c r="E20785" s="40" t="s">
        <v>11404</v>
      </c>
      <c r="F20785" s="40" t="s">
        <v>11404</v>
      </c>
      <c r="G20785" s="40" t="s">
        <v>11404</v>
      </c>
      <c r="H20785" s="40" t="s">
        <v>11404</v>
      </c>
    </row>
    <row r="20786">
      <c r="A20786" s="39"/>
      <c r="E20786" s="40" t="s">
        <v>11404</v>
      </c>
      <c r="F20786" s="40" t="s">
        <v>11404</v>
      </c>
      <c r="G20786" s="40" t="s">
        <v>11404</v>
      </c>
      <c r="H20786" s="40" t="s">
        <v>11404</v>
      </c>
    </row>
    <row r="20787">
      <c r="A20787" s="39"/>
      <c r="E20787" s="40" t="s">
        <v>11404</v>
      </c>
      <c r="F20787" s="40" t="s">
        <v>11404</v>
      </c>
      <c r="G20787" s="40" t="s">
        <v>11404</v>
      </c>
      <c r="H20787" s="40" t="s">
        <v>11404</v>
      </c>
    </row>
    <row r="20788">
      <c r="A20788" s="39"/>
      <c r="E20788" s="40" t="s">
        <v>11404</v>
      </c>
      <c r="F20788" s="40" t="s">
        <v>11404</v>
      </c>
      <c r="G20788" s="40" t="s">
        <v>11404</v>
      </c>
      <c r="H20788" s="40" t="s">
        <v>11404</v>
      </c>
    </row>
    <row r="20789">
      <c r="A20789" s="39"/>
      <c r="E20789" s="40" t="s">
        <v>11404</v>
      </c>
      <c r="F20789" s="40" t="s">
        <v>11404</v>
      </c>
      <c r="G20789" s="40" t="s">
        <v>11404</v>
      </c>
      <c r="H20789" s="40" t="s">
        <v>11404</v>
      </c>
    </row>
    <row r="20790">
      <c r="A20790" s="39"/>
      <c r="E20790" s="40" t="s">
        <v>11404</v>
      </c>
      <c r="F20790" s="40" t="s">
        <v>11404</v>
      </c>
      <c r="G20790" s="40" t="s">
        <v>11404</v>
      </c>
      <c r="H20790" s="40" t="s">
        <v>11404</v>
      </c>
    </row>
    <row r="20791">
      <c r="A20791" s="39"/>
      <c r="E20791" s="40" t="s">
        <v>11404</v>
      </c>
      <c r="F20791" s="40" t="s">
        <v>11404</v>
      </c>
      <c r="G20791" s="40" t="s">
        <v>11404</v>
      </c>
      <c r="H20791" s="40" t="s">
        <v>11404</v>
      </c>
    </row>
    <row r="20792">
      <c r="A20792" s="39"/>
      <c r="E20792" s="40" t="s">
        <v>11404</v>
      </c>
      <c r="F20792" s="40" t="s">
        <v>11404</v>
      </c>
      <c r="G20792" s="40" t="s">
        <v>11404</v>
      </c>
      <c r="H20792" s="40" t="s">
        <v>11404</v>
      </c>
    </row>
    <row r="20793">
      <c r="A20793" s="39"/>
      <c r="E20793" s="40" t="s">
        <v>11404</v>
      </c>
      <c r="F20793" s="40" t="s">
        <v>11404</v>
      </c>
      <c r="G20793" s="40" t="s">
        <v>11404</v>
      </c>
      <c r="H20793" s="40" t="s">
        <v>11404</v>
      </c>
    </row>
    <row r="20794">
      <c r="A20794" s="39"/>
      <c r="E20794" s="40" t="s">
        <v>11404</v>
      </c>
      <c r="F20794" s="40" t="s">
        <v>11404</v>
      </c>
      <c r="G20794" s="40" t="s">
        <v>11404</v>
      </c>
      <c r="H20794" s="40" t="s">
        <v>11404</v>
      </c>
    </row>
    <row r="20795">
      <c r="A20795" s="39"/>
      <c r="E20795" s="40" t="s">
        <v>11404</v>
      </c>
      <c r="F20795" s="40" t="s">
        <v>11404</v>
      </c>
      <c r="G20795" s="40" t="s">
        <v>11404</v>
      </c>
      <c r="H20795" s="40" t="s">
        <v>11404</v>
      </c>
    </row>
    <row r="20796">
      <c r="A20796" s="39"/>
      <c r="E20796" s="40" t="s">
        <v>11404</v>
      </c>
      <c r="F20796" s="40" t="s">
        <v>11404</v>
      </c>
      <c r="G20796" s="40" t="s">
        <v>11404</v>
      </c>
      <c r="H20796" s="40" t="s">
        <v>11404</v>
      </c>
    </row>
    <row r="20797">
      <c r="A20797" s="39"/>
      <c r="E20797" s="40" t="s">
        <v>11404</v>
      </c>
      <c r="F20797" s="40" t="s">
        <v>11404</v>
      </c>
      <c r="G20797" s="40" t="s">
        <v>11404</v>
      </c>
      <c r="H20797" s="40" t="s">
        <v>11404</v>
      </c>
    </row>
    <row r="20798">
      <c r="A20798" s="39"/>
      <c r="E20798" s="40" t="s">
        <v>11404</v>
      </c>
      <c r="F20798" s="40" t="s">
        <v>11404</v>
      </c>
      <c r="G20798" s="40" t="s">
        <v>11404</v>
      </c>
      <c r="H20798" s="40" t="s">
        <v>11404</v>
      </c>
    </row>
    <row r="20799">
      <c r="A20799" s="39"/>
      <c r="E20799" s="40" t="s">
        <v>11404</v>
      </c>
      <c r="F20799" s="40" t="s">
        <v>11404</v>
      </c>
      <c r="G20799" s="40" t="s">
        <v>11404</v>
      </c>
      <c r="H20799" s="40" t="s">
        <v>11404</v>
      </c>
    </row>
    <row r="20800">
      <c r="A20800" s="39"/>
      <c r="E20800" s="40" t="s">
        <v>11404</v>
      </c>
      <c r="F20800" s="40" t="s">
        <v>11404</v>
      </c>
      <c r="G20800" s="40" t="s">
        <v>11404</v>
      </c>
      <c r="H20800" s="40" t="s">
        <v>11404</v>
      </c>
    </row>
    <row r="20801">
      <c r="A20801" s="39"/>
      <c r="E20801" s="40" t="s">
        <v>11404</v>
      </c>
      <c r="F20801" s="40" t="s">
        <v>11404</v>
      </c>
      <c r="G20801" s="40" t="s">
        <v>11404</v>
      </c>
      <c r="H20801" s="40" t="s">
        <v>11404</v>
      </c>
    </row>
    <row r="20802">
      <c r="A20802" s="39"/>
      <c r="E20802" s="40" t="s">
        <v>11404</v>
      </c>
      <c r="F20802" s="40" t="s">
        <v>11404</v>
      </c>
      <c r="G20802" s="40" t="s">
        <v>11404</v>
      </c>
      <c r="H20802" s="40" t="s">
        <v>11404</v>
      </c>
    </row>
    <row r="20803">
      <c r="A20803" s="39"/>
      <c r="E20803" s="40" t="s">
        <v>11404</v>
      </c>
      <c r="F20803" s="40" t="s">
        <v>11404</v>
      </c>
      <c r="G20803" s="40" t="s">
        <v>11404</v>
      </c>
      <c r="H20803" s="40" t="s">
        <v>11404</v>
      </c>
    </row>
    <row r="20804">
      <c r="A20804" s="39"/>
      <c r="E20804" s="40" t="s">
        <v>11404</v>
      </c>
      <c r="F20804" s="40" t="s">
        <v>11404</v>
      </c>
      <c r="G20804" s="40" t="s">
        <v>11404</v>
      </c>
      <c r="H20804" s="40" t="s">
        <v>11404</v>
      </c>
    </row>
    <row r="20805">
      <c r="A20805" s="39"/>
      <c r="E20805" s="40" t="s">
        <v>11404</v>
      </c>
      <c r="F20805" s="40" t="s">
        <v>11404</v>
      </c>
      <c r="G20805" s="40" t="s">
        <v>11404</v>
      </c>
      <c r="H20805" s="40" t="s">
        <v>11404</v>
      </c>
    </row>
    <row r="20806">
      <c r="A20806" s="39"/>
      <c r="E20806" s="40" t="s">
        <v>11404</v>
      </c>
      <c r="F20806" s="40" t="s">
        <v>11404</v>
      </c>
      <c r="G20806" s="40" t="s">
        <v>11404</v>
      </c>
      <c r="H20806" s="40" t="s">
        <v>11404</v>
      </c>
    </row>
    <row r="20807">
      <c r="A20807" s="39"/>
      <c r="E20807" s="40" t="s">
        <v>11404</v>
      </c>
      <c r="F20807" s="40" t="s">
        <v>11404</v>
      </c>
      <c r="G20807" s="40" t="s">
        <v>11404</v>
      </c>
      <c r="H20807" s="40" t="s">
        <v>11404</v>
      </c>
    </row>
    <row r="20808">
      <c r="A20808" s="39"/>
      <c r="E20808" s="40" t="s">
        <v>11404</v>
      </c>
      <c r="F20808" s="40" t="s">
        <v>11404</v>
      </c>
      <c r="G20808" s="40" t="s">
        <v>11404</v>
      </c>
      <c r="H20808" s="40" t="s">
        <v>11404</v>
      </c>
    </row>
    <row r="20809">
      <c r="A20809" s="39"/>
      <c r="E20809" s="40" t="s">
        <v>11404</v>
      </c>
      <c r="F20809" s="40" t="s">
        <v>11404</v>
      </c>
      <c r="G20809" s="40" t="s">
        <v>11404</v>
      </c>
      <c r="H20809" s="40" t="s">
        <v>11404</v>
      </c>
    </row>
    <row r="20810">
      <c r="A20810" s="39"/>
      <c r="E20810" s="40" t="s">
        <v>11404</v>
      </c>
      <c r="F20810" s="40" t="s">
        <v>11404</v>
      </c>
      <c r="G20810" s="40" t="s">
        <v>11404</v>
      </c>
      <c r="H20810" s="40" t="s">
        <v>11404</v>
      </c>
    </row>
    <row r="20811">
      <c r="A20811" s="39"/>
      <c r="E20811" s="40" t="s">
        <v>11404</v>
      </c>
      <c r="F20811" s="40" t="s">
        <v>11404</v>
      </c>
      <c r="G20811" s="40" t="s">
        <v>11404</v>
      </c>
      <c r="H20811" s="40" t="s">
        <v>11404</v>
      </c>
    </row>
    <row r="20812">
      <c r="A20812" s="39"/>
      <c r="E20812" s="40" t="s">
        <v>11404</v>
      </c>
      <c r="F20812" s="40" t="s">
        <v>11404</v>
      </c>
      <c r="G20812" s="40" t="s">
        <v>11404</v>
      </c>
      <c r="H20812" s="40" t="s">
        <v>11404</v>
      </c>
    </row>
    <row r="20813">
      <c r="A20813" s="39"/>
      <c r="E20813" s="40" t="s">
        <v>11404</v>
      </c>
      <c r="F20813" s="40" t="s">
        <v>11404</v>
      </c>
      <c r="G20813" s="40" t="s">
        <v>11404</v>
      </c>
      <c r="H20813" s="40" t="s">
        <v>11404</v>
      </c>
    </row>
    <row r="20814">
      <c r="A20814" s="39"/>
      <c r="E20814" s="40" t="s">
        <v>11404</v>
      </c>
      <c r="F20814" s="40" t="s">
        <v>11404</v>
      </c>
      <c r="G20814" s="40" t="s">
        <v>11404</v>
      </c>
      <c r="H20814" s="40" t="s">
        <v>11404</v>
      </c>
    </row>
    <row r="20815">
      <c r="A20815" s="39"/>
      <c r="E20815" s="40" t="s">
        <v>11404</v>
      </c>
      <c r="F20815" s="40" t="s">
        <v>11404</v>
      </c>
      <c r="G20815" s="40" t="s">
        <v>11404</v>
      </c>
      <c r="H20815" s="40" t="s">
        <v>11404</v>
      </c>
    </row>
    <row r="20816">
      <c r="A20816" s="39"/>
      <c r="E20816" s="40" t="s">
        <v>11404</v>
      </c>
      <c r="F20816" s="40" t="s">
        <v>11404</v>
      </c>
      <c r="G20816" s="40" t="s">
        <v>11404</v>
      </c>
      <c r="H20816" s="40" t="s">
        <v>11404</v>
      </c>
    </row>
    <row r="20817">
      <c r="A20817" s="39"/>
      <c r="E20817" s="40" t="s">
        <v>11404</v>
      </c>
      <c r="F20817" s="40" t="s">
        <v>11404</v>
      </c>
      <c r="G20817" s="40" t="s">
        <v>11404</v>
      </c>
      <c r="H20817" s="40" t="s">
        <v>11404</v>
      </c>
    </row>
    <row r="20818">
      <c r="A20818" s="39"/>
      <c r="E20818" s="40" t="s">
        <v>11404</v>
      </c>
      <c r="F20818" s="40" t="s">
        <v>11404</v>
      </c>
      <c r="G20818" s="40" t="s">
        <v>11404</v>
      </c>
      <c r="H20818" s="40" t="s">
        <v>11404</v>
      </c>
    </row>
    <row r="20819">
      <c r="A20819" s="39"/>
      <c r="E20819" s="40" t="s">
        <v>11404</v>
      </c>
      <c r="F20819" s="40" t="s">
        <v>11404</v>
      </c>
      <c r="G20819" s="40" t="s">
        <v>11404</v>
      </c>
      <c r="H20819" s="40" t="s">
        <v>11404</v>
      </c>
    </row>
    <row r="20820">
      <c r="A20820" s="39"/>
      <c r="E20820" s="40" t="s">
        <v>11404</v>
      </c>
      <c r="F20820" s="40" t="s">
        <v>11404</v>
      </c>
      <c r="G20820" s="40" t="s">
        <v>11404</v>
      </c>
      <c r="H20820" s="40" t="s">
        <v>11404</v>
      </c>
    </row>
    <row r="20821">
      <c r="A20821" s="39"/>
      <c r="E20821" s="40" t="s">
        <v>11404</v>
      </c>
      <c r="F20821" s="40" t="s">
        <v>11404</v>
      </c>
      <c r="G20821" s="40" t="s">
        <v>11404</v>
      </c>
      <c r="H20821" s="40" t="s">
        <v>11404</v>
      </c>
    </row>
    <row r="20822">
      <c r="A20822" s="39"/>
      <c r="E20822" s="40" t="s">
        <v>11404</v>
      </c>
      <c r="F20822" s="40" t="s">
        <v>11404</v>
      </c>
      <c r="G20822" s="40" t="s">
        <v>11404</v>
      </c>
      <c r="H20822" s="40" t="s">
        <v>11404</v>
      </c>
    </row>
    <row r="20823">
      <c r="A20823" s="39"/>
      <c r="E20823" s="40" t="s">
        <v>11404</v>
      </c>
      <c r="F20823" s="40" t="s">
        <v>11404</v>
      </c>
      <c r="G20823" s="40" t="s">
        <v>11404</v>
      </c>
      <c r="H20823" s="40" t="s">
        <v>11404</v>
      </c>
    </row>
    <row r="20824">
      <c r="A20824" s="39"/>
      <c r="E20824" s="40" t="s">
        <v>11404</v>
      </c>
      <c r="F20824" s="40" t="s">
        <v>11404</v>
      </c>
      <c r="G20824" s="40" t="s">
        <v>11404</v>
      </c>
      <c r="H20824" s="40" t="s">
        <v>11404</v>
      </c>
    </row>
    <row r="20825">
      <c r="A20825" s="39"/>
      <c r="E20825" s="40" t="s">
        <v>11404</v>
      </c>
      <c r="F20825" s="40" t="s">
        <v>11404</v>
      </c>
      <c r="G20825" s="40" t="s">
        <v>11404</v>
      </c>
      <c r="H20825" s="40" t="s">
        <v>11404</v>
      </c>
    </row>
    <row r="20826">
      <c r="A20826" s="39"/>
      <c r="E20826" s="40" t="s">
        <v>11404</v>
      </c>
      <c r="F20826" s="40" t="s">
        <v>11404</v>
      </c>
      <c r="G20826" s="40" t="s">
        <v>11404</v>
      </c>
      <c r="H20826" s="40" t="s">
        <v>11404</v>
      </c>
    </row>
    <row r="20827">
      <c r="A20827" s="39"/>
      <c r="E20827" s="40" t="s">
        <v>11404</v>
      </c>
      <c r="F20827" s="40" t="s">
        <v>11404</v>
      </c>
      <c r="G20827" s="40" t="s">
        <v>11404</v>
      </c>
      <c r="H20827" s="40" t="s">
        <v>11404</v>
      </c>
    </row>
    <row r="20828">
      <c r="A20828" s="39"/>
      <c r="E20828" s="40" t="s">
        <v>11404</v>
      </c>
      <c r="F20828" s="40" t="s">
        <v>11404</v>
      </c>
      <c r="G20828" s="40" t="s">
        <v>11404</v>
      </c>
      <c r="H20828" s="40" t="s">
        <v>11404</v>
      </c>
    </row>
    <row r="20829">
      <c r="A20829" s="39"/>
      <c r="E20829" s="40" t="s">
        <v>11404</v>
      </c>
      <c r="F20829" s="40" t="s">
        <v>11404</v>
      </c>
      <c r="G20829" s="40" t="s">
        <v>11404</v>
      </c>
      <c r="H20829" s="40" t="s">
        <v>11404</v>
      </c>
    </row>
    <row r="20830">
      <c r="A20830" s="39"/>
      <c r="E20830" s="40" t="s">
        <v>11404</v>
      </c>
      <c r="F20830" s="40" t="s">
        <v>11404</v>
      </c>
      <c r="G20830" s="40" t="s">
        <v>11404</v>
      </c>
      <c r="H20830" s="40" t="s">
        <v>11404</v>
      </c>
    </row>
    <row r="20831">
      <c r="A20831" s="39"/>
      <c r="E20831" s="40" t="s">
        <v>11404</v>
      </c>
      <c r="F20831" s="40" t="s">
        <v>11404</v>
      </c>
      <c r="G20831" s="40" t="s">
        <v>11404</v>
      </c>
      <c r="H20831" s="40" t="s">
        <v>11404</v>
      </c>
    </row>
    <row r="20832">
      <c r="A20832" s="39"/>
      <c r="E20832" s="40" t="s">
        <v>11404</v>
      </c>
      <c r="F20832" s="40" t="s">
        <v>11404</v>
      </c>
      <c r="G20832" s="40" t="s">
        <v>11404</v>
      </c>
      <c r="H20832" s="40" t="s">
        <v>11404</v>
      </c>
    </row>
    <row r="20833">
      <c r="A20833" s="39"/>
      <c r="E20833" s="40" t="s">
        <v>11404</v>
      </c>
      <c r="F20833" s="40" t="s">
        <v>11404</v>
      </c>
      <c r="G20833" s="40" t="s">
        <v>11404</v>
      </c>
      <c r="H20833" s="40" t="s">
        <v>11404</v>
      </c>
    </row>
    <row r="20834">
      <c r="A20834" s="39"/>
      <c r="E20834" s="40" t="s">
        <v>11404</v>
      </c>
      <c r="F20834" s="40" t="s">
        <v>11404</v>
      </c>
      <c r="G20834" s="40" t="s">
        <v>11404</v>
      </c>
      <c r="H20834" s="40" t="s">
        <v>11404</v>
      </c>
    </row>
    <row r="20835">
      <c r="A20835" s="39"/>
      <c r="E20835" s="40" t="s">
        <v>11404</v>
      </c>
      <c r="F20835" s="40" t="s">
        <v>11404</v>
      </c>
      <c r="G20835" s="40" t="s">
        <v>11404</v>
      </c>
      <c r="H20835" s="40" t="s">
        <v>11404</v>
      </c>
    </row>
    <row r="20836">
      <c r="A20836" s="39"/>
      <c r="E20836" s="40" t="s">
        <v>11404</v>
      </c>
      <c r="F20836" s="40" t="s">
        <v>11404</v>
      </c>
      <c r="G20836" s="40" t="s">
        <v>11404</v>
      </c>
      <c r="H20836" s="40" t="s">
        <v>11404</v>
      </c>
    </row>
    <row r="20837">
      <c r="A20837" s="39"/>
      <c r="E20837" s="40" t="s">
        <v>11404</v>
      </c>
      <c r="F20837" s="40" t="s">
        <v>11404</v>
      </c>
      <c r="G20837" s="40" t="s">
        <v>11404</v>
      </c>
      <c r="H20837" s="40" t="s">
        <v>11404</v>
      </c>
    </row>
    <row r="20838">
      <c r="A20838" s="39"/>
      <c r="E20838" s="40" t="s">
        <v>11404</v>
      </c>
      <c r="F20838" s="40" t="s">
        <v>11404</v>
      </c>
      <c r="G20838" s="40" t="s">
        <v>11404</v>
      </c>
      <c r="H20838" s="40" t="s">
        <v>11404</v>
      </c>
    </row>
    <row r="20839">
      <c r="A20839" s="39"/>
      <c r="E20839" s="40" t="s">
        <v>11404</v>
      </c>
      <c r="F20839" s="40" t="s">
        <v>11404</v>
      </c>
      <c r="G20839" s="40" t="s">
        <v>11404</v>
      </c>
      <c r="H20839" s="40" t="s">
        <v>11404</v>
      </c>
    </row>
    <row r="20840">
      <c r="A20840" s="39"/>
      <c r="E20840" s="40" t="s">
        <v>11404</v>
      </c>
      <c r="F20840" s="40" t="s">
        <v>11404</v>
      </c>
      <c r="G20840" s="40" t="s">
        <v>11404</v>
      </c>
      <c r="H20840" s="40" t="s">
        <v>11404</v>
      </c>
    </row>
    <row r="20841">
      <c r="A20841" s="39"/>
      <c r="E20841" s="40" t="s">
        <v>11404</v>
      </c>
      <c r="F20841" s="40" t="s">
        <v>11404</v>
      </c>
      <c r="G20841" s="40" t="s">
        <v>11404</v>
      </c>
      <c r="H20841" s="40" t="s">
        <v>11404</v>
      </c>
    </row>
    <row r="20842">
      <c r="A20842" s="39"/>
      <c r="E20842" s="40" t="s">
        <v>11404</v>
      </c>
      <c r="F20842" s="40" t="s">
        <v>11404</v>
      </c>
      <c r="G20842" s="40" t="s">
        <v>11404</v>
      </c>
      <c r="H20842" s="40" t="s">
        <v>11404</v>
      </c>
    </row>
    <row r="20843">
      <c r="A20843" s="39"/>
      <c r="E20843" s="40" t="s">
        <v>11404</v>
      </c>
      <c r="F20843" s="40" t="s">
        <v>11404</v>
      </c>
      <c r="G20843" s="40" t="s">
        <v>11404</v>
      </c>
      <c r="H20843" s="40" t="s">
        <v>11404</v>
      </c>
    </row>
    <row r="20844">
      <c r="A20844" s="39"/>
      <c r="E20844" s="40" t="s">
        <v>11404</v>
      </c>
      <c r="F20844" s="40" t="s">
        <v>11404</v>
      </c>
      <c r="G20844" s="40" t="s">
        <v>11404</v>
      </c>
      <c r="H20844" s="40" t="s">
        <v>11404</v>
      </c>
    </row>
    <row r="20845">
      <c r="A20845" s="39"/>
      <c r="E20845" s="40" t="s">
        <v>11404</v>
      </c>
      <c r="F20845" s="40" t="s">
        <v>11404</v>
      </c>
      <c r="G20845" s="40" t="s">
        <v>11404</v>
      </c>
      <c r="H20845" s="40" t="s">
        <v>11404</v>
      </c>
    </row>
    <row r="20846">
      <c r="A20846" s="39"/>
      <c r="E20846" s="40" t="s">
        <v>11404</v>
      </c>
      <c r="F20846" s="40" t="s">
        <v>11404</v>
      </c>
      <c r="G20846" s="40" t="s">
        <v>11404</v>
      </c>
      <c r="H20846" s="40" t="s">
        <v>11404</v>
      </c>
    </row>
    <row r="20847">
      <c r="A20847" s="39"/>
      <c r="E20847" s="40" t="s">
        <v>11404</v>
      </c>
      <c r="F20847" s="40" t="s">
        <v>11404</v>
      </c>
      <c r="G20847" s="40" t="s">
        <v>11404</v>
      </c>
      <c r="H20847" s="40" t="s">
        <v>11404</v>
      </c>
    </row>
    <row r="20848">
      <c r="A20848" s="39"/>
      <c r="E20848" s="40" t="s">
        <v>11404</v>
      </c>
      <c r="F20848" s="40" t="s">
        <v>11404</v>
      </c>
      <c r="G20848" s="40" t="s">
        <v>11404</v>
      </c>
      <c r="H20848" s="40" t="s">
        <v>11404</v>
      </c>
    </row>
    <row r="20849">
      <c r="A20849" s="39"/>
      <c r="E20849" s="40" t="s">
        <v>11404</v>
      </c>
      <c r="F20849" s="40" t="s">
        <v>11404</v>
      </c>
      <c r="G20849" s="40" t="s">
        <v>11404</v>
      </c>
      <c r="H20849" s="40" t="s">
        <v>11404</v>
      </c>
    </row>
    <row r="20850">
      <c r="A20850" s="39"/>
      <c r="E20850" s="40" t="s">
        <v>11404</v>
      </c>
      <c r="F20850" s="40" t="s">
        <v>11404</v>
      </c>
      <c r="G20850" s="40" t="s">
        <v>11404</v>
      </c>
      <c r="H20850" s="40" t="s">
        <v>11404</v>
      </c>
    </row>
    <row r="20851">
      <c r="A20851" s="39"/>
      <c r="E20851" s="40" t="s">
        <v>11404</v>
      </c>
      <c r="F20851" s="40" t="s">
        <v>11404</v>
      </c>
      <c r="G20851" s="40" t="s">
        <v>11404</v>
      </c>
      <c r="H20851" s="40" t="s">
        <v>11404</v>
      </c>
    </row>
    <row r="20852">
      <c r="A20852" s="39"/>
      <c r="E20852" s="40" t="s">
        <v>11404</v>
      </c>
      <c r="F20852" s="40" t="s">
        <v>11404</v>
      </c>
      <c r="G20852" s="40" t="s">
        <v>11404</v>
      </c>
      <c r="H20852" s="40" t="s">
        <v>11404</v>
      </c>
    </row>
    <row r="20853">
      <c r="A20853" s="39"/>
      <c r="E20853" s="40" t="s">
        <v>11404</v>
      </c>
      <c r="F20853" s="40" t="s">
        <v>11404</v>
      </c>
      <c r="G20853" s="40" t="s">
        <v>11404</v>
      </c>
      <c r="H20853" s="40" t="s">
        <v>11404</v>
      </c>
    </row>
    <row r="20854">
      <c r="A20854" s="39"/>
      <c r="E20854" s="40" t="s">
        <v>11404</v>
      </c>
      <c r="F20854" s="40" t="s">
        <v>11404</v>
      </c>
      <c r="G20854" s="40" t="s">
        <v>11404</v>
      </c>
      <c r="H20854" s="40" t="s">
        <v>11404</v>
      </c>
    </row>
    <row r="20855">
      <c r="A20855" s="39"/>
      <c r="E20855" s="40" t="s">
        <v>11404</v>
      </c>
      <c r="F20855" s="40" t="s">
        <v>11404</v>
      </c>
      <c r="G20855" s="40" t="s">
        <v>11404</v>
      </c>
      <c r="H20855" s="40" t="s">
        <v>11404</v>
      </c>
    </row>
    <row r="20856">
      <c r="A20856" s="39"/>
      <c r="E20856" s="40" t="s">
        <v>11404</v>
      </c>
      <c r="F20856" s="40" t="s">
        <v>11404</v>
      </c>
      <c r="G20856" s="40" t="s">
        <v>11404</v>
      </c>
      <c r="H20856" s="40" t="s">
        <v>11404</v>
      </c>
    </row>
    <row r="20857">
      <c r="A20857" s="39"/>
      <c r="E20857" s="40" t="s">
        <v>11404</v>
      </c>
      <c r="F20857" s="40" t="s">
        <v>11404</v>
      </c>
      <c r="G20857" s="40" t="s">
        <v>11404</v>
      </c>
      <c r="H20857" s="40" t="s">
        <v>11404</v>
      </c>
    </row>
    <row r="20858">
      <c r="A20858" s="39"/>
      <c r="E20858" s="40" t="s">
        <v>11404</v>
      </c>
      <c r="F20858" s="40" t="s">
        <v>11404</v>
      </c>
      <c r="G20858" s="40" t="s">
        <v>11404</v>
      </c>
      <c r="H20858" s="40" t="s">
        <v>11404</v>
      </c>
    </row>
    <row r="20859">
      <c r="A20859" s="39"/>
      <c r="E20859" s="40" t="s">
        <v>11404</v>
      </c>
      <c r="F20859" s="40" t="s">
        <v>11404</v>
      </c>
      <c r="G20859" s="40" t="s">
        <v>11404</v>
      </c>
      <c r="H20859" s="40" t="s">
        <v>11404</v>
      </c>
    </row>
    <row r="20860">
      <c r="A20860" s="39"/>
      <c r="E20860" s="40" t="s">
        <v>11404</v>
      </c>
      <c r="F20860" s="40" t="s">
        <v>11404</v>
      </c>
      <c r="G20860" s="40" t="s">
        <v>11404</v>
      </c>
      <c r="H20860" s="40" t="s">
        <v>11404</v>
      </c>
    </row>
    <row r="20861">
      <c r="A20861" s="39"/>
      <c r="E20861" s="40" t="s">
        <v>11404</v>
      </c>
      <c r="F20861" s="40" t="s">
        <v>11404</v>
      </c>
      <c r="G20861" s="40" t="s">
        <v>11404</v>
      </c>
      <c r="H20861" s="40" t="s">
        <v>11404</v>
      </c>
    </row>
    <row r="20862">
      <c r="A20862" s="39"/>
      <c r="E20862" s="40" t="s">
        <v>11404</v>
      </c>
      <c r="F20862" s="40" t="s">
        <v>11404</v>
      </c>
      <c r="G20862" s="40" t="s">
        <v>11404</v>
      </c>
      <c r="H20862" s="40" t="s">
        <v>11404</v>
      </c>
    </row>
    <row r="20863">
      <c r="A20863" s="39"/>
      <c r="E20863" s="40" t="s">
        <v>11404</v>
      </c>
      <c r="F20863" s="40" t="s">
        <v>11404</v>
      </c>
      <c r="G20863" s="40" t="s">
        <v>11404</v>
      </c>
      <c r="H20863" s="40" t="s">
        <v>11404</v>
      </c>
    </row>
    <row r="20864">
      <c r="A20864" s="39"/>
      <c r="E20864" s="40" t="s">
        <v>11404</v>
      </c>
      <c r="F20864" s="40" t="s">
        <v>11404</v>
      </c>
      <c r="G20864" s="40" t="s">
        <v>11404</v>
      </c>
      <c r="H20864" s="40" t="s">
        <v>11404</v>
      </c>
    </row>
    <row r="20865">
      <c r="A20865" s="39"/>
      <c r="E20865" s="40" t="s">
        <v>11404</v>
      </c>
      <c r="F20865" s="40" t="s">
        <v>11404</v>
      </c>
      <c r="G20865" s="40" t="s">
        <v>11404</v>
      </c>
      <c r="H20865" s="40" t="s">
        <v>11404</v>
      </c>
    </row>
    <row r="20866">
      <c r="A20866" s="39"/>
      <c r="E20866" s="40" t="s">
        <v>11404</v>
      </c>
      <c r="F20866" s="40" t="s">
        <v>11404</v>
      </c>
      <c r="G20866" s="40" t="s">
        <v>11404</v>
      </c>
      <c r="H20866" s="40" t="s">
        <v>11404</v>
      </c>
    </row>
    <row r="20867">
      <c r="A20867" s="39"/>
      <c r="E20867" s="40" t="s">
        <v>11404</v>
      </c>
      <c r="F20867" s="40" t="s">
        <v>11404</v>
      </c>
      <c r="G20867" s="40" t="s">
        <v>11404</v>
      </c>
      <c r="H20867" s="40" t="s">
        <v>11404</v>
      </c>
    </row>
    <row r="20868">
      <c r="A20868" s="39"/>
      <c r="E20868" s="40" t="s">
        <v>11404</v>
      </c>
      <c r="F20868" s="40" t="s">
        <v>11404</v>
      </c>
      <c r="G20868" s="40" t="s">
        <v>11404</v>
      </c>
      <c r="H20868" s="40" t="s">
        <v>11404</v>
      </c>
    </row>
    <row r="20869">
      <c r="A20869" s="39"/>
      <c r="E20869" s="40" t="s">
        <v>11404</v>
      </c>
      <c r="F20869" s="40" t="s">
        <v>11404</v>
      </c>
      <c r="G20869" s="40" t="s">
        <v>11404</v>
      </c>
      <c r="H20869" s="40" t="s">
        <v>11404</v>
      </c>
    </row>
    <row r="20870">
      <c r="A20870" s="39"/>
      <c r="E20870" s="40" t="s">
        <v>11404</v>
      </c>
      <c r="F20870" s="40" t="s">
        <v>11404</v>
      </c>
      <c r="G20870" s="40" t="s">
        <v>11404</v>
      </c>
      <c r="H20870" s="40" t="s">
        <v>11404</v>
      </c>
    </row>
    <row r="20871">
      <c r="A20871" s="39"/>
      <c r="E20871" s="40" t="s">
        <v>11404</v>
      </c>
      <c r="F20871" s="40" t="s">
        <v>11404</v>
      </c>
      <c r="G20871" s="40" t="s">
        <v>11404</v>
      </c>
      <c r="H20871" s="40" t="s">
        <v>11404</v>
      </c>
    </row>
    <row r="20872">
      <c r="A20872" s="39"/>
      <c r="E20872" s="40" t="s">
        <v>11404</v>
      </c>
      <c r="F20872" s="40" t="s">
        <v>11404</v>
      </c>
      <c r="G20872" s="40" t="s">
        <v>11404</v>
      </c>
      <c r="H20872" s="40" t="s">
        <v>11404</v>
      </c>
    </row>
    <row r="20873">
      <c r="A20873" s="39"/>
      <c r="E20873" s="40" t="s">
        <v>11404</v>
      </c>
      <c r="F20873" s="40" t="s">
        <v>11404</v>
      </c>
      <c r="G20873" s="40" t="s">
        <v>11404</v>
      </c>
      <c r="H20873" s="40" t="s">
        <v>11404</v>
      </c>
    </row>
    <row r="20874">
      <c r="A20874" s="39"/>
      <c r="E20874" s="40" t="s">
        <v>11404</v>
      </c>
      <c r="F20874" s="40" t="s">
        <v>11404</v>
      </c>
      <c r="G20874" s="40" t="s">
        <v>11404</v>
      </c>
      <c r="H20874" s="40" t="s">
        <v>11404</v>
      </c>
    </row>
    <row r="20875">
      <c r="A20875" s="39"/>
      <c r="E20875" s="40" t="s">
        <v>11404</v>
      </c>
      <c r="F20875" s="40" t="s">
        <v>11404</v>
      </c>
      <c r="G20875" s="40" t="s">
        <v>11404</v>
      </c>
      <c r="H20875" s="40" t="s">
        <v>11404</v>
      </c>
    </row>
    <row r="20876">
      <c r="A20876" s="39"/>
      <c r="E20876" s="40" t="s">
        <v>11404</v>
      </c>
      <c r="F20876" s="40" t="s">
        <v>11404</v>
      </c>
      <c r="G20876" s="40" t="s">
        <v>11404</v>
      </c>
      <c r="H20876" s="40" t="s">
        <v>11404</v>
      </c>
    </row>
    <row r="20877">
      <c r="A20877" s="39"/>
      <c r="E20877" s="40" t="s">
        <v>11404</v>
      </c>
      <c r="F20877" s="40" t="s">
        <v>11404</v>
      </c>
      <c r="G20877" s="40" t="s">
        <v>11404</v>
      </c>
      <c r="H20877" s="40" t="s">
        <v>11404</v>
      </c>
    </row>
    <row r="20878">
      <c r="A20878" s="39"/>
      <c r="E20878" s="40" t="s">
        <v>11404</v>
      </c>
      <c r="F20878" s="40" t="s">
        <v>11404</v>
      </c>
      <c r="G20878" s="40" t="s">
        <v>11404</v>
      </c>
      <c r="H20878" s="40" t="s">
        <v>11404</v>
      </c>
    </row>
    <row r="20879">
      <c r="A20879" s="39"/>
      <c r="E20879" s="40" t="s">
        <v>11404</v>
      </c>
      <c r="F20879" s="40" t="s">
        <v>11404</v>
      </c>
      <c r="G20879" s="40" t="s">
        <v>11404</v>
      </c>
      <c r="H20879" s="40" t="s">
        <v>11404</v>
      </c>
    </row>
    <row r="20880">
      <c r="A20880" s="39"/>
      <c r="E20880" s="40" t="s">
        <v>11404</v>
      </c>
      <c r="F20880" s="40" t="s">
        <v>11404</v>
      </c>
      <c r="G20880" s="40" t="s">
        <v>11404</v>
      </c>
      <c r="H20880" s="40" t="s">
        <v>11404</v>
      </c>
    </row>
    <row r="20881">
      <c r="A20881" s="39"/>
      <c r="E20881" s="40" t="s">
        <v>11404</v>
      </c>
      <c r="F20881" s="40" t="s">
        <v>11404</v>
      </c>
      <c r="G20881" s="40" t="s">
        <v>11404</v>
      </c>
      <c r="H20881" s="40" t="s">
        <v>11404</v>
      </c>
    </row>
    <row r="20882">
      <c r="A20882" s="39"/>
      <c r="E20882" s="40" t="s">
        <v>11404</v>
      </c>
      <c r="F20882" s="40" t="s">
        <v>11404</v>
      </c>
      <c r="G20882" s="40" t="s">
        <v>11404</v>
      </c>
      <c r="H20882" s="40" t="s">
        <v>11404</v>
      </c>
    </row>
    <row r="20883">
      <c r="A20883" s="39"/>
      <c r="E20883" s="40" t="s">
        <v>11404</v>
      </c>
      <c r="F20883" s="40" t="s">
        <v>11404</v>
      </c>
      <c r="G20883" s="40" t="s">
        <v>11404</v>
      </c>
      <c r="H20883" s="40" t="s">
        <v>11404</v>
      </c>
    </row>
    <row r="20884">
      <c r="A20884" s="39"/>
      <c r="E20884" s="40" t="s">
        <v>11404</v>
      </c>
      <c r="F20884" s="40" t="s">
        <v>11404</v>
      </c>
      <c r="G20884" s="40" t="s">
        <v>11404</v>
      </c>
      <c r="H20884" s="40" t="s">
        <v>11404</v>
      </c>
    </row>
    <row r="20885">
      <c r="A20885" s="39"/>
      <c r="E20885" s="40" t="s">
        <v>11404</v>
      </c>
      <c r="F20885" s="40" t="s">
        <v>11404</v>
      </c>
      <c r="G20885" s="40" t="s">
        <v>11404</v>
      </c>
      <c r="H20885" s="40" t="s">
        <v>11404</v>
      </c>
    </row>
    <row r="20886">
      <c r="A20886" s="39"/>
      <c r="E20886" s="40" t="s">
        <v>11404</v>
      </c>
      <c r="F20886" s="40" t="s">
        <v>11404</v>
      </c>
      <c r="G20886" s="40" t="s">
        <v>11404</v>
      </c>
      <c r="H20886" s="40" t="s">
        <v>11404</v>
      </c>
    </row>
    <row r="20887">
      <c r="A20887" s="39"/>
      <c r="E20887" s="40" t="s">
        <v>11404</v>
      </c>
      <c r="F20887" s="40" t="s">
        <v>11404</v>
      </c>
      <c r="G20887" s="40" t="s">
        <v>11404</v>
      </c>
      <c r="H20887" s="40" t="s">
        <v>11404</v>
      </c>
    </row>
    <row r="20888">
      <c r="A20888" s="39"/>
      <c r="E20888" s="40" t="s">
        <v>11404</v>
      </c>
      <c r="F20888" s="40" t="s">
        <v>11404</v>
      </c>
      <c r="G20888" s="40" t="s">
        <v>11404</v>
      </c>
      <c r="H20888" s="40" t="s">
        <v>11404</v>
      </c>
    </row>
    <row r="20889">
      <c r="A20889" s="39"/>
      <c r="E20889" s="40" t="s">
        <v>11404</v>
      </c>
      <c r="F20889" s="40" t="s">
        <v>11404</v>
      </c>
      <c r="G20889" s="40" t="s">
        <v>11404</v>
      </c>
      <c r="H20889" s="40" t="s">
        <v>11404</v>
      </c>
    </row>
    <row r="20890">
      <c r="A20890" s="39"/>
      <c r="E20890" s="40" t="s">
        <v>11404</v>
      </c>
      <c r="F20890" s="40" t="s">
        <v>11404</v>
      </c>
      <c r="G20890" s="40" t="s">
        <v>11404</v>
      </c>
      <c r="H20890" s="40" t="s">
        <v>11404</v>
      </c>
    </row>
    <row r="20891">
      <c r="A20891" s="39"/>
      <c r="E20891" s="40" t="s">
        <v>11404</v>
      </c>
      <c r="F20891" s="40" t="s">
        <v>11404</v>
      </c>
      <c r="G20891" s="40" t="s">
        <v>11404</v>
      </c>
      <c r="H20891" s="40" t="s">
        <v>11404</v>
      </c>
    </row>
    <row r="20892">
      <c r="A20892" s="39"/>
      <c r="E20892" s="40" t="s">
        <v>11404</v>
      </c>
      <c r="F20892" s="40" t="s">
        <v>11404</v>
      </c>
      <c r="G20892" s="40" t="s">
        <v>11404</v>
      </c>
      <c r="H20892" s="40" t="s">
        <v>11404</v>
      </c>
    </row>
    <row r="20893">
      <c r="A20893" s="39"/>
      <c r="E20893" s="40" t="s">
        <v>11404</v>
      </c>
      <c r="F20893" s="40" t="s">
        <v>11404</v>
      </c>
      <c r="G20893" s="40" t="s">
        <v>11404</v>
      </c>
      <c r="H20893" s="40" t="s">
        <v>11404</v>
      </c>
    </row>
    <row r="20894">
      <c r="A20894" s="39"/>
      <c r="E20894" s="40" t="s">
        <v>11404</v>
      </c>
      <c r="F20894" s="40" t="s">
        <v>11404</v>
      </c>
      <c r="G20894" s="40" t="s">
        <v>11404</v>
      </c>
      <c r="H20894" s="40" t="s">
        <v>11404</v>
      </c>
    </row>
    <row r="20895">
      <c r="A20895" s="39"/>
      <c r="E20895" s="40" t="s">
        <v>11404</v>
      </c>
      <c r="F20895" s="40" t="s">
        <v>11404</v>
      </c>
      <c r="G20895" s="40" t="s">
        <v>11404</v>
      </c>
      <c r="H20895" s="40" t="s">
        <v>11404</v>
      </c>
    </row>
    <row r="20896">
      <c r="A20896" s="39"/>
      <c r="E20896" s="40" t="s">
        <v>11404</v>
      </c>
      <c r="F20896" s="40" t="s">
        <v>11404</v>
      </c>
      <c r="G20896" s="40" t="s">
        <v>11404</v>
      </c>
      <c r="H20896" s="40" t="s">
        <v>11404</v>
      </c>
    </row>
    <row r="20897">
      <c r="A20897" s="39"/>
      <c r="E20897" s="40" t="s">
        <v>11404</v>
      </c>
      <c r="F20897" s="40" t="s">
        <v>11404</v>
      </c>
      <c r="G20897" s="40" t="s">
        <v>11404</v>
      </c>
      <c r="H20897" s="40" t="s">
        <v>11404</v>
      </c>
    </row>
    <row r="20898">
      <c r="A20898" s="39"/>
      <c r="E20898" s="40" t="s">
        <v>11404</v>
      </c>
      <c r="F20898" s="40" t="s">
        <v>11404</v>
      </c>
      <c r="G20898" s="40" t="s">
        <v>11404</v>
      </c>
      <c r="H20898" s="40" t="s">
        <v>11404</v>
      </c>
    </row>
    <row r="20899">
      <c r="A20899" s="39"/>
      <c r="E20899" s="40" t="s">
        <v>11404</v>
      </c>
      <c r="F20899" s="40" t="s">
        <v>11404</v>
      </c>
      <c r="G20899" s="40" t="s">
        <v>11404</v>
      </c>
      <c r="H20899" s="40" t="s">
        <v>11404</v>
      </c>
    </row>
    <row r="20900">
      <c r="A20900" s="39"/>
      <c r="E20900" s="40" t="s">
        <v>11404</v>
      </c>
      <c r="F20900" s="40" t="s">
        <v>11404</v>
      </c>
      <c r="G20900" s="40" t="s">
        <v>11404</v>
      </c>
      <c r="H20900" s="40" t="s">
        <v>11404</v>
      </c>
    </row>
    <row r="20901">
      <c r="A20901" s="39"/>
      <c r="E20901" s="40" t="s">
        <v>11404</v>
      </c>
      <c r="F20901" s="40" t="s">
        <v>11404</v>
      </c>
      <c r="G20901" s="40" t="s">
        <v>11404</v>
      </c>
      <c r="H20901" s="40" t="s">
        <v>11404</v>
      </c>
    </row>
    <row r="20902">
      <c r="A20902" s="39"/>
      <c r="E20902" s="40" t="s">
        <v>11404</v>
      </c>
      <c r="F20902" s="40" t="s">
        <v>11404</v>
      </c>
      <c r="G20902" s="40" t="s">
        <v>11404</v>
      </c>
      <c r="H20902" s="40" t="s">
        <v>11404</v>
      </c>
    </row>
    <row r="20903">
      <c r="A20903" s="39"/>
      <c r="E20903" s="40" t="s">
        <v>11404</v>
      </c>
      <c r="F20903" s="40" t="s">
        <v>11404</v>
      </c>
      <c r="G20903" s="40" t="s">
        <v>11404</v>
      </c>
      <c r="H20903" s="40" t="s">
        <v>11404</v>
      </c>
    </row>
    <row r="20904">
      <c r="A20904" s="39"/>
      <c r="E20904" s="40" t="s">
        <v>11404</v>
      </c>
      <c r="F20904" s="40" t="s">
        <v>11404</v>
      </c>
      <c r="G20904" s="40" t="s">
        <v>11404</v>
      </c>
      <c r="H20904" s="40" t="s">
        <v>11404</v>
      </c>
    </row>
    <row r="20905">
      <c r="A20905" s="39"/>
      <c r="E20905" s="40" t="s">
        <v>11404</v>
      </c>
      <c r="F20905" s="40" t="s">
        <v>11404</v>
      </c>
      <c r="G20905" s="40" t="s">
        <v>11404</v>
      </c>
      <c r="H20905" s="40" t="s">
        <v>11404</v>
      </c>
    </row>
    <row r="20906">
      <c r="A20906" s="39"/>
      <c r="E20906" s="40" t="s">
        <v>11404</v>
      </c>
      <c r="F20906" s="40" t="s">
        <v>11404</v>
      </c>
      <c r="G20906" s="40" t="s">
        <v>11404</v>
      </c>
      <c r="H20906" s="40" t="s">
        <v>11404</v>
      </c>
    </row>
    <row r="20907">
      <c r="A20907" s="39"/>
      <c r="E20907" s="40" t="s">
        <v>11404</v>
      </c>
      <c r="F20907" s="40" t="s">
        <v>11404</v>
      </c>
      <c r="G20907" s="40" t="s">
        <v>11404</v>
      </c>
      <c r="H20907" s="40" t="s">
        <v>11404</v>
      </c>
    </row>
    <row r="20908">
      <c r="A20908" s="39"/>
      <c r="E20908" s="40" t="s">
        <v>11404</v>
      </c>
      <c r="F20908" s="40" t="s">
        <v>11404</v>
      </c>
      <c r="G20908" s="40" t="s">
        <v>11404</v>
      </c>
      <c r="H20908" s="40" t="s">
        <v>11404</v>
      </c>
    </row>
    <row r="20909">
      <c r="A20909" s="39"/>
      <c r="E20909" s="40" t="s">
        <v>11404</v>
      </c>
      <c r="F20909" s="40" t="s">
        <v>11404</v>
      </c>
      <c r="G20909" s="40" t="s">
        <v>11404</v>
      </c>
      <c r="H20909" s="40" t="s">
        <v>11404</v>
      </c>
    </row>
    <row r="20910">
      <c r="A20910" s="39"/>
      <c r="E20910" s="40" t="s">
        <v>11404</v>
      </c>
      <c r="F20910" s="40" t="s">
        <v>11404</v>
      </c>
      <c r="G20910" s="40" t="s">
        <v>11404</v>
      </c>
      <c r="H20910" s="40" t="s">
        <v>11404</v>
      </c>
    </row>
    <row r="20911">
      <c r="A20911" s="39"/>
      <c r="E20911" s="40" t="s">
        <v>11404</v>
      </c>
      <c r="F20911" s="40" t="s">
        <v>11404</v>
      </c>
      <c r="G20911" s="40" t="s">
        <v>11404</v>
      </c>
      <c r="H20911" s="40" t="s">
        <v>11404</v>
      </c>
    </row>
    <row r="20912">
      <c r="A20912" s="39"/>
      <c r="E20912" s="40" t="s">
        <v>11404</v>
      </c>
      <c r="F20912" s="40" t="s">
        <v>11404</v>
      </c>
      <c r="G20912" s="40" t="s">
        <v>11404</v>
      </c>
      <c r="H20912" s="40" t="s">
        <v>11404</v>
      </c>
    </row>
    <row r="20913">
      <c r="A20913" s="39"/>
      <c r="E20913" s="40" t="s">
        <v>11404</v>
      </c>
      <c r="F20913" s="40" t="s">
        <v>11404</v>
      </c>
      <c r="G20913" s="40" t="s">
        <v>11404</v>
      </c>
      <c r="H20913" s="40" t="s">
        <v>11404</v>
      </c>
    </row>
    <row r="20914">
      <c r="A20914" s="39"/>
      <c r="E20914" s="40" t="s">
        <v>11404</v>
      </c>
      <c r="F20914" s="40" t="s">
        <v>11404</v>
      </c>
      <c r="G20914" s="40" t="s">
        <v>11404</v>
      </c>
      <c r="H20914" s="40" t="s">
        <v>11404</v>
      </c>
    </row>
    <row r="20915">
      <c r="A20915" s="39"/>
      <c r="E20915" s="40" t="s">
        <v>11404</v>
      </c>
      <c r="F20915" s="40" t="s">
        <v>11404</v>
      </c>
      <c r="G20915" s="40" t="s">
        <v>11404</v>
      </c>
      <c r="H20915" s="40" t="s">
        <v>11404</v>
      </c>
    </row>
    <row r="20916">
      <c r="A20916" s="39"/>
      <c r="E20916" s="40" t="s">
        <v>11404</v>
      </c>
      <c r="F20916" s="40" t="s">
        <v>11404</v>
      </c>
      <c r="G20916" s="40" t="s">
        <v>11404</v>
      </c>
      <c r="H20916" s="40" t="s">
        <v>11404</v>
      </c>
    </row>
    <row r="20917">
      <c r="A20917" s="39"/>
      <c r="E20917" s="40" t="s">
        <v>11404</v>
      </c>
      <c r="F20917" s="40" t="s">
        <v>11404</v>
      </c>
      <c r="G20917" s="40" t="s">
        <v>11404</v>
      </c>
      <c r="H20917" s="40" t="s">
        <v>11404</v>
      </c>
    </row>
    <row r="20918">
      <c r="A20918" s="39"/>
      <c r="E20918" s="40" t="s">
        <v>11404</v>
      </c>
      <c r="F20918" s="40" t="s">
        <v>11404</v>
      </c>
      <c r="G20918" s="40" t="s">
        <v>11404</v>
      </c>
      <c r="H20918" s="40" t="s">
        <v>11404</v>
      </c>
    </row>
    <row r="20919">
      <c r="A20919" s="39"/>
      <c r="E20919" s="40" t="s">
        <v>11404</v>
      </c>
      <c r="F20919" s="40" t="s">
        <v>11404</v>
      </c>
      <c r="G20919" s="40" t="s">
        <v>11404</v>
      </c>
      <c r="H20919" s="40" t="s">
        <v>11404</v>
      </c>
    </row>
    <row r="20920">
      <c r="A20920" s="39"/>
      <c r="E20920" s="40" t="s">
        <v>11404</v>
      </c>
      <c r="F20920" s="40" t="s">
        <v>11404</v>
      </c>
      <c r="G20920" s="40" t="s">
        <v>11404</v>
      </c>
      <c r="H20920" s="40" t="s">
        <v>11404</v>
      </c>
    </row>
    <row r="20921">
      <c r="A20921" s="39"/>
      <c r="E20921" s="40" t="s">
        <v>11404</v>
      </c>
      <c r="F20921" s="40" t="s">
        <v>11404</v>
      </c>
      <c r="G20921" s="40" t="s">
        <v>11404</v>
      </c>
      <c r="H20921" s="40" t="s">
        <v>11404</v>
      </c>
    </row>
    <row r="20922">
      <c r="A20922" s="39"/>
      <c r="E20922" s="40" t="s">
        <v>11404</v>
      </c>
      <c r="F20922" s="40" t="s">
        <v>11404</v>
      </c>
      <c r="G20922" s="40" t="s">
        <v>11404</v>
      </c>
      <c r="H20922" s="40" t="s">
        <v>11404</v>
      </c>
    </row>
    <row r="20923">
      <c r="A20923" s="39"/>
      <c r="E20923" s="40" t="s">
        <v>11404</v>
      </c>
      <c r="F20923" s="40" t="s">
        <v>11404</v>
      </c>
      <c r="G20923" s="40" t="s">
        <v>11404</v>
      </c>
      <c r="H20923" s="40" t="s">
        <v>11404</v>
      </c>
    </row>
    <row r="20924">
      <c r="A20924" s="39"/>
      <c r="E20924" s="40" t="s">
        <v>11404</v>
      </c>
      <c r="F20924" s="40" t="s">
        <v>11404</v>
      </c>
      <c r="G20924" s="40" t="s">
        <v>11404</v>
      </c>
      <c r="H20924" s="40" t="s">
        <v>11404</v>
      </c>
    </row>
    <row r="20925">
      <c r="A20925" s="39"/>
      <c r="E20925" s="40" t="s">
        <v>11404</v>
      </c>
      <c r="F20925" s="40" t="s">
        <v>11404</v>
      </c>
      <c r="G20925" s="40" t="s">
        <v>11404</v>
      </c>
      <c r="H20925" s="40" t="s">
        <v>11404</v>
      </c>
    </row>
    <row r="20926">
      <c r="A20926" s="39"/>
      <c r="E20926" s="40" t="s">
        <v>11404</v>
      </c>
      <c r="F20926" s="40" t="s">
        <v>11404</v>
      </c>
      <c r="G20926" s="40" t="s">
        <v>11404</v>
      </c>
      <c r="H20926" s="40" t="s">
        <v>11404</v>
      </c>
    </row>
    <row r="20927">
      <c r="A20927" s="39"/>
      <c r="E20927" s="40" t="s">
        <v>11404</v>
      </c>
      <c r="F20927" s="40" t="s">
        <v>11404</v>
      </c>
      <c r="G20927" s="40" t="s">
        <v>11404</v>
      </c>
      <c r="H20927" s="40" t="s">
        <v>11404</v>
      </c>
    </row>
    <row r="20928">
      <c r="A20928" s="39"/>
      <c r="E20928" s="40" t="s">
        <v>11404</v>
      </c>
      <c r="F20928" s="40" t="s">
        <v>11404</v>
      </c>
      <c r="G20928" s="40" t="s">
        <v>11404</v>
      </c>
      <c r="H20928" s="40" t="s">
        <v>11404</v>
      </c>
    </row>
    <row r="20929">
      <c r="A20929" s="39"/>
      <c r="E20929" s="40" t="s">
        <v>11404</v>
      </c>
      <c r="F20929" s="40" t="s">
        <v>11404</v>
      </c>
      <c r="G20929" s="40" t="s">
        <v>11404</v>
      </c>
      <c r="H20929" s="40" t="s">
        <v>11404</v>
      </c>
    </row>
    <row r="20930">
      <c r="A20930" s="39"/>
      <c r="E20930" s="40" t="s">
        <v>11404</v>
      </c>
      <c r="F20930" s="40" t="s">
        <v>11404</v>
      </c>
      <c r="G20930" s="40" t="s">
        <v>11404</v>
      </c>
      <c r="H20930" s="40" t="s">
        <v>11404</v>
      </c>
    </row>
    <row r="20931">
      <c r="A20931" s="39"/>
      <c r="E20931" s="40" t="s">
        <v>11404</v>
      </c>
      <c r="F20931" s="40" t="s">
        <v>11404</v>
      </c>
      <c r="G20931" s="40" t="s">
        <v>11404</v>
      </c>
      <c r="H20931" s="40" t="s">
        <v>11404</v>
      </c>
    </row>
    <row r="20932">
      <c r="A20932" s="39"/>
      <c r="E20932" s="40" t="s">
        <v>11404</v>
      </c>
      <c r="F20932" s="40" t="s">
        <v>11404</v>
      </c>
      <c r="G20932" s="40" t="s">
        <v>11404</v>
      </c>
      <c r="H20932" s="40" t="s">
        <v>11404</v>
      </c>
    </row>
    <row r="20933">
      <c r="A20933" s="39"/>
      <c r="E20933" s="40" t="s">
        <v>11404</v>
      </c>
      <c r="F20933" s="40" t="s">
        <v>11404</v>
      </c>
      <c r="G20933" s="40" t="s">
        <v>11404</v>
      </c>
      <c r="H20933" s="40" t="s">
        <v>11404</v>
      </c>
    </row>
    <row r="20934">
      <c r="A20934" s="39"/>
      <c r="E20934" s="40" t="s">
        <v>11404</v>
      </c>
      <c r="F20934" s="40" t="s">
        <v>11404</v>
      </c>
      <c r="G20934" s="40" t="s">
        <v>11404</v>
      </c>
      <c r="H20934" s="40" t="s">
        <v>11404</v>
      </c>
    </row>
    <row r="20935">
      <c r="A20935" s="39"/>
      <c r="E20935" s="40" t="s">
        <v>11404</v>
      </c>
      <c r="F20935" s="40" t="s">
        <v>11404</v>
      </c>
      <c r="G20935" s="40" t="s">
        <v>11404</v>
      </c>
      <c r="H20935" s="40" t="s">
        <v>11404</v>
      </c>
    </row>
    <row r="20936">
      <c r="A20936" s="39"/>
      <c r="E20936" s="40" t="s">
        <v>11404</v>
      </c>
      <c r="F20936" s="40" t="s">
        <v>11404</v>
      </c>
      <c r="G20936" s="40" t="s">
        <v>11404</v>
      </c>
      <c r="H20936" s="40" t="s">
        <v>11404</v>
      </c>
    </row>
    <row r="20937">
      <c r="A20937" s="39"/>
      <c r="E20937" s="40" t="s">
        <v>11404</v>
      </c>
      <c r="F20937" s="40" t="s">
        <v>11404</v>
      </c>
      <c r="G20937" s="40" t="s">
        <v>11404</v>
      </c>
      <c r="H20937" s="40" t="s">
        <v>11404</v>
      </c>
    </row>
    <row r="20938">
      <c r="A20938" s="39"/>
      <c r="E20938" s="40" t="s">
        <v>11404</v>
      </c>
      <c r="F20938" s="40" t="s">
        <v>11404</v>
      </c>
      <c r="G20938" s="40" t="s">
        <v>11404</v>
      </c>
      <c r="H20938" s="40" t="s">
        <v>11404</v>
      </c>
    </row>
    <row r="20939">
      <c r="A20939" s="39"/>
      <c r="E20939" s="40" t="s">
        <v>11404</v>
      </c>
      <c r="F20939" s="40" t="s">
        <v>11404</v>
      </c>
      <c r="G20939" s="40" t="s">
        <v>11404</v>
      </c>
      <c r="H20939" s="40" t="s">
        <v>11404</v>
      </c>
    </row>
    <row r="20940">
      <c r="A20940" s="39"/>
      <c r="E20940" s="40" t="s">
        <v>11404</v>
      </c>
      <c r="F20940" s="40" t="s">
        <v>11404</v>
      </c>
      <c r="G20940" s="40" t="s">
        <v>11404</v>
      </c>
      <c r="H20940" s="40" t="s">
        <v>11404</v>
      </c>
    </row>
    <row r="20941">
      <c r="A20941" s="39"/>
      <c r="E20941" s="40" t="s">
        <v>11404</v>
      </c>
      <c r="F20941" s="40" t="s">
        <v>11404</v>
      </c>
      <c r="G20941" s="40" t="s">
        <v>11404</v>
      </c>
      <c r="H20941" s="40" t="s">
        <v>11404</v>
      </c>
    </row>
    <row r="20942">
      <c r="A20942" s="39"/>
      <c r="E20942" s="40" t="s">
        <v>11404</v>
      </c>
      <c r="F20942" s="40" t="s">
        <v>11404</v>
      </c>
      <c r="G20942" s="40" t="s">
        <v>11404</v>
      </c>
      <c r="H20942" s="40" t="s">
        <v>11404</v>
      </c>
    </row>
    <row r="20943">
      <c r="A20943" s="39"/>
      <c r="E20943" s="40" t="s">
        <v>11404</v>
      </c>
      <c r="F20943" s="40" t="s">
        <v>11404</v>
      </c>
      <c r="G20943" s="40" t="s">
        <v>11404</v>
      </c>
      <c r="H20943" s="40" t="s">
        <v>11404</v>
      </c>
    </row>
    <row r="20944">
      <c r="A20944" s="39"/>
      <c r="E20944" s="40" t="s">
        <v>11404</v>
      </c>
      <c r="F20944" s="40" t="s">
        <v>11404</v>
      </c>
      <c r="G20944" s="40" t="s">
        <v>11404</v>
      </c>
      <c r="H20944" s="40" t="s">
        <v>11404</v>
      </c>
    </row>
    <row r="20945">
      <c r="A20945" s="39"/>
      <c r="E20945" s="40" t="s">
        <v>11404</v>
      </c>
      <c r="F20945" s="40" t="s">
        <v>11404</v>
      </c>
      <c r="G20945" s="40" t="s">
        <v>11404</v>
      </c>
      <c r="H20945" s="40" t="s">
        <v>11404</v>
      </c>
    </row>
    <row r="20946">
      <c r="A20946" s="39"/>
      <c r="E20946" s="40" t="s">
        <v>11404</v>
      </c>
      <c r="F20946" s="40" t="s">
        <v>11404</v>
      </c>
      <c r="G20946" s="40" t="s">
        <v>11404</v>
      </c>
      <c r="H20946" s="40" t="s">
        <v>11404</v>
      </c>
    </row>
    <row r="20947">
      <c r="A20947" s="39"/>
      <c r="E20947" s="40" t="s">
        <v>11404</v>
      </c>
      <c r="F20947" s="40" t="s">
        <v>11404</v>
      </c>
      <c r="G20947" s="40" t="s">
        <v>11404</v>
      </c>
      <c r="H20947" s="40" t="s">
        <v>11404</v>
      </c>
    </row>
    <row r="20948">
      <c r="A20948" s="39"/>
      <c r="E20948" s="40" t="s">
        <v>11404</v>
      </c>
      <c r="F20948" s="40" t="s">
        <v>11404</v>
      </c>
      <c r="G20948" s="40" t="s">
        <v>11404</v>
      </c>
      <c r="H20948" s="40" t="s">
        <v>11404</v>
      </c>
    </row>
    <row r="20949">
      <c r="A20949" s="39"/>
      <c r="E20949" s="40" t="s">
        <v>11404</v>
      </c>
      <c r="F20949" s="40" t="s">
        <v>11404</v>
      </c>
      <c r="G20949" s="40" t="s">
        <v>11404</v>
      </c>
      <c r="H20949" s="40" t="s">
        <v>11404</v>
      </c>
    </row>
    <row r="20950">
      <c r="A20950" s="39"/>
      <c r="E20950" s="40" t="s">
        <v>11404</v>
      </c>
      <c r="F20950" s="40" t="s">
        <v>11404</v>
      </c>
      <c r="G20950" s="40" t="s">
        <v>11404</v>
      </c>
      <c r="H20950" s="40" t="s">
        <v>11404</v>
      </c>
    </row>
    <row r="20951">
      <c r="A20951" s="39"/>
      <c r="E20951" s="40" t="s">
        <v>11404</v>
      </c>
      <c r="F20951" s="40" t="s">
        <v>11404</v>
      </c>
      <c r="G20951" s="40" t="s">
        <v>11404</v>
      </c>
      <c r="H20951" s="40" t="s">
        <v>11404</v>
      </c>
    </row>
    <row r="20952">
      <c r="A20952" s="39"/>
      <c r="E20952" s="40" t="s">
        <v>11404</v>
      </c>
      <c r="F20952" s="40" t="s">
        <v>11404</v>
      </c>
      <c r="G20952" s="40" t="s">
        <v>11404</v>
      </c>
      <c r="H20952" s="40" t="s">
        <v>11404</v>
      </c>
    </row>
    <row r="20953">
      <c r="A20953" s="39"/>
      <c r="E20953" s="40" t="s">
        <v>11404</v>
      </c>
      <c r="F20953" s="40" t="s">
        <v>11404</v>
      </c>
      <c r="G20953" s="40" t="s">
        <v>11404</v>
      </c>
      <c r="H20953" s="40" t="s">
        <v>11404</v>
      </c>
    </row>
    <row r="20954">
      <c r="A20954" s="39"/>
      <c r="E20954" s="40" t="s">
        <v>11404</v>
      </c>
      <c r="F20954" s="40" t="s">
        <v>11404</v>
      </c>
      <c r="G20954" s="40" t="s">
        <v>11404</v>
      </c>
      <c r="H20954" s="40" t="s">
        <v>11404</v>
      </c>
    </row>
    <row r="20955">
      <c r="A20955" s="39"/>
      <c r="E20955" s="40" t="s">
        <v>11404</v>
      </c>
      <c r="F20955" s="40" t="s">
        <v>11404</v>
      </c>
      <c r="G20955" s="40" t="s">
        <v>11404</v>
      </c>
      <c r="H20955" s="40" t="s">
        <v>11404</v>
      </c>
    </row>
    <row r="20956">
      <c r="A20956" s="39"/>
      <c r="E20956" s="40" t="s">
        <v>11404</v>
      </c>
      <c r="F20956" s="40" t="s">
        <v>11404</v>
      </c>
      <c r="G20956" s="40" t="s">
        <v>11404</v>
      </c>
      <c r="H20956" s="40" t="s">
        <v>11404</v>
      </c>
    </row>
    <row r="20957">
      <c r="A20957" s="39"/>
      <c r="E20957" s="40" t="s">
        <v>11404</v>
      </c>
      <c r="F20957" s="40" t="s">
        <v>11404</v>
      </c>
      <c r="G20957" s="40" t="s">
        <v>11404</v>
      </c>
      <c r="H20957" s="40" t="s">
        <v>11404</v>
      </c>
    </row>
    <row r="20958">
      <c r="A20958" s="39"/>
      <c r="E20958" s="40" t="s">
        <v>11404</v>
      </c>
      <c r="F20958" s="40" t="s">
        <v>11404</v>
      </c>
      <c r="G20958" s="40" t="s">
        <v>11404</v>
      </c>
      <c r="H20958" s="40" t="s">
        <v>11404</v>
      </c>
    </row>
    <row r="20959">
      <c r="A20959" s="39"/>
      <c r="E20959" s="40" t="s">
        <v>11404</v>
      </c>
      <c r="F20959" s="40" t="s">
        <v>11404</v>
      </c>
      <c r="G20959" s="40" t="s">
        <v>11404</v>
      </c>
      <c r="H20959" s="40" t="s">
        <v>11404</v>
      </c>
    </row>
    <row r="20960">
      <c r="A20960" s="39"/>
      <c r="E20960" s="40" t="s">
        <v>11404</v>
      </c>
      <c r="F20960" s="40" t="s">
        <v>11404</v>
      </c>
      <c r="G20960" s="40" t="s">
        <v>11404</v>
      </c>
      <c r="H20960" s="40" t="s">
        <v>11404</v>
      </c>
    </row>
    <row r="20961">
      <c r="A20961" s="39"/>
      <c r="E20961" s="40" t="s">
        <v>11404</v>
      </c>
      <c r="F20961" s="40" t="s">
        <v>11404</v>
      </c>
      <c r="G20961" s="40" t="s">
        <v>11404</v>
      </c>
      <c r="H20961" s="40" t="s">
        <v>11404</v>
      </c>
    </row>
    <row r="20962">
      <c r="A20962" s="39"/>
      <c r="E20962" s="40" t="s">
        <v>11404</v>
      </c>
      <c r="F20962" s="40" t="s">
        <v>11404</v>
      </c>
      <c r="G20962" s="40" t="s">
        <v>11404</v>
      </c>
      <c r="H20962" s="40" t="s">
        <v>11404</v>
      </c>
    </row>
    <row r="20963">
      <c r="A20963" s="39"/>
      <c r="E20963" s="40" t="s">
        <v>11404</v>
      </c>
      <c r="F20963" s="40" t="s">
        <v>11404</v>
      </c>
      <c r="G20963" s="40" t="s">
        <v>11404</v>
      </c>
      <c r="H20963" s="40" t="s">
        <v>11404</v>
      </c>
    </row>
    <row r="20964">
      <c r="A20964" s="39"/>
      <c r="E20964" s="40" t="s">
        <v>11404</v>
      </c>
      <c r="F20964" s="40" t="s">
        <v>11404</v>
      </c>
      <c r="G20964" s="40" t="s">
        <v>11404</v>
      </c>
      <c r="H20964" s="40" t="s">
        <v>11404</v>
      </c>
    </row>
    <row r="20965">
      <c r="A20965" s="39"/>
      <c r="E20965" s="40" t="s">
        <v>11404</v>
      </c>
      <c r="F20965" s="40" t="s">
        <v>11404</v>
      </c>
      <c r="G20965" s="40" t="s">
        <v>11404</v>
      </c>
      <c r="H20965" s="40" t="s">
        <v>11404</v>
      </c>
    </row>
    <row r="20966">
      <c r="A20966" s="39"/>
      <c r="E20966" s="40" t="s">
        <v>11404</v>
      </c>
      <c r="F20966" s="40" t="s">
        <v>11404</v>
      </c>
      <c r="G20966" s="40" t="s">
        <v>11404</v>
      </c>
      <c r="H20966" s="40" t="s">
        <v>11404</v>
      </c>
    </row>
    <row r="20967">
      <c r="A20967" s="39"/>
      <c r="E20967" s="40" t="s">
        <v>11404</v>
      </c>
      <c r="F20967" s="40" t="s">
        <v>11404</v>
      </c>
      <c r="G20967" s="40" t="s">
        <v>11404</v>
      </c>
      <c r="H20967" s="40" t="s">
        <v>11404</v>
      </c>
    </row>
    <row r="20968">
      <c r="A20968" s="39"/>
      <c r="E20968" s="40" t="s">
        <v>11404</v>
      </c>
      <c r="F20968" s="40" t="s">
        <v>11404</v>
      </c>
      <c r="G20968" s="40" t="s">
        <v>11404</v>
      </c>
      <c r="H20968" s="40" t="s">
        <v>11404</v>
      </c>
    </row>
    <row r="20969">
      <c r="A20969" s="39"/>
      <c r="E20969" s="40" t="s">
        <v>11404</v>
      </c>
      <c r="F20969" s="40" t="s">
        <v>11404</v>
      </c>
      <c r="G20969" s="40" t="s">
        <v>11404</v>
      </c>
      <c r="H20969" s="40" t="s">
        <v>11404</v>
      </c>
    </row>
    <row r="20970">
      <c r="A20970" s="39"/>
      <c r="E20970" s="40" t="s">
        <v>11404</v>
      </c>
      <c r="F20970" s="40" t="s">
        <v>11404</v>
      </c>
      <c r="G20970" s="40" t="s">
        <v>11404</v>
      </c>
      <c r="H20970" s="40" t="s">
        <v>11404</v>
      </c>
    </row>
    <row r="20971">
      <c r="A20971" s="39"/>
      <c r="E20971" s="40" t="s">
        <v>11404</v>
      </c>
      <c r="F20971" s="40" t="s">
        <v>11404</v>
      </c>
      <c r="G20971" s="40" t="s">
        <v>11404</v>
      </c>
      <c r="H20971" s="40" t="s">
        <v>11404</v>
      </c>
    </row>
    <row r="20972">
      <c r="A20972" s="39"/>
      <c r="E20972" s="40" t="s">
        <v>11404</v>
      </c>
      <c r="F20972" s="40" t="s">
        <v>11404</v>
      </c>
      <c r="G20972" s="40" t="s">
        <v>11404</v>
      </c>
      <c r="H20972" s="40" t="s">
        <v>11404</v>
      </c>
    </row>
    <row r="20973">
      <c r="A20973" s="39"/>
      <c r="E20973" s="40" t="s">
        <v>11404</v>
      </c>
      <c r="F20973" s="40" t="s">
        <v>11404</v>
      </c>
      <c r="G20973" s="40" t="s">
        <v>11404</v>
      </c>
      <c r="H20973" s="40" t="s">
        <v>11404</v>
      </c>
    </row>
    <row r="20974">
      <c r="A20974" s="39"/>
      <c r="E20974" s="40" t="s">
        <v>11404</v>
      </c>
      <c r="F20974" s="40" t="s">
        <v>11404</v>
      </c>
      <c r="G20974" s="40" t="s">
        <v>11404</v>
      </c>
      <c r="H20974" s="40" t="s">
        <v>11404</v>
      </c>
    </row>
    <row r="20975">
      <c r="A20975" s="39"/>
      <c r="E20975" s="40" t="s">
        <v>11404</v>
      </c>
      <c r="F20975" s="40" t="s">
        <v>11404</v>
      </c>
      <c r="G20975" s="40" t="s">
        <v>11404</v>
      </c>
      <c r="H20975" s="40" t="s">
        <v>11404</v>
      </c>
    </row>
    <row r="20976">
      <c r="A20976" s="39"/>
      <c r="E20976" s="40" t="s">
        <v>11404</v>
      </c>
      <c r="F20976" s="40" t="s">
        <v>11404</v>
      </c>
      <c r="G20976" s="40" t="s">
        <v>11404</v>
      </c>
      <c r="H20976" s="40" t="s">
        <v>11404</v>
      </c>
    </row>
    <row r="20977">
      <c r="A20977" s="39"/>
      <c r="E20977" s="40" t="s">
        <v>11404</v>
      </c>
      <c r="F20977" s="40" t="s">
        <v>11404</v>
      </c>
      <c r="G20977" s="40" t="s">
        <v>11404</v>
      </c>
      <c r="H20977" s="40" t="s">
        <v>11404</v>
      </c>
    </row>
    <row r="20978">
      <c r="A20978" s="39"/>
      <c r="E20978" s="40" t="s">
        <v>11404</v>
      </c>
      <c r="F20978" s="40" t="s">
        <v>11404</v>
      </c>
      <c r="G20978" s="40" t="s">
        <v>11404</v>
      </c>
      <c r="H20978" s="40" t="s">
        <v>11404</v>
      </c>
    </row>
    <row r="20979">
      <c r="A20979" s="39"/>
      <c r="E20979" s="40" t="s">
        <v>11404</v>
      </c>
      <c r="F20979" s="40" t="s">
        <v>11404</v>
      </c>
      <c r="G20979" s="40" t="s">
        <v>11404</v>
      </c>
      <c r="H20979" s="40" t="s">
        <v>11404</v>
      </c>
    </row>
    <row r="20980">
      <c r="A20980" s="39"/>
      <c r="E20980" s="40" t="s">
        <v>11404</v>
      </c>
      <c r="F20980" s="40" t="s">
        <v>11404</v>
      </c>
      <c r="G20980" s="40" t="s">
        <v>11404</v>
      </c>
      <c r="H20980" s="40" t="s">
        <v>11404</v>
      </c>
    </row>
    <row r="20981">
      <c r="A20981" s="39"/>
      <c r="E20981" s="40" t="s">
        <v>11404</v>
      </c>
      <c r="F20981" s="40" t="s">
        <v>11404</v>
      </c>
      <c r="G20981" s="40" t="s">
        <v>11404</v>
      </c>
      <c r="H20981" s="40" t="s">
        <v>11404</v>
      </c>
    </row>
    <row r="20982">
      <c r="A20982" s="39"/>
      <c r="E20982" s="40" t="s">
        <v>11404</v>
      </c>
      <c r="F20982" s="40" t="s">
        <v>11404</v>
      </c>
      <c r="G20982" s="40" t="s">
        <v>11404</v>
      </c>
      <c r="H20982" s="40" t="s">
        <v>11404</v>
      </c>
    </row>
    <row r="20983">
      <c r="A20983" s="39"/>
      <c r="E20983" s="40" t="s">
        <v>11404</v>
      </c>
      <c r="F20983" s="40" t="s">
        <v>11404</v>
      </c>
      <c r="G20983" s="40" t="s">
        <v>11404</v>
      </c>
      <c r="H20983" s="40" t="s">
        <v>11404</v>
      </c>
    </row>
    <row r="20984">
      <c r="A20984" s="39"/>
      <c r="E20984" s="40" t="s">
        <v>11404</v>
      </c>
      <c r="F20984" s="40" t="s">
        <v>11404</v>
      </c>
      <c r="G20984" s="40" t="s">
        <v>11404</v>
      </c>
      <c r="H20984" s="40" t="s">
        <v>11404</v>
      </c>
    </row>
    <row r="20985">
      <c r="A20985" s="39"/>
      <c r="E20985" s="40" t="s">
        <v>11404</v>
      </c>
      <c r="F20985" s="40" t="s">
        <v>11404</v>
      </c>
      <c r="G20985" s="40" t="s">
        <v>11404</v>
      </c>
      <c r="H20985" s="40" t="s">
        <v>11404</v>
      </c>
    </row>
    <row r="20986">
      <c r="A20986" s="39"/>
      <c r="E20986" s="40" t="s">
        <v>11404</v>
      </c>
      <c r="F20986" s="40" t="s">
        <v>11404</v>
      </c>
      <c r="G20986" s="40" t="s">
        <v>11404</v>
      </c>
      <c r="H20986" s="40" t="s">
        <v>11404</v>
      </c>
    </row>
    <row r="20987">
      <c r="A20987" s="39"/>
      <c r="E20987" s="40" t="s">
        <v>11404</v>
      </c>
      <c r="F20987" s="40" t="s">
        <v>11404</v>
      </c>
      <c r="G20987" s="40" t="s">
        <v>11404</v>
      </c>
      <c r="H20987" s="40" t="s">
        <v>11404</v>
      </c>
    </row>
    <row r="20988">
      <c r="A20988" s="39"/>
      <c r="E20988" s="40" t="s">
        <v>11404</v>
      </c>
      <c r="F20988" s="40" t="s">
        <v>11404</v>
      </c>
      <c r="G20988" s="40" t="s">
        <v>11404</v>
      </c>
      <c r="H20988" s="40" t="s">
        <v>11404</v>
      </c>
    </row>
    <row r="20989">
      <c r="A20989" s="39"/>
      <c r="E20989" s="40" t="s">
        <v>11404</v>
      </c>
      <c r="F20989" s="40" t="s">
        <v>11404</v>
      </c>
      <c r="G20989" s="40" t="s">
        <v>11404</v>
      </c>
      <c r="H20989" s="40" t="s">
        <v>11404</v>
      </c>
    </row>
    <row r="20990">
      <c r="A20990" s="39"/>
      <c r="E20990" s="40" t="s">
        <v>11404</v>
      </c>
      <c r="F20990" s="40" t="s">
        <v>11404</v>
      </c>
      <c r="G20990" s="40" t="s">
        <v>11404</v>
      </c>
      <c r="H20990" s="40" t="s">
        <v>11404</v>
      </c>
    </row>
    <row r="20991">
      <c r="A20991" s="39"/>
      <c r="E20991" s="40" t="s">
        <v>11404</v>
      </c>
      <c r="F20991" s="40" t="s">
        <v>11404</v>
      </c>
      <c r="G20991" s="40" t="s">
        <v>11404</v>
      </c>
      <c r="H20991" s="40" t="s">
        <v>11404</v>
      </c>
    </row>
    <row r="20992">
      <c r="A20992" s="39"/>
      <c r="E20992" s="40" t="s">
        <v>11404</v>
      </c>
      <c r="F20992" s="40" t="s">
        <v>11404</v>
      </c>
      <c r="G20992" s="40" t="s">
        <v>11404</v>
      </c>
      <c r="H20992" s="40" t="s">
        <v>11404</v>
      </c>
    </row>
    <row r="20993">
      <c r="A20993" s="39"/>
      <c r="E20993" s="40" t="s">
        <v>11404</v>
      </c>
      <c r="F20993" s="40" t="s">
        <v>11404</v>
      </c>
      <c r="G20993" s="40" t="s">
        <v>11404</v>
      </c>
      <c r="H20993" s="40" t="s">
        <v>11404</v>
      </c>
    </row>
    <row r="20994">
      <c r="A20994" s="39"/>
      <c r="E20994" s="40" t="s">
        <v>11404</v>
      </c>
      <c r="F20994" s="40" t="s">
        <v>11404</v>
      </c>
      <c r="G20994" s="40" t="s">
        <v>11404</v>
      </c>
      <c r="H20994" s="40" t="s">
        <v>11404</v>
      </c>
    </row>
    <row r="20995">
      <c r="A20995" s="39"/>
      <c r="E20995" s="40" t="s">
        <v>11404</v>
      </c>
      <c r="F20995" s="40" t="s">
        <v>11404</v>
      </c>
      <c r="G20995" s="40" t="s">
        <v>11404</v>
      </c>
      <c r="H20995" s="40" t="s">
        <v>11404</v>
      </c>
    </row>
    <row r="20996">
      <c r="A20996" s="39"/>
      <c r="E20996" s="40" t="s">
        <v>11404</v>
      </c>
      <c r="F20996" s="40" t="s">
        <v>11404</v>
      </c>
      <c r="G20996" s="40" t="s">
        <v>11404</v>
      </c>
      <c r="H20996" s="40" t="s">
        <v>11404</v>
      </c>
    </row>
    <row r="20997">
      <c r="A20997" s="39"/>
      <c r="E20997" s="40" t="s">
        <v>11404</v>
      </c>
      <c r="F20997" s="40" t="s">
        <v>11404</v>
      </c>
      <c r="G20997" s="40" t="s">
        <v>11404</v>
      </c>
      <c r="H20997" s="40" t="s">
        <v>11404</v>
      </c>
    </row>
    <row r="20998">
      <c r="A20998" s="39"/>
      <c r="E20998" s="40" t="s">
        <v>11404</v>
      </c>
      <c r="F20998" s="40" t="s">
        <v>11404</v>
      </c>
      <c r="G20998" s="40" t="s">
        <v>11404</v>
      </c>
      <c r="H20998" s="40" t="s">
        <v>11404</v>
      </c>
    </row>
    <row r="20999">
      <c r="A20999" s="39"/>
      <c r="E20999" s="40" t="s">
        <v>11404</v>
      </c>
      <c r="F20999" s="40" t="s">
        <v>11404</v>
      </c>
      <c r="G20999" s="40" t="s">
        <v>11404</v>
      </c>
      <c r="H20999" s="40" t="s">
        <v>11404</v>
      </c>
    </row>
    <row r="21000">
      <c r="A21000" s="39"/>
      <c r="E21000" s="40" t="s">
        <v>11404</v>
      </c>
      <c r="F21000" s="40" t="s">
        <v>11404</v>
      </c>
      <c r="G21000" s="40" t="s">
        <v>11404</v>
      </c>
      <c r="H21000" s="40" t="s">
        <v>11404</v>
      </c>
    </row>
    <row r="21001">
      <c r="A21001" s="39"/>
      <c r="E21001" s="40" t="s">
        <v>11404</v>
      </c>
      <c r="F21001" s="40" t="s">
        <v>11404</v>
      </c>
      <c r="G21001" s="40" t="s">
        <v>11404</v>
      </c>
      <c r="H21001" s="40" t="s">
        <v>11404</v>
      </c>
    </row>
    <row r="21002">
      <c r="A21002" s="39"/>
      <c r="E21002" s="40" t="s">
        <v>11404</v>
      </c>
      <c r="F21002" s="40" t="s">
        <v>11404</v>
      </c>
      <c r="G21002" s="40" t="s">
        <v>11404</v>
      </c>
      <c r="H21002" s="40" t="s">
        <v>11404</v>
      </c>
    </row>
    <row r="21003">
      <c r="A21003" s="39"/>
      <c r="E21003" s="40" t="s">
        <v>11404</v>
      </c>
      <c r="F21003" s="40" t="s">
        <v>11404</v>
      </c>
      <c r="G21003" s="40" t="s">
        <v>11404</v>
      </c>
      <c r="H21003" s="40" t="s">
        <v>11404</v>
      </c>
    </row>
    <row r="21004">
      <c r="A21004" s="39"/>
      <c r="E21004" s="40" t="s">
        <v>11404</v>
      </c>
      <c r="F21004" s="40" t="s">
        <v>11404</v>
      </c>
      <c r="G21004" s="40" t="s">
        <v>11404</v>
      </c>
      <c r="H21004" s="40" t="s">
        <v>11404</v>
      </c>
    </row>
    <row r="21005">
      <c r="A21005" s="39"/>
      <c r="E21005" s="40" t="s">
        <v>11404</v>
      </c>
      <c r="F21005" s="40" t="s">
        <v>11404</v>
      </c>
      <c r="G21005" s="40" t="s">
        <v>11404</v>
      </c>
      <c r="H21005" s="40" t="s">
        <v>11404</v>
      </c>
    </row>
    <row r="21006">
      <c r="A21006" s="39"/>
      <c r="E21006" s="40" t="s">
        <v>11404</v>
      </c>
      <c r="F21006" s="40" t="s">
        <v>11404</v>
      </c>
      <c r="G21006" s="40" t="s">
        <v>11404</v>
      </c>
      <c r="H21006" s="40" t="s">
        <v>11404</v>
      </c>
    </row>
    <row r="21007">
      <c r="A21007" s="39"/>
      <c r="E21007" s="40" t="s">
        <v>11404</v>
      </c>
      <c r="F21007" s="40" t="s">
        <v>11404</v>
      </c>
      <c r="G21007" s="40" t="s">
        <v>11404</v>
      </c>
      <c r="H21007" s="40" t="s">
        <v>11404</v>
      </c>
    </row>
    <row r="21008">
      <c r="A21008" s="39"/>
      <c r="E21008" s="40" t="s">
        <v>11404</v>
      </c>
      <c r="F21008" s="40" t="s">
        <v>11404</v>
      </c>
      <c r="G21008" s="40" t="s">
        <v>11404</v>
      </c>
      <c r="H21008" s="40" t="s">
        <v>11404</v>
      </c>
    </row>
    <row r="21009">
      <c r="A21009" s="39"/>
      <c r="E21009" s="40" t="s">
        <v>11404</v>
      </c>
      <c r="F21009" s="40" t="s">
        <v>11404</v>
      </c>
      <c r="G21009" s="40" t="s">
        <v>11404</v>
      </c>
      <c r="H21009" s="40" t="s">
        <v>11404</v>
      </c>
    </row>
    <row r="21010">
      <c r="A21010" s="39"/>
      <c r="E21010" s="40" t="s">
        <v>11404</v>
      </c>
      <c r="F21010" s="40" t="s">
        <v>11404</v>
      </c>
      <c r="G21010" s="40" t="s">
        <v>11404</v>
      </c>
      <c r="H21010" s="40" t="s">
        <v>11404</v>
      </c>
    </row>
    <row r="21011">
      <c r="A21011" s="39"/>
      <c r="E21011" s="40" t="s">
        <v>11404</v>
      </c>
      <c r="F21011" s="40" t="s">
        <v>11404</v>
      </c>
      <c r="G21011" s="40" t="s">
        <v>11404</v>
      </c>
      <c r="H21011" s="40" t="s">
        <v>11404</v>
      </c>
    </row>
    <row r="21012">
      <c r="A21012" s="39"/>
      <c r="E21012" s="40" t="s">
        <v>11404</v>
      </c>
      <c r="F21012" s="40" t="s">
        <v>11404</v>
      </c>
      <c r="G21012" s="40" t="s">
        <v>11404</v>
      </c>
      <c r="H21012" s="40" t="s">
        <v>11404</v>
      </c>
    </row>
    <row r="21013">
      <c r="A21013" s="39"/>
      <c r="E21013" s="40" t="s">
        <v>11404</v>
      </c>
      <c r="F21013" s="40" t="s">
        <v>11404</v>
      </c>
      <c r="G21013" s="40" t="s">
        <v>11404</v>
      </c>
      <c r="H21013" s="40" t="s">
        <v>11404</v>
      </c>
    </row>
    <row r="21014">
      <c r="A21014" s="39"/>
      <c r="E21014" s="40" t="s">
        <v>11404</v>
      </c>
      <c r="F21014" s="40" t="s">
        <v>11404</v>
      </c>
      <c r="G21014" s="40" t="s">
        <v>11404</v>
      </c>
      <c r="H21014" s="40" t="s">
        <v>11404</v>
      </c>
    </row>
    <row r="21015">
      <c r="A21015" s="39"/>
      <c r="E21015" s="40" t="s">
        <v>11404</v>
      </c>
      <c r="F21015" s="40" t="s">
        <v>11404</v>
      </c>
      <c r="G21015" s="40" t="s">
        <v>11404</v>
      </c>
      <c r="H21015" s="40" t="s">
        <v>11404</v>
      </c>
    </row>
    <row r="21016">
      <c r="A21016" s="39"/>
      <c r="E21016" s="40" t="s">
        <v>11404</v>
      </c>
      <c r="F21016" s="40" t="s">
        <v>11404</v>
      </c>
      <c r="G21016" s="40" t="s">
        <v>11404</v>
      </c>
      <c r="H21016" s="40" t="s">
        <v>11404</v>
      </c>
    </row>
    <row r="21017">
      <c r="A21017" s="39"/>
      <c r="E21017" s="40" t="s">
        <v>11404</v>
      </c>
      <c r="F21017" s="40" t="s">
        <v>11404</v>
      </c>
      <c r="G21017" s="40" t="s">
        <v>11404</v>
      </c>
      <c r="H21017" s="40" t="s">
        <v>11404</v>
      </c>
    </row>
    <row r="21018">
      <c r="A21018" s="39"/>
      <c r="E21018" s="40" t="s">
        <v>11404</v>
      </c>
      <c r="F21018" s="40" t="s">
        <v>11404</v>
      </c>
      <c r="G21018" s="40" t="s">
        <v>11404</v>
      </c>
      <c r="H21018" s="40" t="s">
        <v>11404</v>
      </c>
    </row>
    <row r="21019">
      <c r="A21019" s="39"/>
      <c r="E21019" s="40" t="s">
        <v>11404</v>
      </c>
      <c r="F21019" s="40" t="s">
        <v>11404</v>
      </c>
      <c r="G21019" s="40" t="s">
        <v>11404</v>
      </c>
      <c r="H21019" s="40" t="s">
        <v>11404</v>
      </c>
    </row>
    <row r="21020">
      <c r="A21020" s="39"/>
      <c r="E21020" s="40" t="s">
        <v>11404</v>
      </c>
      <c r="F21020" s="40" t="s">
        <v>11404</v>
      </c>
      <c r="G21020" s="40" t="s">
        <v>11404</v>
      </c>
      <c r="H21020" s="40" t="s">
        <v>11404</v>
      </c>
    </row>
    <row r="21021">
      <c r="A21021" s="39"/>
      <c r="E21021" s="40" t="s">
        <v>11404</v>
      </c>
      <c r="F21021" s="40" t="s">
        <v>11404</v>
      </c>
      <c r="G21021" s="40" t="s">
        <v>11404</v>
      </c>
      <c r="H21021" s="40" t="s">
        <v>11404</v>
      </c>
    </row>
    <row r="21022">
      <c r="A21022" s="39"/>
      <c r="E21022" s="40" t="s">
        <v>11404</v>
      </c>
      <c r="F21022" s="40" t="s">
        <v>11404</v>
      </c>
      <c r="G21022" s="40" t="s">
        <v>11404</v>
      </c>
      <c r="H21022" s="40" t="s">
        <v>11404</v>
      </c>
    </row>
    <row r="21023">
      <c r="A21023" s="39"/>
      <c r="E21023" s="40" t="s">
        <v>11404</v>
      </c>
      <c r="F21023" s="40" t="s">
        <v>11404</v>
      </c>
      <c r="G21023" s="40" t="s">
        <v>11404</v>
      </c>
      <c r="H21023" s="40" t="s">
        <v>11404</v>
      </c>
    </row>
    <row r="21024">
      <c r="A21024" s="39"/>
      <c r="E21024" s="40" t="s">
        <v>11404</v>
      </c>
      <c r="F21024" s="40" t="s">
        <v>11404</v>
      </c>
      <c r="G21024" s="40" t="s">
        <v>11404</v>
      </c>
      <c r="H21024" s="40" t="s">
        <v>11404</v>
      </c>
    </row>
    <row r="21025">
      <c r="A21025" s="39"/>
      <c r="E21025" s="40" t="s">
        <v>11404</v>
      </c>
      <c r="F21025" s="40" t="s">
        <v>11404</v>
      </c>
      <c r="G21025" s="40" t="s">
        <v>11404</v>
      </c>
      <c r="H21025" s="40" t="s">
        <v>11404</v>
      </c>
    </row>
    <row r="21026">
      <c r="A21026" s="39"/>
      <c r="E21026" s="40" t="s">
        <v>11404</v>
      </c>
      <c r="F21026" s="40" t="s">
        <v>11404</v>
      </c>
      <c r="G21026" s="40" t="s">
        <v>11404</v>
      </c>
      <c r="H21026" s="40" t="s">
        <v>11404</v>
      </c>
    </row>
    <row r="21027">
      <c r="A21027" s="39"/>
      <c r="E21027" s="40" t="s">
        <v>11404</v>
      </c>
      <c r="F21027" s="40" t="s">
        <v>11404</v>
      </c>
      <c r="G21027" s="40" t="s">
        <v>11404</v>
      </c>
      <c r="H21027" s="40" t="s">
        <v>11404</v>
      </c>
    </row>
    <row r="21028">
      <c r="A21028" s="39"/>
      <c r="E21028" s="40" t="s">
        <v>11404</v>
      </c>
      <c r="F21028" s="40" t="s">
        <v>11404</v>
      </c>
      <c r="G21028" s="40" t="s">
        <v>11404</v>
      </c>
      <c r="H21028" s="40" t="s">
        <v>11404</v>
      </c>
    </row>
    <row r="21029">
      <c r="A21029" s="39"/>
      <c r="E21029" s="40" t="s">
        <v>11404</v>
      </c>
      <c r="F21029" s="40" t="s">
        <v>11404</v>
      </c>
      <c r="G21029" s="40" t="s">
        <v>11404</v>
      </c>
      <c r="H21029" s="40" t="s">
        <v>11404</v>
      </c>
    </row>
    <row r="21030">
      <c r="A21030" s="39"/>
      <c r="E21030" s="40" t="s">
        <v>11404</v>
      </c>
      <c r="F21030" s="40" t="s">
        <v>11404</v>
      </c>
      <c r="G21030" s="40" t="s">
        <v>11404</v>
      </c>
      <c r="H21030" s="40" t="s">
        <v>11404</v>
      </c>
    </row>
    <row r="21031">
      <c r="A21031" s="39"/>
      <c r="E21031" s="40" t="s">
        <v>11404</v>
      </c>
      <c r="F21031" s="40" t="s">
        <v>11404</v>
      </c>
      <c r="G21031" s="40" t="s">
        <v>11404</v>
      </c>
      <c r="H21031" s="40" t="s">
        <v>11404</v>
      </c>
    </row>
    <row r="21032">
      <c r="A21032" s="39"/>
      <c r="E21032" s="40" t="s">
        <v>11404</v>
      </c>
      <c r="F21032" s="40" t="s">
        <v>11404</v>
      </c>
      <c r="G21032" s="40" t="s">
        <v>11404</v>
      </c>
      <c r="H21032" s="40" t="s">
        <v>11404</v>
      </c>
    </row>
    <row r="21033">
      <c r="A21033" s="39"/>
      <c r="E21033" s="40" t="s">
        <v>11404</v>
      </c>
      <c r="F21033" s="40" t="s">
        <v>11404</v>
      </c>
      <c r="G21033" s="40" t="s">
        <v>11404</v>
      </c>
      <c r="H21033" s="40" t="s">
        <v>11404</v>
      </c>
    </row>
    <row r="21034">
      <c r="A21034" s="39"/>
      <c r="E21034" s="40" t="s">
        <v>11404</v>
      </c>
      <c r="F21034" s="40" t="s">
        <v>11404</v>
      </c>
      <c r="G21034" s="40" t="s">
        <v>11404</v>
      </c>
      <c r="H21034" s="40" t="s">
        <v>11404</v>
      </c>
    </row>
    <row r="21035">
      <c r="A21035" s="39"/>
      <c r="E21035" s="40" t="s">
        <v>11404</v>
      </c>
      <c r="F21035" s="40" t="s">
        <v>11404</v>
      </c>
      <c r="G21035" s="40" t="s">
        <v>11404</v>
      </c>
      <c r="H21035" s="40" t="s">
        <v>11404</v>
      </c>
    </row>
    <row r="21036">
      <c r="A21036" s="39"/>
      <c r="E21036" s="40" t="s">
        <v>11404</v>
      </c>
      <c r="F21036" s="40" t="s">
        <v>11404</v>
      </c>
      <c r="G21036" s="40" t="s">
        <v>11404</v>
      </c>
      <c r="H21036" s="40" t="s">
        <v>11404</v>
      </c>
    </row>
    <row r="21037">
      <c r="A21037" s="39"/>
      <c r="E21037" s="40" t="s">
        <v>11404</v>
      </c>
      <c r="F21037" s="40" t="s">
        <v>11404</v>
      </c>
      <c r="G21037" s="40" t="s">
        <v>11404</v>
      </c>
      <c r="H21037" s="40" t="s">
        <v>11404</v>
      </c>
    </row>
    <row r="21038">
      <c r="A21038" s="39"/>
      <c r="E21038" s="40" t="s">
        <v>11404</v>
      </c>
      <c r="F21038" s="40" t="s">
        <v>11404</v>
      </c>
      <c r="G21038" s="40" t="s">
        <v>11404</v>
      </c>
      <c r="H21038" s="40" t="s">
        <v>11404</v>
      </c>
    </row>
    <row r="21039">
      <c r="A21039" s="39"/>
      <c r="E21039" s="40" t="s">
        <v>11404</v>
      </c>
      <c r="F21039" s="40" t="s">
        <v>11404</v>
      </c>
      <c r="G21039" s="40" t="s">
        <v>11404</v>
      </c>
      <c r="H21039" s="40" t="s">
        <v>11404</v>
      </c>
    </row>
    <row r="21040">
      <c r="A21040" s="39"/>
      <c r="E21040" s="40" t="s">
        <v>11404</v>
      </c>
      <c r="F21040" s="40" t="s">
        <v>11404</v>
      </c>
      <c r="G21040" s="40" t="s">
        <v>11404</v>
      </c>
      <c r="H21040" s="40" t="s">
        <v>11404</v>
      </c>
    </row>
    <row r="21041">
      <c r="A21041" s="39"/>
      <c r="E21041" s="40" t="s">
        <v>11404</v>
      </c>
      <c r="F21041" s="40" t="s">
        <v>11404</v>
      </c>
      <c r="G21041" s="40" t="s">
        <v>11404</v>
      </c>
      <c r="H21041" s="40" t="s">
        <v>11404</v>
      </c>
    </row>
    <row r="21042">
      <c r="A21042" s="39"/>
      <c r="E21042" s="40" t="s">
        <v>11404</v>
      </c>
      <c r="F21042" s="40" t="s">
        <v>11404</v>
      </c>
      <c r="G21042" s="40" t="s">
        <v>11404</v>
      </c>
      <c r="H21042" s="40" t="s">
        <v>11404</v>
      </c>
    </row>
    <row r="21043">
      <c r="A21043" s="39"/>
      <c r="E21043" s="40" t="s">
        <v>11404</v>
      </c>
      <c r="F21043" s="40" t="s">
        <v>11404</v>
      </c>
      <c r="G21043" s="40" t="s">
        <v>11404</v>
      </c>
      <c r="H21043" s="40" t="s">
        <v>11404</v>
      </c>
    </row>
    <row r="21044">
      <c r="A21044" s="39"/>
      <c r="E21044" s="40" t="s">
        <v>11404</v>
      </c>
      <c r="F21044" s="40" t="s">
        <v>11404</v>
      </c>
      <c r="G21044" s="40" t="s">
        <v>11404</v>
      </c>
      <c r="H21044" s="40" t="s">
        <v>11404</v>
      </c>
    </row>
    <row r="21045">
      <c r="A21045" s="39"/>
      <c r="E21045" s="40" t="s">
        <v>11404</v>
      </c>
      <c r="F21045" s="40" t="s">
        <v>11404</v>
      </c>
      <c r="G21045" s="40" t="s">
        <v>11404</v>
      </c>
      <c r="H21045" s="40" t="s">
        <v>11404</v>
      </c>
    </row>
    <row r="21046">
      <c r="A21046" s="39"/>
      <c r="E21046" s="40" t="s">
        <v>11404</v>
      </c>
      <c r="F21046" s="40" t="s">
        <v>11404</v>
      </c>
      <c r="G21046" s="40" t="s">
        <v>11404</v>
      </c>
      <c r="H21046" s="40" t="s">
        <v>11404</v>
      </c>
    </row>
    <row r="21047">
      <c r="A21047" s="39"/>
      <c r="E21047" s="40" t="s">
        <v>11404</v>
      </c>
      <c r="F21047" s="40" t="s">
        <v>11404</v>
      </c>
      <c r="G21047" s="40" t="s">
        <v>11404</v>
      </c>
      <c r="H21047" s="40" t="s">
        <v>11404</v>
      </c>
    </row>
    <row r="21048">
      <c r="A21048" s="39"/>
      <c r="E21048" s="40" t="s">
        <v>11404</v>
      </c>
      <c r="F21048" s="40" t="s">
        <v>11404</v>
      </c>
      <c r="G21048" s="40" t="s">
        <v>11404</v>
      </c>
      <c r="H21048" s="40" t="s">
        <v>11404</v>
      </c>
    </row>
    <row r="21049">
      <c r="A21049" s="39"/>
      <c r="E21049" s="40" t="s">
        <v>11404</v>
      </c>
      <c r="F21049" s="40" t="s">
        <v>11404</v>
      </c>
      <c r="G21049" s="40" t="s">
        <v>11404</v>
      </c>
      <c r="H21049" s="40" t="s">
        <v>11404</v>
      </c>
    </row>
    <row r="21050">
      <c r="A21050" s="39"/>
      <c r="E21050" s="40" t="s">
        <v>11404</v>
      </c>
      <c r="F21050" s="40" t="s">
        <v>11404</v>
      </c>
      <c r="G21050" s="40" t="s">
        <v>11404</v>
      </c>
      <c r="H21050" s="40" t="s">
        <v>11404</v>
      </c>
    </row>
    <row r="21051">
      <c r="A21051" s="39"/>
      <c r="E21051" s="40" t="s">
        <v>11404</v>
      </c>
      <c r="F21051" s="40" t="s">
        <v>11404</v>
      </c>
      <c r="G21051" s="40" t="s">
        <v>11404</v>
      </c>
      <c r="H21051" s="40" t="s">
        <v>11404</v>
      </c>
    </row>
    <row r="21052">
      <c r="A21052" s="39"/>
      <c r="E21052" s="40" t="s">
        <v>11404</v>
      </c>
      <c r="F21052" s="40" t="s">
        <v>11404</v>
      </c>
      <c r="G21052" s="40" t="s">
        <v>11404</v>
      </c>
      <c r="H21052" s="40" t="s">
        <v>11404</v>
      </c>
    </row>
    <row r="21053">
      <c r="A21053" s="39"/>
      <c r="E21053" s="40" t="s">
        <v>11404</v>
      </c>
      <c r="F21053" s="40" t="s">
        <v>11404</v>
      </c>
      <c r="G21053" s="40" t="s">
        <v>11404</v>
      </c>
      <c r="H21053" s="40" t="s">
        <v>11404</v>
      </c>
    </row>
    <row r="21054">
      <c r="A21054" s="39"/>
      <c r="E21054" s="40" t="s">
        <v>11404</v>
      </c>
      <c r="F21054" s="40" t="s">
        <v>11404</v>
      </c>
      <c r="G21054" s="40" t="s">
        <v>11404</v>
      </c>
      <c r="H21054" s="40" t="s">
        <v>11404</v>
      </c>
    </row>
    <row r="21055">
      <c r="A21055" s="39"/>
      <c r="E21055" s="40" t="s">
        <v>11404</v>
      </c>
      <c r="F21055" s="40" t="s">
        <v>11404</v>
      </c>
      <c r="G21055" s="40" t="s">
        <v>11404</v>
      </c>
      <c r="H21055" s="40" t="s">
        <v>11404</v>
      </c>
    </row>
    <row r="21056">
      <c r="A21056" s="39"/>
      <c r="E21056" s="40" t="s">
        <v>11404</v>
      </c>
      <c r="F21056" s="40" t="s">
        <v>11404</v>
      </c>
      <c r="G21056" s="40" t="s">
        <v>11404</v>
      </c>
      <c r="H21056" s="40" t="s">
        <v>11404</v>
      </c>
    </row>
    <row r="21057">
      <c r="A21057" s="39"/>
      <c r="E21057" s="40" t="s">
        <v>11404</v>
      </c>
      <c r="F21057" s="40" t="s">
        <v>11404</v>
      </c>
      <c r="G21057" s="40" t="s">
        <v>11404</v>
      </c>
      <c r="H21057" s="40" t="s">
        <v>11404</v>
      </c>
    </row>
    <row r="21058">
      <c r="A21058" s="39"/>
      <c r="E21058" s="40" t="s">
        <v>11404</v>
      </c>
      <c r="F21058" s="40" t="s">
        <v>11404</v>
      </c>
      <c r="G21058" s="40" t="s">
        <v>11404</v>
      </c>
      <c r="H21058" s="40" t="s">
        <v>11404</v>
      </c>
    </row>
    <row r="21059">
      <c r="A21059" s="39"/>
      <c r="E21059" s="40" t="s">
        <v>11404</v>
      </c>
      <c r="F21059" s="40" t="s">
        <v>11404</v>
      </c>
      <c r="G21059" s="40" t="s">
        <v>11404</v>
      </c>
      <c r="H21059" s="40" t="s">
        <v>11404</v>
      </c>
    </row>
    <row r="21060">
      <c r="A21060" s="39"/>
      <c r="E21060" s="40" t="s">
        <v>11404</v>
      </c>
      <c r="F21060" s="40" t="s">
        <v>11404</v>
      </c>
      <c r="G21060" s="40" t="s">
        <v>11404</v>
      </c>
      <c r="H21060" s="40" t="s">
        <v>11404</v>
      </c>
    </row>
    <row r="21061">
      <c r="A21061" s="39"/>
      <c r="E21061" s="40" t="s">
        <v>11404</v>
      </c>
      <c r="F21061" s="40" t="s">
        <v>11404</v>
      </c>
      <c r="G21061" s="40" t="s">
        <v>11404</v>
      </c>
      <c r="H21061" s="40" t="s">
        <v>11404</v>
      </c>
    </row>
    <row r="21062">
      <c r="A21062" s="39"/>
      <c r="E21062" s="40" t="s">
        <v>11404</v>
      </c>
      <c r="F21062" s="40" t="s">
        <v>11404</v>
      </c>
      <c r="G21062" s="40" t="s">
        <v>11404</v>
      </c>
      <c r="H21062" s="40" t="s">
        <v>11404</v>
      </c>
    </row>
    <row r="21063">
      <c r="A21063" s="39"/>
      <c r="E21063" s="40" t="s">
        <v>11404</v>
      </c>
      <c r="F21063" s="40" t="s">
        <v>11404</v>
      </c>
      <c r="G21063" s="40" t="s">
        <v>11404</v>
      </c>
      <c r="H21063" s="40" t="s">
        <v>11404</v>
      </c>
    </row>
    <row r="21064">
      <c r="A21064" s="39"/>
      <c r="E21064" s="40" t="s">
        <v>11404</v>
      </c>
      <c r="F21064" s="40" t="s">
        <v>11404</v>
      </c>
      <c r="G21064" s="40" t="s">
        <v>11404</v>
      </c>
      <c r="H21064" s="40" t="s">
        <v>11404</v>
      </c>
    </row>
    <row r="21065">
      <c r="A21065" s="39"/>
      <c r="E21065" s="40" t="s">
        <v>11404</v>
      </c>
      <c r="F21065" s="40" t="s">
        <v>11404</v>
      </c>
      <c r="G21065" s="40" t="s">
        <v>11404</v>
      </c>
      <c r="H21065" s="40" t="s">
        <v>11404</v>
      </c>
    </row>
    <row r="21066">
      <c r="A21066" s="39"/>
      <c r="E21066" s="40" t="s">
        <v>11404</v>
      </c>
      <c r="F21066" s="40" t="s">
        <v>11404</v>
      </c>
      <c r="G21066" s="40" t="s">
        <v>11404</v>
      </c>
      <c r="H21066" s="40" t="s">
        <v>11404</v>
      </c>
    </row>
    <row r="21067">
      <c r="A21067" s="39"/>
      <c r="E21067" s="40" t="s">
        <v>11404</v>
      </c>
      <c r="F21067" s="40" t="s">
        <v>11404</v>
      </c>
      <c r="G21067" s="40" t="s">
        <v>11404</v>
      </c>
      <c r="H21067" s="40" t="s">
        <v>11404</v>
      </c>
    </row>
    <row r="21068">
      <c r="A21068" s="39"/>
      <c r="E21068" s="40" t="s">
        <v>11404</v>
      </c>
      <c r="F21068" s="40" t="s">
        <v>11404</v>
      </c>
      <c r="G21068" s="40" t="s">
        <v>11404</v>
      </c>
      <c r="H21068" s="40" t="s">
        <v>11404</v>
      </c>
    </row>
    <row r="21069">
      <c r="A21069" s="39"/>
      <c r="E21069" s="40" t="s">
        <v>11404</v>
      </c>
      <c r="F21069" s="40" t="s">
        <v>11404</v>
      </c>
      <c r="G21069" s="40" t="s">
        <v>11404</v>
      </c>
      <c r="H21069" s="40" t="s">
        <v>11404</v>
      </c>
    </row>
    <row r="21070">
      <c r="A21070" s="39"/>
      <c r="E21070" s="40" t="s">
        <v>11404</v>
      </c>
      <c r="F21070" s="40" t="s">
        <v>11404</v>
      </c>
      <c r="G21070" s="40" t="s">
        <v>11404</v>
      </c>
      <c r="H21070" s="40" t="s">
        <v>11404</v>
      </c>
    </row>
    <row r="21071">
      <c r="A21071" s="39"/>
      <c r="E21071" s="40" t="s">
        <v>11404</v>
      </c>
      <c r="F21071" s="40" t="s">
        <v>11404</v>
      </c>
      <c r="G21071" s="40" t="s">
        <v>11404</v>
      </c>
      <c r="H21071" s="40" t="s">
        <v>11404</v>
      </c>
    </row>
    <row r="21072">
      <c r="A21072" s="39"/>
      <c r="E21072" s="40" t="s">
        <v>11404</v>
      </c>
      <c r="F21072" s="40" t="s">
        <v>11404</v>
      </c>
      <c r="G21072" s="40" t="s">
        <v>11404</v>
      </c>
      <c r="H21072" s="40" t="s">
        <v>11404</v>
      </c>
    </row>
    <row r="21073">
      <c r="A21073" s="39"/>
      <c r="E21073" s="40" t="s">
        <v>11404</v>
      </c>
      <c r="F21073" s="40" t="s">
        <v>11404</v>
      </c>
      <c r="G21073" s="40" t="s">
        <v>11404</v>
      </c>
      <c r="H21073" s="40" t="s">
        <v>11404</v>
      </c>
    </row>
    <row r="21074">
      <c r="A21074" s="39"/>
      <c r="E21074" s="40" t="s">
        <v>11404</v>
      </c>
      <c r="F21074" s="40" t="s">
        <v>11404</v>
      </c>
      <c r="G21074" s="40" t="s">
        <v>11404</v>
      </c>
      <c r="H21074" s="40" t="s">
        <v>11404</v>
      </c>
    </row>
    <row r="21075">
      <c r="A21075" s="39"/>
      <c r="E21075" s="40" t="s">
        <v>11404</v>
      </c>
      <c r="F21075" s="40" t="s">
        <v>11404</v>
      </c>
      <c r="G21075" s="40" t="s">
        <v>11404</v>
      </c>
      <c r="H21075" s="40" t="s">
        <v>11404</v>
      </c>
    </row>
    <row r="21076">
      <c r="A21076" s="39"/>
      <c r="E21076" s="40" t="s">
        <v>11404</v>
      </c>
      <c r="F21076" s="40" t="s">
        <v>11404</v>
      </c>
      <c r="G21076" s="40" t="s">
        <v>11404</v>
      </c>
      <c r="H21076" s="40" t="s">
        <v>11404</v>
      </c>
    </row>
    <row r="21077">
      <c r="A21077" s="39"/>
      <c r="E21077" s="40" t="s">
        <v>11404</v>
      </c>
      <c r="F21077" s="40" t="s">
        <v>11404</v>
      </c>
      <c r="G21077" s="40" t="s">
        <v>11404</v>
      </c>
      <c r="H21077" s="40" t="s">
        <v>11404</v>
      </c>
    </row>
    <row r="21078">
      <c r="A21078" s="39"/>
      <c r="E21078" s="40" t="s">
        <v>11404</v>
      </c>
      <c r="F21078" s="40" t="s">
        <v>11404</v>
      </c>
      <c r="G21078" s="40" t="s">
        <v>11404</v>
      </c>
      <c r="H21078" s="40" t="s">
        <v>11404</v>
      </c>
    </row>
    <row r="21079">
      <c r="A21079" s="39"/>
      <c r="E21079" s="40" t="s">
        <v>11404</v>
      </c>
      <c r="F21079" s="40" t="s">
        <v>11404</v>
      </c>
      <c r="G21079" s="40" t="s">
        <v>11404</v>
      </c>
      <c r="H21079" s="40" t="s">
        <v>11404</v>
      </c>
    </row>
    <row r="21080">
      <c r="A21080" s="39"/>
      <c r="E21080" s="40" t="s">
        <v>11404</v>
      </c>
      <c r="F21080" s="40" t="s">
        <v>11404</v>
      </c>
      <c r="G21080" s="40" t="s">
        <v>11404</v>
      </c>
      <c r="H21080" s="40" t="s">
        <v>11404</v>
      </c>
    </row>
    <row r="21081">
      <c r="A21081" s="39"/>
      <c r="E21081" s="40" t="s">
        <v>11404</v>
      </c>
      <c r="F21081" s="40" t="s">
        <v>11404</v>
      </c>
      <c r="G21081" s="40" t="s">
        <v>11404</v>
      </c>
      <c r="H21081" s="40" t="s">
        <v>11404</v>
      </c>
    </row>
    <row r="21082">
      <c r="A21082" s="39"/>
      <c r="E21082" s="40" t="s">
        <v>11404</v>
      </c>
      <c r="F21082" s="40" t="s">
        <v>11404</v>
      </c>
      <c r="G21082" s="40" t="s">
        <v>11404</v>
      </c>
      <c r="H21082" s="40" t="s">
        <v>11404</v>
      </c>
    </row>
    <row r="21083">
      <c r="A21083" s="39"/>
      <c r="E21083" s="40" t="s">
        <v>11404</v>
      </c>
      <c r="F21083" s="40" t="s">
        <v>11404</v>
      </c>
      <c r="G21083" s="40" t="s">
        <v>11404</v>
      </c>
      <c r="H21083" s="40" t="s">
        <v>11404</v>
      </c>
    </row>
    <row r="21084">
      <c r="A21084" s="39"/>
      <c r="E21084" s="40" t="s">
        <v>11404</v>
      </c>
      <c r="F21084" s="40" t="s">
        <v>11404</v>
      </c>
      <c r="G21084" s="40" t="s">
        <v>11404</v>
      </c>
      <c r="H21084" s="40" t="s">
        <v>11404</v>
      </c>
    </row>
    <row r="21085">
      <c r="A21085" s="39"/>
      <c r="E21085" s="40" t="s">
        <v>11404</v>
      </c>
      <c r="F21085" s="40" t="s">
        <v>11404</v>
      </c>
      <c r="G21085" s="40" t="s">
        <v>11404</v>
      </c>
      <c r="H21085" s="40" t="s">
        <v>11404</v>
      </c>
    </row>
    <row r="21086">
      <c r="A21086" s="39"/>
      <c r="E21086" s="40" t="s">
        <v>11404</v>
      </c>
      <c r="F21086" s="40" t="s">
        <v>11404</v>
      </c>
      <c r="G21086" s="40" t="s">
        <v>11404</v>
      </c>
      <c r="H21086" s="40" t="s">
        <v>11404</v>
      </c>
    </row>
    <row r="21087">
      <c r="A21087" s="39"/>
      <c r="E21087" s="40" t="s">
        <v>11404</v>
      </c>
      <c r="F21087" s="40" t="s">
        <v>11404</v>
      </c>
      <c r="G21087" s="40" t="s">
        <v>11404</v>
      </c>
      <c r="H21087" s="40" t="s">
        <v>11404</v>
      </c>
    </row>
    <row r="21088">
      <c r="A21088" s="39"/>
      <c r="E21088" s="40" t="s">
        <v>11404</v>
      </c>
      <c r="F21088" s="40" t="s">
        <v>11404</v>
      </c>
      <c r="G21088" s="40" t="s">
        <v>11404</v>
      </c>
      <c r="H21088" s="40" t="s">
        <v>11404</v>
      </c>
    </row>
    <row r="21089">
      <c r="A21089" s="39"/>
      <c r="E21089" s="40" t="s">
        <v>11404</v>
      </c>
      <c r="F21089" s="40" t="s">
        <v>11404</v>
      </c>
      <c r="G21089" s="40" t="s">
        <v>11404</v>
      </c>
      <c r="H21089" s="40" t="s">
        <v>11404</v>
      </c>
    </row>
    <row r="21090">
      <c r="A21090" s="39"/>
      <c r="E21090" s="40" t="s">
        <v>11404</v>
      </c>
      <c r="F21090" s="40" t="s">
        <v>11404</v>
      </c>
      <c r="G21090" s="40" t="s">
        <v>11404</v>
      </c>
      <c r="H21090" s="40" t="s">
        <v>11404</v>
      </c>
    </row>
    <row r="21091">
      <c r="A21091" s="39"/>
      <c r="E21091" s="40" t="s">
        <v>11404</v>
      </c>
      <c r="F21091" s="40" t="s">
        <v>11404</v>
      </c>
      <c r="G21091" s="40" t="s">
        <v>11404</v>
      </c>
      <c r="H21091" s="40" t="s">
        <v>11404</v>
      </c>
    </row>
    <row r="21092">
      <c r="A21092" s="39"/>
      <c r="E21092" s="40" t="s">
        <v>11404</v>
      </c>
      <c r="F21092" s="40" t="s">
        <v>11404</v>
      </c>
      <c r="G21092" s="40" t="s">
        <v>11404</v>
      </c>
      <c r="H21092" s="40" t="s">
        <v>11404</v>
      </c>
    </row>
    <row r="21093">
      <c r="A21093" s="39"/>
      <c r="E21093" s="40" t="s">
        <v>11404</v>
      </c>
      <c r="F21093" s="40" t="s">
        <v>11404</v>
      </c>
      <c r="G21093" s="40" t="s">
        <v>11404</v>
      </c>
      <c r="H21093" s="40" t="s">
        <v>11404</v>
      </c>
    </row>
    <row r="21094">
      <c r="A21094" s="39"/>
      <c r="E21094" s="40" t="s">
        <v>11404</v>
      </c>
      <c r="F21094" s="40" t="s">
        <v>11404</v>
      </c>
      <c r="G21094" s="40" t="s">
        <v>11404</v>
      </c>
      <c r="H21094" s="40" t="s">
        <v>11404</v>
      </c>
    </row>
    <row r="21095">
      <c r="A21095" s="39"/>
      <c r="E21095" s="40" t="s">
        <v>11404</v>
      </c>
      <c r="F21095" s="40" t="s">
        <v>11404</v>
      </c>
      <c r="G21095" s="40" t="s">
        <v>11404</v>
      </c>
      <c r="H21095" s="40" t="s">
        <v>11404</v>
      </c>
    </row>
    <row r="21096">
      <c r="A21096" s="39"/>
      <c r="E21096" s="40" t="s">
        <v>11404</v>
      </c>
      <c r="F21096" s="40" t="s">
        <v>11404</v>
      </c>
      <c r="G21096" s="40" t="s">
        <v>11404</v>
      </c>
      <c r="H21096" s="40" t="s">
        <v>11404</v>
      </c>
    </row>
    <row r="21097">
      <c r="A21097" s="39"/>
      <c r="E21097" s="40" t="s">
        <v>11404</v>
      </c>
      <c r="F21097" s="40" t="s">
        <v>11404</v>
      </c>
      <c r="G21097" s="40" t="s">
        <v>11404</v>
      </c>
      <c r="H21097" s="40" t="s">
        <v>11404</v>
      </c>
    </row>
    <row r="21098">
      <c r="A21098" s="39"/>
      <c r="E21098" s="40" t="s">
        <v>11404</v>
      </c>
      <c r="F21098" s="40" t="s">
        <v>11404</v>
      </c>
      <c r="G21098" s="40" t="s">
        <v>11404</v>
      </c>
      <c r="H21098" s="40" t="s">
        <v>11404</v>
      </c>
    </row>
    <row r="21099">
      <c r="A21099" s="39"/>
      <c r="E21099" s="40" t="s">
        <v>11404</v>
      </c>
      <c r="F21099" s="40" t="s">
        <v>11404</v>
      </c>
      <c r="G21099" s="40" t="s">
        <v>11404</v>
      </c>
      <c r="H21099" s="40" t="s">
        <v>11404</v>
      </c>
    </row>
    <row r="21100">
      <c r="A21100" s="39"/>
      <c r="E21100" s="40" t="s">
        <v>11404</v>
      </c>
      <c r="F21100" s="40" t="s">
        <v>11404</v>
      </c>
      <c r="G21100" s="40" t="s">
        <v>11404</v>
      </c>
      <c r="H21100" s="40" t="s">
        <v>11404</v>
      </c>
    </row>
    <row r="21101">
      <c r="A21101" s="39"/>
      <c r="E21101" s="40" t="s">
        <v>11404</v>
      </c>
      <c r="F21101" s="40" t="s">
        <v>11404</v>
      </c>
      <c r="G21101" s="40" t="s">
        <v>11404</v>
      </c>
      <c r="H21101" s="40" t="s">
        <v>11404</v>
      </c>
    </row>
    <row r="21102">
      <c r="A21102" s="39"/>
      <c r="E21102" s="40" t="s">
        <v>11404</v>
      </c>
      <c r="F21102" s="40" t="s">
        <v>11404</v>
      </c>
      <c r="G21102" s="40" t="s">
        <v>11404</v>
      </c>
      <c r="H21102" s="40" t="s">
        <v>11404</v>
      </c>
    </row>
    <row r="21103">
      <c r="A21103" s="39"/>
      <c r="E21103" s="40" t="s">
        <v>11404</v>
      </c>
      <c r="F21103" s="40" t="s">
        <v>11404</v>
      </c>
      <c r="G21103" s="40" t="s">
        <v>11404</v>
      </c>
      <c r="H21103" s="40" t="s">
        <v>11404</v>
      </c>
    </row>
    <row r="21104">
      <c r="A21104" s="39"/>
      <c r="E21104" s="40" t="s">
        <v>11404</v>
      </c>
      <c r="F21104" s="40" t="s">
        <v>11404</v>
      </c>
      <c r="G21104" s="40" t="s">
        <v>11404</v>
      </c>
      <c r="H21104" s="40" t="s">
        <v>11404</v>
      </c>
    </row>
    <row r="21105">
      <c r="A21105" s="39"/>
      <c r="E21105" s="40" t="s">
        <v>11404</v>
      </c>
      <c r="F21105" s="40" t="s">
        <v>11404</v>
      </c>
      <c r="G21105" s="40" t="s">
        <v>11404</v>
      </c>
      <c r="H21105" s="40" t="s">
        <v>11404</v>
      </c>
    </row>
    <row r="21106">
      <c r="A21106" s="39"/>
      <c r="E21106" s="40" t="s">
        <v>11404</v>
      </c>
      <c r="F21106" s="40" t="s">
        <v>11404</v>
      </c>
      <c r="G21106" s="40" t="s">
        <v>11404</v>
      </c>
      <c r="H21106" s="40" t="s">
        <v>11404</v>
      </c>
    </row>
    <row r="21107">
      <c r="A21107" s="39"/>
      <c r="E21107" s="40" t="s">
        <v>11404</v>
      </c>
      <c r="F21107" s="40" t="s">
        <v>11404</v>
      </c>
      <c r="G21107" s="40" t="s">
        <v>11404</v>
      </c>
      <c r="H21107" s="40" t="s">
        <v>11404</v>
      </c>
    </row>
    <row r="21108">
      <c r="A21108" s="39"/>
      <c r="E21108" s="40" t="s">
        <v>11404</v>
      </c>
      <c r="F21108" s="40" t="s">
        <v>11404</v>
      </c>
      <c r="G21108" s="40" t="s">
        <v>11404</v>
      </c>
      <c r="H21108" s="40" t="s">
        <v>11404</v>
      </c>
    </row>
    <row r="21109">
      <c r="A21109" s="39"/>
      <c r="E21109" s="40" t="s">
        <v>11404</v>
      </c>
      <c r="F21109" s="40" t="s">
        <v>11404</v>
      </c>
      <c r="G21109" s="40" t="s">
        <v>11404</v>
      </c>
      <c r="H21109" s="40" t="s">
        <v>11404</v>
      </c>
    </row>
    <row r="21110">
      <c r="A21110" s="39"/>
      <c r="E21110" s="40" t="s">
        <v>11404</v>
      </c>
      <c r="F21110" s="40" t="s">
        <v>11404</v>
      </c>
      <c r="G21110" s="40" t="s">
        <v>11404</v>
      </c>
      <c r="H21110" s="40" t="s">
        <v>11404</v>
      </c>
    </row>
    <row r="21111">
      <c r="A21111" s="39"/>
      <c r="E21111" s="40" t="s">
        <v>11404</v>
      </c>
      <c r="F21111" s="40" t="s">
        <v>11404</v>
      </c>
      <c r="G21111" s="40" t="s">
        <v>11404</v>
      </c>
      <c r="H21111" s="40" t="s">
        <v>11404</v>
      </c>
    </row>
    <row r="21112">
      <c r="A21112" s="39"/>
      <c r="E21112" s="40" t="s">
        <v>11404</v>
      </c>
      <c r="F21112" s="40" t="s">
        <v>11404</v>
      </c>
      <c r="G21112" s="40" t="s">
        <v>11404</v>
      </c>
      <c r="H21112" s="40" t="s">
        <v>11404</v>
      </c>
    </row>
    <row r="21113">
      <c r="A21113" s="39"/>
      <c r="E21113" s="40" t="s">
        <v>11404</v>
      </c>
      <c r="F21113" s="40" t="s">
        <v>11404</v>
      </c>
      <c r="G21113" s="40" t="s">
        <v>11404</v>
      </c>
      <c r="H21113" s="40" t="s">
        <v>11404</v>
      </c>
    </row>
    <row r="21114">
      <c r="A21114" s="39"/>
      <c r="E21114" s="40" t="s">
        <v>11404</v>
      </c>
      <c r="F21114" s="40" t="s">
        <v>11404</v>
      </c>
      <c r="G21114" s="40" t="s">
        <v>11404</v>
      </c>
      <c r="H21114" s="40" t="s">
        <v>11404</v>
      </c>
    </row>
    <row r="21115">
      <c r="A21115" s="39"/>
      <c r="E21115" s="40" t="s">
        <v>11404</v>
      </c>
      <c r="F21115" s="40" t="s">
        <v>11404</v>
      </c>
      <c r="G21115" s="40" t="s">
        <v>11404</v>
      </c>
      <c r="H21115" s="40" t="s">
        <v>11404</v>
      </c>
    </row>
    <row r="21116">
      <c r="A21116" s="39"/>
      <c r="E21116" s="40" t="s">
        <v>11404</v>
      </c>
      <c r="F21116" s="40" t="s">
        <v>11404</v>
      </c>
      <c r="G21116" s="40" t="s">
        <v>11404</v>
      </c>
      <c r="H21116" s="40" t="s">
        <v>11404</v>
      </c>
    </row>
    <row r="21117">
      <c r="A21117" s="39"/>
      <c r="E21117" s="40" t="s">
        <v>11404</v>
      </c>
      <c r="F21117" s="40" t="s">
        <v>11404</v>
      </c>
      <c r="G21117" s="40" t="s">
        <v>11404</v>
      </c>
      <c r="H21117" s="40" t="s">
        <v>11404</v>
      </c>
    </row>
    <row r="21118">
      <c r="A21118" s="39"/>
      <c r="E21118" s="40" t="s">
        <v>11404</v>
      </c>
      <c r="F21118" s="40" t="s">
        <v>11404</v>
      </c>
      <c r="G21118" s="40" t="s">
        <v>11404</v>
      </c>
      <c r="H21118" s="40" t="s">
        <v>11404</v>
      </c>
    </row>
    <row r="21119">
      <c r="A21119" s="39"/>
      <c r="E21119" s="40" t="s">
        <v>11404</v>
      </c>
      <c r="F21119" s="40" t="s">
        <v>11404</v>
      </c>
      <c r="G21119" s="40" t="s">
        <v>11404</v>
      </c>
      <c r="H21119" s="40" t="s">
        <v>11404</v>
      </c>
    </row>
    <row r="21120">
      <c r="A21120" s="39"/>
      <c r="E21120" s="40" t="s">
        <v>11404</v>
      </c>
      <c r="F21120" s="40" t="s">
        <v>11404</v>
      </c>
      <c r="G21120" s="40" t="s">
        <v>11404</v>
      </c>
      <c r="H21120" s="40" t="s">
        <v>11404</v>
      </c>
    </row>
    <row r="21121">
      <c r="A21121" s="39"/>
      <c r="E21121" s="40" t="s">
        <v>11404</v>
      </c>
      <c r="F21121" s="40" t="s">
        <v>11404</v>
      </c>
      <c r="G21121" s="40" t="s">
        <v>11404</v>
      </c>
      <c r="H21121" s="40" t="s">
        <v>11404</v>
      </c>
    </row>
    <row r="21122">
      <c r="A21122" s="39"/>
      <c r="E21122" s="40" t="s">
        <v>11404</v>
      </c>
      <c r="F21122" s="40" t="s">
        <v>11404</v>
      </c>
      <c r="G21122" s="40" t="s">
        <v>11404</v>
      </c>
      <c r="H21122" s="40" t="s">
        <v>11404</v>
      </c>
    </row>
    <row r="21123">
      <c r="A21123" s="39"/>
      <c r="E21123" s="40" t="s">
        <v>11404</v>
      </c>
      <c r="F21123" s="40" t="s">
        <v>11404</v>
      </c>
      <c r="G21123" s="40" t="s">
        <v>11404</v>
      </c>
      <c r="H21123" s="40" t="s">
        <v>11404</v>
      </c>
    </row>
    <row r="21124">
      <c r="A21124" s="39"/>
      <c r="E21124" s="40" t="s">
        <v>11404</v>
      </c>
      <c r="F21124" s="40" t="s">
        <v>11404</v>
      </c>
      <c r="G21124" s="40" t="s">
        <v>11404</v>
      </c>
      <c r="H21124" s="40" t="s">
        <v>11404</v>
      </c>
    </row>
    <row r="21125">
      <c r="A21125" s="39"/>
      <c r="E21125" s="40" t="s">
        <v>11404</v>
      </c>
      <c r="F21125" s="40" t="s">
        <v>11404</v>
      </c>
      <c r="G21125" s="40" t="s">
        <v>11404</v>
      </c>
      <c r="H21125" s="40" t="s">
        <v>11404</v>
      </c>
    </row>
    <row r="21126">
      <c r="A21126" s="39"/>
      <c r="E21126" s="40" t="s">
        <v>11404</v>
      </c>
      <c r="F21126" s="40" t="s">
        <v>11404</v>
      </c>
      <c r="G21126" s="40" t="s">
        <v>11404</v>
      </c>
      <c r="H21126" s="40" t="s">
        <v>11404</v>
      </c>
    </row>
    <row r="21127">
      <c r="A21127" s="39"/>
      <c r="E21127" s="40" t="s">
        <v>11404</v>
      </c>
      <c r="F21127" s="40" t="s">
        <v>11404</v>
      </c>
      <c r="G21127" s="40" t="s">
        <v>11404</v>
      </c>
      <c r="H21127" s="40" t="s">
        <v>11404</v>
      </c>
    </row>
    <row r="21128">
      <c r="A21128" s="39"/>
      <c r="E21128" s="40" t="s">
        <v>11404</v>
      </c>
      <c r="F21128" s="40" t="s">
        <v>11404</v>
      </c>
      <c r="G21128" s="40" t="s">
        <v>11404</v>
      </c>
      <c r="H21128" s="40" t="s">
        <v>11404</v>
      </c>
    </row>
    <row r="21129">
      <c r="A21129" s="39"/>
      <c r="E21129" s="40" t="s">
        <v>11404</v>
      </c>
      <c r="F21129" s="40" t="s">
        <v>11404</v>
      </c>
      <c r="G21129" s="40" t="s">
        <v>11404</v>
      </c>
      <c r="H21129" s="40" t="s">
        <v>11404</v>
      </c>
    </row>
    <row r="21130">
      <c r="A21130" s="39"/>
      <c r="E21130" s="40" t="s">
        <v>11404</v>
      </c>
      <c r="F21130" s="40" t="s">
        <v>11404</v>
      </c>
      <c r="G21130" s="40" t="s">
        <v>11404</v>
      </c>
      <c r="H21130" s="40" t="s">
        <v>11404</v>
      </c>
    </row>
    <row r="21131">
      <c r="A21131" s="39"/>
      <c r="E21131" s="40" t="s">
        <v>11404</v>
      </c>
      <c r="F21131" s="40" t="s">
        <v>11404</v>
      </c>
      <c r="G21131" s="40" t="s">
        <v>11404</v>
      </c>
      <c r="H21131" s="40" t="s">
        <v>11404</v>
      </c>
    </row>
    <row r="21132">
      <c r="A21132" s="39"/>
      <c r="E21132" s="40" t="s">
        <v>11404</v>
      </c>
      <c r="F21132" s="40" t="s">
        <v>11404</v>
      </c>
      <c r="G21132" s="40" t="s">
        <v>11404</v>
      </c>
      <c r="H21132" s="40" t="s">
        <v>11404</v>
      </c>
    </row>
    <row r="21133">
      <c r="A21133" s="39"/>
      <c r="E21133" s="40" t="s">
        <v>11404</v>
      </c>
      <c r="F21133" s="40" t="s">
        <v>11404</v>
      </c>
      <c r="G21133" s="40" t="s">
        <v>11404</v>
      </c>
      <c r="H21133" s="40" t="s">
        <v>11404</v>
      </c>
    </row>
    <row r="21134">
      <c r="A21134" s="39"/>
      <c r="E21134" s="40" t="s">
        <v>11404</v>
      </c>
      <c r="F21134" s="40" t="s">
        <v>11404</v>
      </c>
      <c r="G21134" s="40" t="s">
        <v>11404</v>
      </c>
      <c r="H21134" s="40" t="s">
        <v>11404</v>
      </c>
    </row>
    <row r="21135">
      <c r="A21135" s="39"/>
      <c r="E21135" s="40" t="s">
        <v>11404</v>
      </c>
      <c r="F21135" s="40" t="s">
        <v>11404</v>
      </c>
      <c r="G21135" s="40" t="s">
        <v>11404</v>
      </c>
      <c r="H21135" s="40" t="s">
        <v>11404</v>
      </c>
    </row>
    <row r="21136">
      <c r="A21136" s="39"/>
      <c r="E21136" s="40" t="s">
        <v>11404</v>
      </c>
      <c r="F21136" s="40" t="s">
        <v>11404</v>
      </c>
      <c r="G21136" s="40" t="s">
        <v>11404</v>
      </c>
      <c r="H21136" s="40" t="s">
        <v>11404</v>
      </c>
    </row>
    <row r="21137">
      <c r="A21137" s="39"/>
      <c r="E21137" s="40" t="s">
        <v>11404</v>
      </c>
      <c r="F21137" s="40" t="s">
        <v>11404</v>
      </c>
      <c r="G21137" s="40" t="s">
        <v>11404</v>
      </c>
      <c r="H21137" s="40" t="s">
        <v>11404</v>
      </c>
    </row>
    <row r="21138">
      <c r="A21138" s="39"/>
      <c r="E21138" s="40" t="s">
        <v>11404</v>
      </c>
      <c r="F21138" s="40" t="s">
        <v>11404</v>
      </c>
      <c r="G21138" s="40" t="s">
        <v>11404</v>
      </c>
      <c r="H21138" s="40" t="s">
        <v>11404</v>
      </c>
    </row>
    <row r="21139">
      <c r="A21139" s="39"/>
      <c r="E21139" s="40" t="s">
        <v>11404</v>
      </c>
      <c r="F21139" s="40" t="s">
        <v>11404</v>
      </c>
      <c r="G21139" s="40" t="s">
        <v>11404</v>
      </c>
      <c r="H21139" s="40" t="s">
        <v>11404</v>
      </c>
    </row>
    <row r="21140">
      <c r="A21140" s="39"/>
      <c r="E21140" s="40" t="s">
        <v>11404</v>
      </c>
      <c r="F21140" s="40" t="s">
        <v>11404</v>
      </c>
      <c r="G21140" s="40" t="s">
        <v>11404</v>
      </c>
      <c r="H21140" s="40" t="s">
        <v>11404</v>
      </c>
    </row>
    <row r="21141">
      <c r="A21141" s="39"/>
      <c r="E21141" s="40" t="s">
        <v>11404</v>
      </c>
      <c r="F21141" s="40" t="s">
        <v>11404</v>
      </c>
      <c r="G21141" s="40" t="s">
        <v>11404</v>
      </c>
      <c r="H21141" s="40" t="s">
        <v>11404</v>
      </c>
    </row>
    <row r="21142">
      <c r="A21142" s="39"/>
      <c r="E21142" s="40" t="s">
        <v>11404</v>
      </c>
      <c r="F21142" s="40" t="s">
        <v>11404</v>
      </c>
      <c r="G21142" s="40" t="s">
        <v>11404</v>
      </c>
      <c r="H21142" s="40" t="s">
        <v>11404</v>
      </c>
    </row>
    <row r="21143">
      <c r="A21143" s="39"/>
      <c r="E21143" s="40" t="s">
        <v>11404</v>
      </c>
      <c r="F21143" s="40" t="s">
        <v>11404</v>
      </c>
      <c r="G21143" s="40" t="s">
        <v>11404</v>
      </c>
      <c r="H21143" s="40" t="s">
        <v>11404</v>
      </c>
    </row>
    <row r="21144">
      <c r="A21144" s="39"/>
      <c r="E21144" s="40" t="s">
        <v>11404</v>
      </c>
      <c r="F21144" s="40" t="s">
        <v>11404</v>
      </c>
      <c r="G21144" s="40" t="s">
        <v>11404</v>
      </c>
      <c r="H21144" s="40" t="s">
        <v>11404</v>
      </c>
    </row>
    <row r="21145">
      <c r="A21145" s="39"/>
      <c r="E21145" s="40" t="s">
        <v>11404</v>
      </c>
      <c r="F21145" s="40" t="s">
        <v>11404</v>
      </c>
      <c r="G21145" s="40" t="s">
        <v>11404</v>
      </c>
      <c r="H21145" s="40" t="s">
        <v>11404</v>
      </c>
    </row>
    <row r="21146">
      <c r="A21146" s="39"/>
      <c r="E21146" s="40" t="s">
        <v>11404</v>
      </c>
      <c r="F21146" s="40" t="s">
        <v>11404</v>
      </c>
      <c r="G21146" s="40" t="s">
        <v>11404</v>
      </c>
      <c r="H21146" s="40" t="s">
        <v>11404</v>
      </c>
    </row>
    <row r="21147">
      <c r="A21147" s="39"/>
      <c r="E21147" s="40" t="s">
        <v>11404</v>
      </c>
      <c r="F21147" s="40" t="s">
        <v>11404</v>
      </c>
      <c r="G21147" s="40" t="s">
        <v>11404</v>
      </c>
      <c r="H21147" s="40" t="s">
        <v>11404</v>
      </c>
    </row>
    <row r="21148">
      <c r="A21148" s="39"/>
      <c r="E21148" s="40" t="s">
        <v>11404</v>
      </c>
      <c r="F21148" s="40" t="s">
        <v>11404</v>
      </c>
      <c r="G21148" s="40" t="s">
        <v>11404</v>
      </c>
      <c r="H21148" s="40" t="s">
        <v>11404</v>
      </c>
    </row>
    <row r="21149">
      <c r="A21149" s="39"/>
      <c r="E21149" s="40" t="s">
        <v>11404</v>
      </c>
      <c r="F21149" s="40" t="s">
        <v>11404</v>
      </c>
      <c r="G21149" s="40" t="s">
        <v>11404</v>
      </c>
      <c r="H21149" s="40" t="s">
        <v>11404</v>
      </c>
    </row>
    <row r="21150">
      <c r="A21150" s="39"/>
      <c r="E21150" s="40" t="s">
        <v>11404</v>
      </c>
      <c r="F21150" s="40" t="s">
        <v>11404</v>
      </c>
      <c r="G21150" s="40" t="s">
        <v>11404</v>
      </c>
      <c r="H21150" s="40" t="s">
        <v>11404</v>
      </c>
    </row>
    <row r="21151">
      <c r="A21151" s="39"/>
      <c r="E21151" s="40" t="s">
        <v>11404</v>
      </c>
      <c r="F21151" s="40" t="s">
        <v>11404</v>
      </c>
      <c r="G21151" s="40" t="s">
        <v>11404</v>
      </c>
      <c r="H21151" s="40" t="s">
        <v>11404</v>
      </c>
    </row>
    <row r="21152">
      <c r="A21152" s="39"/>
      <c r="E21152" s="40" t="s">
        <v>11404</v>
      </c>
      <c r="F21152" s="40" t="s">
        <v>11404</v>
      </c>
      <c r="G21152" s="40" t="s">
        <v>11404</v>
      </c>
      <c r="H21152" s="40" t="s">
        <v>11404</v>
      </c>
    </row>
    <row r="21153">
      <c r="A21153" s="39"/>
      <c r="E21153" s="40" t="s">
        <v>11404</v>
      </c>
      <c r="F21153" s="40" t="s">
        <v>11404</v>
      </c>
      <c r="G21153" s="40" t="s">
        <v>11404</v>
      </c>
      <c r="H21153" s="40" t="s">
        <v>11404</v>
      </c>
    </row>
    <row r="21154">
      <c r="A21154" s="39"/>
      <c r="E21154" s="40" t="s">
        <v>11404</v>
      </c>
      <c r="F21154" s="40" t="s">
        <v>11404</v>
      </c>
      <c r="G21154" s="40" t="s">
        <v>11404</v>
      </c>
      <c r="H21154" s="40" t="s">
        <v>11404</v>
      </c>
    </row>
    <row r="21155">
      <c r="A21155" s="39"/>
      <c r="E21155" s="40" t="s">
        <v>11404</v>
      </c>
      <c r="F21155" s="40" t="s">
        <v>11404</v>
      </c>
      <c r="G21155" s="40" t="s">
        <v>11404</v>
      </c>
      <c r="H21155" s="40" t="s">
        <v>11404</v>
      </c>
    </row>
    <row r="21156">
      <c r="A21156" s="39"/>
      <c r="E21156" s="40" t="s">
        <v>11404</v>
      </c>
      <c r="F21156" s="40" t="s">
        <v>11404</v>
      </c>
      <c r="G21156" s="40" t="s">
        <v>11404</v>
      </c>
      <c r="H21156" s="40" t="s">
        <v>11404</v>
      </c>
    </row>
    <row r="21157">
      <c r="A21157" s="39"/>
      <c r="E21157" s="40" t="s">
        <v>11404</v>
      </c>
      <c r="F21157" s="40" t="s">
        <v>11404</v>
      </c>
      <c r="G21157" s="40" t="s">
        <v>11404</v>
      </c>
      <c r="H21157" s="40" t="s">
        <v>11404</v>
      </c>
    </row>
    <row r="21158">
      <c r="A21158" s="39"/>
      <c r="E21158" s="40" t="s">
        <v>11404</v>
      </c>
      <c r="F21158" s="40" t="s">
        <v>11404</v>
      </c>
      <c r="G21158" s="40" t="s">
        <v>11404</v>
      </c>
      <c r="H21158" s="40" t="s">
        <v>11404</v>
      </c>
    </row>
    <row r="21159">
      <c r="A21159" s="39"/>
      <c r="E21159" s="40" t="s">
        <v>11404</v>
      </c>
      <c r="F21159" s="40" t="s">
        <v>11404</v>
      </c>
      <c r="G21159" s="40" t="s">
        <v>11404</v>
      </c>
      <c r="H21159" s="40" t="s">
        <v>11404</v>
      </c>
    </row>
    <row r="21160">
      <c r="A21160" s="39"/>
      <c r="E21160" s="40" t="s">
        <v>11404</v>
      </c>
      <c r="F21160" s="40" t="s">
        <v>11404</v>
      </c>
      <c r="G21160" s="40" t="s">
        <v>11404</v>
      </c>
      <c r="H21160" s="40" t="s">
        <v>11404</v>
      </c>
    </row>
    <row r="21161">
      <c r="A21161" s="39"/>
      <c r="E21161" s="40" t="s">
        <v>11404</v>
      </c>
      <c r="F21161" s="40" t="s">
        <v>11404</v>
      </c>
      <c r="G21161" s="40" t="s">
        <v>11404</v>
      </c>
      <c r="H21161" s="40" t="s">
        <v>11404</v>
      </c>
    </row>
    <row r="21162">
      <c r="A21162" s="39"/>
      <c r="E21162" s="40" t="s">
        <v>11404</v>
      </c>
      <c r="F21162" s="40" t="s">
        <v>11404</v>
      </c>
      <c r="G21162" s="40" t="s">
        <v>11404</v>
      </c>
      <c r="H21162" s="40" t="s">
        <v>11404</v>
      </c>
    </row>
    <row r="21163">
      <c r="A21163" s="39"/>
      <c r="E21163" s="40" t="s">
        <v>11404</v>
      </c>
      <c r="F21163" s="40" t="s">
        <v>11404</v>
      </c>
      <c r="G21163" s="40" t="s">
        <v>11404</v>
      </c>
      <c r="H21163" s="40" t="s">
        <v>11404</v>
      </c>
    </row>
    <row r="21164">
      <c r="A21164" s="39"/>
      <c r="E21164" s="40" t="s">
        <v>11404</v>
      </c>
      <c r="F21164" s="40" t="s">
        <v>11404</v>
      </c>
      <c r="G21164" s="40" t="s">
        <v>11404</v>
      </c>
      <c r="H21164" s="40" t="s">
        <v>11404</v>
      </c>
    </row>
    <row r="21165">
      <c r="A21165" s="39"/>
      <c r="E21165" s="40" t="s">
        <v>11404</v>
      </c>
      <c r="F21165" s="40" t="s">
        <v>11404</v>
      </c>
      <c r="G21165" s="40" t="s">
        <v>11404</v>
      </c>
      <c r="H21165" s="40" t="s">
        <v>11404</v>
      </c>
    </row>
    <row r="21166">
      <c r="A21166" s="39"/>
      <c r="E21166" s="40" t="s">
        <v>11404</v>
      </c>
      <c r="F21166" s="40" t="s">
        <v>11404</v>
      </c>
      <c r="G21166" s="40" t="s">
        <v>11404</v>
      </c>
      <c r="H21166" s="40" t="s">
        <v>11404</v>
      </c>
    </row>
    <row r="21167">
      <c r="A21167" s="39"/>
      <c r="E21167" s="40" t="s">
        <v>11404</v>
      </c>
      <c r="F21167" s="40" t="s">
        <v>11404</v>
      </c>
      <c r="G21167" s="40" t="s">
        <v>11404</v>
      </c>
      <c r="H21167" s="40" t="s">
        <v>11404</v>
      </c>
    </row>
    <row r="21168">
      <c r="A21168" s="39"/>
      <c r="E21168" s="40" t="s">
        <v>11404</v>
      </c>
      <c r="F21168" s="40" t="s">
        <v>11404</v>
      </c>
      <c r="G21168" s="40" t="s">
        <v>11404</v>
      </c>
      <c r="H21168" s="40" t="s">
        <v>11404</v>
      </c>
    </row>
    <row r="21169">
      <c r="A21169" s="39"/>
      <c r="E21169" s="40" t="s">
        <v>11404</v>
      </c>
      <c r="F21169" s="40" t="s">
        <v>11404</v>
      </c>
      <c r="G21169" s="40" t="s">
        <v>11404</v>
      </c>
      <c r="H21169" s="40" t="s">
        <v>11404</v>
      </c>
    </row>
    <row r="21170">
      <c r="A21170" s="39"/>
      <c r="E21170" s="40" t="s">
        <v>11404</v>
      </c>
      <c r="F21170" s="40" t="s">
        <v>11404</v>
      </c>
      <c r="G21170" s="40" t="s">
        <v>11404</v>
      </c>
      <c r="H21170" s="40" t="s">
        <v>11404</v>
      </c>
    </row>
    <row r="21171">
      <c r="A21171" s="39"/>
      <c r="E21171" s="40" t="s">
        <v>11404</v>
      </c>
      <c r="F21171" s="40" t="s">
        <v>11404</v>
      </c>
      <c r="G21171" s="40" t="s">
        <v>11404</v>
      </c>
      <c r="H21171" s="40" t="s">
        <v>11404</v>
      </c>
    </row>
    <row r="21172">
      <c r="A21172" s="39"/>
      <c r="E21172" s="40" t="s">
        <v>11404</v>
      </c>
      <c r="F21172" s="40" t="s">
        <v>11404</v>
      </c>
      <c r="G21172" s="40" t="s">
        <v>11404</v>
      </c>
      <c r="H21172" s="40" t="s">
        <v>11404</v>
      </c>
    </row>
    <row r="21173">
      <c r="A21173" s="39"/>
      <c r="E21173" s="40" t="s">
        <v>11404</v>
      </c>
      <c r="F21173" s="40" t="s">
        <v>11404</v>
      </c>
      <c r="G21173" s="40" t="s">
        <v>11404</v>
      </c>
      <c r="H21173" s="40" t="s">
        <v>11404</v>
      </c>
    </row>
    <row r="21174">
      <c r="A21174" s="39"/>
      <c r="E21174" s="40" t="s">
        <v>11404</v>
      </c>
      <c r="F21174" s="40" t="s">
        <v>11404</v>
      </c>
      <c r="G21174" s="40" t="s">
        <v>11404</v>
      </c>
      <c r="H21174" s="40" t="s">
        <v>11404</v>
      </c>
    </row>
    <row r="21175">
      <c r="A21175" s="39"/>
      <c r="E21175" s="40" t="s">
        <v>11404</v>
      </c>
      <c r="F21175" s="40" t="s">
        <v>11404</v>
      </c>
      <c r="G21175" s="40" t="s">
        <v>11404</v>
      </c>
      <c r="H21175" s="40" t="s">
        <v>11404</v>
      </c>
    </row>
    <row r="21176">
      <c r="A21176" s="39"/>
      <c r="E21176" s="40" t="s">
        <v>11404</v>
      </c>
      <c r="F21176" s="40" t="s">
        <v>11404</v>
      </c>
      <c r="G21176" s="40" t="s">
        <v>11404</v>
      </c>
      <c r="H21176" s="40" t="s">
        <v>11404</v>
      </c>
    </row>
    <row r="21177">
      <c r="A21177" s="39"/>
      <c r="E21177" s="40" t="s">
        <v>11404</v>
      </c>
      <c r="F21177" s="40" t="s">
        <v>11404</v>
      </c>
      <c r="G21177" s="40" t="s">
        <v>11404</v>
      </c>
      <c r="H21177" s="40" t="s">
        <v>11404</v>
      </c>
    </row>
    <row r="21178">
      <c r="A21178" s="39"/>
      <c r="E21178" s="40" t="s">
        <v>11404</v>
      </c>
      <c r="F21178" s="40" t="s">
        <v>11404</v>
      </c>
      <c r="G21178" s="40" t="s">
        <v>11404</v>
      </c>
      <c r="H21178" s="40" t="s">
        <v>11404</v>
      </c>
    </row>
    <row r="21179">
      <c r="A21179" s="39"/>
      <c r="E21179" s="40" t="s">
        <v>11404</v>
      </c>
      <c r="F21179" s="40" t="s">
        <v>11404</v>
      </c>
      <c r="G21179" s="40" t="s">
        <v>11404</v>
      </c>
      <c r="H21179" s="40" t="s">
        <v>11404</v>
      </c>
    </row>
    <row r="21180">
      <c r="A21180" s="39"/>
      <c r="E21180" s="40" t="s">
        <v>11404</v>
      </c>
      <c r="F21180" s="40" t="s">
        <v>11404</v>
      </c>
      <c r="G21180" s="40" t="s">
        <v>11404</v>
      </c>
      <c r="H21180" s="40" t="s">
        <v>11404</v>
      </c>
    </row>
    <row r="21181">
      <c r="A21181" s="39"/>
      <c r="E21181" s="40" t="s">
        <v>11404</v>
      </c>
      <c r="F21181" s="40" t="s">
        <v>11404</v>
      </c>
      <c r="G21181" s="40" t="s">
        <v>11404</v>
      </c>
      <c r="H21181" s="40" t="s">
        <v>11404</v>
      </c>
    </row>
    <row r="21182">
      <c r="A21182" s="39"/>
      <c r="E21182" s="40" t="s">
        <v>11404</v>
      </c>
      <c r="F21182" s="40" t="s">
        <v>11404</v>
      </c>
      <c r="G21182" s="40" t="s">
        <v>11404</v>
      </c>
      <c r="H21182" s="40" t="s">
        <v>11404</v>
      </c>
    </row>
    <row r="21183">
      <c r="A21183" s="39"/>
      <c r="E21183" s="40" t="s">
        <v>11404</v>
      </c>
      <c r="F21183" s="40" t="s">
        <v>11404</v>
      </c>
      <c r="G21183" s="40" t="s">
        <v>11404</v>
      </c>
      <c r="H21183" s="40" t="s">
        <v>11404</v>
      </c>
    </row>
    <row r="21184">
      <c r="A21184" s="39"/>
      <c r="E21184" s="40" t="s">
        <v>11404</v>
      </c>
      <c r="F21184" s="40" t="s">
        <v>11404</v>
      </c>
      <c r="G21184" s="40" t="s">
        <v>11404</v>
      </c>
      <c r="H21184" s="40" t="s">
        <v>11404</v>
      </c>
    </row>
    <row r="21185">
      <c r="A21185" s="39"/>
      <c r="E21185" s="40" t="s">
        <v>11404</v>
      </c>
      <c r="F21185" s="40" t="s">
        <v>11404</v>
      </c>
      <c r="G21185" s="40" t="s">
        <v>11404</v>
      </c>
      <c r="H21185" s="40" t="s">
        <v>11404</v>
      </c>
    </row>
    <row r="21186">
      <c r="A21186" s="39"/>
      <c r="E21186" s="40" t="s">
        <v>11404</v>
      </c>
      <c r="F21186" s="40" t="s">
        <v>11404</v>
      </c>
      <c r="G21186" s="40" t="s">
        <v>11404</v>
      </c>
      <c r="H21186" s="40" t="s">
        <v>11404</v>
      </c>
    </row>
    <row r="21187">
      <c r="A21187" s="39"/>
      <c r="E21187" s="40" t="s">
        <v>11404</v>
      </c>
      <c r="F21187" s="40" t="s">
        <v>11404</v>
      </c>
      <c r="G21187" s="40" t="s">
        <v>11404</v>
      </c>
      <c r="H21187" s="40" t="s">
        <v>11404</v>
      </c>
    </row>
    <row r="21188">
      <c r="A21188" s="39"/>
      <c r="E21188" s="40" t="s">
        <v>11404</v>
      </c>
      <c r="F21188" s="40" t="s">
        <v>11404</v>
      </c>
      <c r="G21188" s="40" t="s">
        <v>11404</v>
      </c>
      <c r="H21188" s="40" t="s">
        <v>11404</v>
      </c>
    </row>
    <row r="21189">
      <c r="A21189" s="39"/>
      <c r="E21189" s="40" t="s">
        <v>11404</v>
      </c>
      <c r="F21189" s="40" t="s">
        <v>11404</v>
      </c>
      <c r="G21189" s="40" t="s">
        <v>11404</v>
      </c>
      <c r="H21189" s="40" t="s">
        <v>11404</v>
      </c>
    </row>
    <row r="21190">
      <c r="A21190" s="39"/>
      <c r="E21190" s="40" t="s">
        <v>11404</v>
      </c>
      <c r="F21190" s="40" t="s">
        <v>11404</v>
      </c>
      <c r="G21190" s="40" t="s">
        <v>11404</v>
      </c>
      <c r="H21190" s="40" t="s">
        <v>11404</v>
      </c>
    </row>
    <row r="21191">
      <c r="A21191" s="39"/>
      <c r="E21191" s="40" t="s">
        <v>11404</v>
      </c>
      <c r="F21191" s="40" t="s">
        <v>11404</v>
      </c>
      <c r="G21191" s="40" t="s">
        <v>11404</v>
      </c>
      <c r="H21191" s="40" t="s">
        <v>11404</v>
      </c>
    </row>
    <row r="21192">
      <c r="A21192" s="39"/>
      <c r="E21192" s="40" t="s">
        <v>11404</v>
      </c>
      <c r="F21192" s="40" t="s">
        <v>11404</v>
      </c>
      <c r="G21192" s="40" t="s">
        <v>11404</v>
      </c>
      <c r="H21192" s="40" t="s">
        <v>11404</v>
      </c>
    </row>
    <row r="21193">
      <c r="A21193" s="39"/>
      <c r="E21193" s="40" t="s">
        <v>11404</v>
      </c>
      <c r="F21193" s="40" t="s">
        <v>11404</v>
      </c>
      <c r="G21193" s="40" t="s">
        <v>11404</v>
      </c>
      <c r="H21193" s="40" t="s">
        <v>11404</v>
      </c>
    </row>
    <row r="21194">
      <c r="A21194" s="39"/>
      <c r="E21194" s="40" t="s">
        <v>11404</v>
      </c>
      <c r="F21194" s="40" t="s">
        <v>11404</v>
      </c>
      <c r="G21194" s="40" t="s">
        <v>11404</v>
      </c>
      <c r="H21194" s="40" t="s">
        <v>11404</v>
      </c>
    </row>
    <row r="21195">
      <c r="A21195" s="39"/>
      <c r="E21195" s="40" t="s">
        <v>11404</v>
      </c>
      <c r="F21195" s="40" t="s">
        <v>11404</v>
      </c>
      <c r="G21195" s="40" t="s">
        <v>11404</v>
      </c>
      <c r="H21195" s="40" t="s">
        <v>11404</v>
      </c>
    </row>
    <row r="21196">
      <c r="A21196" s="39"/>
      <c r="E21196" s="40" t="s">
        <v>11404</v>
      </c>
      <c r="F21196" s="40" t="s">
        <v>11404</v>
      </c>
      <c r="G21196" s="40" t="s">
        <v>11404</v>
      </c>
      <c r="H21196" s="40" t="s">
        <v>11404</v>
      </c>
    </row>
    <row r="21197">
      <c r="A21197" s="39"/>
      <c r="E21197" s="40" t="s">
        <v>11404</v>
      </c>
      <c r="F21197" s="40" t="s">
        <v>11404</v>
      </c>
      <c r="G21197" s="40" t="s">
        <v>11404</v>
      </c>
      <c r="H21197" s="40" t="s">
        <v>11404</v>
      </c>
    </row>
    <row r="21198">
      <c r="A21198" s="39"/>
      <c r="E21198" s="40" t="s">
        <v>11404</v>
      </c>
      <c r="F21198" s="40" t="s">
        <v>11404</v>
      </c>
      <c r="G21198" s="40" t="s">
        <v>11404</v>
      </c>
      <c r="H21198" s="40" t="s">
        <v>11404</v>
      </c>
    </row>
    <row r="21199">
      <c r="A21199" s="39"/>
      <c r="E21199" s="40" t="s">
        <v>11404</v>
      </c>
      <c r="F21199" s="40" t="s">
        <v>11404</v>
      </c>
      <c r="G21199" s="40" t="s">
        <v>11404</v>
      </c>
      <c r="H21199" s="40" t="s">
        <v>11404</v>
      </c>
    </row>
    <row r="21200">
      <c r="A21200" s="39"/>
      <c r="E21200" s="40" t="s">
        <v>11404</v>
      </c>
      <c r="F21200" s="40" t="s">
        <v>11404</v>
      </c>
      <c r="G21200" s="40" t="s">
        <v>11404</v>
      </c>
      <c r="H21200" s="40" t="s">
        <v>11404</v>
      </c>
    </row>
    <row r="21201">
      <c r="A21201" s="39"/>
      <c r="E21201" s="40" t="s">
        <v>11404</v>
      </c>
      <c r="F21201" s="40" t="s">
        <v>11404</v>
      </c>
      <c r="G21201" s="40" t="s">
        <v>11404</v>
      </c>
      <c r="H21201" s="40" t="s">
        <v>11404</v>
      </c>
    </row>
    <row r="21202">
      <c r="A21202" s="39"/>
      <c r="E21202" s="40" t="s">
        <v>11404</v>
      </c>
      <c r="F21202" s="40" t="s">
        <v>11404</v>
      </c>
      <c r="G21202" s="40" t="s">
        <v>11404</v>
      </c>
      <c r="H21202" s="40" t="s">
        <v>11404</v>
      </c>
    </row>
    <row r="21203">
      <c r="A21203" s="39"/>
      <c r="E21203" s="40" t="s">
        <v>11404</v>
      </c>
      <c r="F21203" s="40" t="s">
        <v>11404</v>
      </c>
      <c r="G21203" s="40" t="s">
        <v>11404</v>
      </c>
      <c r="H21203" s="40" t="s">
        <v>11404</v>
      </c>
    </row>
    <row r="21204">
      <c r="A21204" s="39"/>
      <c r="E21204" s="40" t="s">
        <v>11404</v>
      </c>
      <c r="F21204" s="40" t="s">
        <v>11404</v>
      </c>
      <c r="G21204" s="40" t="s">
        <v>11404</v>
      </c>
      <c r="H21204" s="40" t="s">
        <v>11404</v>
      </c>
    </row>
    <row r="21205">
      <c r="A21205" s="39"/>
      <c r="E21205" s="40" t="s">
        <v>11404</v>
      </c>
      <c r="F21205" s="40" t="s">
        <v>11404</v>
      </c>
      <c r="G21205" s="40" t="s">
        <v>11404</v>
      </c>
      <c r="H21205" s="40" t="s">
        <v>11404</v>
      </c>
    </row>
    <row r="21206">
      <c r="A21206" s="39"/>
      <c r="E21206" s="40" t="s">
        <v>11404</v>
      </c>
      <c r="F21206" s="40" t="s">
        <v>11404</v>
      </c>
      <c r="G21206" s="40" t="s">
        <v>11404</v>
      </c>
      <c r="H21206" s="40" t="s">
        <v>11404</v>
      </c>
    </row>
    <row r="21207">
      <c r="A21207" s="39"/>
      <c r="E21207" s="40" t="s">
        <v>11404</v>
      </c>
      <c r="F21207" s="40" t="s">
        <v>11404</v>
      </c>
      <c r="G21207" s="40" t="s">
        <v>11404</v>
      </c>
      <c r="H21207" s="40" t="s">
        <v>11404</v>
      </c>
    </row>
    <row r="21208">
      <c r="A21208" s="39"/>
      <c r="E21208" s="40" t="s">
        <v>11404</v>
      </c>
      <c r="F21208" s="40" t="s">
        <v>11404</v>
      </c>
      <c r="G21208" s="40" t="s">
        <v>11404</v>
      </c>
      <c r="H21208" s="40" t="s">
        <v>11404</v>
      </c>
    </row>
    <row r="21209">
      <c r="A21209" s="39"/>
      <c r="E21209" s="40" t="s">
        <v>11404</v>
      </c>
      <c r="F21209" s="40" t="s">
        <v>11404</v>
      </c>
      <c r="G21209" s="40" t="s">
        <v>11404</v>
      </c>
      <c r="H21209" s="40" t="s">
        <v>11404</v>
      </c>
    </row>
    <row r="21210">
      <c r="A21210" s="39"/>
      <c r="E21210" s="40" t="s">
        <v>11404</v>
      </c>
      <c r="F21210" s="40" t="s">
        <v>11404</v>
      </c>
      <c r="G21210" s="40" t="s">
        <v>11404</v>
      </c>
      <c r="H21210" s="40" t="s">
        <v>11404</v>
      </c>
    </row>
    <row r="21211">
      <c r="A21211" s="39"/>
      <c r="E21211" s="40" t="s">
        <v>11404</v>
      </c>
      <c r="F21211" s="40" t="s">
        <v>11404</v>
      </c>
      <c r="G21211" s="40" t="s">
        <v>11404</v>
      </c>
      <c r="H21211" s="40" t="s">
        <v>11404</v>
      </c>
    </row>
    <row r="21212">
      <c r="A21212" s="39"/>
      <c r="E21212" s="40" t="s">
        <v>11404</v>
      </c>
      <c r="F21212" s="40" t="s">
        <v>11404</v>
      </c>
      <c r="G21212" s="40" t="s">
        <v>11404</v>
      </c>
      <c r="H21212" s="40" t="s">
        <v>11404</v>
      </c>
    </row>
    <row r="21213">
      <c r="A21213" s="39"/>
      <c r="E21213" s="40" t="s">
        <v>11404</v>
      </c>
      <c r="F21213" s="40" t="s">
        <v>11404</v>
      </c>
      <c r="G21213" s="40" t="s">
        <v>11404</v>
      </c>
      <c r="H21213" s="40" t="s">
        <v>11404</v>
      </c>
    </row>
    <row r="21214">
      <c r="A21214" s="39"/>
      <c r="E21214" s="40" t="s">
        <v>11404</v>
      </c>
      <c r="F21214" s="40" t="s">
        <v>11404</v>
      </c>
      <c r="G21214" s="40" t="s">
        <v>11404</v>
      </c>
      <c r="H21214" s="40" t="s">
        <v>11404</v>
      </c>
    </row>
    <row r="21215">
      <c r="A21215" s="39"/>
      <c r="E21215" s="40" t="s">
        <v>11404</v>
      </c>
      <c r="F21215" s="40" t="s">
        <v>11404</v>
      </c>
      <c r="G21215" s="40" t="s">
        <v>11404</v>
      </c>
      <c r="H21215" s="40" t="s">
        <v>11404</v>
      </c>
    </row>
    <row r="21216">
      <c r="A21216" s="39"/>
      <c r="E21216" s="40" t="s">
        <v>11404</v>
      </c>
      <c r="F21216" s="40" t="s">
        <v>11404</v>
      </c>
      <c r="G21216" s="40" t="s">
        <v>11404</v>
      </c>
      <c r="H21216" s="40" t="s">
        <v>11404</v>
      </c>
    </row>
    <row r="21217">
      <c r="A21217" s="39"/>
      <c r="E21217" s="40" t="s">
        <v>11404</v>
      </c>
      <c r="F21217" s="40" t="s">
        <v>11404</v>
      </c>
      <c r="G21217" s="40" t="s">
        <v>11404</v>
      </c>
      <c r="H21217" s="40" t="s">
        <v>11404</v>
      </c>
    </row>
    <row r="21218">
      <c r="A21218" s="39"/>
      <c r="E21218" s="40" t="s">
        <v>11404</v>
      </c>
      <c r="F21218" s="40" t="s">
        <v>11404</v>
      </c>
      <c r="G21218" s="40" t="s">
        <v>11404</v>
      </c>
      <c r="H21218" s="40" t="s">
        <v>11404</v>
      </c>
    </row>
    <row r="21219">
      <c r="A21219" s="39"/>
      <c r="E21219" s="40" t="s">
        <v>11404</v>
      </c>
      <c r="F21219" s="40" t="s">
        <v>11404</v>
      </c>
      <c r="G21219" s="40" t="s">
        <v>11404</v>
      </c>
      <c r="H21219" s="40" t="s">
        <v>11404</v>
      </c>
    </row>
    <row r="21220">
      <c r="A21220" s="39"/>
      <c r="E21220" s="40" t="s">
        <v>11404</v>
      </c>
      <c r="F21220" s="40" t="s">
        <v>11404</v>
      </c>
      <c r="G21220" s="40" t="s">
        <v>11404</v>
      </c>
      <c r="H21220" s="40" t="s">
        <v>11404</v>
      </c>
    </row>
    <row r="21221">
      <c r="A21221" s="39"/>
      <c r="E21221" s="40" t="s">
        <v>11404</v>
      </c>
      <c r="F21221" s="40" t="s">
        <v>11404</v>
      </c>
      <c r="G21221" s="40" t="s">
        <v>11404</v>
      </c>
      <c r="H21221" s="40" t="s">
        <v>11404</v>
      </c>
    </row>
    <row r="21222">
      <c r="A21222" s="39"/>
      <c r="E21222" s="40" t="s">
        <v>11404</v>
      </c>
      <c r="F21222" s="40" t="s">
        <v>11404</v>
      </c>
      <c r="G21222" s="40" t="s">
        <v>11404</v>
      </c>
      <c r="H21222" s="40" t="s">
        <v>11404</v>
      </c>
    </row>
    <row r="21223">
      <c r="A21223" s="39"/>
      <c r="E21223" s="40" t="s">
        <v>11404</v>
      </c>
      <c r="F21223" s="40" t="s">
        <v>11404</v>
      </c>
      <c r="G21223" s="40" t="s">
        <v>11404</v>
      </c>
      <c r="H21223" s="40" t="s">
        <v>11404</v>
      </c>
    </row>
    <row r="21224">
      <c r="A21224" s="39"/>
      <c r="E21224" s="40" t="s">
        <v>11404</v>
      </c>
      <c r="F21224" s="40" t="s">
        <v>11404</v>
      </c>
      <c r="G21224" s="40" t="s">
        <v>11404</v>
      </c>
      <c r="H21224" s="40" t="s">
        <v>11404</v>
      </c>
    </row>
    <row r="21225">
      <c r="A21225" s="39"/>
      <c r="E21225" s="40" t="s">
        <v>11404</v>
      </c>
      <c r="F21225" s="40" t="s">
        <v>11404</v>
      </c>
      <c r="G21225" s="40" t="s">
        <v>11404</v>
      </c>
      <c r="H21225" s="40" t="s">
        <v>11404</v>
      </c>
    </row>
    <row r="21226">
      <c r="A21226" s="39"/>
      <c r="E21226" s="40" t="s">
        <v>11404</v>
      </c>
      <c r="F21226" s="40" t="s">
        <v>11404</v>
      </c>
      <c r="G21226" s="40" t="s">
        <v>11404</v>
      </c>
      <c r="H21226" s="40" t="s">
        <v>11404</v>
      </c>
    </row>
    <row r="21227">
      <c r="A21227" s="39"/>
      <c r="E21227" s="40" t="s">
        <v>11404</v>
      </c>
      <c r="F21227" s="40" t="s">
        <v>11404</v>
      </c>
      <c r="G21227" s="40" t="s">
        <v>11404</v>
      </c>
      <c r="H21227" s="40" t="s">
        <v>11404</v>
      </c>
    </row>
    <row r="21228">
      <c r="A21228" s="39"/>
      <c r="E21228" s="40" t="s">
        <v>11404</v>
      </c>
      <c r="F21228" s="40" t="s">
        <v>11404</v>
      </c>
      <c r="G21228" s="40" t="s">
        <v>11404</v>
      </c>
      <c r="H21228" s="40" t="s">
        <v>11404</v>
      </c>
    </row>
    <row r="21229">
      <c r="A21229" s="39"/>
      <c r="E21229" s="40" t="s">
        <v>11404</v>
      </c>
      <c r="F21229" s="40" t="s">
        <v>11404</v>
      </c>
      <c r="G21229" s="40" t="s">
        <v>11404</v>
      </c>
      <c r="H21229" s="40" t="s">
        <v>11404</v>
      </c>
    </row>
    <row r="21230">
      <c r="A21230" s="39"/>
      <c r="E21230" s="40" t="s">
        <v>11404</v>
      </c>
      <c r="F21230" s="40" t="s">
        <v>11404</v>
      </c>
      <c r="G21230" s="40" t="s">
        <v>11404</v>
      </c>
      <c r="H21230" s="40" t="s">
        <v>11404</v>
      </c>
    </row>
    <row r="21231">
      <c r="A21231" s="39"/>
      <c r="E21231" s="40" t="s">
        <v>11404</v>
      </c>
      <c r="F21231" s="40" t="s">
        <v>11404</v>
      </c>
      <c r="G21231" s="40" t="s">
        <v>11404</v>
      </c>
      <c r="H21231" s="40" t="s">
        <v>11404</v>
      </c>
    </row>
    <row r="21232">
      <c r="A21232" s="39"/>
      <c r="E21232" s="40" t="s">
        <v>11404</v>
      </c>
      <c r="F21232" s="40" t="s">
        <v>11404</v>
      </c>
      <c r="G21232" s="40" t="s">
        <v>11404</v>
      </c>
      <c r="H21232" s="40" t="s">
        <v>11404</v>
      </c>
    </row>
    <row r="21233">
      <c r="A21233" s="39"/>
      <c r="E21233" s="40" t="s">
        <v>11404</v>
      </c>
      <c r="F21233" s="40" t="s">
        <v>11404</v>
      </c>
      <c r="G21233" s="40" t="s">
        <v>11404</v>
      </c>
      <c r="H21233" s="40" t="s">
        <v>11404</v>
      </c>
    </row>
    <row r="21234">
      <c r="A21234" s="39"/>
      <c r="E21234" s="40" t="s">
        <v>11404</v>
      </c>
      <c r="F21234" s="40" t="s">
        <v>11404</v>
      </c>
      <c r="G21234" s="40" t="s">
        <v>11404</v>
      </c>
      <c r="H21234" s="40" t="s">
        <v>11404</v>
      </c>
    </row>
    <row r="21235">
      <c r="A21235" s="39"/>
      <c r="E21235" s="40" t="s">
        <v>11404</v>
      </c>
      <c r="F21235" s="40" t="s">
        <v>11404</v>
      </c>
      <c r="G21235" s="40" t="s">
        <v>11404</v>
      </c>
      <c r="H21235" s="40" t="s">
        <v>11404</v>
      </c>
    </row>
    <row r="21236">
      <c r="A21236" s="39"/>
      <c r="E21236" s="40" t="s">
        <v>11404</v>
      </c>
      <c r="F21236" s="40" t="s">
        <v>11404</v>
      </c>
      <c r="G21236" s="40" t="s">
        <v>11404</v>
      </c>
      <c r="H21236" s="40" t="s">
        <v>11404</v>
      </c>
    </row>
    <row r="21237">
      <c r="A21237" s="39"/>
      <c r="E21237" s="40" t="s">
        <v>11404</v>
      </c>
      <c r="F21237" s="40" t="s">
        <v>11404</v>
      </c>
      <c r="G21237" s="40" t="s">
        <v>11404</v>
      </c>
      <c r="H21237" s="40" t="s">
        <v>11404</v>
      </c>
    </row>
    <row r="21238">
      <c r="A21238" s="39"/>
      <c r="E21238" s="40" t="s">
        <v>11404</v>
      </c>
      <c r="F21238" s="40" t="s">
        <v>11404</v>
      </c>
      <c r="G21238" s="40" t="s">
        <v>11404</v>
      </c>
      <c r="H21238" s="40" t="s">
        <v>11404</v>
      </c>
    </row>
    <row r="21239">
      <c r="A21239" s="39"/>
      <c r="E21239" s="40" t="s">
        <v>11404</v>
      </c>
      <c r="F21239" s="40" t="s">
        <v>11404</v>
      </c>
      <c r="G21239" s="40" t="s">
        <v>11404</v>
      </c>
      <c r="H21239" s="40" t="s">
        <v>11404</v>
      </c>
    </row>
    <row r="21240">
      <c r="A21240" s="39"/>
      <c r="E21240" s="40" t="s">
        <v>11404</v>
      </c>
      <c r="F21240" s="40" t="s">
        <v>11404</v>
      </c>
      <c r="G21240" s="40" t="s">
        <v>11404</v>
      </c>
      <c r="H21240" s="40" t="s">
        <v>11404</v>
      </c>
    </row>
    <row r="21241">
      <c r="A21241" s="39"/>
      <c r="E21241" s="40" t="s">
        <v>11404</v>
      </c>
      <c r="F21241" s="40" t="s">
        <v>11404</v>
      </c>
      <c r="G21241" s="40" t="s">
        <v>11404</v>
      </c>
      <c r="H21241" s="40" t="s">
        <v>11404</v>
      </c>
    </row>
    <row r="21242">
      <c r="A21242" s="39"/>
      <c r="E21242" s="40" t="s">
        <v>11404</v>
      </c>
      <c r="F21242" s="40" t="s">
        <v>11404</v>
      </c>
      <c r="G21242" s="40" t="s">
        <v>11404</v>
      </c>
      <c r="H21242" s="40" t="s">
        <v>11404</v>
      </c>
    </row>
    <row r="21243">
      <c r="A21243" s="39"/>
      <c r="E21243" s="40" t="s">
        <v>11404</v>
      </c>
      <c r="F21243" s="40" t="s">
        <v>11404</v>
      </c>
      <c r="G21243" s="40" t="s">
        <v>11404</v>
      </c>
      <c r="H21243" s="40" t="s">
        <v>11404</v>
      </c>
    </row>
    <row r="21244">
      <c r="A21244" s="39"/>
      <c r="E21244" s="40" t="s">
        <v>11404</v>
      </c>
      <c r="F21244" s="40" t="s">
        <v>11404</v>
      </c>
      <c r="G21244" s="40" t="s">
        <v>11404</v>
      </c>
      <c r="H21244" s="40" t="s">
        <v>11404</v>
      </c>
    </row>
    <row r="21245">
      <c r="A21245" s="39"/>
      <c r="E21245" s="40" t="s">
        <v>11404</v>
      </c>
      <c r="F21245" s="40" t="s">
        <v>11404</v>
      </c>
      <c r="G21245" s="40" t="s">
        <v>11404</v>
      </c>
      <c r="H21245" s="40" t="s">
        <v>11404</v>
      </c>
    </row>
    <row r="21246">
      <c r="A21246" s="39"/>
      <c r="E21246" s="40" t="s">
        <v>11404</v>
      </c>
      <c r="F21246" s="40" t="s">
        <v>11404</v>
      </c>
      <c r="G21246" s="40" t="s">
        <v>11404</v>
      </c>
      <c r="H21246" s="40" t="s">
        <v>11404</v>
      </c>
    </row>
    <row r="21247">
      <c r="A21247" s="39"/>
      <c r="E21247" s="40" t="s">
        <v>11404</v>
      </c>
      <c r="F21247" s="40" t="s">
        <v>11404</v>
      </c>
      <c r="G21247" s="40" t="s">
        <v>11404</v>
      </c>
      <c r="H21247" s="40" t="s">
        <v>11404</v>
      </c>
    </row>
    <row r="21248">
      <c r="A21248" s="39"/>
      <c r="E21248" s="40" t="s">
        <v>11404</v>
      </c>
      <c r="F21248" s="40" t="s">
        <v>11404</v>
      </c>
      <c r="G21248" s="40" t="s">
        <v>11404</v>
      </c>
      <c r="H21248" s="40" t="s">
        <v>11404</v>
      </c>
    </row>
    <row r="21249">
      <c r="A21249" s="39"/>
      <c r="E21249" s="40" t="s">
        <v>11404</v>
      </c>
      <c r="F21249" s="40" t="s">
        <v>11404</v>
      </c>
      <c r="G21249" s="40" t="s">
        <v>11404</v>
      </c>
      <c r="H21249" s="40" t="s">
        <v>11404</v>
      </c>
    </row>
    <row r="21250">
      <c r="A21250" s="39"/>
      <c r="E21250" s="40" t="s">
        <v>11404</v>
      </c>
      <c r="F21250" s="40" t="s">
        <v>11404</v>
      </c>
      <c r="G21250" s="40" t="s">
        <v>11404</v>
      </c>
      <c r="H21250" s="40" t="s">
        <v>11404</v>
      </c>
    </row>
    <row r="21251">
      <c r="A21251" s="39"/>
      <c r="E21251" s="40" t="s">
        <v>11404</v>
      </c>
      <c r="F21251" s="40" t="s">
        <v>11404</v>
      </c>
      <c r="G21251" s="40" t="s">
        <v>11404</v>
      </c>
      <c r="H21251" s="40" t="s">
        <v>11404</v>
      </c>
    </row>
    <row r="21252">
      <c r="A21252" s="39"/>
      <c r="E21252" s="40" t="s">
        <v>11404</v>
      </c>
      <c r="F21252" s="40" t="s">
        <v>11404</v>
      </c>
      <c r="G21252" s="40" t="s">
        <v>11404</v>
      </c>
      <c r="H21252" s="40" t="s">
        <v>11404</v>
      </c>
    </row>
    <row r="21253">
      <c r="A21253" s="39"/>
      <c r="E21253" s="40" t="s">
        <v>11404</v>
      </c>
      <c r="F21253" s="40" t="s">
        <v>11404</v>
      </c>
      <c r="G21253" s="40" t="s">
        <v>11404</v>
      </c>
      <c r="H21253" s="40" t="s">
        <v>11404</v>
      </c>
    </row>
    <row r="21254">
      <c r="A21254" s="39"/>
      <c r="E21254" s="40" t="s">
        <v>11404</v>
      </c>
      <c r="F21254" s="40" t="s">
        <v>11404</v>
      </c>
      <c r="G21254" s="40" t="s">
        <v>11404</v>
      </c>
      <c r="H21254" s="40" t="s">
        <v>11404</v>
      </c>
    </row>
    <row r="21255">
      <c r="A21255" s="39"/>
      <c r="E21255" s="40" t="s">
        <v>11404</v>
      </c>
      <c r="F21255" s="40" t="s">
        <v>11404</v>
      </c>
      <c r="G21255" s="40" t="s">
        <v>11404</v>
      </c>
      <c r="H21255" s="40" t="s">
        <v>11404</v>
      </c>
    </row>
    <row r="21256">
      <c r="A21256" s="39"/>
      <c r="E21256" s="40" t="s">
        <v>11404</v>
      </c>
      <c r="F21256" s="40" t="s">
        <v>11404</v>
      </c>
      <c r="G21256" s="40" t="s">
        <v>11404</v>
      </c>
      <c r="H21256" s="40" t="s">
        <v>11404</v>
      </c>
    </row>
    <row r="21257">
      <c r="A21257" s="39"/>
      <c r="E21257" s="40" t="s">
        <v>11404</v>
      </c>
      <c r="F21257" s="40" t="s">
        <v>11404</v>
      </c>
      <c r="G21257" s="40" t="s">
        <v>11404</v>
      </c>
      <c r="H21257" s="40" t="s">
        <v>11404</v>
      </c>
    </row>
    <row r="21258">
      <c r="A21258" s="39"/>
      <c r="E21258" s="40" t="s">
        <v>11404</v>
      </c>
      <c r="F21258" s="40" t="s">
        <v>11404</v>
      </c>
      <c r="G21258" s="40" t="s">
        <v>11404</v>
      </c>
      <c r="H21258" s="40" t="s">
        <v>11404</v>
      </c>
    </row>
    <row r="21259">
      <c r="A21259" s="39"/>
      <c r="E21259" s="40" t="s">
        <v>11404</v>
      </c>
      <c r="F21259" s="40" t="s">
        <v>11404</v>
      </c>
      <c r="G21259" s="40" t="s">
        <v>11404</v>
      </c>
      <c r="H21259" s="40" t="s">
        <v>11404</v>
      </c>
    </row>
    <row r="21260">
      <c r="A21260" s="39"/>
      <c r="E21260" s="40" t="s">
        <v>11404</v>
      </c>
      <c r="F21260" s="40" t="s">
        <v>11404</v>
      </c>
      <c r="G21260" s="40" t="s">
        <v>11404</v>
      </c>
      <c r="H21260" s="40" t="s">
        <v>11404</v>
      </c>
    </row>
    <row r="21261">
      <c r="A21261" s="39"/>
      <c r="E21261" s="40" t="s">
        <v>11404</v>
      </c>
      <c r="F21261" s="40" t="s">
        <v>11404</v>
      </c>
      <c r="G21261" s="40" t="s">
        <v>11404</v>
      </c>
      <c r="H21261" s="40" t="s">
        <v>11404</v>
      </c>
    </row>
    <row r="21262">
      <c r="A21262" s="39"/>
      <c r="E21262" s="40" t="s">
        <v>11404</v>
      </c>
      <c r="F21262" s="40" t="s">
        <v>11404</v>
      </c>
      <c r="G21262" s="40" t="s">
        <v>11404</v>
      </c>
      <c r="H21262" s="40" t="s">
        <v>11404</v>
      </c>
    </row>
    <row r="21263">
      <c r="A21263" s="39"/>
      <c r="E21263" s="40" t="s">
        <v>11404</v>
      </c>
      <c r="F21263" s="40" t="s">
        <v>11404</v>
      </c>
      <c r="G21263" s="40" t="s">
        <v>11404</v>
      </c>
      <c r="H21263" s="40" t="s">
        <v>11404</v>
      </c>
    </row>
    <row r="21264">
      <c r="A21264" s="39"/>
      <c r="E21264" s="40" t="s">
        <v>11404</v>
      </c>
      <c r="F21264" s="40" t="s">
        <v>11404</v>
      </c>
      <c r="G21264" s="40" t="s">
        <v>11404</v>
      </c>
      <c r="H21264" s="40" t="s">
        <v>11404</v>
      </c>
    </row>
    <row r="21265">
      <c r="A21265" s="39"/>
      <c r="E21265" s="40" t="s">
        <v>11404</v>
      </c>
      <c r="F21265" s="40" t="s">
        <v>11404</v>
      </c>
      <c r="G21265" s="40" t="s">
        <v>11404</v>
      </c>
      <c r="H21265" s="40" t="s">
        <v>11404</v>
      </c>
    </row>
    <row r="21266">
      <c r="A21266" s="39"/>
      <c r="E21266" s="40" t="s">
        <v>11404</v>
      </c>
      <c r="F21266" s="40" t="s">
        <v>11404</v>
      </c>
      <c r="G21266" s="40" t="s">
        <v>11404</v>
      </c>
      <c r="H21266" s="40" t="s">
        <v>11404</v>
      </c>
    </row>
    <row r="21267">
      <c r="A21267" s="39"/>
      <c r="E21267" s="40" t="s">
        <v>11404</v>
      </c>
      <c r="F21267" s="40" t="s">
        <v>11404</v>
      </c>
      <c r="G21267" s="40" t="s">
        <v>11404</v>
      </c>
      <c r="H21267" s="40" t="s">
        <v>11404</v>
      </c>
    </row>
    <row r="21268">
      <c r="A21268" s="39"/>
      <c r="E21268" s="40" t="s">
        <v>11404</v>
      </c>
      <c r="F21268" s="40" t="s">
        <v>11404</v>
      </c>
      <c r="G21268" s="40" t="s">
        <v>11404</v>
      </c>
      <c r="H21268" s="40" t="s">
        <v>11404</v>
      </c>
    </row>
    <row r="21269">
      <c r="A21269" s="39"/>
      <c r="E21269" s="40" t="s">
        <v>11404</v>
      </c>
      <c r="F21269" s="40" t="s">
        <v>11404</v>
      </c>
      <c r="G21269" s="40" t="s">
        <v>11404</v>
      </c>
      <c r="H21269" s="40" t="s">
        <v>11404</v>
      </c>
    </row>
    <row r="21270">
      <c r="A21270" s="39"/>
      <c r="E21270" s="40" t="s">
        <v>11404</v>
      </c>
      <c r="F21270" s="40" t="s">
        <v>11404</v>
      </c>
      <c r="G21270" s="40" t="s">
        <v>11404</v>
      </c>
      <c r="H21270" s="40" t="s">
        <v>11404</v>
      </c>
    </row>
    <row r="21271">
      <c r="A21271" s="39"/>
      <c r="E21271" s="40" t="s">
        <v>11404</v>
      </c>
      <c r="F21271" s="40" t="s">
        <v>11404</v>
      </c>
      <c r="G21271" s="40" t="s">
        <v>11404</v>
      </c>
      <c r="H21271" s="40" t="s">
        <v>11404</v>
      </c>
    </row>
    <row r="21272">
      <c r="A21272" s="39"/>
      <c r="E21272" s="40" t="s">
        <v>11404</v>
      </c>
      <c r="F21272" s="40" t="s">
        <v>11404</v>
      </c>
      <c r="G21272" s="40" t="s">
        <v>11404</v>
      </c>
      <c r="H21272" s="40" t="s">
        <v>11404</v>
      </c>
    </row>
    <row r="21273">
      <c r="A21273" s="39"/>
      <c r="E21273" s="40" t="s">
        <v>11404</v>
      </c>
      <c r="F21273" s="40" t="s">
        <v>11404</v>
      </c>
      <c r="G21273" s="40" t="s">
        <v>11404</v>
      </c>
      <c r="H21273" s="40" t="s">
        <v>11404</v>
      </c>
    </row>
    <row r="21274">
      <c r="A21274" s="39"/>
      <c r="E21274" s="40" t="s">
        <v>11404</v>
      </c>
      <c r="F21274" s="40" t="s">
        <v>11404</v>
      </c>
      <c r="G21274" s="40" t="s">
        <v>11404</v>
      </c>
      <c r="H21274" s="40" t="s">
        <v>11404</v>
      </c>
    </row>
    <row r="21275">
      <c r="A21275" s="39"/>
      <c r="E21275" s="40" t="s">
        <v>11404</v>
      </c>
      <c r="F21275" s="40" t="s">
        <v>11404</v>
      </c>
      <c r="G21275" s="40" t="s">
        <v>11404</v>
      </c>
      <c r="H21275" s="40" t="s">
        <v>11404</v>
      </c>
    </row>
    <row r="21276">
      <c r="A21276" s="39"/>
      <c r="E21276" s="40" t="s">
        <v>11404</v>
      </c>
      <c r="F21276" s="40" t="s">
        <v>11404</v>
      </c>
      <c r="G21276" s="40" t="s">
        <v>11404</v>
      </c>
      <c r="H21276" s="40" t="s">
        <v>11404</v>
      </c>
    </row>
    <row r="21277">
      <c r="A21277" s="39"/>
      <c r="E21277" s="40" t="s">
        <v>11404</v>
      </c>
      <c r="F21277" s="40" t="s">
        <v>11404</v>
      </c>
      <c r="G21277" s="40" t="s">
        <v>11404</v>
      </c>
      <c r="H21277" s="40" t="s">
        <v>11404</v>
      </c>
    </row>
    <row r="21278">
      <c r="A21278" s="39"/>
      <c r="E21278" s="40" t="s">
        <v>11404</v>
      </c>
      <c r="F21278" s="40" t="s">
        <v>11404</v>
      </c>
      <c r="G21278" s="40" t="s">
        <v>11404</v>
      </c>
      <c r="H21278" s="40" t="s">
        <v>11404</v>
      </c>
    </row>
    <row r="21279">
      <c r="A21279" s="39"/>
      <c r="E21279" s="40" t="s">
        <v>11404</v>
      </c>
      <c r="F21279" s="40" t="s">
        <v>11404</v>
      </c>
      <c r="G21279" s="40" t="s">
        <v>11404</v>
      </c>
      <c r="H21279" s="40" t="s">
        <v>11404</v>
      </c>
    </row>
    <row r="21280">
      <c r="A21280" s="39"/>
      <c r="E21280" s="40" t="s">
        <v>11404</v>
      </c>
      <c r="F21280" s="40" t="s">
        <v>11404</v>
      </c>
      <c r="G21280" s="40" t="s">
        <v>11404</v>
      </c>
      <c r="H21280" s="40" t="s">
        <v>11404</v>
      </c>
    </row>
    <row r="21281">
      <c r="A21281" s="39"/>
      <c r="E21281" s="40" t="s">
        <v>11404</v>
      </c>
      <c r="F21281" s="40" t="s">
        <v>11404</v>
      </c>
      <c r="G21281" s="40" t="s">
        <v>11404</v>
      </c>
      <c r="H21281" s="40" t="s">
        <v>11404</v>
      </c>
    </row>
    <row r="21282">
      <c r="A21282" s="39"/>
      <c r="E21282" s="40" t="s">
        <v>11404</v>
      </c>
      <c r="F21282" s="40" t="s">
        <v>11404</v>
      </c>
      <c r="G21282" s="40" t="s">
        <v>11404</v>
      </c>
      <c r="H21282" s="40" t="s">
        <v>11404</v>
      </c>
    </row>
    <row r="21283">
      <c r="A21283" s="39"/>
      <c r="E21283" s="40" t="s">
        <v>11404</v>
      </c>
      <c r="F21283" s="40" t="s">
        <v>11404</v>
      </c>
      <c r="G21283" s="40" t="s">
        <v>11404</v>
      </c>
      <c r="H21283" s="40" t="s">
        <v>11404</v>
      </c>
    </row>
    <row r="21284">
      <c r="A21284" s="39"/>
      <c r="E21284" s="40" t="s">
        <v>11404</v>
      </c>
      <c r="F21284" s="40" t="s">
        <v>11404</v>
      </c>
      <c r="G21284" s="40" t="s">
        <v>11404</v>
      </c>
      <c r="H21284" s="40" t="s">
        <v>11404</v>
      </c>
    </row>
    <row r="21285">
      <c r="A21285" s="39"/>
      <c r="E21285" s="40" t="s">
        <v>11404</v>
      </c>
      <c r="F21285" s="40" t="s">
        <v>11404</v>
      </c>
      <c r="G21285" s="40" t="s">
        <v>11404</v>
      </c>
      <c r="H21285" s="40" t="s">
        <v>11404</v>
      </c>
    </row>
    <row r="21286">
      <c r="A21286" s="39"/>
      <c r="E21286" s="40" t="s">
        <v>11404</v>
      </c>
      <c r="F21286" s="40" t="s">
        <v>11404</v>
      </c>
      <c r="G21286" s="40" t="s">
        <v>11404</v>
      </c>
      <c r="H21286" s="40" t="s">
        <v>11404</v>
      </c>
    </row>
    <row r="21287">
      <c r="A21287" s="39"/>
      <c r="E21287" s="40" t="s">
        <v>11404</v>
      </c>
      <c r="F21287" s="40" t="s">
        <v>11404</v>
      </c>
      <c r="G21287" s="40" t="s">
        <v>11404</v>
      </c>
      <c r="H21287" s="40" t="s">
        <v>11404</v>
      </c>
    </row>
    <row r="21288">
      <c r="A21288" s="39"/>
      <c r="E21288" s="40" t="s">
        <v>11404</v>
      </c>
      <c r="F21288" s="40" t="s">
        <v>11404</v>
      </c>
      <c r="G21288" s="40" t="s">
        <v>11404</v>
      </c>
      <c r="H21288" s="40" t="s">
        <v>11404</v>
      </c>
    </row>
    <row r="21289">
      <c r="A21289" s="39"/>
      <c r="E21289" s="40" t="s">
        <v>11404</v>
      </c>
      <c r="F21289" s="40" t="s">
        <v>11404</v>
      </c>
      <c r="G21289" s="40" t="s">
        <v>11404</v>
      </c>
      <c r="H21289" s="40" t="s">
        <v>11404</v>
      </c>
    </row>
    <row r="21290">
      <c r="A21290" s="39"/>
      <c r="E21290" s="40" t="s">
        <v>11404</v>
      </c>
      <c r="F21290" s="40" t="s">
        <v>11404</v>
      </c>
      <c r="G21290" s="40" t="s">
        <v>11404</v>
      </c>
      <c r="H21290" s="40" t="s">
        <v>11404</v>
      </c>
    </row>
    <row r="21291">
      <c r="A21291" s="39"/>
      <c r="E21291" s="40" t="s">
        <v>11404</v>
      </c>
      <c r="F21291" s="40" t="s">
        <v>11404</v>
      </c>
      <c r="G21291" s="40" t="s">
        <v>11404</v>
      </c>
      <c r="H21291" s="40" t="s">
        <v>11404</v>
      </c>
    </row>
    <row r="21292">
      <c r="A21292" s="39"/>
      <c r="E21292" s="40" t="s">
        <v>11404</v>
      </c>
      <c r="F21292" s="40" t="s">
        <v>11404</v>
      </c>
      <c r="G21292" s="40" t="s">
        <v>11404</v>
      </c>
      <c r="H21292" s="40" t="s">
        <v>11404</v>
      </c>
    </row>
    <row r="21293">
      <c r="A21293" s="39"/>
      <c r="E21293" s="40" t="s">
        <v>11404</v>
      </c>
      <c r="F21293" s="40" t="s">
        <v>11404</v>
      </c>
      <c r="G21293" s="40" t="s">
        <v>11404</v>
      </c>
      <c r="H21293" s="40" t="s">
        <v>11404</v>
      </c>
    </row>
    <row r="21294">
      <c r="A21294" s="39"/>
      <c r="E21294" s="40" t="s">
        <v>11404</v>
      </c>
      <c r="F21294" s="40" t="s">
        <v>11404</v>
      </c>
      <c r="G21294" s="40" t="s">
        <v>11404</v>
      </c>
      <c r="H21294" s="40" t="s">
        <v>11404</v>
      </c>
    </row>
    <row r="21295">
      <c r="A21295" s="39"/>
      <c r="E21295" s="40" t="s">
        <v>11404</v>
      </c>
      <c r="F21295" s="40" t="s">
        <v>11404</v>
      </c>
      <c r="G21295" s="40" t="s">
        <v>11404</v>
      </c>
      <c r="H21295" s="40" t="s">
        <v>11404</v>
      </c>
    </row>
    <row r="21296">
      <c r="A21296" s="39"/>
      <c r="E21296" s="40" t="s">
        <v>11404</v>
      </c>
      <c r="F21296" s="40" t="s">
        <v>11404</v>
      </c>
      <c r="G21296" s="40" t="s">
        <v>11404</v>
      </c>
      <c r="H21296" s="40" t="s">
        <v>11404</v>
      </c>
    </row>
    <row r="21297">
      <c r="A21297" s="39"/>
      <c r="E21297" s="40" t="s">
        <v>11404</v>
      </c>
      <c r="F21297" s="40" t="s">
        <v>11404</v>
      </c>
      <c r="G21297" s="40" t="s">
        <v>11404</v>
      </c>
      <c r="H21297" s="40" t="s">
        <v>11404</v>
      </c>
    </row>
    <row r="21298">
      <c r="A21298" s="39"/>
      <c r="E21298" s="40" t="s">
        <v>11404</v>
      </c>
      <c r="F21298" s="40" t="s">
        <v>11404</v>
      </c>
      <c r="G21298" s="40" t="s">
        <v>11404</v>
      </c>
      <c r="H21298" s="40" t="s">
        <v>11404</v>
      </c>
    </row>
    <row r="21299">
      <c r="A21299" s="39"/>
      <c r="E21299" s="40" t="s">
        <v>11404</v>
      </c>
      <c r="F21299" s="40" t="s">
        <v>11404</v>
      </c>
      <c r="G21299" s="40" t="s">
        <v>11404</v>
      </c>
      <c r="H21299" s="40" t="s">
        <v>11404</v>
      </c>
    </row>
    <row r="21300">
      <c r="A21300" s="39"/>
      <c r="E21300" s="40" t="s">
        <v>11404</v>
      </c>
      <c r="F21300" s="40" t="s">
        <v>11404</v>
      </c>
      <c r="G21300" s="40" t="s">
        <v>11404</v>
      </c>
      <c r="H21300" s="40" t="s">
        <v>11404</v>
      </c>
    </row>
    <row r="21301">
      <c r="A21301" s="39"/>
      <c r="E21301" s="40" t="s">
        <v>11404</v>
      </c>
      <c r="F21301" s="40" t="s">
        <v>11404</v>
      </c>
      <c r="G21301" s="40" t="s">
        <v>11404</v>
      </c>
      <c r="H21301" s="40" t="s">
        <v>11404</v>
      </c>
    </row>
    <row r="21302">
      <c r="A21302" s="39"/>
      <c r="E21302" s="40" t="s">
        <v>11404</v>
      </c>
      <c r="F21302" s="40" t="s">
        <v>11404</v>
      </c>
      <c r="G21302" s="40" t="s">
        <v>11404</v>
      </c>
      <c r="H21302" s="40" t="s">
        <v>11404</v>
      </c>
    </row>
    <row r="21303">
      <c r="A21303" s="39"/>
      <c r="E21303" s="40" t="s">
        <v>11404</v>
      </c>
      <c r="F21303" s="40" t="s">
        <v>11404</v>
      </c>
      <c r="G21303" s="40" t="s">
        <v>11404</v>
      </c>
      <c r="H21303" s="40" t="s">
        <v>11404</v>
      </c>
    </row>
    <row r="21304">
      <c r="A21304" s="39"/>
      <c r="E21304" s="40" t="s">
        <v>11404</v>
      </c>
      <c r="F21304" s="40" t="s">
        <v>11404</v>
      </c>
      <c r="G21304" s="40" t="s">
        <v>11404</v>
      </c>
      <c r="H21304" s="40" t="s">
        <v>11404</v>
      </c>
    </row>
    <row r="21305">
      <c r="A21305" s="39"/>
      <c r="E21305" s="40" t="s">
        <v>11404</v>
      </c>
      <c r="F21305" s="40" t="s">
        <v>11404</v>
      </c>
      <c r="G21305" s="40" t="s">
        <v>11404</v>
      </c>
      <c r="H21305" s="40" t="s">
        <v>11404</v>
      </c>
    </row>
    <row r="21306">
      <c r="A21306" s="39"/>
      <c r="E21306" s="40" t="s">
        <v>11404</v>
      </c>
      <c r="F21306" s="40" t="s">
        <v>11404</v>
      </c>
      <c r="G21306" s="40" t="s">
        <v>11404</v>
      </c>
      <c r="H21306" s="40" t="s">
        <v>11404</v>
      </c>
    </row>
    <row r="21307">
      <c r="A21307" s="39"/>
      <c r="E21307" s="40" t="s">
        <v>11404</v>
      </c>
      <c r="F21307" s="40" t="s">
        <v>11404</v>
      </c>
      <c r="G21307" s="40" t="s">
        <v>11404</v>
      </c>
      <c r="H21307" s="40" t="s">
        <v>11404</v>
      </c>
    </row>
    <row r="21308">
      <c r="A21308" s="39"/>
      <c r="E21308" s="40" t="s">
        <v>11404</v>
      </c>
      <c r="F21308" s="40" t="s">
        <v>11404</v>
      </c>
      <c r="G21308" s="40" t="s">
        <v>11404</v>
      </c>
      <c r="H21308" s="40" t="s">
        <v>11404</v>
      </c>
    </row>
    <row r="21309">
      <c r="A21309" s="39"/>
      <c r="E21309" s="40" t="s">
        <v>11404</v>
      </c>
      <c r="F21309" s="40" t="s">
        <v>11404</v>
      </c>
      <c r="G21309" s="40" t="s">
        <v>11404</v>
      </c>
      <c r="H21309" s="40" t="s">
        <v>11404</v>
      </c>
    </row>
    <row r="21310">
      <c r="A21310" s="39"/>
      <c r="E21310" s="40" t="s">
        <v>11404</v>
      </c>
      <c r="F21310" s="40" t="s">
        <v>11404</v>
      </c>
      <c r="G21310" s="40" t="s">
        <v>11404</v>
      </c>
      <c r="H21310" s="40" t="s">
        <v>11404</v>
      </c>
    </row>
    <row r="21311">
      <c r="A21311" s="39"/>
      <c r="E21311" s="40" t="s">
        <v>11404</v>
      </c>
      <c r="F21311" s="40" t="s">
        <v>11404</v>
      </c>
      <c r="G21311" s="40" t="s">
        <v>11404</v>
      </c>
      <c r="H21311" s="40" t="s">
        <v>11404</v>
      </c>
    </row>
    <row r="21312">
      <c r="A21312" s="39"/>
      <c r="E21312" s="40" t="s">
        <v>11404</v>
      </c>
      <c r="F21312" s="40" t="s">
        <v>11404</v>
      </c>
      <c r="G21312" s="40" t="s">
        <v>11404</v>
      </c>
      <c r="H21312" s="40" t="s">
        <v>11404</v>
      </c>
    </row>
    <row r="21313">
      <c r="A21313" s="39"/>
      <c r="E21313" s="40" t="s">
        <v>11404</v>
      </c>
      <c r="F21313" s="40" t="s">
        <v>11404</v>
      </c>
      <c r="G21313" s="40" t="s">
        <v>11404</v>
      </c>
      <c r="H21313" s="40" t="s">
        <v>11404</v>
      </c>
    </row>
    <row r="21314">
      <c r="A21314" s="39"/>
      <c r="E21314" s="40" t="s">
        <v>11404</v>
      </c>
      <c r="F21314" s="40" t="s">
        <v>11404</v>
      </c>
      <c r="G21314" s="40" t="s">
        <v>11404</v>
      </c>
      <c r="H21314" s="40" t="s">
        <v>11404</v>
      </c>
    </row>
    <row r="21315">
      <c r="A21315" s="39"/>
      <c r="E21315" s="40" t="s">
        <v>11404</v>
      </c>
      <c r="F21315" s="40" t="s">
        <v>11404</v>
      </c>
      <c r="G21315" s="40" t="s">
        <v>11404</v>
      </c>
      <c r="H21315" s="40" t="s">
        <v>11404</v>
      </c>
    </row>
    <row r="21316">
      <c r="A21316" s="39"/>
      <c r="E21316" s="40" t="s">
        <v>11404</v>
      </c>
      <c r="F21316" s="40" t="s">
        <v>11404</v>
      </c>
      <c r="G21316" s="40" t="s">
        <v>11404</v>
      </c>
      <c r="H21316" s="40" t="s">
        <v>11404</v>
      </c>
    </row>
    <row r="21317">
      <c r="A21317" s="39"/>
      <c r="E21317" s="40" t="s">
        <v>11404</v>
      </c>
      <c r="F21317" s="40" t="s">
        <v>11404</v>
      </c>
      <c r="G21317" s="40" t="s">
        <v>11404</v>
      </c>
      <c r="H21317" s="40" t="s">
        <v>11404</v>
      </c>
    </row>
    <row r="21318">
      <c r="A21318" s="39"/>
      <c r="E21318" s="40" t="s">
        <v>11404</v>
      </c>
      <c r="F21318" s="40" t="s">
        <v>11404</v>
      </c>
      <c r="G21318" s="40" t="s">
        <v>11404</v>
      </c>
      <c r="H21318" s="40" t="s">
        <v>11404</v>
      </c>
    </row>
    <row r="21319">
      <c r="A21319" s="39"/>
      <c r="E21319" s="40" t="s">
        <v>11404</v>
      </c>
      <c r="F21319" s="40" t="s">
        <v>11404</v>
      </c>
      <c r="G21319" s="40" t="s">
        <v>11404</v>
      </c>
      <c r="H21319" s="40" t="s">
        <v>11404</v>
      </c>
    </row>
    <row r="21320">
      <c r="A21320" s="39"/>
      <c r="E21320" s="40" t="s">
        <v>11404</v>
      </c>
      <c r="F21320" s="40" t="s">
        <v>11404</v>
      </c>
      <c r="G21320" s="40" t="s">
        <v>11404</v>
      </c>
      <c r="H21320" s="40" t="s">
        <v>11404</v>
      </c>
    </row>
    <row r="21321">
      <c r="A21321" s="39"/>
      <c r="E21321" s="40" t="s">
        <v>11404</v>
      </c>
      <c r="F21321" s="40" t="s">
        <v>11404</v>
      </c>
      <c r="G21321" s="40" t="s">
        <v>11404</v>
      </c>
      <c r="H21321" s="40" t="s">
        <v>11404</v>
      </c>
    </row>
    <row r="21322">
      <c r="A21322" s="39"/>
      <c r="E21322" s="40" t="s">
        <v>11404</v>
      </c>
      <c r="F21322" s="40" t="s">
        <v>11404</v>
      </c>
      <c r="G21322" s="40" t="s">
        <v>11404</v>
      </c>
      <c r="H21322" s="40" t="s">
        <v>11404</v>
      </c>
    </row>
    <row r="21323">
      <c r="A21323" s="39"/>
      <c r="E21323" s="40" t="s">
        <v>11404</v>
      </c>
      <c r="F21323" s="40" t="s">
        <v>11404</v>
      </c>
      <c r="G21323" s="40" t="s">
        <v>11404</v>
      </c>
      <c r="H21323" s="40" t="s">
        <v>11404</v>
      </c>
    </row>
    <row r="21324">
      <c r="A21324" s="39"/>
      <c r="E21324" s="40" t="s">
        <v>11404</v>
      </c>
      <c r="F21324" s="40" t="s">
        <v>11404</v>
      </c>
      <c r="G21324" s="40" t="s">
        <v>11404</v>
      </c>
      <c r="H21324" s="40" t="s">
        <v>11404</v>
      </c>
    </row>
    <row r="21325">
      <c r="A21325" s="39"/>
      <c r="E21325" s="40" t="s">
        <v>11404</v>
      </c>
      <c r="F21325" s="40" t="s">
        <v>11404</v>
      </c>
      <c r="G21325" s="40" t="s">
        <v>11404</v>
      </c>
      <c r="H21325" s="40" t="s">
        <v>11404</v>
      </c>
    </row>
    <row r="21326">
      <c r="A21326" s="39"/>
      <c r="E21326" s="40" t="s">
        <v>11404</v>
      </c>
      <c r="F21326" s="40" t="s">
        <v>11404</v>
      </c>
      <c r="G21326" s="40" t="s">
        <v>11404</v>
      </c>
      <c r="H21326" s="40" t="s">
        <v>11404</v>
      </c>
    </row>
    <row r="21327">
      <c r="A21327" s="39"/>
      <c r="E21327" s="40" t="s">
        <v>11404</v>
      </c>
      <c r="F21327" s="40" t="s">
        <v>11404</v>
      </c>
      <c r="G21327" s="40" t="s">
        <v>11404</v>
      </c>
      <c r="H21327" s="40" t="s">
        <v>11404</v>
      </c>
    </row>
    <row r="21328">
      <c r="A21328" s="39"/>
      <c r="E21328" s="40" t="s">
        <v>11404</v>
      </c>
      <c r="F21328" s="40" t="s">
        <v>11404</v>
      </c>
      <c r="G21328" s="40" t="s">
        <v>11404</v>
      </c>
      <c r="H21328" s="40" t="s">
        <v>11404</v>
      </c>
    </row>
    <row r="21329">
      <c r="A21329" s="39"/>
      <c r="E21329" s="40" t="s">
        <v>11404</v>
      </c>
      <c r="F21329" s="40" t="s">
        <v>11404</v>
      </c>
      <c r="G21329" s="40" t="s">
        <v>11404</v>
      </c>
      <c r="H21329" s="40" t="s">
        <v>11404</v>
      </c>
    </row>
    <row r="21330">
      <c r="A21330" s="39"/>
      <c r="E21330" s="40" t="s">
        <v>11404</v>
      </c>
      <c r="F21330" s="40" t="s">
        <v>11404</v>
      </c>
      <c r="G21330" s="40" t="s">
        <v>11404</v>
      </c>
      <c r="H21330" s="40" t="s">
        <v>11404</v>
      </c>
    </row>
    <row r="21331">
      <c r="A21331" s="39"/>
      <c r="E21331" s="40" t="s">
        <v>11404</v>
      </c>
      <c r="F21331" s="40" t="s">
        <v>11404</v>
      </c>
      <c r="G21331" s="40" t="s">
        <v>11404</v>
      </c>
      <c r="H21331" s="40" t="s">
        <v>11404</v>
      </c>
    </row>
    <row r="21332">
      <c r="A21332" s="39"/>
      <c r="E21332" s="40" t="s">
        <v>11404</v>
      </c>
      <c r="F21332" s="40" t="s">
        <v>11404</v>
      </c>
      <c r="G21332" s="40" t="s">
        <v>11404</v>
      </c>
      <c r="H21332" s="40" t="s">
        <v>11404</v>
      </c>
    </row>
    <row r="21333">
      <c r="A21333" s="39"/>
      <c r="E21333" s="40" t="s">
        <v>11404</v>
      </c>
      <c r="F21333" s="40" t="s">
        <v>11404</v>
      </c>
      <c r="G21333" s="40" t="s">
        <v>11404</v>
      </c>
      <c r="H21333" s="40" t="s">
        <v>11404</v>
      </c>
    </row>
    <row r="21334">
      <c r="A21334" s="39"/>
      <c r="E21334" s="40" t="s">
        <v>11404</v>
      </c>
      <c r="F21334" s="40" t="s">
        <v>11404</v>
      </c>
      <c r="G21334" s="40" t="s">
        <v>11404</v>
      </c>
      <c r="H21334" s="40" t="s">
        <v>11404</v>
      </c>
    </row>
    <row r="21335">
      <c r="A21335" s="39"/>
      <c r="E21335" s="40" t="s">
        <v>11404</v>
      </c>
      <c r="F21335" s="40" t="s">
        <v>11404</v>
      </c>
      <c r="G21335" s="40" t="s">
        <v>11404</v>
      </c>
      <c r="H21335" s="40" t="s">
        <v>11404</v>
      </c>
    </row>
    <row r="21336">
      <c r="A21336" s="39"/>
      <c r="E21336" s="40" t="s">
        <v>11404</v>
      </c>
      <c r="F21336" s="40" t="s">
        <v>11404</v>
      </c>
      <c r="G21336" s="40" t="s">
        <v>11404</v>
      </c>
      <c r="H21336" s="40" t="s">
        <v>11404</v>
      </c>
    </row>
    <row r="21337">
      <c r="A21337" s="39"/>
      <c r="E21337" s="40" t="s">
        <v>11404</v>
      </c>
      <c r="F21337" s="40" t="s">
        <v>11404</v>
      </c>
      <c r="G21337" s="40" t="s">
        <v>11404</v>
      </c>
      <c r="H21337" s="40" t="s">
        <v>11404</v>
      </c>
    </row>
    <row r="21338">
      <c r="A21338" s="39"/>
      <c r="E21338" s="40" t="s">
        <v>11404</v>
      </c>
      <c r="F21338" s="40" t="s">
        <v>11404</v>
      </c>
      <c r="G21338" s="40" t="s">
        <v>11404</v>
      </c>
      <c r="H21338" s="40" t="s">
        <v>11404</v>
      </c>
    </row>
    <row r="21339">
      <c r="A21339" s="39"/>
      <c r="E21339" s="40" t="s">
        <v>11404</v>
      </c>
      <c r="F21339" s="40" t="s">
        <v>11404</v>
      </c>
      <c r="G21339" s="40" t="s">
        <v>11404</v>
      </c>
      <c r="H21339" s="40" t="s">
        <v>11404</v>
      </c>
    </row>
    <row r="21340">
      <c r="A21340" s="39"/>
      <c r="E21340" s="40" t="s">
        <v>11404</v>
      </c>
      <c r="F21340" s="40" t="s">
        <v>11404</v>
      </c>
      <c r="G21340" s="40" t="s">
        <v>11404</v>
      </c>
      <c r="H21340" s="40" t="s">
        <v>11404</v>
      </c>
    </row>
    <row r="21341">
      <c r="A21341" s="39"/>
      <c r="E21341" s="40" t="s">
        <v>11404</v>
      </c>
      <c r="F21341" s="40" t="s">
        <v>11404</v>
      </c>
      <c r="G21341" s="40" t="s">
        <v>11404</v>
      </c>
      <c r="H21341" s="40" t="s">
        <v>11404</v>
      </c>
    </row>
    <row r="21342">
      <c r="A21342" s="39"/>
      <c r="E21342" s="40" t="s">
        <v>11404</v>
      </c>
      <c r="F21342" s="40" t="s">
        <v>11404</v>
      </c>
      <c r="G21342" s="40" t="s">
        <v>11404</v>
      </c>
      <c r="H21342" s="40" t="s">
        <v>11404</v>
      </c>
    </row>
    <row r="21343">
      <c r="A21343" s="39"/>
      <c r="E21343" s="40" t="s">
        <v>11404</v>
      </c>
      <c r="F21343" s="40" t="s">
        <v>11404</v>
      </c>
      <c r="G21343" s="40" t="s">
        <v>11404</v>
      </c>
      <c r="H21343" s="40" t="s">
        <v>11404</v>
      </c>
    </row>
    <row r="21344">
      <c r="A21344" s="39"/>
      <c r="E21344" s="40" t="s">
        <v>11404</v>
      </c>
      <c r="F21344" s="40" t="s">
        <v>11404</v>
      </c>
      <c r="G21344" s="40" t="s">
        <v>11404</v>
      </c>
      <c r="H21344" s="40" t="s">
        <v>11404</v>
      </c>
    </row>
    <row r="21345">
      <c r="A21345" s="39"/>
      <c r="E21345" s="40" t="s">
        <v>11404</v>
      </c>
      <c r="F21345" s="40" t="s">
        <v>11404</v>
      </c>
      <c r="G21345" s="40" t="s">
        <v>11404</v>
      </c>
      <c r="H21345" s="40" t="s">
        <v>11404</v>
      </c>
    </row>
    <row r="21346">
      <c r="A21346" s="39"/>
      <c r="E21346" s="40" t="s">
        <v>11404</v>
      </c>
      <c r="F21346" s="40" t="s">
        <v>11404</v>
      </c>
      <c r="G21346" s="40" t="s">
        <v>11404</v>
      </c>
      <c r="H21346" s="40" t="s">
        <v>11404</v>
      </c>
    </row>
    <row r="21347">
      <c r="A21347" s="39"/>
      <c r="E21347" s="40" t="s">
        <v>11404</v>
      </c>
      <c r="F21347" s="40" t="s">
        <v>11404</v>
      </c>
      <c r="G21347" s="40" t="s">
        <v>11404</v>
      </c>
      <c r="H21347" s="40" t="s">
        <v>11404</v>
      </c>
    </row>
    <row r="21348">
      <c r="A21348" s="39"/>
      <c r="E21348" s="40" t="s">
        <v>11404</v>
      </c>
      <c r="F21348" s="40" t="s">
        <v>11404</v>
      </c>
      <c r="G21348" s="40" t="s">
        <v>11404</v>
      </c>
      <c r="H21348" s="40" t="s">
        <v>11404</v>
      </c>
    </row>
    <row r="21349">
      <c r="A21349" s="39"/>
      <c r="E21349" s="40" t="s">
        <v>11404</v>
      </c>
      <c r="F21349" s="40" t="s">
        <v>11404</v>
      </c>
      <c r="G21349" s="40" t="s">
        <v>11404</v>
      </c>
      <c r="H21349" s="40" t="s">
        <v>11404</v>
      </c>
    </row>
    <row r="21350">
      <c r="A21350" s="39"/>
      <c r="E21350" s="40" t="s">
        <v>11404</v>
      </c>
      <c r="F21350" s="40" t="s">
        <v>11404</v>
      </c>
      <c r="G21350" s="40" t="s">
        <v>11404</v>
      </c>
      <c r="H21350" s="40" t="s">
        <v>11404</v>
      </c>
    </row>
    <row r="21351">
      <c r="A21351" s="39"/>
      <c r="E21351" s="40" t="s">
        <v>11404</v>
      </c>
      <c r="F21351" s="40" t="s">
        <v>11404</v>
      </c>
      <c r="G21351" s="40" t="s">
        <v>11404</v>
      </c>
      <c r="H21351" s="40" t="s">
        <v>11404</v>
      </c>
    </row>
    <row r="21352">
      <c r="A21352" s="39"/>
      <c r="E21352" s="40" t="s">
        <v>11404</v>
      </c>
      <c r="F21352" s="40" t="s">
        <v>11404</v>
      </c>
      <c r="G21352" s="40" t="s">
        <v>11404</v>
      </c>
      <c r="H21352" s="40" t="s">
        <v>11404</v>
      </c>
    </row>
    <row r="21353">
      <c r="A21353" s="39"/>
      <c r="E21353" s="40" t="s">
        <v>11404</v>
      </c>
      <c r="F21353" s="40" t="s">
        <v>11404</v>
      </c>
      <c r="G21353" s="40" t="s">
        <v>11404</v>
      </c>
      <c r="H21353" s="40" t="s">
        <v>11404</v>
      </c>
    </row>
    <row r="21354">
      <c r="A21354" s="39"/>
      <c r="E21354" s="40" t="s">
        <v>11404</v>
      </c>
      <c r="F21354" s="40" t="s">
        <v>11404</v>
      </c>
      <c r="G21354" s="40" t="s">
        <v>11404</v>
      </c>
      <c r="H21354" s="40" t="s">
        <v>11404</v>
      </c>
    </row>
    <row r="21355">
      <c r="A21355" s="39"/>
      <c r="E21355" s="40" t="s">
        <v>11404</v>
      </c>
      <c r="F21355" s="40" t="s">
        <v>11404</v>
      </c>
      <c r="G21355" s="40" t="s">
        <v>11404</v>
      </c>
      <c r="H21355" s="40" t="s">
        <v>11404</v>
      </c>
    </row>
    <row r="21356">
      <c r="A21356" s="39"/>
      <c r="E21356" s="40" t="s">
        <v>11404</v>
      </c>
      <c r="F21356" s="40" t="s">
        <v>11404</v>
      </c>
      <c r="G21356" s="40" t="s">
        <v>11404</v>
      </c>
      <c r="H21356" s="40" t="s">
        <v>11404</v>
      </c>
    </row>
    <row r="21357">
      <c r="A21357" s="39"/>
      <c r="E21357" s="40" t="s">
        <v>11404</v>
      </c>
      <c r="F21357" s="40" t="s">
        <v>11404</v>
      </c>
      <c r="G21357" s="40" t="s">
        <v>11404</v>
      </c>
      <c r="H21357" s="40" t="s">
        <v>11404</v>
      </c>
    </row>
    <row r="21358">
      <c r="A21358" s="39"/>
      <c r="E21358" s="40" t="s">
        <v>11404</v>
      </c>
      <c r="F21358" s="40" t="s">
        <v>11404</v>
      </c>
      <c r="G21358" s="40" t="s">
        <v>11404</v>
      </c>
      <c r="H21358" s="40" t="s">
        <v>11404</v>
      </c>
    </row>
    <row r="21359">
      <c r="A21359" s="39"/>
      <c r="E21359" s="40" t="s">
        <v>11404</v>
      </c>
      <c r="F21359" s="40" t="s">
        <v>11404</v>
      </c>
      <c r="G21359" s="40" t="s">
        <v>11404</v>
      </c>
      <c r="H21359" s="40" t="s">
        <v>11404</v>
      </c>
    </row>
    <row r="21360">
      <c r="A21360" s="39"/>
      <c r="E21360" s="40" t="s">
        <v>11404</v>
      </c>
      <c r="F21360" s="40" t="s">
        <v>11404</v>
      </c>
      <c r="G21360" s="40" t="s">
        <v>11404</v>
      </c>
      <c r="H21360" s="40" t="s">
        <v>11404</v>
      </c>
    </row>
    <row r="21361">
      <c r="A21361" s="39"/>
      <c r="E21361" s="40" t="s">
        <v>11404</v>
      </c>
      <c r="F21361" s="40" t="s">
        <v>11404</v>
      </c>
      <c r="G21361" s="40" t="s">
        <v>11404</v>
      </c>
      <c r="H21361" s="40" t="s">
        <v>11404</v>
      </c>
    </row>
    <row r="21362">
      <c r="A21362" s="39"/>
      <c r="E21362" s="40" t="s">
        <v>11404</v>
      </c>
      <c r="F21362" s="40" t="s">
        <v>11404</v>
      </c>
      <c r="G21362" s="40" t="s">
        <v>11404</v>
      </c>
      <c r="H21362" s="40" t="s">
        <v>11404</v>
      </c>
    </row>
    <row r="21363">
      <c r="A21363" s="39"/>
      <c r="E21363" s="40" t="s">
        <v>11404</v>
      </c>
      <c r="F21363" s="40" t="s">
        <v>11404</v>
      </c>
      <c r="G21363" s="40" t="s">
        <v>11404</v>
      </c>
      <c r="H21363" s="40" t="s">
        <v>11404</v>
      </c>
    </row>
    <row r="21364">
      <c r="A21364" s="39"/>
      <c r="E21364" s="40" t="s">
        <v>11404</v>
      </c>
      <c r="F21364" s="40" t="s">
        <v>11404</v>
      </c>
      <c r="G21364" s="40" t="s">
        <v>11404</v>
      </c>
      <c r="H21364" s="40" t="s">
        <v>11404</v>
      </c>
    </row>
    <row r="21365">
      <c r="A21365" s="39"/>
      <c r="E21365" s="40" t="s">
        <v>11404</v>
      </c>
      <c r="F21365" s="40" t="s">
        <v>11404</v>
      </c>
      <c r="G21365" s="40" t="s">
        <v>11404</v>
      </c>
      <c r="H21365" s="40" t="s">
        <v>11404</v>
      </c>
    </row>
    <row r="21366">
      <c r="A21366" s="39"/>
      <c r="E21366" s="40" t="s">
        <v>11404</v>
      </c>
      <c r="F21366" s="40" t="s">
        <v>11404</v>
      </c>
      <c r="G21366" s="40" t="s">
        <v>11404</v>
      </c>
      <c r="H21366" s="40" t="s">
        <v>11404</v>
      </c>
    </row>
    <row r="21367">
      <c r="A21367" s="39"/>
      <c r="E21367" s="40" t="s">
        <v>11404</v>
      </c>
      <c r="F21367" s="40" t="s">
        <v>11404</v>
      </c>
      <c r="G21367" s="40" t="s">
        <v>11404</v>
      </c>
      <c r="H21367" s="40" t="s">
        <v>11404</v>
      </c>
    </row>
    <row r="21368">
      <c r="A21368" s="39"/>
      <c r="E21368" s="40" t="s">
        <v>11404</v>
      </c>
      <c r="F21368" s="40" t="s">
        <v>11404</v>
      </c>
      <c r="G21368" s="40" t="s">
        <v>11404</v>
      </c>
      <c r="H21368" s="40" t="s">
        <v>11404</v>
      </c>
    </row>
    <row r="21369">
      <c r="A21369" s="39"/>
      <c r="E21369" s="40" t="s">
        <v>11404</v>
      </c>
      <c r="F21369" s="40" t="s">
        <v>11404</v>
      </c>
      <c r="G21369" s="40" t="s">
        <v>11404</v>
      </c>
      <c r="H21369" s="40" t="s">
        <v>11404</v>
      </c>
    </row>
    <row r="21370">
      <c r="A21370" s="39"/>
      <c r="E21370" s="40" t="s">
        <v>11404</v>
      </c>
      <c r="F21370" s="40" t="s">
        <v>11404</v>
      </c>
      <c r="G21370" s="40" t="s">
        <v>11404</v>
      </c>
      <c r="H21370" s="40" t="s">
        <v>11404</v>
      </c>
    </row>
    <row r="21371">
      <c r="A21371" s="39"/>
      <c r="E21371" s="40" t="s">
        <v>11404</v>
      </c>
      <c r="F21371" s="40" t="s">
        <v>11404</v>
      </c>
      <c r="G21371" s="40" t="s">
        <v>11404</v>
      </c>
      <c r="H21371" s="40" t="s">
        <v>11404</v>
      </c>
    </row>
    <row r="21372">
      <c r="A21372" s="39"/>
      <c r="E21372" s="40" t="s">
        <v>11404</v>
      </c>
      <c r="F21372" s="40" t="s">
        <v>11404</v>
      </c>
      <c r="G21372" s="40" t="s">
        <v>11404</v>
      </c>
      <c r="H21372" s="40" t="s">
        <v>11404</v>
      </c>
    </row>
    <row r="21373">
      <c r="A21373" s="39"/>
      <c r="E21373" s="40" t="s">
        <v>11404</v>
      </c>
      <c r="F21373" s="40" t="s">
        <v>11404</v>
      </c>
      <c r="G21373" s="40" t="s">
        <v>11404</v>
      </c>
      <c r="H21373" s="40" t="s">
        <v>11404</v>
      </c>
    </row>
    <row r="21374">
      <c r="A21374" s="39"/>
      <c r="E21374" s="40" t="s">
        <v>11404</v>
      </c>
      <c r="F21374" s="40" t="s">
        <v>11404</v>
      </c>
      <c r="G21374" s="40" t="s">
        <v>11404</v>
      </c>
      <c r="H21374" s="40" t="s">
        <v>11404</v>
      </c>
    </row>
    <row r="21375">
      <c r="A21375" s="39"/>
      <c r="E21375" s="40" t="s">
        <v>11404</v>
      </c>
      <c r="F21375" s="40" t="s">
        <v>11404</v>
      </c>
      <c r="G21375" s="40" t="s">
        <v>11404</v>
      </c>
      <c r="H21375" s="40" t="s">
        <v>11404</v>
      </c>
    </row>
    <row r="21376">
      <c r="A21376" s="39"/>
      <c r="E21376" s="40" t="s">
        <v>11404</v>
      </c>
      <c r="F21376" s="40" t="s">
        <v>11404</v>
      </c>
      <c r="G21376" s="40" t="s">
        <v>11404</v>
      </c>
      <c r="H21376" s="40" t="s">
        <v>11404</v>
      </c>
    </row>
    <row r="21377">
      <c r="A21377" s="39"/>
      <c r="E21377" s="40" t="s">
        <v>11404</v>
      </c>
      <c r="F21377" s="40" t="s">
        <v>11404</v>
      </c>
      <c r="G21377" s="40" t="s">
        <v>11404</v>
      </c>
      <c r="H21377" s="40" t="s">
        <v>11404</v>
      </c>
    </row>
    <row r="21378">
      <c r="A21378" s="39"/>
      <c r="E21378" s="40" t="s">
        <v>11404</v>
      </c>
      <c r="F21378" s="40" t="s">
        <v>11404</v>
      </c>
      <c r="G21378" s="40" t="s">
        <v>11404</v>
      </c>
      <c r="H21378" s="40" t="s">
        <v>11404</v>
      </c>
    </row>
    <row r="21379">
      <c r="A21379" s="39"/>
      <c r="E21379" s="40" t="s">
        <v>11404</v>
      </c>
      <c r="F21379" s="40" t="s">
        <v>11404</v>
      </c>
      <c r="G21379" s="40" t="s">
        <v>11404</v>
      </c>
      <c r="H21379" s="40" t="s">
        <v>11404</v>
      </c>
    </row>
    <row r="21380">
      <c r="A21380" s="39"/>
      <c r="E21380" s="40" t="s">
        <v>11404</v>
      </c>
      <c r="F21380" s="40" t="s">
        <v>11404</v>
      </c>
      <c r="G21380" s="40" t="s">
        <v>11404</v>
      </c>
      <c r="H21380" s="40" t="s">
        <v>11404</v>
      </c>
    </row>
    <row r="21381">
      <c r="A21381" s="39"/>
      <c r="E21381" s="40" t="s">
        <v>11404</v>
      </c>
      <c r="F21381" s="40" t="s">
        <v>11404</v>
      </c>
      <c r="G21381" s="40" t="s">
        <v>11404</v>
      </c>
      <c r="H21381" s="40" t="s">
        <v>11404</v>
      </c>
    </row>
    <row r="21382">
      <c r="A21382" s="39"/>
      <c r="E21382" s="40" t="s">
        <v>11404</v>
      </c>
      <c r="F21382" s="40" t="s">
        <v>11404</v>
      </c>
      <c r="G21382" s="40" t="s">
        <v>11404</v>
      </c>
      <c r="H21382" s="40" t="s">
        <v>11404</v>
      </c>
    </row>
    <row r="21383">
      <c r="A21383" s="39"/>
      <c r="E21383" s="40" t="s">
        <v>11404</v>
      </c>
      <c r="F21383" s="40" t="s">
        <v>11404</v>
      </c>
      <c r="G21383" s="40" t="s">
        <v>11404</v>
      </c>
      <c r="H21383" s="40" t="s">
        <v>11404</v>
      </c>
    </row>
    <row r="21384">
      <c r="A21384" s="39"/>
      <c r="E21384" s="40" t="s">
        <v>11404</v>
      </c>
      <c r="F21384" s="40" t="s">
        <v>11404</v>
      </c>
      <c r="G21384" s="40" t="s">
        <v>11404</v>
      </c>
      <c r="H21384" s="40" t="s">
        <v>11404</v>
      </c>
    </row>
    <row r="21385">
      <c r="A21385" s="39"/>
      <c r="E21385" s="40" t="s">
        <v>11404</v>
      </c>
      <c r="F21385" s="40" t="s">
        <v>11404</v>
      </c>
      <c r="G21385" s="40" t="s">
        <v>11404</v>
      </c>
      <c r="H21385" s="40" t="s">
        <v>11404</v>
      </c>
    </row>
    <row r="21386">
      <c r="A21386" s="39"/>
      <c r="E21386" s="40" t="s">
        <v>11404</v>
      </c>
      <c r="F21386" s="40" t="s">
        <v>11404</v>
      </c>
      <c r="G21386" s="40" t="s">
        <v>11404</v>
      </c>
      <c r="H21386" s="40" t="s">
        <v>11404</v>
      </c>
    </row>
    <row r="21387">
      <c r="A21387" s="39"/>
      <c r="E21387" s="40" t="s">
        <v>11404</v>
      </c>
      <c r="F21387" s="40" t="s">
        <v>11404</v>
      </c>
      <c r="G21387" s="40" t="s">
        <v>11404</v>
      </c>
      <c r="H21387" s="40" t="s">
        <v>11404</v>
      </c>
    </row>
    <row r="21388">
      <c r="A21388" s="39"/>
      <c r="E21388" s="40" t="s">
        <v>11404</v>
      </c>
      <c r="F21388" s="40" t="s">
        <v>11404</v>
      </c>
      <c r="G21388" s="40" t="s">
        <v>11404</v>
      </c>
      <c r="H21388" s="40" t="s">
        <v>11404</v>
      </c>
    </row>
    <row r="21389">
      <c r="A21389" s="39"/>
      <c r="E21389" s="40" t="s">
        <v>11404</v>
      </c>
      <c r="F21389" s="40" t="s">
        <v>11404</v>
      </c>
      <c r="G21389" s="40" t="s">
        <v>11404</v>
      </c>
      <c r="H21389" s="40" t="s">
        <v>11404</v>
      </c>
    </row>
    <row r="21390">
      <c r="A21390" s="39"/>
      <c r="E21390" s="40" t="s">
        <v>11404</v>
      </c>
      <c r="F21390" s="40" t="s">
        <v>11404</v>
      </c>
      <c r="G21390" s="40" t="s">
        <v>11404</v>
      </c>
      <c r="H21390" s="40" t="s">
        <v>11404</v>
      </c>
    </row>
    <row r="21391">
      <c r="A21391" s="39"/>
      <c r="E21391" s="40" t="s">
        <v>11404</v>
      </c>
      <c r="F21391" s="40" t="s">
        <v>11404</v>
      </c>
      <c r="G21391" s="40" t="s">
        <v>11404</v>
      </c>
      <c r="H21391" s="40" t="s">
        <v>11404</v>
      </c>
    </row>
    <row r="21392">
      <c r="A21392" s="39"/>
      <c r="E21392" s="40" t="s">
        <v>11404</v>
      </c>
      <c r="F21392" s="40" t="s">
        <v>11404</v>
      </c>
      <c r="G21392" s="40" t="s">
        <v>11404</v>
      </c>
      <c r="H21392" s="40" t="s">
        <v>11404</v>
      </c>
    </row>
    <row r="21393">
      <c r="A21393" s="39"/>
      <c r="E21393" s="40" t="s">
        <v>11404</v>
      </c>
      <c r="F21393" s="40" t="s">
        <v>11404</v>
      </c>
      <c r="G21393" s="40" t="s">
        <v>11404</v>
      </c>
      <c r="H21393" s="40" t="s">
        <v>11404</v>
      </c>
    </row>
    <row r="21394">
      <c r="A21394" s="39"/>
      <c r="E21394" s="40" t="s">
        <v>11404</v>
      </c>
      <c r="F21394" s="40" t="s">
        <v>11404</v>
      </c>
      <c r="G21394" s="40" t="s">
        <v>11404</v>
      </c>
      <c r="H21394" s="40" t="s">
        <v>11404</v>
      </c>
    </row>
    <row r="21395">
      <c r="A21395" s="39"/>
      <c r="E21395" s="40" t="s">
        <v>11404</v>
      </c>
      <c r="F21395" s="40" t="s">
        <v>11404</v>
      </c>
      <c r="G21395" s="40" t="s">
        <v>11404</v>
      </c>
      <c r="H21395" s="40" t="s">
        <v>11404</v>
      </c>
    </row>
    <row r="21396">
      <c r="A21396" s="39"/>
      <c r="E21396" s="40" t="s">
        <v>11404</v>
      </c>
      <c r="F21396" s="40" t="s">
        <v>11404</v>
      </c>
      <c r="G21396" s="40" t="s">
        <v>11404</v>
      </c>
      <c r="H21396" s="40" t="s">
        <v>11404</v>
      </c>
    </row>
    <row r="21397">
      <c r="A21397" s="39"/>
      <c r="E21397" s="40" t="s">
        <v>11404</v>
      </c>
      <c r="F21397" s="40" t="s">
        <v>11404</v>
      </c>
      <c r="G21397" s="40" t="s">
        <v>11404</v>
      </c>
      <c r="H21397" s="40" t="s">
        <v>11404</v>
      </c>
    </row>
    <row r="21398">
      <c r="A21398" s="39"/>
      <c r="E21398" s="40" t="s">
        <v>11404</v>
      </c>
      <c r="F21398" s="40" t="s">
        <v>11404</v>
      </c>
      <c r="G21398" s="40" t="s">
        <v>11404</v>
      </c>
      <c r="H21398" s="40" t="s">
        <v>11404</v>
      </c>
    </row>
    <row r="21399">
      <c r="A21399" s="39"/>
      <c r="E21399" s="40" t="s">
        <v>11404</v>
      </c>
      <c r="F21399" s="40" t="s">
        <v>11404</v>
      </c>
      <c r="G21399" s="40" t="s">
        <v>11404</v>
      </c>
      <c r="H21399" s="40" t="s">
        <v>11404</v>
      </c>
    </row>
    <row r="21400">
      <c r="A21400" s="39"/>
      <c r="E21400" s="40" t="s">
        <v>11404</v>
      </c>
      <c r="F21400" s="40" t="s">
        <v>11404</v>
      </c>
      <c r="G21400" s="40" t="s">
        <v>11404</v>
      </c>
      <c r="H21400" s="40" t="s">
        <v>11404</v>
      </c>
    </row>
    <row r="21401">
      <c r="A21401" s="39"/>
      <c r="E21401" s="40" t="s">
        <v>11404</v>
      </c>
      <c r="F21401" s="40" t="s">
        <v>11404</v>
      </c>
      <c r="G21401" s="40" t="s">
        <v>11404</v>
      </c>
      <c r="H21401" s="40" t="s">
        <v>11404</v>
      </c>
    </row>
    <row r="21402">
      <c r="A21402" s="39"/>
      <c r="E21402" s="40" t="s">
        <v>11404</v>
      </c>
      <c r="F21402" s="40" t="s">
        <v>11404</v>
      </c>
      <c r="G21402" s="40" t="s">
        <v>11404</v>
      </c>
      <c r="H21402" s="40" t="s">
        <v>11404</v>
      </c>
    </row>
    <row r="21403">
      <c r="A21403" s="39"/>
      <c r="E21403" s="40" t="s">
        <v>11404</v>
      </c>
      <c r="F21403" s="40" t="s">
        <v>11404</v>
      </c>
      <c r="G21403" s="40" t="s">
        <v>11404</v>
      </c>
      <c r="H21403" s="40" t="s">
        <v>11404</v>
      </c>
    </row>
    <row r="21404">
      <c r="A21404" s="39"/>
      <c r="E21404" s="40" t="s">
        <v>11404</v>
      </c>
      <c r="F21404" s="40" t="s">
        <v>11404</v>
      </c>
      <c r="G21404" s="40" t="s">
        <v>11404</v>
      </c>
      <c r="H21404" s="40" t="s">
        <v>11404</v>
      </c>
    </row>
    <row r="21405">
      <c r="A21405" s="39"/>
      <c r="E21405" s="40" t="s">
        <v>11404</v>
      </c>
      <c r="F21405" s="40" t="s">
        <v>11404</v>
      </c>
      <c r="G21405" s="40" t="s">
        <v>11404</v>
      </c>
      <c r="H21405" s="40" t="s">
        <v>11404</v>
      </c>
    </row>
    <row r="21406">
      <c r="A21406" s="39"/>
      <c r="E21406" s="40" t="s">
        <v>11404</v>
      </c>
      <c r="F21406" s="40" t="s">
        <v>11404</v>
      </c>
      <c r="G21406" s="40" t="s">
        <v>11404</v>
      </c>
      <c r="H21406" s="40" t="s">
        <v>11404</v>
      </c>
    </row>
    <row r="21407">
      <c r="A21407" s="39"/>
      <c r="E21407" s="40" t="s">
        <v>11404</v>
      </c>
      <c r="F21407" s="40" t="s">
        <v>11404</v>
      </c>
      <c r="G21407" s="40" t="s">
        <v>11404</v>
      </c>
      <c r="H21407" s="40" t="s">
        <v>11404</v>
      </c>
    </row>
    <row r="21408">
      <c r="A21408" s="39"/>
      <c r="E21408" s="40" t="s">
        <v>11404</v>
      </c>
      <c r="F21408" s="40" t="s">
        <v>11404</v>
      </c>
      <c r="G21408" s="40" t="s">
        <v>11404</v>
      </c>
      <c r="H21408" s="40" t="s">
        <v>11404</v>
      </c>
    </row>
    <row r="21409">
      <c r="A21409" s="39"/>
      <c r="E21409" s="40" t="s">
        <v>11404</v>
      </c>
      <c r="F21409" s="40" t="s">
        <v>11404</v>
      </c>
      <c r="G21409" s="40" t="s">
        <v>11404</v>
      </c>
      <c r="H21409" s="40" t="s">
        <v>11404</v>
      </c>
    </row>
    <row r="21410">
      <c r="A21410" s="39"/>
      <c r="E21410" s="40" t="s">
        <v>11404</v>
      </c>
      <c r="F21410" s="40" t="s">
        <v>11404</v>
      </c>
      <c r="G21410" s="40" t="s">
        <v>11404</v>
      </c>
      <c r="H21410" s="40" t="s">
        <v>11404</v>
      </c>
    </row>
    <row r="21411">
      <c r="A21411" s="39"/>
      <c r="E21411" s="40" t="s">
        <v>11404</v>
      </c>
      <c r="F21411" s="40" t="s">
        <v>11404</v>
      </c>
      <c r="G21411" s="40" t="s">
        <v>11404</v>
      </c>
      <c r="H21411" s="40" t="s">
        <v>11404</v>
      </c>
    </row>
    <row r="21412">
      <c r="A21412" s="39"/>
      <c r="E21412" s="40" t="s">
        <v>11404</v>
      </c>
      <c r="F21412" s="40" t="s">
        <v>11404</v>
      </c>
      <c r="G21412" s="40" t="s">
        <v>11404</v>
      </c>
      <c r="H21412" s="40" t="s">
        <v>11404</v>
      </c>
    </row>
    <row r="21413">
      <c r="A21413" s="39"/>
      <c r="E21413" s="40" t="s">
        <v>11404</v>
      </c>
      <c r="F21413" s="40" t="s">
        <v>11404</v>
      </c>
      <c r="G21413" s="40" t="s">
        <v>11404</v>
      </c>
      <c r="H21413" s="40" t="s">
        <v>11404</v>
      </c>
    </row>
    <row r="21414">
      <c r="A21414" s="39"/>
      <c r="E21414" s="40" t="s">
        <v>11404</v>
      </c>
      <c r="F21414" s="40" t="s">
        <v>11404</v>
      </c>
      <c r="G21414" s="40" t="s">
        <v>11404</v>
      </c>
      <c r="H21414" s="40" t="s">
        <v>11404</v>
      </c>
    </row>
    <row r="21415">
      <c r="A21415" s="39"/>
      <c r="E21415" s="40" t="s">
        <v>11404</v>
      </c>
      <c r="F21415" s="40" t="s">
        <v>11404</v>
      </c>
      <c r="G21415" s="40" t="s">
        <v>11404</v>
      </c>
      <c r="H21415" s="40" t="s">
        <v>11404</v>
      </c>
    </row>
    <row r="21416">
      <c r="A21416" s="39"/>
      <c r="E21416" s="40" t="s">
        <v>11404</v>
      </c>
      <c r="F21416" s="40" t="s">
        <v>11404</v>
      </c>
      <c r="G21416" s="40" t="s">
        <v>11404</v>
      </c>
      <c r="H21416" s="40" t="s">
        <v>11404</v>
      </c>
    </row>
    <row r="21417">
      <c r="A21417" s="39"/>
      <c r="E21417" s="40" t="s">
        <v>11404</v>
      </c>
      <c r="F21417" s="40" t="s">
        <v>11404</v>
      </c>
      <c r="G21417" s="40" t="s">
        <v>11404</v>
      </c>
      <c r="H21417" s="40" t="s">
        <v>11404</v>
      </c>
    </row>
    <row r="21418">
      <c r="A21418" s="39"/>
      <c r="E21418" s="40" t="s">
        <v>11404</v>
      </c>
      <c r="F21418" s="40" t="s">
        <v>11404</v>
      </c>
      <c r="G21418" s="40" t="s">
        <v>11404</v>
      </c>
      <c r="H21418" s="40" t="s">
        <v>11404</v>
      </c>
    </row>
    <row r="21419">
      <c r="A21419" s="39"/>
      <c r="E21419" s="40" t="s">
        <v>11404</v>
      </c>
      <c r="F21419" s="40" t="s">
        <v>11404</v>
      </c>
      <c r="G21419" s="40" t="s">
        <v>11404</v>
      </c>
      <c r="H21419" s="40" t="s">
        <v>11404</v>
      </c>
    </row>
    <row r="21420">
      <c r="A21420" s="39"/>
      <c r="E21420" s="40" t="s">
        <v>11404</v>
      </c>
      <c r="F21420" s="40" t="s">
        <v>11404</v>
      </c>
      <c r="G21420" s="40" t="s">
        <v>11404</v>
      </c>
      <c r="H21420" s="40" t="s">
        <v>11404</v>
      </c>
    </row>
    <row r="21421">
      <c r="A21421" s="39"/>
      <c r="E21421" s="40" t="s">
        <v>11404</v>
      </c>
      <c r="F21421" s="40" t="s">
        <v>11404</v>
      </c>
      <c r="G21421" s="40" t="s">
        <v>11404</v>
      </c>
      <c r="H21421" s="40" t="s">
        <v>11404</v>
      </c>
    </row>
    <row r="21422">
      <c r="A21422" s="39"/>
      <c r="E21422" s="40" t="s">
        <v>11404</v>
      </c>
      <c r="F21422" s="40" t="s">
        <v>11404</v>
      </c>
      <c r="G21422" s="40" t="s">
        <v>11404</v>
      </c>
      <c r="H21422" s="40" t="s">
        <v>11404</v>
      </c>
    </row>
    <row r="21423">
      <c r="A21423" s="39"/>
      <c r="E21423" s="40" t="s">
        <v>11404</v>
      </c>
      <c r="F21423" s="40" t="s">
        <v>11404</v>
      </c>
      <c r="G21423" s="40" t="s">
        <v>11404</v>
      </c>
      <c r="H21423" s="40" t="s">
        <v>11404</v>
      </c>
    </row>
    <row r="21424">
      <c r="A21424" s="39"/>
      <c r="E21424" s="40" t="s">
        <v>11404</v>
      </c>
      <c r="F21424" s="40" t="s">
        <v>11404</v>
      </c>
      <c r="G21424" s="40" t="s">
        <v>11404</v>
      </c>
      <c r="H21424" s="40" t="s">
        <v>11404</v>
      </c>
    </row>
    <row r="21425">
      <c r="A21425" s="39"/>
      <c r="E21425" s="40" t="s">
        <v>11404</v>
      </c>
      <c r="F21425" s="40" t="s">
        <v>11404</v>
      </c>
      <c r="G21425" s="40" t="s">
        <v>11404</v>
      </c>
      <c r="H21425" s="40" t="s">
        <v>11404</v>
      </c>
    </row>
    <row r="21426">
      <c r="A21426" s="39"/>
      <c r="E21426" s="40" t="s">
        <v>11404</v>
      </c>
      <c r="F21426" s="40" t="s">
        <v>11404</v>
      </c>
      <c r="G21426" s="40" t="s">
        <v>11404</v>
      </c>
      <c r="H21426" s="40" t="s">
        <v>11404</v>
      </c>
    </row>
    <row r="21427">
      <c r="A21427" s="39"/>
      <c r="E21427" s="40" t="s">
        <v>11404</v>
      </c>
      <c r="F21427" s="40" t="s">
        <v>11404</v>
      </c>
      <c r="G21427" s="40" t="s">
        <v>11404</v>
      </c>
      <c r="H21427" s="40" t="s">
        <v>11404</v>
      </c>
    </row>
    <row r="21428">
      <c r="A21428" s="39"/>
      <c r="E21428" s="40" t="s">
        <v>11404</v>
      </c>
      <c r="F21428" s="40" t="s">
        <v>11404</v>
      </c>
      <c r="G21428" s="40" t="s">
        <v>11404</v>
      </c>
      <c r="H21428" s="40" t="s">
        <v>11404</v>
      </c>
    </row>
    <row r="21429">
      <c r="A21429" s="39"/>
      <c r="E21429" s="40" t="s">
        <v>11404</v>
      </c>
      <c r="F21429" s="40" t="s">
        <v>11404</v>
      </c>
      <c r="G21429" s="40" t="s">
        <v>11404</v>
      </c>
      <c r="H21429" s="40" t="s">
        <v>11404</v>
      </c>
    </row>
    <row r="21430">
      <c r="A21430" s="39"/>
      <c r="E21430" s="40" t="s">
        <v>11404</v>
      </c>
      <c r="F21430" s="40" t="s">
        <v>11404</v>
      </c>
      <c r="G21430" s="40" t="s">
        <v>11404</v>
      </c>
      <c r="H21430" s="40" t="s">
        <v>11404</v>
      </c>
    </row>
    <row r="21431">
      <c r="A21431" s="39"/>
      <c r="E21431" s="40" t="s">
        <v>11404</v>
      </c>
      <c r="F21431" s="40" t="s">
        <v>11404</v>
      </c>
      <c r="G21431" s="40" t="s">
        <v>11404</v>
      </c>
      <c r="H21431" s="40" t="s">
        <v>11404</v>
      </c>
    </row>
    <row r="21432">
      <c r="A21432" s="39"/>
      <c r="E21432" s="40" t="s">
        <v>11404</v>
      </c>
      <c r="F21432" s="40" t="s">
        <v>11404</v>
      </c>
      <c r="G21432" s="40" t="s">
        <v>11404</v>
      </c>
      <c r="H21432" s="40" t="s">
        <v>11404</v>
      </c>
    </row>
    <row r="21433">
      <c r="A21433" s="39"/>
      <c r="E21433" s="40" t="s">
        <v>11404</v>
      </c>
      <c r="F21433" s="40" t="s">
        <v>11404</v>
      </c>
      <c r="G21433" s="40" t="s">
        <v>11404</v>
      </c>
      <c r="H21433" s="40" t="s">
        <v>11404</v>
      </c>
    </row>
    <row r="21434">
      <c r="A21434" s="39"/>
      <c r="E21434" s="40" t="s">
        <v>11404</v>
      </c>
      <c r="F21434" s="40" t="s">
        <v>11404</v>
      </c>
      <c r="G21434" s="40" t="s">
        <v>11404</v>
      </c>
      <c r="H21434" s="40" t="s">
        <v>11404</v>
      </c>
    </row>
    <row r="21435">
      <c r="A21435" s="39"/>
      <c r="E21435" s="40" t="s">
        <v>11404</v>
      </c>
      <c r="F21435" s="40" t="s">
        <v>11404</v>
      </c>
      <c r="G21435" s="40" t="s">
        <v>11404</v>
      </c>
      <c r="H21435" s="40" t="s">
        <v>11404</v>
      </c>
    </row>
    <row r="21436">
      <c r="A21436" s="39"/>
      <c r="E21436" s="40" t="s">
        <v>11404</v>
      </c>
      <c r="F21436" s="40" t="s">
        <v>11404</v>
      </c>
      <c r="G21436" s="40" t="s">
        <v>11404</v>
      </c>
      <c r="H21436" s="40" t="s">
        <v>11404</v>
      </c>
    </row>
    <row r="21437">
      <c r="A21437" s="39"/>
      <c r="E21437" s="40" t="s">
        <v>11404</v>
      </c>
      <c r="F21437" s="40" t="s">
        <v>11404</v>
      </c>
      <c r="G21437" s="40" t="s">
        <v>11404</v>
      </c>
      <c r="H21437" s="40" t="s">
        <v>11404</v>
      </c>
    </row>
    <row r="21438">
      <c r="A21438" s="39"/>
      <c r="E21438" s="40" t="s">
        <v>11404</v>
      </c>
      <c r="F21438" s="40" t="s">
        <v>11404</v>
      </c>
      <c r="G21438" s="40" t="s">
        <v>11404</v>
      </c>
      <c r="H21438" s="40" t="s">
        <v>11404</v>
      </c>
    </row>
    <row r="21439">
      <c r="A21439" s="39"/>
      <c r="E21439" s="40" t="s">
        <v>11404</v>
      </c>
      <c r="F21439" s="40" t="s">
        <v>11404</v>
      </c>
      <c r="G21439" s="40" t="s">
        <v>11404</v>
      </c>
      <c r="H21439" s="40" t="s">
        <v>11404</v>
      </c>
    </row>
    <row r="21440">
      <c r="A21440" s="39"/>
      <c r="E21440" s="40" t="s">
        <v>11404</v>
      </c>
      <c r="F21440" s="40" t="s">
        <v>11404</v>
      </c>
      <c r="G21440" s="40" t="s">
        <v>11404</v>
      </c>
      <c r="H21440" s="40" t="s">
        <v>11404</v>
      </c>
    </row>
    <row r="21441">
      <c r="A21441" s="39"/>
      <c r="E21441" s="40" t="s">
        <v>11404</v>
      </c>
      <c r="F21441" s="40" t="s">
        <v>11404</v>
      </c>
      <c r="G21441" s="40" t="s">
        <v>11404</v>
      </c>
      <c r="H21441" s="40" t="s">
        <v>11404</v>
      </c>
    </row>
    <row r="21442">
      <c r="A21442" s="39"/>
      <c r="E21442" s="40" t="s">
        <v>11404</v>
      </c>
      <c r="F21442" s="40" t="s">
        <v>11404</v>
      </c>
      <c r="G21442" s="40" t="s">
        <v>11404</v>
      </c>
      <c r="H21442" s="40" t="s">
        <v>11404</v>
      </c>
    </row>
    <row r="21443">
      <c r="A21443" s="39"/>
      <c r="E21443" s="40" t="s">
        <v>11404</v>
      </c>
      <c r="F21443" s="40" t="s">
        <v>11404</v>
      </c>
      <c r="G21443" s="40" t="s">
        <v>11404</v>
      </c>
      <c r="H21443" s="40" t="s">
        <v>11404</v>
      </c>
    </row>
    <row r="21444">
      <c r="A21444" s="39"/>
      <c r="E21444" s="40" t="s">
        <v>11404</v>
      </c>
      <c r="F21444" s="40" t="s">
        <v>11404</v>
      </c>
      <c r="G21444" s="40" t="s">
        <v>11404</v>
      </c>
      <c r="H21444" s="40" t="s">
        <v>11404</v>
      </c>
    </row>
    <row r="21445">
      <c r="A21445" s="39"/>
      <c r="E21445" s="40" t="s">
        <v>11404</v>
      </c>
      <c r="F21445" s="40" t="s">
        <v>11404</v>
      </c>
      <c r="G21445" s="40" t="s">
        <v>11404</v>
      </c>
      <c r="H21445" s="40" t="s">
        <v>11404</v>
      </c>
    </row>
    <row r="21446">
      <c r="A21446" s="39"/>
      <c r="E21446" s="40" t="s">
        <v>11404</v>
      </c>
      <c r="F21446" s="40" t="s">
        <v>11404</v>
      </c>
      <c r="G21446" s="40" t="s">
        <v>11404</v>
      </c>
      <c r="H21446" s="40" t="s">
        <v>11404</v>
      </c>
    </row>
    <row r="21447">
      <c r="A21447" s="39"/>
      <c r="E21447" s="40" t="s">
        <v>11404</v>
      </c>
      <c r="F21447" s="40" t="s">
        <v>11404</v>
      </c>
      <c r="G21447" s="40" t="s">
        <v>11404</v>
      </c>
      <c r="H21447" s="40" t="s">
        <v>11404</v>
      </c>
    </row>
    <row r="21448">
      <c r="A21448" s="39"/>
      <c r="E21448" s="40" t="s">
        <v>11404</v>
      </c>
      <c r="F21448" s="40" t="s">
        <v>11404</v>
      </c>
      <c r="G21448" s="40" t="s">
        <v>11404</v>
      </c>
      <c r="H21448" s="40" t="s">
        <v>11404</v>
      </c>
    </row>
    <row r="21449">
      <c r="A21449" s="39"/>
      <c r="E21449" s="40" t="s">
        <v>11404</v>
      </c>
      <c r="F21449" s="40" t="s">
        <v>11404</v>
      </c>
      <c r="G21449" s="40" t="s">
        <v>11404</v>
      </c>
      <c r="H21449" s="40" t="s">
        <v>11404</v>
      </c>
    </row>
    <row r="21450">
      <c r="A21450" s="39"/>
      <c r="E21450" s="40" t="s">
        <v>11404</v>
      </c>
      <c r="F21450" s="40" t="s">
        <v>11404</v>
      </c>
      <c r="G21450" s="40" t="s">
        <v>11404</v>
      </c>
      <c r="H21450" s="40" t="s">
        <v>11404</v>
      </c>
    </row>
    <row r="21451">
      <c r="A21451" s="39"/>
      <c r="E21451" s="40" t="s">
        <v>11404</v>
      </c>
      <c r="F21451" s="40" t="s">
        <v>11404</v>
      </c>
      <c r="G21451" s="40" t="s">
        <v>11404</v>
      </c>
      <c r="H21451" s="40" t="s">
        <v>11404</v>
      </c>
    </row>
    <row r="21452">
      <c r="A21452" s="39"/>
      <c r="E21452" s="40" t="s">
        <v>11404</v>
      </c>
      <c r="F21452" s="40" t="s">
        <v>11404</v>
      </c>
      <c r="G21452" s="40" t="s">
        <v>11404</v>
      </c>
      <c r="H21452" s="40" t="s">
        <v>11404</v>
      </c>
    </row>
    <row r="21453">
      <c r="A21453" s="39"/>
      <c r="E21453" s="40" t="s">
        <v>11404</v>
      </c>
      <c r="F21453" s="40" t="s">
        <v>11404</v>
      </c>
      <c r="G21453" s="40" t="s">
        <v>11404</v>
      </c>
      <c r="H21453" s="40" t="s">
        <v>11404</v>
      </c>
    </row>
    <row r="21454">
      <c r="A21454" s="39"/>
      <c r="E21454" s="40" t="s">
        <v>11404</v>
      </c>
      <c r="F21454" s="40" t="s">
        <v>11404</v>
      </c>
      <c r="G21454" s="40" t="s">
        <v>11404</v>
      </c>
      <c r="H21454" s="40" t="s">
        <v>11404</v>
      </c>
    </row>
    <row r="21455">
      <c r="A21455" s="39"/>
      <c r="E21455" s="40" t="s">
        <v>11404</v>
      </c>
      <c r="F21455" s="40" t="s">
        <v>11404</v>
      </c>
      <c r="G21455" s="40" t="s">
        <v>11404</v>
      </c>
      <c r="H21455" s="40" t="s">
        <v>11404</v>
      </c>
    </row>
    <row r="21456">
      <c r="A21456" s="39"/>
      <c r="E21456" s="40" t="s">
        <v>11404</v>
      </c>
      <c r="F21456" s="40" t="s">
        <v>11404</v>
      </c>
      <c r="G21456" s="40" t="s">
        <v>11404</v>
      </c>
      <c r="H21456" s="40" t="s">
        <v>11404</v>
      </c>
    </row>
    <row r="21457">
      <c r="A21457" s="39"/>
      <c r="E21457" s="40" t="s">
        <v>11404</v>
      </c>
      <c r="F21457" s="40" t="s">
        <v>11404</v>
      </c>
      <c r="G21457" s="40" t="s">
        <v>11404</v>
      </c>
      <c r="H21457" s="40" t="s">
        <v>11404</v>
      </c>
    </row>
    <row r="21458">
      <c r="A21458" s="39"/>
      <c r="E21458" s="40" t="s">
        <v>11404</v>
      </c>
      <c r="F21458" s="40" t="s">
        <v>11404</v>
      </c>
      <c r="G21458" s="40" t="s">
        <v>11404</v>
      </c>
      <c r="H21458" s="40" t="s">
        <v>11404</v>
      </c>
    </row>
    <row r="21459">
      <c r="A21459" s="39"/>
      <c r="E21459" s="40" t="s">
        <v>11404</v>
      </c>
      <c r="F21459" s="40" t="s">
        <v>11404</v>
      </c>
      <c r="G21459" s="40" t="s">
        <v>11404</v>
      </c>
      <c r="H21459" s="40" t="s">
        <v>11404</v>
      </c>
    </row>
    <row r="21460">
      <c r="A21460" s="39"/>
      <c r="E21460" s="40" t="s">
        <v>11404</v>
      </c>
      <c r="F21460" s="40" t="s">
        <v>11404</v>
      </c>
      <c r="G21460" s="40" t="s">
        <v>11404</v>
      </c>
      <c r="H21460" s="40" t="s">
        <v>11404</v>
      </c>
    </row>
    <row r="21461">
      <c r="A21461" s="39"/>
      <c r="E21461" s="40" t="s">
        <v>11404</v>
      </c>
      <c r="F21461" s="40" t="s">
        <v>11404</v>
      </c>
      <c r="G21461" s="40" t="s">
        <v>11404</v>
      </c>
      <c r="H21461" s="40" t="s">
        <v>11404</v>
      </c>
    </row>
    <row r="21462">
      <c r="A21462" s="39"/>
      <c r="E21462" s="40" t="s">
        <v>11404</v>
      </c>
      <c r="F21462" s="40" t="s">
        <v>11404</v>
      </c>
      <c r="G21462" s="40" t="s">
        <v>11404</v>
      </c>
      <c r="H21462" s="40" t="s">
        <v>11404</v>
      </c>
    </row>
    <row r="21463">
      <c r="A21463" s="39"/>
      <c r="E21463" s="40" t="s">
        <v>11404</v>
      </c>
      <c r="F21463" s="40" t="s">
        <v>11404</v>
      </c>
      <c r="G21463" s="40" t="s">
        <v>11404</v>
      </c>
      <c r="H21463" s="40" t="s">
        <v>11404</v>
      </c>
    </row>
    <row r="21464">
      <c r="A21464" s="39"/>
      <c r="E21464" s="40" t="s">
        <v>11404</v>
      </c>
      <c r="F21464" s="40" t="s">
        <v>11404</v>
      </c>
      <c r="G21464" s="40" t="s">
        <v>11404</v>
      </c>
      <c r="H21464" s="40" t="s">
        <v>11404</v>
      </c>
    </row>
    <row r="21465">
      <c r="A21465" s="39"/>
      <c r="E21465" s="40" t="s">
        <v>11404</v>
      </c>
      <c r="F21465" s="40" t="s">
        <v>11404</v>
      </c>
      <c r="G21465" s="40" t="s">
        <v>11404</v>
      </c>
      <c r="H21465" s="40" t="s">
        <v>11404</v>
      </c>
    </row>
    <row r="21466">
      <c r="A21466" s="39"/>
      <c r="E21466" s="40" t="s">
        <v>11404</v>
      </c>
      <c r="F21466" s="40" t="s">
        <v>11404</v>
      </c>
      <c r="G21466" s="40" t="s">
        <v>11404</v>
      </c>
      <c r="H21466" s="40" t="s">
        <v>11404</v>
      </c>
    </row>
    <row r="21467">
      <c r="A21467" s="39"/>
      <c r="E21467" s="40" t="s">
        <v>11404</v>
      </c>
      <c r="F21467" s="40" t="s">
        <v>11404</v>
      </c>
      <c r="G21467" s="40" t="s">
        <v>11404</v>
      </c>
      <c r="H21467" s="40" t="s">
        <v>11404</v>
      </c>
    </row>
    <row r="21468">
      <c r="A21468" s="39"/>
      <c r="E21468" s="40" t="s">
        <v>11404</v>
      </c>
      <c r="F21468" s="40" t="s">
        <v>11404</v>
      </c>
      <c r="G21468" s="40" t="s">
        <v>11404</v>
      </c>
      <c r="H21468" s="40" t="s">
        <v>11404</v>
      </c>
    </row>
    <row r="21469">
      <c r="A21469" s="39"/>
      <c r="E21469" s="40" t="s">
        <v>11404</v>
      </c>
      <c r="F21469" s="40" t="s">
        <v>11404</v>
      </c>
      <c r="G21469" s="40" t="s">
        <v>11404</v>
      </c>
      <c r="H21469" s="40" t="s">
        <v>11404</v>
      </c>
    </row>
    <row r="21470">
      <c r="A21470" s="39"/>
      <c r="E21470" s="40" t="s">
        <v>11404</v>
      </c>
      <c r="F21470" s="40" t="s">
        <v>11404</v>
      </c>
      <c r="G21470" s="40" t="s">
        <v>11404</v>
      </c>
      <c r="H21470" s="40" t="s">
        <v>11404</v>
      </c>
    </row>
    <row r="21471">
      <c r="A21471" s="39"/>
      <c r="E21471" s="40" t="s">
        <v>11404</v>
      </c>
      <c r="F21471" s="40" t="s">
        <v>11404</v>
      </c>
      <c r="G21471" s="40" t="s">
        <v>11404</v>
      </c>
      <c r="H21471" s="40" t="s">
        <v>11404</v>
      </c>
    </row>
    <row r="21472">
      <c r="A21472" s="39"/>
      <c r="E21472" s="40" t="s">
        <v>11404</v>
      </c>
      <c r="F21472" s="40" t="s">
        <v>11404</v>
      </c>
      <c r="G21472" s="40" t="s">
        <v>11404</v>
      </c>
      <c r="H21472" s="40" t="s">
        <v>11404</v>
      </c>
    </row>
    <row r="21473">
      <c r="A21473" s="39"/>
      <c r="E21473" s="40" t="s">
        <v>11404</v>
      </c>
      <c r="F21473" s="40" t="s">
        <v>11404</v>
      </c>
      <c r="G21473" s="40" t="s">
        <v>11404</v>
      </c>
      <c r="H21473" s="40" t="s">
        <v>11404</v>
      </c>
    </row>
    <row r="21474">
      <c r="A21474" s="39"/>
      <c r="E21474" s="40" t="s">
        <v>11404</v>
      </c>
      <c r="F21474" s="40" t="s">
        <v>11404</v>
      </c>
      <c r="G21474" s="40" t="s">
        <v>11404</v>
      </c>
      <c r="H21474" s="40" t="s">
        <v>11404</v>
      </c>
    </row>
    <row r="21475">
      <c r="A21475" s="39"/>
      <c r="E21475" s="40" t="s">
        <v>11404</v>
      </c>
      <c r="F21475" s="40" t="s">
        <v>11404</v>
      </c>
      <c r="G21475" s="40" t="s">
        <v>11404</v>
      </c>
      <c r="H21475" s="40" t="s">
        <v>11404</v>
      </c>
    </row>
    <row r="21476">
      <c r="A21476" s="39"/>
      <c r="E21476" s="40" t="s">
        <v>11404</v>
      </c>
      <c r="F21476" s="40" t="s">
        <v>11404</v>
      </c>
      <c r="G21476" s="40" t="s">
        <v>11404</v>
      </c>
      <c r="H21476" s="40" t="s">
        <v>11404</v>
      </c>
    </row>
    <row r="21477">
      <c r="A21477" s="39"/>
      <c r="E21477" s="40" t="s">
        <v>11404</v>
      </c>
      <c r="F21477" s="40" t="s">
        <v>11404</v>
      </c>
      <c r="G21477" s="40" t="s">
        <v>11404</v>
      </c>
      <c r="H21477" s="40" t="s">
        <v>11404</v>
      </c>
    </row>
    <row r="21478">
      <c r="A21478" s="39"/>
      <c r="E21478" s="40" t="s">
        <v>11404</v>
      </c>
      <c r="F21478" s="40" t="s">
        <v>11404</v>
      </c>
      <c r="G21478" s="40" t="s">
        <v>11404</v>
      </c>
      <c r="H21478" s="40" t="s">
        <v>11404</v>
      </c>
    </row>
    <row r="21479">
      <c r="A21479" s="39"/>
      <c r="E21479" s="40" t="s">
        <v>11404</v>
      </c>
      <c r="F21479" s="40" t="s">
        <v>11404</v>
      </c>
      <c r="G21479" s="40" t="s">
        <v>11404</v>
      </c>
      <c r="H21479" s="40" t="s">
        <v>11404</v>
      </c>
    </row>
    <row r="21480">
      <c r="A21480" s="39"/>
      <c r="E21480" s="40" t="s">
        <v>11404</v>
      </c>
      <c r="F21480" s="40" t="s">
        <v>11404</v>
      </c>
      <c r="G21480" s="40" t="s">
        <v>11404</v>
      </c>
      <c r="H21480" s="40" t="s">
        <v>11404</v>
      </c>
    </row>
    <row r="21481">
      <c r="A21481" s="39"/>
      <c r="E21481" s="40" t="s">
        <v>11404</v>
      </c>
      <c r="F21481" s="40" t="s">
        <v>11404</v>
      </c>
      <c r="G21481" s="40" t="s">
        <v>11404</v>
      </c>
      <c r="H21481" s="40" t="s">
        <v>11404</v>
      </c>
    </row>
    <row r="21482">
      <c r="A21482" s="39"/>
      <c r="E21482" s="40" t="s">
        <v>11404</v>
      </c>
      <c r="F21482" s="40" t="s">
        <v>11404</v>
      </c>
      <c r="G21482" s="40" t="s">
        <v>11404</v>
      </c>
      <c r="H21482" s="40" t="s">
        <v>11404</v>
      </c>
    </row>
    <row r="21483">
      <c r="A21483" s="39"/>
      <c r="E21483" s="40" t="s">
        <v>11404</v>
      </c>
      <c r="F21483" s="40" t="s">
        <v>11404</v>
      </c>
      <c r="G21483" s="40" t="s">
        <v>11404</v>
      </c>
      <c r="H21483" s="40" t="s">
        <v>11404</v>
      </c>
    </row>
    <row r="21484">
      <c r="A21484" s="39"/>
      <c r="E21484" s="40" t="s">
        <v>11404</v>
      </c>
      <c r="F21484" s="40" t="s">
        <v>11404</v>
      </c>
      <c r="G21484" s="40" t="s">
        <v>11404</v>
      </c>
      <c r="H21484" s="40" t="s">
        <v>11404</v>
      </c>
    </row>
    <row r="21485">
      <c r="A21485" s="39"/>
      <c r="E21485" s="40" t="s">
        <v>11404</v>
      </c>
      <c r="F21485" s="40" t="s">
        <v>11404</v>
      </c>
      <c r="G21485" s="40" t="s">
        <v>11404</v>
      </c>
      <c r="H21485" s="40" t="s">
        <v>11404</v>
      </c>
    </row>
    <row r="21486">
      <c r="A21486" s="39"/>
      <c r="E21486" s="40" t="s">
        <v>11404</v>
      </c>
      <c r="F21486" s="40" t="s">
        <v>11404</v>
      </c>
      <c r="G21486" s="40" t="s">
        <v>11404</v>
      </c>
      <c r="H21486" s="40" t="s">
        <v>11404</v>
      </c>
    </row>
    <row r="21487">
      <c r="A21487" s="39"/>
      <c r="E21487" s="40" t="s">
        <v>11404</v>
      </c>
      <c r="F21487" s="40" t="s">
        <v>11404</v>
      </c>
      <c r="G21487" s="40" t="s">
        <v>11404</v>
      </c>
      <c r="H21487" s="40" t="s">
        <v>11404</v>
      </c>
    </row>
    <row r="21488">
      <c r="A21488" s="39"/>
      <c r="E21488" s="40" t="s">
        <v>11404</v>
      </c>
      <c r="F21488" s="40" t="s">
        <v>11404</v>
      </c>
      <c r="G21488" s="40" t="s">
        <v>11404</v>
      </c>
      <c r="H21488" s="40" t="s">
        <v>11404</v>
      </c>
    </row>
    <row r="21489">
      <c r="A21489" s="39"/>
      <c r="E21489" s="40" t="s">
        <v>11404</v>
      </c>
      <c r="F21489" s="40" t="s">
        <v>11404</v>
      </c>
      <c r="G21489" s="40" t="s">
        <v>11404</v>
      </c>
      <c r="H21489" s="40" t="s">
        <v>11404</v>
      </c>
    </row>
    <row r="21490">
      <c r="A21490" s="39"/>
      <c r="E21490" s="40" t="s">
        <v>11404</v>
      </c>
      <c r="F21490" s="40" t="s">
        <v>11404</v>
      </c>
      <c r="G21490" s="40" t="s">
        <v>11404</v>
      </c>
      <c r="H21490" s="40" t="s">
        <v>11404</v>
      </c>
    </row>
    <row r="21491">
      <c r="A21491" s="39"/>
      <c r="E21491" s="40" t="s">
        <v>11404</v>
      </c>
      <c r="F21491" s="40" t="s">
        <v>11404</v>
      </c>
      <c r="G21491" s="40" t="s">
        <v>11404</v>
      </c>
      <c r="H21491" s="40" t="s">
        <v>11404</v>
      </c>
    </row>
    <row r="21492">
      <c r="A21492" s="39"/>
      <c r="E21492" s="40" t="s">
        <v>11404</v>
      </c>
      <c r="F21492" s="40" t="s">
        <v>11404</v>
      </c>
      <c r="G21492" s="40" t="s">
        <v>11404</v>
      </c>
      <c r="H21492" s="40" t="s">
        <v>11404</v>
      </c>
    </row>
    <row r="21493">
      <c r="A21493" s="39"/>
      <c r="E21493" s="40" t="s">
        <v>11404</v>
      </c>
      <c r="F21493" s="40" t="s">
        <v>11404</v>
      </c>
      <c r="G21493" s="40" t="s">
        <v>11404</v>
      </c>
      <c r="H21493" s="40" t="s">
        <v>11404</v>
      </c>
    </row>
    <row r="21494">
      <c r="A21494" s="39"/>
      <c r="E21494" s="40" t="s">
        <v>11404</v>
      </c>
      <c r="F21494" s="40" t="s">
        <v>11404</v>
      </c>
      <c r="G21494" s="40" t="s">
        <v>11404</v>
      </c>
      <c r="H21494" s="40" t="s">
        <v>11404</v>
      </c>
    </row>
    <row r="21495">
      <c r="A21495" s="39"/>
      <c r="E21495" s="40" t="s">
        <v>11404</v>
      </c>
      <c r="F21495" s="40" t="s">
        <v>11404</v>
      </c>
      <c r="G21495" s="40" t="s">
        <v>11404</v>
      </c>
      <c r="H21495" s="40" t="s">
        <v>11404</v>
      </c>
    </row>
    <row r="21496">
      <c r="A21496" s="39"/>
      <c r="E21496" s="40" t="s">
        <v>11404</v>
      </c>
      <c r="F21496" s="40" t="s">
        <v>11404</v>
      </c>
      <c r="G21496" s="40" t="s">
        <v>11404</v>
      </c>
      <c r="H21496" s="40" t="s">
        <v>11404</v>
      </c>
    </row>
    <row r="21497">
      <c r="A21497" s="39"/>
      <c r="E21497" s="40" t="s">
        <v>11404</v>
      </c>
      <c r="F21497" s="40" t="s">
        <v>11404</v>
      </c>
      <c r="G21497" s="40" t="s">
        <v>11404</v>
      </c>
      <c r="H21497" s="40" t="s">
        <v>11404</v>
      </c>
    </row>
    <row r="21498">
      <c r="A21498" s="39"/>
      <c r="E21498" s="40" t="s">
        <v>11404</v>
      </c>
      <c r="F21498" s="40" t="s">
        <v>11404</v>
      </c>
      <c r="G21498" s="40" t="s">
        <v>11404</v>
      </c>
      <c r="H21498" s="40" t="s">
        <v>11404</v>
      </c>
    </row>
    <row r="21499">
      <c r="A21499" s="39"/>
      <c r="E21499" s="40" t="s">
        <v>11404</v>
      </c>
      <c r="F21499" s="40" t="s">
        <v>11404</v>
      </c>
      <c r="G21499" s="40" t="s">
        <v>11404</v>
      </c>
      <c r="H21499" s="40" t="s">
        <v>11404</v>
      </c>
    </row>
    <row r="21500">
      <c r="A21500" s="39"/>
      <c r="E21500" s="40" t="s">
        <v>11404</v>
      </c>
      <c r="F21500" s="40" t="s">
        <v>11404</v>
      </c>
      <c r="G21500" s="40" t="s">
        <v>11404</v>
      </c>
      <c r="H21500" s="40" t="s">
        <v>11404</v>
      </c>
    </row>
    <row r="21501">
      <c r="A21501" s="39"/>
      <c r="E21501" s="40" t="s">
        <v>11404</v>
      </c>
      <c r="F21501" s="40" t="s">
        <v>11404</v>
      </c>
      <c r="G21501" s="40" t="s">
        <v>11404</v>
      </c>
      <c r="H21501" s="40" t="s">
        <v>11404</v>
      </c>
    </row>
    <row r="21502">
      <c r="A21502" s="39"/>
      <c r="E21502" s="40" t="s">
        <v>11404</v>
      </c>
      <c r="F21502" s="40" t="s">
        <v>11404</v>
      </c>
      <c r="G21502" s="40" t="s">
        <v>11404</v>
      </c>
      <c r="H21502" s="40" t="s">
        <v>11404</v>
      </c>
    </row>
    <row r="21503">
      <c r="A21503" s="39"/>
      <c r="E21503" s="40" t="s">
        <v>11404</v>
      </c>
      <c r="F21503" s="40" t="s">
        <v>11404</v>
      </c>
      <c r="G21503" s="40" t="s">
        <v>11404</v>
      </c>
      <c r="H21503" s="40" t="s">
        <v>11404</v>
      </c>
    </row>
    <row r="21504">
      <c r="A21504" s="39"/>
      <c r="E21504" s="40" t="s">
        <v>11404</v>
      </c>
      <c r="F21504" s="40" t="s">
        <v>11404</v>
      </c>
      <c r="G21504" s="40" t="s">
        <v>11404</v>
      </c>
      <c r="H21504" s="40" t="s">
        <v>11404</v>
      </c>
    </row>
    <row r="21505">
      <c r="A21505" s="39"/>
      <c r="E21505" s="40" t="s">
        <v>11404</v>
      </c>
      <c r="F21505" s="40" t="s">
        <v>11404</v>
      </c>
      <c r="G21505" s="40" t="s">
        <v>11404</v>
      </c>
      <c r="H21505" s="40" t="s">
        <v>11404</v>
      </c>
    </row>
    <row r="21506">
      <c r="A21506" s="39"/>
      <c r="E21506" s="40" t="s">
        <v>11404</v>
      </c>
      <c r="F21506" s="40" t="s">
        <v>11404</v>
      </c>
      <c r="G21506" s="40" t="s">
        <v>11404</v>
      </c>
      <c r="H21506" s="40" t="s">
        <v>11404</v>
      </c>
    </row>
    <row r="21507">
      <c r="A21507" s="39"/>
      <c r="E21507" s="40" t="s">
        <v>11404</v>
      </c>
      <c r="F21507" s="40" t="s">
        <v>11404</v>
      </c>
      <c r="G21507" s="40" t="s">
        <v>11404</v>
      </c>
      <c r="H21507" s="40" t="s">
        <v>11404</v>
      </c>
    </row>
    <row r="21508">
      <c r="A21508" s="39"/>
      <c r="E21508" s="40" t="s">
        <v>11404</v>
      </c>
      <c r="F21508" s="40" t="s">
        <v>11404</v>
      </c>
      <c r="G21508" s="40" t="s">
        <v>11404</v>
      </c>
      <c r="H21508" s="40" t="s">
        <v>11404</v>
      </c>
    </row>
    <row r="21509">
      <c r="A21509" s="39"/>
      <c r="E21509" s="40" t="s">
        <v>11404</v>
      </c>
      <c r="F21509" s="40" t="s">
        <v>11404</v>
      </c>
      <c r="G21509" s="40" t="s">
        <v>11404</v>
      </c>
      <c r="H21509" s="40" t="s">
        <v>11404</v>
      </c>
    </row>
    <row r="21510">
      <c r="A21510" s="39"/>
      <c r="E21510" s="40" t="s">
        <v>11404</v>
      </c>
      <c r="F21510" s="40" t="s">
        <v>11404</v>
      </c>
      <c r="G21510" s="40" t="s">
        <v>11404</v>
      </c>
      <c r="H21510" s="40" t="s">
        <v>11404</v>
      </c>
    </row>
    <row r="21511">
      <c r="A21511" s="39"/>
      <c r="E21511" s="40" t="s">
        <v>11404</v>
      </c>
      <c r="F21511" s="40" t="s">
        <v>11404</v>
      </c>
      <c r="G21511" s="40" t="s">
        <v>11404</v>
      </c>
      <c r="H21511" s="40" t="s">
        <v>11404</v>
      </c>
    </row>
    <row r="21512">
      <c r="A21512" s="39"/>
      <c r="E21512" s="40" t="s">
        <v>11404</v>
      </c>
      <c r="F21512" s="40" t="s">
        <v>11404</v>
      </c>
      <c r="G21512" s="40" t="s">
        <v>11404</v>
      </c>
      <c r="H21512" s="40" t="s">
        <v>11404</v>
      </c>
    </row>
    <row r="21513">
      <c r="A21513" s="39"/>
      <c r="E21513" s="40" t="s">
        <v>11404</v>
      </c>
      <c r="F21513" s="40" t="s">
        <v>11404</v>
      </c>
      <c r="G21513" s="40" t="s">
        <v>11404</v>
      </c>
      <c r="H21513" s="40" t="s">
        <v>11404</v>
      </c>
    </row>
    <row r="21514">
      <c r="A21514" s="39"/>
      <c r="E21514" s="40" t="s">
        <v>11404</v>
      </c>
      <c r="F21514" s="40" t="s">
        <v>11404</v>
      </c>
      <c r="G21514" s="40" t="s">
        <v>11404</v>
      </c>
      <c r="H21514" s="40" t="s">
        <v>11404</v>
      </c>
    </row>
    <row r="21515">
      <c r="A21515" s="39"/>
      <c r="E21515" s="40" t="s">
        <v>11404</v>
      </c>
      <c r="F21515" s="40" t="s">
        <v>11404</v>
      </c>
      <c r="G21515" s="40" t="s">
        <v>11404</v>
      </c>
      <c r="H21515" s="40" t="s">
        <v>11404</v>
      </c>
    </row>
    <row r="21516">
      <c r="A21516" s="39"/>
      <c r="E21516" s="40" t="s">
        <v>11404</v>
      </c>
      <c r="F21516" s="40" t="s">
        <v>11404</v>
      </c>
      <c r="G21516" s="40" t="s">
        <v>11404</v>
      </c>
      <c r="H21516" s="40" t="s">
        <v>11404</v>
      </c>
    </row>
    <row r="21517">
      <c r="A21517" s="39"/>
      <c r="E21517" s="40" t="s">
        <v>11404</v>
      </c>
      <c r="F21517" s="40" t="s">
        <v>11404</v>
      </c>
      <c r="G21517" s="40" t="s">
        <v>11404</v>
      </c>
      <c r="H21517" s="40" t="s">
        <v>11404</v>
      </c>
    </row>
    <row r="21518">
      <c r="A21518" s="39"/>
      <c r="E21518" s="40" t="s">
        <v>11404</v>
      </c>
      <c r="F21518" s="40" t="s">
        <v>11404</v>
      </c>
      <c r="G21518" s="40" t="s">
        <v>11404</v>
      </c>
      <c r="H21518" s="40" t="s">
        <v>11404</v>
      </c>
    </row>
    <row r="21519">
      <c r="A21519" s="39"/>
      <c r="E21519" s="40" t="s">
        <v>11404</v>
      </c>
      <c r="F21519" s="40" t="s">
        <v>11404</v>
      </c>
      <c r="G21519" s="40" t="s">
        <v>11404</v>
      </c>
      <c r="H21519" s="40" t="s">
        <v>11404</v>
      </c>
    </row>
    <row r="21520">
      <c r="A21520" s="39"/>
      <c r="E21520" s="40" t="s">
        <v>11404</v>
      </c>
      <c r="F21520" s="40" t="s">
        <v>11404</v>
      </c>
      <c r="G21520" s="40" t="s">
        <v>11404</v>
      </c>
      <c r="H21520" s="40" t="s">
        <v>11404</v>
      </c>
    </row>
    <row r="21521">
      <c r="A21521" s="39"/>
      <c r="E21521" s="40" t="s">
        <v>11404</v>
      </c>
      <c r="F21521" s="40" t="s">
        <v>11404</v>
      </c>
      <c r="G21521" s="40" t="s">
        <v>11404</v>
      </c>
      <c r="H21521" s="40" t="s">
        <v>11404</v>
      </c>
    </row>
    <row r="21522">
      <c r="A21522" s="39"/>
      <c r="E21522" s="40" t="s">
        <v>11404</v>
      </c>
      <c r="F21522" s="40" t="s">
        <v>11404</v>
      </c>
      <c r="G21522" s="40" t="s">
        <v>11404</v>
      </c>
      <c r="H21522" s="40" t="s">
        <v>11404</v>
      </c>
    </row>
    <row r="21523">
      <c r="A21523" s="39"/>
      <c r="E21523" s="40" t="s">
        <v>11404</v>
      </c>
      <c r="F21523" s="40" t="s">
        <v>11404</v>
      </c>
      <c r="G21523" s="40" t="s">
        <v>11404</v>
      </c>
      <c r="H21523" s="40" t="s">
        <v>11404</v>
      </c>
    </row>
    <row r="21524">
      <c r="A21524" s="39"/>
      <c r="E21524" s="40" t="s">
        <v>11404</v>
      </c>
      <c r="F21524" s="40" t="s">
        <v>11404</v>
      </c>
      <c r="G21524" s="40" t="s">
        <v>11404</v>
      </c>
      <c r="H21524" s="40" t="s">
        <v>11404</v>
      </c>
    </row>
    <row r="21525">
      <c r="A21525" s="39"/>
      <c r="E21525" s="40" t="s">
        <v>11404</v>
      </c>
      <c r="F21525" s="40" t="s">
        <v>11404</v>
      </c>
      <c r="G21525" s="40" t="s">
        <v>11404</v>
      </c>
      <c r="H21525" s="40" t="s">
        <v>11404</v>
      </c>
    </row>
    <row r="21526">
      <c r="A21526" s="39"/>
      <c r="E21526" s="40" t="s">
        <v>11404</v>
      </c>
      <c r="F21526" s="40" t="s">
        <v>11404</v>
      </c>
      <c r="G21526" s="40" t="s">
        <v>11404</v>
      </c>
      <c r="H21526" s="40" t="s">
        <v>11404</v>
      </c>
    </row>
    <row r="21527">
      <c r="A21527" s="39"/>
      <c r="E21527" s="40" t="s">
        <v>11404</v>
      </c>
      <c r="F21527" s="40" t="s">
        <v>11404</v>
      </c>
      <c r="G21527" s="40" t="s">
        <v>11404</v>
      </c>
      <c r="H21527" s="40" t="s">
        <v>11404</v>
      </c>
    </row>
    <row r="21528">
      <c r="A21528" s="39"/>
      <c r="E21528" s="40" t="s">
        <v>11404</v>
      </c>
      <c r="F21528" s="40" t="s">
        <v>11404</v>
      </c>
      <c r="G21528" s="40" t="s">
        <v>11404</v>
      </c>
      <c r="H21528" s="40" t="s">
        <v>11404</v>
      </c>
    </row>
    <row r="21529">
      <c r="A21529" s="39"/>
      <c r="E21529" s="40" t="s">
        <v>11404</v>
      </c>
      <c r="F21529" s="40" t="s">
        <v>11404</v>
      </c>
      <c r="G21529" s="40" t="s">
        <v>11404</v>
      </c>
      <c r="H21529" s="40" t="s">
        <v>11404</v>
      </c>
    </row>
    <row r="21530">
      <c r="A21530" s="39"/>
      <c r="E21530" s="40" t="s">
        <v>11404</v>
      </c>
      <c r="F21530" s="40" t="s">
        <v>11404</v>
      </c>
      <c r="G21530" s="40" t="s">
        <v>11404</v>
      </c>
      <c r="H21530" s="40" t="s">
        <v>11404</v>
      </c>
    </row>
    <row r="21531">
      <c r="A21531" s="39"/>
      <c r="E21531" s="40" t="s">
        <v>11404</v>
      </c>
      <c r="F21531" s="40" t="s">
        <v>11404</v>
      </c>
      <c r="G21531" s="40" t="s">
        <v>11404</v>
      </c>
      <c r="H21531" s="40" t="s">
        <v>11404</v>
      </c>
    </row>
    <row r="21532">
      <c r="A21532" s="39"/>
      <c r="E21532" s="40" t="s">
        <v>11404</v>
      </c>
      <c r="F21532" s="40" t="s">
        <v>11404</v>
      </c>
      <c r="G21532" s="40" t="s">
        <v>11404</v>
      </c>
      <c r="H21532" s="40" t="s">
        <v>11404</v>
      </c>
    </row>
    <row r="21533">
      <c r="A21533" s="39"/>
      <c r="E21533" s="40" t="s">
        <v>11404</v>
      </c>
      <c r="F21533" s="40" t="s">
        <v>11404</v>
      </c>
      <c r="G21533" s="40" t="s">
        <v>11404</v>
      </c>
      <c r="H21533" s="40" t="s">
        <v>11404</v>
      </c>
    </row>
    <row r="21534">
      <c r="A21534" s="39"/>
      <c r="E21534" s="40" t="s">
        <v>11404</v>
      </c>
      <c r="F21534" s="40" t="s">
        <v>11404</v>
      </c>
      <c r="G21534" s="40" t="s">
        <v>11404</v>
      </c>
      <c r="H21534" s="40" t="s">
        <v>11404</v>
      </c>
    </row>
    <row r="21535">
      <c r="A21535" s="39"/>
      <c r="E21535" s="40" t="s">
        <v>11404</v>
      </c>
      <c r="F21535" s="40" t="s">
        <v>11404</v>
      </c>
      <c r="G21535" s="40" t="s">
        <v>11404</v>
      </c>
      <c r="H21535" s="40" t="s">
        <v>11404</v>
      </c>
    </row>
    <row r="21536">
      <c r="A21536" s="39"/>
      <c r="E21536" s="40" t="s">
        <v>11404</v>
      </c>
      <c r="F21536" s="40" t="s">
        <v>11404</v>
      </c>
      <c r="G21536" s="40" t="s">
        <v>11404</v>
      </c>
      <c r="H21536" s="40" t="s">
        <v>11404</v>
      </c>
    </row>
    <row r="21537">
      <c r="A21537" s="39"/>
      <c r="E21537" s="40" t="s">
        <v>11404</v>
      </c>
      <c r="F21537" s="40" t="s">
        <v>11404</v>
      </c>
      <c r="G21537" s="40" t="s">
        <v>11404</v>
      </c>
      <c r="H21537" s="40" t="s">
        <v>11404</v>
      </c>
    </row>
    <row r="21538">
      <c r="A21538" s="39"/>
      <c r="E21538" s="40" t="s">
        <v>11404</v>
      </c>
      <c r="F21538" s="40" t="s">
        <v>11404</v>
      </c>
      <c r="G21538" s="40" t="s">
        <v>11404</v>
      </c>
      <c r="H21538" s="40" t="s">
        <v>11404</v>
      </c>
    </row>
    <row r="21539">
      <c r="A21539" s="39"/>
      <c r="E21539" s="40" t="s">
        <v>11404</v>
      </c>
      <c r="F21539" s="40" t="s">
        <v>11404</v>
      </c>
      <c r="G21539" s="40" t="s">
        <v>11404</v>
      </c>
      <c r="H21539" s="40" t="s">
        <v>11404</v>
      </c>
    </row>
    <row r="21540">
      <c r="A21540" s="39"/>
      <c r="E21540" s="40" t="s">
        <v>11404</v>
      </c>
      <c r="F21540" s="40" t="s">
        <v>11404</v>
      </c>
      <c r="G21540" s="40" t="s">
        <v>11404</v>
      </c>
      <c r="H21540" s="40" t="s">
        <v>11404</v>
      </c>
    </row>
    <row r="21541">
      <c r="A21541" s="39"/>
      <c r="E21541" s="40" t="s">
        <v>11404</v>
      </c>
      <c r="F21541" s="40" t="s">
        <v>11404</v>
      </c>
      <c r="G21541" s="40" t="s">
        <v>11404</v>
      </c>
      <c r="H21541" s="40" t="s">
        <v>11404</v>
      </c>
    </row>
    <row r="21542">
      <c r="A21542" s="39"/>
      <c r="E21542" s="40" t="s">
        <v>11404</v>
      </c>
      <c r="F21542" s="40" t="s">
        <v>11404</v>
      </c>
      <c r="G21542" s="40" t="s">
        <v>11404</v>
      </c>
      <c r="H21542" s="40" t="s">
        <v>11404</v>
      </c>
    </row>
    <row r="21543">
      <c r="A21543" s="39"/>
      <c r="E21543" s="40" t="s">
        <v>11404</v>
      </c>
      <c r="F21543" s="40" t="s">
        <v>11404</v>
      </c>
      <c r="G21543" s="40" t="s">
        <v>11404</v>
      </c>
      <c r="H21543" s="40" t="s">
        <v>11404</v>
      </c>
    </row>
    <row r="21544">
      <c r="A21544" s="39"/>
      <c r="E21544" s="40" t="s">
        <v>11404</v>
      </c>
      <c r="F21544" s="40" t="s">
        <v>11404</v>
      </c>
      <c r="G21544" s="40" t="s">
        <v>11404</v>
      </c>
      <c r="H21544" s="40" t="s">
        <v>11404</v>
      </c>
    </row>
    <row r="21545">
      <c r="A21545" s="39"/>
      <c r="E21545" s="40" t="s">
        <v>11404</v>
      </c>
      <c r="F21545" s="40" t="s">
        <v>11404</v>
      </c>
      <c r="G21545" s="40" t="s">
        <v>11404</v>
      </c>
      <c r="H21545" s="40" t="s">
        <v>11404</v>
      </c>
    </row>
    <row r="21546">
      <c r="A21546" s="39"/>
      <c r="E21546" s="40" t="s">
        <v>11404</v>
      </c>
      <c r="F21546" s="40" t="s">
        <v>11404</v>
      </c>
      <c r="G21546" s="40" t="s">
        <v>11404</v>
      </c>
      <c r="H21546" s="40" t="s">
        <v>11404</v>
      </c>
    </row>
    <row r="21547">
      <c r="A21547" s="39"/>
      <c r="E21547" s="40" t="s">
        <v>11404</v>
      </c>
      <c r="F21547" s="40" t="s">
        <v>11404</v>
      </c>
      <c r="G21547" s="40" t="s">
        <v>11404</v>
      </c>
      <c r="H21547" s="40" t="s">
        <v>11404</v>
      </c>
    </row>
    <row r="21548">
      <c r="A21548" s="39"/>
      <c r="E21548" s="40" t="s">
        <v>11404</v>
      </c>
      <c r="F21548" s="40" t="s">
        <v>11404</v>
      </c>
      <c r="G21548" s="40" t="s">
        <v>11404</v>
      </c>
      <c r="H21548" s="40" t="s">
        <v>11404</v>
      </c>
    </row>
    <row r="21549">
      <c r="A21549" s="39"/>
      <c r="E21549" s="40" t="s">
        <v>11404</v>
      </c>
      <c r="F21549" s="40" t="s">
        <v>11404</v>
      </c>
      <c r="G21549" s="40" t="s">
        <v>11404</v>
      </c>
      <c r="H21549" s="40" t="s">
        <v>11404</v>
      </c>
    </row>
    <row r="21550">
      <c r="A21550" s="39"/>
      <c r="E21550" s="40" t="s">
        <v>11404</v>
      </c>
      <c r="F21550" s="40" t="s">
        <v>11404</v>
      </c>
      <c r="G21550" s="40" t="s">
        <v>11404</v>
      </c>
      <c r="H21550" s="40" t="s">
        <v>11404</v>
      </c>
    </row>
    <row r="21551">
      <c r="A21551" s="39"/>
      <c r="E21551" s="40" t="s">
        <v>11404</v>
      </c>
      <c r="F21551" s="40" t="s">
        <v>11404</v>
      </c>
      <c r="G21551" s="40" t="s">
        <v>11404</v>
      </c>
      <c r="H21551" s="40" t="s">
        <v>11404</v>
      </c>
    </row>
    <row r="21552">
      <c r="A21552" s="39"/>
      <c r="E21552" s="40" t="s">
        <v>11404</v>
      </c>
      <c r="F21552" s="40" t="s">
        <v>11404</v>
      </c>
      <c r="G21552" s="40" t="s">
        <v>11404</v>
      </c>
      <c r="H21552" s="40" t="s">
        <v>11404</v>
      </c>
    </row>
    <row r="21553">
      <c r="A21553" s="39"/>
      <c r="E21553" s="40" t="s">
        <v>11404</v>
      </c>
      <c r="F21553" s="40" t="s">
        <v>11404</v>
      </c>
      <c r="G21553" s="40" t="s">
        <v>11404</v>
      </c>
      <c r="H21553" s="40" t="s">
        <v>11404</v>
      </c>
    </row>
    <row r="21554">
      <c r="A21554" s="39"/>
      <c r="E21554" s="40" t="s">
        <v>11404</v>
      </c>
      <c r="F21554" s="40" t="s">
        <v>11404</v>
      </c>
      <c r="G21554" s="40" t="s">
        <v>11404</v>
      </c>
      <c r="H21554" s="40" t="s">
        <v>11404</v>
      </c>
    </row>
    <row r="21555">
      <c r="A21555" s="39"/>
      <c r="E21555" s="40" t="s">
        <v>11404</v>
      </c>
      <c r="F21555" s="40" t="s">
        <v>11404</v>
      </c>
      <c r="G21555" s="40" t="s">
        <v>11404</v>
      </c>
      <c r="H21555" s="40" t="s">
        <v>11404</v>
      </c>
    </row>
    <row r="21556">
      <c r="A21556" s="39"/>
      <c r="E21556" s="40" t="s">
        <v>11404</v>
      </c>
      <c r="F21556" s="40" t="s">
        <v>11404</v>
      </c>
      <c r="G21556" s="40" t="s">
        <v>11404</v>
      </c>
      <c r="H21556" s="40" t="s">
        <v>11404</v>
      </c>
    </row>
    <row r="21557">
      <c r="A21557" s="39"/>
      <c r="E21557" s="40" t="s">
        <v>11404</v>
      </c>
      <c r="F21557" s="40" t="s">
        <v>11404</v>
      </c>
      <c r="G21557" s="40" t="s">
        <v>11404</v>
      </c>
      <c r="H21557" s="40" t="s">
        <v>11404</v>
      </c>
    </row>
    <row r="21558">
      <c r="A21558" s="39"/>
      <c r="E21558" s="40" t="s">
        <v>11404</v>
      </c>
      <c r="F21558" s="40" t="s">
        <v>11404</v>
      </c>
      <c r="G21558" s="40" t="s">
        <v>11404</v>
      </c>
      <c r="H21558" s="40" t="s">
        <v>11404</v>
      </c>
    </row>
    <row r="21559">
      <c r="A21559" s="39"/>
      <c r="E21559" s="40" t="s">
        <v>11404</v>
      </c>
      <c r="F21559" s="40" t="s">
        <v>11404</v>
      </c>
      <c r="G21559" s="40" t="s">
        <v>11404</v>
      </c>
      <c r="H21559" s="40" t="s">
        <v>11404</v>
      </c>
    </row>
    <row r="21560">
      <c r="A21560" s="39"/>
      <c r="E21560" s="40" t="s">
        <v>11404</v>
      </c>
      <c r="F21560" s="40" t="s">
        <v>11404</v>
      </c>
      <c r="G21560" s="40" t="s">
        <v>11404</v>
      </c>
      <c r="H21560" s="40" t="s">
        <v>11404</v>
      </c>
    </row>
    <row r="21561">
      <c r="A21561" s="39"/>
      <c r="E21561" s="40" t="s">
        <v>11404</v>
      </c>
      <c r="F21561" s="40" t="s">
        <v>11404</v>
      </c>
      <c r="G21561" s="40" t="s">
        <v>11404</v>
      </c>
      <c r="H21561" s="40" t="s">
        <v>11404</v>
      </c>
    </row>
    <row r="21562">
      <c r="A21562" s="39"/>
      <c r="E21562" s="40" t="s">
        <v>11404</v>
      </c>
      <c r="F21562" s="40" t="s">
        <v>11404</v>
      </c>
      <c r="G21562" s="40" t="s">
        <v>11404</v>
      </c>
      <c r="H21562" s="40" t="s">
        <v>11404</v>
      </c>
    </row>
    <row r="21563">
      <c r="A21563" s="39"/>
      <c r="E21563" s="40" t="s">
        <v>11404</v>
      </c>
      <c r="F21563" s="40" t="s">
        <v>11404</v>
      </c>
      <c r="G21563" s="40" t="s">
        <v>11404</v>
      </c>
      <c r="H21563" s="40" t="s">
        <v>11404</v>
      </c>
    </row>
    <row r="21564">
      <c r="A21564" s="39"/>
      <c r="E21564" s="40" t="s">
        <v>11404</v>
      </c>
      <c r="F21564" s="40" t="s">
        <v>11404</v>
      </c>
      <c r="G21564" s="40" t="s">
        <v>11404</v>
      </c>
      <c r="H21564" s="40" t="s">
        <v>11404</v>
      </c>
    </row>
    <row r="21565">
      <c r="A21565" s="39"/>
      <c r="E21565" s="40" t="s">
        <v>11404</v>
      </c>
      <c r="F21565" s="40" t="s">
        <v>11404</v>
      </c>
      <c r="G21565" s="40" t="s">
        <v>11404</v>
      </c>
      <c r="H21565" s="40" t="s">
        <v>11404</v>
      </c>
    </row>
    <row r="21566">
      <c r="A21566" s="39"/>
      <c r="E21566" s="40" t="s">
        <v>11404</v>
      </c>
      <c r="F21566" s="40" t="s">
        <v>11404</v>
      </c>
      <c r="G21566" s="40" t="s">
        <v>11404</v>
      </c>
      <c r="H21566" s="40" t="s">
        <v>11404</v>
      </c>
    </row>
    <row r="21567">
      <c r="A21567" s="39"/>
      <c r="E21567" s="40" t="s">
        <v>11404</v>
      </c>
      <c r="F21567" s="40" t="s">
        <v>11404</v>
      </c>
      <c r="G21567" s="40" t="s">
        <v>11404</v>
      </c>
      <c r="H21567" s="40" t="s">
        <v>11404</v>
      </c>
    </row>
    <row r="21568">
      <c r="A21568" s="39"/>
      <c r="E21568" s="40" t="s">
        <v>11404</v>
      </c>
      <c r="F21568" s="40" t="s">
        <v>11404</v>
      </c>
      <c r="G21568" s="40" t="s">
        <v>11404</v>
      </c>
      <c r="H21568" s="40" t="s">
        <v>11404</v>
      </c>
    </row>
    <row r="21569">
      <c r="A21569" s="39"/>
      <c r="E21569" s="40" t="s">
        <v>11404</v>
      </c>
      <c r="F21569" s="40" t="s">
        <v>11404</v>
      </c>
      <c r="G21569" s="40" t="s">
        <v>11404</v>
      </c>
      <c r="H21569" s="40" t="s">
        <v>11404</v>
      </c>
    </row>
    <row r="21570">
      <c r="A21570" s="39"/>
      <c r="E21570" s="40" t="s">
        <v>11404</v>
      </c>
      <c r="F21570" s="40" t="s">
        <v>11404</v>
      </c>
      <c r="G21570" s="40" t="s">
        <v>11404</v>
      </c>
      <c r="H21570" s="40" t="s">
        <v>11404</v>
      </c>
    </row>
    <row r="21571">
      <c r="A21571" s="39"/>
      <c r="E21571" s="40" t="s">
        <v>11404</v>
      </c>
      <c r="F21571" s="40" t="s">
        <v>11404</v>
      </c>
      <c r="G21571" s="40" t="s">
        <v>11404</v>
      </c>
      <c r="H21571" s="40" t="s">
        <v>11404</v>
      </c>
    </row>
    <row r="21572">
      <c r="A21572" s="39"/>
      <c r="E21572" s="40" t="s">
        <v>11404</v>
      </c>
      <c r="F21572" s="40" t="s">
        <v>11404</v>
      </c>
      <c r="G21572" s="40" t="s">
        <v>11404</v>
      </c>
      <c r="H21572" s="40" t="s">
        <v>11404</v>
      </c>
    </row>
    <row r="21573">
      <c r="A21573" s="39"/>
      <c r="E21573" s="40" t="s">
        <v>11404</v>
      </c>
      <c r="F21573" s="40" t="s">
        <v>11404</v>
      </c>
      <c r="G21573" s="40" t="s">
        <v>11404</v>
      </c>
      <c r="H21573" s="40" t="s">
        <v>11404</v>
      </c>
    </row>
    <row r="21574">
      <c r="A21574" s="39"/>
      <c r="E21574" s="40" t="s">
        <v>11404</v>
      </c>
      <c r="F21574" s="40" t="s">
        <v>11404</v>
      </c>
      <c r="G21574" s="40" t="s">
        <v>11404</v>
      </c>
      <c r="H21574" s="40" t="s">
        <v>11404</v>
      </c>
    </row>
    <row r="21575">
      <c r="A21575" s="39"/>
      <c r="E21575" s="40" t="s">
        <v>11404</v>
      </c>
      <c r="F21575" s="40" t="s">
        <v>11404</v>
      </c>
      <c r="G21575" s="40" t="s">
        <v>11404</v>
      </c>
      <c r="H21575" s="40" t="s">
        <v>11404</v>
      </c>
    </row>
    <row r="21576">
      <c r="A21576" s="39"/>
      <c r="E21576" s="40" t="s">
        <v>11404</v>
      </c>
      <c r="F21576" s="40" t="s">
        <v>11404</v>
      </c>
      <c r="G21576" s="40" t="s">
        <v>11404</v>
      </c>
      <c r="H21576" s="40" t="s">
        <v>11404</v>
      </c>
    </row>
    <row r="21577">
      <c r="A21577" s="39"/>
      <c r="E21577" s="40" t="s">
        <v>11404</v>
      </c>
      <c r="F21577" s="40" t="s">
        <v>11404</v>
      </c>
      <c r="G21577" s="40" t="s">
        <v>11404</v>
      </c>
      <c r="H21577" s="40" t="s">
        <v>11404</v>
      </c>
    </row>
    <row r="21578">
      <c r="A21578" s="39"/>
      <c r="E21578" s="40" t="s">
        <v>11404</v>
      </c>
      <c r="F21578" s="40" t="s">
        <v>11404</v>
      </c>
      <c r="G21578" s="40" t="s">
        <v>11404</v>
      </c>
      <c r="H21578" s="40" t="s">
        <v>11404</v>
      </c>
    </row>
    <row r="21579">
      <c r="A21579" s="39"/>
      <c r="E21579" s="40" t="s">
        <v>11404</v>
      </c>
      <c r="F21579" s="40" t="s">
        <v>11404</v>
      </c>
      <c r="G21579" s="40" t="s">
        <v>11404</v>
      </c>
      <c r="H21579" s="40" t="s">
        <v>11404</v>
      </c>
    </row>
    <row r="21580">
      <c r="A21580" s="39"/>
      <c r="E21580" s="40" t="s">
        <v>11404</v>
      </c>
      <c r="F21580" s="40" t="s">
        <v>11404</v>
      </c>
      <c r="G21580" s="40" t="s">
        <v>11404</v>
      </c>
      <c r="H21580" s="40" t="s">
        <v>11404</v>
      </c>
    </row>
    <row r="21581">
      <c r="A21581" s="39"/>
      <c r="E21581" s="40" t="s">
        <v>11404</v>
      </c>
      <c r="F21581" s="40" t="s">
        <v>11404</v>
      </c>
      <c r="G21581" s="40" t="s">
        <v>11404</v>
      </c>
      <c r="H21581" s="40" t="s">
        <v>11404</v>
      </c>
    </row>
    <row r="21582">
      <c r="A21582" s="39"/>
      <c r="E21582" s="40" t="s">
        <v>11404</v>
      </c>
      <c r="F21582" s="40" t="s">
        <v>11404</v>
      </c>
      <c r="G21582" s="40" t="s">
        <v>11404</v>
      </c>
      <c r="H21582" s="40" t="s">
        <v>11404</v>
      </c>
    </row>
    <row r="21583">
      <c r="A21583" s="39"/>
      <c r="E21583" s="40" t="s">
        <v>11404</v>
      </c>
      <c r="F21583" s="40" t="s">
        <v>11404</v>
      </c>
      <c r="G21583" s="40" t="s">
        <v>11404</v>
      </c>
      <c r="H21583" s="40" t="s">
        <v>11404</v>
      </c>
    </row>
    <row r="21584">
      <c r="A21584" s="39"/>
      <c r="E21584" s="40" t="s">
        <v>11404</v>
      </c>
      <c r="F21584" s="40" t="s">
        <v>11404</v>
      </c>
      <c r="G21584" s="40" t="s">
        <v>11404</v>
      </c>
      <c r="H21584" s="40" t="s">
        <v>11404</v>
      </c>
    </row>
    <row r="21585">
      <c r="A21585" s="39"/>
      <c r="E21585" s="40" t="s">
        <v>11404</v>
      </c>
      <c r="F21585" s="40" t="s">
        <v>11404</v>
      </c>
      <c r="G21585" s="40" t="s">
        <v>11404</v>
      </c>
      <c r="H21585" s="40" t="s">
        <v>11404</v>
      </c>
    </row>
    <row r="21586">
      <c r="A21586" s="39"/>
      <c r="E21586" s="40" t="s">
        <v>11404</v>
      </c>
      <c r="F21586" s="40" t="s">
        <v>11404</v>
      </c>
      <c r="G21586" s="40" t="s">
        <v>11404</v>
      </c>
      <c r="H21586" s="40" t="s">
        <v>11404</v>
      </c>
    </row>
    <row r="21587">
      <c r="A21587" s="39"/>
      <c r="E21587" s="40" t="s">
        <v>11404</v>
      </c>
      <c r="F21587" s="40" t="s">
        <v>11404</v>
      </c>
      <c r="G21587" s="40" t="s">
        <v>11404</v>
      </c>
      <c r="H21587" s="40" t="s">
        <v>11404</v>
      </c>
    </row>
    <row r="21588">
      <c r="A21588" s="39"/>
      <c r="E21588" s="40" t="s">
        <v>11404</v>
      </c>
      <c r="F21588" s="40" t="s">
        <v>11404</v>
      </c>
      <c r="G21588" s="40" t="s">
        <v>11404</v>
      </c>
      <c r="H21588" s="40" t="s">
        <v>11404</v>
      </c>
    </row>
    <row r="21589">
      <c r="A21589" s="39"/>
      <c r="E21589" s="40" t="s">
        <v>11404</v>
      </c>
      <c r="F21589" s="40" t="s">
        <v>11404</v>
      </c>
      <c r="G21589" s="40" t="s">
        <v>11404</v>
      </c>
      <c r="H21589" s="40" t="s">
        <v>11404</v>
      </c>
    </row>
    <row r="21590">
      <c r="A21590" s="39"/>
      <c r="E21590" s="40" t="s">
        <v>11404</v>
      </c>
      <c r="F21590" s="40" t="s">
        <v>11404</v>
      </c>
      <c r="G21590" s="40" t="s">
        <v>11404</v>
      </c>
      <c r="H21590" s="40" t="s">
        <v>11404</v>
      </c>
    </row>
    <row r="21591">
      <c r="A21591" s="39"/>
      <c r="E21591" s="40" t="s">
        <v>11404</v>
      </c>
      <c r="F21591" s="40" t="s">
        <v>11404</v>
      </c>
      <c r="G21591" s="40" t="s">
        <v>11404</v>
      </c>
      <c r="H21591" s="40" t="s">
        <v>11404</v>
      </c>
    </row>
    <row r="21592">
      <c r="A21592" s="39"/>
      <c r="E21592" s="40" t="s">
        <v>11404</v>
      </c>
      <c r="F21592" s="40" t="s">
        <v>11404</v>
      </c>
      <c r="G21592" s="40" t="s">
        <v>11404</v>
      </c>
      <c r="H21592" s="40" t="s">
        <v>11404</v>
      </c>
    </row>
    <row r="21593">
      <c r="A21593" s="39"/>
      <c r="E21593" s="40" t="s">
        <v>11404</v>
      </c>
      <c r="F21593" s="40" t="s">
        <v>11404</v>
      </c>
      <c r="G21593" s="40" t="s">
        <v>11404</v>
      </c>
      <c r="H21593" s="40" t="s">
        <v>11404</v>
      </c>
    </row>
    <row r="21594">
      <c r="A21594" s="39"/>
      <c r="E21594" s="40" t="s">
        <v>11404</v>
      </c>
      <c r="F21594" s="40" t="s">
        <v>11404</v>
      </c>
      <c r="G21594" s="40" t="s">
        <v>11404</v>
      </c>
      <c r="H21594" s="40" t="s">
        <v>11404</v>
      </c>
    </row>
    <row r="21595">
      <c r="A21595" s="39"/>
      <c r="E21595" s="40" t="s">
        <v>11404</v>
      </c>
      <c r="F21595" s="40" t="s">
        <v>11404</v>
      </c>
      <c r="G21595" s="40" t="s">
        <v>11404</v>
      </c>
      <c r="H21595" s="40" t="s">
        <v>11404</v>
      </c>
    </row>
    <row r="21596">
      <c r="A21596" s="39"/>
      <c r="E21596" s="40" t="s">
        <v>11404</v>
      </c>
      <c r="F21596" s="40" t="s">
        <v>11404</v>
      </c>
      <c r="G21596" s="40" t="s">
        <v>11404</v>
      </c>
      <c r="H21596" s="40" t="s">
        <v>11404</v>
      </c>
    </row>
    <row r="21597">
      <c r="A21597" s="39"/>
      <c r="E21597" s="40" t="s">
        <v>11404</v>
      </c>
      <c r="F21597" s="40" t="s">
        <v>11404</v>
      </c>
      <c r="G21597" s="40" t="s">
        <v>11404</v>
      </c>
      <c r="H21597" s="40" t="s">
        <v>11404</v>
      </c>
    </row>
    <row r="21598">
      <c r="A21598" s="39"/>
      <c r="E21598" s="40" t="s">
        <v>11404</v>
      </c>
      <c r="F21598" s="40" t="s">
        <v>11404</v>
      </c>
      <c r="G21598" s="40" t="s">
        <v>11404</v>
      </c>
      <c r="H21598" s="40" t="s">
        <v>11404</v>
      </c>
    </row>
    <row r="21599">
      <c r="A21599" s="39"/>
      <c r="E21599" s="40" t="s">
        <v>11404</v>
      </c>
      <c r="F21599" s="40" t="s">
        <v>11404</v>
      </c>
      <c r="G21599" s="40" t="s">
        <v>11404</v>
      </c>
      <c r="H21599" s="40" t="s">
        <v>11404</v>
      </c>
    </row>
    <row r="21600">
      <c r="A21600" s="39"/>
      <c r="E21600" s="40" t="s">
        <v>11404</v>
      </c>
      <c r="F21600" s="40" t="s">
        <v>11404</v>
      </c>
      <c r="G21600" s="40" t="s">
        <v>11404</v>
      </c>
      <c r="H21600" s="40" t="s">
        <v>11404</v>
      </c>
    </row>
    <row r="21601">
      <c r="A21601" s="39"/>
      <c r="E21601" s="40" t="s">
        <v>11404</v>
      </c>
      <c r="F21601" s="40" t="s">
        <v>11404</v>
      </c>
      <c r="G21601" s="40" t="s">
        <v>11404</v>
      </c>
      <c r="H21601" s="40" t="s">
        <v>11404</v>
      </c>
    </row>
    <row r="21602">
      <c r="A21602" s="39"/>
      <c r="E21602" s="40" t="s">
        <v>11404</v>
      </c>
      <c r="F21602" s="40" t="s">
        <v>11404</v>
      </c>
      <c r="G21602" s="40" t="s">
        <v>11404</v>
      </c>
      <c r="H21602" s="40" t="s">
        <v>11404</v>
      </c>
    </row>
    <row r="21603">
      <c r="A21603" s="39"/>
      <c r="E21603" s="40" t="s">
        <v>11404</v>
      </c>
      <c r="F21603" s="40" t="s">
        <v>11404</v>
      </c>
      <c r="G21603" s="40" t="s">
        <v>11404</v>
      </c>
      <c r="H21603" s="40" t="s">
        <v>11404</v>
      </c>
    </row>
    <row r="21604">
      <c r="A21604" s="39"/>
      <c r="E21604" s="40" t="s">
        <v>11404</v>
      </c>
      <c r="F21604" s="40" t="s">
        <v>11404</v>
      </c>
      <c r="G21604" s="40" t="s">
        <v>11404</v>
      </c>
      <c r="H21604" s="40" t="s">
        <v>11404</v>
      </c>
    </row>
    <row r="21605">
      <c r="A21605" s="39"/>
      <c r="E21605" s="40" t="s">
        <v>11404</v>
      </c>
      <c r="F21605" s="40" t="s">
        <v>11404</v>
      </c>
      <c r="G21605" s="40" t="s">
        <v>11404</v>
      </c>
      <c r="H21605" s="40" t="s">
        <v>11404</v>
      </c>
    </row>
    <row r="21606">
      <c r="A21606" s="39"/>
      <c r="E21606" s="40" t="s">
        <v>11404</v>
      </c>
      <c r="F21606" s="40" t="s">
        <v>11404</v>
      </c>
      <c r="G21606" s="40" t="s">
        <v>11404</v>
      </c>
      <c r="H21606" s="40" t="s">
        <v>11404</v>
      </c>
    </row>
    <row r="21607">
      <c r="A21607" s="39"/>
      <c r="E21607" s="40" t="s">
        <v>11404</v>
      </c>
      <c r="F21607" s="40" t="s">
        <v>11404</v>
      </c>
      <c r="G21607" s="40" t="s">
        <v>11404</v>
      </c>
      <c r="H21607" s="40" t="s">
        <v>11404</v>
      </c>
    </row>
    <row r="21608">
      <c r="A21608" s="39"/>
      <c r="E21608" s="40" t="s">
        <v>11404</v>
      </c>
      <c r="F21608" s="40" t="s">
        <v>11404</v>
      </c>
      <c r="G21608" s="40" t="s">
        <v>11404</v>
      </c>
      <c r="H21608" s="40" t="s">
        <v>11404</v>
      </c>
    </row>
    <row r="21609">
      <c r="A21609" s="39"/>
      <c r="E21609" s="40" t="s">
        <v>11404</v>
      </c>
      <c r="F21609" s="40" t="s">
        <v>11404</v>
      </c>
      <c r="G21609" s="40" t="s">
        <v>11404</v>
      </c>
      <c r="H21609" s="40" t="s">
        <v>11404</v>
      </c>
    </row>
    <row r="21610">
      <c r="A21610" s="39"/>
      <c r="E21610" s="40" t="s">
        <v>11404</v>
      </c>
      <c r="F21610" s="40" t="s">
        <v>11404</v>
      </c>
      <c r="G21610" s="40" t="s">
        <v>11404</v>
      </c>
      <c r="H21610" s="40" t="s">
        <v>11404</v>
      </c>
    </row>
    <row r="21611">
      <c r="A21611" s="39"/>
      <c r="E21611" s="40" t="s">
        <v>11404</v>
      </c>
      <c r="F21611" s="40" t="s">
        <v>11404</v>
      </c>
      <c r="G21611" s="40" t="s">
        <v>11404</v>
      </c>
      <c r="H21611" s="40" t="s">
        <v>11404</v>
      </c>
    </row>
    <row r="21612">
      <c r="A21612" s="39"/>
      <c r="E21612" s="40" t="s">
        <v>11404</v>
      </c>
      <c r="F21612" s="40" t="s">
        <v>11404</v>
      </c>
      <c r="G21612" s="40" t="s">
        <v>11404</v>
      </c>
      <c r="H21612" s="40" t="s">
        <v>11404</v>
      </c>
    </row>
    <row r="21613">
      <c r="A21613" s="39"/>
      <c r="E21613" s="40" t="s">
        <v>11404</v>
      </c>
      <c r="F21613" s="40" t="s">
        <v>11404</v>
      </c>
      <c r="G21613" s="40" t="s">
        <v>11404</v>
      </c>
      <c r="H21613" s="40" t="s">
        <v>11404</v>
      </c>
    </row>
    <row r="21614">
      <c r="A21614" s="39"/>
      <c r="E21614" s="40" t="s">
        <v>11404</v>
      </c>
      <c r="F21614" s="40" t="s">
        <v>11404</v>
      </c>
      <c r="G21614" s="40" t="s">
        <v>11404</v>
      </c>
      <c r="H21614" s="40" t="s">
        <v>11404</v>
      </c>
    </row>
    <row r="21615">
      <c r="A21615" s="39"/>
      <c r="E21615" s="40" t="s">
        <v>11404</v>
      </c>
      <c r="F21615" s="40" t="s">
        <v>11404</v>
      </c>
      <c r="G21615" s="40" t="s">
        <v>11404</v>
      </c>
      <c r="H21615" s="40" t="s">
        <v>11404</v>
      </c>
    </row>
    <row r="21616">
      <c r="A21616" s="39"/>
      <c r="E21616" s="40" t="s">
        <v>11404</v>
      </c>
      <c r="F21616" s="40" t="s">
        <v>11404</v>
      </c>
      <c r="G21616" s="40" t="s">
        <v>11404</v>
      </c>
      <c r="H21616" s="40" t="s">
        <v>11404</v>
      </c>
    </row>
    <row r="21617">
      <c r="A21617" s="39"/>
      <c r="E21617" s="40" t="s">
        <v>11404</v>
      </c>
      <c r="F21617" s="40" t="s">
        <v>11404</v>
      </c>
      <c r="G21617" s="40" t="s">
        <v>11404</v>
      </c>
      <c r="H21617" s="40" t="s">
        <v>11404</v>
      </c>
    </row>
    <row r="21618">
      <c r="A21618" s="39"/>
      <c r="E21618" s="40" t="s">
        <v>11404</v>
      </c>
      <c r="F21618" s="40" t="s">
        <v>11404</v>
      </c>
      <c r="G21618" s="40" t="s">
        <v>11404</v>
      </c>
      <c r="H21618" s="40" t="s">
        <v>11404</v>
      </c>
    </row>
    <row r="21619">
      <c r="A21619" s="39"/>
      <c r="E21619" s="40" t="s">
        <v>11404</v>
      </c>
      <c r="F21619" s="40" t="s">
        <v>11404</v>
      </c>
      <c r="G21619" s="40" t="s">
        <v>11404</v>
      </c>
      <c r="H21619" s="40" t="s">
        <v>11404</v>
      </c>
    </row>
    <row r="21620">
      <c r="A21620" s="39"/>
      <c r="E21620" s="40" t="s">
        <v>11404</v>
      </c>
      <c r="F21620" s="40" t="s">
        <v>11404</v>
      </c>
      <c r="G21620" s="40" t="s">
        <v>11404</v>
      </c>
      <c r="H21620" s="40" t="s">
        <v>11404</v>
      </c>
    </row>
    <row r="21621">
      <c r="A21621" s="39"/>
      <c r="E21621" s="40" t="s">
        <v>11404</v>
      </c>
      <c r="F21621" s="40" t="s">
        <v>11404</v>
      </c>
      <c r="G21621" s="40" t="s">
        <v>11404</v>
      </c>
      <c r="H21621" s="40" t="s">
        <v>11404</v>
      </c>
    </row>
    <row r="21622">
      <c r="A21622" s="39"/>
      <c r="E21622" s="40" t="s">
        <v>11404</v>
      </c>
      <c r="F21622" s="40" t="s">
        <v>11404</v>
      </c>
      <c r="G21622" s="40" t="s">
        <v>11404</v>
      </c>
      <c r="H21622" s="40" t="s">
        <v>11404</v>
      </c>
    </row>
    <row r="21623">
      <c r="A21623" s="39"/>
      <c r="E21623" s="40" t="s">
        <v>11404</v>
      </c>
      <c r="F21623" s="40" t="s">
        <v>11404</v>
      </c>
      <c r="G21623" s="40" t="s">
        <v>11404</v>
      </c>
      <c r="H21623" s="40" t="s">
        <v>11404</v>
      </c>
    </row>
    <row r="21624">
      <c r="A21624" s="39"/>
      <c r="E21624" s="40" t="s">
        <v>11404</v>
      </c>
      <c r="F21624" s="40" t="s">
        <v>11404</v>
      </c>
      <c r="G21624" s="40" t="s">
        <v>11404</v>
      </c>
      <c r="H21624" s="40" t="s">
        <v>11404</v>
      </c>
    </row>
    <row r="21625">
      <c r="A21625" s="39"/>
      <c r="E21625" s="40" t="s">
        <v>11404</v>
      </c>
      <c r="F21625" s="40" t="s">
        <v>11404</v>
      </c>
      <c r="G21625" s="40" t="s">
        <v>11404</v>
      </c>
      <c r="H21625" s="40" t="s">
        <v>11404</v>
      </c>
    </row>
    <row r="21626">
      <c r="A21626" s="39"/>
      <c r="E21626" s="40" t="s">
        <v>11404</v>
      </c>
      <c r="F21626" s="40" t="s">
        <v>11404</v>
      </c>
      <c r="G21626" s="40" t="s">
        <v>11404</v>
      </c>
      <c r="H21626" s="40" t="s">
        <v>11404</v>
      </c>
    </row>
    <row r="21627">
      <c r="A21627" s="39"/>
      <c r="E21627" s="40" t="s">
        <v>11404</v>
      </c>
      <c r="F21627" s="40" t="s">
        <v>11404</v>
      </c>
      <c r="G21627" s="40" t="s">
        <v>11404</v>
      </c>
      <c r="H21627" s="40" t="s">
        <v>11404</v>
      </c>
    </row>
    <row r="21628">
      <c r="A21628" s="39"/>
      <c r="E21628" s="40" t="s">
        <v>11404</v>
      </c>
      <c r="F21628" s="40" t="s">
        <v>11404</v>
      </c>
      <c r="G21628" s="40" t="s">
        <v>11404</v>
      </c>
      <c r="H21628" s="40" t="s">
        <v>11404</v>
      </c>
    </row>
    <row r="21629">
      <c r="A21629" s="39"/>
      <c r="E21629" s="40" t="s">
        <v>11404</v>
      </c>
      <c r="F21629" s="40" t="s">
        <v>11404</v>
      </c>
      <c r="G21629" s="40" t="s">
        <v>11404</v>
      </c>
      <c r="H21629" s="40" t="s">
        <v>11404</v>
      </c>
    </row>
    <row r="21630">
      <c r="A21630" s="39"/>
      <c r="E21630" s="40" t="s">
        <v>11404</v>
      </c>
      <c r="F21630" s="40" t="s">
        <v>11404</v>
      </c>
      <c r="G21630" s="40" t="s">
        <v>11404</v>
      </c>
      <c r="H21630" s="40" t="s">
        <v>11404</v>
      </c>
    </row>
    <row r="21631">
      <c r="A21631" s="39"/>
      <c r="E21631" s="40" t="s">
        <v>11404</v>
      </c>
      <c r="F21631" s="40" t="s">
        <v>11404</v>
      </c>
      <c r="G21631" s="40" t="s">
        <v>11404</v>
      </c>
      <c r="H21631" s="40" t="s">
        <v>11404</v>
      </c>
    </row>
    <row r="21632">
      <c r="A21632" s="39"/>
      <c r="E21632" s="40" t="s">
        <v>11404</v>
      </c>
      <c r="F21632" s="40" t="s">
        <v>11404</v>
      </c>
      <c r="G21632" s="40" t="s">
        <v>11404</v>
      </c>
      <c r="H21632" s="40" t="s">
        <v>11404</v>
      </c>
    </row>
    <row r="21633">
      <c r="A21633" s="39"/>
      <c r="E21633" s="40" t="s">
        <v>11404</v>
      </c>
      <c r="F21633" s="40" t="s">
        <v>11404</v>
      </c>
      <c r="G21633" s="40" t="s">
        <v>11404</v>
      </c>
      <c r="H21633" s="40" t="s">
        <v>11404</v>
      </c>
    </row>
    <row r="21634">
      <c r="A21634" s="39"/>
      <c r="E21634" s="40" t="s">
        <v>11404</v>
      </c>
      <c r="F21634" s="40" t="s">
        <v>11404</v>
      </c>
      <c r="G21634" s="40" t="s">
        <v>11404</v>
      </c>
      <c r="H21634" s="40" t="s">
        <v>11404</v>
      </c>
    </row>
    <row r="21635">
      <c r="A21635" s="39"/>
      <c r="E21635" s="40" t="s">
        <v>11404</v>
      </c>
      <c r="F21635" s="40" t="s">
        <v>11404</v>
      </c>
      <c r="G21635" s="40" t="s">
        <v>11404</v>
      </c>
      <c r="H21635" s="40" t="s">
        <v>11404</v>
      </c>
    </row>
    <row r="21636">
      <c r="A21636" s="39"/>
      <c r="E21636" s="40" t="s">
        <v>11404</v>
      </c>
      <c r="F21636" s="40" t="s">
        <v>11404</v>
      </c>
      <c r="G21636" s="40" t="s">
        <v>11404</v>
      </c>
      <c r="H21636" s="40" t="s">
        <v>11404</v>
      </c>
    </row>
    <row r="21637">
      <c r="A21637" s="39"/>
      <c r="E21637" s="40" t="s">
        <v>11404</v>
      </c>
      <c r="F21637" s="40" t="s">
        <v>11404</v>
      </c>
      <c r="G21637" s="40" t="s">
        <v>11404</v>
      </c>
      <c r="H21637" s="40" t="s">
        <v>11404</v>
      </c>
    </row>
    <row r="21638">
      <c r="A21638" s="39"/>
      <c r="E21638" s="40" t="s">
        <v>11404</v>
      </c>
      <c r="F21638" s="40" t="s">
        <v>11404</v>
      </c>
      <c r="G21638" s="40" t="s">
        <v>11404</v>
      </c>
      <c r="H21638" s="40" t="s">
        <v>11404</v>
      </c>
    </row>
    <row r="21639">
      <c r="A21639" s="39"/>
      <c r="E21639" s="40" t="s">
        <v>11404</v>
      </c>
      <c r="F21639" s="40" t="s">
        <v>11404</v>
      </c>
      <c r="G21639" s="40" t="s">
        <v>11404</v>
      </c>
      <c r="H21639" s="40" t="s">
        <v>11404</v>
      </c>
    </row>
    <row r="21640">
      <c r="A21640" s="39"/>
      <c r="E21640" s="40" t="s">
        <v>11404</v>
      </c>
      <c r="F21640" s="40" t="s">
        <v>11404</v>
      </c>
      <c r="G21640" s="40" t="s">
        <v>11404</v>
      </c>
      <c r="H21640" s="40" t="s">
        <v>11404</v>
      </c>
    </row>
    <row r="21641">
      <c r="A21641" s="39"/>
      <c r="E21641" s="40" t="s">
        <v>11404</v>
      </c>
      <c r="F21641" s="40" t="s">
        <v>11404</v>
      </c>
      <c r="G21641" s="40" t="s">
        <v>11404</v>
      </c>
      <c r="H21641" s="40" t="s">
        <v>11404</v>
      </c>
    </row>
    <row r="21642">
      <c r="A21642" s="39"/>
      <c r="E21642" s="40" t="s">
        <v>11404</v>
      </c>
      <c r="F21642" s="40" t="s">
        <v>11404</v>
      </c>
      <c r="G21642" s="40" t="s">
        <v>11404</v>
      </c>
      <c r="H21642" s="40" t="s">
        <v>11404</v>
      </c>
    </row>
    <row r="21643">
      <c r="A21643" s="39"/>
      <c r="E21643" s="40" t="s">
        <v>11404</v>
      </c>
      <c r="F21643" s="40" t="s">
        <v>11404</v>
      </c>
      <c r="G21643" s="40" t="s">
        <v>11404</v>
      </c>
      <c r="H21643" s="40" t="s">
        <v>11404</v>
      </c>
    </row>
    <row r="21644">
      <c r="A21644" s="39"/>
      <c r="E21644" s="40" t="s">
        <v>11404</v>
      </c>
      <c r="F21644" s="40" t="s">
        <v>11404</v>
      </c>
      <c r="G21644" s="40" t="s">
        <v>11404</v>
      </c>
      <c r="H21644" s="40" t="s">
        <v>11404</v>
      </c>
    </row>
    <row r="21645">
      <c r="A21645" s="39"/>
      <c r="E21645" s="40" t="s">
        <v>11404</v>
      </c>
      <c r="F21645" s="40" t="s">
        <v>11404</v>
      </c>
      <c r="G21645" s="40" t="s">
        <v>11404</v>
      </c>
      <c r="H21645" s="40" t="s">
        <v>11404</v>
      </c>
    </row>
    <row r="21646">
      <c r="A21646" s="39"/>
      <c r="E21646" s="40" t="s">
        <v>11404</v>
      </c>
      <c r="F21646" s="40" t="s">
        <v>11404</v>
      </c>
      <c r="G21646" s="40" t="s">
        <v>11404</v>
      </c>
      <c r="H21646" s="40" t="s">
        <v>11404</v>
      </c>
    </row>
    <row r="21647">
      <c r="A21647" s="39"/>
      <c r="E21647" s="40" t="s">
        <v>11404</v>
      </c>
      <c r="F21647" s="40" t="s">
        <v>11404</v>
      </c>
      <c r="G21647" s="40" t="s">
        <v>11404</v>
      </c>
      <c r="H21647" s="40" t="s">
        <v>11404</v>
      </c>
    </row>
    <row r="21648">
      <c r="A21648" s="39"/>
      <c r="E21648" s="40" t="s">
        <v>11404</v>
      </c>
      <c r="F21648" s="40" t="s">
        <v>11404</v>
      </c>
      <c r="G21648" s="40" t="s">
        <v>11404</v>
      </c>
      <c r="H21648" s="40" t="s">
        <v>11404</v>
      </c>
    </row>
    <row r="21649">
      <c r="A21649" s="39"/>
      <c r="E21649" s="40" t="s">
        <v>11404</v>
      </c>
      <c r="F21649" s="40" t="s">
        <v>11404</v>
      </c>
      <c r="G21649" s="40" t="s">
        <v>11404</v>
      </c>
      <c r="H21649" s="40" t="s">
        <v>11404</v>
      </c>
    </row>
    <row r="21650">
      <c r="A21650" s="39"/>
      <c r="E21650" s="40" t="s">
        <v>11404</v>
      </c>
      <c r="F21650" s="40" t="s">
        <v>11404</v>
      </c>
      <c r="G21650" s="40" t="s">
        <v>11404</v>
      </c>
      <c r="H21650" s="40" t="s">
        <v>11404</v>
      </c>
    </row>
    <row r="21651">
      <c r="A21651" s="39"/>
      <c r="E21651" s="40" t="s">
        <v>11404</v>
      </c>
      <c r="F21651" s="40" t="s">
        <v>11404</v>
      </c>
      <c r="G21651" s="40" t="s">
        <v>11404</v>
      </c>
      <c r="H21651" s="40" t="s">
        <v>11404</v>
      </c>
    </row>
    <row r="21652">
      <c r="A21652" s="39"/>
      <c r="E21652" s="40" t="s">
        <v>11404</v>
      </c>
      <c r="F21652" s="40" t="s">
        <v>11404</v>
      </c>
      <c r="G21652" s="40" t="s">
        <v>11404</v>
      </c>
      <c r="H21652" s="40" t="s">
        <v>11404</v>
      </c>
    </row>
    <row r="21653">
      <c r="A21653" s="39"/>
      <c r="E21653" s="40" t="s">
        <v>11404</v>
      </c>
      <c r="F21653" s="40" t="s">
        <v>11404</v>
      </c>
      <c r="G21653" s="40" t="s">
        <v>11404</v>
      </c>
      <c r="H21653" s="40" t="s">
        <v>11404</v>
      </c>
    </row>
    <row r="21654">
      <c r="A21654" s="39"/>
      <c r="E21654" s="40" t="s">
        <v>11404</v>
      </c>
      <c r="F21654" s="40" t="s">
        <v>11404</v>
      </c>
      <c r="G21654" s="40" t="s">
        <v>11404</v>
      </c>
      <c r="H21654" s="40" t="s">
        <v>11404</v>
      </c>
    </row>
    <row r="21655">
      <c r="A21655" s="39"/>
      <c r="E21655" s="40" t="s">
        <v>11404</v>
      </c>
      <c r="F21655" s="40" t="s">
        <v>11404</v>
      </c>
      <c r="G21655" s="40" t="s">
        <v>11404</v>
      </c>
      <c r="H21655" s="40" t="s">
        <v>11404</v>
      </c>
    </row>
    <row r="21656">
      <c r="A21656" s="39"/>
      <c r="E21656" s="40" t="s">
        <v>11404</v>
      </c>
      <c r="F21656" s="40" t="s">
        <v>11404</v>
      </c>
      <c r="G21656" s="40" t="s">
        <v>11404</v>
      </c>
      <c r="H21656" s="40" t="s">
        <v>11404</v>
      </c>
    </row>
    <row r="21657">
      <c r="A21657" s="39"/>
      <c r="E21657" s="40" t="s">
        <v>11404</v>
      </c>
      <c r="F21657" s="40" t="s">
        <v>11404</v>
      </c>
      <c r="G21657" s="40" t="s">
        <v>11404</v>
      </c>
      <c r="H21657" s="40" t="s">
        <v>11404</v>
      </c>
    </row>
    <row r="21658">
      <c r="A21658" s="39"/>
      <c r="E21658" s="40" t="s">
        <v>11404</v>
      </c>
      <c r="F21658" s="40" t="s">
        <v>11404</v>
      </c>
      <c r="G21658" s="40" t="s">
        <v>11404</v>
      </c>
      <c r="H21658" s="40" t="s">
        <v>11404</v>
      </c>
    </row>
    <row r="21659">
      <c r="A21659" s="39"/>
      <c r="E21659" s="40" t="s">
        <v>11404</v>
      </c>
      <c r="F21659" s="40" t="s">
        <v>11404</v>
      </c>
      <c r="G21659" s="40" t="s">
        <v>11404</v>
      </c>
      <c r="H21659" s="40" t="s">
        <v>11404</v>
      </c>
    </row>
    <row r="21660">
      <c r="A21660" s="39"/>
      <c r="E21660" s="40" t="s">
        <v>11404</v>
      </c>
      <c r="F21660" s="40" t="s">
        <v>11404</v>
      </c>
      <c r="G21660" s="40" t="s">
        <v>11404</v>
      </c>
      <c r="H21660" s="40" t="s">
        <v>11404</v>
      </c>
    </row>
    <row r="21661">
      <c r="A21661" s="39"/>
      <c r="E21661" s="40" t="s">
        <v>11404</v>
      </c>
      <c r="F21661" s="40" t="s">
        <v>11404</v>
      </c>
      <c r="G21661" s="40" t="s">
        <v>11404</v>
      </c>
      <c r="H21661" s="40" t="s">
        <v>11404</v>
      </c>
    </row>
    <row r="21662">
      <c r="A21662" s="39"/>
      <c r="E21662" s="40" t="s">
        <v>11404</v>
      </c>
      <c r="F21662" s="40" t="s">
        <v>11404</v>
      </c>
      <c r="G21662" s="40" t="s">
        <v>11404</v>
      </c>
      <c r="H21662" s="40" t="s">
        <v>11404</v>
      </c>
    </row>
    <row r="21663">
      <c r="A21663" s="39"/>
      <c r="E21663" s="40" t="s">
        <v>11404</v>
      </c>
      <c r="F21663" s="40" t="s">
        <v>11404</v>
      </c>
      <c r="G21663" s="40" t="s">
        <v>11404</v>
      </c>
      <c r="H21663" s="40" t="s">
        <v>11404</v>
      </c>
    </row>
    <row r="21664">
      <c r="A21664" s="39"/>
      <c r="E21664" s="40" t="s">
        <v>11404</v>
      </c>
      <c r="F21664" s="40" t="s">
        <v>11404</v>
      </c>
      <c r="G21664" s="40" t="s">
        <v>11404</v>
      </c>
      <c r="H21664" s="40" t="s">
        <v>11404</v>
      </c>
    </row>
    <row r="21665">
      <c r="A21665" s="39"/>
      <c r="E21665" s="40" t="s">
        <v>11404</v>
      </c>
      <c r="F21665" s="40" t="s">
        <v>11404</v>
      </c>
      <c r="G21665" s="40" t="s">
        <v>11404</v>
      </c>
      <c r="H21665" s="40" t="s">
        <v>11404</v>
      </c>
    </row>
    <row r="21666">
      <c r="A21666" s="39"/>
      <c r="E21666" s="40" t="s">
        <v>11404</v>
      </c>
      <c r="F21666" s="40" t="s">
        <v>11404</v>
      </c>
      <c r="G21666" s="40" t="s">
        <v>11404</v>
      </c>
      <c r="H21666" s="40" t="s">
        <v>11404</v>
      </c>
    </row>
    <row r="21667">
      <c r="A21667" s="39"/>
      <c r="E21667" s="40" t="s">
        <v>11404</v>
      </c>
      <c r="F21667" s="40" t="s">
        <v>11404</v>
      </c>
      <c r="G21667" s="40" t="s">
        <v>11404</v>
      </c>
      <c r="H21667" s="40" t="s">
        <v>11404</v>
      </c>
    </row>
    <row r="21668">
      <c r="A21668" s="39"/>
      <c r="E21668" s="40" t="s">
        <v>11404</v>
      </c>
      <c r="F21668" s="40" t="s">
        <v>11404</v>
      </c>
      <c r="G21668" s="40" t="s">
        <v>11404</v>
      </c>
      <c r="H21668" s="40" t="s">
        <v>11404</v>
      </c>
    </row>
    <row r="21669">
      <c r="A21669" s="39"/>
      <c r="E21669" s="40" t="s">
        <v>11404</v>
      </c>
      <c r="F21669" s="40" t="s">
        <v>11404</v>
      </c>
      <c r="G21669" s="40" t="s">
        <v>11404</v>
      </c>
      <c r="H21669" s="40" t="s">
        <v>11404</v>
      </c>
    </row>
    <row r="21670">
      <c r="A21670" s="39"/>
      <c r="E21670" s="40" t="s">
        <v>11404</v>
      </c>
      <c r="F21670" s="40" t="s">
        <v>11404</v>
      </c>
      <c r="G21670" s="40" t="s">
        <v>11404</v>
      </c>
      <c r="H21670" s="40" t="s">
        <v>11404</v>
      </c>
    </row>
    <row r="21671">
      <c r="A21671" s="39"/>
      <c r="E21671" s="40" t="s">
        <v>11404</v>
      </c>
      <c r="F21671" s="40" t="s">
        <v>11404</v>
      </c>
      <c r="G21671" s="40" t="s">
        <v>11404</v>
      </c>
      <c r="H21671" s="40" t="s">
        <v>11404</v>
      </c>
    </row>
    <row r="21672">
      <c r="A21672" s="39"/>
      <c r="E21672" s="40" t="s">
        <v>11404</v>
      </c>
      <c r="F21672" s="40" t="s">
        <v>11404</v>
      </c>
      <c r="G21672" s="40" t="s">
        <v>11404</v>
      </c>
      <c r="H21672" s="40" t="s">
        <v>11404</v>
      </c>
    </row>
    <row r="21673">
      <c r="A21673" s="39"/>
      <c r="E21673" s="40" t="s">
        <v>11404</v>
      </c>
      <c r="F21673" s="40" t="s">
        <v>11404</v>
      </c>
      <c r="G21673" s="40" t="s">
        <v>11404</v>
      </c>
      <c r="H21673" s="40" t="s">
        <v>11404</v>
      </c>
    </row>
    <row r="21674">
      <c r="A21674" s="39"/>
      <c r="E21674" s="40" t="s">
        <v>11404</v>
      </c>
      <c r="F21674" s="40" t="s">
        <v>11404</v>
      </c>
      <c r="G21674" s="40" t="s">
        <v>11404</v>
      </c>
      <c r="H21674" s="40" t="s">
        <v>11404</v>
      </c>
    </row>
    <row r="21675">
      <c r="A21675" s="39"/>
      <c r="E21675" s="40" t="s">
        <v>11404</v>
      </c>
      <c r="F21675" s="40" t="s">
        <v>11404</v>
      </c>
      <c r="G21675" s="40" t="s">
        <v>11404</v>
      </c>
      <c r="H21675" s="40" t="s">
        <v>11404</v>
      </c>
    </row>
    <row r="21676">
      <c r="A21676" s="39"/>
      <c r="E21676" s="40" t="s">
        <v>11404</v>
      </c>
      <c r="F21676" s="40" t="s">
        <v>11404</v>
      </c>
      <c r="G21676" s="40" t="s">
        <v>11404</v>
      </c>
      <c r="H21676" s="40" t="s">
        <v>11404</v>
      </c>
    </row>
    <row r="21677">
      <c r="A21677" s="39"/>
      <c r="E21677" s="40" t="s">
        <v>11404</v>
      </c>
      <c r="F21677" s="40" t="s">
        <v>11404</v>
      </c>
      <c r="G21677" s="40" t="s">
        <v>11404</v>
      </c>
      <c r="H21677" s="40" t="s">
        <v>11404</v>
      </c>
    </row>
    <row r="21678">
      <c r="A21678" s="39"/>
      <c r="E21678" s="40" t="s">
        <v>11404</v>
      </c>
      <c r="F21678" s="40" t="s">
        <v>11404</v>
      </c>
      <c r="G21678" s="40" t="s">
        <v>11404</v>
      </c>
      <c r="H21678" s="40" t="s">
        <v>11404</v>
      </c>
    </row>
    <row r="21679">
      <c r="A21679" s="39"/>
      <c r="E21679" s="40" t="s">
        <v>11404</v>
      </c>
      <c r="F21679" s="40" t="s">
        <v>11404</v>
      </c>
      <c r="G21679" s="40" t="s">
        <v>11404</v>
      </c>
      <c r="H21679" s="40" t="s">
        <v>11404</v>
      </c>
    </row>
    <row r="21680">
      <c r="A21680" s="39"/>
      <c r="E21680" s="40" t="s">
        <v>11404</v>
      </c>
      <c r="F21680" s="40" t="s">
        <v>11404</v>
      </c>
      <c r="G21680" s="40" t="s">
        <v>11404</v>
      </c>
      <c r="H21680" s="40" t="s">
        <v>11404</v>
      </c>
    </row>
    <row r="21681">
      <c r="A21681" s="39"/>
      <c r="E21681" s="40" t="s">
        <v>11404</v>
      </c>
      <c r="F21681" s="40" t="s">
        <v>11404</v>
      </c>
      <c r="G21681" s="40" t="s">
        <v>11404</v>
      </c>
      <c r="H21681" s="40" t="s">
        <v>11404</v>
      </c>
    </row>
    <row r="21682">
      <c r="A21682" s="39"/>
      <c r="E21682" s="40" t="s">
        <v>11404</v>
      </c>
      <c r="F21682" s="40" t="s">
        <v>11404</v>
      </c>
      <c r="G21682" s="40" t="s">
        <v>11404</v>
      </c>
      <c r="H21682" s="40" t="s">
        <v>11404</v>
      </c>
    </row>
    <row r="21683">
      <c r="A21683" s="39"/>
      <c r="E21683" s="40" t="s">
        <v>11404</v>
      </c>
      <c r="F21683" s="40" t="s">
        <v>11404</v>
      </c>
      <c r="G21683" s="40" t="s">
        <v>11404</v>
      </c>
      <c r="H21683" s="40" t="s">
        <v>11404</v>
      </c>
    </row>
    <row r="21684">
      <c r="A21684" s="39"/>
      <c r="E21684" s="40" t="s">
        <v>11404</v>
      </c>
      <c r="F21684" s="40" t="s">
        <v>11404</v>
      </c>
      <c r="G21684" s="40" t="s">
        <v>11404</v>
      </c>
      <c r="H21684" s="40" t="s">
        <v>11404</v>
      </c>
    </row>
    <row r="21685">
      <c r="A21685" s="39"/>
      <c r="E21685" s="40" t="s">
        <v>11404</v>
      </c>
      <c r="F21685" s="40" t="s">
        <v>11404</v>
      </c>
      <c r="G21685" s="40" t="s">
        <v>11404</v>
      </c>
      <c r="H21685" s="40" t="s">
        <v>11404</v>
      </c>
    </row>
    <row r="21686">
      <c r="A21686" s="39"/>
      <c r="E21686" s="40" t="s">
        <v>11404</v>
      </c>
      <c r="F21686" s="40" t="s">
        <v>11404</v>
      </c>
      <c r="G21686" s="40" t="s">
        <v>11404</v>
      </c>
      <c r="H21686" s="40" t="s">
        <v>11404</v>
      </c>
    </row>
    <row r="21687">
      <c r="A21687" s="39"/>
      <c r="E21687" s="40" t="s">
        <v>11404</v>
      </c>
      <c r="F21687" s="40" t="s">
        <v>11404</v>
      </c>
      <c r="G21687" s="40" t="s">
        <v>11404</v>
      </c>
      <c r="H21687" s="40" t="s">
        <v>11404</v>
      </c>
    </row>
    <row r="21688">
      <c r="A21688" s="39"/>
      <c r="E21688" s="40" t="s">
        <v>11404</v>
      </c>
      <c r="F21688" s="40" t="s">
        <v>11404</v>
      </c>
      <c r="G21688" s="40" t="s">
        <v>11404</v>
      </c>
      <c r="H21688" s="40" t="s">
        <v>11404</v>
      </c>
    </row>
    <row r="21689">
      <c r="A21689" s="39"/>
      <c r="E21689" s="40" t="s">
        <v>11404</v>
      </c>
      <c r="F21689" s="40" t="s">
        <v>11404</v>
      </c>
      <c r="G21689" s="40" t="s">
        <v>11404</v>
      </c>
      <c r="H21689" s="40" t="s">
        <v>11404</v>
      </c>
    </row>
    <row r="21690">
      <c r="A21690" s="39"/>
      <c r="E21690" s="40" t="s">
        <v>11404</v>
      </c>
      <c r="F21690" s="40" t="s">
        <v>11404</v>
      </c>
      <c r="G21690" s="40" t="s">
        <v>11404</v>
      </c>
      <c r="H21690" s="40" t="s">
        <v>11404</v>
      </c>
    </row>
    <row r="21691">
      <c r="A21691" s="39"/>
      <c r="E21691" s="40" t="s">
        <v>11404</v>
      </c>
      <c r="F21691" s="40" t="s">
        <v>11404</v>
      </c>
      <c r="G21691" s="40" t="s">
        <v>11404</v>
      </c>
      <c r="H21691" s="40" t="s">
        <v>11404</v>
      </c>
    </row>
    <row r="21692">
      <c r="A21692" s="39"/>
      <c r="E21692" s="40" t="s">
        <v>11404</v>
      </c>
      <c r="F21692" s="40" t="s">
        <v>11404</v>
      </c>
      <c r="G21692" s="40" t="s">
        <v>11404</v>
      </c>
      <c r="H21692" s="40" t="s">
        <v>11404</v>
      </c>
    </row>
    <row r="21693">
      <c r="A21693" s="39"/>
      <c r="E21693" s="40" t="s">
        <v>11404</v>
      </c>
      <c r="F21693" s="40" t="s">
        <v>11404</v>
      </c>
      <c r="G21693" s="40" t="s">
        <v>11404</v>
      </c>
      <c r="H21693" s="40" t="s">
        <v>11404</v>
      </c>
    </row>
    <row r="21694">
      <c r="A21694" s="39"/>
      <c r="E21694" s="40" t="s">
        <v>11404</v>
      </c>
      <c r="F21694" s="40" t="s">
        <v>11404</v>
      </c>
      <c r="G21694" s="40" t="s">
        <v>11404</v>
      </c>
      <c r="H21694" s="40" t="s">
        <v>11404</v>
      </c>
    </row>
    <row r="21695">
      <c r="A21695" s="39"/>
      <c r="E21695" s="40" t="s">
        <v>11404</v>
      </c>
      <c r="F21695" s="40" t="s">
        <v>11404</v>
      </c>
      <c r="G21695" s="40" t="s">
        <v>11404</v>
      </c>
      <c r="H21695" s="40" t="s">
        <v>11404</v>
      </c>
    </row>
    <row r="21696">
      <c r="A21696" s="39"/>
      <c r="E21696" s="40" t="s">
        <v>11404</v>
      </c>
      <c r="F21696" s="40" t="s">
        <v>11404</v>
      </c>
      <c r="G21696" s="40" t="s">
        <v>11404</v>
      </c>
      <c r="H21696" s="40" t="s">
        <v>11404</v>
      </c>
    </row>
    <row r="21697">
      <c r="A21697" s="39"/>
      <c r="E21697" s="40" t="s">
        <v>11404</v>
      </c>
      <c r="F21697" s="40" t="s">
        <v>11404</v>
      </c>
      <c r="G21697" s="40" t="s">
        <v>11404</v>
      </c>
      <c r="H21697" s="40" t="s">
        <v>11404</v>
      </c>
    </row>
    <row r="21698">
      <c r="A21698" s="39"/>
      <c r="E21698" s="40" t="s">
        <v>11404</v>
      </c>
      <c r="F21698" s="40" t="s">
        <v>11404</v>
      </c>
      <c r="G21698" s="40" t="s">
        <v>11404</v>
      </c>
      <c r="H21698" s="40" t="s">
        <v>11404</v>
      </c>
    </row>
    <row r="21699">
      <c r="A21699" s="39"/>
      <c r="E21699" s="40" t="s">
        <v>11404</v>
      </c>
      <c r="F21699" s="40" t="s">
        <v>11404</v>
      </c>
      <c r="G21699" s="40" t="s">
        <v>11404</v>
      </c>
      <c r="H21699" s="40" t="s">
        <v>11404</v>
      </c>
    </row>
    <row r="21700">
      <c r="A21700" s="39"/>
      <c r="E21700" s="40" t="s">
        <v>11404</v>
      </c>
      <c r="F21700" s="40" t="s">
        <v>11404</v>
      </c>
      <c r="G21700" s="40" t="s">
        <v>11404</v>
      </c>
      <c r="H21700" s="40" t="s">
        <v>11404</v>
      </c>
    </row>
    <row r="21701">
      <c r="A21701" s="39"/>
      <c r="E21701" s="40" t="s">
        <v>11404</v>
      </c>
      <c r="F21701" s="40" t="s">
        <v>11404</v>
      </c>
      <c r="G21701" s="40" t="s">
        <v>11404</v>
      </c>
      <c r="H21701" s="40" t="s">
        <v>11404</v>
      </c>
    </row>
    <row r="21702">
      <c r="A21702" s="39"/>
      <c r="E21702" s="40" t="s">
        <v>11404</v>
      </c>
      <c r="F21702" s="40" t="s">
        <v>11404</v>
      </c>
      <c r="G21702" s="40" t="s">
        <v>11404</v>
      </c>
      <c r="H21702" s="40" t="s">
        <v>11404</v>
      </c>
    </row>
    <row r="21703">
      <c r="A21703" s="39"/>
      <c r="E21703" s="40" t="s">
        <v>11404</v>
      </c>
      <c r="F21703" s="40" t="s">
        <v>11404</v>
      </c>
      <c r="G21703" s="40" t="s">
        <v>11404</v>
      </c>
      <c r="H21703" s="40" t="s">
        <v>11404</v>
      </c>
    </row>
    <row r="21704">
      <c r="A21704" s="39"/>
      <c r="E21704" s="40" t="s">
        <v>11404</v>
      </c>
      <c r="F21704" s="40" t="s">
        <v>11404</v>
      </c>
      <c r="G21704" s="40" t="s">
        <v>11404</v>
      </c>
      <c r="H21704" s="40" t="s">
        <v>11404</v>
      </c>
    </row>
    <row r="21705">
      <c r="A21705" s="39"/>
      <c r="E21705" s="40" t="s">
        <v>11404</v>
      </c>
      <c r="F21705" s="40" t="s">
        <v>11404</v>
      </c>
      <c r="G21705" s="40" t="s">
        <v>11404</v>
      </c>
      <c r="H21705" s="40" t="s">
        <v>11404</v>
      </c>
    </row>
    <row r="21706">
      <c r="A21706" s="39"/>
      <c r="E21706" s="40" t="s">
        <v>11404</v>
      </c>
      <c r="F21706" s="40" t="s">
        <v>11404</v>
      </c>
      <c r="G21706" s="40" t="s">
        <v>11404</v>
      </c>
      <c r="H21706" s="40" t="s">
        <v>11404</v>
      </c>
    </row>
    <row r="21707">
      <c r="A21707" s="39"/>
      <c r="E21707" s="40" t="s">
        <v>11404</v>
      </c>
      <c r="F21707" s="40" t="s">
        <v>11404</v>
      </c>
      <c r="G21707" s="40" t="s">
        <v>11404</v>
      </c>
      <c r="H21707" s="40" t="s">
        <v>11404</v>
      </c>
    </row>
    <row r="21708">
      <c r="A21708" s="39"/>
      <c r="E21708" s="40" t="s">
        <v>11404</v>
      </c>
      <c r="F21708" s="40" t="s">
        <v>11404</v>
      </c>
      <c r="G21708" s="40" t="s">
        <v>11404</v>
      </c>
      <c r="H21708" s="40" t="s">
        <v>11404</v>
      </c>
    </row>
    <row r="21709">
      <c r="A21709" s="39"/>
      <c r="E21709" s="40" t="s">
        <v>11404</v>
      </c>
      <c r="F21709" s="40" t="s">
        <v>11404</v>
      </c>
      <c r="G21709" s="40" t="s">
        <v>11404</v>
      </c>
      <c r="H21709" s="40" t="s">
        <v>11404</v>
      </c>
    </row>
    <row r="21710">
      <c r="A21710" s="39"/>
      <c r="E21710" s="40" t="s">
        <v>11404</v>
      </c>
      <c r="F21710" s="40" t="s">
        <v>11404</v>
      </c>
      <c r="G21710" s="40" t="s">
        <v>11404</v>
      </c>
      <c r="H21710" s="40" t="s">
        <v>11404</v>
      </c>
    </row>
    <row r="21711">
      <c r="A21711" s="39"/>
      <c r="E21711" s="40" t="s">
        <v>11404</v>
      </c>
      <c r="F21711" s="40" t="s">
        <v>11404</v>
      </c>
      <c r="G21711" s="40" t="s">
        <v>11404</v>
      </c>
      <c r="H21711" s="40" t="s">
        <v>11404</v>
      </c>
    </row>
    <row r="21712">
      <c r="A21712" s="39"/>
      <c r="E21712" s="40" t="s">
        <v>11404</v>
      </c>
      <c r="F21712" s="40" t="s">
        <v>11404</v>
      </c>
      <c r="G21712" s="40" t="s">
        <v>11404</v>
      </c>
      <c r="H21712" s="40" t="s">
        <v>11404</v>
      </c>
    </row>
    <row r="21713">
      <c r="A21713" s="39"/>
      <c r="E21713" s="40" t="s">
        <v>11404</v>
      </c>
      <c r="F21713" s="40" t="s">
        <v>11404</v>
      </c>
      <c r="G21713" s="40" t="s">
        <v>11404</v>
      </c>
      <c r="H21713" s="40" t="s">
        <v>11404</v>
      </c>
    </row>
    <row r="21714">
      <c r="A21714" s="39"/>
      <c r="E21714" s="40" t="s">
        <v>11404</v>
      </c>
      <c r="F21714" s="40" t="s">
        <v>11404</v>
      </c>
      <c r="G21714" s="40" t="s">
        <v>11404</v>
      </c>
      <c r="H21714" s="40" t="s">
        <v>11404</v>
      </c>
    </row>
    <row r="21715">
      <c r="A21715" s="39"/>
      <c r="E21715" s="40" t="s">
        <v>11404</v>
      </c>
      <c r="F21715" s="40" t="s">
        <v>11404</v>
      </c>
      <c r="G21715" s="40" t="s">
        <v>11404</v>
      </c>
      <c r="H21715" s="40" t="s">
        <v>11404</v>
      </c>
    </row>
    <row r="21716">
      <c r="A21716" s="39"/>
      <c r="E21716" s="40" t="s">
        <v>11404</v>
      </c>
      <c r="F21716" s="40" t="s">
        <v>11404</v>
      </c>
      <c r="G21716" s="40" t="s">
        <v>11404</v>
      </c>
      <c r="H21716" s="40" t="s">
        <v>11404</v>
      </c>
    </row>
    <row r="21717">
      <c r="A21717" s="39"/>
      <c r="E21717" s="40" t="s">
        <v>11404</v>
      </c>
      <c r="F21717" s="40" t="s">
        <v>11404</v>
      </c>
      <c r="G21717" s="40" t="s">
        <v>11404</v>
      </c>
      <c r="H21717" s="40" t="s">
        <v>11404</v>
      </c>
    </row>
    <row r="21718">
      <c r="A21718" s="39"/>
      <c r="E21718" s="40" t="s">
        <v>11404</v>
      </c>
      <c r="F21718" s="40" t="s">
        <v>11404</v>
      </c>
      <c r="G21718" s="40" t="s">
        <v>11404</v>
      </c>
      <c r="H21718" s="40" t="s">
        <v>11404</v>
      </c>
    </row>
    <row r="21719">
      <c r="A21719" s="39"/>
      <c r="E21719" s="40" t="s">
        <v>11404</v>
      </c>
      <c r="F21719" s="40" t="s">
        <v>11404</v>
      </c>
      <c r="G21719" s="40" t="s">
        <v>11404</v>
      </c>
      <c r="H21719" s="40" t="s">
        <v>11404</v>
      </c>
    </row>
    <row r="21720">
      <c r="A21720" s="39"/>
      <c r="E21720" s="40" t="s">
        <v>11404</v>
      </c>
      <c r="F21720" s="40" t="s">
        <v>11404</v>
      </c>
      <c r="G21720" s="40" t="s">
        <v>11404</v>
      </c>
      <c r="H21720" s="40" t="s">
        <v>11404</v>
      </c>
    </row>
    <row r="21721">
      <c r="A21721" s="39"/>
      <c r="E21721" s="40" t="s">
        <v>11404</v>
      </c>
      <c r="F21721" s="40" t="s">
        <v>11404</v>
      </c>
      <c r="G21721" s="40" t="s">
        <v>11404</v>
      </c>
      <c r="H21721" s="40" t="s">
        <v>11404</v>
      </c>
    </row>
    <row r="21722">
      <c r="A21722" s="39"/>
      <c r="E21722" s="40" t="s">
        <v>11404</v>
      </c>
      <c r="F21722" s="40" t="s">
        <v>11404</v>
      </c>
      <c r="G21722" s="40" t="s">
        <v>11404</v>
      </c>
      <c r="H21722" s="40" t="s">
        <v>11404</v>
      </c>
    </row>
    <row r="21723">
      <c r="A21723" s="39"/>
      <c r="E21723" s="40" t="s">
        <v>11404</v>
      </c>
      <c r="F21723" s="40" t="s">
        <v>11404</v>
      </c>
      <c r="G21723" s="40" t="s">
        <v>11404</v>
      </c>
      <c r="H21723" s="40" t="s">
        <v>11404</v>
      </c>
    </row>
    <row r="21724">
      <c r="A21724" s="39"/>
      <c r="E21724" s="40" t="s">
        <v>11404</v>
      </c>
      <c r="F21724" s="40" t="s">
        <v>11404</v>
      </c>
      <c r="G21724" s="40" t="s">
        <v>11404</v>
      </c>
      <c r="H21724" s="40" t="s">
        <v>11404</v>
      </c>
    </row>
    <row r="21725">
      <c r="A21725" s="39"/>
      <c r="E21725" s="40" t="s">
        <v>11404</v>
      </c>
      <c r="F21725" s="40" t="s">
        <v>11404</v>
      </c>
      <c r="G21725" s="40" t="s">
        <v>11404</v>
      </c>
      <c r="H21725" s="40" t="s">
        <v>11404</v>
      </c>
    </row>
    <row r="21726">
      <c r="A21726" s="39"/>
      <c r="E21726" s="40" t="s">
        <v>11404</v>
      </c>
      <c r="F21726" s="40" t="s">
        <v>11404</v>
      </c>
      <c r="G21726" s="40" t="s">
        <v>11404</v>
      </c>
      <c r="H21726" s="40" t="s">
        <v>11404</v>
      </c>
    </row>
    <row r="21727">
      <c r="A21727" s="39"/>
      <c r="E21727" s="40" t="s">
        <v>11404</v>
      </c>
      <c r="F21727" s="40" t="s">
        <v>11404</v>
      </c>
      <c r="G21727" s="40" t="s">
        <v>11404</v>
      </c>
      <c r="H21727" s="40" t="s">
        <v>11404</v>
      </c>
    </row>
    <row r="21728">
      <c r="A21728" s="39"/>
      <c r="E21728" s="40" t="s">
        <v>11404</v>
      </c>
      <c r="F21728" s="40" t="s">
        <v>11404</v>
      </c>
      <c r="G21728" s="40" t="s">
        <v>11404</v>
      </c>
      <c r="H21728" s="40" t="s">
        <v>11404</v>
      </c>
    </row>
    <row r="21729">
      <c r="A21729" s="39"/>
      <c r="E21729" s="40" t="s">
        <v>11404</v>
      </c>
      <c r="F21729" s="40" t="s">
        <v>11404</v>
      </c>
      <c r="G21729" s="40" t="s">
        <v>11404</v>
      </c>
      <c r="H21729" s="40" t="s">
        <v>11404</v>
      </c>
    </row>
    <row r="21730">
      <c r="A21730" s="39"/>
      <c r="E21730" s="40" t="s">
        <v>11404</v>
      </c>
      <c r="F21730" s="40" t="s">
        <v>11404</v>
      </c>
      <c r="G21730" s="40" t="s">
        <v>11404</v>
      </c>
      <c r="H21730" s="40" t="s">
        <v>11404</v>
      </c>
    </row>
    <row r="21731">
      <c r="A21731" s="39"/>
      <c r="E21731" s="40" t="s">
        <v>11404</v>
      </c>
      <c r="F21731" s="40" t="s">
        <v>11404</v>
      </c>
      <c r="G21731" s="40" t="s">
        <v>11404</v>
      </c>
      <c r="H21731" s="40" t="s">
        <v>11404</v>
      </c>
    </row>
    <row r="21732">
      <c r="A21732" s="39"/>
      <c r="E21732" s="40" t="s">
        <v>11404</v>
      </c>
      <c r="F21732" s="40" t="s">
        <v>11404</v>
      </c>
      <c r="G21732" s="40" t="s">
        <v>11404</v>
      </c>
      <c r="H21732" s="40" t="s">
        <v>11404</v>
      </c>
    </row>
    <row r="21733">
      <c r="A21733" s="39"/>
      <c r="E21733" s="40" t="s">
        <v>11404</v>
      </c>
      <c r="F21733" s="40" t="s">
        <v>11404</v>
      </c>
      <c r="G21733" s="40" t="s">
        <v>11404</v>
      </c>
      <c r="H21733" s="40" t="s">
        <v>11404</v>
      </c>
    </row>
    <row r="21734">
      <c r="A21734" s="39"/>
      <c r="E21734" s="40" t="s">
        <v>11404</v>
      </c>
      <c r="F21734" s="40" t="s">
        <v>11404</v>
      </c>
      <c r="G21734" s="40" t="s">
        <v>11404</v>
      </c>
      <c r="H21734" s="40" t="s">
        <v>11404</v>
      </c>
    </row>
    <row r="21735">
      <c r="A21735" s="39"/>
      <c r="E21735" s="40" t="s">
        <v>11404</v>
      </c>
      <c r="F21735" s="40" t="s">
        <v>11404</v>
      </c>
      <c r="G21735" s="40" t="s">
        <v>11404</v>
      </c>
      <c r="H21735" s="40" t="s">
        <v>11404</v>
      </c>
    </row>
    <row r="21736">
      <c r="A21736" s="39"/>
      <c r="E21736" s="40" t="s">
        <v>11404</v>
      </c>
      <c r="F21736" s="40" t="s">
        <v>11404</v>
      </c>
      <c r="G21736" s="40" t="s">
        <v>11404</v>
      </c>
      <c r="H21736" s="40" t="s">
        <v>11404</v>
      </c>
    </row>
    <row r="21737">
      <c r="A21737" s="39"/>
      <c r="E21737" s="40" t="s">
        <v>11404</v>
      </c>
      <c r="F21737" s="40" t="s">
        <v>11404</v>
      </c>
      <c r="G21737" s="40" t="s">
        <v>11404</v>
      </c>
      <c r="H21737" s="40" t="s">
        <v>11404</v>
      </c>
    </row>
    <row r="21738">
      <c r="A21738" s="39"/>
      <c r="E21738" s="40" t="s">
        <v>11404</v>
      </c>
      <c r="F21738" s="40" t="s">
        <v>11404</v>
      </c>
      <c r="G21738" s="40" t="s">
        <v>11404</v>
      </c>
      <c r="H21738" s="40" t="s">
        <v>11404</v>
      </c>
    </row>
    <row r="21739">
      <c r="A21739" s="39"/>
      <c r="E21739" s="40" t="s">
        <v>11404</v>
      </c>
      <c r="F21739" s="40" t="s">
        <v>11404</v>
      </c>
      <c r="G21739" s="40" t="s">
        <v>11404</v>
      </c>
      <c r="H21739" s="40" t="s">
        <v>11404</v>
      </c>
    </row>
    <row r="21740">
      <c r="A21740" s="39"/>
      <c r="E21740" s="40" t="s">
        <v>11404</v>
      </c>
      <c r="F21740" s="40" t="s">
        <v>11404</v>
      </c>
      <c r="G21740" s="40" t="s">
        <v>11404</v>
      </c>
      <c r="H21740" s="40" t="s">
        <v>11404</v>
      </c>
    </row>
    <row r="21741">
      <c r="A21741" s="39"/>
      <c r="E21741" s="40" t="s">
        <v>11404</v>
      </c>
      <c r="F21741" s="40" t="s">
        <v>11404</v>
      </c>
      <c r="G21741" s="40" t="s">
        <v>11404</v>
      </c>
      <c r="H21741" s="40" t="s">
        <v>11404</v>
      </c>
    </row>
    <row r="21742">
      <c r="A21742" s="39"/>
      <c r="E21742" s="40" t="s">
        <v>11404</v>
      </c>
      <c r="F21742" s="40" t="s">
        <v>11404</v>
      </c>
      <c r="G21742" s="40" t="s">
        <v>11404</v>
      </c>
      <c r="H21742" s="40" t="s">
        <v>11404</v>
      </c>
    </row>
    <row r="21743">
      <c r="A21743" s="39"/>
      <c r="E21743" s="40" t="s">
        <v>11404</v>
      </c>
      <c r="F21743" s="40" t="s">
        <v>11404</v>
      </c>
      <c r="G21743" s="40" t="s">
        <v>11404</v>
      </c>
      <c r="H21743" s="40" t="s">
        <v>11404</v>
      </c>
    </row>
    <row r="21744">
      <c r="A21744" s="39"/>
      <c r="E21744" s="40" t="s">
        <v>11404</v>
      </c>
      <c r="F21744" s="40" t="s">
        <v>11404</v>
      </c>
      <c r="G21744" s="40" t="s">
        <v>11404</v>
      </c>
      <c r="H21744" s="40" t="s">
        <v>11404</v>
      </c>
    </row>
    <row r="21745">
      <c r="A21745" s="39"/>
      <c r="E21745" s="40" t="s">
        <v>11404</v>
      </c>
      <c r="F21745" s="40" t="s">
        <v>11404</v>
      </c>
      <c r="G21745" s="40" t="s">
        <v>11404</v>
      </c>
      <c r="H21745" s="40" t="s">
        <v>11404</v>
      </c>
    </row>
    <row r="21746">
      <c r="A21746" s="39"/>
      <c r="E21746" s="40" t="s">
        <v>11404</v>
      </c>
      <c r="F21746" s="40" t="s">
        <v>11404</v>
      </c>
      <c r="G21746" s="40" t="s">
        <v>11404</v>
      </c>
      <c r="H21746" s="40" t="s">
        <v>11404</v>
      </c>
    </row>
    <row r="21747">
      <c r="A21747" s="39"/>
      <c r="E21747" s="40" t="s">
        <v>11404</v>
      </c>
      <c r="F21747" s="40" t="s">
        <v>11404</v>
      </c>
      <c r="G21747" s="40" t="s">
        <v>11404</v>
      </c>
      <c r="H21747" s="40" t="s">
        <v>11404</v>
      </c>
    </row>
    <row r="21748">
      <c r="A21748" s="39"/>
      <c r="E21748" s="40" t="s">
        <v>11404</v>
      </c>
      <c r="F21748" s="40" t="s">
        <v>11404</v>
      </c>
      <c r="G21748" s="40" t="s">
        <v>11404</v>
      </c>
      <c r="H21748" s="40" t="s">
        <v>11404</v>
      </c>
    </row>
    <row r="21749">
      <c r="A21749" s="39"/>
      <c r="E21749" s="40" t="s">
        <v>11404</v>
      </c>
      <c r="F21749" s="40" t="s">
        <v>11404</v>
      </c>
      <c r="G21749" s="40" t="s">
        <v>11404</v>
      </c>
      <c r="H21749" s="40" t="s">
        <v>11404</v>
      </c>
    </row>
    <row r="21750">
      <c r="A21750" s="39"/>
      <c r="E21750" s="40" t="s">
        <v>11404</v>
      </c>
      <c r="F21750" s="40" t="s">
        <v>11404</v>
      </c>
      <c r="G21750" s="40" t="s">
        <v>11404</v>
      </c>
      <c r="H21750" s="40" t="s">
        <v>11404</v>
      </c>
    </row>
    <row r="21751">
      <c r="A21751" s="39"/>
      <c r="E21751" s="40" t="s">
        <v>11404</v>
      </c>
      <c r="F21751" s="40" t="s">
        <v>11404</v>
      </c>
      <c r="G21751" s="40" t="s">
        <v>11404</v>
      </c>
      <c r="H21751" s="40" t="s">
        <v>11404</v>
      </c>
    </row>
    <row r="21752">
      <c r="A21752" s="39"/>
      <c r="E21752" s="40" t="s">
        <v>11404</v>
      </c>
      <c r="F21752" s="40" t="s">
        <v>11404</v>
      </c>
      <c r="G21752" s="40" t="s">
        <v>11404</v>
      </c>
      <c r="H21752" s="40" t="s">
        <v>11404</v>
      </c>
    </row>
    <row r="21753">
      <c r="A21753" s="39"/>
      <c r="E21753" s="40" t="s">
        <v>11404</v>
      </c>
      <c r="F21753" s="40" t="s">
        <v>11404</v>
      </c>
      <c r="G21753" s="40" t="s">
        <v>11404</v>
      </c>
      <c r="H21753" s="40" t="s">
        <v>11404</v>
      </c>
    </row>
    <row r="21754">
      <c r="A21754" s="39"/>
      <c r="E21754" s="40" t="s">
        <v>11404</v>
      </c>
      <c r="F21754" s="40" t="s">
        <v>11404</v>
      </c>
      <c r="G21754" s="40" t="s">
        <v>11404</v>
      </c>
      <c r="H21754" s="40" t="s">
        <v>11404</v>
      </c>
    </row>
    <row r="21755">
      <c r="A21755" s="39"/>
      <c r="E21755" s="40" t="s">
        <v>11404</v>
      </c>
      <c r="F21755" s="40" t="s">
        <v>11404</v>
      </c>
      <c r="G21755" s="40" t="s">
        <v>11404</v>
      </c>
      <c r="H21755" s="40" t="s">
        <v>11404</v>
      </c>
    </row>
    <row r="21756">
      <c r="A21756" s="39"/>
      <c r="E21756" s="40" t="s">
        <v>11404</v>
      </c>
      <c r="F21756" s="40" t="s">
        <v>11404</v>
      </c>
      <c r="G21756" s="40" t="s">
        <v>11404</v>
      </c>
      <c r="H21756" s="40" t="s">
        <v>11404</v>
      </c>
    </row>
    <row r="21757">
      <c r="A21757" s="39"/>
      <c r="E21757" s="40" t="s">
        <v>11404</v>
      </c>
      <c r="F21757" s="40" t="s">
        <v>11404</v>
      </c>
      <c r="G21757" s="40" t="s">
        <v>11404</v>
      </c>
      <c r="H21757" s="40" t="s">
        <v>11404</v>
      </c>
    </row>
    <row r="21758">
      <c r="A21758" s="39"/>
      <c r="E21758" s="40" t="s">
        <v>11404</v>
      </c>
      <c r="F21758" s="40" t="s">
        <v>11404</v>
      </c>
      <c r="G21758" s="40" t="s">
        <v>11404</v>
      </c>
      <c r="H21758" s="40" t="s">
        <v>11404</v>
      </c>
    </row>
    <row r="21759">
      <c r="A21759" s="39"/>
      <c r="E21759" s="40" t="s">
        <v>11404</v>
      </c>
      <c r="F21759" s="40" t="s">
        <v>11404</v>
      </c>
      <c r="G21759" s="40" t="s">
        <v>11404</v>
      </c>
      <c r="H21759" s="40" t="s">
        <v>11404</v>
      </c>
    </row>
    <row r="21760">
      <c r="A21760" s="39"/>
      <c r="E21760" s="40" t="s">
        <v>11404</v>
      </c>
      <c r="F21760" s="40" t="s">
        <v>11404</v>
      </c>
      <c r="G21760" s="40" t="s">
        <v>11404</v>
      </c>
      <c r="H21760" s="40" t="s">
        <v>11404</v>
      </c>
    </row>
    <row r="21761">
      <c r="A21761" s="39"/>
      <c r="E21761" s="40" t="s">
        <v>11404</v>
      </c>
      <c r="F21761" s="40" t="s">
        <v>11404</v>
      </c>
      <c r="G21761" s="40" t="s">
        <v>11404</v>
      </c>
      <c r="H21761" s="40" t="s">
        <v>11404</v>
      </c>
    </row>
    <row r="21762">
      <c r="A21762" s="39"/>
      <c r="E21762" s="40" t="s">
        <v>11404</v>
      </c>
      <c r="F21762" s="40" t="s">
        <v>11404</v>
      </c>
      <c r="G21762" s="40" t="s">
        <v>11404</v>
      </c>
      <c r="H21762" s="40" t="s">
        <v>11404</v>
      </c>
    </row>
    <row r="21763">
      <c r="A21763" s="39"/>
      <c r="E21763" s="40" t="s">
        <v>11404</v>
      </c>
      <c r="F21763" s="40" t="s">
        <v>11404</v>
      </c>
      <c r="G21763" s="40" t="s">
        <v>11404</v>
      </c>
      <c r="H21763" s="40" t="s">
        <v>11404</v>
      </c>
    </row>
    <row r="21764">
      <c r="A21764" s="39"/>
      <c r="E21764" s="40" t="s">
        <v>11404</v>
      </c>
      <c r="F21764" s="40" t="s">
        <v>11404</v>
      </c>
      <c r="G21764" s="40" t="s">
        <v>11404</v>
      </c>
      <c r="H21764" s="40" t="s">
        <v>11404</v>
      </c>
    </row>
    <row r="21765">
      <c r="A21765" s="39"/>
      <c r="E21765" s="40" t="s">
        <v>11404</v>
      </c>
      <c r="F21765" s="40" t="s">
        <v>11404</v>
      </c>
      <c r="G21765" s="40" t="s">
        <v>11404</v>
      </c>
      <c r="H21765" s="40" t="s">
        <v>11404</v>
      </c>
    </row>
    <row r="21766">
      <c r="A21766" s="39"/>
      <c r="E21766" s="40" t="s">
        <v>11404</v>
      </c>
      <c r="F21766" s="40" t="s">
        <v>11404</v>
      </c>
      <c r="G21766" s="40" t="s">
        <v>11404</v>
      </c>
      <c r="H21766" s="40" t="s">
        <v>11404</v>
      </c>
    </row>
    <row r="21767">
      <c r="A21767" s="39"/>
      <c r="E21767" s="40" t="s">
        <v>11404</v>
      </c>
      <c r="F21767" s="40" t="s">
        <v>11404</v>
      </c>
      <c r="G21767" s="40" t="s">
        <v>11404</v>
      </c>
      <c r="H21767" s="40" t="s">
        <v>11404</v>
      </c>
    </row>
    <row r="21768">
      <c r="A21768" s="39"/>
      <c r="E21768" s="40" t="s">
        <v>11404</v>
      </c>
      <c r="F21768" s="40" t="s">
        <v>11404</v>
      </c>
      <c r="G21768" s="40" t="s">
        <v>11404</v>
      </c>
      <c r="H21768" s="40" t="s">
        <v>11404</v>
      </c>
    </row>
    <row r="21769">
      <c r="A21769" s="39"/>
      <c r="E21769" s="40" t="s">
        <v>11404</v>
      </c>
      <c r="F21769" s="40" t="s">
        <v>11404</v>
      </c>
      <c r="G21769" s="40" t="s">
        <v>11404</v>
      </c>
      <c r="H21769" s="40" t="s">
        <v>11404</v>
      </c>
    </row>
    <row r="21770">
      <c r="A21770" s="39"/>
      <c r="E21770" s="40" t="s">
        <v>11404</v>
      </c>
      <c r="F21770" s="40" t="s">
        <v>11404</v>
      </c>
      <c r="G21770" s="40" t="s">
        <v>11404</v>
      </c>
      <c r="H21770" s="40" t="s">
        <v>11404</v>
      </c>
    </row>
    <row r="21771">
      <c r="A21771" s="39"/>
      <c r="E21771" s="40" t="s">
        <v>11404</v>
      </c>
      <c r="F21771" s="40" t="s">
        <v>11404</v>
      </c>
      <c r="G21771" s="40" t="s">
        <v>11404</v>
      </c>
      <c r="H21771" s="40" t="s">
        <v>11404</v>
      </c>
    </row>
    <row r="21772">
      <c r="A21772" s="39"/>
      <c r="E21772" s="40" t="s">
        <v>11404</v>
      </c>
      <c r="F21772" s="40" t="s">
        <v>11404</v>
      </c>
      <c r="G21772" s="40" t="s">
        <v>11404</v>
      </c>
      <c r="H21772" s="40" t="s">
        <v>11404</v>
      </c>
    </row>
    <row r="21773">
      <c r="A21773" s="39"/>
      <c r="E21773" s="40" t="s">
        <v>11404</v>
      </c>
      <c r="F21773" s="40" t="s">
        <v>11404</v>
      </c>
      <c r="G21773" s="40" t="s">
        <v>11404</v>
      </c>
      <c r="H21773" s="40" t="s">
        <v>11404</v>
      </c>
    </row>
    <row r="21774">
      <c r="A21774" s="39"/>
      <c r="E21774" s="40" t="s">
        <v>11404</v>
      </c>
      <c r="F21774" s="40" t="s">
        <v>11404</v>
      </c>
      <c r="G21774" s="40" t="s">
        <v>11404</v>
      </c>
      <c r="H21774" s="40" t="s">
        <v>11404</v>
      </c>
    </row>
    <row r="21775">
      <c r="A21775" s="39"/>
      <c r="E21775" s="40" t="s">
        <v>11404</v>
      </c>
      <c r="F21775" s="40" t="s">
        <v>11404</v>
      </c>
      <c r="G21775" s="40" t="s">
        <v>11404</v>
      </c>
      <c r="H21775" s="40" t="s">
        <v>11404</v>
      </c>
    </row>
    <row r="21776">
      <c r="A21776" s="39"/>
      <c r="E21776" s="40" t="s">
        <v>11404</v>
      </c>
      <c r="F21776" s="40" t="s">
        <v>11404</v>
      </c>
      <c r="G21776" s="40" t="s">
        <v>11404</v>
      </c>
      <c r="H21776" s="40" t="s">
        <v>11404</v>
      </c>
    </row>
    <row r="21777">
      <c r="A21777" s="39"/>
      <c r="E21777" s="40" t="s">
        <v>11404</v>
      </c>
      <c r="F21777" s="40" t="s">
        <v>11404</v>
      </c>
      <c r="G21777" s="40" t="s">
        <v>11404</v>
      </c>
      <c r="H21777" s="40" t="s">
        <v>11404</v>
      </c>
    </row>
    <row r="21778">
      <c r="A21778" s="39"/>
      <c r="E21778" s="40" t="s">
        <v>11404</v>
      </c>
      <c r="F21778" s="40" t="s">
        <v>11404</v>
      </c>
      <c r="G21778" s="40" t="s">
        <v>11404</v>
      </c>
      <c r="H21778" s="40" t="s">
        <v>11404</v>
      </c>
    </row>
    <row r="21779">
      <c r="A21779" s="39"/>
      <c r="E21779" s="40" t="s">
        <v>11404</v>
      </c>
      <c r="F21779" s="40" t="s">
        <v>11404</v>
      </c>
      <c r="G21779" s="40" t="s">
        <v>11404</v>
      </c>
      <c r="H21779" s="40" t="s">
        <v>11404</v>
      </c>
    </row>
    <row r="21780">
      <c r="A21780" s="39"/>
      <c r="E21780" s="40" t="s">
        <v>11404</v>
      </c>
      <c r="F21780" s="40" t="s">
        <v>11404</v>
      </c>
      <c r="G21780" s="40" t="s">
        <v>11404</v>
      </c>
      <c r="H21780" s="40" t="s">
        <v>11404</v>
      </c>
    </row>
    <row r="21781">
      <c r="A21781" s="39"/>
      <c r="E21781" s="40" t="s">
        <v>11404</v>
      </c>
      <c r="F21781" s="40" t="s">
        <v>11404</v>
      </c>
      <c r="G21781" s="40" t="s">
        <v>11404</v>
      </c>
      <c r="H21781" s="40" t="s">
        <v>11404</v>
      </c>
    </row>
    <row r="21782">
      <c r="A21782" s="39"/>
      <c r="E21782" s="40" t="s">
        <v>11404</v>
      </c>
      <c r="F21782" s="40" t="s">
        <v>11404</v>
      </c>
      <c r="G21782" s="40" t="s">
        <v>11404</v>
      </c>
      <c r="H21782" s="40" t="s">
        <v>11404</v>
      </c>
    </row>
    <row r="21783">
      <c r="A21783" s="39"/>
      <c r="E21783" s="40" t="s">
        <v>11404</v>
      </c>
      <c r="F21783" s="40" t="s">
        <v>11404</v>
      </c>
      <c r="G21783" s="40" t="s">
        <v>11404</v>
      </c>
      <c r="H21783" s="40" t="s">
        <v>11404</v>
      </c>
    </row>
    <row r="21784">
      <c r="A21784" s="39"/>
      <c r="E21784" s="40" t="s">
        <v>11404</v>
      </c>
      <c r="F21784" s="40" t="s">
        <v>11404</v>
      </c>
      <c r="G21784" s="40" t="s">
        <v>11404</v>
      </c>
      <c r="H21784" s="40" t="s">
        <v>11404</v>
      </c>
    </row>
    <row r="21785">
      <c r="A21785" s="39"/>
      <c r="E21785" s="40" t="s">
        <v>11404</v>
      </c>
      <c r="F21785" s="40" t="s">
        <v>11404</v>
      </c>
      <c r="G21785" s="40" t="s">
        <v>11404</v>
      </c>
      <c r="H21785" s="40" t="s">
        <v>11404</v>
      </c>
    </row>
    <row r="21786">
      <c r="A21786" s="39"/>
      <c r="E21786" s="40" t="s">
        <v>11404</v>
      </c>
      <c r="F21786" s="40" t="s">
        <v>11404</v>
      </c>
      <c r="G21786" s="40" t="s">
        <v>11404</v>
      </c>
      <c r="H21786" s="40" t="s">
        <v>11404</v>
      </c>
    </row>
    <row r="21787">
      <c r="A21787" s="39"/>
      <c r="E21787" s="40" t="s">
        <v>11404</v>
      </c>
      <c r="F21787" s="40" t="s">
        <v>11404</v>
      </c>
      <c r="G21787" s="40" t="s">
        <v>11404</v>
      </c>
      <c r="H21787" s="40" t="s">
        <v>11404</v>
      </c>
    </row>
    <row r="21788">
      <c r="A21788" s="39"/>
      <c r="E21788" s="40" t="s">
        <v>11404</v>
      </c>
      <c r="F21788" s="40" t="s">
        <v>11404</v>
      </c>
      <c r="G21788" s="40" t="s">
        <v>11404</v>
      </c>
      <c r="H21788" s="40" t="s">
        <v>11404</v>
      </c>
    </row>
    <row r="21789">
      <c r="A21789" s="39"/>
      <c r="E21789" s="40" t="s">
        <v>11404</v>
      </c>
      <c r="F21789" s="40" t="s">
        <v>11404</v>
      </c>
      <c r="G21789" s="40" t="s">
        <v>11404</v>
      </c>
      <c r="H21789" s="40" t="s">
        <v>11404</v>
      </c>
    </row>
    <row r="21790">
      <c r="A21790" s="39"/>
      <c r="E21790" s="40" t="s">
        <v>11404</v>
      </c>
      <c r="F21790" s="40" t="s">
        <v>11404</v>
      </c>
      <c r="G21790" s="40" t="s">
        <v>11404</v>
      </c>
      <c r="H21790" s="40" t="s">
        <v>11404</v>
      </c>
    </row>
    <row r="21791">
      <c r="A21791" s="39"/>
      <c r="E21791" s="40" t="s">
        <v>11404</v>
      </c>
      <c r="F21791" s="40" t="s">
        <v>11404</v>
      </c>
      <c r="G21791" s="40" t="s">
        <v>11404</v>
      </c>
      <c r="H21791" s="40" t="s">
        <v>11404</v>
      </c>
    </row>
    <row r="21792">
      <c r="A21792" s="39"/>
      <c r="E21792" s="40" t="s">
        <v>11404</v>
      </c>
      <c r="F21792" s="40" t="s">
        <v>11404</v>
      </c>
      <c r="G21792" s="40" t="s">
        <v>11404</v>
      </c>
      <c r="H21792" s="40" t="s">
        <v>11404</v>
      </c>
    </row>
    <row r="21793">
      <c r="A21793" s="39"/>
      <c r="E21793" s="40" t="s">
        <v>11404</v>
      </c>
      <c r="F21793" s="40" t="s">
        <v>11404</v>
      </c>
      <c r="G21793" s="40" t="s">
        <v>11404</v>
      </c>
      <c r="H21793" s="40" t="s">
        <v>11404</v>
      </c>
    </row>
    <row r="21794">
      <c r="A21794" s="39"/>
      <c r="E21794" s="40" t="s">
        <v>11404</v>
      </c>
      <c r="F21794" s="40" t="s">
        <v>11404</v>
      </c>
      <c r="G21794" s="40" t="s">
        <v>11404</v>
      </c>
      <c r="H21794" s="40" t="s">
        <v>11404</v>
      </c>
    </row>
    <row r="21795">
      <c r="A21795" s="39"/>
      <c r="E21795" s="40" t="s">
        <v>11404</v>
      </c>
      <c r="F21795" s="40" t="s">
        <v>11404</v>
      </c>
      <c r="G21795" s="40" t="s">
        <v>11404</v>
      </c>
      <c r="H21795" s="40" t="s">
        <v>11404</v>
      </c>
    </row>
    <row r="21796">
      <c r="A21796" s="39"/>
      <c r="E21796" s="40" t="s">
        <v>11404</v>
      </c>
      <c r="F21796" s="40" t="s">
        <v>11404</v>
      </c>
      <c r="G21796" s="40" t="s">
        <v>11404</v>
      </c>
      <c r="H21796" s="40" t="s">
        <v>11404</v>
      </c>
    </row>
    <row r="21797">
      <c r="A21797" s="39"/>
      <c r="E21797" s="40" t="s">
        <v>11404</v>
      </c>
      <c r="F21797" s="40" t="s">
        <v>11404</v>
      </c>
      <c r="G21797" s="40" t="s">
        <v>11404</v>
      </c>
      <c r="H21797" s="40" t="s">
        <v>11404</v>
      </c>
    </row>
    <row r="21798">
      <c r="A21798" s="39"/>
      <c r="E21798" s="40" t="s">
        <v>11404</v>
      </c>
      <c r="F21798" s="40" t="s">
        <v>11404</v>
      </c>
      <c r="G21798" s="40" t="s">
        <v>11404</v>
      </c>
      <c r="H21798" s="40" t="s">
        <v>11404</v>
      </c>
    </row>
    <row r="21799">
      <c r="A21799" s="39"/>
      <c r="E21799" s="40" t="s">
        <v>11404</v>
      </c>
      <c r="F21799" s="40" t="s">
        <v>11404</v>
      </c>
      <c r="G21799" s="40" t="s">
        <v>11404</v>
      </c>
      <c r="H21799" s="40" t="s">
        <v>11404</v>
      </c>
    </row>
    <row r="21800">
      <c r="A21800" s="39"/>
      <c r="E21800" s="40" t="s">
        <v>11404</v>
      </c>
      <c r="F21800" s="40" t="s">
        <v>11404</v>
      </c>
      <c r="G21800" s="40" t="s">
        <v>11404</v>
      </c>
      <c r="H21800" s="40" t="s">
        <v>11404</v>
      </c>
    </row>
    <row r="21801">
      <c r="A21801" s="39"/>
      <c r="E21801" s="40" t="s">
        <v>11404</v>
      </c>
      <c r="F21801" s="40" t="s">
        <v>11404</v>
      </c>
      <c r="G21801" s="40" t="s">
        <v>11404</v>
      </c>
      <c r="H21801" s="40" t="s">
        <v>11404</v>
      </c>
    </row>
    <row r="21802">
      <c r="A21802" s="39"/>
      <c r="E21802" s="40" t="s">
        <v>11404</v>
      </c>
      <c r="F21802" s="40" t="s">
        <v>11404</v>
      </c>
      <c r="G21802" s="40" t="s">
        <v>11404</v>
      </c>
      <c r="H21802" s="40" t="s">
        <v>11404</v>
      </c>
    </row>
    <row r="21803">
      <c r="A21803" s="39"/>
      <c r="E21803" s="40" t="s">
        <v>11404</v>
      </c>
      <c r="F21803" s="40" t="s">
        <v>11404</v>
      </c>
      <c r="G21803" s="40" t="s">
        <v>11404</v>
      </c>
      <c r="H21803" s="40" t="s">
        <v>11404</v>
      </c>
    </row>
    <row r="21804">
      <c r="A21804" s="39"/>
      <c r="E21804" s="40" t="s">
        <v>11404</v>
      </c>
      <c r="F21804" s="40" t="s">
        <v>11404</v>
      </c>
      <c r="G21804" s="40" t="s">
        <v>11404</v>
      </c>
      <c r="H21804" s="40" t="s">
        <v>11404</v>
      </c>
    </row>
    <row r="21805">
      <c r="A21805" s="39"/>
      <c r="E21805" s="40" t="s">
        <v>11404</v>
      </c>
      <c r="F21805" s="40" t="s">
        <v>11404</v>
      </c>
      <c r="G21805" s="40" t="s">
        <v>11404</v>
      </c>
      <c r="H21805" s="40" t="s">
        <v>11404</v>
      </c>
    </row>
    <row r="21806">
      <c r="A21806" s="39"/>
      <c r="E21806" s="40" t="s">
        <v>11404</v>
      </c>
      <c r="F21806" s="40" t="s">
        <v>11404</v>
      </c>
      <c r="G21806" s="40" t="s">
        <v>11404</v>
      </c>
      <c r="H21806" s="40" t="s">
        <v>11404</v>
      </c>
    </row>
    <row r="21807">
      <c r="A21807" s="39"/>
      <c r="E21807" s="40" t="s">
        <v>11404</v>
      </c>
      <c r="F21807" s="40" t="s">
        <v>11404</v>
      </c>
      <c r="G21807" s="40" t="s">
        <v>11404</v>
      </c>
      <c r="H21807" s="40" t="s">
        <v>11404</v>
      </c>
    </row>
    <row r="21808">
      <c r="A21808" s="39"/>
      <c r="E21808" s="40" t="s">
        <v>11404</v>
      </c>
      <c r="F21808" s="40" t="s">
        <v>11404</v>
      </c>
      <c r="G21808" s="40" t="s">
        <v>11404</v>
      </c>
      <c r="H21808" s="40" t="s">
        <v>11404</v>
      </c>
    </row>
    <row r="21809">
      <c r="A21809" s="39"/>
      <c r="E21809" s="40" t="s">
        <v>11404</v>
      </c>
      <c r="F21809" s="40" t="s">
        <v>11404</v>
      </c>
      <c r="G21809" s="40" t="s">
        <v>11404</v>
      </c>
      <c r="H21809" s="40" t="s">
        <v>11404</v>
      </c>
    </row>
    <row r="21810">
      <c r="A21810" s="39"/>
      <c r="E21810" s="40" t="s">
        <v>11404</v>
      </c>
      <c r="F21810" s="40" t="s">
        <v>11404</v>
      </c>
      <c r="G21810" s="40" t="s">
        <v>11404</v>
      </c>
      <c r="H21810" s="40" t="s">
        <v>11404</v>
      </c>
    </row>
    <row r="21811">
      <c r="A21811" s="39"/>
      <c r="E21811" s="40" t="s">
        <v>11404</v>
      </c>
      <c r="F21811" s="40" t="s">
        <v>11404</v>
      </c>
      <c r="G21811" s="40" t="s">
        <v>11404</v>
      </c>
      <c r="H21811" s="40" t="s">
        <v>11404</v>
      </c>
    </row>
    <row r="21812">
      <c r="A21812" s="39"/>
      <c r="E21812" s="40" t="s">
        <v>11404</v>
      </c>
      <c r="F21812" s="40" t="s">
        <v>11404</v>
      </c>
      <c r="G21812" s="40" t="s">
        <v>11404</v>
      </c>
      <c r="H21812" s="40" t="s">
        <v>11404</v>
      </c>
    </row>
    <row r="21813">
      <c r="A21813" s="39"/>
      <c r="E21813" s="40" t="s">
        <v>11404</v>
      </c>
      <c r="F21813" s="40" t="s">
        <v>11404</v>
      </c>
      <c r="G21813" s="40" t="s">
        <v>11404</v>
      </c>
      <c r="H21813" s="40" t="s">
        <v>11404</v>
      </c>
    </row>
    <row r="21814">
      <c r="A21814" s="39"/>
      <c r="E21814" s="40" t="s">
        <v>11404</v>
      </c>
      <c r="F21814" s="40" t="s">
        <v>11404</v>
      </c>
      <c r="G21814" s="40" t="s">
        <v>11404</v>
      </c>
      <c r="H21814" s="40" t="s">
        <v>11404</v>
      </c>
    </row>
    <row r="21815">
      <c r="A21815" s="39"/>
      <c r="E21815" s="40" t="s">
        <v>11404</v>
      </c>
      <c r="F21815" s="40" t="s">
        <v>11404</v>
      </c>
      <c r="G21815" s="40" t="s">
        <v>11404</v>
      </c>
      <c r="H21815" s="40" t="s">
        <v>11404</v>
      </c>
    </row>
    <row r="21816">
      <c r="A21816" s="39"/>
      <c r="E21816" s="40" t="s">
        <v>11404</v>
      </c>
      <c r="F21816" s="40" t="s">
        <v>11404</v>
      </c>
      <c r="G21816" s="40" t="s">
        <v>11404</v>
      </c>
      <c r="H21816" s="40" t="s">
        <v>11404</v>
      </c>
    </row>
    <row r="21817">
      <c r="A21817" s="39"/>
      <c r="E21817" s="40" t="s">
        <v>11404</v>
      </c>
      <c r="F21817" s="40" t="s">
        <v>11404</v>
      </c>
      <c r="G21817" s="40" t="s">
        <v>11404</v>
      </c>
      <c r="H21817" s="40" t="s">
        <v>11404</v>
      </c>
    </row>
    <row r="21818">
      <c r="A21818" s="39"/>
      <c r="E21818" s="40" t="s">
        <v>11404</v>
      </c>
      <c r="F21818" s="40" t="s">
        <v>11404</v>
      </c>
      <c r="G21818" s="40" t="s">
        <v>11404</v>
      </c>
      <c r="H21818" s="40" t="s">
        <v>11404</v>
      </c>
    </row>
    <row r="21819">
      <c r="A21819" s="39"/>
      <c r="E21819" s="40" t="s">
        <v>11404</v>
      </c>
      <c r="F21819" s="40" t="s">
        <v>11404</v>
      </c>
      <c r="G21819" s="40" t="s">
        <v>11404</v>
      </c>
      <c r="H21819" s="40" t="s">
        <v>11404</v>
      </c>
    </row>
    <row r="21820">
      <c r="A21820" s="39"/>
      <c r="E21820" s="40" t="s">
        <v>11404</v>
      </c>
      <c r="F21820" s="40" t="s">
        <v>11404</v>
      </c>
      <c r="G21820" s="40" t="s">
        <v>11404</v>
      </c>
      <c r="H21820" s="40" t="s">
        <v>11404</v>
      </c>
    </row>
    <row r="21821">
      <c r="A21821" s="39"/>
      <c r="E21821" s="40" t="s">
        <v>11404</v>
      </c>
      <c r="F21821" s="40" t="s">
        <v>11404</v>
      </c>
      <c r="G21821" s="40" t="s">
        <v>11404</v>
      </c>
      <c r="H21821" s="40" t="s">
        <v>11404</v>
      </c>
    </row>
    <row r="21822">
      <c r="A21822" s="39"/>
      <c r="E21822" s="40" t="s">
        <v>11404</v>
      </c>
      <c r="F21822" s="40" t="s">
        <v>11404</v>
      </c>
      <c r="G21822" s="40" t="s">
        <v>11404</v>
      </c>
      <c r="H21822" s="40" t="s">
        <v>11404</v>
      </c>
    </row>
    <row r="21823">
      <c r="A21823" s="39"/>
      <c r="E21823" s="40" t="s">
        <v>11404</v>
      </c>
      <c r="F21823" s="40" t="s">
        <v>11404</v>
      </c>
      <c r="G21823" s="40" t="s">
        <v>11404</v>
      </c>
      <c r="H21823" s="40" t="s">
        <v>11404</v>
      </c>
    </row>
    <row r="21824">
      <c r="A21824" s="39"/>
      <c r="E21824" s="40" t="s">
        <v>11404</v>
      </c>
      <c r="F21824" s="40" t="s">
        <v>11404</v>
      </c>
      <c r="G21824" s="40" t="s">
        <v>11404</v>
      </c>
      <c r="H21824" s="40" t="s">
        <v>11404</v>
      </c>
    </row>
    <row r="21825">
      <c r="A21825" s="39"/>
      <c r="E21825" s="40" t="s">
        <v>11404</v>
      </c>
      <c r="F21825" s="40" t="s">
        <v>11404</v>
      </c>
      <c r="G21825" s="40" t="s">
        <v>11404</v>
      </c>
      <c r="H21825" s="40" t="s">
        <v>11404</v>
      </c>
    </row>
    <row r="21826">
      <c r="A21826" s="39"/>
      <c r="E21826" s="40" t="s">
        <v>11404</v>
      </c>
      <c r="F21826" s="40" t="s">
        <v>11404</v>
      </c>
      <c r="G21826" s="40" t="s">
        <v>11404</v>
      </c>
      <c r="H21826" s="40" t="s">
        <v>11404</v>
      </c>
    </row>
    <row r="21827">
      <c r="A21827" s="39"/>
      <c r="E21827" s="40" t="s">
        <v>11404</v>
      </c>
      <c r="F21827" s="40" t="s">
        <v>11404</v>
      </c>
      <c r="G21827" s="40" t="s">
        <v>11404</v>
      </c>
      <c r="H21827" s="40" t="s">
        <v>11404</v>
      </c>
    </row>
    <row r="21828">
      <c r="A21828" s="39"/>
      <c r="E21828" s="40" t="s">
        <v>11404</v>
      </c>
      <c r="F21828" s="40" t="s">
        <v>11404</v>
      </c>
      <c r="G21828" s="40" t="s">
        <v>11404</v>
      </c>
      <c r="H21828" s="40" t="s">
        <v>11404</v>
      </c>
    </row>
    <row r="21829">
      <c r="A21829" s="39"/>
      <c r="E21829" s="40" t="s">
        <v>11404</v>
      </c>
      <c r="F21829" s="40" t="s">
        <v>11404</v>
      </c>
      <c r="G21829" s="40" t="s">
        <v>11404</v>
      </c>
      <c r="H21829" s="40" t="s">
        <v>11404</v>
      </c>
    </row>
    <row r="21830">
      <c r="A21830" s="39"/>
      <c r="E21830" s="40" t="s">
        <v>11404</v>
      </c>
      <c r="F21830" s="40" t="s">
        <v>11404</v>
      </c>
      <c r="G21830" s="40" t="s">
        <v>11404</v>
      </c>
      <c r="H21830" s="40" t="s">
        <v>11404</v>
      </c>
    </row>
    <row r="21831">
      <c r="A21831" s="39"/>
      <c r="E21831" s="40" t="s">
        <v>11404</v>
      </c>
      <c r="F21831" s="40" t="s">
        <v>11404</v>
      </c>
      <c r="G21831" s="40" t="s">
        <v>11404</v>
      </c>
      <c r="H21831" s="40" t="s">
        <v>11404</v>
      </c>
    </row>
    <row r="21832">
      <c r="A21832" s="39"/>
      <c r="E21832" s="40" t="s">
        <v>11404</v>
      </c>
      <c r="F21832" s="40" t="s">
        <v>11404</v>
      </c>
      <c r="G21832" s="40" t="s">
        <v>11404</v>
      </c>
      <c r="H21832" s="40" t="s">
        <v>11404</v>
      </c>
    </row>
    <row r="21833">
      <c r="A21833" s="39"/>
      <c r="E21833" s="40" t="s">
        <v>11404</v>
      </c>
      <c r="F21833" s="40" t="s">
        <v>11404</v>
      </c>
      <c r="G21833" s="40" t="s">
        <v>11404</v>
      </c>
      <c r="H21833" s="40" t="s">
        <v>11404</v>
      </c>
    </row>
    <row r="21834">
      <c r="A21834" s="39"/>
      <c r="E21834" s="40" t="s">
        <v>11404</v>
      </c>
      <c r="F21834" s="40" t="s">
        <v>11404</v>
      </c>
      <c r="G21834" s="40" t="s">
        <v>11404</v>
      </c>
      <c r="H21834" s="40" t="s">
        <v>11404</v>
      </c>
    </row>
    <row r="21835">
      <c r="A21835" s="39"/>
      <c r="E21835" s="40" t="s">
        <v>11404</v>
      </c>
      <c r="F21835" s="40" t="s">
        <v>11404</v>
      </c>
      <c r="G21835" s="40" t="s">
        <v>11404</v>
      </c>
      <c r="H21835" s="40" t="s">
        <v>11404</v>
      </c>
    </row>
    <row r="21836">
      <c r="A21836" s="39"/>
      <c r="E21836" s="40" t="s">
        <v>11404</v>
      </c>
      <c r="F21836" s="40" t="s">
        <v>11404</v>
      </c>
      <c r="G21836" s="40" t="s">
        <v>11404</v>
      </c>
      <c r="H21836" s="40" t="s">
        <v>11404</v>
      </c>
    </row>
    <row r="21837">
      <c r="A21837" s="39"/>
      <c r="E21837" s="40" t="s">
        <v>11404</v>
      </c>
      <c r="F21837" s="40" t="s">
        <v>11404</v>
      </c>
      <c r="G21837" s="40" t="s">
        <v>11404</v>
      </c>
      <c r="H21837" s="40" t="s">
        <v>11404</v>
      </c>
    </row>
    <row r="21838">
      <c r="A21838" s="39"/>
      <c r="E21838" s="40" t="s">
        <v>11404</v>
      </c>
      <c r="F21838" s="40" t="s">
        <v>11404</v>
      </c>
      <c r="G21838" s="40" t="s">
        <v>11404</v>
      </c>
      <c r="H21838" s="40" t="s">
        <v>11404</v>
      </c>
    </row>
    <row r="21839">
      <c r="A21839" s="39"/>
      <c r="E21839" s="40" t="s">
        <v>11404</v>
      </c>
      <c r="F21839" s="40" t="s">
        <v>11404</v>
      </c>
      <c r="G21839" s="40" t="s">
        <v>11404</v>
      </c>
      <c r="H21839" s="40" t="s">
        <v>11404</v>
      </c>
    </row>
    <row r="21840">
      <c r="A21840" s="39"/>
      <c r="E21840" s="40" t="s">
        <v>11404</v>
      </c>
      <c r="F21840" s="40" t="s">
        <v>11404</v>
      </c>
      <c r="G21840" s="40" t="s">
        <v>11404</v>
      </c>
      <c r="H21840" s="40" t="s">
        <v>11404</v>
      </c>
    </row>
    <row r="21841">
      <c r="A21841" s="39"/>
      <c r="E21841" s="40" t="s">
        <v>11404</v>
      </c>
      <c r="F21841" s="40" t="s">
        <v>11404</v>
      </c>
      <c r="G21841" s="40" t="s">
        <v>11404</v>
      </c>
      <c r="H21841" s="40" t="s">
        <v>11404</v>
      </c>
    </row>
    <row r="21842">
      <c r="A21842" s="39"/>
      <c r="E21842" s="40" t="s">
        <v>11404</v>
      </c>
      <c r="F21842" s="40" t="s">
        <v>11404</v>
      </c>
      <c r="G21842" s="40" t="s">
        <v>11404</v>
      </c>
      <c r="H21842" s="40" t="s">
        <v>11404</v>
      </c>
    </row>
    <row r="21843">
      <c r="A21843" s="39"/>
      <c r="E21843" s="40" t="s">
        <v>11404</v>
      </c>
      <c r="F21843" s="40" t="s">
        <v>11404</v>
      </c>
      <c r="G21843" s="40" t="s">
        <v>11404</v>
      </c>
      <c r="H21843" s="40" t="s">
        <v>11404</v>
      </c>
    </row>
    <row r="21844">
      <c r="A21844" s="39"/>
      <c r="E21844" s="40" t="s">
        <v>11404</v>
      </c>
      <c r="F21844" s="40" t="s">
        <v>11404</v>
      </c>
      <c r="G21844" s="40" t="s">
        <v>11404</v>
      </c>
      <c r="H21844" s="40" t="s">
        <v>11404</v>
      </c>
    </row>
    <row r="21845">
      <c r="A21845" s="39"/>
      <c r="E21845" s="40" t="s">
        <v>11404</v>
      </c>
      <c r="F21845" s="40" t="s">
        <v>11404</v>
      </c>
      <c r="G21845" s="40" t="s">
        <v>11404</v>
      </c>
      <c r="H21845" s="40" t="s">
        <v>11404</v>
      </c>
    </row>
    <row r="21846">
      <c r="A21846" s="39"/>
      <c r="E21846" s="40" t="s">
        <v>11404</v>
      </c>
      <c r="F21846" s="40" t="s">
        <v>11404</v>
      </c>
      <c r="G21846" s="40" t="s">
        <v>11404</v>
      </c>
      <c r="H21846" s="40" t="s">
        <v>11404</v>
      </c>
    </row>
    <row r="21847">
      <c r="A21847" s="39"/>
      <c r="E21847" s="40" t="s">
        <v>11404</v>
      </c>
      <c r="F21847" s="40" t="s">
        <v>11404</v>
      </c>
      <c r="G21847" s="40" t="s">
        <v>11404</v>
      </c>
      <c r="H21847" s="40" t="s">
        <v>11404</v>
      </c>
    </row>
    <row r="21848">
      <c r="A21848" s="39"/>
      <c r="E21848" s="40" t="s">
        <v>11404</v>
      </c>
      <c r="F21848" s="40" t="s">
        <v>11404</v>
      </c>
      <c r="G21848" s="40" t="s">
        <v>11404</v>
      </c>
      <c r="H21848" s="40" t="s">
        <v>11404</v>
      </c>
    </row>
    <row r="21849">
      <c r="A21849" s="39"/>
      <c r="E21849" s="40" t="s">
        <v>11404</v>
      </c>
      <c r="F21849" s="40" t="s">
        <v>11404</v>
      </c>
      <c r="G21849" s="40" t="s">
        <v>11404</v>
      </c>
      <c r="H21849" s="40" t="s">
        <v>11404</v>
      </c>
    </row>
    <row r="21850">
      <c r="A21850" s="39"/>
      <c r="E21850" s="40" t="s">
        <v>11404</v>
      </c>
      <c r="F21850" s="40" t="s">
        <v>11404</v>
      </c>
      <c r="G21850" s="40" t="s">
        <v>11404</v>
      </c>
      <c r="H21850" s="40" t="s">
        <v>11404</v>
      </c>
    </row>
    <row r="21851">
      <c r="A21851" s="39"/>
      <c r="E21851" s="40" t="s">
        <v>11404</v>
      </c>
      <c r="F21851" s="40" t="s">
        <v>11404</v>
      </c>
      <c r="G21851" s="40" t="s">
        <v>11404</v>
      </c>
      <c r="H21851" s="40" t="s">
        <v>11404</v>
      </c>
    </row>
    <row r="21852">
      <c r="A21852" s="39"/>
      <c r="E21852" s="40" t="s">
        <v>11404</v>
      </c>
      <c r="F21852" s="40" t="s">
        <v>11404</v>
      </c>
      <c r="G21852" s="40" t="s">
        <v>11404</v>
      </c>
      <c r="H21852" s="40" t="s">
        <v>11404</v>
      </c>
    </row>
    <row r="21853">
      <c r="A21853" s="39"/>
      <c r="E21853" s="40" t="s">
        <v>11404</v>
      </c>
      <c r="F21853" s="40" t="s">
        <v>11404</v>
      </c>
      <c r="G21853" s="40" t="s">
        <v>11404</v>
      </c>
      <c r="H21853" s="40" t="s">
        <v>11404</v>
      </c>
    </row>
    <row r="21854">
      <c r="A21854" s="39"/>
      <c r="E21854" s="40" t="s">
        <v>11404</v>
      </c>
      <c r="F21854" s="40" t="s">
        <v>11404</v>
      </c>
      <c r="G21854" s="40" t="s">
        <v>11404</v>
      </c>
      <c r="H21854" s="40" t="s">
        <v>11404</v>
      </c>
    </row>
    <row r="21855">
      <c r="A21855" s="39"/>
      <c r="E21855" s="40" t="s">
        <v>11404</v>
      </c>
      <c r="F21855" s="40" t="s">
        <v>11404</v>
      </c>
      <c r="G21855" s="40" t="s">
        <v>11404</v>
      </c>
      <c r="H21855" s="40" t="s">
        <v>11404</v>
      </c>
    </row>
    <row r="21856">
      <c r="A21856" s="39"/>
      <c r="E21856" s="40" t="s">
        <v>11404</v>
      </c>
      <c r="F21856" s="40" t="s">
        <v>11404</v>
      </c>
      <c r="G21856" s="40" t="s">
        <v>11404</v>
      </c>
      <c r="H21856" s="40" t="s">
        <v>11404</v>
      </c>
    </row>
    <row r="21857">
      <c r="A21857" s="39"/>
      <c r="E21857" s="40" t="s">
        <v>11404</v>
      </c>
      <c r="F21857" s="40" t="s">
        <v>11404</v>
      </c>
      <c r="G21857" s="40" t="s">
        <v>11404</v>
      </c>
      <c r="H21857" s="40" t="s">
        <v>11404</v>
      </c>
    </row>
    <row r="21858">
      <c r="A21858" s="39"/>
      <c r="E21858" s="40" t="s">
        <v>11404</v>
      </c>
      <c r="F21858" s="40" t="s">
        <v>11404</v>
      </c>
      <c r="G21858" s="40" t="s">
        <v>11404</v>
      </c>
      <c r="H21858" s="40" t="s">
        <v>11404</v>
      </c>
    </row>
    <row r="21859">
      <c r="A21859" s="39"/>
      <c r="E21859" s="40" t="s">
        <v>11404</v>
      </c>
      <c r="F21859" s="40" t="s">
        <v>11404</v>
      </c>
      <c r="G21859" s="40" t="s">
        <v>11404</v>
      </c>
      <c r="H21859" s="40" t="s">
        <v>11404</v>
      </c>
    </row>
    <row r="21860">
      <c r="A21860" s="39"/>
      <c r="E21860" s="40" t="s">
        <v>11404</v>
      </c>
      <c r="F21860" s="40" t="s">
        <v>11404</v>
      </c>
      <c r="G21860" s="40" t="s">
        <v>11404</v>
      </c>
      <c r="H21860" s="40" t="s">
        <v>11404</v>
      </c>
    </row>
    <row r="21861">
      <c r="A21861" s="39"/>
      <c r="E21861" s="40" t="s">
        <v>11404</v>
      </c>
      <c r="F21861" s="40" t="s">
        <v>11404</v>
      </c>
      <c r="G21861" s="40" t="s">
        <v>11404</v>
      </c>
      <c r="H21861" s="40" t="s">
        <v>11404</v>
      </c>
    </row>
    <row r="21862">
      <c r="A21862" s="39"/>
      <c r="E21862" s="40" t="s">
        <v>11404</v>
      </c>
      <c r="F21862" s="40" t="s">
        <v>11404</v>
      </c>
      <c r="G21862" s="40" t="s">
        <v>11404</v>
      </c>
      <c r="H21862" s="40" t="s">
        <v>11404</v>
      </c>
    </row>
    <row r="21863">
      <c r="A21863" s="39"/>
      <c r="E21863" s="40" t="s">
        <v>11404</v>
      </c>
      <c r="F21863" s="40" t="s">
        <v>11404</v>
      </c>
      <c r="G21863" s="40" t="s">
        <v>11404</v>
      </c>
      <c r="H21863" s="40" t="s">
        <v>11404</v>
      </c>
    </row>
    <row r="21864">
      <c r="A21864" s="39"/>
      <c r="E21864" s="40" t="s">
        <v>11404</v>
      </c>
      <c r="F21864" s="40" t="s">
        <v>11404</v>
      </c>
      <c r="G21864" s="40" t="s">
        <v>11404</v>
      </c>
      <c r="H21864" s="40" t="s">
        <v>11404</v>
      </c>
    </row>
    <row r="21865">
      <c r="A21865" s="39"/>
      <c r="E21865" s="40" t="s">
        <v>11404</v>
      </c>
      <c r="F21865" s="40" t="s">
        <v>11404</v>
      </c>
      <c r="G21865" s="40" t="s">
        <v>11404</v>
      </c>
      <c r="H21865" s="40" t="s">
        <v>11404</v>
      </c>
    </row>
    <row r="21866">
      <c r="A21866" s="39"/>
      <c r="E21866" s="40" t="s">
        <v>11404</v>
      </c>
      <c r="F21866" s="40" t="s">
        <v>11404</v>
      </c>
      <c r="G21866" s="40" t="s">
        <v>11404</v>
      </c>
      <c r="H21866" s="40" t="s">
        <v>11404</v>
      </c>
    </row>
    <row r="21867">
      <c r="A21867" s="39"/>
      <c r="E21867" s="40" t="s">
        <v>11404</v>
      </c>
      <c r="F21867" s="40" t="s">
        <v>11404</v>
      </c>
      <c r="G21867" s="40" t="s">
        <v>11404</v>
      </c>
      <c r="H21867" s="40" t="s">
        <v>11404</v>
      </c>
    </row>
    <row r="21868">
      <c r="A21868" s="39"/>
      <c r="E21868" s="40" t="s">
        <v>11404</v>
      </c>
      <c r="F21868" s="40" t="s">
        <v>11404</v>
      </c>
      <c r="G21868" s="40" t="s">
        <v>11404</v>
      </c>
      <c r="H21868" s="40" t="s">
        <v>11404</v>
      </c>
    </row>
    <row r="21869">
      <c r="A21869" s="39"/>
      <c r="E21869" s="40" t="s">
        <v>11404</v>
      </c>
      <c r="F21869" s="40" t="s">
        <v>11404</v>
      </c>
      <c r="G21869" s="40" t="s">
        <v>11404</v>
      </c>
      <c r="H21869" s="40" t="s">
        <v>11404</v>
      </c>
    </row>
    <row r="21870">
      <c r="A21870" s="39"/>
      <c r="E21870" s="40" t="s">
        <v>11404</v>
      </c>
      <c r="F21870" s="40" t="s">
        <v>11404</v>
      </c>
      <c r="G21870" s="40" t="s">
        <v>11404</v>
      </c>
      <c r="H21870" s="40" t="s">
        <v>11404</v>
      </c>
    </row>
    <row r="21871">
      <c r="A21871" s="39"/>
      <c r="E21871" s="40" t="s">
        <v>11404</v>
      </c>
      <c r="F21871" s="40" t="s">
        <v>11404</v>
      </c>
      <c r="G21871" s="40" t="s">
        <v>11404</v>
      </c>
      <c r="H21871" s="40" t="s">
        <v>11404</v>
      </c>
    </row>
    <row r="21872">
      <c r="A21872" s="39"/>
      <c r="E21872" s="40" t="s">
        <v>11404</v>
      </c>
      <c r="F21872" s="40" t="s">
        <v>11404</v>
      </c>
      <c r="G21872" s="40" t="s">
        <v>11404</v>
      </c>
      <c r="H21872" s="40" t="s">
        <v>11404</v>
      </c>
    </row>
    <row r="21873">
      <c r="A21873" s="39"/>
      <c r="E21873" s="40" t="s">
        <v>11404</v>
      </c>
      <c r="F21873" s="40" t="s">
        <v>11404</v>
      </c>
      <c r="G21873" s="40" t="s">
        <v>11404</v>
      </c>
      <c r="H21873" s="40" t="s">
        <v>11404</v>
      </c>
    </row>
    <row r="21874">
      <c r="A21874" s="39"/>
      <c r="E21874" s="40" t="s">
        <v>11404</v>
      </c>
      <c r="F21874" s="40" t="s">
        <v>11404</v>
      </c>
      <c r="G21874" s="40" t="s">
        <v>11404</v>
      </c>
      <c r="H21874" s="40" t="s">
        <v>11404</v>
      </c>
    </row>
    <row r="21875">
      <c r="A21875" s="39"/>
      <c r="E21875" s="40" t="s">
        <v>11404</v>
      </c>
      <c r="F21875" s="40" t="s">
        <v>11404</v>
      </c>
      <c r="G21875" s="40" t="s">
        <v>11404</v>
      </c>
      <c r="H21875" s="40" t="s">
        <v>11404</v>
      </c>
    </row>
    <row r="21876">
      <c r="A21876" s="39"/>
      <c r="E21876" s="40" t="s">
        <v>11404</v>
      </c>
      <c r="F21876" s="40" t="s">
        <v>11404</v>
      </c>
      <c r="G21876" s="40" t="s">
        <v>11404</v>
      </c>
      <c r="H21876" s="40" t="s">
        <v>11404</v>
      </c>
    </row>
    <row r="21877">
      <c r="A21877" s="39"/>
      <c r="E21877" s="40" t="s">
        <v>11404</v>
      </c>
      <c r="F21877" s="40" t="s">
        <v>11404</v>
      </c>
      <c r="G21877" s="40" t="s">
        <v>11404</v>
      </c>
      <c r="H21877" s="40" t="s">
        <v>11404</v>
      </c>
    </row>
    <row r="21878">
      <c r="A21878" s="39"/>
      <c r="E21878" s="40" t="s">
        <v>11404</v>
      </c>
      <c r="F21878" s="40" t="s">
        <v>11404</v>
      </c>
      <c r="G21878" s="40" t="s">
        <v>11404</v>
      </c>
      <c r="H21878" s="40" t="s">
        <v>11404</v>
      </c>
    </row>
    <row r="21879">
      <c r="A21879" s="39"/>
      <c r="E21879" s="40" t="s">
        <v>11404</v>
      </c>
      <c r="F21879" s="40" t="s">
        <v>11404</v>
      </c>
      <c r="G21879" s="40" t="s">
        <v>11404</v>
      </c>
      <c r="H21879" s="40" t="s">
        <v>11404</v>
      </c>
    </row>
    <row r="21880">
      <c r="A21880" s="39"/>
      <c r="E21880" s="40" t="s">
        <v>11404</v>
      </c>
      <c r="F21880" s="40" t="s">
        <v>11404</v>
      </c>
      <c r="G21880" s="40" t="s">
        <v>11404</v>
      </c>
      <c r="H21880" s="40" t="s">
        <v>11404</v>
      </c>
    </row>
    <row r="21881">
      <c r="A21881" s="39"/>
      <c r="E21881" s="40" t="s">
        <v>11404</v>
      </c>
      <c r="F21881" s="40" t="s">
        <v>11404</v>
      </c>
      <c r="G21881" s="40" t="s">
        <v>11404</v>
      </c>
      <c r="H21881" s="40" t="s">
        <v>11404</v>
      </c>
    </row>
    <row r="21882">
      <c r="A21882" s="39"/>
      <c r="E21882" s="40" t="s">
        <v>11404</v>
      </c>
      <c r="F21882" s="40" t="s">
        <v>11404</v>
      </c>
      <c r="G21882" s="40" t="s">
        <v>11404</v>
      </c>
      <c r="H21882" s="40" t="s">
        <v>11404</v>
      </c>
    </row>
    <row r="21883">
      <c r="A21883" s="39"/>
      <c r="E21883" s="40" t="s">
        <v>11404</v>
      </c>
      <c r="F21883" s="40" t="s">
        <v>11404</v>
      </c>
      <c r="G21883" s="40" t="s">
        <v>11404</v>
      </c>
      <c r="H21883" s="40" t="s">
        <v>11404</v>
      </c>
    </row>
    <row r="21884">
      <c r="A21884" s="39"/>
      <c r="E21884" s="40" t="s">
        <v>11404</v>
      </c>
      <c r="F21884" s="40" t="s">
        <v>11404</v>
      </c>
      <c r="G21884" s="40" t="s">
        <v>11404</v>
      </c>
      <c r="H21884" s="40" t="s">
        <v>11404</v>
      </c>
    </row>
    <row r="21885">
      <c r="A21885" s="39"/>
      <c r="E21885" s="40" t="s">
        <v>11404</v>
      </c>
      <c r="F21885" s="40" t="s">
        <v>11404</v>
      </c>
      <c r="G21885" s="40" t="s">
        <v>11404</v>
      </c>
      <c r="H21885" s="40" t="s">
        <v>11404</v>
      </c>
    </row>
    <row r="21886">
      <c r="A21886" s="39"/>
      <c r="E21886" s="40" t="s">
        <v>11404</v>
      </c>
      <c r="F21886" s="40" t="s">
        <v>11404</v>
      </c>
      <c r="G21886" s="40" t="s">
        <v>11404</v>
      </c>
      <c r="H21886" s="40" t="s">
        <v>11404</v>
      </c>
    </row>
    <row r="21887">
      <c r="A21887" s="39"/>
      <c r="E21887" s="40" t="s">
        <v>11404</v>
      </c>
      <c r="F21887" s="40" t="s">
        <v>11404</v>
      </c>
      <c r="G21887" s="40" t="s">
        <v>11404</v>
      </c>
      <c r="H21887" s="40" t="s">
        <v>11404</v>
      </c>
    </row>
    <row r="21888">
      <c r="A21888" s="39"/>
      <c r="E21888" s="40" t="s">
        <v>11404</v>
      </c>
      <c r="F21888" s="40" t="s">
        <v>11404</v>
      </c>
      <c r="G21888" s="40" t="s">
        <v>11404</v>
      </c>
      <c r="H21888" s="40" t="s">
        <v>11404</v>
      </c>
    </row>
    <row r="21889">
      <c r="A21889" s="39"/>
      <c r="E21889" s="40" t="s">
        <v>11404</v>
      </c>
      <c r="F21889" s="40" t="s">
        <v>11404</v>
      </c>
      <c r="G21889" s="40" t="s">
        <v>11404</v>
      </c>
      <c r="H21889" s="40" t="s">
        <v>11404</v>
      </c>
    </row>
    <row r="21890">
      <c r="A21890" s="39"/>
      <c r="E21890" s="40" t="s">
        <v>11404</v>
      </c>
      <c r="F21890" s="40" t="s">
        <v>11404</v>
      </c>
      <c r="G21890" s="40" t="s">
        <v>11404</v>
      </c>
      <c r="H21890" s="40" t="s">
        <v>11404</v>
      </c>
    </row>
    <row r="21891">
      <c r="A21891" s="39"/>
      <c r="E21891" s="40" t="s">
        <v>11404</v>
      </c>
      <c r="F21891" s="40" t="s">
        <v>11404</v>
      </c>
      <c r="G21891" s="40" t="s">
        <v>11404</v>
      </c>
      <c r="H21891" s="40" t="s">
        <v>11404</v>
      </c>
    </row>
    <row r="21892">
      <c r="A21892" s="39"/>
      <c r="E21892" s="40" t="s">
        <v>11404</v>
      </c>
      <c r="F21892" s="40" t="s">
        <v>11404</v>
      </c>
      <c r="G21892" s="40" t="s">
        <v>11404</v>
      </c>
      <c r="H21892" s="40" t="s">
        <v>11404</v>
      </c>
    </row>
    <row r="21893">
      <c r="A21893" s="39"/>
      <c r="E21893" s="40" t="s">
        <v>11404</v>
      </c>
      <c r="F21893" s="40" t="s">
        <v>11404</v>
      </c>
      <c r="G21893" s="40" t="s">
        <v>11404</v>
      </c>
      <c r="H21893" s="40" t="s">
        <v>11404</v>
      </c>
    </row>
    <row r="21894">
      <c r="A21894" s="39"/>
      <c r="E21894" s="40" t="s">
        <v>11404</v>
      </c>
      <c r="F21894" s="40" t="s">
        <v>11404</v>
      </c>
      <c r="G21894" s="40" t="s">
        <v>11404</v>
      </c>
      <c r="H21894" s="40" t="s">
        <v>11404</v>
      </c>
    </row>
    <row r="21895">
      <c r="A21895" s="39"/>
      <c r="E21895" s="40" t="s">
        <v>11404</v>
      </c>
      <c r="F21895" s="40" t="s">
        <v>11404</v>
      </c>
      <c r="G21895" s="40" t="s">
        <v>11404</v>
      </c>
      <c r="H21895" s="40" t="s">
        <v>11404</v>
      </c>
    </row>
    <row r="21896">
      <c r="A21896" s="39"/>
      <c r="E21896" s="40" t="s">
        <v>11404</v>
      </c>
      <c r="F21896" s="40" t="s">
        <v>11404</v>
      </c>
      <c r="G21896" s="40" t="s">
        <v>11404</v>
      </c>
      <c r="H21896" s="40" t="s">
        <v>11404</v>
      </c>
    </row>
    <row r="21897">
      <c r="A21897" s="39"/>
      <c r="E21897" s="40" t="s">
        <v>11404</v>
      </c>
      <c r="F21897" s="40" t="s">
        <v>11404</v>
      </c>
      <c r="G21897" s="40" t="s">
        <v>11404</v>
      </c>
      <c r="H21897" s="40" t="s">
        <v>11404</v>
      </c>
    </row>
    <row r="21898">
      <c r="A21898" s="39"/>
      <c r="E21898" s="40" t="s">
        <v>11404</v>
      </c>
      <c r="F21898" s="40" t="s">
        <v>11404</v>
      </c>
      <c r="G21898" s="40" t="s">
        <v>11404</v>
      </c>
      <c r="H21898" s="40" t="s">
        <v>11404</v>
      </c>
    </row>
    <row r="21899">
      <c r="A21899" s="39"/>
      <c r="E21899" s="40" t="s">
        <v>11404</v>
      </c>
      <c r="F21899" s="40" t="s">
        <v>11404</v>
      </c>
      <c r="G21899" s="40" t="s">
        <v>11404</v>
      </c>
      <c r="H21899" s="40" t="s">
        <v>11404</v>
      </c>
    </row>
    <row r="21900">
      <c r="A21900" s="39"/>
      <c r="E21900" s="40" t="s">
        <v>11404</v>
      </c>
      <c r="F21900" s="40" t="s">
        <v>11404</v>
      </c>
      <c r="G21900" s="40" t="s">
        <v>11404</v>
      </c>
      <c r="H21900" s="40" t="s">
        <v>11404</v>
      </c>
    </row>
    <row r="21901">
      <c r="A21901" s="39"/>
      <c r="E21901" s="40" t="s">
        <v>11404</v>
      </c>
      <c r="F21901" s="40" t="s">
        <v>11404</v>
      </c>
      <c r="G21901" s="40" t="s">
        <v>11404</v>
      </c>
      <c r="H21901" s="40" t="s">
        <v>11404</v>
      </c>
    </row>
    <row r="21902">
      <c r="A21902" s="39"/>
      <c r="E21902" s="40" t="s">
        <v>11404</v>
      </c>
      <c r="F21902" s="40" t="s">
        <v>11404</v>
      </c>
      <c r="G21902" s="40" t="s">
        <v>11404</v>
      </c>
      <c r="H21902" s="40" t="s">
        <v>11404</v>
      </c>
    </row>
    <row r="21903">
      <c r="A21903" s="39"/>
      <c r="E21903" s="40" t="s">
        <v>11404</v>
      </c>
      <c r="F21903" s="40" t="s">
        <v>11404</v>
      </c>
      <c r="G21903" s="40" t="s">
        <v>11404</v>
      </c>
      <c r="H21903" s="40" t="s">
        <v>11404</v>
      </c>
    </row>
    <row r="21904">
      <c r="A21904" s="39"/>
      <c r="E21904" s="40" t="s">
        <v>11404</v>
      </c>
      <c r="F21904" s="40" t="s">
        <v>11404</v>
      </c>
      <c r="G21904" s="40" t="s">
        <v>11404</v>
      </c>
      <c r="H21904" s="40" t="s">
        <v>11404</v>
      </c>
    </row>
    <row r="21905">
      <c r="A21905" s="39"/>
      <c r="E21905" s="40" t="s">
        <v>11404</v>
      </c>
      <c r="F21905" s="40" t="s">
        <v>11404</v>
      </c>
      <c r="G21905" s="40" t="s">
        <v>11404</v>
      </c>
      <c r="H21905" s="40" t="s">
        <v>11404</v>
      </c>
    </row>
    <row r="21906">
      <c r="A21906" s="39"/>
      <c r="E21906" s="40" t="s">
        <v>11404</v>
      </c>
      <c r="F21906" s="40" t="s">
        <v>11404</v>
      </c>
      <c r="G21906" s="40" t="s">
        <v>11404</v>
      </c>
      <c r="H21906" s="40" t="s">
        <v>11404</v>
      </c>
    </row>
    <row r="21907">
      <c r="A21907" s="39"/>
      <c r="E21907" s="40" t="s">
        <v>11404</v>
      </c>
      <c r="F21907" s="40" t="s">
        <v>11404</v>
      </c>
      <c r="G21907" s="40" t="s">
        <v>11404</v>
      </c>
      <c r="H21907" s="40" t="s">
        <v>11404</v>
      </c>
    </row>
    <row r="21908">
      <c r="A21908" s="39"/>
      <c r="E21908" s="40" t="s">
        <v>11404</v>
      </c>
      <c r="F21908" s="40" t="s">
        <v>11404</v>
      </c>
      <c r="G21908" s="40" t="s">
        <v>11404</v>
      </c>
      <c r="H21908" s="40" t="s">
        <v>11404</v>
      </c>
    </row>
    <row r="21909">
      <c r="A21909" s="39"/>
      <c r="E21909" s="40" t="s">
        <v>11404</v>
      </c>
      <c r="F21909" s="40" t="s">
        <v>11404</v>
      </c>
      <c r="G21909" s="40" t="s">
        <v>11404</v>
      </c>
      <c r="H21909" s="40" t="s">
        <v>11404</v>
      </c>
    </row>
    <row r="21910">
      <c r="A21910" s="39"/>
      <c r="E21910" s="40" t="s">
        <v>11404</v>
      </c>
      <c r="F21910" s="40" t="s">
        <v>11404</v>
      </c>
      <c r="G21910" s="40" t="s">
        <v>11404</v>
      </c>
      <c r="H21910" s="40" t="s">
        <v>11404</v>
      </c>
    </row>
    <row r="21911">
      <c r="A21911" s="39"/>
      <c r="E21911" s="40" t="s">
        <v>11404</v>
      </c>
      <c r="F21911" s="40" t="s">
        <v>11404</v>
      </c>
      <c r="G21911" s="40" t="s">
        <v>11404</v>
      </c>
      <c r="H21911" s="40" t="s">
        <v>11404</v>
      </c>
    </row>
    <row r="21912">
      <c r="A21912" s="39"/>
      <c r="E21912" s="40" t="s">
        <v>11404</v>
      </c>
      <c r="F21912" s="40" t="s">
        <v>11404</v>
      </c>
      <c r="G21912" s="40" t="s">
        <v>11404</v>
      </c>
      <c r="H21912" s="40" t="s">
        <v>11404</v>
      </c>
    </row>
    <row r="21913">
      <c r="A21913" s="39"/>
      <c r="E21913" s="40" t="s">
        <v>11404</v>
      </c>
      <c r="F21913" s="40" t="s">
        <v>11404</v>
      </c>
      <c r="G21913" s="40" t="s">
        <v>11404</v>
      </c>
      <c r="H21913" s="40" t="s">
        <v>11404</v>
      </c>
    </row>
    <row r="21914">
      <c r="A21914" s="39"/>
      <c r="E21914" s="40" t="s">
        <v>11404</v>
      </c>
      <c r="F21914" s="40" t="s">
        <v>11404</v>
      </c>
      <c r="G21914" s="40" t="s">
        <v>11404</v>
      </c>
      <c r="H21914" s="40" t="s">
        <v>11404</v>
      </c>
    </row>
    <row r="21915">
      <c r="A21915" s="39"/>
      <c r="E21915" s="40" t="s">
        <v>11404</v>
      </c>
      <c r="F21915" s="40" t="s">
        <v>11404</v>
      </c>
      <c r="G21915" s="40" t="s">
        <v>11404</v>
      </c>
      <c r="H21915" s="40" t="s">
        <v>11404</v>
      </c>
    </row>
    <row r="21916">
      <c r="A21916" s="39"/>
      <c r="E21916" s="40" t="s">
        <v>11404</v>
      </c>
      <c r="F21916" s="40" t="s">
        <v>11404</v>
      </c>
      <c r="G21916" s="40" t="s">
        <v>11404</v>
      </c>
      <c r="H21916" s="40" t="s">
        <v>11404</v>
      </c>
    </row>
    <row r="21917">
      <c r="A21917" s="39"/>
      <c r="E21917" s="40" t="s">
        <v>11404</v>
      </c>
      <c r="F21917" s="40" t="s">
        <v>11404</v>
      </c>
      <c r="G21917" s="40" t="s">
        <v>11404</v>
      </c>
      <c r="H21917" s="40" t="s">
        <v>11404</v>
      </c>
    </row>
    <row r="21918">
      <c r="A21918" s="39"/>
      <c r="E21918" s="40" t="s">
        <v>11404</v>
      </c>
      <c r="F21918" s="40" t="s">
        <v>11404</v>
      </c>
      <c r="G21918" s="40" t="s">
        <v>11404</v>
      </c>
      <c r="H21918" s="40" t="s">
        <v>11404</v>
      </c>
    </row>
    <row r="21919">
      <c r="A21919" s="39"/>
      <c r="E21919" s="40" t="s">
        <v>11404</v>
      </c>
      <c r="F21919" s="40" t="s">
        <v>11404</v>
      </c>
      <c r="G21919" s="40" t="s">
        <v>11404</v>
      </c>
      <c r="H21919" s="40" t="s">
        <v>11404</v>
      </c>
    </row>
    <row r="21920">
      <c r="A21920" s="39"/>
      <c r="E21920" s="40" t="s">
        <v>11404</v>
      </c>
      <c r="F21920" s="40" t="s">
        <v>11404</v>
      </c>
      <c r="G21920" s="40" t="s">
        <v>11404</v>
      </c>
      <c r="H21920" s="40" t="s">
        <v>11404</v>
      </c>
    </row>
    <row r="21921">
      <c r="A21921" s="39"/>
      <c r="E21921" s="40" t="s">
        <v>11404</v>
      </c>
      <c r="F21921" s="40" t="s">
        <v>11404</v>
      </c>
      <c r="G21921" s="40" t="s">
        <v>11404</v>
      </c>
      <c r="H21921" s="40" t="s">
        <v>11404</v>
      </c>
    </row>
    <row r="21922">
      <c r="A21922" s="39"/>
      <c r="E21922" s="40" t="s">
        <v>11404</v>
      </c>
      <c r="F21922" s="40" t="s">
        <v>11404</v>
      </c>
      <c r="G21922" s="40" t="s">
        <v>11404</v>
      </c>
      <c r="H21922" s="40" t="s">
        <v>11404</v>
      </c>
    </row>
    <row r="21923">
      <c r="A21923" s="39"/>
      <c r="E21923" s="40" t="s">
        <v>11404</v>
      </c>
      <c r="F21923" s="40" t="s">
        <v>11404</v>
      </c>
      <c r="G21923" s="40" t="s">
        <v>11404</v>
      </c>
      <c r="H21923" s="40" t="s">
        <v>11404</v>
      </c>
    </row>
    <row r="21924">
      <c r="A21924" s="39"/>
      <c r="E21924" s="40" t="s">
        <v>11404</v>
      </c>
      <c r="F21924" s="40" t="s">
        <v>11404</v>
      </c>
      <c r="G21924" s="40" t="s">
        <v>11404</v>
      </c>
      <c r="H21924" s="40" t="s">
        <v>11404</v>
      </c>
    </row>
    <row r="21925">
      <c r="A21925" s="39"/>
      <c r="E21925" s="40" t="s">
        <v>11404</v>
      </c>
      <c r="F21925" s="40" t="s">
        <v>11404</v>
      </c>
      <c r="G21925" s="40" t="s">
        <v>11404</v>
      </c>
      <c r="H21925" s="40" t="s">
        <v>11404</v>
      </c>
    </row>
    <row r="21926">
      <c r="A21926" s="39"/>
      <c r="E21926" s="40" t="s">
        <v>11404</v>
      </c>
      <c r="F21926" s="40" t="s">
        <v>11404</v>
      </c>
      <c r="G21926" s="40" t="s">
        <v>11404</v>
      </c>
      <c r="H21926" s="40" t="s">
        <v>11404</v>
      </c>
    </row>
    <row r="21927">
      <c r="A21927" s="39"/>
      <c r="E21927" s="40" t="s">
        <v>11404</v>
      </c>
      <c r="F21927" s="40" t="s">
        <v>11404</v>
      </c>
      <c r="G21927" s="40" t="s">
        <v>11404</v>
      </c>
      <c r="H21927" s="40" t="s">
        <v>11404</v>
      </c>
    </row>
    <row r="21928">
      <c r="A21928" s="39"/>
      <c r="E21928" s="40" t="s">
        <v>11404</v>
      </c>
      <c r="F21928" s="40" t="s">
        <v>11404</v>
      </c>
      <c r="G21928" s="40" t="s">
        <v>11404</v>
      </c>
      <c r="H21928" s="40" t="s">
        <v>11404</v>
      </c>
    </row>
    <row r="21929">
      <c r="A21929" s="39"/>
      <c r="E21929" s="40" t="s">
        <v>11404</v>
      </c>
      <c r="F21929" s="40" t="s">
        <v>11404</v>
      </c>
      <c r="G21929" s="40" t="s">
        <v>11404</v>
      </c>
      <c r="H21929" s="40" t="s">
        <v>11404</v>
      </c>
    </row>
    <row r="21930">
      <c r="A21930" s="39"/>
      <c r="E21930" s="40" t="s">
        <v>11404</v>
      </c>
      <c r="F21930" s="40" t="s">
        <v>11404</v>
      </c>
      <c r="G21930" s="40" t="s">
        <v>11404</v>
      </c>
      <c r="H21930" s="40" t="s">
        <v>11404</v>
      </c>
    </row>
    <row r="21931">
      <c r="A21931" s="39"/>
      <c r="E21931" s="40" t="s">
        <v>11404</v>
      </c>
      <c r="F21931" s="40" t="s">
        <v>11404</v>
      </c>
      <c r="G21931" s="40" t="s">
        <v>11404</v>
      </c>
      <c r="H21931" s="40" t="s">
        <v>11404</v>
      </c>
    </row>
    <row r="21932">
      <c r="A21932" s="39"/>
      <c r="E21932" s="40" t="s">
        <v>11404</v>
      </c>
      <c r="F21932" s="40" t="s">
        <v>11404</v>
      </c>
      <c r="G21932" s="40" t="s">
        <v>11404</v>
      </c>
      <c r="H21932" s="40" t="s">
        <v>11404</v>
      </c>
    </row>
    <row r="21933">
      <c r="A21933" s="39"/>
      <c r="E21933" s="40" t="s">
        <v>11404</v>
      </c>
      <c r="F21933" s="40" t="s">
        <v>11404</v>
      </c>
      <c r="G21933" s="40" t="s">
        <v>11404</v>
      </c>
      <c r="H21933" s="40" t="s">
        <v>11404</v>
      </c>
    </row>
    <row r="21934">
      <c r="A21934" s="39"/>
      <c r="E21934" s="40" t="s">
        <v>11404</v>
      </c>
      <c r="F21934" s="40" t="s">
        <v>11404</v>
      </c>
      <c r="G21934" s="40" t="s">
        <v>11404</v>
      </c>
      <c r="H21934" s="40" t="s">
        <v>11404</v>
      </c>
    </row>
    <row r="21935">
      <c r="A21935" s="39"/>
      <c r="E21935" s="40" t="s">
        <v>11404</v>
      </c>
      <c r="F21935" s="40" t="s">
        <v>11404</v>
      </c>
      <c r="G21935" s="40" t="s">
        <v>11404</v>
      </c>
      <c r="H21935" s="40" t="s">
        <v>11404</v>
      </c>
    </row>
    <row r="21936">
      <c r="A21936" s="39"/>
      <c r="E21936" s="40" t="s">
        <v>11404</v>
      </c>
      <c r="F21936" s="40" t="s">
        <v>11404</v>
      </c>
      <c r="G21936" s="40" t="s">
        <v>11404</v>
      </c>
      <c r="H21936" s="40" t="s">
        <v>11404</v>
      </c>
    </row>
    <row r="21937">
      <c r="A21937" s="39"/>
      <c r="E21937" s="40" t="s">
        <v>11404</v>
      </c>
      <c r="F21937" s="40" t="s">
        <v>11404</v>
      </c>
      <c r="G21937" s="40" t="s">
        <v>11404</v>
      </c>
      <c r="H21937" s="40" t="s">
        <v>11404</v>
      </c>
    </row>
    <row r="21938">
      <c r="A21938" s="39"/>
      <c r="E21938" s="40" t="s">
        <v>11404</v>
      </c>
      <c r="F21938" s="40" t="s">
        <v>11404</v>
      </c>
      <c r="G21938" s="40" t="s">
        <v>11404</v>
      </c>
      <c r="H21938" s="40" t="s">
        <v>11404</v>
      </c>
    </row>
    <row r="21939">
      <c r="A21939" s="39"/>
      <c r="E21939" s="40" t="s">
        <v>11404</v>
      </c>
      <c r="F21939" s="40" t="s">
        <v>11404</v>
      </c>
      <c r="G21939" s="40" t="s">
        <v>11404</v>
      </c>
      <c r="H21939" s="40" t="s">
        <v>11404</v>
      </c>
    </row>
    <row r="21940">
      <c r="A21940" s="39"/>
      <c r="E21940" s="40" t="s">
        <v>11404</v>
      </c>
      <c r="F21940" s="40" t="s">
        <v>11404</v>
      </c>
      <c r="G21940" s="40" t="s">
        <v>11404</v>
      </c>
      <c r="H21940" s="40" t="s">
        <v>11404</v>
      </c>
    </row>
    <row r="21941">
      <c r="A21941" s="39"/>
      <c r="E21941" s="40" t="s">
        <v>11404</v>
      </c>
      <c r="F21941" s="40" t="s">
        <v>11404</v>
      </c>
      <c r="G21941" s="40" t="s">
        <v>11404</v>
      </c>
      <c r="H21941" s="40" t="s">
        <v>11404</v>
      </c>
    </row>
    <row r="21942">
      <c r="A21942" s="39"/>
      <c r="E21942" s="40" t="s">
        <v>11404</v>
      </c>
      <c r="F21942" s="40" t="s">
        <v>11404</v>
      </c>
      <c r="G21942" s="40" t="s">
        <v>11404</v>
      </c>
      <c r="H21942" s="40" t="s">
        <v>11404</v>
      </c>
    </row>
    <row r="21943">
      <c r="A21943" s="39"/>
      <c r="E21943" s="40" t="s">
        <v>11404</v>
      </c>
      <c r="F21943" s="40" t="s">
        <v>11404</v>
      </c>
      <c r="G21943" s="40" t="s">
        <v>11404</v>
      </c>
      <c r="H21943" s="40" t="s">
        <v>11404</v>
      </c>
    </row>
    <row r="21944">
      <c r="A21944" s="39"/>
      <c r="E21944" s="40" t="s">
        <v>11404</v>
      </c>
      <c r="F21944" s="40" t="s">
        <v>11404</v>
      </c>
      <c r="G21944" s="40" t="s">
        <v>11404</v>
      </c>
      <c r="H21944" s="40" t="s">
        <v>11404</v>
      </c>
    </row>
    <row r="21945">
      <c r="A21945" s="39"/>
      <c r="E21945" s="40" t="s">
        <v>11404</v>
      </c>
      <c r="F21945" s="40" t="s">
        <v>11404</v>
      </c>
      <c r="G21945" s="40" t="s">
        <v>11404</v>
      </c>
      <c r="H21945" s="40" t="s">
        <v>11404</v>
      </c>
    </row>
    <row r="21946">
      <c r="A21946" s="39"/>
      <c r="E21946" s="40" t="s">
        <v>11404</v>
      </c>
      <c r="F21946" s="40" t="s">
        <v>11404</v>
      </c>
      <c r="G21946" s="40" t="s">
        <v>11404</v>
      </c>
      <c r="H21946" s="40" t="s">
        <v>11404</v>
      </c>
    </row>
    <row r="21947">
      <c r="A21947" s="39"/>
      <c r="E21947" s="40" t="s">
        <v>11404</v>
      </c>
      <c r="F21947" s="40" t="s">
        <v>11404</v>
      </c>
      <c r="G21947" s="40" t="s">
        <v>11404</v>
      </c>
      <c r="H21947" s="40" t="s">
        <v>11404</v>
      </c>
    </row>
    <row r="21948">
      <c r="A21948" s="39"/>
      <c r="E21948" s="40" t="s">
        <v>11404</v>
      </c>
      <c r="F21948" s="40" t="s">
        <v>11404</v>
      </c>
      <c r="G21948" s="40" t="s">
        <v>11404</v>
      </c>
      <c r="H21948" s="40" t="s">
        <v>11404</v>
      </c>
    </row>
    <row r="21949">
      <c r="A21949" s="39"/>
      <c r="E21949" s="40" t="s">
        <v>11404</v>
      </c>
      <c r="F21949" s="40" t="s">
        <v>11404</v>
      </c>
      <c r="G21949" s="40" t="s">
        <v>11404</v>
      </c>
      <c r="H21949" s="40" t="s">
        <v>11404</v>
      </c>
    </row>
    <row r="21950">
      <c r="A21950" s="39"/>
      <c r="E21950" s="40" t="s">
        <v>11404</v>
      </c>
      <c r="F21950" s="40" t="s">
        <v>11404</v>
      </c>
      <c r="G21950" s="40" t="s">
        <v>11404</v>
      </c>
      <c r="H21950" s="40" t="s">
        <v>11404</v>
      </c>
    </row>
    <row r="21951">
      <c r="A21951" s="39"/>
      <c r="E21951" s="40" t="s">
        <v>11404</v>
      </c>
      <c r="F21951" s="40" t="s">
        <v>11404</v>
      </c>
      <c r="G21951" s="40" t="s">
        <v>11404</v>
      </c>
      <c r="H21951" s="40" t="s">
        <v>11404</v>
      </c>
    </row>
    <row r="21952">
      <c r="A21952" s="39"/>
      <c r="E21952" s="40" t="s">
        <v>11404</v>
      </c>
      <c r="F21952" s="40" t="s">
        <v>11404</v>
      </c>
      <c r="G21952" s="40" t="s">
        <v>11404</v>
      </c>
      <c r="H21952" s="40" t="s">
        <v>11404</v>
      </c>
    </row>
    <row r="21953">
      <c r="A21953" s="39"/>
      <c r="E21953" s="40" t="s">
        <v>11404</v>
      </c>
      <c r="F21953" s="40" t="s">
        <v>11404</v>
      </c>
      <c r="G21953" s="40" t="s">
        <v>11404</v>
      </c>
      <c r="H21953" s="40" t="s">
        <v>11404</v>
      </c>
    </row>
    <row r="21954">
      <c r="A21954" s="39"/>
      <c r="E21954" s="40" t="s">
        <v>11404</v>
      </c>
      <c r="F21954" s="40" t="s">
        <v>11404</v>
      </c>
      <c r="G21954" s="40" t="s">
        <v>11404</v>
      </c>
      <c r="H21954" s="40" t="s">
        <v>11404</v>
      </c>
    </row>
    <row r="21955">
      <c r="A21955" s="39"/>
      <c r="E21955" s="40" t="s">
        <v>11404</v>
      </c>
      <c r="F21955" s="40" t="s">
        <v>11404</v>
      </c>
      <c r="G21955" s="40" t="s">
        <v>11404</v>
      </c>
      <c r="H21955" s="40" t="s">
        <v>11404</v>
      </c>
    </row>
    <row r="21956">
      <c r="A21956" s="39"/>
      <c r="E21956" s="40" t="s">
        <v>11404</v>
      </c>
      <c r="F21956" s="40" t="s">
        <v>11404</v>
      </c>
      <c r="G21956" s="40" t="s">
        <v>11404</v>
      </c>
      <c r="H21956" s="40" t="s">
        <v>11404</v>
      </c>
    </row>
    <row r="21957">
      <c r="A21957" s="39"/>
      <c r="E21957" s="40" t="s">
        <v>11404</v>
      </c>
      <c r="F21957" s="40" t="s">
        <v>11404</v>
      </c>
      <c r="G21957" s="40" t="s">
        <v>11404</v>
      </c>
      <c r="H21957" s="40" t="s">
        <v>11404</v>
      </c>
    </row>
    <row r="21958">
      <c r="A21958" s="39"/>
      <c r="E21958" s="40" t="s">
        <v>11404</v>
      </c>
      <c r="F21958" s="40" t="s">
        <v>11404</v>
      </c>
      <c r="G21958" s="40" t="s">
        <v>11404</v>
      </c>
      <c r="H21958" s="40" t="s">
        <v>11404</v>
      </c>
    </row>
    <row r="21959">
      <c r="A21959" s="39"/>
      <c r="E21959" s="40" t="s">
        <v>11404</v>
      </c>
      <c r="F21959" s="40" t="s">
        <v>11404</v>
      </c>
      <c r="G21959" s="40" t="s">
        <v>11404</v>
      </c>
      <c r="H21959" s="40" t="s">
        <v>11404</v>
      </c>
    </row>
    <row r="21960">
      <c r="A21960" s="39"/>
      <c r="E21960" s="40" t="s">
        <v>11404</v>
      </c>
      <c r="F21960" s="40" t="s">
        <v>11404</v>
      </c>
      <c r="G21960" s="40" t="s">
        <v>11404</v>
      </c>
      <c r="H21960" s="40" t="s">
        <v>11404</v>
      </c>
    </row>
    <row r="21961">
      <c r="A21961" s="39"/>
      <c r="E21961" s="40" t="s">
        <v>11404</v>
      </c>
      <c r="F21961" s="40" t="s">
        <v>11404</v>
      </c>
      <c r="G21961" s="40" t="s">
        <v>11404</v>
      </c>
      <c r="H21961" s="40" t="s">
        <v>11404</v>
      </c>
    </row>
    <row r="21962">
      <c r="A21962" s="39"/>
      <c r="E21962" s="40" t="s">
        <v>11404</v>
      </c>
      <c r="F21962" s="40" t="s">
        <v>11404</v>
      </c>
      <c r="G21962" s="40" t="s">
        <v>11404</v>
      </c>
      <c r="H21962" s="40" t="s">
        <v>11404</v>
      </c>
    </row>
    <row r="21963">
      <c r="A21963" s="39"/>
      <c r="E21963" s="40" t="s">
        <v>11404</v>
      </c>
      <c r="F21963" s="40" t="s">
        <v>11404</v>
      </c>
      <c r="G21963" s="40" t="s">
        <v>11404</v>
      </c>
      <c r="H21963" s="40" t="s">
        <v>11404</v>
      </c>
    </row>
    <row r="21964">
      <c r="A21964" s="39"/>
      <c r="E21964" s="40" t="s">
        <v>11404</v>
      </c>
      <c r="F21964" s="40" t="s">
        <v>11404</v>
      </c>
      <c r="G21964" s="40" t="s">
        <v>11404</v>
      </c>
      <c r="H21964" s="40" t="s">
        <v>11404</v>
      </c>
    </row>
    <row r="21965">
      <c r="A21965" s="39"/>
      <c r="E21965" s="40" t="s">
        <v>11404</v>
      </c>
      <c r="F21965" s="40" t="s">
        <v>11404</v>
      </c>
      <c r="G21965" s="40" t="s">
        <v>11404</v>
      </c>
      <c r="H21965" s="40" t="s">
        <v>11404</v>
      </c>
    </row>
    <row r="21966">
      <c r="A21966" s="39"/>
      <c r="E21966" s="40" t="s">
        <v>11404</v>
      </c>
      <c r="F21966" s="40" t="s">
        <v>11404</v>
      </c>
      <c r="G21966" s="40" t="s">
        <v>11404</v>
      </c>
      <c r="H21966" s="40" t="s">
        <v>11404</v>
      </c>
    </row>
    <row r="21967">
      <c r="A21967" s="39"/>
      <c r="E21967" s="40" t="s">
        <v>11404</v>
      </c>
      <c r="F21967" s="40" t="s">
        <v>11404</v>
      </c>
      <c r="G21967" s="40" t="s">
        <v>11404</v>
      </c>
      <c r="H21967" s="40" t="s">
        <v>11404</v>
      </c>
    </row>
    <row r="21968">
      <c r="A21968" s="39"/>
      <c r="E21968" s="40" t="s">
        <v>11404</v>
      </c>
      <c r="F21968" s="40" t="s">
        <v>11404</v>
      </c>
      <c r="G21968" s="40" t="s">
        <v>11404</v>
      </c>
      <c r="H21968" s="40" t="s">
        <v>11404</v>
      </c>
    </row>
    <row r="21969">
      <c r="A21969" s="39"/>
      <c r="E21969" s="40" t="s">
        <v>11404</v>
      </c>
      <c r="F21969" s="40" t="s">
        <v>11404</v>
      </c>
      <c r="G21969" s="40" t="s">
        <v>11404</v>
      </c>
      <c r="H21969" s="40" t="s">
        <v>11404</v>
      </c>
    </row>
    <row r="21970">
      <c r="A21970" s="39"/>
      <c r="E21970" s="40" t="s">
        <v>11404</v>
      </c>
      <c r="F21970" s="40" t="s">
        <v>11404</v>
      </c>
      <c r="G21970" s="40" t="s">
        <v>11404</v>
      </c>
      <c r="H21970" s="40" t="s">
        <v>11404</v>
      </c>
    </row>
    <row r="21971">
      <c r="A21971" s="39"/>
      <c r="E21971" s="40" t="s">
        <v>11404</v>
      </c>
      <c r="F21971" s="40" t="s">
        <v>11404</v>
      </c>
      <c r="G21971" s="40" t="s">
        <v>11404</v>
      </c>
      <c r="H21971" s="40" t="s">
        <v>11404</v>
      </c>
    </row>
    <row r="21972">
      <c r="A21972" s="39"/>
      <c r="E21972" s="40" t="s">
        <v>11404</v>
      </c>
      <c r="F21972" s="40" t="s">
        <v>11404</v>
      </c>
      <c r="G21972" s="40" t="s">
        <v>11404</v>
      </c>
      <c r="H21972" s="40" t="s">
        <v>11404</v>
      </c>
    </row>
    <row r="21973">
      <c r="A21973" s="39"/>
      <c r="E21973" s="40" t="s">
        <v>11404</v>
      </c>
      <c r="F21973" s="40" t="s">
        <v>11404</v>
      </c>
      <c r="G21973" s="40" t="s">
        <v>11404</v>
      </c>
      <c r="H21973" s="40" t="s">
        <v>11404</v>
      </c>
    </row>
    <row r="21974">
      <c r="A21974" s="39"/>
      <c r="E21974" s="40" t="s">
        <v>11404</v>
      </c>
      <c r="F21974" s="40" t="s">
        <v>11404</v>
      </c>
      <c r="G21974" s="40" t="s">
        <v>11404</v>
      </c>
      <c r="H21974" s="40" t="s">
        <v>11404</v>
      </c>
    </row>
    <row r="21975">
      <c r="A21975" s="39"/>
      <c r="E21975" s="40" t="s">
        <v>11404</v>
      </c>
      <c r="F21975" s="40" t="s">
        <v>11404</v>
      </c>
      <c r="G21975" s="40" t="s">
        <v>11404</v>
      </c>
      <c r="H21975" s="40" t="s">
        <v>11404</v>
      </c>
    </row>
    <row r="21976">
      <c r="A21976" s="39"/>
      <c r="E21976" s="40" t="s">
        <v>11404</v>
      </c>
      <c r="F21976" s="40" t="s">
        <v>11404</v>
      </c>
      <c r="G21976" s="40" t="s">
        <v>11404</v>
      </c>
      <c r="H21976" s="40" t="s">
        <v>11404</v>
      </c>
    </row>
    <row r="21977">
      <c r="A21977" s="39"/>
      <c r="E21977" s="40" t="s">
        <v>11404</v>
      </c>
      <c r="F21977" s="40" t="s">
        <v>11404</v>
      </c>
      <c r="G21977" s="40" t="s">
        <v>11404</v>
      </c>
      <c r="H21977" s="40" t="s">
        <v>11404</v>
      </c>
    </row>
    <row r="21978">
      <c r="A21978" s="39"/>
      <c r="E21978" s="40" t="s">
        <v>11404</v>
      </c>
      <c r="F21978" s="40" t="s">
        <v>11404</v>
      </c>
      <c r="G21978" s="40" t="s">
        <v>11404</v>
      </c>
      <c r="H21978" s="40" t="s">
        <v>11404</v>
      </c>
    </row>
    <row r="21979">
      <c r="A21979" s="39"/>
      <c r="E21979" s="40" t="s">
        <v>11404</v>
      </c>
      <c r="F21979" s="40" t="s">
        <v>11404</v>
      </c>
      <c r="G21979" s="40" t="s">
        <v>11404</v>
      </c>
      <c r="H21979" s="40" t="s">
        <v>11404</v>
      </c>
    </row>
    <row r="21980">
      <c r="A21980" s="39"/>
      <c r="E21980" s="40" t="s">
        <v>11404</v>
      </c>
      <c r="F21980" s="40" t="s">
        <v>11404</v>
      </c>
      <c r="G21980" s="40" t="s">
        <v>11404</v>
      </c>
      <c r="H21980" s="40" t="s">
        <v>11404</v>
      </c>
    </row>
    <row r="21981">
      <c r="A21981" s="39"/>
      <c r="E21981" s="40" t="s">
        <v>11404</v>
      </c>
      <c r="F21981" s="40" t="s">
        <v>11404</v>
      </c>
      <c r="G21981" s="40" t="s">
        <v>11404</v>
      </c>
      <c r="H21981" s="40" t="s">
        <v>11404</v>
      </c>
    </row>
    <row r="21982">
      <c r="A21982" s="39"/>
      <c r="E21982" s="40" t="s">
        <v>11404</v>
      </c>
      <c r="F21982" s="40" t="s">
        <v>11404</v>
      </c>
      <c r="G21982" s="40" t="s">
        <v>11404</v>
      </c>
      <c r="H21982" s="40" t="s">
        <v>11404</v>
      </c>
    </row>
    <row r="21983">
      <c r="A21983" s="39"/>
      <c r="E21983" s="40" t="s">
        <v>11404</v>
      </c>
      <c r="F21983" s="40" t="s">
        <v>11404</v>
      </c>
      <c r="G21983" s="40" t="s">
        <v>11404</v>
      </c>
      <c r="H21983" s="40" t="s">
        <v>11404</v>
      </c>
    </row>
    <row r="21984">
      <c r="A21984" s="39"/>
      <c r="E21984" s="40" t="s">
        <v>11404</v>
      </c>
      <c r="F21984" s="40" t="s">
        <v>11404</v>
      </c>
      <c r="G21984" s="40" t="s">
        <v>11404</v>
      </c>
      <c r="H21984" s="40" t="s">
        <v>11404</v>
      </c>
    </row>
    <row r="21985">
      <c r="A21985" s="39"/>
      <c r="E21985" s="40" t="s">
        <v>11404</v>
      </c>
      <c r="F21985" s="40" t="s">
        <v>11404</v>
      </c>
      <c r="G21985" s="40" t="s">
        <v>11404</v>
      </c>
      <c r="H21985" s="40" t="s">
        <v>11404</v>
      </c>
    </row>
    <row r="21986">
      <c r="A21986" s="39"/>
      <c r="E21986" s="40" t="s">
        <v>11404</v>
      </c>
      <c r="F21986" s="40" t="s">
        <v>11404</v>
      </c>
      <c r="G21986" s="40" t="s">
        <v>11404</v>
      </c>
      <c r="H21986" s="40" t="s">
        <v>11404</v>
      </c>
    </row>
    <row r="21987">
      <c r="A21987" s="39"/>
      <c r="E21987" s="40" t="s">
        <v>11404</v>
      </c>
      <c r="F21987" s="40" t="s">
        <v>11404</v>
      </c>
      <c r="G21987" s="40" t="s">
        <v>11404</v>
      </c>
      <c r="H21987" s="40" t="s">
        <v>11404</v>
      </c>
    </row>
    <row r="21988">
      <c r="A21988" s="39"/>
      <c r="E21988" s="40" t="s">
        <v>11404</v>
      </c>
      <c r="F21988" s="40" t="s">
        <v>11404</v>
      </c>
      <c r="G21988" s="40" t="s">
        <v>11404</v>
      </c>
      <c r="H21988" s="40" t="s">
        <v>11404</v>
      </c>
    </row>
    <row r="21989">
      <c r="A21989" s="39"/>
      <c r="E21989" s="40" t="s">
        <v>11404</v>
      </c>
      <c r="F21989" s="40" t="s">
        <v>11404</v>
      </c>
      <c r="G21989" s="40" t="s">
        <v>11404</v>
      </c>
      <c r="H21989" s="40" t="s">
        <v>11404</v>
      </c>
    </row>
    <row r="21990">
      <c r="A21990" s="39"/>
      <c r="E21990" s="40" t="s">
        <v>11404</v>
      </c>
      <c r="F21990" s="40" t="s">
        <v>11404</v>
      </c>
      <c r="G21990" s="40" t="s">
        <v>11404</v>
      </c>
      <c r="H21990" s="40" t="s">
        <v>11404</v>
      </c>
    </row>
    <row r="21991">
      <c r="A21991" s="39"/>
      <c r="E21991" s="40" t="s">
        <v>11404</v>
      </c>
      <c r="F21991" s="40" t="s">
        <v>11404</v>
      </c>
      <c r="G21991" s="40" t="s">
        <v>11404</v>
      </c>
      <c r="H21991" s="40" t="s">
        <v>11404</v>
      </c>
    </row>
    <row r="21992">
      <c r="A21992" s="39"/>
      <c r="E21992" s="40" t="s">
        <v>11404</v>
      </c>
      <c r="F21992" s="40" t="s">
        <v>11404</v>
      </c>
      <c r="G21992" s="40" t="s">
        <v>11404</v>
      </c>
      <c r="H21992" s="40" t="s">
        <v>11404</v>
      </c>
    </row>
    <row r="21993">
      <c r="A21993" s="39"/>
      <c r="E21993" s="40" t="s">
        <v>11404</v>
      </c>
      <c r="F21993" s="40" t="s">
        <v>11404</v>
      </c>
      <c r="G21993" s="40" t="s">
        <v>11404</v>
      </c>
      <c r="H21993" s="40" t="s">
        <v>11404</v>
      </c>
    </row>
    <row r="21994">
      <c r="A21994" s="39"/>
      <c r="E21994" s="40" t="s">
        <v>11404</v>
      </c>
      <c r="F21994" s="40" t="s">
        <v>11404</v>
      </c>
      <c r="G21994" s="40" t="s">
        <v>11404</v>
      </c>
      <c r="H21994" s="40" t="s">
        <v>11404</v>
      </c>
    </row>
    <row r="21995">
      <c r="A21995" s="39"/>
      <c r="E21995" s="40" t="s">
        <v>11404</v>
      </c>
      <c r="F21995" s="40" t="s">
        <v>11404</v>
      </c>
      <c r="G21995" s="40" t="s">
        <v>11404</v>
      </c>
      <c r="H21995" s="40" t="s">
        <v>11404</v>
      </c>
    </row>
    <row r="21996">
      <c r="A21996" s="39"/>
      <c r="E21996" s="40" t="s">
        <v>11404</v>
      </c>
      <c r="F21996" s="40" t="s">
        <v>11404</v>
      </c>
      <c r="G21996" s="40" t="s">
        <v>11404</v>
      </c>
      <c r="H21996" s="40" t="s">
        <v>11404</v>
      </c>
    </row>
    <row r="21997">
      <c r="A21997" s="39"/>
      <c r="E21997" s="40" t="s">
        <v>11404</v>
      </c>
      <c r="F21997" s="40" t="s">
        <v>11404</v>
      </c>
      <c r="G21997" s="40" t="s">
        <v>11404</v>
      </c>
      <c r="H21997" s="40" t="s">
        <v>11404</v>
      </c>
    </row>
    <row r="21998">
      <c r="A21998" s="39"/>
      <c r="E21998" s="40" t="s">
        <v>11404</v>
      </c>
      <c r="F21998" s="40" t="s">
        <v>11404</v>
      </c>
      <c r="G21998" s="40" t="s">
        <v>11404</v>
      </c>
      <c r="H21998" s="40" t="s">
        <v>11404</v>
      </c>
    </row>
    <row r="21999">
      <c r="A21999" s="39"/>
      <c r="E21999" s="40" t="s">
        <v>11404</v>
      </c>
      <c r="F21999" s="40" t="s">
        <v>11404</v>
      </c>
      <c r="G21999" s="40" t="s">
        <v>11404</v>
      </c>
      <c r="H21999" s="40" t="s">
        <v>11404</v>
      </c>
    </row>
    <row r="22000">
      <c r="A22000" s="39"/>
      <c r="E22000" s="40" t="s">
        <v>11404</v>
      </c>
      <c r="F22000" s="40" t="s">
        <v>11404</v>
      </c>
      <c r="G22000" s="40" t="s">
        <v>11404</v>
      </c>
      <c r="H22000" s="40" t="s">
        <v>11404</v>
      </c>
    </row>
    <row r="22001">
      <c r="A22001" s="39"/>
      <c r="E22001" s="40" t="s">
        <v>11404</v>
      </c>
      <c r="F22001" s="40" t="s">
        <v>11404</v>
      </c>
      <c r="G22001" s="40" t="s">
        <v>11404</v>
      </c>
      <c r="H22001" s="40" t="s">
        <v>11404</v>
      </c>
    </row>
    <row r="22002">
      <c r="A22002" s="39"/>
      <c r="E22002" s="40" t="s">
        <v>11404</v>
      </c>
      <c r="F22002" s="40" t="s">
        <v>11404</v>
      </c>
      <c r="G22002" s="40" t="s">
        <v>11404</v>
      </c>
      <c r="H22002" s="40" t="s">
        <v>11404</v>
      </c>
    </row>
    <row r="22003">
      <c r="A22003" s="39"/>
      <c r="E22003" s="40" t="s">
        <v>11404</v>
      </c>
      <c r="F22003" s="40" t="s">
        <v>11404</v>
      </c>
      <c r="G22003" s="40" t="s">
        <v>11404</v>
      </c>
      <c r="H22003" s="40" t="s">
        <v>11404</v>
      </c>
    </row>
    <row r="22004">
      <c r="A22004" s="39"/>
      <c r="E22004" s="40" t="s">
        <v>11404</v>
      </c>
      <c r="F22004" s="40" t="s">
        <v>11404</v>
      </c>
      <c r="G22004" s="40" t="s">
        <v>11404</v>
      </c>
      <c r="H22004" s="40" t="s">
        <v>11404</v>
      </c>
    </row>
    <row r="22005">
      <c r="A22005" s="39"/>
      <c r="E22005" s="40" t="s">
        <v>11404</v>
      </c>
      <c r="F22005" s="40" t="s">
        <v>11404</v>
      </c>
      <c r="G22005" s="40" t="s">
        <v>11404</v>
      </c>
      <c r="H22005" s="40" t="s">
        <v>11404</v>
      </c>
    </row>
    <row r="22006">
      <c r="A22006" s="39"/>
      <c r="E22006" s="40" t="s">
        <v>11404</v>
      </c>
      <c r="F22006" s="40" t="s">
        <v>11404</v>
      </c>
      <c r="G22006" s="40" t="s">
        <v>11404</v>
      </c>
      <c r="H22006" s="40" t="s">
        <v>11404</v>
      </c>
    </row>
    <row r="22007">
      <c r="A22007" s="39"/>
      <c r="E22007" s="40" t="s">
        <v>11404</v>
      </c>
      <c r="F22007" s="40" t="s">
        <v>11404</v>
      </c>
      <c r="G22007" s="40" t="s">
        <v>11404</v>
      </c>
      <c r="H22007" s="40" t="s">
        <v>11404</v>
      </c>
    </row>
    <row r="22008">
      <c r="A22008" s="39"/>
      <c r="E22008" s="40" t="s">
        <v>11404</v>
      </c>
      <c r="F22008" s="40" t="s">
        <v>11404</v>
      </c>
      <c r="G22008" s="40" t="s">
        <v>11404</v>
      </c>
      <c r="H22008" s="40" t="s">
        <v>11404</v>
      </c>
    </row>
    <row r="22009">
      <c r="A22009" s="39"/>
      <c r="E22009" s="40" t="s">
        <v>11404</v>
      </c>
      <c r="F22009" s="40" t="s">
        <v>11404</v>
      </c>
      <c r="G22009" s="40" t="s">
        <v>11404</v>
      </c>
      <c r="H22009" s="40" t="s">
        <v>11404</v>
      </c>
    </row>
    <row r="22010">
      <c r="A22010" s="39"/>
      <c r="E22010" s="40" t="s">
        <v>11404</v>
      </c>
      <c r="F22010" s="40" t="s">
        <v>11404</v>
      </c>
      <c r="G22010" s="40" t="s">
        <v>11404</v>
      </c>
      <c r="H22010" s="40" t="s">
        <v>11404</v>
      </c>
    </row>
    <row r="22011">
      <c r="A22011" s="39"/>
      <c r="E22011" s="40" t="s">
        <v>11404</v>
      </c>
      <c r="F22011" s="40" t="s">
        <v>11404</v>
      </c>
      <c r="G22011" s="40" t="s">
        <v>11404</v>
      </c>
      <c r="H22011" s="40" t="s">
        <v>11404</v>
      </c>
    </row>
    <row r="22012">
      <c r="A22012" s="39"/>
      <c r="E22012" s="40" t="s">
        <v>11404</v>
      </c>
      <c r="F22012" s="40" t="s">
        <v>11404</v>
      </c>
      <c r="G22012" s="40" t="s">
        <v>11404</v>
      </c>
      <c r="H22012" s="40" t="s">
        <v>11404</v>
      </c>
    </row>
    <row r="22013">
      <c r="A22013" s="39"/>
      <c r="E22013" s="40" t="s">
        <v>11404</v>
      </c>
      <c r="F22013" s="40" t="s">
        <v>11404</v>
      </c>
      <c r="G22013" s="40" t="s">
        <v>11404</v>
      </c>
      <c r="H22013" s="40" t="s">
        <v>11404</v>
      </c>
    </row>
    <row r="22014">
      <c r="A22014" s="39"/>
      <c r="E22014" s="40" t="s">
        <v>11404</v>
      </c>
      <c r="F22014" s="40" t="s">
        <v>11404</v>
      </c>
      <c r="G22014" s="40" t="s">
        <v>11404</v>
      </c>
      <c r="H22014" s="40" t="s">
        <v>11404</v>
      </c>
    </row>
    <row r="22015">
      <c r="A22015" s="39"/>
      <c r="E22015" s="40" t="s">
        <v>11404</v>
      </c>
      <c r="F22015" s="40" t="s">
        <v>11404</v>
      </c>
      <c r="G22015" s="40" t="s">
        <v>11404</v>
      </c>
      <c r="H22015" s="40" t="s">
        <v>11404</v>
      </c>
    </row>
    <row r="22016">
      <c r="A22016" s="39"/>
      <c r="E22016" s="40" t="s">
        <v>11404</v>
      </c>
      <c r="F22016" s="40" t="s">
        <v>11404</v>
      </c>
      <c r="G22016" s="40" t="s">
        <v>11404</v>
      </c>
      <c r="H22016" s="40" t="s">
        <v>11404</v>
      </c>
    </row>
    <row r="22017">
      <c r="A22017" s="39"/>
      <c r="E22017" s="40" t="s">
        <v>11404</v>
      </c>
      <c r="F22017" s="40" t="s">
        <v>11404</v>
      </c>
      <c r="G22017" s="40" t="s">
        <v>11404</v>
      </c>
      <c r="H22017" s="40" t="s">
        <v>11404</v>
      </c>
    </row>
    <row r="22018">
      <c r="A22018" s="39"/>
      <c r="E22018" s="40" t="s">
        <v>11404</v>
      </c>
      <c r="F22018" s="40" t="s">
        <v>11404</v>
      </c>
      <c r="G22018" s="40" t="s">
        <v>11404</v>
      </c>
      <c r="H22018" s="40" t="s">
        <v>11404</v>
      </c>
    </row>
    <row r="22019">
      <c r="A22019" s="39"/>
      <c r="E22019" s="40" t="s">
        <v>11404</v>
      </c>
      <c r="F22019" s="40" t="s">
        <v>11404</v>
      </c>
      <c r="G22019" s="40" t="s">
        <v>11404</v>
      </c>
      <c r="H22019" s="40" t="s">
        <v>11404</v>
      </c>
    </row>
    <row r="22020">
      <c r="A22020" s="39"/>
      <c r="E22020" s="40" t="s">
        <v>11404</v>
      </c>
      <c r="F22020" s="40" t="s">
        <v>11404</v>
      </c>
      <c r="G22020" s="40" t="s">
        <v>11404</v>
      </c>
      <c r="H22020" s="40" t="s">
        <v>11404</v>
      </c>
    </row>
    <row r="22021">
      <c r="A22021" s="39"/>
      <c r="E22021" s="40" t="s">
        <v>11404</v>
      </c>
      <c r="F22021" s="40" t="s">
        <v>11404</v>
      </c>
      <c r="G22021" s="40" t="s">
        <v>11404</v>
      </c>
      <c r="H22021" s="40" t="s">
        <v>11404</v>
      </c>
    </row>
    <row r="22022">
      <c r="A22022" s="39"/>
      <c r="E22022" s="40" t="s">
        <v>11404</v>
      </c>
      <c r="F22022" s="40" t="s">
        <v>11404</v>
      </c>
      <c r="G22022" s="40" t="s">
        <v>11404</v>
      </c>
      <c r="H22022" s="40" t="s">
        <v>11404</v>
      </c>
    </row>
    <row r="22023">
      <c r="A22023" s="39"/>
      <c r="E22023" s="40" t="s">
        <v>11404</v>
      </c>
      <c r="F22023" s="40" t="s">
        <v>11404</v>
      </c>
      <c r="G22023" s="40" t="s">
        <v>11404</v>
      </c>
      <c r="H22023" s="40" t="s">
        <v>11404</v>
      </c>
    </row>
    <row r="22024">
      <c r="A22024" s="39"/>
      <c r="E22024" s="40" t="s">
        <v>11404</v>
      </c>
      <c r="F22024" s="40" t="s">
        <v>11404</v>
      </c>
      <c r="G22024" s="40" t="s">
        <v>11404</v>
      </c>
      <c r="H22024" s="40" t="s">
        <v>11404</v>
      </c>
    </row>
    <row r="22025">
      <c r="A22025" s="39"/>
      <c r="E22025" s="40" t="s">
        <v>11404</v>
      </c>
      <c r="F22025" s="40" t="s">
        <v>11404</v>
      </c>
      <c r="G22025" s="40" t="s">
        <v>11404</v>
      </c>
      <c r="H22025" s="40" t="s">
        <v>11404</v>
      </c>
    </row>
    <row r="22026">
      <c r="A22026" s="39"/>
      <c r="E22026" s="40" t="s">
        <v>11404</v>
      </c>
      <c r="F22026" s="40" t="s">
        <v>11404</v>
      </c>
      <c r="G22026" s="40" t="s">
        <v>11404</v>
      </c>
      <c r="H22026" s="40" t="s">
        <v>11404</v>
      </c>
    </row>
    <row r="22027">
      <c r="A22027" s="39"/>
      <c r="E22027" s="40" t="s">
        <v>11404</v>
      </c>
      <c r="F22027" s="40" t="s">
        <v>11404</v>
      </c>
      <c r="G22027" s="40" t="s">
        <v>11404</v>
      </c>
      <c r="H22027" s="40" t="s">
        <v>11404</v>
      </c>
    </row>
    <row r="22028">
      <c r="A22028" s="39"/>
      <c r="E22028" s="40" t="s">
        <v>11404</v>
      </c>
      <c r="F22028" s="40" t="s">
        <v>11404</v>
      </c>
      <c r="G22028" s="40" t="s">
        <v>11404</v>
      </c>
      <c r="H22028" s="40" t="s">
        <v>11404</v>
      </c>
    </row>
    <row r="22029">
      <c r="A22029" s="39"/>
      <c r="E22029" s="40" t="s">
        <v>11404</v>
      </c>
      <c r="F22029" s="40" t="s">
        <v>11404</v>
      </c>
      <c r="G22029" s="40" t="s">
        <v>11404</v>
      </c>
      <c r="H22029" s="40" t="s">
        <v>11404</v>
      </c>
    </row>
    <row r="22030">
      <c r="A22030" s="39"/>
      <c r="E22030" s="40" t="s">
        <v>11404</v>
      </c>
      <c r="F22030" s="40" t="s">
        <v>11404</v>
      </c>
      <c r="G22030" s="40" t="s">
        <v>11404</v>
      </c>
      <c r="H22030" s="40" t="s">
        <v>11404</v>
      </c>
    </row>
    <row r="22031">
      <c r="A22031" s="39"/>
      <c r="E22031" s="40" t="s">
        <v>11404</v>
      </c>
      <c r="F22031" s="40" t="s">
        <v>11404</v>
      </c>
      <c r="G22031" s="40" t="s">
        <v>11404</v>
      </c>
      <c r="H22031" s="40" t="s">
        <v>11404</v>
      </c>
    </row>
    <row r="22032">
      <c r="A22032" s="39"/>
      <c r="E22032" s="40" t="s">
        <v>11404</v>
      </c>
      <c r="F22032" s="40" t="s">
        <v>11404</v>
      </c>
      <c r="G22032" s="40" t="s">
        <v>11404</v>
      </c>
      <c r="H22032" s="40" t="s">
        <v>11404</v>
      </c>
    </row>
    <row r="22033">
      <c r="A22033" s="39"/>
      <c r="E22033" s="40" t="s">
        <v>11404</v>
      </c>
      <c r="F22033" s="40" t="s">
        <v>11404</v>
      </c>
      <c r="G22033" s="40" t="s">
        <v>11404</v>
      </c>
      <c r="H22033" s="40" t="s">
        <v>11404</v>
      </c>
    </row>
    <row r="22034">
      <c r="A22034" s="39"/>
      <c r="E22034" s="40" t="s">
        <v>11404</v>
      </c>
      <c r="F22034" s="40" t="s">
        <v>11404</v>
      </c>
      <c r="G22034" s="40" t="s">
        <v>11404</v>
      </c>
      <c r="H22034" s="40" t="s">
        <v>11404</v>
      </c>
    </row>
    <row r="22035">
      <c r="A22035" s="39"/>
      <c r="E22035" s="40" t="s">
        <v>11404</v>
      </c>
      <c r="F22035" s="40" t="s">
        <v>11404</v>
      </c>
      <c r="G22035" s="40" t="s">
        <v>11404</v>
      </c>
      <c r="H22035" s="40" t="s">
        <v>11404</v>
      </c>
    </row>
    <row r="22036">
      <c r="A22036" s="39"/>
      <c r="E22036" s="40" t="s">
        <v>11404</v>
      </c>
      <c r="F22036" s="40" t="s">
        <v>11404</v>
      </c>
      <c r="G22036" s="40" t="s">
        <v>11404</v>
      </c>
      <c r="H22036" s="40" t="s">
        <v>11404</v>
      </c>
    </row>
    <row r="22037">
      <c r="A22037" s="39"/>
      <c r="E22037" s="40" t="s">
        <v>11404</v>
      </c>
      <c r="F22037" s="40" t="s">
        <v>11404</v>
      </c>
      <c r="G22037" s="40" t="s">
        <v>11404</v>
      </c>
      <c r="H22037" s="40" t="s">
        <v>11404</v>
      </c>
    </row>
    <row r="22038">
      <c r="A22038" s="39"/>
      <c r="E22038" s="40" t="s">
        <v>11404</v>
      </c>
      <c r="F22038" s="40" t="s">
        <v>11404</v>
      </c>
      <c r="G22038" s="40" t="s">
        <v>11404</v>
      </c>
      <c r="H22038" s="40" t="s">
        <v>11404</v>
      </c>
    </row>
    <row r="22039">
      <c r="A22039" s="39"/>
      <c r="E22039" s="40" t="s">
        <v>11404</v>
      </c>
      <c r="F22039" s="40" t="s">
        <v>11404</v>
      </c>
      <c r="G22039" s="40" t="s">
        <v>11404</v>
      </c>
      <c r="H22039" s="40" t="s">
        <v>11404</v>
      </c>
    </row>
    <row r="22040">
      <c r="A22040" s="39"/>
      <c r="E22040" s="40" t="s">
        <v>11404</v>
      </c>
      <c r="F22040" s="40" t="s">
        <v>11404</v>
      </c>
      <c r="G22040" s="40" t="s">
        <v>11404</v>
      </c>
      <c r="H22040" s="40" t="s">
        <v>11404</v>
      </c>
    </row>
    <row r="22041">
      <c r="A22041" s="39"/>
      <c r="E22041" s="40" t="s">
        <v>11404</v>
      </c>
      <c r="F22041" s="40" t="s">
        <v>11404</v>
      </c>
      <c r="G22041" s="40" t="s">
        <v>11404</v>
      </c>
      <c r="H22041" s="40" t="s">
        <v>11404</v>
      </c>
    </row>
    <row r="22042">
      <c r="A22042" s="39"/>
      <c r="E22042" s="40" t="s">
        <v>11404</v>
      </c>
      <c r="F22042" s="40" t="s">
        <v>11404</v>
      </c>
      <c r="G22042" s="40" t="s">
        <v>11404</v>
      </c>
      <c r="H22042" s="40" t="s">
        <v>11404</v>
      </c>
    </row>
    <row r="22043">
      <c r="A22043" s="39"/>
      <c r="E22043" s="40" t="s">
        <v>11404</v>
      </c>
      <c r="F22043" s="40" t="s">
        <v>11404</v>
      </c>
      <c r="G22043" s="40" t="s">
        <v>11404</v>
      </c>
      <c r="H22043" s="40" t="s">
        <v>11404</v>
      </c>
    </row>
    <row r="22044">
      <c r="A22044" s="39"/>
      <c r="E22044" s="40" t="s">
        <v>11404</v>
      </c>
      <c r="F22044" s="40" t="s">
        <v>11404</v>
      </c>
      <c r="G22044" s="40" t="s">
        <v>11404</v>
      </c>
      <c r="H22044" s="40" t="s">
        <v>11404</v>
      </c>
    </row>
    <row r="22045">
      <c r="A22045" s="39"/>
      <c r="E22045" s="40" t="s">
        <v>11404</v>
      </c>
      <c r="F22045" s="40" t="s">
        <v>11404</v>
      </c>
      <c r="G22045" s="40" t="s">
        <v>11404</v>
      </c>
      <c r="H22045" s="40" t="s">
        <v>11404</v>
      </c>
    </row>
    <row r="22046">
      <c r="A22046" s="39"/>
      <c r="E22046" s="40" t="s">
        <v>11404</v>
      </c>
      <c r="F22046" s="40" t="s">
        <v>11404</v>
      </c>
      <c r="G22046" s="40" t="s">
        <v>11404</v>
      </c>
      <c r="H22046" s="40" t="s">
        <v>11404</v>
      </c>
    </row>
    <row r="22047">
      <c r="A22047" s="39"/>
      <c r="E22047" s="40" t="s">
        <v>11404</v>
      </c>
      <c r="F22047" s="40" t="s">
        <v>11404</v>
      </c>
      <c r="G22047" s="40" t="s">
        <v>11404</v>
      </c>
      <c r="H22047" s="40" t="s">
        <v>11404</v>
      </c>
    </row>
    <row r="22048">
      <c r="A22048" s="39"/>
      <c r="E22048" s="40" t="s">
        <v>11404</v>
      </c>
      <c r="F22048" s="40" t="s">
        <v>11404</v>
      </c>
      <c r="G22048" s="40" t="s">
        <v>11404</v>
      </c>
      <c r="H22048" s="40" t="s">
        <v>11404</v>
      </c>
    </row>
    <row r="22049">
      <c r="A22049" s="39"/>
      <c r="E22049" s="40" t="s">
        <v>11404</v>
      </c>
      <c r="F22049" s="40" t="s">
        <v>11404</v>
      </c>
      <c r="G22049" s="40" t="s">
        <v>11404</v>
      </c>
      <c r="H22049" s="40" t="s">
        <v>11404</v>
      </c>
    </row>
    <row r="22050">
      <c r="A22050" s="39"/>
      <c r="E22050" s="40" t="s">
        <v>11404</v>
      </c>
      <c r="F22050" s="40" t="s">
        <v>11404</v>
      </c>
      <c r="G22050" s="40" t="s">
        <v>11404</v>
      </c>
      <c r="H22050" s="40" t="s">
        <v>11404</v>
      </c>
    </row>
    <row r="22051">
      <c r="A22051" s="39"/>
      <c r="E22051" s="40" t="s">
        <v>11404</v>
      </c>
      <c r="F22051" s="40" t="s">
        <v>11404</v>
      </c>
      <c r="G22051" s="40" t="s">
        <v>11404</v>
      </c>
      <c r="H22051" s="40" t="s">
        <v>11404</v>
      </c>
    </row>
    <row r="22052">
      <c r="A22052" s="39"/>
      <c r="E22052" s="40" t="s">
        <v>11404</v>
      </c>
      <c r="F22052" s="40" t="s">
        <v>11404</v>
      </c>
      <c r="G22052" s="40" t="s">
        <v>11404</v>
      </c>
      <c r="H22052" s="40" t="s">
        <v>11404</v>
      </c>
    </row>
    <row r="22053">
      <c r="A22053" s="39"/>
      <c r="E22053" s="40" t="s">
        <v>11404</v>
      </c>
      <c r="F22053" s="40" t="s">
        <v>11404</v>
      </c>
      <c r="G22053" s="40" t="s">
        <v>11404</v>
      </c>
      <c r="H22053" s="40" t="s">
        <v>11404</v>
      </c>
    </row>
    <row r="22054">
      <c r="A22054" s="39"/>
      <c r="E22054" s="40" t="s">
        <v>11404</v>
      </c>
      <c r="F22054" s="40" t="s">
        <v>11404</v>
      </c>
      <c r="G22054" s="40" t="s">
        <v>11404</v>
      </c>
      <c r="H22054" s="40" t="s">
        <v>11404</v>
      </c>
    </row>
    <row r="22055">
      <c r="A22055" s="39"/>
      <c r="E22055" s="40" t="s">
        <v>11404</v>
      </c>
      <c r="F22055" s="40" t="s">
        <v>11404</v>
      </c>
      <c r="G22055" s="40" t="s">
        <v>11404</v>
      </c>
      <c r="H22055" s="40" t="s">
        <v>11404</v>
      </c>
    </row>
    <row r="22056">
      <c r="A22056" s="39"/>
      <c r="E22056" s="40" t="s">
        <v>11404</v>
      </c>
      <c r="F22056" s="40" t="s">
        <v>11404</v>
      </c>
      <c r="G22056" s="40" t="s">
        <v>11404</v>
      </c>
      <c r="H22056" s="40" t="s">
        <v>11404</v>
      </c>
    </row>
    <row r="22057">
      <c r="A22057" s="39"/>
      <c r="E22057" s="40" t="s">
        <v>11404</v>
      </c>
      <c r="F22057" s="40" t="s">
        <v>11404</v>
      </c>
      <c r="G22057" s="40" t="s">
        <v>11404</v>
      </c>
      <c r="H22057" s="40" t="s">
        <v>11404</v>
      </c>
    </row>
    <row r="22058">
      <c r="A22058" s="39"/>
      <c r="E22058" s="40" t="s">
        <v>11404</v>
      </c>
      <c r="F22058" s="40" t="s">
        <v>11404</v>
      </c>
      <c r="G22058" s="40" t="s">
        <v>11404</v>
      </c>
      <c r="H22058" s="40" t="s">
        <v>11404</v>
      </c>
    </row>
    <row r="22059">
      <c r="A22059" s="39"/>
      <c r="E22059" s="40" t="s">
        <v>11404</v>
      </c>
      <c r="F22059" s="40" t="s">
        <v>11404</v>
      </c>
      <c r="G22059" s="40" t="s">
        <v>11404</v>
      </c>
      <c r="H22059" s="40" t="s">
        <v>11404</v>
      </c>
    </row>
    <row r="22060">
      <c r="A22060" s="39"/>
      <c r="E22060" s="40" t="s">
        <v>11404</v>
      </c>
      <c r="F22060" s="40" t="s">
        <v>11404</v>
      </c>
      <c r="G22060" s="40" t="s">
        <v>11404</v>
      </c>
      <c r="H22060" s="40" t="s">
        <v>11404</v>
      </c>
    </row>
    <row r="22061">
      <c r="A22061" s="39"/>
      <c r="E22061" s="40" t="s">
        <v>11404</v>
      </c>
      <c r="F22061" s="40" t="s">
        <v>11404</v>
      </c>
      <c r="G22061" s="40" t="s">
        <v>11404</v>
      </c>
      <c r="H22061" s="40" t="s">
        <v>11404</v>
      </c>
    </row>
    <row r="22062">
      <c r="A22062" s="39"/>
      <c r="E22062" s="40" t="s">
        <v>11404</v>
      </c>
      <c r="F22062" s="40" t="s">
        <v>11404</v>
      </c>
      <c r="G22062" s="40" t="s">
        <v>11404</v>
      </c>
      <c r="H22062" s="40" t="s">
        <v>11404</v>
      </c>
    </row>
    <row r="22063">
      <c r="A22063" s="39"/>
      <c r="E22063" s="40" t="s">
        <v>11404</v>
      </c>
      <c r="F22063" s="40" t="s">
        <v>11404</v>
      </c>
      <c r="G22063" s="40" t="s">
        <v>11404</v>
      </c>
      <c r="H22063" s="40" t="s">
        <v>11404</v>
      </c>
    </row>
    <row r="22064">
      <c r="A22064" s="39"/>
      <c r="E22064" s="40" t="s">
        <v>11404</v>
      </c>
      <c r="F22064" s="40" t="s">
        <v>11404</v>
      </c>
      <c r="G22064" s="40" t="s">
        <v>11404</v>
      </c>
      <c r="H22064" s="40" t="s">
        <v>11404</v>
      </c>
    </row>
    <row r="22065">
      <c r="A22065" s="39"/>
      <c r="E22065" s="40" t="s">
        <v>11404</v>
      </c>
      <c r="F22065" s="40" t="s">
        <v>11404</v>
      </c>
      <c r="G22065" s="40" t="s">
        <v>11404</v>
      </c>
      <c r="H22065" s="40" t="s">
        <v>11404</v>
      </c>
    </row>
    <row r="22066">
      <c r="A22066" s="39"/>
      <c r="E22066" s="40" t="s">
        <v>11404</v>
      </c>
      <c r="F22066" s="40" t="s">
        <v>11404</v>
      </c>
      <c r="G22066" s="40" t="s">
        <v>11404</v>
      </c>
      <c r="H22066" s="40" t="s">
        <v>11404</v>
      </c>
    </row>
    <row r="22067">
      <c r="A22067" s="39"/>
      <c r="E22067" s="40" t="s">
        <v>11404</v>
      </c>
      <c r="F22067" s="40" t="s">
        <v>11404</v>
      </c>
      <c r="G22067" s="40" t="s">
        <v>11404</v>
      </c>
      <c r="H22067" s="40" t="s">
        <v>11404</v>
      </c>
    </row>
    <row r="22068">
      <c r="A22068" s="39"/>
      <c r="E22068" s="40" t="s">
        <v>11404</v>
      </c>
      <c r="F22068" s="40" t="s">
        <v>11404</v>
      </c>
      <c r="G22068" s="40" t="s">
        <v>11404</v>
      </c>
      <c r="H22068" s="40" t="s">
        <v>11404</v>
      </c>
    </row>
    <row r="22069">
      <c r="A22069" s="39"/>
      <c r="E22069" s="40" t="s">
        <v>11404</v>
      </c>
      <c r="F22069" s="40" t="s">
        <v>11404</v>
      </c>
      <c r="G22069" s="40" t="s">
        <v>11404</v>
      </c>
      <c r="H22069" s="40" t="s">
        <v>11404</v>
      </c>
    </row>
    <row r="22070">
      <c r="A22070" s="39"/>
      <c r="E22070" s="40" t="s">
        <v>11404</v>
      </c>
      <c r="F22070" s="40" t="s">
        <v>11404</v>
      </c>
      <c r="G22070" s="40" t="s">
        <v>11404</v>
      </c>
      <c r="H22070" s="40" t="s">
        <v>11404</v>
      </c>
    </row>
    <row r="22071">
      <c r="A22071" s="39"/>
      <c r="E22071" s="40" t="s">
        <v>11404</v>
      </c>
      <c r="F22071" s="40" t="s">
        <v>11404</v>
      </c>
      <c r="G22071" s="40" t="s">
        <v>11404</v>
      </c>
      <c r="H22071" s="40" t="s">
        <v>11404</v>
      </c>
    </row>
    <row r="22072">
      <c r="A22072" s="39"/>
      <c r="E22072" s="40" t="s">
        <v>11404</v>
      </c>
      <c r="F22072" s="40" t="s">
        <v>11404</v>
      </c>
      <c r="G22072" s="40" t="s">
        <v>11404</v>
      </c>
      <c r="H22072" s="40" t="s">
        <v>11404</v>
      </c>
    </row>
    <row r="22073">
      <c r="A22073" s="39"/>
      <c r="E22073" s="40" t="s">
        <v>11404</v>
      </c>
      <c r="F22073" s="40" t="s">
        <v>11404</v>
      </c>
      <c r="G22073" s="40" t="s">
        <v>11404</v>
      </c>
      <c r="H22073" s="40" t="s">
        <v>11404</v>
      </c>
    </row>
    <row r="22074">
      <c r="A22074" s="39"/>
      <c r="E22074" s="40" t="s">
        <v>11404</v>
      </c>
      <c r="F22074" s="40" t="s">
        <v>11404</v>
      </c>
      <c r="G22074" s="40" t="s">
        <v>11404</v>
      </c>
      <c r="H22074" s="40" t="s">
        <v>11404</v>
      </c>
    </row>
    <row r="22075">
      <c r="A22075" s="39"/>
      <c r="E22075" s="40" t="s">
        <v>11404</v>
      </c>
      <c r="F22075" s="40" t="s">
        <v>11404</v>
      </c>
      <c r="G22075" s="40" t="s">
        <v>11404</v>
      </c>
      <c r="H22075" s="40" t="s">
        <v>11404</v>
      </c>
    </row>
    <row r="22076">
      <c r="A22076" s="39"/>
      <c r="E22076" s="40" t="s">
        <v>11404</v>
      </c>
      <c r="F22076" s="40" t="s">
        <v>11404</v>
      </c>
      <c r="G22076" s="40" t="s">
        <v>11404</v>
      </c>
      <c r="H22076" s="40" t="s">
        <v>11404</v>
      </c>
    </row>
    <row r="22077">
      <c r="A22077" s="39"/>
      <c r="E22077" s="40" t="s">
        <v>11404</v>
      </c>
      <c r="F22077" s="40" t="s">
        <v>11404</v>
      </c>
      <c r="G22077" s="40" t="s">
        <v>11404</v>
      </c>
      <c r="H22077" s="40" t="s">
        <v>11404</v>
      </c>
    </row>
    <row r="22078">
      <c r="A22078" s="39"/>
      <c r="E22078" s="40" t="s">
        <v>11404</v>
      </c>
      <c r="F22078" s="40" t="s">
        <v>11404</v>
      </c>
      <c r="G22078" s="40" t="s">
        <v>11404</v>
      </c>
      <c r="H22078" s="40" t="s">
        <v>11404</v>
      </c>
    </row>
    <row r="22079">
      <c r="A22079" s="39"/>
      <c r="E22079" s="40" t="s">
        <v>11404</v>
      </c>
      <c r="F22079" s="40" t="s">
        <v>11404</v>
      </c>
      <c r="G22079" s="40" t="s">
        <v>11404</v>
      </c>
      <c r="H22079" s="40" t="s">
        <v>11404</v>
      </c>
    </row>
    <row r="22080">
      <c r="A22080" s="39"/>
      <c r="E22080" s="40" t="s">
        <v>11404</v>
      </c>
      <c r="F22080" s="40" t="s">
        <v>11404</v>
      </c>
      <c r="G22080" s="40" t="s">
        <v>11404</v>
      </c>
      <c r="H22080" s="40" t="s">
        <v>11404</v>
      </c>
    </row>
    <row r="22081">
      <c r="A22081" s="39"/>
      <c r="E22081" s="40" t="s">
        <v>11404</v>
      </c>
      <c r="F22081" s="40" t="s">
        <v>11404</v>
      </c>
      <c r="G22081" s="40" t="s">
        <v>11404</v>
      </c>
      <c r="H22081" s="40" t="s">
        <v>11404</v>
      </c>
    </row>
    <row r="22082">
      <c r="A22082" s="39"/>
      <c r="E22082" s="40" t="s">
        <v>11404</v>
      </c>
      <c r="F22082" s="40" t="s">
        <v>11404</v>
      </c>
      <c r="G22082" s="40" t="s">
        <v>11404</v>
      </c>
      <c r="H22082" s="40" t="s">
        <v>11404</v>
      </c>
    </row>
    <row r="22083">
      <c r="A22083" s="39"/>
      <c r="E22083" s="40" t="s">
        <v>11404</v>
      </c>
      <c r="F22083" s="40" t="s">
        <v>11404</v>
      </c>
      <c r="G22083" s="40" t="s">
        <v>11404</v>
      </c>
      <c r="H22083" s="40" t="s">
        <v>11404</v>
      </c>
    </row>
    <row r="22084">
      <c r="A22084" s="39"/>
      <c r="E22084" s="40" t="s">
        <v>11404</v>
      </c>
      <c r="F22084" s="40" t="s">
        <v>11404</v>
      </c>
      <c r="G22084" s="40" t="s">
        <v>11404</v>
      </c>
      <c r="H22084" s="40" t="s">
        <v>11404</v>
      </c>
    </row>
    <row r="22085">
      <c r="A22085" s="39"/>
      <c r="E22085" s="40" t="s">
        <v>11404</v>
      </c>
      <c r="F22085" s="40" t="s">
        <v>11404</v>
      </c>
      <c r="G22085" s="40" t="s">
        <v>11404</v>
      </c>
      <c r="H22085" s="40" t="s">
        <v>11404</v>
      </c>
    </row>
    <row r="22086">
      <c r="A22086" s="39"/>
      <c r="E22086" s="40" t="s">
        <v>11404</v>
      </c>
      <c r="F22086" s="40" t="s">
        <v>11404</v>
      </c>
      <c r="G22086" s="40" t="s">
        <v>11404</v>
      </c>
      <c r="H22086" s="40" t="s">
        <v>11404</v>
      </c>
    </row>
    <row r="22087">
      <c r="A22087" s="39"/>
      <c r="E22087" s="40" t="s">
        <v>11404</v>
      </c>
      <c r="F22087" s="40" t="s">
        <v>11404</v>
      </c>
      <c r="G22087" s="40" t="s">
        <v>11404</v>
      </c>
      <c r="H22087" s="40" t="s">
        <v>11404</v>
      </c>
    </row>
    <row r="22088">
      <c r="A22088" s="39"/>
      <c r="E22088" s="40" t="s">
        <v>11404</v>
      </c>
      <c r="F22088" s="40" t="s">
        <v>11404</v>
      </c>
      <c r="G22088" s="40" t="s">
        <v>11404</v>
      </c>
      <c r="H22088" s="40" t="s">
        <v>11404</v>
      </c>
    </row>
    <row r="22089">
      <c r="A22089" s="39"/>
      <c r="E22089" s="40" t="s">
        <v>11404</v>
      </c>
      <c r="F22089" s="40" t="s">
        <v>11404</v>
      </c>
      <c r="G22089" s="40" t="s">
        <v>11404</v>
      </c>
      <c r="H22089" s="40" t="s">
        <v>11404</v>
      </c>
    </row>
    <row r="22090">
      <c r="A22090" s="39"/>
      <c r="E22090" s="40" t="s">
        <v>11404</v>
      </c>
      <c r="F22090" s="40" t="s">
        <v>11404</v>
      </c>
      <c r="G22090" s="40" t="s">
        <v>11404</v>
      </c>
      <c r="H22090" s="40" t="s">
        <v>11404</v>
      </c>
    </row>
    <row r="22091">
      <c r="A22091" s="39"/>
      <c r="E22091" s="40" t="s">
        <v>11404</v>
      </c>
      <c r="F22091" s="40" t="s">
        <v>11404</v>
      </c>
      <c r="G22091" s="40" t="s">
        <v>11404</v>
      </c>
      <c r="H22091" s="40" t="s">
        <v>11404</v>
      </c>
    </row>
    <row r="22092">
      <c r="A22092" s="39"/>
      <c r="E22092" s="40" t="s">
        <v>11404</v>
      </c>
      <c r="F22092" s="40" t="s">
        <v>11404</v>
      </c>
      <c r="G22092" s="40" t="s">
        <v>11404</v>
      </c>
      <c r="H22092" s="40" t="s">
        <v>11404</v>
      </c>
    </row>
    <row r="22093">
      <c r="A22093" s="39"/>
      <c r="E22093" s="40" t="s">
        <v>11404</v>
      </c>
      <c r="F22093" s="40" t="s">
        <v>11404</v>
      </c>
      <c r="G22093" s="40" t="s">
        <v>11404</v>
      </c>
      <c r="H22093" s="40" t="s">
        <v>11404</v>
      </c>
    </row>
    <row r="22094">
      <c r="A22094" s="39"/>
      <c r="E22094" s="40" t="s">
        <v>11404</v>
      </c>
      <c r="F22094" s="40" t="s">
        <v>11404</v>
      </c>
      <c r="G22094" s="40" t="s">
        <v>11404</v>
      </c>
      <c r="H22094" s="40" t="s">
        <v>11404</v>
      </c>
    </row>
    <row r="22095">
      <c r="A22095" s="39"/>
      <c r="E22095" s="40" t="s">
        <v>11404</v>
      </c>
      <c r="F22095" s="40" t="s">
        <v>11404</v>
      </c>
      <c r="G22095" s="40" t="s">
        <v>11404</v>
      </c>
      <c r="H22095" s="40" t="s">
        <v>11404</v>
      </c>
    </row>
    <row r="22096">
      <c r="A22096" s="39"/>
      <c r="E22096" s="40" t="s">
        <v>11404</v>
      </c>
      <c r="F22096" s="40" t="s">
        <v>11404</v>
      </c>
      <c r="G22096" s="40" t="s">
        <v>11404</v>
      </c>
      <c r="H22096" s="40" t="s">
        <v>11404</v>
      </c>
    </row>
    <row r="22097">
      <c r="A22097" s="39"/>
      <c r="E22097" s="40" t="s">
        <v>11404</v>
      </c>
      <c r="F22097" s="40" t="s">
        <v>11404</v>
      </c>
      <c r="G22097" s="40" t="s">
        <v>11404</v>
      </c>
      <c r="H22097" s="40" t="s">
        <v>11404</v>
      </c>
    </row>
    <row r="22098">
      <c r="A22098" s="39"/>
      <c r="E22098" s="40" t="s">
        <v>11404</v>
      </c>
      <c r="F22098" s="40" t="s">
        <v>11404</v>
      </c>
      <c r="G22098" s="40" t="s">
        <v>11404</v>
      </c>
      <c r="H22098" s="40" t="s">
        <v>11404</v>
      </c>
    </row>
    <row r="22099">
      <c r="A22099" s="39"/>
      <c r="E22099" s="40" t="s">
        <v>11404</v>
      </c>
      <c r="F22099" s="40" t="s">
        <v>11404</v>
      </c>
      <c r="G22099" s="40" t="s">
        <v>11404</v>
      </c>
      <c r="H22099" s="40" t="s">
        <v>11404</v>
      </c>
    </row>
    <row r="22100">
      <c r="A22100" s="39"/>
      <c r="E22100" s="40" t="s">
        <v>11404</v>
      </c>
      <c r="F22100" s="40" t="s">
        <v>11404</v>
      </c>
      <c r="G22100" s="40" t="s">
        <v>11404</v>
      </c>
      <c r="H22100" s="40" t="s">
        <v>11404</v>
      </c>
    </row>
    <row r="22101">
      <c r="A22101" s="39"/>
      <c r="E22101" s="40" t="s">
        <v>11404</v>
      </c>
      <c r="F22101" s="40" t="s">
        <v>11404</v>
      </c>
      <c r="G22101" s="40" t="s">
        <v>11404</v>
      </c>
      <c r="H22101" s="40" t="s">
        <v>11404</v>
      </c>
    </row>
    <row r="22102">
      <c r="A22102" s="39"/>
      <c r="E22102" s="40" t="s">
        <v>11404</v>
      </c>
      <c r="F22102" s="40" t="s">
        <v>11404</v>
      </c>
      <c r="G22102" s="40" t="s">
        <v>11404</v>
      </c>
      <c r="H22102" s="40" t="s">
        <v>11404</v>
      </c>
    </row>
    <row r="22103">
      <c r="A22103" s="39"/>
      <c r="E22103" s="40" t="s">
        <v>11404</v>
      </c>
      <c r="F22103" s="40" t="s">
        <v>11404</v>
      </c>
      <c r="G22103" s="40" t="s">
        <v>11404</v>
      </c>
      <c r="H22103" s="40" t="s">
        <v>11404</v>
      </c>
    </row>
    <row r="22104">
      <c r="A22104" s="39"/>
      <c r="E22104" s="40" t="s">
        <v>11404</v>
      </c>
      <c r="F22104" s="40" t="s">
        <v>11404</v>
      </c>
      <c r="G22104" s="40" t="s">
        <v>11404</v>
      </c>
      <c r="H22104" s="40" t="s">
        <v>11404</v>
      </c>
    </row>
    <row r="22105">
      <c r="A22105" s="39"/>
      <c r="E22105" s="40" t="s">
        <v>11404</v>
      </c>
      <c r="F22105" s="40" t="s">
        <v>11404</v>
      </c>
      <c r="G22105" s="40" t="s">
        <v>11404</v>
      </c>
      <c r="H22105" s="40" t="s">
        <v>11404</v>
      </c>
    </row>
    <row r="22106">
      <c r="A22106" s="39"/>
      <c r="E22106" s="40" t="s">
        <v>11404</v>
      </c>
      <c r="F22106" s="40" t="s">
        <v>11404</v>
      </c>
      <c r="G22106" s="40" t="s">
        <v>11404</v>
      </c>
      <c r="H22106" s="40" t="s">
        <v>11404</v>
      </c>
    </row>
    <row r="22107">
      <c r="A22107" s="39"/>
      <c r="E22107" s="40" t="s">
        <v>11404</v>
      </c>
      <c r="F22107" s="40" t="s">
        <v>11404</v>
      </c>
      <c r="G22107" s="40" t="s">
        <v>11404</v>
      </c>
      <c r="H22107" s="40" t="s">
        <v>11404</v>
      </c>
    </row>
    <row r="22108">
      <c r="A22108" s="39"/>
      <c r="E22108" s="40" t="s">
        <v>11404</v>
      </c>
      <c r="F22108" s="40" t="s">
        <v>11404</v>
      </c>
      <c r="G22108" s="40" t="s">
        <v>11404</v>
      </c>
      <c r="H22108" s="40" t="s">
        <v>11404</v>
      </c>
    </row>
    <row r="22109">
      <c r="A22109" s="39"/>
      <c r="E22109" s="40" t="s">
        <v>11404</v>
      </c>
      <c r="F22109" s="40" t="s">
        <v>11404</v>
      </c>
      <c r="G22109" s="40" t="s">
        <v>11404</v>
      </c>
      <c r="H22109" s="40" t="s">
        <v>11404</v>
      </c>
    </row>
    <row r="22110">
      <c r="A22110" s="39"/>
      <c r="E22110" s="40" t="s">
        <v>11404</v>
      </c>
      <c r="F22110" s="40" t="s">
        <v>11404</v>
      </c>
      <c r="G22110" s="40" t="s">
        <v>11404</v>
      </c>
      <c r="H22110" s="40" t="s">
        <v>11404</v>
      </c>
    </row>
    <row r="22111">
      <c r="A22111" s="39"/>
      <c r="E22111" s="40" t="s">
        <v>11404</v>
      </c>
      <c r="F22111" s="40" t="s">
        <v>11404</v>
      </c>
      <c r="G22111" s="40" t="s">
        <v>11404</v>
      </c>
      <c r="H22111" s="40" t="s">
        <v>11404</v>
      </c>
    </row>
    <row r="22112">
      <c r="A22112" s="39"/>
      <c r="E22112" s="40" t="s">
        <v>11404</v>
      </c>
      <c r="F22112" s="40" t="s">
        <v>11404</v>
      </c>
      <c r="G22112" s="40" t="s">
        <v>11404</v>
      </c>
      <c r="H22112" s="40" t="s">
        <v>11404</v>
      </c>
    </row>
    <row r="22113">
      <c r="A22113" s="39"/>
      <c r="E22113" s="40" t="s">
        <v>11404</v>
      </c>
      <c r="F22113" s="40" t="s">
        <v>11404</v>
      </c>
      <c r="G22113" s="40" t="s">
        <v>11404</v>
      </c>
      <c r="H22113" s="40" t="s">
        <v>11404</v>
      </c>
    </row>
    <row r="22114">
      <c r="A22114" s="39"/>
      <c r="E22114" s="40" t="s">
        <v>11404</v>
      </c>
      <c r="F22114" s="40" t="s">
        <v>11404</v>
      </c>
      <c r="G22114" s="40" t="s">
        <v>11404</v>
      </c>
      <c r="H22114" s="40" t="s">
        <v>11404</v>
      </c>
    </row>
    <row r="22115">
      <c r="A22115" s="39"/>
      <c r="E22115" s="40" t="s">
        <v>11404</v>
      </c>
      <c r="F22115" s="40" t="s">
        <v>11404</v>
      </c>
      <c r="G22115" s="40" t="s">
        <v>11404</v>
      </c>
      <c r="H22115" s="40" t="s">
        <v>11404</v>
      </c>
    </row>
    <row r="22116">
      <c r="A22116" s="39"/>
      <c r="E22116" s="40" t="s">
        <v>11404</v>
      </c>
      <c r="F22116" s="40" t="s">
        <v>11404</v>
      </c>
      <c r="G22116" s="40" t="s">
        <v>11404</v>
      </c>
      <c r="H22116" s="40" t="s">
        <v>11404</v>
      </c>
    </row>
    <row r="22117">
      <c r="A22117" s="39"/>
      <c r="E22117" s="40" t="s">
        <v>11404</v>
      </c>
      <c r="F22117" s="40" t="s">
        <v>11404</v>
      </c>
      <c r="G22117" s="40" t="s">
        <v>11404</v>
      </c>
      <c r="H22117" s="40" t="s">
        <v>11404</v>
      </c>
    </row>
    <row r="22118">
      <c r="A22118" s="39"/>
      <c r="E22118" s="40" t="s">
        <v>11404</v>
      </c>
      <c r="F22118" s="40" t="s">
        <v>11404</v>
      </c>
      <c r="G22118" s="40" t="s">
        <v>11404</v>
      </c>
      <c r="H22118" s="40" t="s">
        <v>11404</v>
      </c>
    </row>
    <row r="22119">
      <c r="A22119" s="39"/>
      <c r="E22119" s="40" t="s">
        <v>11404</v>
      </c>
      <c r="F22119" s="40" t="s">
        <v>11404</v>
      </c>
      <c r="G22119" s="40" t="s">
        <v>11404</v>
      </c>
      <c r="H22119" s="40" t="s">
        <v>11404</v>
      </c>
    </row>
    <row r="22120">
      <c r="A22120" s="39"/>
      <c r="E22120" s="40" t="s">
        <v>11404</v>
      </c>
      <c r="F22120" s="40" t="s">
        <v>11404</v>
      </c>
      <c r="G22120" s="40" t="s">
        <v>11404</v>
      </c>
      <c r="H22120" s="40" t="s">
        <v>11404</v>
      </c>
    </row>
    <row r="22121">
      <c r="A22121" s="39"/>
      <c r="E22121" s="40" t="s">
        <v>11404</v>
      </c>
      <c r="F22121" s="40" t="s">
        <v>11404</v>
      </c>
      <c r="G22121" s="40" t="s">
        <v>11404</v>
      </c>
      <c r="H22121" s="40" t="s">
        <v>11404</v>
      </c>
    </row>
    <row r="22122">
      <c r="A22122" s="39"/>
      <c r="E22122" s="40" t="s">
        <v>11404</v>
      </c>
      <c r="F22122" s="40" t="s">
        <v>11404</v>
      </c>
      <c r="G22122" s="40" t="s">
        <v>11404</v>
      </c>
      <c r="H22122" s="40" t="s">
        <v>11404</v>
      </c>
    </row>
    <row r="22123">
      <c r="A22123" s="39"/>
      <c r="E22123" s="40" t="s">
        <v>11404</v>
      </c>
      <c r="F22123" s="40" t="s">
        <v>11404</v>
      </c>
      <c r="G22123" s="40" t="s">
        <v>11404</v>
      </c>
      <c r="H22123" s="40" t="s">
        <v>11404</v>
      </c>
    </row>
    <row r="22124">
      <c r="A22124" s="39"/>
      <c r="E22124" s="40" t="s">
        <v>11404</v>
      </c>
      <c r="F22124" s="40" t="s">
        <v>11404</v>
      </c>
      <c r="G22124" s="40" t="s">
        <v>11404</v>
      </c>
      <c r="H22124" s="40" t="s">
        <v>11404</v>
      </c>
    </row>
    <row r="22125">
      <c r="A22125" s="39"/>
      <c r="E22125" s="40" t="s">
        <v>11404</v>
      </c>
      <c r="F22125" s="40" t="s">
        <v>11404</v>
      </c>
      <c r="G22125" s="40" t="s">
        <v>11404</v>
      </c>
      <c r="H22125" s="40" t="s">
        <v>11404</v>
      </c>
    </row>
    <row r="22126">
      <c r="A22126" s="39"/>
      <c r="E22126" s="40" t="s">
        <v>11404</v>
      </c>
      <c r="F22126" s="40" t="s">
        <v>11404</v>
      </c>
      <c r="G22126" s="40" t="s">
        <v>11404</v>
      </c>
      <c r="H22126" s="40" t="s">
        <v>11404</v>
      </c>
    </row>
    <row r="22127">
      <c r="A22127" s="39"/>
      <c r="E22127" s="40" t="s">
        <v>11404</v>
      </c>
      <c r="F22127" s="40" t="s">
        <v>11404</v>
      </c>
      <c r="G22127" s="40" t="s">
        <v>11404</v>
      </c>
      <c r="H22127" s="40" t="s">
        <v>11404</v>
      </c>
    </row>
    <row r="22128">
      <c r="A22128" s="39"/>
      <c r="E22128" s="40" t="s">
        <v>11404</v>
      </c>
      <c r="F22128" s="40" t="s">
        <v>11404</v>
      </c>
      <c r="G22128" s="40" t="s">
        <v>11404</v>
      </c>
      <c r="H22128" s="40" t="s">
        <v>11404</v>
      </c>
    </row>
    <row r="22129">
      <c r="A22129" s="39"/>
      <c r="E22129" s="40" t="s">
        <v>11404</v>
      </c>
      <c r="F22129" s="40" t="s">
        <v>11404</v>
      </c>
      <c r="G22129" s="40" t="s">
        <v>11404</v>
      </c>
      <c r="H22129" s="40" t="s">
        <v>11404</v>
      </c>
    </row>
    <row r="22130">
      <c r="A22130" s="39"/>
      <c r="E22130" s="40" t="s">
        <v>11404</v>
      </c>
      <c r="F22130" s="40" t="s">
        <v>11404</v>
      </c>
      <c r="G22130" s="40" t="s">
        <v>11404</v>
      </c>
      <c r="H22130" s="40" t="s">
        <v>11404</v>
      </c>
    </row>
    <row r="22131">
      <c r="A22131" s="39"/>
      <c r="E22131" s="40" t="s">
        <v>11404</v>
      </c>
      <c r="F22131" s="40" t="s">
        <v>11404</v>
      </c>
      <c r="G22131" s="40" t="s">
        <v>11404</v>
      </c>
      <c r="H22131" s="40" t="s">
        <v>11404</v>
      </c>
    </row>
    <row r="22132">
      <c r="A22132" s="39"/>
      <c r="E22132" s="40" t="s">
        <v>11404</v>
      </c>
      <c r="F22132" s="40" t="s">
        <v>11404</v>
      </c>
      <c r="G22132" s="40" t="s">
        <v>11404</v>
      </c>
      <c r="H22132" s="40" t="s">
        <v>11404</v>
      </c>
    </row>
    <row r="22133">
      <c r="A22133" s="39"/>
      <c r="E22133" s="40" t="s">
        <v>11404</v>
      </c>
      <c r="F22133" s="40" t="s">
        <v>11404</v>
      </c>
      <c r="G22133" s="40" t="s">
        <v>11404</v>
      </c>
      <c r="H22133" s="40" t="s">
        <v>11404</v>
      </c>
    </row>
    <row r="22134">
      <c r="A22134" s="39"/>
      <c r="E22134" s="40" t="s">
        <v>11404</v>
      </c>
      <c r="F22134" s="40" t="s">
        <v>11404</v>
      </c>
      <c r="G22134" s="40" t="s">
        <v>11404</v>
      </c>
      <c r="H22134" s="40" t="s">
        <v>11404</v>
      </c>
    </row>
    <row r="22135">
      <c r="A22135" s="39"/>
      <c r="E22135" s="40" t="s">
        <v>11404</v>
      </c>
      <c r="F22135" s="40" t="s">
        <v>11404</v>
      </c>
      <c r="G22135" s="40" t="s">
        <v>11404</v>
      </c>
      <c r="H22135" s="40" t="s">
        <v>11404</v>
      </c>
    </row>
    <row r="22136">
      <c r="A22136" s="39"/>
      <c r="E22136" s="40" t="s">
        <v>11404</v>
      </c>
      <c r="F22136" s="40" t="s">
        <v>11404</v>
      </c>
      <c r="G22136" s="40" t="s">
        <v>11404</v>
      </c>
      <c r="H22136" s="40" t="s">
        <v>11404</v>
      </c>
    </row>
    <row r="22137">
      <c r="A22137" s="39"/>
      <c r="E22137" s="40" t="s">
        <v>11404</v>
      </c>
      <c r="F22137" s="40" t="s">
        <v>11404</v>
      </c>
      <c r="G22137" s="40" t="s">
        <v>11404</v>
      </c>
      <c r="H22137" s="40" t="s">
        <v>11404</v>
      </c>
    </row>
    <row r="22138">
      <c r="A22138" s="39"/>
      <c r="E22138" s="40" t="s">
        <v>11404</v>
      </c>
      <c r="F22138" s="40" t="s">
        <v>11404</v>
      </c>
      <c r="G22138" s="40" t="s">
        <v>11404</v>
      </c>
      <c r="H22138" s="40" t="s">
        <v>11404</v>
      </c>
    </row>
    <row r="22139">
      <c r="A22139" s="39"/>
      <c r="E22139" s="40" t="s">
        <v>11404</v>
      </c>
      <c r="F22139" s="40" t="s">
        <v>11404</v>
      </c>
      <c r="G22139" s="40" t="s">
        <v>11404</v>
      </c>
      <c r="H22139" s="40" t="s">
        <v>11404</v>
      </c>
    </row>
    <row r="22140">
      <c r="A22140" s="39"/>
      <c r="E22140" s="40" t="s">
        <v>11404</v>
      </c>
      <c r="F22140" s="40" t="s">
        <v>11404</v>
      </c>
      <c r="G22140" s="40" t="s">
        <v>11404</v>
      </c>
      <c r="H22140" s="40" t="s">
        <v>11404</v>
      </c>
    </row>
    <row r="22141">
      <c r="A22141" s="39"/>
      <c r="E22141" s="40" t="s">
        <v>11404</v>
      </c>
      <c r="F22141" s="40" t="s">
        <v>11404</v>
      </c>
      <c r="G22141" s="40" t="s">
        <v>11404</v>
      </c>
      <c r="H22141" s="40" t="s">
        <v>11404</v>
      </c>
    </row>
    <row r="22142">
      <c r="A22142" s="39"/>
      <c r="E22142" s="40" t="s">
        <v>11404</v>
      </c>
      <c r="F22142" s="40" t="s">
        <v>11404</v>
      </c>
      <c r="G22142" s="40" t="s">
        <v>11404</v>
      </c>
      <c r="H22142" s="40" t="s">
        <v>11404</v>
      </c>
    </row>
    <row r="22143">
      <c r="A22143" s="39"/>
      <c r="E22143" s="40" t="s">
        <v>11404</v>
      </c>
      <c r="F22143" s="40" t="s">
        <v>11404</v>
      </c>
      <c r="G22143" s="40" t="s">
        <v>11404</v>
      </c>
      <c r="H22143" s="40" t="s">
        <v>11404</v>
      </c>
    </row>
    <row r="22144">
      <c r="A22144" s="39"/>
      <c r="E22144" s="40" t="s">
        <v>11404</v>
      </c>
      <c r="F22144" s="40" t="s">
        <v>11404</v>
      </c>
      <c r="G22144" s="40" t="s">
        <v>11404</v>
      </c>
      <c r="H22144" s="40" t="s">
        <v>11404</v>
      </c>
    </row>
    <row r="22145">
      <c r="A22145" s="39"/>
      <c r="E22145" s="40" t="s">
        <v>11404</v>
      </c>
      <c r="F22145" s="40" t="s">
        <v>11404</v>
      </c>
      <c r="G22145" s="40" t="s">
        <v>11404</v>
      </c>
      <c r="H22145" s="40" t="s">
        <v>11404</v>
      </c>
    </row>
    <row r="22146">
      <c r="A22146" s="39"/>
      <c r="E22146" s="40" t="s">
        <v>11404</v>
      </c>
      <c r="F22146" s="40" t="s">
        <v>11404</v>
      </c>
      <c r="G22146" s="40" t="s">
        <v>11404</v>
      </c>
      <c r="H22146" s="40" t="s">
        <v>11404</v>
      </c>
    </row>
    <row r="22147">
      <c r="A22147" s="39"/>
      <c r="E22147" s="40" t="s">
        <v>11404</v>
      </c>
      <c r="F22147" s="40" t="s">
        <v>11404</v>
      </c>
      <c r="G22147" s="40" t="s">
        <v>11404</v>
      </c>
      <c r="H22147" s="40" t="s">
        <v>11404</v>
      </c>
    </row>
    <row r="22148">
      <c r="A22148" s="39"/>
      <c r="E22148" s="40" t="s">
        <v>11404</v>
      </c>
      <c r="F22148" s="40" t="s">
        <v>11404</v>
      </c>
      <c r="G22148" s="40" t="s">
        <v>11404</v>
      </c>
      <c r="H22148" s="40" t="s">
        <v>11404</v>
      </c>
    </row>
    <row r="22149">
      <c r="A22149" s="39"/>
      <c r="E22149" s="40" t="s">
        <v>11404</v>
      </c>
      <c r="F22149" s="40" t="s">
        <v>11404</v>
      </c>
      <c r="G22149" s="40" t="s">
        <v>11404</v>
      </c>
      <c r="H22149" s="40" t="s">
        <v>11404</v>
      </c>
    </row>
    <row r="22150">
      <c r="A22150" s="39"/>
      <c r="E22150" s="40" t="s">
        <v>11404</v>
      </c>
      <c r="F22150" s="40" t="s">
        <v>11404</v>
      </c>
      <c r="G22150" s="40" t="s">
        <v>11404</v>
      </c>
      <c r="H22150" s="40" t="s">
        <v>11404</v>
      </c>
    </row>
    <row r="22151">
      <c r="A22151" s="39"/>
      <c r="E22151" s="40" t="s">
        <v>11404</v>
      </c>
      <c r="F22151" s="40" t="s">
        <v>11404</v>
      </c>
      <c r="G22151" s="40" t="s">
        <v>11404</v>
      </c>
      <c r="H22151" s="40" t="s">
        <v>11404</v>
      </c>
    </row>
    <row r="22152">
      <c r="A22152" s="39"/>
      <c r="E22152" s="40" t="s">
        <v>11404</v>
      </c>
      <c r="F22152" s="40" t="s">
        <v>11404</v>
      </c>
      <c r="G22152" s="40" t="s">
        <v>11404</v>
      </c>
      <c r="H22152" s="40" t="s">
        <v>11404</v>
      </c>
    </row>
    <row r="22153">
      <c r="A22153" s="39"/>
      <c r="E22153" s="40" t="s">
        <v>11404</v>
      </c>
      <c r="F22153" s="40" t="s">
        <v>11404</v>
      </c>
      <c r="G22153" s="40" t="s">
        <v>11404</v>
      </c>
      <c r="H22153" s="40" t="s">
        <v>11404</v>
      </c>
    </row>
    <row r="22154">
      <c r="A22154" s="39"/>
      <c r="E22154" s="40" t="s">
        <v>11404</v>
      </c>
      <c r="F22154" s="40" t="s">
        <v>11404</v>
      </c>
      <c r="G22154" s="40" t="s">
        <v>11404</v>
      </c>
      <c r="H22154" s="40" t="s">
        <v>11404</v>
      </c>
    </row>
    <row r="22155">
      <c r="A22155" s="39"/>
      <c r="E22155" s="40" t="s">
        <v>11404</v>
      </c>
      <c r="F22155" s="40" t="s">
        <v>11404</v>
      </c>
      <c r="G22155" s="40" t="s">
        <v>11404</v>
      </c>
      <c r="H22155" s="40" t="s">
        <v>11404</v>
      </c>
    </row>
    <row r="22156">
      <c r="A22156" s="39"/>
      <c r="E22156" s="40" t="s">
        <v>11404</v>
      </c>
      <c r="F22156" s="40" t="s">
        <v>11404</v>
      </c>
      <c r="G22156" s="40" t="s">
        <v>11404</v>
      </c>
      <c r="H22156" s="40" t="s">
        <v>11404</v>
      </c>
    </row>
    <row r="22157">
      <c r="A22157" s="39"/>
      <c r="E22157" s="40" t="s">
        <v>11404</v>
      </c>
      <c r="F22157" s="40" t="s">
        <v>11404</v>
      </c>
      <c r="G22157" s="40" t="s">
        <v>11404</v>
      </c>
      <c r="H22157" s="40" t="s">
        <v>11404</v>
      </c>
    </row>
    <row r="22158">
      <c r="A22158" s="39"/>
      <c r="E22158" s="40" t="s">
        <v>11404</v>
      </c>
      <c r="F22158" s="40" t="s">
        <v>11404</v>
      </c>
      <c r="G22158" s="40" t="s">
        <v>11404</v>
      </c>
      <c r="H22158" s="40" t="s">
        <v>11404</v>
      </c>
    </row>
    <row r="22159">
      <c r="A22159" s="39"/>
      <c r="E22159" s="40" t="s">
        <v>11404</v>
      </c>
      <c r="F22159" s="40" t="s">
        <v>11404</v>
      </c>
      <c r="G22159" s="40" t="s">
        <v>11404</v>
      </c>
      <c r="H22159" s="40" t="s">
        <v>11404</v>
      </c>
    </row>
    <row r="22160">
      <c r="A22160" s="39"/>
      <c r="E22160" s="40" t="s">
        <v>11404</v>
      </c>
      <c r="F22160" s="40" t="s">
        <v>11404</v>
      </c>
      <c r="G22160" s="40" t="s">
        <v>11404</v>
      </c>
      <c r="H22160" s="40" t="s">
        <v>11404</v>
      </c>
    </row>
    <row r="22161">
      <c r="A22161" s="39"/>
      <c r="E22161" s="40" t="s">
        <v>11404</v>
      </c>
      <c r="F22161" s="40" t="s">
        <v>11404</v>
      </c>
      <c r="G22161" s="40" t="s">
        <v>11404</v>
      </c>
      <c r="H22161" s="40" t="s">
        <v>11404</v>
      </c>
    </row>
    <row r="22162">
      <c r="A22162" s="39"/>
      <c r="E22162" s="40" t="s">
        <v>11404</v>
      </c>
      <c r="F22162" s="40" t="s">
        <v>11404</v>
      </c>
      <c r="G22162" s="40" t="s">
        <v>11404</v>
      </c>
      <c r="H22162" s="40" t="s">
        <v>11404</v>
      </c>
    </row>
    <row r="22163">
      <c r="A22163" s="39"/>
      <c r="E22163" s="40" t="s">
        <v>11404</v>
      </c>
      <c r="F22163" s="40" t="s">
        <v>11404</v>
      </c>
      <c r="G22163" s="40" t="s">
        <v>11404</v>
      </c>
      <c r="H22163" s="40" t="s">
        <v>11404</v>
      </c>
    </row>
    <row r="22164">
      <c r="A22164" s="39"/>
      <c r="E22164" s="40" t="s">
        <v>11404</v>
      </c>
      <c r="F22164" s="40" t="s">
        <v>11404</v>
      </c>
      <c r="G22164" s="40" t="s">
        <v>11404</v>
      </c>
      <c r="H22164" s="40" t="s">
        <v>11404</v>
      </c>
    </row>
    <row r="22165">
      <c r="A22165" s="39"/>
      <c r="E22165" s="40" t="s">
        <v>11404</v>
      </c>
      <c r="F22165" s="40" t="s">
        <v>11404</v>
      </c>
      <c r="G22165" s="40" t="s">
        <v>11404</v>
      </c>
      <c r="H22165" s="40" t="s">
        <v>11404</v>
      </c>
    </row>
    <row r="22166">
      <c r="A22166" s="39"/>
      <c r="E22166" s="40" t="s">
        <v>11404</v>
      </c>
      <c r="F22166" s="40" t="s">
        <v>11404</v>
      </c>
      <c r="G22166" s="40" t="s">
        <v>11404</v>
      </c>
      <c r="H22166" s="40" t="s">
        <v>11404</v>
      </c>
    </row>
    <row r="22167">
      <c r="A22167" s="39"/>
      <c r="E22167" s="40" t="s">
        <v>11404</v>
      </c>
      <c r="F22167" s="40" t="s">
        <v>11404</v>
      </c>
      <c r="G22167" s="40" t="s">
        <v>11404</v>
      </c>
      <c r="H22167" s="40" t="s">
        <v>11404</v>
      </c>
    </row>
    <row r="22168">
      <c r="A22168" s="39"/>
      <c r="E22168" s="40" t="s">
        <v>11404</v>
      </c>
      <c r="F22168" s="40" t="s">
        <v>11404</v>
      </c>
      <c r="G22168" s="40" t="s">
        <v>11404</v>
      </c>
      <c r="H22168" s="40" t="s">
        <v>11404</v>
      </c>
    </row>
    <row r="22169">
      <c r="A22169" s="39"/>
      <c r="E22169" s="40" t="s">
        <v>11404</v>
      </c>
      <c r="F22169" s="40" t="s">
        <v>11404</v>
      </c>
      <c r="G22169" s="40" t="s">
        <v>11404</v>
      </c>
      <c r="H22169" s="40" t="s">
        <v>11404</v>
      </c>
    </row>
    <row r="22170">
      <c r="A22170" s="39"/>
      <c r="E22170" s="40" t="s">
        <v>11404</v>
      </c>
      <c r="F22170" s="40" t="s">
        <v>11404</v>
      </c>
      <c r="G22170" s="40" t="s">
        <v>11404</v>
      </c>
      <c r="H22170" s="40" t="s">
        <v>11404</v>
      </c>
    </row>
    <row r="22171">
      <c r="A22171" s="39"/>
      <c r="E22171" s="40" t="s">
        <v>11404</v>
      </c>
      <c r="F22171" s="40" t="s">
        <v>11404</v>
      </c>
      <c r="G22171" s="40" t="s">
        <v>11404</v>
      </c>
      <c r="H22171" s="40" t="s">
        <v>11404</v>
      </c>
    </row>
    <row r="22172">
      <c r="A22172" s="39"/>
      <c r="E22172" s="40" t="s">
        <v>11404</v>
      </c>
      <c r="F22172" s="40" t="s">
        <v>11404</v>
      </c>
      <c r="G22172" s="40" t="s">
        <v>11404</v>
      </c>
      <c r="H22172" s="40" t="s">
        <v>11404</v>
      </c>
    </row>
    <row r="22173">
      <c r="A22173" s="39"/>
      <c r="E22173" s="40" t="s">
        <v>11404</v>
      </c>
      <c r="F22173" s="40" t="s">
        <v>11404</v>
      </c>
      <c r="G22173" s="40" t="s">
        <v>11404</v>
      </c>
      <c r="H22173" s="40" t="s">
        <v>11404</v>
      </c>
    </row>
    <row r="22174">
      <c r="A22174" s="39"/>
      <c r="E22174" s="40" t="s">
        <v>11404</v>
      </c>
      <c r="F22174" s="40" t="s">
        <v>11404</v>
      </c>
      <c r="G22174" s="40" t="s">
        <v>11404</v>
      </c>
      <c r="H22174" s="40" t="s">
        <v>11404</v>
      </c>
    </row>
    <row r="22175">
      <c r="A22175" s="39"/>
      <c r="E22175" s="40" t="s">
        <v>11404</v>
      </c>
      <c r="F22175" s="40" t="s">
        <v>11404</v>
      </c>
      <c r="G22175" s="40" t="s">
        <v>11404</v>
      </c>
      <c r="H22175" s="40" t="s">
        <v>11404</v>
      </c>
    </row>
    <row r="22176">
      <c r="A22176" s="39"/>
      <c r="E22176" s="40" t="s">
        <v>11404</v>
      </c>
      <c r="F22176" s="40" t="s">
        <v>11404</v>
      </c>
      <c r="G22176" s="40" t="s">
        <v>11404</v>
      </c>
      <c r="H22176" s="40" t="s">
        <v>11404</v>
      </c>
    </row>
    <row r="22177">
      <c r="A22177" s="39"/>
      <c r="E22177" s="40" t="s">
        <v>11404</v>
      </c>
      <c r="F22177" s="40" t="s">
        <v>11404</v>
      </c>
      <c r="G22177" s="40" t="s">
        <v>11404</v>
      </c>
      <c r="H22177" s="40" t="s">
        <v>11404</v>
      </c>
    </row>
    <row r="22178">
      <c r="A22178" s="39"/>
      <c r="E22178" s="40" t="s">
        <v>11404</v>
      </c>
      <c r="F22178" s="40" t="s">
        <v>11404</v>
      </c>
      <c r="G22178" s="40" t="s">
        <v>11404</v>
      </c>
      <c r="H22178" s="40" t="s">
        <v>11404</v>
      </c>
    </row>
    <row r="22179">
      <c r="A22179" s="39"/>
      <c r="E22179" s="40" t="s">
        <v>11404</v>
      </c>
      <c r="F22179" s="40" t="s">
        <v>11404</v>
      </c>
      <c r="G22179" s="40" t="s">
        <v>11404</v>
      </c>
      <c r="H22179" s="40" t="s">
        <v>11404</v>
      </c>
    </row>
    <row r="22180">
      <c r="A22180" s="39"/>
      <c r="E22180" s="40" t="s">
        <v>11404</v>
      </c>
      <c r="F22180" s="40" t="s">
        <v>11404</v>
      </c>
      <c r="G22180" s="40" t="s">
        <v>11404</v>
      </c>
      <c r="H22180" s="40" t="s">
        <v>11404</v>
      </c>
    </row>
    <row r="22181">
      <c r="A22181" s="39"/>
      <c r="E22181" s="40" t="s">
        <v>11404</v>
      </c>
      <c r="F22181" s="40" t="s">
        <v>11404</v>
      </c>
      <c r="G22181" s="40" t="s">
        <v>11404</v>
      </c>
      <c r="H22181" s="40" t="s">
        <v>11404</v>
      </c>
    </row>
    <row r="22182">
      <c r="A22182" s="39"/>
      <c r="E22182" s="40" t="s">
        <v>11404</v>
      </c>
      <c r="F22182" s="40" t="s">
        <v>11404</v>
      </c>
      <c r="G22182" s="40" t="s">
        <v>11404</v>
      </c>
      <c r="H22182" s="40" t="s">
        <v>11404</v>
      </c>
    </row>
    <row r="22183">
      <c r="A22183" s="39"/>
      <c r="E22183" s="40" t="s">
        <v>11404</v>
      </c>
      <c r="F22183" s="40" t="s">
        <v>11404</v>
      </c>
      <c r="G22183" s="40" t="s">
        <v>11404</v>
      </c>
      <c r="H22183" s="40" t="s">
        <v>11404</v>
      </c>
    </row>
    <row r="22184">
      <c r="A22184" s="39"/>
      <c r="E22184" s="40" t="s">
        <v>11404</v>
      </c>
      <c r="F22184" s="40" t="s">
        <v>11404</v>
      </c>
      <c r="G22184" s="40" t="s">
        <v>11404</v>
      </c>
      <c r="H22184" s="40" t="s">
        <v>11404</v>
      </c>
    </row>
    <row r="22185">
      <c r="A22185" s="39"/>
      <c r="E22185" s="40" t="s">
        <v>11404</v>
      </c>
      <c r="F22185" s="40" t="s">
        <v>11404</v>
      </c>
      <c r="G22185" s="40" t="s">
        <v>11404</v>
      </c>
      <c r="H22185" s="40" t="s">
        <v>11404</v>
      </c>
    </row>
    <row r="22186">
      <c r="A22186" s="39"/>
      <c r="E22186" s="40" t="s">
        <v>11404</v>
      </c>
      <c r="F22186" s="40" t="s">
        <v>11404</v>
      </c>
      <c r="G22186" s="40" t="s">
        <v>11404</v>
      </c>
      <c r="H22186" s="40" t="s">
        <v>11404</v>
      </c>
    </row>
    <row r="22187">
      <c r="A22187" s="39"/>
      <c r="E22187" s="40" t="s">
        <v>11404</v>
      </c>
      <c r="F22187" s="40" t="s">
        <v>11404</v>
      </c>
      <c r="G22187" s="40" t="s">
        <v>11404</v>
      </c>
      <c r="H22187" s="40" t="s">
        <v>11404</v>
      </c>
    </row>
    <row r="22188">
      <c r="A22188" s="39"/>
      <c r="E22188" s="40" t="s">
        <v>11404</v>
      </c>
      <c r="F22188" s="40" t="s">
        <v>11404</v>
      </c>
      <c r="G22188" s="40" t="s">
        <v>11404</v>
      </c>
      <c r="H22188" s="40" t="s">
        <v>11404</v>
      </c>
    </row>
    <row r="22189">
      <c r="A22189" s="39"/>
      <c r="E22189" s="40" t="s">
        <v>11404</v>
      </c>
      <c r="F22189" s="40" t="s">
        <v>11404</v>
      </c>
      <c r="G22189" s="40" t="s">
        <v>11404</v>
      </c>
      <c r="H22189" s="40" t="s">
        <v>11404</v>
      </c>
    </row>
    <row r="22190">
      <c r="A22190" s="39"/>
      <c r="E22190" s="40" t="s">
        <v>11404</v>
      </c>
      <c r="F22190" s="40" t="s">
        <v>11404</v>
      </c>
      <c r="G22190" s="40" t="s">
        <v>11404</v>
      </c>
      <c r="H22190" s="40" t="s">
        <v>11404</v>
      </c>
    </row>
    <row r="22191">
      <c r="A22191" s="39"/>
      <c r="E22191" s="40" t="s">
        <v>11404</v>
      </c>
      <c r="F22191" s="40" t="s">
        <v>11404</v>
      </c>
      <c r="G22191" s="40" t="s">
        <v>11404</v>
      </c>
      <c r="H22191" s="40" t="s">
        <v>11404</v>
      </c>
    </row>
    <row r="22192">
      <c r="A22192" s="39"/>
      <c r="E22192" s="40" t="s">
        <v>11404</v>
      </c>
      <c r="F22192" s="40" t="s">
        <v>11404</v>
      </c>
      <c r="G22192" s="40" t="s">
        <v>11404</v>
      </c>
      <c r="H22192" s="40" t="s">
        <v>11404</v>
      </c>
    </row>
    <row r="22193">
      <c r="A22193" s="39"/>
      <c r="E22193" s="40" t="s">
        <v>11404</v>
      </c>
      <c r="F22193" s="40" t="s">
        <v>11404</v>
      </c>
      <c r="G22193" s="40" t="s">
        <v>11404</v>
      </c>
      <c r="H22193" s="40" t="s">
        <v>11404</v>
      </c>
    </row>
    <row r="22194">
      <c r="A22194" s="39"/>
      <c r="E22194" s="40" t="s">
        <v>11404</v>
      </c>
      <c r="F22194" s="40" t="s">
        <v>11404</v>
      </c>
      <c r="G22194" s="40" t="s">
        <v>11404</v>
      </c>
      <c r="H22194" s="40" t="s">
        <v>11404</v>
      </c>
    </row>
    <row r="22195">
      <c r="A22195" s="39"/>
      <c r="E22195" s="40" t="s">
        <v>11404</v>
      </c>
      <c r="F22195" s="40" t="s">
        <v>11404</v>
      </c>
      <c r="G22195" s="40" t="s">
        <v>11404</v>
      </c>
      <c r="H22195" s="40" t="s">
        <v>11404</v>
      </c>
    </row>
    <row r="22196">
      <c r="A22196" s="39"/>
      <c r="E22196" s="40" t="s">
        <v>11404</v>
      </c>
      <c r="F22196" s="40" t="s">
        <v>11404</v>
      </c>
      <c r="G22196" s="40" t="s">
        <v>11404</v>
      </c>
      <c r="H22196" s="40" t="s">
        <v>11404</v>
      </c>
    </row>
    <row r="22197">
      <c r="A22197" s="39"/>
      <c r="E22197" s="40" t="s">
        <v>11404</v>
      </c>
      <c r="F22197" s="40" t="s">
        <v>11404</v>
      </c>
      <c r="G22197" s="40" t="s">
        <v>11404</v>
      </c>
      <c r="H22197" s="40" t="s">
        <v>11404</v>
      </c>
    </row>
    <row r="22198">
      <c r="A22198" s="39"/>
      <c r="E22198" s="40" t="s">
        <v>11404</v>
      </c>
      <c r="F22198" s="40" t="s">
        <v>11404</v>
      </c>
      <c r="G22198" s="40" t="s">
        <v>11404</v>
      </c>
      <c r="H22198" s="40" t="s">
        <v>11404</v>
      </c>
    </row>
    <row r="22199">
      <c r="A22199" s="39"/>
      <c r="E22199" s="40" t="s">
        <v>11404</v>
      </c>
      <c r="F22199" s="40" t="s">
        <v>11404</v>
      </c>
      <c r="G22199" s="40" t="s">
        <v>11404</v>
      </c>
      <c r="H22199" s="40" t="s">
        <v>11404</v>
      </c>
    </row>
    <row r="22200">
      <c r="A22200" s="39"/>
      <c r="E22200" s="40" t="s">
        <v>11404</v>
      </c>
      <c r="F22200" s="40" t="s">
        <v>11404</v>
      </c>
      <c r="G22200" s="40" t="s">
        <v>11404</v>
      </c>
      <c r="H22200" s="40" t="s">
        <v>11404</v>
      </c>
    </row>
    <row r="22201">
      <c r="A22201" s="39"/>
      <c r="E22201" s="40" t="s">
        <v>11404</v>
      </c>
      <c r="F22201" s="40" t="s">
        <v>11404</v>
      </c>
      <c r="G22201" s="40" t="s">
        <v>11404</v>
      </c>
      <c r="H22201" s="40" t="s">
        <v>11404</v>
      </c>
    </row>
    <row r="22202">
      <c r="A22202" s="39"/>
      <c r="E22202" s="40" t="s">
        <v>11404</v>
      </c>
      <c r="F22202" s="40" t="s">
        <v>11404</v>
      </c>
      <c r="G22202" s="40" t="s">
        <v>11404</v>
      </c>
      <c r="H22202" s="40" t="s">
        <v>11404</v>
      </c>
    </row>
    <row r="22203">
      <c r="A22203" s="39"/>
      <c r="E22203" s="40" t="s">
        <v>11404</v>
      </c>
      <c r="F22203" s="40" t="s">
        <v>11404</v>
      </c>
      <c r="G22203" s="40" t="s">
        <v>11404</v>
      </c>
      <c r="H22203" s="40" t="s">
        <v>11404</v>
      </c>
    </row>
    <row r="22204">
      <c r="A22204" s="39"/>
      <c r="E22204" s="40" t="s">
        <v>11404</v>
      </c>
      <c r="F22204" s="40" t="s">
        <v>11404</v>
      </c>
      <c r="G22204" s="40" t="s">
        <v>11404</v>
      </c>
      <c r="H22204" s="40" t="s">
        <v>11404</v>
      </c>
    </row>
    <row r="22205">
      <c r="A22205" s="39"/>
      <c r="E22205" s="40" t="s">
        <v>11404</v>
      </c>
      <c r="F22205" s="40" t="s">
        <v>11404</v>
      </c>
      <c r="G22205" s="40" t="s">
        <v>11404</v>
      </c>
      <c r="H22205" s="40" t="s">
        <v>11404</v>
      </c>
    </row>
    <row r="22206">
      <c r="A22206" s="39"/>
      <c r="E22206" s="40" t="s">
        <v>11404</v>
      </c>
      <c r="F22206" s="40" t="s">
        <v>11404</v>
      </c>
      <c r="G22206" s="40" t="s">
        <v>11404</v>
      </c>
      <c r="H22206" s="40" t="s">
        <v>11404</v>
      </c>
    </row>
    <row r="22207">
      <c r="A22207" s="39"/>
      <c r="E22207" s="40" t="s">
        <v>11404</v>
      </c>
      <c r="F22207" s="40" t="s">
        <v>11404</v>
      </c>
      <c r="G22207" s="40" t="s">
        <v>11404</v>
      </c>
      <c r="H22207" s="40" t="s">
        <v>11404</v>
      </c>
    </row>
    <row r="22208">
      <c r="A22208" s="39"/>
      <c r="E22208" s="40" t="s">
        <v>11404</v>
      </c>
      <c r="F22208" s="40" t="s">
        <v>11404</v>
      </c>
      <c r="G22208" s="40" t="s">
        <v>11404</v>
      </c>
      <c r="H22208" s="40" t="s">
        <v>11404</v>
      </c>
    </row>
    <row r="22209">
      <c r="A22209" s="39"/>
      <c r="E22209" s="40" t="s">
        <v>11404</v>
      </c>
      <c r="F22209" s="40" t="s">
        <v>11404</v>
      </c>
      <c r="G22209" s="40" t="s">
        <v>11404</v>
      </c>
      <c r="H22209" s="40" t="s">
        <v>11404</v>
      </c>
    </row>
    <row r="22210">
      <c r="A22210" s="39"/>
      <c r="E22210" s="40" t="s">
        <v>11404</v>
      </c>
      <c r="F22210" s="40" t="s">
        <v>11404</v>
      </c>
      <c r="G22210" s="40" t="s">
        <v>11404</v>
      </c>
      <c r="H22210" s="40" t="s">
        <v>11404</v>
      </c>
    </row>
    <row r="22211">
      <c r="A22211" s="39"/>
      <c r="E22211" s="40" t="s">
        <v>11404</v>
      </c>
      <c r="F22211" s="40" t="s">
        <v>11404</v>
      </c>
      <c r="G22211" s="40" t="s">
        <v>11404</v>
      </c>
      <c r="H22211" s="40" t="s">
        <v>11404</v>
      </c>
    </row>
    <row r="22212">
      <c r="A22212" s="39"/>
      <c r="E22212" s="40" t="s">
        <v>11404</v>
      </c>
      <c r="F22212" s="40" t="s">
        <v>11404</v>
      </c>
      <c r="G22212" s="40" t="s">
        <v>11404</v>
      </c>
      <c r="H22212" s="40" t="s">
        <v>11404</v>
      </c>
    </row>
    <row r="22213">
      <c r="A22213" s="39"/>
      <c r="E22213" s="40" t="s">
        <v>11404</v>
      </c>
      <c r="F22213" s="40" t="s">
        <v>11404</v>
      </c>
      <c r="G22213" s="40" t="s">
        <v>11404</v>
      </c>
      <c r="H22213" s="40" t="s">
        <v>11404</v>
      </c>
    </row>
    <row r="22214">
      <c r="A22214" s="39"/>
      <c r="E22214" s="40" t="s">
        <v>11404</v>
      </c>
      <c r="F22214" s="40" t="s">
        <v>11404</v>
      </c>
      <c r="G22214" s="40" t="s">
        <v>11404</v>
      </c>
      <c r="H22214" s="40" t="s">
        <v>11404</v>
      </c>
    </row>
    <row r="22215">
      <c r="A22215" s="39"/>
      <c r="E22215" s="40" t="s">
        <v>11404</v>
      </c>
      <c r="F22215" s="40" t="s">
        <v>11404</v>
      </c>
      <c r="G22215" s="40" t="s">
        <v>11404</v>
      </c>
      <c r="H22215" s="40" t="s">
        <v>11404</v>
      </c>
    </row>
    <row r="22216">
      <c r="A22216" s="39"/>
      <c r="E22216" s="40" t="s">
        <v>11404</v>
      </c>
      <c r="F22216" s="40" t="s">
        <v>11404</v>
      </c>
      <c r="G22216" s="40" t="s">
        <v>11404</v>
      </c>
      <c r="H22216" s="40" t="s">
        <v>11404</v>
      </c>
    </row>
    <row r="22217">
      <c r="A22217" s="39"/>
      <c r="E22217" s="40" t="s">
        <v>11404</v>
      </c>
      <c r="F22217" s="40" t="s">
        <v>11404</v>
      </c>
      <c r="G22217" s="40" t="s">
        <v>11404</v>
      </c>
      <c r="H22217" s="40" t="s">
        <v>11404</v>
      </c>
    </row>
    <row r="22218">
      <c r="A22218" s="39"/>
      <c r="E22218" s="40" t="s">
        <v>11404</v>
      </c>
      <c r="F22218" s="40" t="s">
        <v>11404</v>
      </c>
      <c r="G22218" s="40" t="s">
        <v>11404</v>
      </c>
      <c r="H22218" s="40" t="s">
        <v>11404</v>
      </c>
    </row>
    <row r="22219">
      <c r="A22219" s="39"/>
      <c r="E22219" s="40" t="s">
        <v>11404</v>
      </c>
      <c r="F22219" s="40" t="s">
        <v>11404</v>
      </c>
      <c r="G22219" s="40" t="s">
        <v>11404</v>
      </c>
      <c r="H22219" s="40" t="s">
        <v>11404</v>
      </c>
    </row>
    <row r="22220">
      <c r="A22220" s="39"/>
      <c r="E22220" s="40" t="s">
        <v>11404</v>
      </c>
      <c r="F22220" s="40" t="s">
        <v>11404</v>
      </c>
      <c r="G22220" s="40" t="s">
        <v>11404</v>
      </c>
      <c r="H22220" s="40" t="s">
        <v>11404</v>
      </c>
    </row>
    <row r="22221">
      <c r="A22221" s="39"/>
      <c r="E22221" s="40" t="s">
        <v>11404</v>
      </c>
      <c r="F22221" s="40" t="s">
        <v>11404</v>
      </c>
      <c r="G22221" s="40" t="s">
        <v>11404</v>
      </c>
      <c r="H22221" s="40" t="s">
        <v>11404</v>
      </c>
    </row>
    <row r="22222">
      <c r="A22222" s="39"/>
      <c r="E22222" s="40" t="s">
        <v>11404</v>
      </c>
      <c r="F22222" s="40" t="s">
        <v>11404</v>
      </c>
      <c r="G22222" s="40" t="s">
        <v>11404</v>
      </c>
      <c r="H22222" s="40" t="s">
        <v>11404</v>
      </c>
    </row>
    <row r="22223">
      <c r="A22223" s="39"/>
      <c r="E22223" s="40" t="s">
        <v>11404</v>
      </c>
      <c r="F22223" s="40" t="s">
        <v>11404</v>
      </c>
      <c r="G22223" s="40" t="s">
        <v>11404</v>
      </c>
      <c r="H22223" s="40" t="s">
        <v>11404</v>
      </c>
    </row>
    <row r="22224">
      <c r="A22224" s="39"/>
      <c r="E22224" s="40" t="s">
        <v>11404</v>
      </c>
      <c r="F22224" s="40" t="s">
        <v>11404</v>
      </c>
      <c r="G22224" s="40" t="s">
        <v>11404</v>
      </c>
      <c r="H22224" s="40" t="s">
        <v>11404</v>
      </c>
    </row>
    <row r="22225">
      <c r="A22225" s="39"/>
      <c r="E22225" s="40" t="s">
        <v>11404</v>
      </c>
      <c r="F22225" s="40" t="s">
        <v>11404</v>
      </c>
      <c r="G22225" s="40" t="s">
        <v>11404</v>
      </c>
      <c r="H22225" s="40" t="s">
        <v>11404</v>
      </c>
    </row>
    <row r="22226">
      <c r="A22226" s="39"/>
      <c r="E22226" s="40" t="s">
        <v>11404</v>
      </c>
      <c r="F22226" s="40" t="s">
        <v>11404</v>
      </c>
      <c r="G22226" s="40" t="s">
        <v>11404</v>
      </c>
      <c r="H22226" s="40" t="s">
        <v>11404</v>
      </c>
    </row>
    <row r="22227">
      <c r="A22227" s="39"/>
      <c r="E22227" s="40" t="s">
        <v>11404</v>
      </c>
      <c r="F22227" s="40" t="s">
        <v>11404</v>
      </c>
      <c r="G22227" s="40" t="s">
        <v>11404</v>
      </c>
      <c r="H22227" s="40" t="s">
        <v>11404</v>
      </c>
    </row>
    <row r="22228">
      <c r="A22228" s="39"/>
      <c r="E22228" s="40" t="s">
        <v>11404</v>
      </c>
      <c r="F22228" s="40" t="s">
        <v>11404</v>
      </c>
      <c r="G22228" s="40" t="s">
        <v>11404</v>
      </c>
      <c r="H22228" s="40" t="s">
        <v>11404</v>
      </c>
    </row>
    <row r="22229">
      <c r="A22229" s="39"/>
      <c r="E22229" s="40" t="s">
        <v>11404</v>
      </c>
      <c r="F22229" s="40" t="s">
        <v>11404</v>
      </c>
      <c r="G22229" s="40" t="s">
        <v>11404</v>
      </c>
      <c r="H22229" s="40" t="s">
        <v>11404</v>
      </c>
    </row>
    <row r="22230">
      <c r="A22230" s="39"/>
      <c r="E22230" s="40" t="s">
        <v>11404</v>
      </c>
      <c r="F22230" s="40" t="s">
        <v>11404</v>
      </c>
      <c r="G22230" s="40" t="s">
        <v>11404</v>
      </c>
      <c r="H22230" s="40" t="s">
        <v>11404</v>
      </c>
    </row>
    <row r="22231">
      <c r="A22231" s="39"/>
      <c r="E22231" s="40" t="s">
        <v>11404</v>
      </c>
      <c r="F22231" s="40" t="s">
        <v>11404</v>
      </c>
      <c r="G22231" s="40" t="s">
        <v>11404</v>
      </c>
      <c r="H22231" s="40" t="s">
        <v>11404</v>
      </c>
    </row>
    <row r="22232">
      <c r="A22232" s="39"/>
      <c r="E22232" s="40" t="s">
        <v>11404</v>
      </c>
      <c r="F22232" s="40" t="s">
        <v>11404</v>
      </c>
      <c r="G22232" s="40" t="s">
        <v>11404</v>
      </c>
      <c r="H22232" s="40" t="s">
        <v>11404</v>
      </c>
    </row>
    <row r="22233">
      <c r="A22233" s="39"/>
      <c r="E22233" s="40" t="s">
        <v>11404</v>
      </c>
      <c r="F22233" s="40" t="s">
        <v>11404</v>
      </c>
      <c r="G22233" s="40" t="s">
        <v>11404</v>
      </c>
      <c r="H22233" s="40" t="s">
        <v>11404</v>
      </c>
    </row>
    <row r="22234">
      <c r="A22234" s="39"/>
      <c r="E22234" s="40" t="s">
        <v>11404</v>
      </c>
      <c r="F22234" s="40" t="s">
        <v>11404</v>
      </c>
      <c r="G22234" s="40" t="s">
        <v>11404</v>
      </c>
      <c r="H22234" s="40" t="s">
        <v>11404</v>
      </c>
    </row>
    <row r="22235">
      <c r="A22235" s="39"/>
      <c r="E22235" s="40" t="s">
        <v>11404</v>
      </c>
      <c r="F22235" s="40" t="s">
        <v>11404</v>
      </c>
      <c r="G22235" s="40" t="s">
        <v>11404</v>
      </c>
      <c r="H22235" s="40" t="s">
        <v>11404</v>
      </c>
    </row>
    <row r="22236">
      <c r="A22236" s="39"/>
      <c r="E22236" s="40" t="s">
        <v>11404</v>
      </c>
      <c r="F22236" s="40" t="s">
        <v>11404</v>
      </c>
      <c r="G22236" s="40" t="s">
        <v>11404</v>
      </c>
      <c r="H22236" s="40" t="s">
        <v>11404</v>
      </c>
    </row>
    <row r="22237">
      <c r="A22237" s="39"/>
      <c r="E22237" s="40" t="s">
        <v>11404</v>
      </c>
      <c r="F22237" s="40" t="s">
        <v>11404</v>
      </c>
      <c r="G22237" s="40" t="s">
        <v>11404</v>
      </c>
      <c r="H22237" s="40" t="s">
        <v>11404</v>
      </c>
    </row>
    <row r="22238">
      <c r="A22238" s="39"/>
      <c r="E22238" s="40" t="s">
        <v>11404</v>
      </c>
      <c r="F22238" s="40" t="s">
        <v>11404</v>
      </c>
      <c r="G22238" s="40" t="s">
        <v>11404</v>
      </c>
      <c r="H22238" s="40" t="s">
        <v>11404</v>
      </c>
    </row>
    <row r="22239">
      <c r="A22239" s="39"/>
      <c r="E22239" s="40" t="s">
        <v>11404</v>
      </c>
      <c r="F22239" s="40" t="s">
        <v>11404</v>
      </c>
      <c r="G22239" s="40" t="s">
        <v>11404</v>
      </c>
      <c r="H22239" s="40" t="s">
        <v>11404</v>
      </c>
    </row>
    <row r="22240">
      <c r="A22240" s="39"/>
      <c r="E22240" s="40" t="s">
        <v>11404</v>
      </c>
      <c r="F22240" s="40" t="s">
        <v>11404</v>
      </c>
      <c r="G22240" s="40" t="s">
        <v>11404</v>
      </c>
      <c r="H22240" s="40" t="s">
        <v>11404</v>
      </c>
    </row>
    <row r="22241">
      <c r="A22241" s="39"/>
      <c r="E22241" s="40" t="s">
        <v>11404</v>
      </c>
      <c r="F22241" s="40" t="s">
        <v>11404</v>
      </c>
      <c r="G22241" s="40" t="s">
        <v>11404</v>
      </c>
      <c r="H22241" s="40" t="s">
        <v>11404</v>
      </c>
    </row>
    <row r="22242">
      <c r="A22242" s="39"/>
      <c r="E22242" s="40" t="s">
        <v>11404</v>
      </c>
      <c r="F22242" s="40" t="s">
        <v>11404</v>
      </c>
      <c r="G22242" s="40" t="s">
        <v>11404</v>
      </c>
      <c r="H22242" s="40" t="s">
        <v>11404</v>
      </c>
    </row>
    <row r="22243">
      <c r="A22243" s="39"/>
      <c r="E22243" s="40" t="s">
        <v>11404</v>
      </c>
      <c r="F22243" s="40" t="s">
        <v>11404</v>
      </c>
      <c r="G22243" s="40" t="s">
        <v>11404</v>
      </c>
      <c r="H22243" s="40" t="s">
        <v>11404</v>
      </c>
    </row>
    <row r="22244">
      <c r="A22244" s="39"/>
      <c r="E22244" s="40" t="s">
        <v>11404</v>
      </c>
      <c r="F22244" s="40" t="s">
        <v>11404</v>
      </c>
      <c r="G22244" s="40" t="s">
        <v>11404</v>
      </c>
      <c r="H22244" s="40" t="s">
        <v>11404</v>
      </c>
    </row>
    <row r="22245">
      <c r="A22245" s="39"/>
      <c r="E22245" s="40" t="s">
        <v>11404</v>
      </c>
      <c r="F22245" s="40" t="s">
        <v>11404</v>
      </c>
      <c r="G22245" s="40" t="s">
        <v>11404</v>
      </c>
      <c r="H22245" s="40" t="s">
        <v>11404</v>
      </c>
    </row>
    <row r="22246">
      <c r="A22246" s="39"/>
      <c r="E22246" s="40" t="s">
        <v>11404</v>
      </c>
      <c r="F22246" s="40" t="s">
        <v>11404</v>
      </c>
      <c r="G22246" s="40" t="s">
        <v>11404</v>
      </c>
      <c r="H22246" s="40" t="s">
        <v>11404</v>
      </c>
    </row>
    <row r="22247">
      <c r="A22247" s="39"/>
      <c r="E22247" s="40" t="s">
        <v>11404</v>
      </c>
      <c r="F22247" s="40" t="s">
        <v>11404</v>
      </c>
      <c r="G22247" s="40" t="s">
        <v>11404</v>
      </c>
      <c r="H22247" s="40" t="s">
        <v>11404</v>
      </c>
    </row>
    <row r="22248">
      <c r="A22248" s="39"/>
      <c r="E22248" s="40" t="s">
        <v>11404</v>
      </c>
      <c r="F22248" s="40" t="s">
        <v>11404</v>
      </c>
      <c r="G22248" s="40" t="s">
        <v>11404</v>
      </c>
      <c r="H22248" s="40" t="s">
        <v>11404</v>
      </c>
    </row>
    <row r="22249">
      <c r="A22249" s="39"/>
      <c r="E22249" s="40" t="s">
        <v>11404</v>
      </c>
      <c r="F22249" s="40" t="s">
        <v>11404</v>
      </c>
      <c r="G22249" s="40" t="s">
        <v>11404</v>
      </c>
      <c r="H22249" s="40" t="s">
        <v>11404</v>
      </c>
    </row>
    <row r="22250">
      <c r="A22250" s="39"/>
      <c r="E22250" s="40" t="s">
        <v>11404</v>
      </c>
      <c r="F22250" s="40" t="s">
        <v>11404</v>
      </c>
      <c r="G22250" s="40" t="s">
        <v>11404</v>
      </c>
      <c r="H22250" s="40" t="s">
        <v>11404</v>
      </c>
    </row>
    <row r="22251">
      <c r="A22251" s="39"/>
      <c r="E22251" s="40" t="s">
        <v>11404</v>
      </c>
      <c r="F22251" s="40" t="s">
        <v>11404</v>
      </c>
      <c r="G22251" s="40" t="s">
        <v>11404</v>
      </c>
      <c r="H22251" s="40" t="s">
        <v>11404</v>
      </c>
    </row>
    <row r="22252">
      <c r="A22252" s="39"/>
      <c r="E22252" s="40" t="s">
        <v>11404</v>
      </c>
      <c r="F22252" s="40" t="s">
        <v>11404</v>
      </c>
      <c r="G22252" s="40" t="s">
        <v>11404</v>
      </c>
      <c r="H22252" s="40" t="s">
        <v>11404</v>
      </c>
    </row>
    <row r="22253">
      <c r="A22253" s="39"/>
      <c r="E22253" s="40" t="s">
        <v>11404</v>
      </c>
      <c r="F22253" s="40" t="s">
        <v>11404</v>
      </c>
      <c r="G22253" s="40" t="s">
        <v>11404</v>
      </c>
      <c r="H22253" s="40" t="s">
        <v>11404</v>
      </c>
    </row>
    <row r="22254">
      <c r="A22254" s="39"/>
      <c r="E22254" s="40" t="s">
        <v>11404</v>
      </c>
      <c r="F22254" s="40" t="s">
        <v>11404</v>
      </c>
      <c r="G22254" s="40" t="s">
        <v>11404</v>
      </c>
      <c r="H22254" s="40" t="s">
        <v>11404</v>
      </c>
    </row>
    <row r="22255">
      <c r="A22255" s="39"/>
      <c r="E22255" s="40" t="s">
        <v>11404</v>
      </c>
      <c r="F22255" s="40" t="s">
        <v>11404</v>
      </c>
      <c r="G22255" s="40" t="s">
        <v>11404</v>
      </c>
      <c r="H22255" s="40" t="s">
        <v>11404</v>
      </c>
    </row>
    <row r="22256">
      <c r="A22256" s="39"/>
      <c r="E22256" s="40" t="s">
        <v>11404</v>
      </c>
      <c r="F22256" s="40" t="s">
        <v>11404</v>
      </c>
      <c r="G22256" s="40" t="s">
        <v>11404</v>
      </c>
      <c r="H22256" s="40" t="s">
        <v>11404</v>
      </c>
    </row>
    <row r="22257">
      <c r="A22257" s="39"/>
      <c r="E22257" s="40" t="s">
        <v>11404</v>
      </c>
      <c r="F22257" s="40" t="s">
        <v>11404</v>
      </c>
      <c r="G22257" s="40" t="s">
        <v>11404</v>
      </c>
      <c r="H22257" s="40" t="s">
        <v>11404</v>
      </c>
    </row>
    <row r="22258">
      <c r="A22258" s="39"/>
      <c r="E22258" s="40" t="s">
        <v>11404</v>
      </c>
      <c r="F22258" s="40" t="s">
        <v>11404</v>
      </c>
      <c r="G22258" s="40" t="s">
        <v>11404</v>
      </c>
      <c r="H22258" s="40" t="s">
        <v>11404</v>
      </c>
    </row>
    <row r="22259">
      <c r="A22259" s="39"/>
      <c r="E22259" s="40" t="s">
        <v>11404</v>
      </c>
      <c r="F22259" s="40" t="s">
        <v>11404</v>
      </c>
      <c r="G22259" s="40" t="s">
        <v>11404</v>
      </c>
      <c r="H22259" s="40" t="s">
        <v>11404</v>
      </c>
    </row>
    <row r="22260">
      <c r="A22260" s="39"/>
      <c r="E22260" s="40" t="s">
        <v>11404</v>
      </c>
      <c r="F22260" s="40" t="s">
        <v>11404</v>
      </c>
      <c r="G22260" s="40" t="s">
        <v>11404</v>
      </c>
      <c r="H22260" s="40" t="s">
        <v>11404</v>
      </c>
    </row>
    <row r="22261">
      <c r="A22261" s="39"/>
      <c r="E22261" s="40" t="s">
        <v>11404</v>
      </c>
      <c r="F22261" s="40" t="s">
        <v>11404</v>
      </c>
      <c r="G22261" s="40" t="s">
        <v>11404</v>
      </c>
      <c r="H22261" s="40" t="s">
        <v>11404</v>
      </c>
    </row>
    <row r="22262">
      <c r="A22262" s="39"/>
      <c r="E22262" s="40" t="s">
        <v>11404</v>
      </c>
      <c r="F22262" s="40" t="s">
        <v>11404</v>
      </c>
      <c r="G22262" s="40" t="s">
        <v>11404</v>
      </c>
      <c r="H22262" s="40" t="s">
        <v>11404</v>
      </c>
    </row>
    <row r="22263">
      <c r="A22263" s="39"/>
      <c r="E22263" s="40" t="s">
        <v>11404</v>
      </c>
      <c r="F22263" s="40" t="s">
        <v>11404</v>
      </c>
      <c r="G22263" s="40" t="s">
        <v>11404</v>
      </c>
      <c r="H22263" s="40" t="s">
        <v>11404</v>
      </c>
    </row>
    <row r="22264">
      <c r="A22264" s="39"/>
      <c r="E22264" s="40" t="s">
        <v>11404</v>
      </c>
      <c r="F22264" s="40" t="s">
        <v>11404</v>
      </c>
      <c r="G22264" s="40" t="s">
        <v>11404</v>
      </c>
      <c r="H22264" s="40" t="s">
        <v>11404</v>
      </c>
    </row>
    <row r="22265">
      <c r="A22265" s="39"/>
      <c r="E22265" s="40" t="s">
        <v>11404</v>
      </c>
      <c r="F22265" s="40" t="s">
        <v>11404</v>
      </c>
      <c r="G22265" s="40" t="s">
        <v>11404</v>
      </c>
      <c r="H22265" s="40" t="s">
        <v>11404</v>
      </c>
    </row>
    <row r="22266">
      <c r="A22266" s="39"/>
      <c r="E22266" s="40" t="s">
        <v>11404</v>
      </c>
      <c r="F22266" s="40" t="s">
        <v>11404</v>
      </c>
      <c r="G22266" s="40" t="s">
        <v>11404</v>
      </c>
      <c r="H22266" s="40" t="s">
        <v>11404</v>
      </c>
    </row>
    <row r="22267">
      <c r="A22267" s="39"/>
      <c r="E22267" s="40" t="s">
        <v>11404</v>
      </c>
      <c r="F22267" s="40" t="s">
        <v>11404</v>
      </c>
      <c r="G22267" s="40" t="s">
        <v>11404</v>
      </c>
      <c r="H22267" s="40" t="s">
        <v>11404</v>
      </c>
    </row>
    <row r="22268">
      <c r="A22268" s="39"/>
      <c r="E22268" s="40" t="s">
        <v>11404</v>
      </c>
      <c r="F22268" s="40" t="s">
        <v>11404</v>
      </c>
      <c r="G22268" s="40" t="s">
        <v>11404</v>
      </c>
      <c r="H22268" s="40" t="s">
        <v>11404</v>
      </c>
    </row>
    <row r="22269">
      <c r="A22269" s="39"/>
      <c r="E22269" s="40" t="s">
        <v>11404</v>
      </c>
      <c r="F22269" s="40" t="s">
        <v>11404</v>
      </c>
      <c r="G22269" s="40" t="s">
        <v>11404</v>
      </c>
      <c r="H22269" s="40" t="s">
        <v>11404</v>
      </c>
    </row>
    <row r="22270">
      <c r="A22270" s="39"/>
      <c r="E22270" s="40" t="s">
        <v>11404</v>
      </c>
      <c r="F22270" s="40" t="s">
        <v>11404</v>
      </c>
      <c r="G22270" s="40" t="s">
        <v>11404</v>
      </c>
      <c r="H22270" s="40" t="s">
        <v>11404</v>
      </c>
    </row>
    <row r="22271">
      <c r="A22271" s="39"/>
      <c r="E22271" s="40" t="s">
        <v>11404</v>
      </c>
      <c r="F22271" s="40" t="s">
        <v>11404</v>
      </c>
      <c r="G22271" s="40" t="s">
        <v>11404</v>
      </c>
      <c r="H22271" s="40" t="s">
        <v>11404</v>
      </c>
    </row>
    <row r="22272">
      <c r="A22272" s="39"/>
      <c r="E22272" s="40" t="s">
        <v>11404</v>
      </c>
      <c r="F22272" s="40" t="s">
        <v>11404</v>
      </c>
      <c r="G22272" s="40" t="s">
        <v>11404</v>
      </c>
      <c r="H22272" s="40" t="s">
        <v>11404</v>
      </c>
    </row>
    <row r="22273">
      <c r="A22273" s="39"/>
      <c r="E22273" s="40" t="s">
        <v>11404</v>
      </c>
      <c r="F22273" s="40" t="s">
        <v>11404</v>
      </c>
      <c r="G22273" s="40" t="s">
        <v>11404</v>
      </c>
      <c r="H22273" s="40" t="s">
        <v>11404</v>
      </c>
    </row>
    <row r="22274">
      <c r="A22274" s="39"/>
      <c r="E22274" s="40" t="s">
        <v>11404</v>
      </c>
      <c r="F22274" s="40" t="s">
        <v>11404</v>
      </c>
      <c r="G22274" s="40" t="s">
        <v>11404</v>
      </c>
      <c r="H22274" s="40" t="s">
        <v>11404</v>
      </c>
    </row>
    <row r="22275">
      <c r="A22275" s="39"/>
      <c r="E22275" s="40" t="s">
        <v>11404</v>
      </c>
      <c r="F22275" s="40" t="s">
        <v>11404</v>
      </c>
      <c r="G22275" s="40" t="s">
        <v>11404</v>
      </c>
      <c r="H22275" s="40" t="s">
        <v>11404</v>
      </c>
    </row>
    <row r="22276">
      <c r="A22276" s="39"/>
      <c r="E22276" s="40" t="s">
        <v>11404</v>
      </c>
      <c r="F22276" s="40" t="s">
        <v>11404</v>
      </c>
      <c r="G22276" s="40" t="s">
        <v>11404</v>
      </c>
      <c r="H22276" s="40" t="s">
        <v>11404</v>
      </c>
    </row>
    <row r="22277">
      <c r="A22277" s="39"/>
      <c r="E22277" s="40" t="s">
        <v>11404</v>
      </c>
      <c r="F22277" s="40" t="s">
        <v>11404</v>
      </c>
      <c r="G22277" s="40" t="s">
        <v>11404</v>
      </c>
      <c r="H22277" s="40" t="s">
        <v>11404</v>
      </c>
    </row>
    <row r="22278">
      <c r="A22278" s="39"/>
      <c r="E22278" s="40" t="s">
        <v>11404</v>
      </c>
      <c r="F22278" s="40" t="s">
        <v>11404</v>
      </c>
      <c r="G22278" s="40" t="s">
        <v>11404</v>
      </c>
      <c r="H22278" s="40" t="s">
        <v>11404</v>
      </c>
    </row>
    <row r="22279">
      <c r="A22279" s="39"/>
      <c r="E22279" s="40" t="s">
        <v>11404</v>
      </c>
      <c r="F22279" s="40" t="s">
        <v>11404</v>
      </c>
      <c r="G22279" s="40" t="s">
        <v>11404</v>
      </c>
      <c r="H22279" s="40" t="s">
        <v>11404</v>
      </c>
    </row>
    <row r="22280">
      <c r="A22280" s="39"/>
      <c r="E22280" s="40" t="s">
        <v>11404</v>
      </c>
      <c r="F22280" s="40" t="s">
        <v>11404</v>
      </c>
      <c r="G22280" s="40" t="s">
        <v>11404</v>
      </c>
      <c r="H22280" s="40" t="s">
        <v>11404</v>
      </c>
    </row>
    <row r="22281">
      <c r="A22281" s="39"/>
      <c r="E22281" s="40" t="s">
        <v>11404</v>
      </c>
      <c r="F22281" s="40" t="s">
        <v>11404</v>
      </c>
      <c r="G22281" s="40" t="s">
        <v>11404</v>
      </c>
      <c r="H22281" s="40" t="s">
        <v>11404</v>
      </c>
    </row>
    <row r="22282">
      <c r="A22282" s="39"/>
      <c r="E22282" s="40" t="s">
        <v>11404</v>
      </c>
      <c r="F22282" s="40" t="s">
        <v>11404</v>
      </c>
      <c r="G22282" s="40" t="s">
        <v>11404</v>
      </c>
      <c r="H22282" s="40" t="s">
        <v>11404</v>
      </c>
    </row>
    <row r="22283">
      <c r="A22283" s="39"/>
      <c r="E22283" s="40" t="s">
        <v>11404</v>
      </c>
      <c r="F22283" s="40" t="s">
        <v>11404</v>
      </c>
      <c r="G22283" s="40" t="s">
        <v>11404</v>
      </c>
      <c r="H22283" s="40" t="s">
        <v>11404</v>
      </c>
    </row>
    <row r="22284">
      <c r="A22284" s="39"/>
      <c r="E22284" s="40" t="s">
        <v>11404</v>
      </c>
      <c r="F22284" s="40" t="s">
        <v>11404</v>
      </c>
      <c r="G22284" s="40" t="s">
        <v>11404</v>
      </c>
      <c r="H22284" s="40" t="s">
        <v>11404</v>
      </c>
    </row>
    <row r="22285">
      <c r="A22285" s="39"/>
      <c r="E22285" s="40" t="s">
        <v>11404</v>
      </c>
      <c r="F22285" s="40" t="s">
        <v>11404</v>
      </c>
      <c r="G22285" s="40" t="s">
        <v>11404</v>
      </c>
      <c r="H22285" s="40" t="s">
        <v>11404</v>
      </c>
    </row>
    <row r="22286">
      <c r="A22286" s="39"/>
      <c r="E22286" s="40" t="s">
        <v>11404</v>
      </c>
      <c r="F22286" s="40" t="s">
        <v>11404</v>
      </c>
      <c r="G22286" s="40" t="s">
        <v>11404</v>
      </c>
      <c r="H22286" s="40" t="s">
        <v>11404</v>
      </c>
    </row>
    <row r="22287">
      <c r="A22287" s="39"/>
      <c r="E22287" s="40" t="s">
        <v>11404</v>
      </c>
      <c r="F22287" s="40" t="s">
        <v>11404</v>
      </c>
      <c r="G22287" s="40" t="s">
        <v>11404</v>
      </c>
      <c r="H22287" s="40" t="s">
        <v>11404</v>
      </c>
    </row>
    <row r="22288">
      <c r="A22288" s="39"/>
      <c r="E22288" s="40" t="s">
        <v>11404</v>
      </c>
      <c r="F22288" s="40" t="s">
        <v>11404</v>
      </c>
      <c r="G22288" s="40" t="s">
        <v>11404</v>
      </c>
      <c r="H22288" s="40" t="s">
        <v>11404</v>
      </c>
    </row>
    <row r="22289">
      <c r="A22289" s="39"/>
      <c r="E22289" s="40" t="s">
        <v>11404</v>
      </c>
      <c r="F22289" s="40" t="s">
        <v>11404</v>
      </c>
      <c r="G22289" s="40" t="s">
        <v>11404</v>
      </c>
      <c r="H22289" s="40" t="s">
        <v>11404</v>
      </c>
    </row>
    <row r="22290">
      <c r="A22290" s="39"/>
      <c r="E22290" s="40" t="s">
        <v>11404</v>
      </c>
      <c r="F22290" s="40" t="s">
        <v>11404</v>
      </c>
      <c r="G22290" s="40" t="s">
        <v>11404</v>
      </c>
      <c r="H22290" s="40" t="s">
        <v>11404</v>
      </c>
    </row>
    <row r="22291">
      <c r="A22291" s="39"/>
      <c r="E22291" s="40" t="s">
        <v>11404</v>
      </c>
      <c r="F22291" s="40" t="s">
        <v>11404</v>
      </c>
      <c r="G22291" s="40" t="s">
        <v>11404</v>
      </c>
      <c r="H22291" s="40" t="s">
        <v>11404</v>
      </c>
    </row>
    <row r="22292">
      <c r="A22292" s="39"/>
      <c r="E22292" s="40" t="s">
        <v>11404</v>
      </c>
      <c r="F22292" s="40" t="s">
        <v>11404</v>
      </c>
      <c r="G22292" s="40" t="s">
        <v>11404</v>
      </c>
      <c r="H22292" s="40" t="s">
        <v>11404</v>
      </c>
    </row>
    <row r="22293">
      <c r="A22293" s="39"/>
      <c r="E22293" s="40" t="s">
        <v>11404</v>
      </c>
      <c r="F22293" s="40" t="s">
        <v>11404</v>
      </c>
      <c r="G22293" s="40" t="s">
        <v>11404</v>
      </c>
      <c r="H22293" s="40" t="s">
        <v>11404</v>
      </c>
    </row>
    <row r="22294">
      <c r="A22294" s="39"/>
      <c r="E22294" s="40" t="s">
        <v>11404</v>
      </c>
      <c r="F22294" s="40" t="s">
        <v>11404</v>
      </c>
      <c r="G22294" s="40" t="s">
        <v>11404</v>
      </c>
      <c r="H22294" s="40" t="s">
        <v>11404</v>
      </c>
    </row>
    <row r="22295">
      <c r="A22295" s="39"/>
      <c r="E22295" s="40" t="s">
        <v>11404</v>
      </c>
      <c r="F22295" s="40" t="s">
        <v>11404</v>
      </c>
      <c r="G22295" s="40" t="s">
        <v>11404</v>
      </c>
      <c r="H22295" s="40" t="s">
        <v>11404</v>
      </c>
    </row>
    <row r="22296">
      <c r="A22296" s="39"/>
      <c r="E22296" s="40" t="s">
        <v>11404</v>
      </c>
      <c r="F22296" s="40" t="s">
        <v>11404</v>
      </c>
      <c r="G22296" s="40" t="s">
        <v>11404</v>
      </c>
      <c r="H22296" s="40" t="s">
        <v>11404</v>
      </c>
    </row>
    <row r="22297">
      <c r="A22297" s="39"/>
      <c r="E22297" s="40" t="s">
        <v>11404</v>
      </c>
      <c r="F22297" s="40" t="s">
        <v>11404</v>
      </c>
      <c r="G22297" s="40" t="s">
        <v>11404</v>
      </c>
      <c r="H22297" s="40" t="s">
        <v>11404</v>
      </c>
    </row>
    <row r="22298">
      <c r="A22298" s="39"/>
      <c r="E22298" s="40" t="s">
        <v>11404</v>
      </c>
      <c r="F22298" s="40" t="s">
        <v>11404</v>
      </c>
      <c r="G22298" s="40" t="s">
        <v>11404</v>
      </c>
      <c r="H22298" s="40" t="s">
        <v>11404</v>
      </c>
    </row>
    <row r="22299">
      <c r="A22299" s="39"/>
      <c r="E22299" s="40" t="s">
        <v>11404</v>
      </c>
      <c r="F22299" s="40" t="s">
        <v>11404</v>
      </c>
      <c r="G22299" s="40" t="s">
        <v>11404</v>
      </c>
      <c r="H22299" s="40" t="s">
        <v>11404</v>
      </c>
    </row>
    <row r="22300">
      <c r="A22300" s="39"/>
      <c r="E22300" s="40" t="s">
        <v>11404</v>
      </c>
      <c r="F22300" s="40" t="s">
        <v>11404</v>
      </c>
      <c r="G22300" s="40" t="s">
        <v>11404</v>
      </c>
      <c r="H22300" s="40" t="s">
        <v>11404</v>
      </c>
    </row>
    <row r="22301">
      <c r="A22301" s="39"/>
      <c r="E22301" s="40" t="s">
        <v>11404</v>
      </c>
      <c r="F22301" s="40" t="s">
        <v>11404</v>
      </c>
      <c r="G22301" s="40" t="s">
        <v>11404</v>
      </c>
      <c r="H22301" s="40" t="s">
        <v>11404</v>
      </c>
    </row>
    <row r="22302">
      <c r="A22302" s="39"/>
      <c r="E22302" s="40" t="s">
        <v>11404</v>
      </c>
      <c r="F22302" s="40" t="s">
        <v>11404</v>
      </c>
      <c r="G22302" s="40" t="s">
        <v>11404</v>
      </c>
      <c r="H22302" s="40" t="s">
        <v>11404</v>
      </c>
    </row>
    <row r="22303">
      <c r="A22303" s="39"/>
      <c r="E22303" s="40" t="s">
        <v>11404</v>
      </c>
      <c r="F22303" s="40" t="s">
        <v>11404</v>
      </c>
      <c r="G22303" s="40" t="s">
        <v>11404</v>
      </c>
      <c r="H22303" s="40" t="s">
        <v>11404</v>
      </c>
    </row>
    <row r="22304">
      <c r="A22304" s="39"/>
      <c r="E22304" s="40" t="s">
        <v>11404</v>
      </c>
      <c r="F22304" s="40" t="s">
        <v>11404</v>
      </c>
      <c r="G22304" s="40" t="s">
        <v>11404</v>
      </c>
      <c r="H22304" s="40" t="s">
        <v>11404</v>
      </c>
    </row>
    <row r="22305">
      <c r="A22305" s="39"/>
      <c r="E22305" s="40" t="s">
        <v>11404</v>
      </c>
      <c r="F22305" s="40" t="s">
        <v>11404</v>
      </c>
      <c r="G22305" s="40" t="s">
        <v>11404</v>
      </c>
      <c r="H22305" s="40" t="s">
        <v>11404</v>
      </c>
    </row>
    <row r="22306">
      <c r="A22306" s="39"/>
      <c r="E22306" s="40" t="s">
        <v>11404</v>
      </c>
      <c r="F22306" s="40" t="s">
        <v>11404</v>
      </c>
      <c r="G22306" s="40" t="s">
        <v>11404</v>
      </c>
      <c r="H22306" s="40" t="s">
        <v>11404</v>
      </c>
    </row>
    <row r="22307">
      <c r="A22307" s="39"/>
      <c r="E22307" s="40" t="s">
        <v>11404</v>
      </c>
      <c r="F22307" s="40" t="s">
        <v>11404</v>
      </c>
      <c r="G22307" s="40" t="s">
        <v>11404</v>
      </c>
      <c r="H22307" s="40" t="s">
        <v>11404</v>
      </c>
    </row>
    <row r="22308">
      <c r="A22308" s="39"/>
      <c r="E22308" s="40" t="s">
        <v>11404</v>
      </c>
      <c r="F22308" s="40" t="s">
        <v>11404</v>
      </c>
      <c r="G22308" s="40" t="s">
        <v>11404</v>
      </c>
      <c r="H22308" s="40" t="s">
        <v>11404</v>
      </c>
    </row>
    <row r="22309">
      <c r="A22309" s="39"/>
      <c r="E22309" s="40" t="s">
        <v>11404</v>
      </c>
      <c r="F22309" s="40" t="s">
        <v>11404</v>
      </c>
      <c r="G22309" s="40" t="s">
        <v>11404</v>
      </c>
      <c r="H22309" s="40" t="s">
        <v>11404</v>
      </c>
    </row>
    <row r="22310">
      <c r="A22310" s="39"/>
      <c r="E22310" s="40" t="s">
        <v>11404</v>
      </c>
      <c r="F22310" s="40" t="s">
        <v>11404</v>
      </c>
      <c r="G22310" s="40" t="s">
        <v>11404</v>
      </c>
      <c r="H22310" s="40" t="s">
        <v>11404</v>
      </c>
    </row>
    <row r="22311">
      <c r="A22311" s="39"/>
      <c r="E22311" s="40" t="s">
        <v>11404</v>
      </c>
      <c r="F22311" s="40" t="s">
        <v>11404</v>
      </c>
      <c r="G22311" s="40" t="s">
        <v>11404</v>
      </c>
      <c r="H22311" s="40" t="s">
        <v>11404</v>
      </c>
    </row>
    <row r="22312">
      <c r="A22312" s="39"/>
      <c r="E22312" s="40" t="s">
        <v>11404</v>
      </c>
      <c r="F22312" s="40" t="s">
        <v>11404</v>
      </c>
      <c r="G22312" s="40" t="s">
        <v>11404</v>
      </c>
      <c r="H22312" s="40" t="s">
        <v>11404</v>
      </c>
    </row>
    <row r="22313">
      <c r="A22313" s="39"/>
      <c r="E22313" s="40" t="s">
        <v>11404</v>
      </c>
      <c r="F22313" s="40" t="s">
        <v>11404</v>
      </c>
      <c r="G22313" s="40" t="s">
        <v>11404</v>
      </c>
      <c r="H22313" s="40" t="s">
        <v>11404</v>
      </c>
    </row>
    <row r="22314">
      <c r="A22314" s="39"/>
      <c r="E22314" s="40" t="s">
        <v>11404</v>
      </c>
      <c r="F22314" s="40" t="s">
        <v>11404</v>
      </c>
      <c r="G22314" s="40" t="s">
        <v>11404</v>
      </c>
      <c r="H22314" s="40" t="s">
        <v>11404</v>
      </c>
    </row>
    <row r="22315">
      <c r="A22315" s="39"/>
      <c r="E22315" s="40" t="s">
        <v>11404</v>
      </c>
      <c r="F22315" s="40" t="s">
        <v>11404</v>
      </c>
      <c r="G22315" s="40" t="s">
        <v>11404</v>
      </c>
      <c r="H22315" s="40" t="s">
        <v>11404</v>
      </c>
    </row>
    <row r="22316">
      <c r="A22316" s="39"/>
      <c r="E22316" s="40" t="s">
        <v>11404</v>
      </c>
      <c r="F22316" s="40" t="s">
        <v>11404</v>
      </c>
      <c r="G22316" s="40" t="s">
        <v>11404</v>
      </c>
      <c r="H22316" s="40" t="s">
        <v>11404</v>
      </c>
    </row>
    <row r="22317">
      <c r="A22317" s="39"/>
      <c r="E22317" s="40" t="s">
        <v>11404</v>
      </c>
      <c r="F22317" s="40" t="s">
        <v>11404</v>
      </c>
      <c r="G22317" s="40" t="s">
        <v>11404</v>
      </c>
      <c r="H22317" s="40" t="s">
        <v>11404</v>
      </c>
    </row>
    <row r="22318">
      <c r="A22318" s="39"/>
      <c r="E22318" s="40" t="s">
        <v>11404</v>
      </c>
      <c r="F22318" s="40" t="s">
        <v>11404</v>
      </c>
      <c r="G22318" s="40" t="s">
        <v>11404</v>
      </c>
      <c r="H22318" s="40" t="s">
        <v>11404</v>
      </c>
    </row>
    <row r="22319">
      <c r="A22319" s="39"/>
      <c r="E22319" s="40" t="s">
        <v>11404</v>
      </c>
      <c r="F22319" s="40" t="s">
        <v>11404</v>
      </c>
      <c r="G22319" s="40" t="s">
        <v>11404</v>
      </c>
      <c r="H22319" s="40" t="s">
        <v>11404</v>
      </c>
    </row>
    <row r="22320">
      <c r="A22320" s="39"/>
      <c r="E22320" s="40" t="s">
        <v>11404</v>
      </c>
      <c r="F22320" s="40" t="s">
        <v>11404</v>
      </c>
      <c r="G22320" s="40" t="s">
        <v>11404</v>
      </c>
      <c r="H22320" s="40" t="s">
        <v>11404</v>
      </c>
    </row>
    <row r="22321">
      <c r="A22321" s="39"/>
      <c r="E22321" s="40" t="s">
        <v>11404</v>
      </c>
      <c r="F22321" s="40" t="s">
        <v>11404</v>
      </c>
      <c r="G22321" s="40" t="s">
        <v>11404</v>
      </c>
      <c r="H22321" s="40" t="s">
        <v>11404</v>
      </c>
    </row>
    <row r="22322">
      <c r="A22322" s="39"/>
      <c r="E22322" s="40" t="s">
        <v>11404</v>
      </c>
      <c r="F22322" s="40" t="s">
        <v>11404</v>
      </c>
      <c r="G22322" s="40" t="s">
        <v>11404</v>
      </c>
      <c r="H22322" s="40" t="s">
        <v>11404</v>
      </c>
    </row>
    <row r="22323">
      <c r="A22323" s="39"/>
      <c r="E22323" s="40" t="s">
        <v>11404</v>
      </c>
      <c r="F22323" s="40" t="s">
        <v>11404</v>
      </c>
      <c r="G22323" s="40" t="s">
        <v>11404</v>
      </c>
      <c r="H22323" s="40" t="s">
        <v>11404</v>
      </c>
    </row>
    <row r="22324">
      <c r="A22324" s="39"/>
      <c r="E22324" s="40" t="s">
        <v>11404</v>
      </c>
      <c r="F22324" s="40" t="s">
        <v>11404</v>
      </c>
      <c r="G22324" s="40" t="s">
        <v>11404</v>
      </c>
      <c r="H22324" s="40" t="s">
        <v>11404</v>
      </c>
    </row>
    <row r="22325">
      <c r="A22325" s="39"/>
      <c r="E22325" s="40" t="s">
        <v>11404</v>
      </c>
      <c r="F22325" s="40" t="s">
        <v>11404</v>
      </c>
      <c r="G22325" s="40" t="s">
        <v>11404</v>
      </c>
      <c r="H22325" s="40" t="s">
        <v>11404</v>
      </c>
    </row>
    <row r="22326">
      <c r="A22326" s="39"/>
      <c r="E22326" s="40" t="s">
        <v>11404</v>
      </c>
      <c r="F22326" s="40" t="s">
        <v>11404</v>
      </c>
      <c r="G22326" s="40" t="s">
        <v>11404</v>
      </c>
      <c r="H22326" s="40" t="s">
        <v>11404</v>
      </c>
    </row>
    <row r="22327">
      <c r="A22327" s="39"/>
      <c r="E22327" s="40" t="s">
        <v>11404</v>
      </c>
      <c r="F22327" s="40" t="s">
        <v>11404</v>
      </c>
      <c r="G22327" s="40" t="s">
        <v>11404</v>
      </c>
      <c r="H22327" s="40" t="s">
        <v>11404</v>
      </c>
    </row>
    <row r="22328">
      <c r="A22328" s="39"/>
      <c r="E22328" s="40" t="s">
        <v>11404</v>
      </c>
      <c r="F22328" s="40" t="s">
        <v>11404</v>
      </c>
      <c r="G22328" s="40" t="s">
        <v>11404</v>
      </c>
      <c r="H22328" s="40" t="s">
        <v>11404</v>
      </c>
    </row>
    <row r="22329">
      <c r="A22329" s="39"/>
      <c r="E22329" s="40" t="s">
        <v>11404</v>
      </c>
      <c r="F22329" s="40" t="s">
        <v>11404</v>
      </c>
      <c r="G22329" s="40" t="s">
        <v>11404</v>
      </c>
      <c r="H22329" s="40" t="s">
        <v>11404</v>
      </c>
    </row>
    <row r="22330">
      <c r="A22330" s="39"/>
      <c r="E22330" s="40" t="s">
        <v>11404</v>
      </c>
      <c r="F22330" s="40" t="s">
        <v>11404</v>
      </c>
      <c r="G22330" s="40" t="s">
        <v>11404</v>
      </c>
      <c r="H22330" s="40" t="s">
        <v>11404</v>
      </c>
    </row>
    <row r="22331">
      <c r="A22331" s="39"/>
      <c r="E22331" s="40" t="s">
        <v>11404</v>
      </c>
      <c r="F22331" s="40" t="s">
        <v>11404</v>
      </c>
      <c r="G22331" s="40" t="s">
        <v>11404</v>
      </c>
      <c r="H22331" s="40" t="s">
        <v>11404</v>
      </c>
    </row>
    <row r="22332">
      <c r="A22332" s="39"/>
      <c r="E22332" s="40" t="s">
        <v>11404</v>
      </c>
      <c r="F22332" s="40" t="s">
        <v>11404</v>
      </c>
      <c r="G22332" s="40" t="s">
        <v>11404</v>
      </c>
      <c r="H22332" s="40" t="s">
        <v>11404</v>
      </c>
    </row>
    <row r="22333">
      <c r="A22333" s="39"/>
      <c r="E22333" s="40" t="s">
        <v>11404</v>
      </c>
      <c r="F22333" s="40" t="s">
        <v>11404</v>
      </c>
      <c r="G22333" s="40" t="s">
        <v>11404</v>
      </c>
      <c r="H22333" s="40" t="s">
        <v>11404</v>
      </c>
    </row>
    <row r="22334">
      <c r="A22334" s="39"/>
      <c r="E22334" s="40" t="s">
        <v>11404</v>
      </c>
      <c r="F22334" s="40" t="s">
        <v>11404</v>
      </c>
      <c r="G22334" s="40" t="s">
        <v>11404</v>
      </c>
      <c r="H22334" s="40" t="s">
        <v>11404</v>
      </c>
    </row>
    <row r="22335">
      <c r="A22335" s="39"/>
      <c r="E22335" s="40" t="s">
        <v>11404</v>
      </c>
      <c r="F22335" s="40" t="s">
        <v>11404</v>
      </c>
      <c r="G22335" s="40" t="s">
        <v>11404</v>
      </c>
      <c r="H22335" s="40" t="s">
        <v>11404</v>
      </c>
    </row>
    <row r="22336">
      <c r="A22336" s="39"/>
      <c r="E22336" s="40" t="s">
        <v>11404</v>
      </c>
      <c r="F22336" s="40" t="s">
        <v>11404</v>
      </c>
      <c r="G22336" s="40" t="s">
        <v>11404</v>
      </c>
      <c r="H22336" s="40" t="s">
        <v>11404</v>
      </c>
    </row>
    <row r="22337">
      <c r="A22337" s="39"/>
      <c r="E22337" s="40" t="s">
        <v>11404</v>
      </c>
      <c r="F22337" s="40" t="s">
        <v>11404</v>
      </c>
      <c r="G22337" s="40" t="s">
        <v>11404</v>
      </c>
      <c r="H22337" s="40" t="s">
        <v>11404</v>
      </c>
    </row>
    <row r="22338">
      <c r="A22338" s="39"/>
      <c r="E22338" s="40" t="s">
        <v>11404</v>
      </c>
      <c r="F22338" s="40" t="s">
        <v>11404</v>
      </c>
      <c r="G22338" s="40" t="s">
        <v>11404</v>
      </c>
      <c r="H22338" s="40" t="s">
        <v>11404</v>
      </c>
    </row>
    <row r="22339">
      <c r="A22339" s="39"/>
      <c r="E22339" s="40" t="s">
        <v>11404</v>
      </c>
      <c r="F22339" s="40" t="s">
        <v>11404</v>
      </c>
      <c r="G22339" s="40" t="s">
        <v>11404</v>
      </c>
      <c r="H22339" s="40" t="s">
        <v>11404</v>
      </c>
    </row>
    <row r="22340">
      <c r="A22340" s="39"/>
      <c r="E22340" s="40" t="s">
        <v>11404</v>
      </c>
      <c r="F22340" s="40" t="s">
        <v>11404</v>
      </c>
      <c r="G22340" s="40" t="s">
        <v>11404</v>
      </c>
      <c r="H22340" s="40" t="s">
        <v>11404</v>
      </c>
    </row>
    <row r="22341">
      <c r="A22341" s="39"/>
      <c r="E22341" s="40" t="s">
        <v>11404</v>
      </c>
      <c r="F22341" s="40" t="s">
        <v>11404</v>
      </c>
      <c r="G22341" s="40" t="s">
        <v>11404</v>
      </c>
      <c r="H22341" s="40" t="s">
        <v>11404</v>
      </c>
    </row>
    <row r="22342">
      <c r="A22342" s="39"/>
      <c r="E22342" s="40" t="s">
        <v>11404</v>
      </c>
      <c r="F22342" s="40" t="s">
        <v>11404</v>
      </c>
      <c r="G22342" s="40" t="s">
        <v>11404</v>
      </c>
      <c r="H22342" s="40" t="s">
        <v>11404</v>
      </c>
    </row>
    <row r="22343">
      <c r="A22343" s="39"/>
      <c r="E22343" s="40" t="s">
        <v>11404</v>
      </c>
      <c r="F22343" s="40" t="s">
        <v>11404</v>
      </c>
      <c r="G22343" s="40" t="s">
        <v>11404</v>
      </c>
      <c r="H22343" s="40" t="s">
        <v>11404</v>
      </c>
    </row>
    <row r="22344">
      <c r="A22344" s="39"/>
      <c r="E22344" s="40" t="s">
        <v>11404</v>
      </c>
      <c r="F22344" s="40" t="s">
        <v>11404</v>
      </c>
      <c r="G22344" s="40" t="s">
        <v>11404</v>
      </c>
      <c r="H22344" s="40" t="s">
        <v>11404</v>
      </c>
    </row>
    <row r="22345">
      <c r="A22345" s="39"/>
      <c r="E22345" s="40" t="s">
        <v>11404</v>
      </c>
      <c r="F22345" s="40" t="s">
        <v>11404</v>
      </c>
      <c r="G22345" s="40" t="s">
        <v>11404</v>
      </c>
      <c r="H22345" s="40" t="s">
        <v>11404</v>
      </c>
    </row>
    <row r="22346">
      <c r="A22346" s="39"/>
      <c r="E22346" s="40" t="s">
        <v>11404</v>
      </c>
      <c r="F22346" s="40" t="s">
        <v>11404</v>
      </c>
      <c r="G22346" s="40" t="s">
        <v>11404</v>
      </c>
      <c r="H22346" s="40" t="s">
        <v>11404</v>
      </c>
    </row>
    <row r="22347">
      <c r="A22347" s="39"/>
      <c r="E22347" s="40" t="s">
        <v>11404</v>
      </c>
      <c r="F22347" s="40" t="s">
        <v>11404</v>
      </c>
      <c r="G22347" s="40" t="s">
        <v>11404</v>
      </c>
      <c r="H22347" s="40" t="s">
        <v>11404</v>
      </c>
    </row>
    <row r="22348">
      <c r="A22348" s="39"/>
      <c r="E22348" s="40" t="s">
        <v>11404</v>
      </c>
      <c r="F22348" s="40" t="s">
        <v>11404</v>
      </c>
      <c r="G22348" s="40" t="s">
        <v>11404</v>
      </c>
      <c r="H22348" s="40" t="s">
        <v>11404</v>
      </c>
    </row>
    <row r="22349">
      <c r="A22349" s="39"/>
      <c r="E22349" s="40" t="s">
        <v>11404</v>
      </c>
      <c r="F22349" s="40" t="s">
        <v>11404</v>
      </c>
      <c r="G22349" s="40" t="s">
        <v>11404</v>
      </c>
      <c r="H22349" s="40" t="s">
        <v>11404</v>
      </c>
    </row>
    <row r="22350">
      <c r="A22350" s="39"/>
      <c r="E22350" s="40" t="s">
        <v>11404</v>
      </c>
      <c r="F22350" s="40" t="s">
        <v>11404</v>
      </c>
      <c r="G22350" s="40" t="s">
        <v>11404</v>
      </c>
      <c r="H22350" s="40" t="s">
        <v>11404</v>
      </c>
    </row>
    <row r="22351">
      <c r="A22351" s="39"/>
      <c r="E22351" s="40" t="s">
        <v>11404</v>
      </c>
      <c r="F22351" s="40" t="s">
        <v>11404</v>
      </c>
      <c r="G22351" s="40" t="s">
        <v>11404</v>
      </c>
      <c r="H22351" s="40" t="s">
        <v>11404</v>
      </c>
    </row>
    <row r="22352">
      <c r="A22352" s="39"/>
      <c r="E22352" s="40" t="s">
        <v>11404</v>
      </c>
      <c r="F22352" s="40" t="s">
        <v>11404</v>
      </c>
      <c r="G22352" s="40" t="s">
        <v>11404</v>
      </c>
      <c r="H22352" s="40" t="s">
        <v>11404</v>
      </c>
    </row>
    <row r="22353">
      <c r="A22353" s="39"/>
      <c r="E22353" s="40" t="s">
        <v>11404</v>
      </c>
      <c r="F22353" s="40" t="s">
        <v>11404</v>
      </c>
      <c r="G22353" s="40" t="s">
        <v>11404</v>
      </c>
      <c r="H22353" s="40" t="s">
        <v>11404</v>
      </c>
    </row>
    <row r="22354">
      <c r="A22354" s="39"/>
      <c r="E22354" s="40" t="s">
        <v>11404</v>
      </c>
      <c r="F22354" s="40" t="s">
        <v>11404</v>
      </c>
      <c r="G22354" s="40" t="s">
        <v>11404</v>
      </c>
      <c r="H22354" s="40" t="s">
        <v>11404</v>
      </c>
    </row>
    <row r="22355">
      <c r="A22355" s="39"/>
      <c r="E22355" s="40" t="s">
        <v>11404</v>
      </c>
      <c r="F22355" s="40" t="s">
        <v>11404</v>
      </c>
      <c r="G22355" s="40" t="s">
        <v>11404</v>
      </c>
      <c r="H22355" s="40" t="s">
        <v>11404</v>
      </c>
    </row>
    <row r="22356">
      <c r="A22356" s="39"/>
      <c r="E22356" s="40" t="s">
        <v>11404</v>
      </c>
      <c r="F22356" s="40" t="s">
        <v>11404</v>
      </c>
      <c r="G22356" s="40" t="s">
        <v>11404</v>
      </c>
      <c r="H22356" s="40" t="s">
        <v>11404</v>
      </c>
    </row>
    <row r="22357">
      <c r="A22357" s="39"/>
      <c r="E22357" s="40" t="s">
        <v>11404</v>
      </c>
      <c r="F22357" s="40" t="s">
        <v>11404</v>
      </c>
      <c r="G22357" s="40" t="s">
        <v>11404</v>
      </c>
      <c r="H22357" s="40" t="s">
        <v>11404</v>
      </c>
    </row>
    <row r="22358">
      <c r="A22358" s="39"/>
      <c r="E22358" s="40" t="s">
        <v>11404</v>
      </c>
      <c r="F22358" s="40" t="s">
        <v>11404</v>
      </c>
      <c r="G22358" s="40" t="s">
        <v>11404</v>
      </c>
      <c r="H22358" s="40" t="s">
        <v>11404</v>
      </c>
    </row>
    <row r="22359">
      <c r="A22359" s="39"/>
      <c r="E22359" s="40" t="s">
        <v>11404</v>
      </c>
      <c r="F22359" s="40" t="s">
        <v>11404</v>
      </c>
      <c r="G22359" s="40" t="s">
        <v>11404</v>
      </c>
      <c r="H22359" s="40" t="s">
        <v>11404</v>
      </c>
    </row>
    <row r="22360">
      <c r="A22360" s="39"/>
      <c r="E22360" s="40" t="s">
        <v>11404</v>
      </c>
      <c r="F22360" s="40" t="s">
        <v>11404</v>
      </c>
      <c r="G22360" s="40" t="s">
        <v>11404</v>
      </c>
      <c r="H22360" s="40" t="s">
        <v>11404</v>
      </c>
    </row>
    <row r="22361">
      <c r="A22361" s="39"/>
      <c r="E22361" s="40" t="s">
        <v>11404</v>
      </c>
      <c r="F22361" s="40" t="s">
        <v>11404</v>
      </c>
      <c r="G22361" s="40" t="s">
        <v>11404</v>
      </c>
      <c r="H22361" s="40" t="s">
        <v>11404</v>
      </c>
    </row>
    <row r="22362">
      <c r="A22362" s="39"/>
      <c r="E22362" s="40" t="s">
        <v>11404</v>
      </c>
      <c r="F22362" s="40" t="s">
        <v>11404</v>
      </c>
      <c r="G22362" s="40" t="s">
        <v>11404</v>
      </c>
      <c r="H22362" s="40" t="s">
        <v>11404</v>
      </c>
    </row>
    <row r="22363">
      <c r="A22363" s="39"/>
      <c r="E22363" s="40" t="s">
        <v>11404</v>
      </c>
      <c r="F22363" s="40" t="s">
        <v>11404</v>
      </c>
      <c r="G22363" s="40" t="s">
        <v>11404</v>
      </c>
      <c r="H22363" s="40" t="s">
        <v>11404</v>
      </c>
    </row>
    <row r="22364">
      <c r="A22364" s="39"/>
      <c r="E22364" s="40" t="s">
        <v>11404</v>
      </c>
      <c r="F22364" s="40" t="s">
        <v>11404</v>
      </c>
      <c r="G22364" s="40" t="s">
        <v>11404</v>
      </c>
      <c r="H22364" s="40" t="s">
        <v>11404</v>
      </c>
    </row>
    <row r="22365">
      <c r="A22365" s="39"/>
      <c r="E22365" s="40" t="s">
        <v>11404</v>
      </c>
      <c r="F22365" s="40" t="s">
        <v>11404</v>
      </c>
      <c r="G22365" s="40" t="s">
        <v>11404</v>
      </c>
      <c r="H22365" s="40" t="s">
        <v>11404</v>
      </c>
    </row>
    <row r="22366">
      <c r="A22366" s="39"/>
      <c r="E22366" s="40" t="s">
        <v>11404</v>
      </c>
      <c r="F22366" s="40" t="s">
        <v>11404</v>
      </c>
      <c r="G22366" s="40" t="s">
        <v>11404</v>
      </c>
      <c r="H22366" s="40" t="s">
        <v>11404</v>
      </c>
    </row>
    <row r="22367">
      <c r="A22367" s="39"/>
      <c r="E22367" s="40" t="s">
        <v>11404</v>
      </c>
      <c r="F22367" s="40" t="s">
        <v>11404</v>
      </c>
      <c r="G22367" s="40" t="s">
        <v>11404</v>
      </c>
      <c r="H22367" s="40" t="s">
        <v>11404</v>
      </c>
    </row>
    <row r="22368">
      <c r="A22368" s="39"/>
      <c r="E22368" s="40" t="s">
        <v>11404</v>
      </c>
      <c r="F22368" s="40" t="s">
        <v>11404</v>
      </c>
      <c r="G22368" s="40" t="s">
        <v>11404</v>
      </c>
      <c r="H22368" s="40" t="s">
        <v>11404</v>
      </c>
    </row>
    <row r="22369">
      <c r="A22369" s="39"/>
      <c r="E22369" s="40" t="s">
        <v>11404</v>
      </c>
      <c r="F22369" s="40" t="s">
        <v>11404</v>
      </c>
      <c r="G22369" s="40" t="s">
        <v>11404</v>
      </c>
      <c r="H22369" s="40" t="s">
        <v>11404</v>
      </c>
    </row>
    <row r="22370">
      <c r="A22370" s="39"/>
      <c r="E22370" s="40" t="s">
        <v>11404</v>
      </c>
      <c r="F22370" s="40" t="s">
        <v>11404</v>
      </c>
      <c r="G22370" s="40" t="s">
        <v>11404</v>
      </c>
      <c r="H22370" s="40" t="s">
        <v>11404</v>
      </c>
    </row>
    <row r="22371">
      <c r="A22371" s="39"/>
      <c r="E22371" s="40" t="s">
        <v>11404</v>
      </c>
      <c r="F22371" s="40" t="s">
        <v>11404</v>
      </c>
      <c r="G22371" s="40" t="s">
        <v>11404</v>
      </c>
      <c r="H22371" s="40" t="s">
        <v>11404</v>
      </c>
    </row>
    <row r="22372">
      <c r="A22372" s="39"/>
      <c r="E22372" s="40" t="s">
        <v>11404</v>
      </c>
      <c r="F22372" s="40" t="s">
        <v>11404</v>
      </c>
      <c r="G22372" s="40" t="s">
        <v>11404</v>
      </c>
      <c r="H22372" s="40" t="s">
        <v>11404</v>
      </c>
    </row>
    <row r="22373">
      <c r="A22373" s="39"/>
      <c r="E22373" s="40" t="s">
        <v>11404</v>
      </c>
      <c r="F22373" s="40" t="s">
        <v>11404</v>
      </c>
      <c r="G22373" s="40" t="s">
        <v>11404</v>
      </c>
      <c r="H22373" s="40" t="s">
        <v>11404</v>
      </c>
    </row>
    <row r="22374">
      <c r="A22374" s="39"/>
      <c r="E22374" s="40" t="s">
        <v>11404</v>
      </c>
      <c r="F22374" s="40" t="s">
        <v>11404</v>
      </c>
      <c r="G22374" s="40" t="s">
        <v>11404</v>
      </c>
      <c r="H22374" s="40" t="s">
        <v>11404</v>
      </c>
    </row>
    <row r="22375">
      <c r="A22375" s="39"/>
      <c r="E22375" s="40" t="s">
        <v>11404</v>
      </c>
      <c r="F22375" s="40" t="s">
        <v>11404</v>
      </c>
      <c r="G22375" s="40" t="s">
        <v>11404</v>
      </c>
      <c r="H22375" s="40" t="s">
        <v>11404</v>
      </c>
    </row>
    <row r="22376">
      <c r="A22376" s="39"/>
      <c r="E22376" s="40" t="s">
        <v>11404</v>
      </c>
      <c r="F22376" s="40" t="s">
        <v>11404</v>
      </c>
      <c r="G22376" s="40" t="s">
        <v>11404</v>
      </c>
      <c r="H22376" s="40" t="s">
        <v>11404</v>
      </c>
    </row>
    <row r="22377">
      <c r="A22377" s="39"/>
      <c r="E22377" s="40" t="s">
        <v>11404</v>
      </c>
      <c r="F22377" s="40" t="s">
        <v>11404</v>
      </c>
      <c r="G22377" s="40" t="s">
        <v>11404</v>
      </c>
      <c r="H22377" s="40" t="s">
        <v>11404</v>
      </c>
    </row>
    <row r="22378">
      <c r="A22378" s="39"/>
      <c r="E22378" s="40" t="s">
        <v>11404</v>
      </c>
      <c r="F22378" s="40" t="s">
        <v>11404</v>
      </c>
      <c r="G22378" s="40" t="s">
        <v>11404</v>
      </c>
      <c r="H22378" s="40" t="s">
        <v>11404</v>
      </c>
    </row>
    <row r="22379">
      <c r="A22379" s="39"/>
      <c r="E22379" s="40" t="s">
        <v>11404</v>
      </c>
      <c r="F22379" s="40" t="s">
        <v>11404</v>
      </c>
      <c r="G22379" s="40" t="s">
        <v>11404</v>
      </c>
      <c r="H22379" s="40" t="s">
        <v>11404</v>
      </c>
    </row>
    <row r="22380">
      <c r="A22380" s="39"/>
      <c r="E22380" s="40" t="s">
        <v>11404</v>
      </c>
      <c r="F22380" s="40" t="s">
        <v>11404</v>
      </c>
      <c r="G22380" s="40" t="s">
        <v>11404</v>
      </c>
      <c r="H22380" s="40" t="s">
        <v>11404</v>
      </c>
    </row>
    <row r="22381">
      <c r="A22381" s="39"/>
      <c r="E22381" s="40" t="s">
        <v>11404</v>
      </c>
      <c r="F22381" s="40" t="s">
        <v>11404</v>
      </c>
      <c r="G22381" s="40" t="s">
        <v>11404</v>
      </c>
      <c r="H22381" s="40" t="s">
        <v>11404</v>
      </c>
    </row>
    <row r="22382">
      <c r="A22382" s="39"/>
      <c r="E22382" s="40" t="s">
        <v>11404</v>
      </c>
      <c r="F22382" s="40" t="s">
        <v>11404</v>
      </c>
      <c r="G22382" s="40" t="s">
        <v>11404</v>
      </c>
      <c r="H22382" s="40" t="s">
        <v>11404</v>
      </c>
    </row>
    <row r="22383">
      <c r="A22383" s="39"/>
      <c r="E22383" s="40" t="s">
        <v>11404</v>
      </c>
      <c r="F22383" s="40" t="s">
        <v>11404</v>
      </c>
      <c r="G22383" s="40" t="s">
        <v>11404</v>
      </c>
      <c r="H22383" s="40" t="s">
        <v>11404</v>
      </c>
    </row>
    <row r="22384">
      <c r="A22384" s="39"/>
      <c r="E22384" s="40" t="s">
        <v>11404</v>
      </c>
      <c r="F22384" s="40" t="s">
        <v>11404</v>
      </c>
      <c r="G22384" s="40" t="s">
        <v>11404</v>
      </c>
      <c r="H22384" s="40" t="s">
        <v>11404</v>
      </c>
    </row>
    <row r="22385">
      <c r="A22385" s="39"/>
      <c r="E22385" s="40" t="s">
        <v>11404</v>
      </c>
      <c r="F22385" s="40" t="s">
        <v>11404</v>
      </c>
      <c r="G22385" s="40" t="s">
        <v>11404</v>
      </c>
      <c r="H22385" s="40" t="s">
        <v>11404</v>
      </c>
    </row>
    <row r="22386">
      <c r="A22386" s="39"/>
      <c r="E22386" s="40" t="s">
        <v>11404</v>
      </c>
      <c r="F22386" s="40" t="s">
        <v>11404</v>
      </c>
      <c r="G22386" s="40" t="s">
        <v>11404</v>
      </c>
      <c r="H22386" s="40" t="s">
        <v>11404</v>
      </c>
    </row>
    <row r="22387">
      <c r="A22387" s="39"/>
      <c r="E22387" s="40" t="s">
        <v>11404</v>
      </c>
      <c r="F22387" s="40" t="s">
        <v>11404</v>
      </c>
      <c r="G22387" s="40" t="s">
        <v>11404</v>
      </c>
      <c r="H22387" s="40" t="s">
        <v>11404</v>
      </c>
    </row>
    <row r="22388">
      <c r="A22388" s="39"/>
      <c r="E22388" s="40" t="s">
        <v>11404</v>
      </c>
      <c r="F22388" s="40" t="s">
        <v>11404</v>
      </c>
      <c r="G22388" s="40" t="s">
        <v>11404</v>
      </c>
      <c r="H22388" s="40" t="s">
        <v>11404</v>
      </c>
    </row>
    <row r="22389">
      <c r="A22389" s="39"/>
      <c r="E22389" s="40" t="s">
        <v>11404</v>
      </c>
      <c r="F22389" s="40" t="s">
        <v>11404</v>
      </c>
      <c r="G22389" s="40" t="s">
        <v>11404</v>
      </c>
      <c r="H22389" s="40" t="s">
        <v>11404</v>
      </c>
    </row>
    <row r="22390">
      <c r="A22390" s="39"/>
      <c r="E22390" s="40" t="s">
        <v>11404</v>
      </c>
      <c r="F22390" s="40" t="s">
        <v>11404</v>
      </c>
      <c r="G22390" s="40" t="s">
        <v>11404</v>
      </c>
      <c r="H22390" s="40" t="s">
        <v>11404</v>
      </c>
    </row>
    <row r="22391">
      <c r="A22391" s="39"/>
      <c r="E22391" s="40" t="s">
        <v>11404</v>
      </c>
      <c r="F22391" s="40" t="s">
        <v>11404</v>
      </c>
      <c r="G22391" s="40" t="s">
        <v>11404</v>
      </c>
      <c r="H22391" s="40" t="s">
        <v>11404</v>
      </c>
    </row>
    <row r="22392">
      <c r="A22392" s="39"/>
      <c r="E22392" s="40" t="s">
        <v>11404</v>
      </c>
      <c r="F22392" s="40" t="s">
        <v>11404</v>
      </c>
      <c r="G22392" s="40" t="s">
        <v>11404</v>
      </c>
      <c r="H22392" s="40" t="s">
        <v>11404</v>
      </c>
    </row>
    <row r="22393">
      <c r="A22393" s="39"/>
      <c r="E22393" s="40" t="s">
        <v>11404</v>
      </c>
      <c r="F22393" s="40" t="s">
        <v>11404</v>
      </c>
      <c r="G22393" s="40" t="s">
        <v>11404</v>
      </c>
      <c r="H22393" s="40" t="s">
        <v>11404</v>
      </c>
    </row>
    <row r="22394">
      <c r="A22394" s="39"/>
      <c r="E22394" s="40" t="s">
        <v>11404</v>
      </c>
      <c r="F22394" s="40" t="s">
        <v>11404</v>
      </c>
      <c r="G22394" s="40" t="s">
        <v>11404</v>
      </c>
      <c r="H22394" s="40" t="s">
        <v>11404</v>
      </c>
    </row>
    <row r="22395">
      <c r="A22395" s="39"/>
      <c r="E22395" s="40" t="s">
        <v>11404</v>
      </c>
      <c r="F22395" s="40" t="s">
        <v>11404</v>
      </c>
      <c r="G22395" s="40" t="s">
        <v>11404</v>
      </c>
      <c r="H22395" s="40" t="s">
        <v>11404</v>
      </c>
    </row>
    <row r="22396">
      <c r="A22396" s="39"/>
      <c r="E22396" s="40" t="s">
        <v>11404</v>
      </c>
      <c r="F22396" s="40" t="s">
        <v>11404</v>
      </c>
      <c r="G22396" s="40" t="s">
        <v>11404</v>
      </c>
      <c r="H22396" s="40" t="s">
        <v>11404</v>
      </c>
    </row>
    <row r="22397">
      <c r="A22397" s="39"/>
      <c r="E22397" s="40" t="s">
        <v>11404</v>
      </c>
      <c r="F22397" s="40" t="s">
        <v>11404</v>
      </c>
      <c r="G22397" s="40" t="s">
        <v>11404</v>
      </c>
      <c r="H22397" s="40" t="s">
        <v>11404</v>
      </c>
    </row>
    <row r="22398">
      <c r="A22398" s="39"/>
      <c r="E22398" s="40" t="s">
        <v>11404</v>
      </c>
      <c r="F22398" s="40" t="s">
        <v>11404</v>
      </c>
      <c r="G22398" s="40" t="s">
        <v>11404</v>
      </c>
      <c r="H22398" s="40" t="s">
        <v>11404</v>
      </c>
    </row>
    <row r="22399">
      <c r="A22399" s="39"/>
      <c r="E22399" s="40" t="s">
        <v>11404</v>
      </c>
      <c r="F22399" s="40" t="s">
        <v>11404</v>
      </c>
      <c r="G22399" s="40" t="s">
        <v>11404</v>
      </c>
      <c r="H22399" s="40" t="s">
        <v>11404</v>
      </c>
    </row>
    <row r="22400">
      <c r="A22400" s="39"/>
      <c r="E22400" s="40" t="s">
        <v>11404</v>
      </c>
      <c r="F22400" s="40" t="s">
        <v>11404</v>
      </c>
      <c r="G22400" s="40" t="s">
        <v>11404</v>
      </c>
      <c r="H22400" s="40" t="s">
        <v>11404</v>
      </c>
    </row>
    <row r="22401">
      <c r="A22401" s="39"/>
      <c r="E22401" s="40" t="s">
        <v>11404</v>
      </c>
      <c r="F22401" s="40" t="s">
        <v>11404</v>
      </c>
      <c r="G22401" s="40" t="s">
        <v>11404</v>
      </c>
      <c r="H22401" s="40" t="s">
        <v>11404</v>
      </c>
    </row>
    <row r="22402">
      <c r="A22402" s="39"/>
      <c r="E22402" s="40" t="s">
        <v>11404</v>
      </c>
      <c r="F22402" s="40" t="s">
        <v>11404</v>
      </c>
      <c r="G22402" s="40" t="s">
        <v>11404</v>
      </c>
      <c r="H22402" s="40" t="s">
        <v>11404</v>
      </c>
    </row>
    <row r="22403">
      <c r="A22403" s="39"/>
      <c r="E22403" s="40" t="s">
        <v>11404</v>
      </c>
      <c r="F22403" s="40" t="s">
        <v>11404</v>
      </c>
      <c r="G22403" s="40" t="s">
        <v>11404</v>
      </c>
      <c r="H22403" s="40" t="s">
        <v>11404</v>
      </c>
    </row>
    <row r="22404">
      <c r="A22404" s="39"/>
      <c r="E22404" s="40" t="s">
        <v>11404</v>
      </c>
      <c r="F22404" s="40" t="s">
        <v>11404</v>
      </c>
      <c r="G22404" s="40" t="s">
        <v>11404</v>
      </c>
      <c r="H22404" s="40" t="s">
        <v>11404</v>
      </c>
    </row>
    <row r="22405">
      <c r="A22405" s="39"/>
      <c r="E22405" s="40" t="s">
        <v>11404</v>
      </c>
      <c r="F22405" s="40" t="s">
        <v>11404</v>
      </c>
      <c r="G22405" s="40" t="s">
        <v>11404</v>
      </c>
      <c r="H22405" s="40" t="s">
        <v>11404</v>
      </c>
    </row>
    <row r="22406">
      <c r="A22406" s="39"/>
      <c r="E22406" s="40" t="s">
        <v>11404</v>
      </c>
      <c r="F22406" s="40" t="s">
        <v>11404</v>
      </c>
      <c r="G22406" s="40" t="s">
        <v>11404</v>
      </c>
      <c r="H22406" s="40" t="s">
        <v>11404</v>
      </c>
    </row>
    <row r="22407">
      <c r="A22407" s="39"/>
      <c r="E22407" s="40" t="s">
        <v>11404</v>
      </c>
      <c r="F22407" s="40" t="s">
        <v>11404</v>
      </c>
      <c r="G22407" s="40" t="s">
        <v>11404</v>
      </c>
      <c r="H22407" s="40" t="s">
        <v>11404</v>
      </c>
    </row>
    <row r="22408">
      <c r="A22408" s="39"/>
      <c r="E22408" s="40" t="s">
        <v>11404</v>
      </c>
      <c r="F22408" s="40" t="s">
        <v>11404</v>
      </c>
      <c r="G22408" s="40" t="s">
        <v>11404</v>
      </c>
      <c r="H22408" s="40" t="s">
        <v>11404</v>
      </c>
    </row>
    <row r="22409">
      <c r="A22409" s="39"/>
      <c r="E22409" s="40" t="s">
        <v>11404</v>
      </c>
      <c r="F22409" s="40" t="s">
        <v>11404</v>
      </c>
      <c r="G22409" s="40" t="s">
        <v>11404</v>
      </c>
      <c r="H22409" s="40" t="s">
        <v>11404</v>
      </c>
    </row>
    <row r="22410">
      <c r="A22410" s="39"/>
      <c r="E22410" s="40" t="s">
        <v>11404</v>
      </c>
      <c r="F22410" s="40" t="s">
        <v>11404</v>
      </c>
      <c r="G22410" s="40" t="s">
        <v>11404</v>
      </c>
      <c r="H22410" s="40" t="s">
        <v>11404</v>
      </c>
    </row>
    <row r="22411">
      <c r="A22411" s="39"/>
      <c r="E22411" s="40" t="s">
        <v>11404</v>
      </c>
      <c r="F22411" s="40" t="s">
        <v>11404</v>
      </c>
      <c r="G22411" s="40" t="s">
        <v>11404</v>
      </c>
      <c r="H22411" s="40" t="s">
        <v>11404</v>
      </c>
    </row>
    <row r="22412">
      <c r="A22412" s="39"/>
      <c r="E22412" s="40" t="s">
        <v>11404</v>
      </c>
      <c r="F22412" s="40" t="s">
        <v>11404</v>
      </c>
      <c r="G22412" s="40" t="s">
        <v>11404</v>
      </c>
      <c r="H22412" s="40" t="s">
        <v>11404</v>
      </c>
    </row>
    <row r="22413">
      <c r="A22413" s="39"/>
      <c r="E22413" s="40" t="s">
        <v>11404</v>
      </c>
      <c r="F22413" s="40" t="s">
        <v>11404</v>
      </c>
      <c r="G22413" s="40" t="s">
        <v>11404</v>
      </c>
      <c r="H22413" s="40" t="s">
        <v>11404</v>
      </c>
    </row>
    <row r="22414">
      <c r="A22414" s="39"/>
      <c r="E22414" s="40" t="s">
        <v>11404</v>
      </c>
      <c r="F22414" s="40" t="s">
        <v>11404</v>
      </c>
      <c r="G22414" s="40" t="s">
        <v>11404</v>
      </c>
      <c r="H22414" s="40" t="s">
        <v>11404</v>
      </c>
    </row>
    <row r="22415">
      <c r="A22415" s="39"/>
      <c r="E22415" s="40" t="s">
        <v>11404</v>
      </c>
      <c r="F22415" s="40" t="s">
        <v>11404</v>
      </c>
      <c r="G22415" s="40" t="s">
        <v>11404</v>
      </c>
      <c r="H22415" s="40" t="s">
        <v>11404</v>
      </c>
    </row>
    <row r="22416">
      <c r="A22416" s="39"/>
      <c r="E22416" s="40" t="s">
        <v>11404</v>
      </c>
      <c r="F22416" s="40" t="s">
        <v>11404</v>
      </c>
      <c r="G22416" s="40" t="s">
        <v>11404</v>
      </c>
      <c r="H22416" s="40" t="s">
        <v>11404</v>
      </c>
    </row>
    <row r="22417">
      <c r="A22417" s="39"/>
      <c r="E22417" s="40" t="s">
        <v>11404</v>
      </c>
      <c r="F22417" s="40" t="s">
        <v>11404</v>
      </c>
      <c r="G22417" s="40" t="s">
        <v>11404</v>
      </c>
      <c r="H22417" s="40" t="s">
        <v>11404</v>
      </c>
    </row>
    <row r="22418">
      <c r="A22418" s="39"/>
      <c r="E22418" s="40" t="s">
        <v>11404</v>
      </c>
      <c r="F22418" s="40" t="s">
        <v>11404</v>
      </c>
      <c r="G22418" s="40" t="s">
        <v>11404</v>
      </c>
      <c r="H22418" s="40" t="s">
        <v>11404</v>
      </c>
    </row>
    <row r="22419">
      <c r="A22419" s="39"/>
      <c r="E22419" s="40" t="s">
        <v>11404</v>
      </c>
      <c r="F22419" s="40" t="s">
        <v>11404</v>
      </c>
      <c r="G22419" s="40" t="s">
        <v>11404</v>
      </c>
      <c r="H22419" s="40" t="s">
        <v>11404</v>
      </c>
    </row>
    <row r="22420">
      <c r="A22420" s="39"/>
      <c r="E22420" s="40" t="s">
        <v>11404</v>
      </c>
      <c r="F22420" s="40" t="s">
        <v>11404</v>
      </c>
      <c r="G22420" s="40" t="s">
        <v>11404</v>
      </c>
      <c r="H22420" s="40" t="s">
        <v>11404</v>
      </c>
    </row>
    <row r="22421">
      <c r="A22421" s="39"/>
      <c r="E22421" s="40" t="s">
        <v>11404</v>
      </c>
      <c r="F22421" s="40" t="s">
        <v>11404</v>
      </c>
      <c r="G22421" s="40" t="s">
        <v>11404</v>
      </c>
      <c r="H22421" s="40" t="s">
        <v>11404</v>
      </c>
    </row>
    <row r="22422">
      <c r="A22422" s="39"/>
      <c r="E22422" s="40" t="s">
        <v>11404</v>
      </c>
      <c r="F22422" s="40" t="s">
        <v>11404</v>
      </c>
      <c r="G22422" s="40" t="s">
        <v>11404</v>
      </c>
      <c r="H22422" s="40" t="s">
        <v>11404</v>
      </c>
    </row>
    <row r="22423">
      <c r="A22423" s="39"/>
      <c r="E22423" s="40" t="s">
        <v>11404</v>
      </c>
      <c r="F22423" s="40" t="s">
        <v>11404</v>
      </c>
      <c r="G22423" s="40" t="s">
        <v>11404</v>
      </c>
      <c r="H22423" s="40" t="s">
        <v>11404</v>
      </c>
    </row>
    <row r="22424">
      <c r="A22424" s="39"/>
      <c r="E22424" s="40" t="s">
        <v>11404</v>
      </c>
      <c r="F22424" s="40" t="s">
        <v>11404</v>
      </c>
      <c r="G22424" s="40" t="s">
        <v>11404</v>
      </c>
      <c r="H22424" s="40" t="s">
        <v>11404</v>
      </c>
    </row>
    <row r="22425">
      <c r="A22425" s="39"/>
      <c r="E22425" s="40" t="s">
        <v>11404</v>
      </c>
      <c r="F22425" s="40" t="s">
        <v>11404</v>
      </c>
      <c r="G22425" s="40" t="s">
        <v>11404</v>
      </c>
      <c r="H22425" s="40" t="s">
        <v>11404</v>
      </c>
    </row>
    <row r="22426">
      <c r="A22426" s="39"/>
      <c r="E22426" s="40" t="s">
        <v>11404</v>
      </c>
      <c r="F22426" s="40" t="s">
        <v>11404</v>
      </c>
      <c r="G22426" s="40" t="s">
        <v>11404</v>
      </c>
      <c r="H22426" s="40" t="s">
        <v>11404</v>
      </c>
    </row>
    <row r="22427">
      <c r="A22427" s="39"/>
      <c r="E22427" s="40" t="s">
        <v>11404</v>
      </c>
      <c r="F22427" s="40" t="s">
        <v>11404</v>
      </c>
      <c r="G22427" s="40" t="s">
        <v>11404</v>
      </c>
      <c r="H22427" s="40" t="s">
        <v>11404</v>
      </c>
    </row>
    <row r="22428">
      <c r="A22428" s="39"/>
      <c r="E22428" s="40" t="s">
        <v>11404</v>
      </c>
      <c r="F22428" s="40" t="s">
        <v>11404</v>
      </c>
      <c r="G22428" s="40" t="s">
        <v>11404</v>
      </c>
      <c r="H22428" s="40" t="s">
        <v>11404</v>
      </c>
    </row>
    <row r="22429">
      <c r="A22429" s="39"/>
      <c r="E22429" s="40" t="s">
        <v>11404</v>
      </c>
      <c r="F22429" s="40" t="s">
        <v>11404</v>
      </c>
      <c r="G22429" s="40" t="s">
        <v>11404</v>
      </c>
      <c r="H22429" s="40" t="s">
        <v>11404</v>
      </c>
    </row>
    <row r="22430">
      <c r="A22430" s="39"/>
      <c r="E22430" s="40" t="s">
        <v>11404</v>
      </c>
      <c r="F22430" s="40" t="s">
        <v>11404</v>
      </c>
      <c r="G22430" s="40" t="s">
        <v>11404</v>
      </c>
      <c r="H22430" s="40" t="s">
        <v>11404</v>
      </c>
    </row>
    <row r="22431">
      <c r="A22431" s="39"/>
      <c r="E22431" s="40" t="s">
        <v>11404</v>
      </c>
      <c r="F22431" s="40" t="s">
        <v>11404</v>
      </c>
      <c r="G22431" s="40" t="s">
        <v>11404</v>
      </c>
      <c r="H22431" s="40" t="s">
        <v>11404</v>
      </c>
    </row>
    <row r="22432">
      <c r="A22432" s="39"/>
      <c r="E22432" s="40" t="s">
        <v>11404</v>
      </c>
      <c r="F22432" s="40" t="s">
        <v>11404</v>
      </c>
      <c r="G22432" s="40" t="s">
        <v>11404</v>
      </c>
      <c r="H22432" s="40" t="s">
        <v>11404</v>
      </c>
    </row>
    <row r="22433">
      <c r="A22433" s="39"/>
      <c r="E22433" s="40" t="s">
        <v>11404</v>
      </c>
      <c r="F22433" s="40" t="s">
        <v>11404</v>
      </c>
      <c r="G22433" s="40" t="s">
        <v>11404</v>
      </c>
      <c r="H22433" s="40" t="s">
        <v>11404</v>
      </c>
    </row>
    <row r="22434">
      <c r="A22434" s="39"/>
      <c r="E22434" s="40" t="s">
        <v>11404</v>
      </c>
      <c r="F22434" s="40" t="s">
        <v>11404</v>
      </c>
      <c r="G22434" s="40" t="s">
        <v>11404</v>
      </c>
      <c r="H22434" s="40" t="s">
        <v>11404</v>
      </c>
    </row>
    <row r="22435">
      <c r="A22435" s="39"/>
      <c r="E22435" s="40" t="s">
        <v>11404</v>
      </c>
      <c r="F22435" s="40" t="s">
        <v>11404</v>
      </c>
      <c r="G22435" s="40" t="s">
        <v>11404</v>
      </c>
      <c r="H22435" s="40" t="s">
        <v>11404</v>
      </c>
    </row>
    <row r="22436">
      <c r="A22436" s="39"/>
      <c r="E22436" s="40" t="s">
        <v>11404</v>
      </c>
      <c r="F22436" s="40" t="s">
        <v>11404</v>
      </c>
      <c r="G22436" s="40" t="s">
        <v>11404</v>
      </c>
      <c r="H22436" s="40" t="s">
        <v>11404</v>
      </c>
    </row>
    <row r="22437">
      <c r="A22437" s="39"/>
      <c r="E22437" s="40" t="s">
        <v>11404</v>
      </c>
      <c r="F22437" s="40" t="s">
        <v>11404</v>
      </c>
      <c r="G22437" s="40" t="s">
        <v>11404</v>
      </c>
      <c r="H22437" s="40" t="s">
        <v>11404</v>
      </c>
    </row>
    <row r="22438">
      <c r="A22438" s="39"/>
      <c r="E22438" s="40" t="s">
        <v>11404</v>
      </c>
      <c r="F22438" s="40" t="s">
        <v>11404</v>
      </c>
      <c r="G22438" s="40" t="s">
        <v>11404</v>
      </c>
      <c r="H22438" s="40" t="s">
        <v>11404</v>
      </c>
    </row>
    <row r="22439">
      <c r="A22439" s="39"/>
      <c r="E22439" s="40" t="s">
        <v>11404</v>
      </c>
      <c r="F22439" s="40" t="s">
        <v>11404</v>
      </c>
      <c r="G22439" s="40" t="s">
        <v>11404</v>
      </c>
      <c r="H22439" s="40" t="s">
        <v>11404</v>
      </c>
    </row>
    <row r="22440">
      <c r="A22440" s="39"/>
      <c r="E22440" s="40" t="s">
        <v>11404</v>
      </c>
      <c r="F22440" s="40" t="s">
        <v>11404</v>
      </c>
      <c r="G22440" s="40" t="s">
        <v>11404</v>
      </c>
      <c r="H22440" s="40" t="s">
        <v>11404</v>
      </c>
    </row>
    <row r="22441">
      <c r="A22441" s="39"/>
      <c r="E22441" s="40" t="s">
        <v>11404</v>
      </c>
      <c r="F22441" s="40" t="s">
        <v>11404</v>
      </c>
      <c r="G22441" s="40" t="s">
        <v>11404</v>
      </c>
      <c r="H22441" s="40" t="s">
        <v>11404</v>
      </c>
    </row>
    <row r="22442">
      <c r="A22442" s="39"/>
      <c r="E22442" s="40" t="s">
        <v>11404</v>
      </c>
      <c r="F22442" s="40" t="s">
        <v>11404</v>
      </c>
      <c r="G22442" s="40" t="s">
        <v>11404</v>
      </c>
      <c r="H22442" s="40" t="s">
        <v>11404</v>
      </c>
    </row>
    <row r="22443">
      <c r="A22443" s="39"/>
      <c r="E22443" s="40" t="s">
        <v>11404</v>
      </c>
      <c r="F22443" s="40" t="s">
        <v>11404</v>
      </c>
      <c r="G22443" s="40" t="s">
        <v>11404</v>
      </c>
      <c r="H22443" s="40" t="s">
        <v>11404</v>
      </c>
    </row>
    <row r="22444">
      <c r="A22444" s="39"/>
      <c r="E22444" s="40" t="s">
        <v>11404</v>
      </c>
      <c r="F22444" s="40" t="s">
        <v>11404</v>
      </c>
      <c r="G22444" s="40" t="s">
        <v>11404</v>
      </c>
      <c r="H22444" s="40" t="s">
        <v>11404</v>
      </c>
    </row>
    <row r="22445">
      <c r="A22445" s="39"/>
      <c r="E22445" s="40" t="s">
        <v>11404</v>
      </c>
      <c r="F22445" s="40" t="s">
        <v>11404</v>
      </c>
      <c r="G22445" s="40" t="s">
        <v>11404</v>
      </c>
      <c r="H22445" s="40" t="s">
        <v>11404</v>
      </c>
    </row>
    <row r="22446">
      <c r="A22446" s="39"/>
      <c r="E22446" s="40" t="s">
        <v>11404</v>
      </c>
      <c r="F22446" s="40" t="s">
        <v>11404</v>
      </c>
      <c r="G22446" s="40" t="s">
        <v>11404</v>
      </c>
      <c r="H22446" s="40" t="s">
        <v>11404</v>
      </c>
    </row>
    <row r="22447">
      <c r="A22447" s="39"/>
      <c r="E22447" s="40" t="s">
        <v>11404</v>
      </c>
      <c r="F22447" s="40" t="s">
        <v>11404</v>
      </c>
      <c r="G22447" s="40" t="s">
        <v>11404</v>
      </c>
      <c r="H22447" s="40" t="s">
        <v>11404</v>
      </c>
    </row>
    <row r="22448">
      <c r="A22448" s="39"/>
      <c r="E22448" s="40" t="s">
        <v>11404</v>
      </c>
      <c r="F22448" s="40" t="s">
        <v>11404</v>
      </c>
      <c r="G22448" s="40" t="s">
        <v>11404</v>
      </c>
      <c r="H22448" s="40" t="s">
        <v>11404</v>
      </c>
    </row>
    <row r="22449">
      <c r="A22449" s="39"/>
      <c r="E22449" s="40" t="s">
        <v>11404</v>
      </c>
      <c r="F22449" s="40" t="s">
        <v>11404</v>
      </c>
      <c r="G22449" s="40" t="s">
        <v>11404</v>
      </c>
      <c r="H22449" s="40" t="s">
        <v>11404</v>
      </c>
    </row>
    <row r="22450">
      <c r="A22450" s="39"/>
      <c r="E22450" s="40" t="s">
        <v>11404</v>
      </c>
      <c r="F22450" s="40" t="s">
        <v>11404</v>
      </c>
      <c r="G22450" s="40" t="s">
        <v>11404</v>
      </c>
      <c r="H22450" s="40" t="s">
        <v>11404</v>
      </c>
    </row>
    <row r="22451">
      <c r="A22451" s="39"/>
      <c r="E22451" s="40" t="s">
        <v>11404</v>
      </c>
      <c r="F22451" s="40" t="s">
        <v>11404</v>
      </c>
      <c r="G22451" s="40" t="s">
        <v>11404</v>
      </c>
      <c r="H22451" s="40" t="s">
        <v>11404</v>
      </c>
    </row>
    <row r="22452">
      <c r="A22452" s="39"/>
      <c r="E22452" s="40" t="s">
        <v>11404</v>
      </c>
      <c r="F22452" s="40" t="s">
        <v>11404</v>
      </c>
      <c r="G22452" s="40" t="s">
        <v>11404</v>
      </c>
      <c r="H22452" s="40" t="s">
        <v>11404</v>
      </c>
    </row>
    <row r="22453">
      <c r="A22453" s="39"/>
      <c r="E22453" s="40" t="s">
        <v>11404</v>
      </c>
      <c r="F22453" s="40" t="s">
        <v>11404</v>
      </c>
      <c r="G22453" s="40" t="s">
        <v>11404</v>
      </c>
      <c r="H22453" s="40" t="s">
        <v>11404</v>
      </c>
    </row>
    <row r="22454">
      <c r="A22454" s="39"/>
      <c r="E22454" s="40" t="s">
        <v>11404</v>
      </c>
      <c r="F22454" s="40" t="s">
        <v>11404</v>
      </c>
      <c r="G22454" s="40" t="s">
        <v>11404</v>
      </c>
      <c r="H22454" s="40" t="s">
        <v>11404</v>
      </c>
    </row>
    <row r="22455">
      <c r="A22455" s="39"/>
      <c r="E22455" s="40" t="s">
        <v>11404</v>
      </c>
      <c r="F22455" s="40" t="s">
        <v>11404</v>
      </c>
      <c r="G22455" s="40" t="s">
        <v>11404</v>
      </c>
      <c r="H22455" s="40" t="s">
        <v>11404</v>
      </c>
    </row>
    <row r="22456">
      <c r="A22456" s="39"/>
      <c r="E22456" s="40" t="s">
        <v>11404</v>
      </c>
      <c r="F22456" s="40" t="s">
        <v>11404</v>
      </c>
      <c r="G22456" s="40" t="s">
        <v>11404</v>
      </c>
      <c r="H22456" s="40" t="s">
        <v>11404</v>
      </c>
    </row>
    <row r="22457">
      <c r="A22457" s="39"/>
      <c r="E22457" s="40" t="s">
        <v>11404</v>
      </c>
      <c r="F22457" s="40" t="s">
        <v>11404</v>
      </c>
      <c r="G22457" s="40" t="s">
        <v>11404</v>
      </c>
      <c r="H22457" s="40" t="s">
        <v>11404</v>
      </c>
    </row>
    <row r="22458">
      <c r="A22458" s="39"/>
      <c r="E22458" s="40" t="s">
        <v>11404</v>
      </c>
      <c r="F22458" s="40" t="s">
        <v>11404</v>
      </c>
      <c r="G22458" s="40" t="s">
        <v>11404</v>
      </c>
      <c r="H22458" s="40" t="s">
        <v>11404</v>
      </c>
    </row>
    <row r="22459">
      <c r="A22459" s="39"/>
      <c r="E22459" s="40" t="s">
        <v>11404</v>
      </c>
      <c r="F22459" s="40" t="s">
        <v>11404</v>
      </c>
      <c r="G22459" s="40" t="s">
        <v>11404</v>
      </c>
      <c r="H22459" s="40" t="s">
        <v>11404</v>
      </c>
    </row>
    <row r="22460">
      <c r="A22460" s="39"/>
      <c r="E22460" s="40" t="s">
        <v>11404</v>
      </c>
      <c r="F22460" s="40" t="s">
        <v>11404</v>
      </c>
      <c r="G22460" s="40" t="s">
        <v>11404</v>
      </c>
      <c r="H22460" s="40" t="s">
        <v>11404</v>
      </c>
    </row>
    <row r="22461">
      <c r="A22461" s="39"/>
      <c r="E22461" s="40" t="s">
        <v>11404</v>
      </c>
      <c r="F22461" s="40" t="s">
        <v>11404</v>
      </c>
      <c r="G22461" s="40" t="s">
        <v>11404</v>
      </c>
      <c r="H22461" s="40" t="s">
        <v>11404</v>
      </c>
    </row>
    <row r="22462">
      <c r="A22462" s="39"/>
      <c r="E22462" s="40" t="s">
        <v>11404</v>
      </c>
      <c r="F22462" s="40" t="s">
        <v>11404</v>
      </c>
      <c r="G22462" s="40" t="s">
        <v>11404</v>
      </c>
      <c r="H22462" s="40" t="s">
        <v>11404</v>
      </c>
    </row>
    <row r="22463">
      <c r="A22463" s="39"/>
      <c r="E22463" s="40" t="s">
        <v>11404</v>
      </c>
      <c r="F22463" s="40" t="s">
        <v>11404</v>
      </c>
      <c r="G22463" s="40" t="s">
        <v>11404</v>
      </c>
      <c r="H22463" s="40" t="s">
        <v>11404</v>
      </c>
    </row>
    <row r="22464">
      <c r="A22464" s="39"/>
      <c r="E22464" s="40" t="s">
        <v>11404</v>
      </c>
      <c r="F22464" s="40" t="s">
        <v>11404</v>
      </c>
      <c r="G22464" s="40" t="s">
        <v>11404</v>
      </c>
      <c r="H22464" s="40" t="s">
        <v>11404</v>
      </c>
    </row>
    <row r="22465">
      <c r="A22465" s="39"/>
      <c r="E22465" s="40" t="s">
        <v>11404</v>
      </c>
      <c r="F22465" s="40" t="s">
        <v>11404</v>
      </c>
      <c r="G22465" s="40" t="s">
        <v>11404</v>
      </c>
      <c r="H22465" s="40" t="s">
        <v>11404</v>
      </c>
    </row>
    <row r="22466">
      <c r="A22466" s="39"/>
      <c r="E22466" s="40" t="s">
        <v>11404</v>
      </c>
      <c r="F22466" s="40" t="s">
        <v>11404</v>
      </c>
      <c r="G22466" s="40" t="s">
        <v>11404</v>
      </c>
      <c r="H22466" s="40" t="s">
        <v>11404</v>
      </c>
    </row>
    <row r="22467">
      <c r="A22467" s="39"/>
      <c r="E22467" s="40" t="s">
        <v>11404</v>
      </c>
      <c r="F22467" s="40" t="s">
        <v>11404</v>
      </c>
      <c r="G22467" s="40" t="s">
        <v>11404</v>
      </c>
      <c r="H22467" s="40" t="s">
        <v>11404</v>
      </c>
    </row>
    <row r="22468">
      <c r="A22468" s="39"/>
      <c r="E22468" s="40" t="s">
        <v>11404</v>
      </c>
      <c r="F22468" s="40" t="s">
        <v>11404</v>
      </c>
      <c r="G22468" s="40" t="s">
        <v>11404</v>
      </c>
      <c r="H22468" s="40" t="s">
        <v>11404</v>
      </c>
    </row>
    <row r="22469">
      <c r="A22469" s="39"/>
      <c r="E22469" s="40" t="s">
        <v>11404</v>
      </c>
      <c r="F22469" s="40" t="s">
        <v>11404</v>
      </c>
      <c r="G22469" s="40" t="s">
        <v>11404</v>
      </c>
      <c r="H22469" s="40" t="s">
        <v>11404</v>
      </c>
    </row>
    <row r="22470">
      <c r="A22470" s="39"/>
      <c r="E22470" s="40" t="s">
        <v>11404</v>
      </c>
      <c r="F22470" s="40" t="s">
        <v>11404</v>
      </c>
      <c r="G22470" s="40" t="s">
        <v>11404</v>
      </c>
      <c r="H22470" s="40" t="s">
        <v>11404</v>
      </c>
    </row>
    <row r="22471">
      <c r="A22471" s="39"/>
      <c r="E22471" s="40" t="s">
        <v>11404</v>
      </c>
      <c r="F22471" s="40" t="s">
        <v>11404</v>
      </c>
      <c r="G22471" s="40" t="s">
        <v>11404</v>
      </c>
      <c r="H22471" s="40" t="s">
        <v>11404</v>
      </c>
    </row>
    <row r="22472">
      <c r="A22472" s="39"/>
      <c r="E22472" s="40" t="s">
        <v>11404</v>
      </c>
      <c r="F22472" s="40" t="s">
        <v>11404</v>
      </c>
      <c r="G22472" s="40" t="s">
        <v>11404</v>
      </c>
      <c r="H22472" s="40" t="s">
        <v>11404</v>
      </c>
    </row>
    <row r="22473">
      <c r="A22473" s="39"/>
      <c r="E22473" s="40" t="s">
        <v>11404</v>
      </c>
      <c r="F22473" s="40" t="s">
        <v>11404</v>
      </c>
      <c r="G22473" s="40" t="s">
        <v>11404</v>
      </c>
      <c r="H22473" s="40" t="s">
        <v>11404</v>
      </c>
    </row>
    <row r="22474">
      <c r="A22474" s="39"/>
      <c r="E22474" s="40" t="s">
        <v>11404</v>
      </c>
      <c r="F22474" s="40" t="s">
        <v>11404</v>
      </c>
      <c r="G22474" s="40" t="s">
        <v>11404</v>
      </c>
      <c r="H22474" s="40" t="s">
        <v>11404</v>
      </c>
    </row>
    <row r="22475">
      <c r="A22475" s="39"/>
      <c r="E22475" s="40" t="s">
        <v>11404</v>
      </c>
      <c r="F22475" s="40" t="s">
        <v>11404</v>
      </c>
      <c r="G22475" s="40" t="s">
        <v>11404</v>
      </c>
      <c r="H22475" s="40" t="s">
        <v>11404</v>
      </c>
    </row>
    <row r="22476">
      <c r="A22476" s="39"/>
      <c r="E22476" s="40" t="s">
        <v>11404</v>
      </c>
      <c r="F22476" s="40" t="s">
        <v>11404</v>
      </c>
      <c r="G22476" s="40" t="s">
        <v>11404</v>
      </c>
      <c r="H22476" s="40" t="s">
        <v>11404</v>
      </c>
    </row>
    <row r="22477">
      <c r="A22477" s="39"/>
      <c r="E22477" s="40" t="s">
        <v>11404</v>
      </c>
      <c r="F22477" s="40" t="s">
        <v>11404</v>
      </c>
      <c r="G22477" s="40" t="s">
        <v>11404</v>
      </c>
      <c r="H22477" s="40" t="s">
        <v>11404</v>
      </c>
    </row>
    <row r="22478">
      <c r="A22478" s="39"/>
      <c r="E22478" s="40" t="s">
        <v>11404</v>
      </c>
      <c r="F22478" s="40" t="s">
        <v>11404</v>
      </c>
      <c r="G22478" s="40" t="s">
        <v>11404</v>
      </c>
      <c r="H22478" s="40" t="s">
        <v>11404</v>
      </c>
    </row>
    <row r="22479">
      <c r="A22479" s="39"/>
      <c r="E22479" s="40" t="s">
        <v>11404</v>
      </c>
      <c r="F22479" s="40" t="s">
        <v>11404</v>
      </c>
      <c r="G22479" s="40" t="s">
        <v>11404</v>
      </c>
      <c r="H22479" s="40" t="s">
        <v>11404</v>
      </c>
    </row>
    <row r="22480">
      <c r="A22480" s="39"/>
      <c r="E22480" s="40" t="s">
        <v>11404</v>
      </c>
      <c r="F22480" s="40" t="s">
        <v>11404</v>
      </c>
      <c r="G22480" s="40" t="s">
        <v>11404</v>
      </c>
      <c r="H22480" s="40" t="s">
        <v>11404</v>
      </c>
    </row>
    <row r="22481">
      <c r="A22481" s="39"/>
      <c r="E22481" s="40" t="s">
        <v>11404</v>
      </c>
      <c r="F22481" s="40" t="s">
        <v>11404</v>
      </c>
      <c r="G22481" s="40" t="s">
        <v>11404</v>
      </c>
      <c r="H22481" s="40" t="s">
        <v>11404</v>
      </c>
    </row>
    <row r="22482">
      <c r="A22482" s="39"/>
      <c r="E22482" s="40" t="s">
        <v>11404</v>
      </c>
      <c r="F22482" s="40" t="s">
        <v>11404</v>
      </c>
      <c r="G22482" s="40" t="s">
        <v>11404</v>
      </c>
      <c r="H22482" s="40" t="s">
        <v>11404</v>
      </c>
    </row>
    <row r="22483">
      <c r="A22483" s="39"/>
      <c r="E22483" s="40" t="s">
        <v>11404</v>
      </c>
      <c r="F22483" s="40" t="s">
        <v>11404</v>
      </c>
      <c r="G22483" s="40" t="s">
        <v>11404</v>
      </c>
      <c r="H22483" s="40" t="s">
        <v>11404</v>
      </c>
    </row>
    <row r="22484">
      <c r="A22484" s="39"/>
      <c r="E22484" s="40" t="s">
        <v>11404</v>
      </c>
      <c r="F22484" s="40" t="s">
        <v>11404</v>
      </c>
      <c r="G22484" s="40" t="s">
        <v>11404</v>
      </c>
      <c r="H22484" s="40" t="s">
        <v>11404</v>
      </c>
    </row>
    <row r="22485">
      <c r="A22485" s="39"/>
      <c r="E22485" s="40" t="s">
        <v>11404</v>
      </c>
      <c r="F22485" s="40" t="s">
        <v>11404</v>
      </c>
      <c r="G22485" s="40" t="s">
        <v>11404</v>
      </c>
      <c r="H22485" s="40" t="s">
        <v>11404</v>
      </c>
    </row>
    <row r="22486">
      <c r="A22486" s="39"/>
      <c r="E22486" s="40" t="s">
        <v>11404</v>
      </c>
      <c r="F22486" s="40" t="s">
        <v>11404</v>
      </c>
      <c r="G22486" s="40" t="s">
        <v>11404</v>
      </c>
      <c r="H22486" s="40" t="s">
        <v>11404</v>
      </c>
    </row>
    <row r="22487">
      <c r="A22487" s="39"/>
      <c r="E22487" s="40" t="s">
        <v>11404</v>
      </c>
      <c r="F22487" s="40" t="s">
        <v>11404</v>
      </c>
      <c r="G22487" s="40" t="s">
        <v>11404</v>
      </c>
      <c r="H22487" s="40" t="s">
        <v>11404</v>
      </c>
    </row>
    <row r="22488">
      <c r="A22488" s="39"/>
      <c r="E22488" s="40" t="s">
        <v>11404</v>
      </c>
      <c r="F22488" s="40" t="s">
        <v>11404</v>
      </c>
      <c r="G22488" s="40" t="s">
        <v>11404</v>
      </c>
      <c r="H22488" s="40" t="s">
        <v>11404</v>
      </c>
    </row>
    <row r="22489">
      <c r="A22489" s="39"/>
      <c r="E22489" s="40" t="s">
        <v>11404</v>
      </c>
      <c r="F22489" s="40" t="s">
        <v>11404</v>
      </c>
      <c r="G22489" s="40" t="s">
        <v>11404</v>
      </c>
      <c r="H22489" s="40" t="s">
        <v>11404</v>
      </c>
    </row>
    <row r="22490">
      <c r="A22490" s="39"/>
      <c r="E22490" s="40" t="s">
        <v>11404</v>
      </c>
      <c r="F22490" s="40" t="s">
        <v>11404</v>
      </c>
      <c r="G22490" s="40" t="s">
        <v>11404</v>
      </c>
      <c r="H22490" s="40" t="s">
        <v>11404</v>
      </c>
    </row>
    <row r="22491">
      <c r="A22491" s="39"/>
      <c r="E22491" s="40" t="s">
        <v>11404</v>
      </c>
      <c r="F22491" s="40" t="s">
        <v>11404</v>
      </c>
      <c r="G22491" s="40" t="s">
        <v>11404</v>
      </c>
      <c r="H22491" s="40" t="s">
        <v>11404</v>
      </c>
    </row>
    <row r="22492">
      <c r="A22492" s="39"/>
      <c r="E22492" s="40" t="s">
        <v>11404</v>
      </c>
      <c r="F22492" s="40" t="s">
        <v>11404</v>
      </c>
      <c r="G22492" s="40" t="s">
        <v>11404</v>
      </c>
      <c r="H22492" s="40" t="s">
        <v>11404</v>
      </c>
    </row>
    <row r="22493">
      <c r="A22493" s="39"/>
      <c r="E22493" s="40" t="s">
        <v>11404</v>
      </c>
      <c r="F22493" s="40" t="s">
        <v>11404</v>
      </c>
      <c r="G22493" s="40" t="s">
        <v>11404</v>
      </c>
      <c r="H22493" s="40" t="s">
        <v>11404</v>
      </c>
    </row>
    <row r="22494">
      <c r="A22494" s="39"/>
      <c r="E22494" s="40" t="s">
        <v>11404</v>
      </c>
      <c r="F22494" s="40" t="s">
        <v>11404</v>
      </c>
      <c r="G22494" s="40" t="s">
        <v>11404</v>
      </c>
      <c r="H22494" s="40" t="s">
        <v>11404</v>
      </c>
    </row>
    <row r="22495">
      <c r="A22495" s="39"/>
      <c r="E22495" s="40" t="s">
        <v>11404</v>
      </c>
      <c r="F22495" s="40" t="s">
        <v>11404</v>
      </c>
      <c r="G22495" s="40" t="s">
        <v>11404</v>
      </c>
      <c r="H22495" s="40" t="s">
        <v>11404</v>
      </c>
    </row>
    <row r="22496">
      <c r="A22496" s="39"/>
      <c r="E22496" s="40" t="s">
        <v>11404</v>
      </c>
      <c r="F22496" s="40" t="s">
        <v>11404</v>
      </c>
      <c r="G22496" s="40" t="s">
        <v>11404</v>
      </c>
      <c r="H22496" s="40" t="s">
        <v>11404</v>
      </c>
    </row>
    <row r="22497">
      <c r="A22497" s="39"/>
      <c r="E22497" s="40" t="s">
        <v>11404</v>
      </c>
      <c r="F22497" s="40" t="s">
        <v>11404</v>
      </c>
      <c r="G22497" s="40" t="s">
        <v>11404</v>
      </c>
      <c r="H22497" s="40" t="s">
        <v>11404</v>
      </c>
    </row>
    <row r="22498">
      <c r="A22498" s="39"/>
      <c r="E22498" s="40" t="s">
        <v>11404</v>
      </c>
      <c r="F22498" s="40" t="s">
        <v>11404</v>
      </c>
      <c r="G22498" s="40" t="s">
        <v>11404</v>
      </c>
      <c r="H22498" s="40" t="s">
        <v>11404</v>
      </c>
    </row>
    <row r="22499">
      <c r="A22499" s="39"/>
      <c r="E22499" s="40" t="s">
        <v>11404</v>
      </c>
      <c r="F22499" s="40" t="s">
        <v>11404</v>
      </c>
      <c r="G22499" s="40" t="s">
        <v>11404</v>
      </c>
      <c r="H22499" s="40" t="s">
        <v>11404</v>
      </c>
    </row>
    <row r="22500">
      <c r="A22500" s="39"/>
      <c r="E22500" s="40" t="s">
        <v>11404</v>
      </c>
      <c r="F22500" s="40" t="s">
        <v>11404</v>
      </c>
      <c r="G22500" s="40" t="s">
        <v>11404</v>
      </c>
      <c r="H22500" s="40" t="s">
        <v>11404</v>
      </c>
    </row>
    <row r="22501">
      <c r="A22501" s="39"/>
      <c r="E22501" s="40" t="s">
        <v>11404</v>
      </c>
      <c r="F22501" s="40" t="s">
        <v>11404</v>
      </c>
      <c r="G22501" s="40" t="s">
        <v>11404</v>
      </c>
      <c r="H22501" s="40" t="s">
        <v>11404</v>
      </c>
    </row>
    <row r="22502">
      <c r="A22502" s="39"/>
      <c r="E22502" s="40" t="s">
        <v>11404</v>
      </c>
      <c r="F22502" s="40" t="s">
        <v>11404</v>
      </c>
      <c r="G22502" s="40" t="s">
        <v>11404</v>
      </c>
      <c r="H22502" s="40" t="s">
        <v>11404</v>
      </c>
    </row>
    <row r="22503">
      <c r="A22503" s="39"/>
      <c r="E22503" s="40" t="s">
        <v>11404</v>
      </c>
      <c r="F22503" s="40" t="s">
        <v>11404</v>
      </c>
      <c r="G22503" s="40" t="s">
        <v>11404</v>
      </c>
      <c r="H22503" s="40" t="s">
        <v>11404</v>
      </c>
    </row>
    <row r="22504">
      <c r="A22504" s="39"/>
      <c r="E22504" s="40" t="s">
        <v>11404</v>
      </c>
      <c r="F22504" s="40" t="s">
        <v>11404</v>
      </c>
      <c r="G22504" s="40" t="s">
        <v>11404</v>
      </c>
      <c r="H22504" s="40" t="s">
        <v>11404</v>
      </c>
    </row>
    <row r="22505">
      <c r="A22505" s="39"/>
      <c r="E22505" s="40" t="s">
        <v>11404</v>
      </c>
      <c r="F22505" s="40" t="s">
        <v>11404</v>
      </c>
      <c r="G22505" s="40" t="s">
        <v>11404</v>
      </c>
      <c r="H22505" s="40" t="s">
        <v>11404</v>
      </c>
    </row>
    <row r="22506">
      <c r="A22506" s="39"/>
      <c r="E22506" s="40" t="s">
        <v>11404</v>
      </c>
      <c r="F22506" s="40" t="s">
        <v>11404</v>
      </c>
      <c r="G22506" s="40" t="s">
        <v>11404</v>
      </c>
      <c r="H22506" s="40" t="s">
        <v>11404</v>
      </c>
    </row>
    <row r="22507">
      <c r="A22507" s="39"/>
      <c r="E22507" s="40" t="s">
        <v>11404</v>
      </c>
      <c r="F22507" s="40" t="s">
        <v>11404</v>
      </c>
      <c r="G22507" s="40" t="s">
        <v>11404</v>
      </c>
      <c r="H22507" s="40" t="s">
        <v>11404</v>
      </c>
    </row>
    <row r="22508">
      <c r="A22508" s="39"/>
      <c r="E22508" s="40" t="s">
        <v>11404</v>
      </c>
      <c r="F22508" s="40" t="s">
        <v>11404</v>
      </c>
      <c r="G22508" s="40" t="s">
        <v>11404</v>
      </c>
      <c r="H22508" s="40" t="s">
        <v>11404</v>
      </c>
    </row>
    <row r="22509">
      <c r="A22509" s="39"/>
      <c r="E22509" s="40" t="s">
        <v>11404</v>
      </c>
      <c r="F22509" s="40" t="s">
        <v>11404</v>
      </c>
      <c r="G22509" s="40" t="s">
        <v>11404</v>
      </c>
      <c r="H22509" s="40" t="s">
        <v>11404</v>
      </c>
    </row>
    <row r="22510">
      <c r="A22510" s="39"/>
      <c r="E22510" s="40" t="s">
        <v>11404</v>
      </c>
      <c r="F22510" s="40" t="s">
        <v>11404</v>
      </c>
      <c r="G22510" s="40" t="s">
        <v>11404</v>
      </c>
      <c r="H22510" s="40" t="s">
        <v>11404</v>
      </c>
    </row>
    <row r="22511">
      <c r="A22511" s="39"/>
      <c r="E22511" s="40" t="s">
        <v>11404</v>
      </c>
      <c r="F22511" s="40" t="s">
        <v>11404</v>
      </c>
      <c r="G22511" s="40" t="s">
        <v>11404</v>
      </c>
      <c r="H22511" s="40" t="s">
        <v>11404</v>
      </c>
    </row>
    <row r="22512">
      <c r="A22512" s="39"/>
      <c r="E22512" s="40" t="s">
        <v>11404</v>
      </c>
      <c r="F22512" s="40" t="s">
        <v>11404</v>
      </c>
      <c r="G22512" s="40" t="s">
        <v>11404</v>
      </c>
      <c r="H22512" s="40" t="s">
        <v>11404</v>
      </c>
    </row>
    <row r="22513">
      <c r="A22513" s="39"/>
      <c r="E22513" s="40" t="s">
        <v>11404</v>
      </c>
      <c r="F22513" s="40" t="s">
        <v>11404</v>
      </c>
      <c r="G22513" s="40" t="s">
        <v>11404</v>
      </c>
      <c r="H22513" s="40" t="s">
        <v>11404</v>
      </c>
    </row>
    <row r="22514">
      <c r="A22514" s="39"/>
      <c r="E22514" s="40" t="s">
        <v>11404</v>
      </c>
      <c r="F22514" s="40" t="s">
        <v>11404</v>
      </c>
      <c r="G22514" s="40" t="s">
        <v>11404</v>
      </c>
      <c r="H22514" s="40" t="s">
        <v>11404</v>
      </c>
    </row>
    <row r="22515">
      <c r="A22515" s="39"/>
      <c r="E22515" s="40" t="s">
        <v>11404</v>
      </c>
      <c r="F22515" s="40" t="s">
        <v>11404</v>
      </c>
      <c r="G22515" s="40" t="s">
        <v>11404</v>
      </c>
      <c r="H22515" s="40" t="s">
        <v>11404</v>
      </c>
    </row>
    <row r="22516">
      <c r="A22516" s="39"/>
      <c r="E22516" s="40" t="s">
        <v>11404</v>
      </c>
      <c r="F22516" s="40" t="s">
        <v>11404</v>
      </c>
      <c r="G22516" s="40" t="s">
        <v>11404</v>
      </c>
      <c r="H22516" s="40" t="s">
        <v>11404</v>
      </c>
    </row>
    <row r="22517">
      <c r="A22517" s="39"/>
      <c r="E22517" s="40" t="s">
        <v>11404</v>
      </c>
      <c r="F22517" s="40" t="s">
        <v>11404</v>
      </c>
      <c r="G22517" s="40" t="s">
        <v>11404</v>
      </c>
      <c r="H22517" s="40" t="s">
        <v>11404</v>
      </c>
    </row>
    <row r="22518">
      <c r="A22518" s="39"/>
      <c r="E22518" s="40" t="s">
        <v>11404</v>
      </c>
      <c r="F22518" s="40" t="s">
        <v>11404</v>
      </c>
      <c r="G22518" s="40" t="s">
        <v>11404</v>
      </c>
      <c r="H22518" s="40" t="s">
        <v>11404</v>
      </c>
    </row>
    <row r="22519">
      <c r="A22519" s="39"/>
      <c r="E22519" s="40" t="s">
        <v>11404</v>
      </c>
      <c r="F22519" s="40" t="s">
        <v>11404</v>
      </c>
      <c r="G22519" s="40" t="s">
        <v>11404</v>
      </c>
      <c r="H22519" s="40" t="s">
        <v>11404</v>
      </c>
    </row>
    <row r="22520">
      <c r="A22520" s="39"/>
      <c r="E22520" s="40" t="s">
        <v>11404</v>
      </c>
      <c r="F22520" s="40" t="s">
        <v>11404</v>
      </c>
      <c r="G22520" s="40" t="s">
        <v>11404</v>
      </c>
      <c r="H22520" s="40" t="s">
        <v>11404</v>
      </c>
    </row>
    <row r="22521">
      <c r="A22521" s="39"/>
      <c r="E22521" s="40" t="s">
        <v>11404</v>
      </c>
      <c r="F22521" s="40" t="s">
        <v>11404</v>
      </c>
      <c r="G22521" s="40" t="s">
        <v>11404</v>
      </c>
      <c r="H22521" s="40" t="s">
        <v>11404</v>
      </c>
    </row>
    <row r="22522">
      <c r="A22522" s="39"/>
      <c r="E22522" s="40" t="s">
        <v>11404</v>
      </c>
      <c r="F22522" s="40" t="s">
        <v>11404</v>
      </c>
      <c r="G22522" s="40" t="s">
        <v>11404</v>
      </c>
      <c r="H22522" s="40" t="s">
        <v>11404</v>
      </c>
    </row>
    <row r="22523">
      <c r="A22523" s="39"/>
      <c r="E22523" s="40" t="s">
        <v>11404</v>
      </c>
      <c r="F22523" s="40" t="s">
        <v>11404</v>
      </c>
      <c r="G22523" s="40" t="s">
        <v>11404</v>
      </c>
      <c r="H22523" s="40" t="s">
        <v>11404</v>
      </c>
    </row>
    <row r="22524">
      <c r="A22524" s="39"/>
      <c r="E22524" s="40" t="s">
        <v>11404</v>
      </c>
      <c r="F22524" s="40" t="s">
        <v>11404</v>
      </c>
      <c r="G22524" s="40" t="s">
        <v>11404</v>
      </c>
      <c r="H22524" s="40" t="s">
        <v>11404</v>
      </c>
    </row>
    <row r="22525">
      <c r="A22525" s="39"/>
      <c r="E22525" s="40" t="s">
        <v>11404</v>
      </c>
      <c r="F22525" s="40" t="s">
        <v>11404</v>
      </c>
      <c r="G22525" s="40" t="s">
        <v>11404</v>
      </c>
      <c r="H22525" s="40" t="s">
        <v>11404</v>
      </c>
    </row>
    <row r="22526">
      <c r="A22526" s="39"/>
      <c r="E22526" s="40" t="s">
        <v>11404</v>
      </c>
      <c r="F22526" s="40" t="s">
        <v>11404</v>
      </c>
      <c r="G22526" s="40" t="s">
        <v>11404</v>
      </c>
      <c r="H22526" s="40" t="s">
        <v>11404</v>
      </c>
    </row>
    <row r="22527">
      <c r="A22527" s="39"/>
      <c r="E22527" s="40" t="s">
        <v>11404</v>
      </c>
      <c r="F22527" s="40" t="s">
        <v>11404</v>
      </c>
      <c r="G22527" s="40" t="s">
        <v>11404</v>
      </c>
      <c r="H22527" s="40" t="s">
        <v>11404</v>
      </c>
    </row>
    <row r="22528">
      <c r="A22528" s="39"/>
      <c r="E22528" s="40" t="s">
        <v>11404</v>
      </c>
      <c r="F22528" s="40" t="s">
        <v>11404</v>
      </c>
      <c r="G22528" s="40" t="s">
        <v>11404</v>
      </c>
      <c r="H22528" s="40" t="s">
        <v>11404</v>
      </c>
    </row>
    <row r="22529">
      <c r="A22529" s="39"/>
      <c r="E22529" s="40" t="s">
        <v>11404</v>
      </c>
      <c r="F22529" s="40" t="s">
        <v>11404</v>
      </c>
      <c r="G22529" s="40" t="s">
        <v>11404</v>
      </c>
      <c r="H22529" s="40" t="s">
        <v>11404</v>
      </c>
    </row>
    <row r="22530">
      <c r="A22530" s="39"/>
      <c r="E22530" s="40" t="s">
        <v>11404</v>
      </c>
      <c r="F22530" s="40" t="s">
        <v>11404</v>
      </c>
      <c r="G22530" s="40" t="s">
        <v>11404</v>
      </c>
      <c r="H22530" s="40" t="s">
        <v>11404</v>
      </c>
    </row>
    <row r="22531">
      <c r="A22531" s="39"/>
      <c r="E22531" s="40" t="s">
        <v>11404</v>
      </c>
      <c r="F22531" s="40" t="s">
        <v>11404</v>
      </c>
      <c r="G22531" s="40" t="s">
        <v>11404</v>
      </c>
      <c r="H22531" s="40" t="s">
        <v>11404</v>
      </c>
    </row>
    <row r="22532">
      <c r="A22532" s="39"/>
      <c r="E22532" s="40" t="s">
        <v>11404</v>
      </c>
      <c r="F22532" s="40" t="s">
        <v>11404</v>
      </c>
      <c r="G22532" s="40" t="s">
        <v>11404</v>
      </c>
      <c r="H22532" s="40" t="s">
        <v>11404</v>
      </c>
    </row>
    <row r="22533">
      <c r="A22533" s="39"/>
      <c r="E22533" s="40" t="s">
        <v>11404</v>
      </c>
      <c r="F22533" s="40" t="s">
        <v>11404</v>
      </c>
      <c r="G22533" s="40" t="s">
        <v>11404</v>
      </c>
      <c r="H22533" s="40" t="s">
        <v>11404</v>
      </c>
    </row>
    <row r="22534">
      <c r="A22534" s="39"/>
      <c r="E22534" s="40" t="s">
        <v>11404</v>
      </c>
      <c r="F22534" s="40" t="s">
        <v>11404</v>
      </c>
      <c r="G22534" s="40" t="s">
        <v>11404</v>
      </c>
      <c r="H22534" s="40" t="s">
        <v>11404</v>
      </c>
    </row>
    <row r="22535">
      <c r="A22535" s="39"/>
      <c r="E22535" s="40" t="s">
        <v>11404</v>
      </c>
      <c r="F22535" s="40" t="s">
        <v>11404</v>
      </c>
      <c r="G22535" s="40" t="s">
        <v>11404</v>
      </c>
      <c r="H22535" s="40" t="s">
        <v>11404</v>
      </c>
    </row>
    <row r="22536">
      <c r="A22536" s="39"/>
      <c r="E22536" s="40" t="s">
        <v>11404</v>
      </c>
      <c r="F22536" s="40" t="s">
        <v>11404</v>
      </c>
      <c r="G22536" s="40" t="s">
        <v>11404</v>
      </c>
      <c r="H22536" s="40" t="s">
        <v>11404</v>
      </c>
    </row>
    <row r="22537">
      <c r="A22537" s="39"/>
      <c r="E22537" s="40" t="s">
        <v>11404</v>
      </c>
      <c r="F22537" s="40" t="s">
        <v>11404</v>
      </c>
      <c r="G22537" s="40" t="s">
        <v>11404</v>
      </c>
      <c r="H22537" s="40" t="s">
        <v>11404</v>
      </c>
    </row>
    <row r="22538">
      <c r="A22538" s="39"/>
      <c r="E22538" s="40" t="s">
        <v>11404</v>
      </c>
      <c r="F22538" s="40" t="s">
        <v>11404</v>
      </c>
      <c r="G22538" s="40" t="s">
        <v>11404</v>
      </c>
      <c r="H22538" s="40" t="s">
        <v>11404</v>
      </c>
    </row>
    <row r="22539">
      <c r="A22539" s="39"/>
      <c r="E22539" s="40" t="s">
        <v>11404</v>
      </c>
      <c r="F22539" s="40" t="s">
        <v>11404</v>
      </c>
      <c r="G22539" s="40" t="s">
        <v>11404</v>
      </c>
      <c r="H22539" s="40" t="s">
        <v>11404</v>
      </c>
    </row>
    <row r="22540">
      <c r="A22540" s="39"/>
      <c r="E22540" s="40" t="s">
        <v>11404</v>
      </c>
      <c r="F22540" s="40" t="s">
        <v>11404</v>
      </c>
      <c r="G22540" s="40" t="s">
        <v>11404</v>
      </c>
      <c r="H22540" s="40" t="s">
        <v>11404</v>
      </c>
    </row>
    <row r="22541">
      <c r="A22541" s="39"/>
      <c r="E22541" s="40" t="s">
        <v>11404</v>
      </c>
      <c r="F22541" s="40" t="s">
        <v>11404</v>
      </c>
      <c r="G22541" s="40" t="s">
        <v>11404</v>
      </c>
      <c r="H22541" s="40" t="s">
        <v>11404</v>
      </c>
    </row>
    <row r="22542">
      <c r="A22542" s="39"/>
      <c r="E22542" s="40" t="s">
        <v>11404</v>
      </c>
      <c r="F22542" s="40" t="s">
        <v>11404</v>
      </c>
      <c r="G22542" s="40" t="s">
        <v>11404</v>
      </c>
      <c r="H22542" s="40" t="s">
        <v>11404</v>
      </c>
    </row>
    <row r="22543">
      <c r="A22543" s="39"/>
      <c r="E22543" s="40" t="s">
        <v>11404</v>
      </c>
      <c r="F22543" s="40" t="s">
        <v>11404</v>
      </c>
      <c r="G22543" s="40" t="s">
        <v>11404</v>
      </c>
      <c r="H22543" s="40" t="s">
        <v>11404</v>
      </c>
    </row>
    <row r="22544">
      <c r="A22544" s="39"/>
      <c r="E22544" s="40" t="s">
        <v>11404</v>
      </c>
      <c r="F22544" s="40" t="s">
        <v>11404</v>
      </c>
      <c r="G22544" s="40" t="s">
        <v>11404</v>
      </c>
      <c r="H22544" s="40" t="s">
        <v>11404</v>
      </c>
    </row>
    <row r="22545">
      <c r="A22545" s="39"/>
      <c r="E22545" s="40" t="s">
        <v>11404</v>
      </c>
      <c r="F22545" s="40" t="s">
        <v>11404</v>
      </c>
      <c r="G22545" s="40" t="s">
        <v>11404</v>
      </c>
      <c r="H22545" s="40" t="s">
        <v>11404</v>
      </c>
    </row>
    <row r="22546">
      <c r="A22546" s="39"/>
      <c r="E22546" s="40" t="s">
        <v>11404</v>
      </c>
      <c r="F22546" s="40" t="s">
        <v>11404</v>
      </c>
      <c r="G22546" s="40" t="s">
        <v>11404</v>
      </c>
      <c r="H22546" s="40" t="s">
        <v>11404</v>
      </c>
    </row>
    <row r="22547">
      <c r="A22547" s="39"/>
      <c r="E22547" s="40" t="s">
        <v>11404</v>
      </c>
      <c r="F22547" s="40" t="s">
        <v>11404</v>
      </c>
      <c r="G22547" s="40" t="s">
        <v>11404</v>
      </c>
      <c r="H22547" s="40" t="s">
        <v>11404</v>
      </c>
    </row>
    <row r="22548">
      <c r="A22548" s="39"/>
      <c r="E22548" s="40" t="s">
        <v>11404</v>
      </c>
      <c r="F22548" s="40" t="s">
        <v>11404</v>
      </c>
      <c r="G22548" s="40" t="s">
        <v>11404</v>
      </c>
      <c r="H22548" s="40" t="s">
        <v>11404</v>
      </c>
    </row>
    <row r="22549">
      <c r="A22549" s="39"/>
      <c r="E22549" s="40" t="s">
        <v>11404</v>
      </c>
      <c r="F22549" s="40" t="s">
        <v>11404</v>
      </c>
      <c r="G22549" s="40" t="s">
        <v>11404</v>
      </c>
      <c r="H22549" s="40" t="s">
        <v>11404</v>
      </c>
    </row>
    <row r="22550">
      <c r="A22550" s="39"/>
      <c r="E22550" s="40" t="s">
        <v>11404</v>
      </c>
      <c r="F22550" s="40" t="s">
        <v>11404</v>
      </c>
      <c r="G22550" s="40" t="s">
        <v>11404</v>
      </c>
      <c r="H22550" s="40" t="s">
        <v>11404</v>
      </c>
    </row>
    <row r="22551">
      <c r="A22551" s="39"/>
      <c r="E22551" s="40" t="s">
        <v>11404</v>
      </c>
      <c r="F22551" s="40" t="s">
        <v>11404</v>
      </c>
      <c r="G22551" s="40" t="s">
        <v>11404</v>
      </c>
      <c r="H22551" s="40" t="s">
        <v>11404</v>
      </c>
    </row>
    <row r="22552">
      <c r="A22552" s="39"/>
      <c r="E22552" s="40" t="s">
        <v>11404</v>
      </c>
      <c r="F22552" s="40" t="s">
        <v>11404</v>
      </c>
      <c r="G22552" s="40" t="s">
        <v>11404</v>
      </c>
      <c r="H22552" s="40" t="s">
        <v>11404</v>
      </c>
    </row>
    <row r="22553">
      <c r="A22553" s="39"/>
      <c r="E22553" s="40" t="s">
        <v>11404</v>
      </c>
      <c r="F22553" s="40" t="s">
        <v>11404</v>
      </c>
      <c r="G22553" s="40" t="s">
        <v>11404</v>
      </c>
      <c r="H22553" s="40" t="s">
        <v>11404</v>
      </c>
    </row>
    <row r="22554">
      <c r="A22554" s="39"/>
      <c r="E22554" s="40" t="s">
        <v>11404</v>
      </c>
      <c r="F22554" s="40" t="s">
        <v>11404</v>
      </c>
      <c r="G22554" s="40" t="s">
        <v>11404</v>
      </c>
      <c r="H22554" s="40" t="s">
        <v>11404</v>
      </c>
    </row>
    <row r="22555">
      <c r="A22555" s="39"/>
      <c r="E22555" s="40" t="s">
        <v>11404</v>
      </c>
      <c r="F22555" s="40" t="s">
        <v>11404</v>
      </c>
      <c r="G22555" s="40" t="s">
        <v>11404</v>
      </c>
      <c r="H22555" s="40" t="s">
        <v>11404</v>
      </c>
    </row>
    <row r="22556">
      <c r="A22556" s="39"/>
      <c r="E22556" s="40" t="s">
        <v>11404</v>
      </c>
      <c r="F22556" s="40" t="s">
        <v>11404</v>
      </c>
      <c r="G22556" s="40" t="s">
        <v>11404</v>
      </c>
      <c r="H22556" s="40" t="s">
        <v>11404</v>
      </c>
    </row>
    <row r="22557">
      <c r="A22557" s="39"/>
      <c r="E22557" s="40" t="s">
        <v>11404</v>
      </c>
      <c r="F22557" s="40" t="s">
        <v>11404</v>
      </c>
      <c r="G22557" s="40" t="s">
        <v>11404</v>
      </c>
      <c r="H22557" s="40" t="s">
        <v>11404</v>
      </c>
    </row>
    <row r="22558">
      <c r="A22558" s="39"/>
      <c r="E22558" s="40" t="s">
        <v>11404</v>
      </c>
      <c r="F22558" s="40" t="s">
        <v>11404</v>
      </c>
      <c r="G22558" s="40" t="s">
        <v>11404</v>
      </c>
      <c r="H22558" s="40" t="s">
        <v>11404</v>
      </c>
    </row>
    <row r="22559">
      <c r="A22559" s="39"/>
      <c r="E22559" s="40" t="s">
        <v>11404</v>
      </c>
      <c r="F22559" s="40" t="s">
        <v>11404</v>
      </c>
      <c r="G22559" s="40" t="s">
        <v>11404</v>
      </c>
      <c r="H22559" s="40" t="s">
        <v>11404</v>
      </c>
    </row>
    <row r="22560">
      <c r="A22560" s="39"/>
      <c r="E22560" s="40" t="s">
        <v>11404</v>
      </c>
      <c r="F22560" s="40" t="s">
        <v>11404</v>
      </c>
      <c r="G22560" s="40" t="s">
        <v>11404</v>
      </c>
      <c r="H22560" s="40" t="s">
        <v>11404</v>
      </c>
    </row>
    <row r="22561">
      <c r="A22561" s="39"/>
      <c r="E22561" s="40" t="s">
        <v>11404</v>
      </c>
      <c r="F22561" s="40" t="s">
        <v>11404</v>
      </c>
      <c r="G22561" s="40" t="s">
        <v>11404</v>
      </c>
      <c r="H22561" s="40" t="s">
        <v>11404</v>
      </c>
    </row>
    <row r="22562">
      <c r="A22562" s="39"/>
      <c r="E22562" s="40" t="s">
        <v>11404</v>
      </c>
      <c r="F22562" s="40" t="s">
        <v>11404</v>
      </c>
      <c r="G22562" s="40" t="s">
        <v>11404</v>
      </c>
      <c r="H22562" s="40" t="s">
        <v>11404</v>
      </c>
    </row>
    <row r="22563">
      <c r="A22563" s="39"/>
      <c r="E22563" s="40" t="s">
        <v>11404</v>
      </c>
      <c r="F22563" s="40" t="s">
        <v>11404</v>
      </c>
      <c r="G22563" s="40" t="s">
        <v>11404</v>
      </c>
      <c r="H22563" s="40" t="s">
        <v>11404</v>
      </c>
    </row>
    <row r="22564">
      <c r="A22564" s="39"/>
      <c r="E22564" s="40" t="s">
        <v>11404</v>
      </c>
      <c r="F22564" s="40" t="s">
        <v>11404</v>
      </c>
      <c r="G22564" s="40" t="s">
        <v>11404</v>
      </c>
      <c r="H22564" s="40" t="s">
        <v>11404</v>
      </c>
    </row>
    <row r="22565">
      <c r="A22565" s="39"/>
      <c r="E22565" s="40" t="s">
        <v>11404</v>
      </c>
      <c r="F22565" s="40" t="s">
        <v>11404</v>
      </c>
      <c r="G22565" s="40" t="s">
        <v>11404</v>
      </c>
      <c r="H22565" s="40" t="s">
        <v>11404</v>
      </c>
    </row>
    <row r="22566">
      <c r="A22566" s="39"/>
      <c r="E22566" s="40" t="s">
        <v>11404</v>
      </c>
      <c r="F22566" s="40" t="s">
        <v>11404</v>
      </c>
      <c r="G22566" s="40" t="s">
        <v>11404</v>
      </c>
      <c r="H22566" s="40" t="s">
        <v>11404</v>
      </c>
    </row>
    <row r="22567">
      <c r="A22567" s="39"/>
      <c r="E22567" s="40" t="s">
        <v>11404</v>
      </c>
      <c r="F22567" s="40" t="s">
        <v>11404</v>
      </c>
      <c r="G22567" s="40" t="s">
        <v>11404</v>
      </c>
      <c r="H22567" s="40" t="s">
        <v>11404</v>
      </c>
    </row>
    <row r="22568">
      <c r="A22568" s="39"/>
      <c r="E22568" s="40" t="s">
        <v>11404</v>
      </c>
      <c r="F22568" s="40" t="s">
        <v>11404</v>
      </c>
      <c r="G22568" s="40" t="s">
        <v>11404</v>
      </c>
      <c r="H22568" s="40" t="s">
        <v>11404</v>
      </c>
    </row>
    <row r="22569">
      <c r="A22569" s="39"/>
      <c r="E22569" s="40" t="s">
        <v>11404</v>
      </c>
      <c r="F22569" s="40" t="s">
        <v>11404</v>
      </c>
      <c r="G22569" s="40" t="s">
        <v>11404</v>
      </c>
      <c r="H22569" s="40" t="s">
        <v>11404</v>
      </c>
    </row>
    <row r="22570">
      <c r="A22570" s="39"/>
      <c r="E22570" s="40" t="s">
        <v>11404</v>
      </c>
      <c r="F22570" s="40" t="s">
        <v>11404</v>
      </c>
      <c r="G22570" s="40" t="s">
        <v>11404</v>
      </c>
      <c r="H22570" s="40" t="s">
        <v>11404</v>
      </c>
    </row>
    <row r="22571">
      <c r="A22571" s="39"/>
      <c r="E22571" s="40" t="s">
        <v>11404</v>
      </c>
      <c r="F22571" s="40" t="s">
        <v>11404</v>
      </c>
      <c r="G22571" s="40" t="s">
        <v>11404</v>
      </c>
      <c r="H22571" s="40" t="s">
        <v>11404</v>
      </c>
    </row>
    <row r="22572">
      <c r="A22572" s="39"/>
      <c r="E22572" s="40" t="s">
        <v>11404</v>
      </c>
      <c r="F22572" s="40" t="s">
        <v>11404</v>
      </c>
      <c r="G22572" s="40" t="s">
        <v>11404</v>
      </c>
      <c r="H22572" s="40" t="s">
        <v>11404</v>
      </c>
    </row>
    <row r="22573">
      <c r="A22573" s="39"/>
      <c r="E22573" s="40" t="s">
        <v>11404</v>
      </c>
      <c r="F22573" s="40" t="s">
        <v>11404</v>
      </c>
      <c r="G22573" s="40" t="s">
        <v>11404</v>
      </c>
      <c r="H22573" s="40" t="s">
        <v>11404</v>
      </c>
    </row>
    <row r="22574">
      <c r="A22574" s="39"/>
      <c r="E22574" s="40" t="s">
        <v>11404</v>
      </c>
      <c r="F22574" s="40" t="s">
        <v>11404</v>
      </c>
      <c r="G22574" s="40" t="s">
        <v>11404</v>
      </c>
      <c r="H22574" s="40" t="s">
        <v>11404</v>
      </c>
    </row>
    <row r="22575">
      <c r="A22575" s="39"/>
      <c r="E22575" s="40" t="s">
        <v>11404</v>
      </c>
      <c r="F22575" s="40" t="s">
        <v>11404</v>
      </c>
      <c r="G22575" s="40" t="s">
        <v>11404</v>
      </c>
      <c r="H22575" s="40" t="s">
        <v>11404</v>
      </c>
    </row>
    <row r="22576">
      <c r="A22576" s="39"/>
      <c r="E22576" s="40" t="s">
        <v>11404</v>
      </c>
      <c r="F22576" s="40" t="s">
        <v>11404</v>
      </c>
      <c r="G22576" s="40" t="s">
        <v>11404</v>
      </c>
      <c r="H22576" s="40" t="s">
        <v>11404</v>
      </c>
    </row>
    <row r="22577">
      <c r="A22577" s="39"/>
      <c r="E22577" s="40" t="s">
        <v>11404</v>
      </c>
      <c r="F22577" s="40" t="s">
        <v>11404</v>
      </c>
      <c r="G22577" s="40" t="s">
        <v>11404</v>
      </c>
      <c r="H22577" s="40" t="s">
        <v>11404</v>
      </c>
    </row>
    <row r="22578">
      <c r="A22578" s="39"/>
      <c r="E22578" s="40" t="s">
        <v>11404</v>
      </c>
      <c r="F22578" s="40" t="s">
        <v>11404</v>
      </c>
      <c r="G22578" s="40" t="s">
        <v>11404</v>
      </c>
      <c r="H22578" s="40" t="s">
        <v>11404</v>
      </c>
    </row>
    <row r="22579">
      <c r="A22579" s="39"/>
      <c r="E22579" s="40" t="s">
        <v>11404</v>
      </c>
      <c r="F22579" s="40" t="s">
        <v>11404</v>
      </c>
      <c r="G22579" s="40" t="s">
        <v>11404</v>
      </c>
      <c r="H22579" s="40" t="s">
        <v>11404</v>
      </c>
    </row>
    <row r="22580">
      <c r="A22580" s="39"/>
      <c r="E22580" s="40" t="s">
        <v>11404</v>
      </c>
      <c r="F22580" s="40" t="s">
        <v>11404</v>
      </c>
      <c r="G22580" s="40" t="s">
        <v>11404</v>
      </c>
      <c r="H22580" s="40" t="s">
        <v>11404</v>
      </c>
    </row>
    <row r="22581">
      <c r="A22581" s="39"/>
      <c r="E22581" s="40" t="s">
        <v>11404</v>
      </c>
      <c r="F22581" s="40" t="s">
        <v>11404</v>
      </c>
      <c r="G22581" s="40" t="s">
        <v>11404</v>
      </c>
      <c r="H22581" s="40" t="s">
        <v>11404</v>
      </c>
    </row>
    <row r="22582">
      <c r="A22582" s="39"/>
      <c r="E22582" s="40" t="s">
        <v>11404</v>
      </c>
      <c r="F22582" s="40" t="s">
        <v>11404</v>
      </c>
      <c r="G22582" s="40" t="s">
        <v>11404</v>
      </c>
      <c r="H22582" s="40" t="s">
        <v>11404</v>
      </c>
    </row>
    <row r="22583">
      <c r="A22583" s="39"/>
      <c r="E22583" s="40" t="s">
        <v>11404</v>
      </c>
      <c r="F22583" s="40" t="s">
        <v>11404</v>
      </c>
      <c r="G22583" s="40" t="s">
        <v>11404</v>
      </c>
      <c r="H22583" s="40" t="s">
        <v>11404</v>
      </c>
    </row>
    <row r="22584">
      <c r="A22584" s="39"/>
      <c r="E22584" s="40" t="s">
        <v>11404</v>
      </c>
      <c r="F22584" s="40" t="s">
        <v>11404</v>
      </c>
      <c r="G22584" s="40" t="s">
        <v>11404</v>
      </c>
      <c r="H22584" s="40" t="s">
        <v>11404</v>
      </c>
    </row>
    <row r="22585">
      <c r="A22585" s="39"/>
      <c r="E22585" s="40" t="s">
        <v>11404</v>
      </c>
      <c r="F22585" s="40" t="s">
        <v>11404</v>
      </c>
      <c r="G22585" s="40" t="s">
        <v>11404</v>
      </c>
      <c r="H22585" s="40" t="s">
        <v>11404</v>
      </c>
    </row>
    <row r="22586">
      <c r="A22586" s="39"/>
      <c r="E22586" s="40" t="s">
        <v>11404</v>
      </c>
      <c r="F22586" s="40" t="s">
        <v>11404</v>
      </c>
      <c r="G22586" s="40" t="s">
        <v>11404</v>
      </c>
      <c r="H22586" s="40" t="s">
        <v>11404</v>
      </c>
    </row>
    <row r="22587">
      <c r="A22587" s="39"/>
      <c r="E22587" s="40" t="s">
        <v>11404</v>
      </c>
      <c r="F22587" s="40" t="s">
        <v>11404</v>
      </c>
      <c r="G22587" s="40" t="s">
        <v>11404</v>
      </c>
      <c r="H22587" s="40" t="s">
        <v>11404</v>
      </c>
    </row>
    <row r="22588">
      <c r="A22588" s="39"/>
      <c r="E22588" s="40" t="s">
        <v>11404</v>
      </c>
      <c r="F22588" s="40" t="s">
        <v>11404</v>
      </c>
      <c r="G22588" s="40" t="s">
        <v>11404</v>
      </c>
      <c r="H22588" s="40" t="s">
        <v>11404</v>
      </c>
    </row>
    <row r="22589">
      <c r="A22589" s="39"/>
      <c r="E22589" s="40" t="s">
        <v>11404</v>
      </c>
      <c r="F22589" s="40" t="s">
        <v>11404</v>
      </c>
      <c r="G22589" s="40" t="s">
        <v>11404</v>
      </c>
      <c r="H22589" s="40" t="s">
        <v>11404</v>
      </c>
    </row>
    <row r="22590">
      <c r="A22590" s="39"/>
      <c r="E22590" s="40" t="s">
        <v>11404</v>
      </c>
      <c r="F22590" s="40" t="s">
        <v>11404</v>
      </c>
      <c r="G22590" s="40" t="s">
        <v>11404</v>
      </c>
      <c r="H22590" s="40" t="s">
        <v>11404</v>
      </c>
    </row>
    <row r="22591">
      <c r="A22591" s="39"/>
      <c r="E22591" s="40" t="s">
        <v>11404</v>
      </c>
      <c r="F22591" s="40" t="s">
        <v>11404</v>
      </c>
      <c r="G22591" s="40" t="s">
        <v>11404</v>
      </c>
      <c r="H22591" s="40" t="s">
        <v>11404</v>
      </c>
    </row>
    <row r="22592">
      <c r="A22592" s="39"/>
      <c r="E22592" s="40" t="s">
        <v>11404</v>
      </c>
      <c r="F22592" s="40" t="s">
        <v>11404</v>
      </c>
      <c r="G22592" s="40" t="s">
        <v>11404</v>
      </c>
      <c r="H22592" s="40" t="s">
        <v>11404</v>
      </c>
    </row>
    <row r="22593">
      <c r="A22593" s="39"/>
      <c r="E22593" s="40" t="s">
        <v>11404</v>
      </c>
      <c r="F22593" s="40" t="s">
        <v>11404</v>
      </c>
      <c r="G22593" s="40" t="s">
        <v>11404</v>
      </c>
      <c r="H22593" s="40" t="s">
        <v>11404</v>
      </c>
    </row>
    <row r="22594">
      <c r="A22594" s="39"/>
      <c r="E22594" s="40" t="s">
        <v>11404</v>
      </c>
      <c r="F22594" s="40" t="s">
        <v>11404</v>
      </c>
      <c r="G22594" s="40" t="s">
        <v>11404</v>
      </c>
      <c r="H22594" s="40" t="s">
        <v>11404</v>
      </c>
    </row>
    <row r="22595">
      <c r="A22595" s="39"/>
      <c r="E22595" s="40" t="s">
        <v>11404</v>
      </c>
      <c r="F22595" s="40" t="s">
        <v>11404</v>
      </c>
      <c r="G22595" s="40" t="s">
        <v>11404</v>
      </c>
      <c r="H22595" s="40" t="s">
        <v>11404</v>
      </c>
    </row>
    <row r="22596">
      <c r="A22596" s="39"/>
      <c r="E22596" s="40" t="s">
        <v>11404</v>
      </c>
      <c r="F22596" s="40" t="s">
        <v>11404</v>
      </c>
      <c r="G22596" s="40" t="s">
        <v>11404</v>
      </c>
      <c r="H22596" s="40" t="s">
        <v>11404</v>
      </c>
    </row>
    <row r="22597">
      <c r="A22597" s="39"/>
      <c r="E22597" s="40" t="s">
        <v>11404</v>
      </c>
      <c r="F22597" s="40" t="s">
        <v>11404</v>
      </c>
      <c r="G22597" s="40" t="s">
        <v>11404</v>
      </c>
      <c r="H22597" s="40" t="s">
        <v>11404</v>
      </c>
    </row>
    <row r="22598">
      <c r="A22598" s="39"/>
      <c r="E22598" s="40" t="s">
        <v>11404</v>
      </c>
      <c r="F22598" s="40" t="s">
        <v>11404</v>
      </c>
      <c r="G22598" s="40" t="s">
        <v>11404</v>
      </c>
      <c r="H22598" s="40" t="s">
        <v>11404</v>
      </c>
    </row>
    <row r="22599">
      <c r="A22599" s="39"/>
      <c r="E22599" s="40" t="s">
        <v>11404</v>
      </c>
      <c r="F22599" s="40" t="s">
        <v>11404</v>
      </c>
      <c r="G22599" s="40" t="s">
        <v>11404</v>
      </c>
      <c r="H22599" s="40" t="s">
        <v>11404</v>
      </c>
    </row>
    <row r="22600">
      <c r="A22600" s="39"/>
      <c r="E22600" s="40" t="s">
        <v>11404</v>
      </c>
      <c r="F22600" s="40" t="s">
        <v>11404</v>
      </c>
      <c r="G22600" s="40" t="s">
        <v>11404</v>
      </c>
      <c r="H22600" s="40" t="s">
        <v>11404</v>
      </c>
    </row>
    <row r="22601">
      <c r="A22601" s="39"/>
      <c r="E22601" s="40" t="s">
        <v>11404</v>
      </c>
      <c r="F22601" s="40" t="s">
        <v>11404</v>
      </c>
      <c r="G22601" s="40" t="s">
        <v>11404</v>
      </c>
      <c r="H22601" s="40" t="s">
        <v>11404</v>
      </c>
    </row>
    <row r="22602">
      <c r="A22602" s="39"/>
      <c r="E22602" s="40" t="s">
        <v>11404</v>
      </c>
      <c r="F22602" s="40" t="s">
        <v>11404</v>
      </c>
      <c r="G22602" s="40" t="s">
        <v>11404</v>
      </c>
      <c r="H22602" s="40" t="s">
        <v>11404</v>
      </c>
    </row>
    <row r="22603">
      <c r="A22603" s="39"/>
      <c r="E22603" s="40" t="s">
        <v>11404</v>
      </c>
      <c r="F22603" s="40" t="s">
        <v>11404</v>
      </c>
      <c r="G22603" s="40" t="s">
        <v>11404</v>
      </c>
      <c r="H22603" s="40" t="s">
        <v>11404</v>
      </c>
    </row>
    <row r="22604">
      <c r="A22604" s="39"/>
      <c r="E22604" s="40" t="s">
        <v>11404</v>
      </c>
      <c r="F22604" s="40" t="s">
        <v>11404</v>
      </c>
      <c r="G22604" s="40" t="s">
        <v>11404</v>
      </c>
      <c r="H22604" s="40" t="s">
        <v>11404</v>
      </c>
    </row>
    <row r="22605">
      <c r="A22605" s="39"/>
      <c r="E22605" s="40" t="s">
        <v>11404</v>
      </c>
      <c r="F22605" s="40" t="s">
        <v>11404</v>
      </c>
      <c r="G22605" s="40" t="s">
        <v>11404</v>
      </c>
      <c r="H22605" s="40" t="s">
        <v>11404</v>
      </c>
    </row>
    <row r="22606">
      <c r="A22606" s="39"/>
      <c r="E22606" s="40" t="s">
        <v>11404</v>
      </c>
      <c r="F22606" s="40" t="s">
        <v>11404</v>
      </c>
      <c r="G22606" s="40" t="s">
        <v>11404</v>
      </c>
      <c r="H22606" s="40" t="s">
        <v>11404</v>
      </c>
    </row>
    <row r="22607">
      <c r="A22607" s="39"/>
      <c r="E22607" s="40" t="s">
        <v>11404</v>
      </c>
      <c r="F22607" s="40" t="s">
        <v>11404</v>
      </c>
      <c r="G22607" s="40" t="s">
        <v>11404</v>
      </c>
      <c r="H22607" s="40" t="s">
        <v>11404</v>
      </c>
    </row>
    <row r="22608">
      <c r="A22608" s="39"/>
      <c r="E22608" s="40" t="s">
        <v>11404</v>
      </c>
      <c r="F22608" s="40" t="s">
        <v>11404</v>
      </c>
      <c r="G22608" s="40" t="s">
        <v>11404</v>
      </c>
      <c r="H22608" s="40" t="s">
        <v>11404</v>
      </c>
    </row>
    <row r="22609">
      <c r="A22609" s="39"/>
      <c r="E22609" s="40" t="s">
        <v>11404</v>
      </c>
      <c r="F22609" s="40" t="s">
        <v>11404</v>
      </c>
      <c r="G22609" s="40" t="s">
        <v>11404</v>
      </c>
      <c r="H22609" s="40" t="s">
        <v>11404</v>
      </c>
    </row>
    <row r="22610">
      <c r="A22610" s="39"/>
      <c r="E22610" s="40" t="s">
        <v>11404</v>
      </c>
      <c r="F22610" s="40" t="s">
        <v>11404</v>
      </c>
      <c r="G22610" s="40" t="s">
        <v>11404</v>
      </c>
      <c r="H22610" s="40" t="s">
        <v>11404</v>
      </c>
    </row>
    <row r="22611">
      <c r="A22611" s="39"/>
      <c r="E22611" s="40" t="s">
        <v>11404</v>
      </c>
      <c r="F22611" s="40" t="s">
        <v>11404</v>
      </c>
      <c r="G22611" s="40" t="s">
        <v>11404</v>
      </c>
      <c r="H22611" s="40" t="s">
        <v>11404</v>
      </c>
    </row>
    <row r="22612">
      <c r="A22612" s="39"/>
      <c r="E22612" s="40" t="s">
        <v>11404</v>
      </c>
      <c r="F22612" s="40" t="s">
        <v>11404</v>
      </c>
      <c r="G22612" s="40" t="s">
        <v>11404</v>
      </c>
      <c r="H22612" s="40" t="s">
        <v>11404</v>
      </c>
    </row>
    <row r="22613">
      <c r="A22613" s="39"/>
      <c r="E22613" s="40" t="s">
        <v>11404</v>
      </c>
      <c r="F22613" s="40" t="s">
        <v>11404</v>
      </c>
      <c r="G22613" s="40" t="s">
        <v>11404</v>
      </c>
      <c r="H22613" s="40" t="s">
        <v>11404</v>
      </c>
    </row>
    <row r="22614">
      <c r="A22614" s="39"/>
      <c r="E22614" s="40" t="s">
        <v>11404</v>
      </c>
      <c r="F22614" s="40" t="s">
        <v>11404</v>
      </c>
      <c r="G22614" s="40" t="s">
        <v>11404</v>
      </c>
      <c r="H22614" s="40" t="s">
        <v>11404</v>
      </c>
    </row>
    <row r="22615">
      <c r="A22615" s="39"/>
      <c r="E22615" s="40" t="s">
        <v>11404</v>
      </c>
      <c r="F22615" s="40" t="s">
        <v>11404</v>
      </c>
      <c r="G22615" s="40" t="s">
        <v>11404</v>
      </c>
      <c r="H22615" s="40" t="s">
        <v>11404</v>
      </c>
    </row>
    <row r="22616">
      <c r="A22616" s="39"/>
      <c r="E22616" s="40" t="s">
        <v>11404</v>
      </c>
      <c r="F22616" s="40" t="s">
        <v>11404</v>
      </c>
      <c r="G22616" s="40" t="s">
        <v>11404</v>
      </c>
      <c r="H22616" s="40" t="s">
        <v>11404</v>
      </c>
    </row>
    <row r="22617">
      <c r="A22617" s="39"/>
      <c r="E22617" s="40" t="s">
        <v>11404</v>
      </c>
      <c r="F22617" s="40" t="s">
        <v>11404</v>
      </c>
      <c r="G22617" s="40" t="s">
        <v>11404</v>
      </c>
      <c r="H22617" s="40" t="s">
        <v>11404</v>
      </c>
    </row>
    <row r="22618">
      <c r="A22618" s="39"/>
      <c r="E22618" s="40" t="s">
        <v>11404</v>
      </c>
      <c r="F22618" s="40" t="s">
        <v>11404</v>
      </c>
      <c r="G22618" s="40" t="s">
        <v>11404</v>
      </c>
      <c r="H22618" s="40" t="s">
        <v>11404</v>
      </c>
    </row>
    <row r="22619">
      <c r="A22619" s="39"/>
      <c r="E22619" s="40" t="s">
        <v>11404</v>
      </c>
      <c r="F22619" s="40" t="s">
        <v>11404</v>
      </c>
      <c r="G22619" s="40" t="s">
        <v>11404</v>
      </c>
      <c r="H22619" s="40" t="s">
        <v>11404</v>
      </c>
    </row>
    <row r="22620">
      <c r="A22620" s="39"/>
      <c r="E22620" s="40" t="s">
        <v>11404</v>
      </c>
      <c r="F22620" s="40" t="s">
        <v>11404</v>
      </c>
      <c r="G22620" s="40" t="s">
        <v>11404</v>
      </c>
      <c r="H22620" s="40" t="s">
        <v>11404</v>
      </c>
    </row>
    <row r="22621">
      <c r="A22621" s="39"/>
      <c r="E22621" s="40" t="s">
        <v>11404</v>
      </c>
      <c r="F22621" s="40" t="s">
        <v>11404</v>
      </c>
      <c r="G22621" s="40" t="s">
        <v>11404</v>
      </c>
      <c r="H22621" s="40" t="s">
        <v>11404</v>
      </c>
    </row>
    <row r="22622">
      <c r="A22622" s="39"/>
      <c r="E22622" s="40" t="s">
        <v>11404</v>
      </c>
      <c r="F22622" s="40" t="s">
        <v>11404</v>
      </c>
      <c r="G22622" s="40" t="s">
        <v>11404</v>
      </c>
      <c r="H22622" s="40" t="s">
        <v>11404</v>
      </c>
    </row>
    <row r="22623">
      <c r="A22623" s="39"/>
      <c r="E22623" s="40" t="s">
        <v>11404</v>
      </c>
      <c r="F22623" s="40" t="s">
        <v>11404</v>
      </c>
      <c r="G22623" s="40" t="s">
        <v>11404</v>
      </c>
      <c r="H22623" s="40" t="s">
        <v>11404</v>
      </c>
    </row>
    <row r="22624">
      <c r="A22624" s="39"/>
      <c r="E22624" s="40" t="s">
        <v>11404</v>
      </c>
      <c r="F22624" s="40" t="s">
        <v>11404</v>
      </c>
      <c r="G22624" s="40" t="s">
        <v>11404</v>
      </c>
      <c r="H22624" s="40" t="s">
        <v>11404</v>
      </c>
    </row>
    <row r="22625">
      <c r="A22625" s="39"/>
      <c r="E22625" s="40" t="s">
        <v>11404</v>
      </c>
      <c r="F22625" s="40" t="s">
        <v>11404</v>
      </c>
      <c r="G22625" s="40" t="s">
        <v>11404</v>
      </c>
      <c r="H22625" s="40" t="s">
        <v>11404</v>
      </c>
    </row>
    <row r="22626">
      <c r="A22626" s="39"/>
      <c r="E22626" s="40" t="s">
        <v>11404</v>
      </c>
      <c r="F22626" s="40" t="s">
        <v>11404</v>
      </c>
      <c r="G22626" s="40" t="s">
        <v>11404</v>
      </c>
      <c r="H22626" s="40" t="s">
        <v>11404</v>
      </c>
    </row>
    <row r="22627">
      <c r="A22627" s="39"/>
      <c r="E22627" s="40" t="s">
        <v>11404</v>
      </c>
      <c r="F22627" s="40" t="s">
        <v>11404</v>
      </c>
      <c r="G22627" s="40" t="s">
        <v>11404</v>
      </c>
      <c r="H22627" s="40" t="s">
        <v>11404</v>
      </c>
    </row>
    <row r="22628">
      <c r="A22628" s="39"/>
      <c r="E22628" s="40" t="s">
        <v>11404</v>
      </c>
      <c r="F22628" s="40" t="s">
        <v>11404</v>
      </c>
      <c r="G22628" s="40" t="s">
        <v>11404</v>
      </c>
      <c r="H22628" s="40" t="s">
        <v>11404</v>
      </c>
    </row>
    <row r="22629">
      <c r="A22629" s="39"/>
      <c r="E22629" s="40" t="s">
        <v>11404</v>
      </c>
      <c r="F22629" s="40" t="s">
        <v>11404</v>
      </c>
      <c r="G22629" s="40" t="s">
        <v>11404</v>
      </c>
      <c r="H22629" s="40" t="s">
        <v>11404</v>
      </c>
    </row>
    <row r="22630">
      <c r="A22630" s="39"/>
      <c r="E22630" s="40" t="s">
        <v>11404</v>
      </c>
      <c r="F22630" s="40" t="s">
        <v>11404</v>
      </c>
      <c r="G22630" s="40" t="s">
        <v>11404</v>
      </c>
      <c r="H22630" s="40" t="s">
        <v>11404</v>
      </c>
    </row>
    <row r="22631">
      <c r="A22631" s="39"/>
      <c r="E22631" s="40" t="s">
        <v>11404</v>
      </c>
      <c r="F22631" s="40" t="s">
        <v>11404</v>
      </c>
      <c r="G22631" s="40" t="s">
        <v>11404</v>
      </c>
      <c r="H22631" s="40" t="s">
        <v>11404</v>
      </c>
    </row>
    <row r="22632">
      <c r="A22632" s="39"/>
      <c r="E22632" s="40" t="s">
        <v>11404</v>
      </c>
      <c r="F22632" s="40" t="s">
        <v>11404</v>
      </c>
      <c r="G22632" s="40" t="s">
        <v>11404</v>
      </c>
      <c r="H22632" s="40" t="s">
        <v>11404</v>
      </c>
    </row>
    <row r="22633">
      <c r="A22633" s="39"/>
      <c r="E22633" s="40" t="s">
        <v>11404</v>
      </c>
      <c r="F22633" s="40" t="s">
        <v>11404</v>
      </c>
      <c r="G22633" s="40" t="s">
        <v>11404</v>
      </c>
      <c r="H22633" s="40" t="s">
        <v>11404</v>
      </c>
    </row>
    <row r="22634">
      <c r="A22634" s="39"/>
      <c r="E22634" s="40" t="s">
        <v>11404</v>
      </c>
      <c r="F22634" s="40" t="s">
        <v>11404</v>
      </c>
      <c r="G22634" s="40" t="s">
        <v>11404</v>
      </c>
      <c r="H22634" s="40" t="s">
        <v>11404</v>
      </c>
    </row>
    <row r="22635">
      <c r="A22635" s="39"/>
      <c r="E22635" s="40" t="s">
        <v>11404</v>
      </c>
      <c r="F22635" s="40" t="s">
        <v>11404</v>
      </c>
      <c r="G22635" s="40" t="s">
        <v>11404</v>
      </c>
      <c r="H22635" s="40" t="s">
        <v>11404</v>
      </c>
    </row>
    <row r="22636">
      <c r="A22636" s="39"/>
      <c r="E22636" s="40" t="s">
        <v>11404</v>
      </c>
      <c r="F22636" s="40" t="s">
        <v>11404</v>
      </c>
      <c r="G22636" s="40" t="s">
        <v>11404</v>
      </c>
      <c r="H22636" s="40" t="s">
        <v>11404</v>
      </c>
    </row>
    <row r="22637">
      <c r="A22637" s="39"/>
      <c r="E22637" s="40" t="s">
        <v>11404</v>
      </c>
      <c r="F22637" s="40" t="s">
        <v>11404</v>
      </c>
      <c r="G22637" s="40" t="s">
        <v>11404</v>
      </c>
      <c r="H22637" s="40" t="s">
        <v>11404</v>
      </c>
    </row>
    <row r="22638">
      <c r="A22638" s="39"/>
      <c r="E22638" s="40" t="s">
        <v>11404</v>
      </c>
      <c r="F22638" s="40" t="s">
        <v>11404</v>
      </c>
      <c r="G22638" s="40" t="s">
        <v>11404</v>
      </c>
      <c r="H22638" s="40" t="s">
        <v>11404</v>
      </c>
    </row>
    <row r="22639">
      <c r="A22639" s="39"/>
      <c r="E22639" s="40" t="s">
        <v>11404</v>
      </c>
      <c r="F22639" s="40" t="s">
        <v>11404</v>
      </c>
      <c r="G22639" s="40" t="s">
        <v>11404</v>
      </c>
      <c r="H22639" s="40" t="s">
        <v>11404</v>
      </c>
    </row>
    <row r="22640">
      <c r="A22640" s="39"/>
      <c r="E22640" s="40" t="s">
        <v>11404</v>
      </c>
      <c r="F22640" s="40" t="s">
        <v>11404</v>
      </c>
      <c r="G22640" s="40" t="s">
        <v>11404</v>
      </c>
      <c r="H22640" s="40" t="s">
        <v>11404</v>
      </c>
    </row>
    <row r="22641">
      <c r="A22641" s="39"/>
      <c r="E22641" s="40" t="s">
        <v>11404</v>
      </c>
      <c r="F22641" s="40" t="s">
        <v>11404</v>
      </c>
      <c r="G22641" s="40" t="s">
        <v>11404</v>
      </c>
      <c r="H22641" s="40" t="s">
        <v>11404</v>
      </c>
    </row>
    <row r="22642">
      <c r="A22642" s="39"/>
      <c r="E22642" s="40" t="s">
        <v>11404</v>
      </c>
      <c r="F22642" s="40" t="s">
        <v>11404</v>
      </c>
      <c r="G22642" s="40" t="s">
        <v>11404</v>
      </c>
      <c r="H22642" s="40" t="s">
        <v>11404</v>
      </c>
    </row>
    <row r="22643">
      <c r="A22643" s="39"/>
      <c r="E22643" s="40" t="s">
        <v>11404</v>
      </c>
      <c r="F22643" s="40" t="s">
        <v>11404</v>
      </c>
      <c r="G22643" s="40" t="s">
        <v>11404</v>
      </c>
      <c r="H22643" s="40" t="s">
        <v>11404</v>
      </c>
    </row>
    <row r="22644">
      <c r="A22644" s="39"/>
      <c r="E22644" s="40" t="s">
        <v>11404</v>
      </c>
      <c r="F22644" s="40" t="s">
        <v>11404</v>
      </c>
      <c r="G22644" s="40" t="s">
        <v>11404</v>
      </c>
      <c r="H22644" s="40" t="s">
        <v>11404</v>
      </c>
    </row>
    <row r="22645">
      <c r="A22645" s="39"/>
      <c r="E22645" s="40" t="s">
        <v>11404</v>
      </c>
      <c r="F22645" s="40" t="s">
        <v>11404</v>
      </c>
      <c r="G22645" s="40" t="s">
        <v>11404</v>
      </c>
      <c r="H22645" s="40" t="s">
        <v>11404</v>
      </c>
    </row>
    <row r="22646">
      <c r="A22646" s="39"/>
      <c r="E22646" s="40" t="s">
        <v>11404</v>
      </c>
      <c r="F22646" s="40" t="s">
        <v>11404</v>
      </c>
      <c r="G22646" s="40" t="s">
        <v>11404</v>
      </c>
      <c r="H22646" s="40" t="s">
        <v>11404</v>
      </c>
    </row>
    <row r="22647">
      <c r="A22647" s="39"/>
      <c r="E22647" s="40" t="s">
        <v>11404</v>
      </c>
      <c r="F22647" s="40" t="s">
        <v>11404</v>
      </c>
      <c r="G22647" s="40" t="s">
        <v>11404</v>
      </c>
      <c r="H22647" s="40" t="s">
        <v>11404</v>
      </c>
    </row>
    <row r="22648">
      <c r="A22648" s="39"/>
      <c r="E22648" s="40" t="s">
        <v>11404</v>
      </c>
      <c r="F22648" s="40" t="s">
        <v>11404</v>
      </c>
      <c r="G22648" s="40" t="s">
        <v>11404</v>
      </c>
      <c r="H22648" s="40" t="s">
        <v>11404</v>
      </c>
    </row>
    <row r="22649">
      <c r="A22649" s="39"/>
      <c r="E22649" s="40" t="s">
        <v>11404</v>
      </c>
      <c r="F22649" s="40" t="s">
        <v>11404</v>
      </c>
      <c r="G22649" s="40" t="s">
        <v>11404</v>
      </c>
      <c r="H22649" s="40" t="s">
        <v>11404</v>
      </c>
    </row>
    <row r="22650">
      <c r="A22650" s="39"/>
      <c r="E22650" s="40" t="s">
        <v>11404</v>
      </c>
      <c r="F22650" s="40" t="s">
        <v>11404</v>
      </c>
      <c r="G22650" s="40" t="s">
        <v>11404</v>
      </c>
      <c r="H22650" s="40" t="s">
        <v>11404</v>
      </c>
    </row>
    <row r="22651">
      <c r="A22651" s="39"/>
      <c r="E22651" s="40" t="s">
        <v>11404</v>
      </c>
      <c r="F22651" s="40" t="s">
        <v>11404</v>
      </c>
      <c r="G22651" s="40" t="s">
        <v>11404</v>
      </c>
      <c r="H22651" s="40" t="s">
        <v>11404</v>
      </c>
    </row>
    <row r="22652">
      <c r="A22652" s="39"/>
      <c r="E22652" s="40" t="s">
        <v>11404</v>
      </c>
      <c r="F22652" s="40" t="s">
        <v>11404</v>
      </c>
      <c r="G22652" s="40" t="s">
        <v>11404</v>
      </c>
      <c r="H22652" s="40" t="s">
        <v>11404</v>
      </c>
    </row>
    <row r="22653">
      <c r="A22653" s="39"/>
      <c r="E22653" s="40" t="s">
        <v>11404</v>
      </c>
      <c r="F22653" s="40" t="s">
        <v>11404</v>
      </c>
      <c r="G22653" s="40" t="s">
        <v>11404</v>
      </c>
      <c r="H22653" s="40" t="s">
        <v>11404</v>
      </c>
    </row>
    <row r="22654">
      <c r="A22654" s="39"/>
      <c r="E22654" s="40" t="s">
        <v>11404</v>
      </c>
      <c r="F22654" s="40" t="s">
        <v>11404</v>
      </c>
      <c r="G22654" s="40" t="s">
        <v>11404</v>
      </c>
      <c r="H22654" s="40" t="s">
        <v>11404</v>
      </c>
    </row>
    <row r="22655">
      <c r="A22655" s="39"/>
      <c r="E22655" s="40" t="s">
        <v>11404</v>
      </c>
      <c r="F22655" s="40" t="s">
        <v>11404</v>
      </c>
      <c r="G22655" s="40" t="s">
        <v>11404</v>
      </c>
      <c r="H22655" s="40" t="s">
        <v>11404</v>
      </c>
    </row>
    <row r="22656">
      <c r="A22656" s="39"/>
      <c r="E22656" s="40" t="s">
        <v>11404</v>
      </c>
      <c r="F22656" s="40" t="s">
        <v>11404</v>
      </c>
      <c r="G22656" s="40" t="s">
        <v>11404</v>
      </c>
      <c r="H22656" s="40" t="s">
        <v>11404</v>
      </c>
    </row>
    <row r="22657">
      <c r="A22657" s="39"/>
      <c r="E22657" s="40" t="s">
        <v>11404</v>
      </c>
      <c r="F22657" s="40" t="s">
        <v>11404</v>
      </c>
      <c r="G22657" s="40" t="s">
        <v>11404</v>
      </c>
      <c r="H22657" s="40" t="s">
        <v>11404</v>
      </c>
    </row>
    <row r="22658">
      <c r="A22658" s="39"/>
      <c r="E22658" s="40" t="s">
        <v>11404</v>
      </c>
      <c r="F22658" s="40" t="s">
        <v>11404</v>
      </c>
      <c r="G22658" s="40" t="s">
        <v>11404</v>
      </c>
      <c r="H22658" s="40" t="s">
        <v>11404</v>
      </c>
    </row>
    <row r="22659">
      <c r="A22659" s="39"/>
      <c r="E22659" s="40" t="s">
        <v>11404</v>
      </c>
      <c r="F22659" s="40" t="s">
        <v>11404</v>
      </c>
      <c r="G22659" s="40" t="s">
        <v>11404</v>
      </c>
      <c r="H22659" s="40" t="s">
        <v>11404</v>
      </c>
    </row>
    <row r="22660">
      <c r="A22660" s="39"/>
      <c r="E22660" s="40" t="s">
        <v>11404</v>
      </c>
      <c r="F22660" s="40" t="s">
        <v>11404</v>
      </c>
      <c r="G22660" s="40" t="s">
        <v>11404</v>
      </c>
      <c r="H22660" s="40" t="s">
        <v>11404</v>
      </c>
    </row>
    <row r="22661">
      <c r="A22661" s="39"/>
      <c r="E22661" s="40" t="s">
        <v>11404</v>
      </c>
      <c r="F22661" s="40" t="s">
        <v>11404</v>
      </c>
      <c r="G22661" s="40" t="s">
        <v>11404</v>
      </c>
      <c r="H22661" s="40" t="s">
        <v>11404</v>
      </c>
    </row>
    <row r="22662">
      <c r="A22662" s="39"/>
      <c r="E22662" s="40" t="s">
        <v>11404</v>
      </c>
      <c r="F22662" s="40" t="s">
        <v>11404</v>
      </c>
      <c r="G22662" s="40" t="s">
        <v>11404</v>
      </c>
      <c r="H22662" s="40" t="s">
        <v>11404</v>
      </c>
    </row>
    <row r="22663">
      <c r="A22663" s="39"/>
      <c r="E22663" s="40" t="s">
        <v>11404</v>
      </c>
      <c r="F22663" s="40" t="s">
        <v>11404</v>
      </c>
      <c r="G22663" s="40" t="s">
        <v>11404</v>
      </c>
      <c r="H22663" s="40" t="s">
        <v>11404</v>
      </c>
    </row>
    <row r="22664">
      <c r="A22664" s="39"/>
      <c r="E22664" s="40" t="s">
        <v>11404</v>
      </c>
      <c r="F22664" s="40" t="s">
        <v>11404</v>
      </c>
      <c r="G22664" s="40" t="s">
        <v>11404</v>
      </c>
      <c r="H22664" s="40" t="s">
        <v>11404</v>
      </c>
    </row>
    <row r="22665">
      <c r="A22665" s="39"/>
      <c r="E22665" s="40" t="s">
        <v>11404</v>
      </c>
      <c r="F22665" s="40" t="s">
        <v>11404</v>
      </c>
      <c r="G22665" s="40" t="s">
        <v>11404</v>
      </c>
      <c r="H22665" s="40" t="s">
        <v>11404</v>
      </c>
    </row>
    <row r="22666">
      <c r="A22666" s="39"/>
      <c r="E22666" s="40" t="s">
        <v>11404</v>
      </c>
      <c r="F22666" s="40" t="s">
        <v>11404</v>
      </c>
      <c r="G22666" s="40" t="s">
        <v>11404</v>
      </c>
      <c r="H22666" s="40" t="s">
        <v>11404</v>
      </c>
    </row>
    <row r="22667">
      <c r="A22667" s="39"/>
      <c r="E22667" s="40" t="s">
        <v>11404</v>
      </c>
      <c r="F22667" s="40" t="s">
        <v>11404</v>
      </c>
      <c r="G22667" s="40" t="s">
        <v>11404</v>
      </c>
      <c r="H22667" s="40" t="s">
        <v>11404</v>
      </c>
    </row>
    <row r="22668">
      <c r="A22668" s="39"/>
      <c r="E22668" s="40" t="s">
        <v>11404</v>
      </c>
      <c r="F22668" s="40" t="s">
        <v>11404</v>
      </c>
      <c r="G22668" s="40" t="s">
        <v>11404</v>
      </c>
      <c r="H22668" s="40" t="s">
        <v>11404</v>
      </c>
    </row>
    <row r="22669">
      <c r="A22669" s="39"/>
      <c r="E22669" s="40" t="s">
        <v>11404</v>
      </c>
      <c r="F22669" s="40" t="s">
        <v>11404</v>
      </c>
      <c r="G22669" s="40" t="s">
        <v>11404</v>
      </c>
      <c r="H22669" s="40" t="s">
        <v>11404</v>
      </c>
    </row>
    <row r="22670">
      <c r="A22670" s="39"/>
      <c r="E22670" s="40" t="s">
        <v>11404</v>
      </c>
      <c r="F22670" s="40" t="s">
        <v>11404</v>
      </c>
      <c r="G22670" s="40" t="s">
        <v>11404</v>
      </c>
      <c r="H22670" s="40" t="s">
        <v>11404</v>
      </c>
    </row>
    <row r="22671">
      <c r="A22671" s="39"/>
      <c r="E22671" s="40" t="s">
        <v>11404</v>
      </c>
      <c r="F22671" s="40" t="s">
        <v>11404</v>
      </c>
      <c r="G22671" s="40" t="s">
        <v>11404</v>
      </c>
      <c r="H22671" s="40" t="s">
        <v>11404</v>
      </c>
    </row>
    <row r="22672">
      <c r="A22672" s="39"/>
      <c r="E22672" s="40" t="s">
        <v>11404</v>
      </c>
      <c r="F22672" s="40" t="s">
        <v>11404</v>
      </c>
      <c r="G22672" s="40" t="s">
        <v>11404</v>
      </c>
      <c r="H22672" s="40" t="s">
        <v>11404</v>
      </c>
    </row>
    <row r="22673">
      <c r="A22673" s="39"/>
      <c r="E22673" s="40" t="s">
        <v>11404</v>
      </c>
      <c r="F22673" s="40" t="s">
        <v>11404</v>
      </c>
      <c r="G22673" s="40" t="s">
        <v>11404</v>
      </c>
      <c r="H22673" s="40" t="s">
        <v>11404</v>
      </c>
    </row>
    <row r="22674">
      <c r="A22674" s="39"/>
      <c r="E22674" s="40" t="s">
        <v>11404</v>
      </c>
      <c r="F22674" s="40" t="s">
        <v>11404</v>
      </c>
      <c r="G22674" s="40" t="s">
        <v>11404</v>
      </c>
      <c r="H22674" s="40" t="s">
        <v>11404</v>
      </c>
    </row>
    <row r="22675">
      <c r="A22675" s="39"/>
      <c r="E22675" s="40" t="s">
        <v>11404</v>
      </c>
      <c r="F22675" s="40" t="s">
        <v>11404</v>
      </c>
      <c r="G22675" s="40" t="s">
        <v>11404</v>
      </c>
      <c r="H22675" s="40" t="s">
        <v>11404</v>
      </c>
    </row>
    <row r="22676">
      <c r="A22676" s="39"/>
      <c r="E22676" s="40" t="s">
        <v>11404</v>
      </c>
      <c r="F22676" s="40" t="s">
        <v>11404</v>
      </c>
      <c r="G22676" s="40" t="s">
        <v>11404</v>
      </c>
      <c r="H22676" s="40" t="s">
        <v>11404</v>
      </c>
    </row>
    <row r="22677">
      <c r="A22677" s="39"/>
      <c r="E22677" s="40" t="s">
        <v>11404</v>
      </c>
      <c r="F22677" s="40" t="s">
        <v>11404</v>
      </c>
      <c r="G22677" s="40" t="s">
        <v>11404</v>
      </c>
      <c r="H22677" s="40" t="s">
        <v>11404</v>
      </c>
    </row>
    <row r="22678">
      <c r="A22678" s="39"/>
      <c r="E22678" s="40" t="s">
        <v>11404</v>
      </c>
      <c r="F22678" s="40" t="s">
        <v>11404</v>
      </c>
      <c r="G22678" s="40" t="s">
        <v>11404</v>
      </c>
      <c r="H22678" s="40" t="s">
        <v>11404</v>
      </c>
    </row>
    <row r="22679">
      <c r="A22679" s="39"/>
      <c r="E22679" s="40" t="s">
        <v>11404</v>
      </c>
      <c r="F22679" s="40" t="s">
        <v>11404</v>
      </c>
      <c r="G22679" s="40" t="s">
        <v>11404</v>
      </c>
      <c r="H22679" s="40" t="s">
        <v>11404</v>
      </c>
    </row>
    <row r="22680">
      <c r="A22680" s="39"/>
      <c r="E22680" s="40" t="s">
        <v>11404</v>
      </c>
      <c r="F22680" s="40" t="s">
        <v>11404</v>
      </c>
      <c r="G22680" s="40" t="s">
        <v>11404</v>
      </c>
      <c r="H22680" s="40" t="s">
        <v>11404</v>
      </c>
    </row>
    <row r="22681">
      <c r="A22681" s="39"/>
      <c r="E22681" s="40" t="s">
        <v>11404</v>
      </c>
      <c r="F22681" s="40" t="s">
        <v>11404</v>
      </c>
      <c r="G22681" s="40" t="s">
        <v>11404</v>
      </c>
      <c r="H22681" s="40" t="s">
        <v>11404</v>
      </c>
    </row>
    <row r="22682">
      <c r="A22682" s="39"/>
      <c r="E22682" s="40" t="s">
        <v>11404</v>
      </c>
      <c r="F22682" s="40" t="s">
        <v>11404</v>
      </c>
      <c r="G22682" s="40" t="s">
        <v>11404</v>
      </c>
      <c r="H22682" s="40" t="s">
        <v>11404</v>
      </c>
    </row>
    <row r="22683">
      <c r="A22683" s="39"/>
      <c r="E22683" s="40" t="s">
        <v>11404</v>
      </c>
      <c r="F22683" s="40" t="s">
        <v>11404</v>
      </c>
      <c r="G22683" s="40" t="s">
        <v>11404</v>
      </c>
      <c r="H22683" s="40" t="s">
        <v>11404</v>
      </c>
    </row>
    <row r="22684">
      <c r="A22684" s="39"/>
      <c r="E22684" s="40" t="s">
        <v>11404</v>
      </c>
      <c r="F22684" s="40" t="s">
        <v>11404</v>
      </c>
      <c r="G22684" s="40" t="s">
        <v>11404</v>
      </c>
      <c r="H22684" s="40" t="s">
        <v>11404</v>
      </c>
    </row>
    <row r="22685">
      <c r="A22685" s="39"/>
      <c r="E22685" s="40" t="s">
        <v>11404</v>
      </c>
      <c r="F22685" s="40" t="s">
        <v>11404</v>
      </c>
      <c r="G22685" s="40" t="s">
        <v>11404</v>
      </c>
      <c r="H22685" s="40" t="s">
        <v>11404</v>
      </c>
    </row>
    <row r="22686">
      <c r="A22686" s="39"/>
      <c r="E22686" s="40" t="s">
        <v>11404</v>
      </c>
      <c r="F22686" s="40" t="s">
        <v>11404</v>
      </c>
      <c r="G22686" s="40" t="s">
        <v>11404</v>
      </c>
      <c r="H22686" s="40" t="s">
        <v>11404</v>
      </c>
    </row>
    <row r="22687">
      <c r="A22687" s="39"/>
      <c r="E22687" s="40" t="s">
        <v>11404</v>
      </c>
      <c r="F22687" s="40" t="s">
        <v>11404</v>
      </c>
      <c r="G22687" s="40" t="s">
        <v>11404</v>
      </c>
      <c r="H22687" s="40" t="s">
        <v>11404</v>
      </c>
    </row>
    <row r="22688">
      <c r="A22688" s="39"/>
      <c r="E22688" s="40" t="s">
        <v>11404</v>
      </c>
      <c r="F22688" s="40" t="s">
        <v>11404</v>
      </c>
      <c r="G22688" s="40" t="s">
        <v>11404</v>
      </c>
      <c r="H22688" s="40" t="s">
        <v>11404</v>
      </c>
    </row>
    <row r="22689">
      <c r="A22689" s="39"/>
      <c r="E22689" s="40" t="s">
        <v>11404</v>
      </c>
      <c r="F22689" s="40" t="s">
        <v>11404</v>
      </c>
      <c r="G22689" s="40" t="s">
        <v>11404</v>
      </c>
      <c r="H22689" s="40" t="s">
        <v>11404</v>
      </c>
    </row>
    <row r="22690">
      <c r="A22690" s="39"/>
      <c r="E22690" s="40" t="s">
        <v>11404</v>
      </c>
      <c r="F22690" s="40" t="s">
        <v>11404</v>
      </c>
      <c r="G22690" s="40" t="s">
        <v>11404</v>
      </c>
      <c r="H22690" s="40" t="s">
        <v>11404</v>
      </c>
    </row>
    <row r="22691">
      <c r="A22691" s="39"/>
      <c r="E22691" s="40" t="s">
        <v>11404</v>
      </c>
      <c r="F22691" s="40" t="s">
        <v>11404</v>
      </c>
      <c r="G22691" s="40" t="s">
        <v>11404</v>
      </c>
      <c r="H22691" s="40" t="s">
        <v>11404</v>
      </c>
    </row>
    <row r="22692">
      <c r="A22692" s="39"/>
      <c r="E22692" s="40" t="s">
        <v>11404</v>
      </c>
      <c r="F22692" s="40" t="s">
        <v>11404</v>
      </c>
      <c r="G22692" s="40" t="s">
        <v>11404</v>
      </c>
      <c r="H22692" s="40" t="s">
        <v>11404</v>
      </c>
    </row>
    <row r="22693">
      <c r="A22693" s="39"/>
      <c r="E22693" s="40" t="s">
        <v>11404</v>
      </c>
      <c r="F22693" s="40" t="s">
        <v>11404</v>
      </c>
      <c r="G22693" s="40" t="s">
        <v>11404</v>
      </c>
      <c r="H22693" s="40" t="s">
        <v>11404</v>
      </c>
    </row>
    <row r="22694">
      <c r="A22694" s="39"/>
      <c r="E22694" s="40" t="s">
        <v>11404</v>
      </c>
      <c r="F22694" s="40" t="s">
        <v>11404</v>
      </c>
      <c r="G22694" s="40" t="s">
        <v>11404</v>
      </c>
      <c r="H22694" s="40" t="s">
        <v>11404</v>
      </c>
    </row>
    <row r="22695">
      <c r="A22695" s="39"/>
      <c r="E22695" s="40" t="s">
        <v>11404</v>
      </c>
      <c r="F22695" s="40" t="s">
        <v>11404</v>
      </c>
      <c r="G22695" s="40" t="s">
        <v>11404</v>
      </c>
      <c r="H22695" s="40" t="s">
        <v>11404</v>
      </c>
    </row>
    <row r="22696">
      <c r="A22696" s="39"/>
      <c r="E22696" s="40" t="s">
        <v>11404</v>
      </c>
      <c r="F22696" s="40" t="s">
        <v>11404</v>
      </c>
      <c r="G22696" s="40" t="s">
        <v>11404</v>
      </c>
      <c r="H22696" s="40" t="s">
        <v>11404</v>
      </c>
    </row>
    <row r="22697">
      <c r="A22697" s="39"/>
      <c r="E22697" s="40" t="s">
        <v>11404</v>
      </c>
      <c r="F22697" s="40" t="s">
        <v>11404</v>
      </c>
      <c r="G22697" s="40" t="s">
        <v>11404</v>
      </c>
      <c r="H22697" s="40" t="s">
        <v>11404</v>
      </c>
    </row>
    <row r="22698">
      <c r="A22698" s="39"/>
      <c r="E22698" s="40" t="s">
        <v>11404</v>
      </c>
      <c r="F22698" s="40" t="s">
        <v>11404</v>
      </c>
      <c r="G22698" s="40" t="s">
        <v>11404</v>
      </c>
      <c r="H22698" s="40" t="s">
        <v>11404</v>
      </c>
    </row>
    <row r="22699">
      <c r="A22699" s="39"/>
      <c r="E22699" s="40" t="s">
        <v>11404</v>
      </c>
      <c r="F22699" s="40" t="s">
        <v>11404</v>
      </c>
      <c r="G22699" s="40" t="s">
        <v>11404</v>
      </c>
      <c r="H22699" s="40" t="s">
        <v>11404</v>
      </c>
    </row>
    <row r="22700">
      <c r="A22700" s="39"/>
      <c r="E22700" s="40" t="s">
        <v>11404</v>
      </c>
      <c r="F22700" s="40" t="s">
        <v>11404</v>
      </c>
      <c r="G22700" s="40" t="s">
        <v>11404</v>
      </c>
      <c r="H22700" s="40" t="s">
        <v>11404</v>
      </c>
    </row>
    <row r="22701">
      <c r="A22701" s="39"/>
      <c r="E22701" s="40" t="s">
        <v>11404</v>
      </c>
      <c r="F22701" s="40" t="s">
        <v>11404</v>
      </c>
      <c r="G22701" s="40" t="s">
        <v>11404</v>
      </c>
      <c r="H22701" s="40" t="s">
        <v>11404</v>
      </c>
    </row>
    <row r="22702">
      <c r="A22702" s="39"/>
      <c r="E22702" s="40" t="s">
        <v>11404</v>
      </c>
      <c r="F22702" s="40" t="s">
        <v>11404</v>
      </c>
      <c r="G22702" s="40" t="s">
        <v>11404</v>
      </c>
      <c r="H22702" s="40" t="s">
        <v>11404</v>
      </c>
    </row>
    <row r="22703">
      <c r="A22703" s="39"/>
      <c r="E22703" s="40" t="s">
        <v>11404</v>
      </c>
      <c r="F22703" s="40" t="s">
        <v>11404</v>
      </c>
      <c r="G22703" s="40" t="s">
        <v>11404</v>
      </c>
      <c r="H22703" s="40" t="s">
        <v>11404</v>
      </c>
    </row>
    <row r="22704">
      <c r="A22704" s="39"/>
      <c r="E22704" s="40" t="s">
        <v>11404</v>
      </c>
      <c r="F22704" s="40" t="s">
        <v>11404</v>
      </c>
      <c r="G22704" s="40" t="s">
        <v>11404</v>
      </c>
      <c r="H22704" s="40" t="s">
        <v>11404</v>
      </c>
    </row>
    <row r="22705">
      <c r="A22705" s="39"/>
      <c r="E22705" s="40" t="s">
        <v>11404</v>
      </c>
      <c r="F22705" s="40" t="s">
        <v>11404</v>
      </c>
      <c r="G22705" s="40" t="s">
        <v>11404</v>
      </c>
      <c r="H22705" s="40" t="s">
        <v>11404</v>
      </c>
    </row>
    <row r="22706">
      <c r="A22706" s="39"/>
      <c r="E22706" s="40" t="s">
        <v>11404</v>
      </c>
      <c r="F22706" s="40" t="s">
        <v>11404</v>
      </c>
      <c r="G22706" s="40" t="s">
        <v>11404</v>
      </c>
      <c r="H22706" s="40" t="s">
        <v>11404</v>
      </c>
    </row>
    <row r="22707">
      <c r="A22707" s="39"/>
      <c r="E22707" s="40" t="s">
        <v>11404</v>
      </c>
      <c r="F22707" s="40" t="s">
        <v>11404</v>
      </c>
      <c r="G22707" s="40" t="s">
        <v>11404</v>
      </c>
      <c r="H22707" s="40" t="s">
        <v>11404</v>
      </c>
    </row>
    <row r="22708">
      <c r="A22708" s="39"/>
      <c r="E22708" s="40" t="s">
        <v>11404</v>
      </c>
      <c r="F22708" s="40" t="s">
        <v>11404</v>
      </c>
      <c r="G22708" s="40" t="s">
        <v>11404</v>
      </c>
      <c r="H22708" s="40" t="s">
        <v>11404</v>
      </c>
    </row>
    <row r="22709">
      <c r="A22709" s="39"/>
      <c r="E22709" s="40" t="s">
        <v>11404</v>
      </c>
      <c r="F22709" s="40" t="s">
        <v>11404</v>
      </c>
      <c r="G22709" s="40" t="s">
        <v>11404</v>
      </c>
      <c r="H22709" s="40" t="s">
        <v>11404</v>
      </c>
    </row>
    <row r="22710">
      <c r="A22710" s="39"/>
      <c r="E22710" s="40" t="s">
        <v>11404</v>
      </c>
      <c r="F22710" s="40" t="s">
        <v>11404</v>
      </c>
      <c r="G22710" s="40" t="s">
        <v>11404</v>
      </c>
      <c r="H22710" s="40" t="s">
        <v>11404</v>
      </c>
    </row>
    <row r="22711">
      <c r="A22711" s="39"/>
      <c r="E22711" s="40" t="s">
        <v>11404</v>
      </c>
      <c r="F22711" s="40" t="s">
        <v>11404</v>
      </c>
      <c r="G22711" s="40" t="s">
        <v>11404</v>
      </c>
      <c r="H22711" s="40" t="s">
        <v>11404</v>
      </c>
    </row>
    <row r="22712">
      <c r="A22712" s="39"/>
      <c r="E22712" s="40" t="s">
        <v>11404</v>
      </c>
      <c r="F22712" s="40" t="s">
        <v>11404</v>
      </c>
      <c r="G22712" s="40" t="s">
        <v>11404</v>
      </c>
      <c r="H22712" s="40" t="s">
        <v>11404</v>
      </c>
    </row>
    <row r="22713">
      <c r="A22713" s="39"/>
      <c r="E22713" s="40" t="s">
        <v>11404</v>
      </c>
      <c r="F22713" s="40" t="s">
        <v>11404</v>
      </c>
      <c r="G22713" s="40" t="s">
        <v>11404</v>
      </c>
      <c r="H22713" s="40" t="s">
        <v>11404</v>
      </c>
    </row>
    <row r="22714">
      <c r="A22714" s="39"/>
      <c r="E22714" s="40" t="s">
        <v>11404</v>
      </c>
      <c r="F22714" s="40" t="s">
        <v>11404</v>
      </c>
      <c r="G22714" s="40" t="s">
        <v>11404</v>
      </c>
      <c r="H22714" s="40" t="s">
        <v>11404</v>
      </c>
    </row>
    <row r="22715">
      <c r="A22715" s="39"/>
      <c r="E22715" s="40" t="s">
        <v>11404</v>
      </c>
      <c r="F22715" s="40" t="s">
        <v>11404</v>
      </c>
      <c r="G22715" s="40" t="s">
        <v>11404</v>
      </c>
      <c r="H22715" s="40" t="s">
        <v>11404</v>
      </c>
    </row>
    <row r="22716">
      <c r="A22716" s="39"/>
      <c r="E22716" s="40" t="s">
        <v>11404</v>
      </c>
      <c r="F22716" s="40" t="s">
        <v>11404</v>
      </c>
      <c r="G22716" s="40" t="s">
        <v>11404</v>
      </c>
      <c r="H22716" s="40" t="s">
        <v>11404</v>
      </c>
    </row>
    <row r="22717">
      <c r="A22717" s="39"/>
      <c r="E22717" s="40" t="s">
        <v>11404</v>
      </c>
      <c r="F22717" s="40" t="s">
        <v>11404</v>
      </c>
      <c r="G22717" s="40" t="s">
        <v>11404</v>
      </c>
      <c r="H22717" s="40" t="s">
        <v>11404</v>
      </c>
    </row>
    <row r="22718">
      <c r="A22718" s="39"/>
      <c r="E22718" s="40" t="s">
        <v>11404</v>
      </c>
      <c r="F22718" s="40" t="s">
        <v>11404</v>
      </c>
      <c r="G22718" s="40" t="s">
        <v>11404</v>
      </c>
      <c r="H22718" s="40" t="s">
        <v>11404</v>
      </c>
    </row>
    <row r="22719">
      <c r="A22719" s="39"/>
      <c r="E22719" s="40" t="s">
        <v>11404</v>
      </c>
      <c r="F22719" s="40" t="s">
        <v>11404</v>
      </c>
      <c r="G22719" s="40" t="s">
        <v>11404</v>
      </c>
      <c r="H22719" s="40" t="s">
        <v>11404</v>
      </c>
    </row>
    <row r="22720">
      <c r="A22720" s="39"/>
      <c r="E22720" s="40" t="s">
        <v>11404</v>
      </c>
      <c r="F22720" s="40" t="s">
        <v>11404</v>
      </c>
      <c r="G22720" s="40" t="s">
        <v>11404</v>
      </c>
      <c r="H22720" s="40" t="s">
        <v>11404</v>
      </c>
    </row>
    <row r="22721">
      <c r="A22721" s="39"/>
      <c r="E22721" s="40" t="s">
        <v>11404</v>
      </c>
      <c r="F22721" s="40" t="s">
        <v>11404</v>
      </c>
      <c r="G22721" s="40" t="s">
        <v>11404</v>
      </c>
      <c r="H22721" s="40" t="s">
        <v>11404</v>
      </c>
    </row>
    <row r="22722">
      <c r="A22722" s="39"/>
      <c r="E22722" s="40" t="s">
        <v>11404</v>
      </c>
      <c r="F22722" s="40" t="s">
        <v>11404</v>
      </c>
      <c r="G22722" s="40" t="s">
        <v>11404</v>
      </c>
      <c r="H22722" s="40" t="s">
        <v>11404</v>
      </c>
    </row>
    <row r="22723">
      <c r="A22723" s="39"/>
      <c r="E22723" s="40" t="s">
        <v>11404</v>
      </c>
      <c r="F22723" s="40" t="s">
        <v>11404</v>
      </c>
      <c r="G22723" s="40" t="s">
        <v>11404</v>
      </c>
      <c r="H22723" s="40" t="s">
        <v>11404</v>
      </c>
    </row>
    <row r="22724">
      <c r="A22724" s="39"/>
      <c r="E22724" s="40" t="s">
        <v>11404</v>
      </c>
      <c r="F22724" s="40" t="s">
        <v>11404</v>
      </c>
      <c r="G22724" s="40" t="s">
        <v>11404</v>
      </c>
      <c r="H22724" s="40" t="s">
        <v>11404</v>
      </c>
    </row>
    <row r="22725">
      <c r="A22725" s="39"/>
      <c r="E22725" s="40" t="s">
        <v>11404</v>
      </c>
      <c r="F22725" s="40" t="s">
        <v>11404</v>
      </c>
      <c r="G22725" s="40" t="s">
        <v>11404</v>
      </c>
      <c r="H22725" s="40" t="s">
        <v>11404</v>
      </c>
    </row>
    <row r="22726">
      <c r="A22726" s="39"/>
      <c r="E22726" s="40" t="s">
        <v>11404</v>
      </c>
      <c r="F22726" s="40" t="s">
        <v>11404</v>
      </c>
      <c r="G22726" s="40" t="s">
        <v>11404</v>
      </c>
      <c r="H22726" s="40" t="s">
        <v>11404</v>
      </c>
    </row>
    <row r="22727">
      <c r="A22727" s="39"/>
      <c r="E22727" s="40" t="s">
        <v>11404</v>
      </c>
      <c r="F22727" s="40" t="s">
        <v>11404</v>
      </c>
      <c r="G22727" s="40" t="s">
        <v>11404</v>
      </c>
      <c r="H22727" s="40" t="s">
        <v>11404</v>
      </c>
    </row>
    <row r="22728">
      <c r="A22728" s="39"/>
      <c r="E22728" s="40" t="s">
        <v>11404</v>
      </c>
      <c r="F22728" s="40" t="s">
        <v>11404</v>
      </c>
      <c r="G22728" s="40" t="s">
        <v>11404</v>
      </c>
      <c r="H22728" s="40" t="s">
        <v>11404</v>
      </c>
    </row>
    <row r="22729">
      <c r="A22729" s="39"/>
      <c r="E22729" s="40" t="s">
        <v>11404</v>
      </c>
      <c r="F22729" s="40" t="s">
        <v>11404</v>
      </c>
      <c r="G22729" s="40" t="s">
        <v>11404</v>
      </c>
      <c r="H22729" s="40" t="s">
        <v>11404</v>
      </c>
    </row>
    <row r="22730">
      <c r="A22730" s="39"/>
      <c r="E22730" s="40" t="s">
        <v>11404</v>
      </c>
      <c r="F22730" s="40" t="s">
        <v>11404</v>
      </c>
      <c r="G22730" s="40" t="s">
        <v>11404</v>
      </c>
      <c r="H22730" s="40" t="s">
        <v>11404</v>
      </c>
    </row>
    <row r="22731">
      <c r="A22731" s="39"/>
      <c r="E22731" s="40" t="s">
        <v>11404</v>
      </c>
      <c r="F22731" s="40" t="s">
        <v>11404</v>
      </c>
      <c r="G22731" s="40" t="s">
        <v>11404</v>
      </c>
      <c r="H22731" s="40" t="s">
        <v>11404</v>
      </c>
    </row>
    <row r="22732">
      <c r="A22732" s="39"/>
      <c r="E22732" s="40" t="s">
        <v>11404</v>
      </c>
      <c r="F22732" s="40" t="s">
        <v>11404</v>
      </c>
      <c r="G22732" s="40" t="s">
        <v>11404</v>
      </c>
      <c r="H22732" s="40" t="s">
        <v>11404</v>
      </c>
    </row>
    <row r="22733">
      <c r="A22733" s="39"/>
      <c r="E22733" s="40" t="s">
        <v>11404</v>
      </c>
      <c r="F22733" s="40" t="s">
        <v>11404</v>
      </c>
      <c r="G22733" s="40" t="s">
        <v>11404</v>
      </c>
      <c r="H22733" s="40" t="s">
        <v>11404</v>
      </c>
    </row>
    <row r="22734">
      <c r="A22734" s="39"/>
      <c r="E22734" s="40" t="s">
        <v>11404</v>
      </c>
      <c r="F22734" s="40" t="s">
        <v>11404</v>
      </c>
      <c r="G22734" s="40" t="s">
        <v>11404</v>
      </c>
      <c r="H22734" s="40" t="s">
        <v>11404</v>
      </c>
    </row>
    <row r="22735">
      <c r="A22735" s="39"/>
      <c r="E22735" s="40" t="s">
        <v>11404</v>
      </c>
      <c r="F22735" s="40" t="s">
        <v>11404</v>
      </c>
      <c r="G22735" s="40" t="s">
        <v>11404</v>
      </c>
      <c r="H22735" s="40" t="s">
        <v>11404</v>
      </c>
    </row>
    <row r="22736">
      <c r="A22736" s="39"/>
      <c r="E22736" s="40" t="s">
        <v>11404</v>
      </c>
      <c r="F22736" s="40" t="s">
        <v>11404</v>
      </c>
      <c r="G22736" s="40" t="s">
        <v>11404</v>
      </c>
      <c r="H22736" s="40" t="s">
        <v>11404</v>
      </c>
    </row>
    <row r="22737">
      <c r="A22737" s="39"/>
      <c r="E22737" s="40" t="s">
        <v>11404</v>
      </c>
      <c r="F22737" s="40" t="s">
        <v>11404</v>
      </c>
      <c r="G22737" s="40" t="s">
        <v>11404</v>
      </c>
      <c r="H22737" s="40" t="s">
        <v>11404</v>
      </c>
    </row>
    <row r="22738">
      <c r="A22738" s="39"/>
      <c r="E22738" s="40" t="s">
        <v>11404</v>
      </c>
      <c r="F22738" s="40" t="s">
        <v>11404</v>
      </c>
      <c r="G22738" s="40" t="s">
        <v>11404</v>
      </c>
      <c r="H22738" s="40" t="s">
        <v>11404</v>
      </c>
    </row>
    <row r="22739">
      <c r="A22739" s="39"/>
      <c r="E22739" s="40" t="s">
        <v>11404</v>
      </c>
      <c r="F22739" s="40" t="s">
        <v>11404</v>
      </c>
      <c r="G22739" s="40" t="s">
        <v>11404</v>
      </c>
      <c r="H22739" s="40" t="s">
        <v>11404</v>
      </c>
    </row>
    <row r="22740">
      <c r="A22740" s="39"/>
      <c r="E22740" s="40" t="s">
        <v>11404</v>
      </c>
      <c r="F22740" s="40" t="s">
        <v>11404</v>
      </c>
      <c r="G22740" s="40" t="s">
        <v>11404</v>
      </c>
      <c r="H22740" s="40" t="s">
        <v>11404</v>
      </c>
    </row>
    <row r="22741">
      <c r="A22741" s="39"/>
      <c r="E22741" s="40" t="s">
        <v>11404</v>
      </c>
      <c r="F22741" s="40" t="s">
        <v>11404</v>
      </c>
      <c r="G22741" s="40" t="s">
        <v>11404</v>
      </c>
      <c r="H22741" s="40" t="s">
        <v>11404</v>
      </c>
    </row>
    <row r="22742">
      <c r="A22742" s="39"/>
      <c r="E22742" s="40" t="s">
        <v>11404</v>
      </c>
      <c r="F22742" s="40" t="s">
        <v>11404</v>
      </c>
      <c r="G22742" s="40" t="s">
        <v>11404</v>
      </c>
      <c r="H22742" s="40" t="s">
        <v>11404</v>
      </c>
    </row>
    <row r="22743">
      <c r="A22743" s="39"/>
      <c r="E22743" s="40" t="s">
        <v>11404</v>
      </c>
      <c r="F22743" s="40" t="s">
        <v>11404</v>
      </c>
      <c r="G22743" s="40" t="s">
        <v>11404</v>
      </c>
      <c r="H22743" s="40" t="s">
        <v>11404</v>
      </c>
    </row>
    <row r="22744">
      <c r="A22744" s="39"/>
      <c r="E22744" s="40" t="s">
        <v>11404</v>
      </c>
      <c r="F22744" s="40" t="s">
        <v>11404</v>
      </c>
      <c r="G22744" s="40" t="s">
        <v>11404</v>
      </c>
      <c r="H22744" s="40" t="s">
        <v>11404</v>
      </c>
    </row>
    <row r="22745">
      <c r="A22745" s="39"/>
      <c r="E22745" s="40" t="s">
        <v>11404</v>
      </c>
      <c r="F22745" s="40" t="s">
        <v>11404</v>
      </c>
      <c r="G22745" s="40" t="s">
        <v>11404</v>
      </c>
      <c r="H22745" s="40" t="s">
        <v>11404</v>
      </c>
    </row>
    <row r="22746">
      <c r="A22746" s="39"/>
      <c r="E22746" s="40" t="s">
        <v>11404</v>
      </c>
      <c r="F22746" s="40" t="s">
        <v>11404</v>
      </c>
      <c r="G22746" s="40" t="s">
        <v>11404</v>
      </c>
      <c r="H22746" s="40" t="s">
        <v>11404</v>
      </c>
    </row>
    <row r="22747">
      <c r="A22747" s="39"/>
      <c r="E22747" s="40" t="s">
        <v>11404</v>
      </c>
      <c r="F22747" s="40" t="s">
        <v>11404</v>
      </c>
      <c r="G22747" s="40" t="s">
        <v>11404</v>
      </c>
      <c r="H22747" s="40" t="s">
        <v>11404</v>
      </c>
    </row>
    <row r="22748">
      <c r="A22748" s="39"/>
      <c r="E22748" s="40" t="s">
        <v>11404</v>
      </c>
      <c r="F22748" s="40" t="s">
        <v>11404</v>
      </c>
      <c r="G22748" s="40" t="s">
        <v>11404</v>
      </c>
      <c r="H22748" s="40" t="s">
        <v>11404</v>
      </c>
    </row>
    <row r="22749">
      <c r="A22749" s="39"/>
      <c r="E22749" s="40" t="s">
        <v>11404</v>
      </c>
      <c r="F22749" s="40" t="s">
        <v>11404</v>
      </c>
      <c r="G22749" s="40" t="s">
        <v>11404</v>
      </c>
      <c r="H22749" s="40" t="s">
        <v>11404</v>
      </c>
    </row>
    <row r="22750">
      <c r="A22750" s="39"/>
      <c r="E22750" s="40" t="s">
        <v>11404</v>
      </c>
      <c r="F22750" s="40" t="s">
        <v>11404</v>
      </c>
      <c r="G22750" s="40" t="s">
        <v>11404</v>
      </c>
      <c r="H22750" s="40" t="s">
        <v>11404</v>
      </c>
    </row>
    <row r="22751">
      <c r="A22751" s="39"/>
      <c r="E22751" s="40" t="s">
        <v>11404</v>
      </c>
      <c r="F22751" s="40" t="s">
        <v>11404</v>
      </c>
      <c r="G22751" s="40" t="s">
        <v>11404</v>
      </c>
      <c r="H22751" s="40" t="s">
        <v>11404</v>
      </c>
    </row>
    <row r="22752">
      <c r="A22752" s="39"/>
      <c r="E22752" s="40" t="s">
        <v>11404</v>
      </c>
      <c r="F22752" s="40" t="s">
        <v>11404</v>
      </c>
      <c r="G22752" s="40" t="s">
        <v>11404</v>
      </c>
      <c r="H22752" s="40" t="s">
        <v>11404</v>
      </c>
    </row>
    <row r="22753">
      <c r="A22753" s="39"/>
      <c r="E22753" s="40" t="s">
        <v>11404</v>
      </c>
      <c r="F22753" s="40" t="s">
        <v>11404</v>
      </c>
      <c r="G22753" s="40" t="s">
        <v>11404</v>
      </c>
      <c r="H22753" s="40" t="s">
        <v>11404</v>
      </c>
    </row>
    <row r="22754">
      <c r="A22754" s="39"/>
      <c r="E22754" s="40" t="s">
        <v>11404</v>
      </c>
      <c r="F22754" s="40" t="s">
        <v>11404</v>
      </c>
      <c r="G22754" s="40" t="s">
        <v>11404</v>
      </c>
      <c r="H22754" s="40" t="s">
        <v>11404</v>
      </c>
    </row>
    <row r="22755">
      <c r="A22755" s="39"/>
      <c r="E22755" s="40" t="s">
        <v>11404</v>
      </c>
      <c r="F22755" s="40" t="s">
        <v>11404</v>
      </c>
      <c r="G22755" s="40" t="s">
        <v>11404</v>
      </c>
      <c r="H22755" s="40" t="s">
        <v>11404</v>
      </c>
    </row>
    <row r="22756">
      <c r="A22756" s="39"/>
      <c r="E22756" s="40" t="s">
        <v>11404</v>
      </c>
      <c r="F22756" s="40" t="s">
        <v>11404</v>
      </c>
      <c r="G22756" s="40" t="s">
        <v>11404</v>
      </c>
      <c r="H22756" s="40" t="s">
        <v>11404</v>
      </c>
    </row>
    <row r="22757">
      <c r="A22757" s="39"/>
      <c r="E22757" s="40" t="s">
        <v>11404</v>
      </c>
      <c r="F22757" s="40" t="s">
        <v>11404</v>
      </c>
      <c r="G22757" s="40" t="s">
        <v>11404</v>
      </c>
      <c r="H22757" s="40" t="s">
        <v>11404</v>
      </c>
    </row>
    <row r="22758">
      <c r="A22758" s="39"/>
      <c r="E22758" s="40" t="s">
        <v>11404</v>
      </c>
      <c r="F22758" s="40" t="s">
        <v>11404</v>
      </c>
      <c r="G22758" s="40" t="s">
        <v>11404</v>
      </c>
      <c r="H22758" s="40" t="s">
        <v>11404</v>
      </c>
    </row>
    <row r="22759">
      <c r="A22759" s="39"/>
      <c r="E22759" s="40" t="s">
        <v>11404</v>
      </c>
      <c r="F22759" s="40" t="s">
        <v>11404</v>
      </c>
      <c r="G22759" s="40" t="s">
        <v>11404</v>
      </c>
      <c r="H22759" s="40" t="s">
        <v>11404</v>
      </c>
    </row>
    <row r="22760">
      <c r="A22760" s="39"/>
      <c r="E22760" s="40" t="s">
        <v>11404</v>
      </c>
      <c r="F22760" s="40" t="s">
        <v>11404</v>
      </c>
      <c r="G22760" s="40" t="s">
        <v>11404</v>
      </c>
      <c r="H22760" s="40" t="s">
        <v>11404</v>
      </c>
    </row>
    <row r="22761">
      <c r="A22761" s="39"/>
      <c r="E22761" s="40" t="s">
        <v>11404</v>
      </c>
      <c r="F22761" s="40" t="s">
        <v>11404</v>
      </c>
      <c r="G22761" s="40" t="s">
        <v>11404</v>
      </c>
      <c r="H22761" s="40" t="s">
        <v>11404</v>
      </c>
    </row>
    <row r="22762">
      <c r="A22762" s="39"/>
      <c r="E22762" s="40" t="s">
        <v>11404</v>
      </c>
      <c r="F22762" s="40" t="s">
        <v>11404</v>
      </c>
      <c r="G22762" s="40" t="s">
        <v>11404</v>
      </c>
      <c r="H22762" s="40" t="s">
        <v>11404</v>
      </c>
    </row>
    <row r="22763">
      <c r="A22763" s="39"/>
      <c r="E22763" s="40" t="s">
        <v>11404</v>
      </c>
      <c r="F22763" s="40" t="s">
        <v>11404</v>
      </c>
      <c r="G22763" s="40" t="s">
        <v>11404</v>
      </c>
      <c r="H22763" s="40" t="s">
        <v>11404</v>
      </c>
    </row>
    <row r="22764">
      <c r="A22764" s="39"/>
      <c r="E22764" s="40" t="s">
        <v>11404</v>
      </c>
      <c r="F22764" s="40" t="s">
        <v>11404</v>
      </c>
      <c r="G22764" s="40" t="s">
        <v>11404</v>
      </c>
      <c r="H22764" s="40" t="s">
        <v>11404</v>
      </c>
    </row>
    <row r="22765">
      <c r="A22765" s="39"/>
      <c r="E22765" s="40" t="s">
        <v>11404</v>
      </c>
      <c r="F22765" s="40" t="s">
        <v>11404</v>
      </c>
      <c r="G22765" s="40" t="s">
        <v>11404</v>
      </c>
      <c r="H22765" s="40" t="s">
        <v>11404</v>
      </c>
    </row>
    <row r="22766">
      <c r="A22766" s="39"/>
      <c r="E22766" s="40" t="s">
        <v>11404</v>
      </c>
      <c r="F22766" s="40" t="s">
        <v>11404</v>
      </c>
      <c r="G22766" s="40" t="s">
        <v>11404</v>
      </c>
      <c r="H22766" s="40" t="s">
        <v>11404</v>
      </c>
    </row>
    <row r="22767">
      <c r="A22767" s="39"/>
      <c r="E22767" s="40" t="s">
        <v>11404</v>
      </c>
      <c r="F22767" s="40" t="s">
        <v>11404</v>
      </c>
      <c r="G22767" s="40" t="s">
        <v>11404</v>
      </c>
      <c r="H22767" s="40" t="s">
        <v>11404</v>
      </c>
    </row>
    <row r="22768">
      <c r="A22768" s="39"/>
      <c r="E22768" s="40" t="s">
        <v>11404</v>
      </c>
      <c r="F22768" s="40" t="s">
        <v>11404</v>
      </c>
      <c r="G22768" s="40" t="s">
        <v>11404</v>
      </c>
      <c r="H22768" s="40" t="s">
        <v>11404</v>
      </c>
    </row>
    <row r="22769">
      <c r="A22769" s="39"/>
      <c r="E22769" s="40" t="s">
        <v>11404</v>
      </c>
      <c r="F22769" s="40" t="s">
        <v>11404</v>
      </c>
      <c r="G22769" s="40" t="s">
        <v>11404</v>
      </c>
      <c r="H22769" s="40" t="s">
        <v>11404</v>
      </c>
    </row>
    <row r="22770">
      <c r="A22770" s="39"/>
      <c r="E22770" s="40" t="s">
        <v>11404</v>
      </c>
      <c r="F22770" s="40" t="s">
        <v>11404</v>
      </c>
      <c r="G22770" s="40" t="s">
        <v>11404</v>
      </c>
      <c r="H22770" s="40" t="s">
        <v>11404</v>
      </c>
    </row>
    <row r="22771">
      <c r="A22771" s="39"/>
      <c r="E22771" s="40" t="s">
        <v>11404</v>
      </c>
      <c r="F22771" s="40" t="s">
        <v>11404</v>
      </c>
      <c r="G22771" s="40" t="s">
        <v>11404</v>
      </c>
      <c r="H22771" s="40" t="s">
        <v>11404</v>
      </c>
    </row>
    <row r="22772">
      <c r="A22772" s="39"/>
      <c r="E22772" s="40" t="s">
        <v>11404</v>
      </c>
      <c r="F22772" s="40" t="s">
        <v>11404</v>
      </c>
      <c r="G22772" s="40" t="s">
        <v>11404</v>
      </c>
      <c r="H22772" s="40" t="s">
        <v>11404</v>
      </c>
    </row>
    <row r="22773">
      <c r="A22773" s="39"/>
      <c r="E22773" s="40" t="s">
        <v>11404</v>
      </c>
      <c r="F22773" s="40" t="s">
        <v>11404</v>
      </c>
      <c r="G22773" s="40" t="s">
        <v>11404</v>
      </c>
      <c r="H22773" s="40" t="s">
        <v>11404</v>
      </c>
    </row>
    <row r="22774">
      <c r="A22774" s="39"/>
      <c r="E22774" s="40" t="s">
        <v>11404</v>
      </c>
      <c r="F22774" s="40" t="s">
        <v>11404</v>
      </c>
      <c r="G22774" s="40" t="s">
        <v>11404</v>
      </c>
      <c r="H22774" s="40" t="s">
        <v>11404</v>
      </c>
    </row>
    <row r="22775">
      <c r="A22775" s="39"/>
      <c r="E22775" s="40" t="s">
        <v>11404</v>
      </c>
      <c r="F22775" s="40" t="s">
        <v>11404</v>
      </c>
      <c r="G22775" s="40" t="s">
        <v>11404</v>
      </c>
      <c r="H22775" s="40" t="s">
        <v>11404</v>
      </c>
    </row>
    <row r="22776">
      <c r="A22776" s="39"/>
      <c r="E22776" s="40" t="s">
        <v>11404</v>
      </c>
      <c r="F22776" s="40" t="s">
        <v>11404</v>
      </c>
      <c r="G22776" s="40" t="s">
        <v>11404</v>
      </c>
      <c r="H22776" s="40" t="s">
        <v>11404</v>
      </c>
    </row>
    <row r="22777">
      <c r="A22777" s="39"/>
      <c r="E22777" s="40" t="s">
        <v>11404</v>
      </c>
      <c r="F22777" s="40" t="s">
        <v>11404</v>
      </c>
      <c r="G22777" s="40" t="s">
        <v>11404</v>
      </c>
      <c r="H22777" s="40" t="s">
        <v>11404</v>
      </c>
    </row>
    <row r="22778">
      <c r="A22778" s="39"/>
      <c r="E22778" s="40" t="s">
        <v>11404</v>
      </c>
      <c r="F22778" s="40" t="s">
        <v>11404</v>
      </c>
      <c r="G22778" s="40" t="s">
        <v>11404</v>
      </c>
      <c r="H22778" s="40" t="s">
        <v>11404</v>
      </c>
    </row>
    <row r="22779">
      <c r="A22779" s="39"/>
      <c r="E22779" s="40" t="s">
        <v>11404</v>
      </c>
      <c r="F22779" s="40" t="s">
        <v>11404</v>
      </c>
      <c r="G22779" s="40" t="s">
        <v>11404</v>
      </c>
      <c r="H22779" s="40" t="s">
        <v>11404</v>
      </c>
    </row>
    <row r="22780">
      <c r="A22780" s="39"/>
      <c r="E22780" s="40" t="s">
        <v>11404</v>
      </c>
      <c r="F22780" s="40" t="s">
        <v>11404</v>
      </c>
      <c r="G22780" s="40" t="s">
        <v>11404</v>
      </c>
      <c r="H22780" s="40" t="s">
        <v>11404</v>
      </c>
    </row>
    <row r="22781">
      <c r="A22781" s="39"/>
      <c r="E22781" s="40" t="s">
        <v>11404</v>
      </c>
      <c r="F22781" s="40" t="s">
        <v>11404</v>
      </c>
      <c r="G22781" s="40" t="s">
        <v>11404</v>
      </c>
      <c r="H22781" s="40" t="s">
        <v>11404</v>
      </c>
    </row>
    <row r="22782">
      <c r="A22782" s="39"/>
      <c r="E22782" s="40" t="s">
        <v>11404</v>
      </c>
      <c r="F22782" s="40" t="s">
        <v>11404</v>
      </c>
      <c r="G22782" s="40" t="s">
        <v>11404</v>
      </c>
      <c r="H22782" s="40" t="s">
        <v>11404</v>
      </c>
    </row>
    <row r="22783">
      <c r="A22783" s="39"/>
      <c r="E22783" s="40" t="s">
        <v>11404</v>
      </c>
      <c r="F22783" s="40" t="s">
        <v>11404</v>
      </c>
      <c r="G22783" s="40" t="s">
        <v>11404</v>
      </c>
      <c r="H22783" s="40" t="s">
        <v>11404</v>
      </c>
    </row>
    <row r="22784">
      <c r="A22784" s="39"/>
      <c r="E22784" s="40" t="s">
        <v>11404</v>
      </c>
      <c r="F22784" s="40" t="s">
        <v>11404</v>
      </c>
      <c r="G22784" s="40" t="s">
        <v>11404</v>
      </c>
      <c r="H22784" s="40" t="s">
        <v>11404</v>
      </c>
    </row>
    <row r="22785">
      <c r="A22785" s="39"/>
      <c r="E22785" s="40" t="s">
        <v>11404</v>
      </c>
      <c r="F22785" s="40" t="s">
        <v>11404</v>
      </c>
      <c r="G22785" s="40" t="s">
        <v>11404</v>
      </c>
      <c r="H22785" s="40" t="s">
        <v>11404</v>
      </c>
    </row>
    <row r="22786">
      <c r="A22786" s="39"/>
      <c r="E22786" s="40" t="s">
        <v>11404</v>
      </c>
      <c r="F22786" s="40" t="s">
        <v>11404</v>
      </c>
      <c r="G22786" s="40" t="s">
        <v>11404</v>
      </c>
      <c r="H22786" s="40" t="s">
        <v>11404</v>
      </c>
    </row>
    <row r="22787">
      <c r="A22787" s="39"/>
      <c r="E22787" s="40" t="s">
        <v>11404</v>
      </c>
      <c r="F22787" s="40" t="s">
        <v>11404</v>
      </c>
      <c r="G22787" s="40" t="s">
        <v>11404</v>
      </c>
      <c r="H22787" s="40" t="s">
        <v>11404</v>
      </c>
    </row>
    <row r="22788">
      <c r="A22788" s="39"/>
      <c r="E22788" s="40" t="s">
        <v>11404</v>
      </c>
      <c r="F22788" s="40" t="s">
        <v>11404</v>
      </c>
      <c r="G22788" s="40" t="s">
        <v>11404</v>
      </c>
      <c r="H22788" s="40" t="s">
        <v>11404</v>
      </c>
    </row>
    <row r="22789">
      <c r="A22789" s="39"/>
      <c r="E22789" s="40" t="s">
        <v>11404</v>
      </c>
      <c r="F22789" s="40" t="s">
        <v>11404</v>
      </c>
      <c r="G22789" s="40" t="s">
        <v>11404</v>
      </c>
      <c r="H22789" s="40" t="s">
        <v>11404</v>
      </c>
    </row>
    <row r="22790">
      <c r="A22790" s="39"/>
      <c r="E22790" s="40" t="s">
        <v>11404</v>
      </c>
      <c r="F22790" s="40" t="s">
        <v>11404</v>
      </c>
      <c r="G22790" s="40" t="s">
        <v>11404</v>
      </c>
      <c r="H22790" s="40" t="s">
        <v>11404</v>
      </c>
    </row>
    <row r="22791">
      <c r="A22791" s="39"/>
      <c r="E22791" s="40" t="s">
        <v>11404</v>
      </c>
      <c r="F22791" s="40" t="s">
        <v>11404</v>
      </c>
      <c r="G22791" s="40" t="s">
        <v>11404</v>
      </c>
      <c r="H22791" s="40" t="s">
        <v>11404</v>
      </c>
    </row>
    <row r="22792">
      <c r="A22792" s="39"/>
      <c r="E22792" s="40" t="s">
        <v>11404</v>
      </c>
      <c r="F22792" s="40" t="s">
        <v>11404</v>
      </c>
      <c r="G22792" s="40" t="s">
        <v>11404</v>
      </c>
      <c r="H22792" s="40" t="s">
        <v>11404</v>
      </c>
    </row>
    <row r="22793">
      <c r="A22793" s="39"/>
      <c r="E22793" s="40" t="s">
        <v>11404</v>
      </c>
      <c r="F22793" s="40" t="s">
        <v>11404</v>
      </c>
      <c r="G22793" s="40" t="s">
        <v>11404</v>
      </c>
      <c r="H22793" s="40" t="s">
        <v>11404</v>
      </c>
    </row>
    <row r="22794">
      <c r="A22794" s="39"/>
      <c r="E22794" s="40" t="s">
        <v>11404</v>
      </c>
      <c r="F22794" s="40" t="s">
        <v>11404</v>
      </c>
      <c r="G22794" s="40" t="s">
        <v>11404</v>
      </c>
      <c r="H22794" s="40" t="s">
        <v>11404</v>
      </c>
    </row>
    <row r="22795">
      <c r="A22795" s="39"/>
      <c r="E22795" s="40" t="s">
        <v>11404</v>
      </c>
      <c r="F22795" s="40" t="s">
        <v>11404</v>
      </c>
      <c r="G22795" s="40" t="s">
        <v>11404</v>
      </c>
      <c r="H22795" s="40" t="s">
        <v>11404</v>
      </c>
    </row>
    <row r="22796">
      <c r="A22796" s="39"/>
      <c r="E22796" s="40" t="s">
        <v>11404</v>
      </c>
      <c r="F22796" s="40" t="s">
        <v>11404</v>
      </c>
      <c r="G22796" s="40" t="s">
        <v>11404</v>
      </c>
      <c r="H22796" s="40" t="s">
        <v>11404</v>
      </c>
    </row>
    <row r="22797">
      <c r="A22797" s="39"/>
      <c r="E22797" s="40" t="s">
        <v>11404</v>
      </c>
      <c r="F22797" s="40" t="s">
        <v>11404</v>
      </c>
      <c r="G22797" s="40" t="s">
        <v>11404</v>
      </c>
      <c r="H22797" s="40" t="s">
        <v>11404</v>
      </c>
    </row>
    <row r="22798">
      <c r="A22798" s="39"/>
      <c r="E22798" s="40" t="s">
        <v>11404</v>
      </c>
      <c r="F22798" s="40" t="s">
        <v>11404</v>
      </c>
      <c r="G22798" s="40" t="s">
        <v>11404</v>
      </c>
      <c r="H22798" s="40" t="s">
        <v>11404</v>
      </c>
    </row>
    <row r="22799">
      <c r="A22799" s="39"/>
      <c r="E22799" s="40" t="s">
        <v>11404</v>
      </c>
      <c r="F22799" s="40" t="s">
        <v>11404</v>
      </c>
      <c r="G22799" s="40" t="s">
        <v>11404</v>
      </c>
      <c r="H22799" s="40" t="s">
        <v>11404</v>
      </c>
    </row>
    <row r="22800">
      <c r="A22800" s="39"/>
      <c r="E22800" s="40" t="s">
        <v>11404</v>
      </c>
      <c r="F22800" s="40" t="s">
        <v>11404</v>
      </c>
      <c r="G22800" s="40" t="s">
        <v>11404</v>
      </c>
      <c r="H22800" s="40" t="s">
        <v>11404</v>
      </c>
    </row>
    <row r="22801">
      <c r="A22801" s="39"/>
      <c r="E22801" s="40" t="s">
        <v>11404</v>
      </c>
      <c r="F22801" s="40" t="s">
        <v>11404</v>
      </c>
      <c r="G22801" s="40" t="s">
        <v>11404</v>
      </c>
      <c r="H22801" s="40" t="s">
        <v>11404</v>
      </c>
    </row>
    <row r="22802">
      <c r="A22802" s="39"/>
      <c r="E22802" s="40" t="s">
        <v>11404</v>
      </c>
      <c r="F22802" s="40" t="s">
        <v>11404</v>
      </c>
      <c r="G22802" s="40" t="s">
        <v>11404</v>
      </c>
      <c r="H22802" s="40" t="s">
        <v>11404</v>
      </c>
    </row>
    <row r="22803">
      <c r="A22803" s="39"/>
      <c r="E22803" s="40" t="s">
        <v>11404</v>
      </c>
      <c r="F22803" s="40" t="s">
        <v>11404</v>
      </c>
      <c r="G22803" s="40" t="s">
        <v>11404</v>
      </c>
      <c r="H22803" s="40" t="s">
        <v>11404</v>
      </c>
    </row>
    <row r="22804">
      <c r="A22804" s="39"/>
      <c r="E22804" s="40" t="s">
        <v>11404</v>
      </c>
      <c r="F22804" s="40" t="s">
        <v>11404</v>
      </c>
      <c r="G22804" s="40" t="s">
        <v>11404</v>
      </c>
      <c r="H22804" s="40" t="s">
        <v>11404</v>
      </c>
    </row>
    <row r="22805">
      <c r="A22805" s="39"/>
      <c r="E22805" s="40" t="s">
        <v>11404</v>
      </c>
      <c r="F22805" s="40" t="s">
        <v>11404</v>
      </c>
      <c r="G22805" s="40" t="s">
        <v>11404</v>
      </c>
      <c r="H22805" s="40" t="s">
        <v>11404</v>
      </c>
    </row>
    <row r="22806">
      <c r="A22806" s="39"/>
      <c r="E22806" s="40" t="s">
        <v>11404</v>
      </c>
      <c r="F22806" s="40" t="s">
        <v>11404</v>
      </c>
      <c r="G22806" s="40" t="s">
        <v>11404</v>
      </c>
      <c r="H22806" s="40" t="s">
        <v>11404</v>
      </c>
    </row>
    <row r="22807">
      <c r="A22807" s="39"/>
      <c r="E22807" s="40" t="s">
        <v>11404</v>
      </c>
      <c r="F22807" s="40" t="s">
        <v>11404</v>
      </c>
      <c r="G22807" s="40" t="s">
        <v>11404</v>
      </c>
      <c r="H22807" s="40" t="s">
        <v>11404</v>
      </c>
    </row>
    <row r="22808">
      <c r="A22808" s="39"/>
      <c r="E22808" s="40" t="s">
        <v>11404</v>
      </c>
      <c r="F22808" s="40" t="s">
        <v>11404</v>
      </c>
      <c r="G22808" s="40" t="s">
        <v>11404</v>
      </c>
      <c r="H22808" s="40" t="s">
        <v>11404</v>
      </c>
    </row>
    <row r="22809">
      <c r="A22809" s="39"/>
      <c r="E22809" s="40" t="s">
        <v>11404</v>
      </c>
      <c r="F22809" s="40" t="s">
        <v>11404</v>
      </c>
      <c r="G22809" s="40" t="s">
        <v>11404</v>
      </c>
      <c r="H22809" s="40" t="s">
        <v>11404</v>
      </c>
    </row>
    <row r="22810">
      <c r="A22810" s="39"/>
      <c r="E22810" s="40" t="s">
        <v>11404</v>
      </c>
      <c r="F22810" s="40" t="s">
        <v>11404</v>
      </c>
      <c r="G22810" s="40" t="s">
        <v>11404</v>
      </c>
      <c r="H22810" s="40" t="s">
        <v>11404</v>
      </c>
    </row>
    <row r="22811">
      <c r="A22811" s="39"/>
      <c r="E22811" s="40" t="s">
        <v>11404</v>
      </c>
      <c r="F22811" s="40" t="s">
        <v>11404</v>
      </c>
      <c r="G22811" s="40" t="s">
        <v>11404</v>
      </c>
      <c r="H22811" s="40" t="s">
        <v>11404</v>
      </c>
    </row>
    <row r="22812">
      <c r="A22812" s="39"/>
      <c r="E22812" s="40" t="s">
        <v>11404</v>
      </c>
      <c r="F22812" s="40" t="s">
        <v>11404</v>
      </c>
      <c r="G22812" s="40" t="s">
        <v>11404</v>
      </c>
      <c r="H22812" s="40" t="s">
        <v>11404</v>
      </c>
    </row>
    <row r="22813">
      <c r="A22813" s="39"/>
      <c r="E22813" s="40" t="s">
        <v>11404</v>
      </c>
      <c r="F22813" s="40" t="s">
        <v>11404</v>
      </c>
      <c r="G22813" s="40" t="s">
        <v>11404</v>
      </c>
      <c r="H22813" s="40" t="s">
        <v>11404</v>
      </c>
    </row>
    <row r="22814">
      <c r="A22814" s="39"/>
      <c r="E22814" s="40" t="s">
        <v>11404</v>
      </c>
      <c r="F22814" s="40" t="s">
        <v>11404</v>
      </c>
      <c r="G22814" s="40" t="s">
        <v>11404</v>
      </c>
      <c r="H22814" s="40" t="s">
        <v>11404</v>
      </c>
    </row>
    <row r="22815">
      <c r="A22815" s="39"/>
      <c r="E22815" s="40" t="s">
        <v>11404</v>
      </c>
      <c r="F22815" s="40" t="s">
        <v>11404</v>
      </c>
      <c r="G22815" s="40" t="s">
        <v>11404</v>
      </c>
      <c r="H22815" s="40" t="s">
        <v>11404</v>
      </c>
    </row>
    <row r="22816">
      <c r="A22816" s="39"/>
      <c r="E22816" s="40" t="s">
        <v>11404</v>
      </c>
      <c r="F22816" s="40" t="s">
        <v>11404</v>
      </c>
      <c r="G22816" s="40" t="s">
        <v>11404</v>
      </c>
      <c r="H22816" s="40" t="s">
        <v>11404</v>
      </c>
    </row>
    <row r="22817">
      <c r="A22817" s="39"/>
      <c r="E22817" s="40" t="s">
        <v>11404</v>
      </c>
      <c r="F22817" s="40" t="s">
        <v>11404</v>
      </c>
      <c r="G22817" s="40" t="s">
        <v>11404</v>
      </c>
      <c r="H22817" s="40" t="s">
        <v>11404</v>
      </c>
    </row>
    <row r="22818">
      <c r="A22818" s="39"/>
      <c r="E22818" s="40" t="s">
        <v>11404</v>
      </c>
      <c r="F22818" s="40" t="s">
        <v>11404</v>
      </c>
      <c r="G22818" s="40" t="s">
        <v>11404</v>
      </c>
      <c r="H22818" s="40" t="s">
        <v>11404</v>
      </c>
    </row>
    <row r="22819">
      <c r="A22819" s="39"/>
      <c r="E22819" s="40" t="s">
        <v>11404</v>
      </c>
      <c r="F22819" s="40" t="s">
        <v>11404</v>
      </c>
      <c r="G22819" s="40" t="s">
        <v>11404</v>
      </c>
      <c r="H22819" s="40" t="s">
        <v>11404</v>
      </c>
    </row>
    <row r="22820">
      <c r="A22820" s="39"/>
      <c r="E22820" s="40" t="s">
        <v>11404</v>
      </c>
      <c r="F22820" s="40" t="s">
        <v>11404</v>
      </c>
      <c r="G22820" s="40" t="s">
        <v>11404</v>
      </c>
      <c r="H22820" s="40" t="s">
        <v>11404</v>
      </c>
    </row>
    <row r="22821">
      <c r="A22821" s="39"/>
      <c r="E22821" s="40" t="s">
        <v>11404</v>
      </c>
      <c r="F22821" s="40" t="s">
        <v>11404</v>
      </c>
      <c r="G22821" s="40" t="s">
        <v>11404</v>
      </c>
      <c r="H22821" s="40" t="s">
        <v>11404</v>
      </c>
    </row>
    <row r="22822">
      <c r="A22822" s="39"/>
      <c r="E22822" s="40" t="s">
        <v>11404</v>
      </c>
      <c r="F22822" s="40" t="s">
        <v>11404</v>
      </c>
      <c r="G22822" s="40" t="s">
        <v>11404</v>
      </c>
      <c r="H22822" s="40" t="s">
        <v>11404</v>
      </c>
    </row>
    <row r="22823">
      <c r="A22823" s="39"/>
      <c r="E22823" s="40" t="s">
        <v>11404</v>
      </c>
      <c r="F22823" s="40" t="s">
        <v>11404</v>
      </c>
      <c r="G22823" s="40" t="s">
        <v>11404</v>
      </c>
      <c r="H22823" s="40" t="s">
        <v>11404</v>
      </c>
    </row>
    <row r="22824">
      <c r="A22824" s="39"/>
      <c r="E22824" s="40" t="s">
        <v>11404</v>
      </c>
      <c r="F22824" s="40" t="s">
        <v>11404</v>
      </c>
      <c r="G22824" s="40" t="s">
        <v>11404</v>
      </c>
      <c r="H22824" s="40" t="s">
        <v>11404</v>
      </c>
    </row>
    <row r="22825">
      <c r="A22825" s="39"/>
      <c r="E22825" s="40" t="s">
        <v>11404</v>
      </c>
      <c r="F22825" s="40" t="s">
        <v>11404</v>
      </c>
      <c r="G22825" s="40" t="s">
        <v>11404</v>
      </c>
      <c r="H22825" s="40" t="s">
        <v>11404</v>
      </c>
    </row>
    <row r="22826">
      <c r="A22826" s="39"/>
      <c r="E22826" s="40" t="s">
        <v>11404</v>
      </c>
      <c r="F22826" s="40" t="s">
        <v>11404</v>
      </c>
      <c r="G22826" s="40" t="s">
        <v>11404</v>
      </c>
      <c r="H22826" s="40" t="s">
        <v>11404</v>
      </c>
    </row>
    <row r="22827">
      <c r="A22827" s="39"/>
      <c r="E22827" s="40" t="s">
        <v>11404</v>
      </c>
      <c r="F22827" s="40" t="s">
        <v>11404</v>
      </c>
      <c r="G22827" s="40" t="s">
        <v>11404</v>
      </c>
      <c r="H22827" s="40" t="s">
        <v>11404</v>
      </c>
    </row>
    <row r="22828">
      <c r="A22828" s="39"/>
      <c r="E22828" s="40" t="s">
        <v>11404</v>
      </c>
      <c r="F22828" s="40" t="s">
        <v>11404</v>
      </c>
      <c r="G22828" s="40" t="s">
        <v>11404</v>
      </c>
      <c r="H22828" s="40" t="s">
        <v>11404</v>
      </c>
    </row>
    <row r="22829">
      <c r="A22829" s="39"/>
      <c r="E22829" s="40" t="s">
        <v>11404</v>
      </c>
      <c r="F22829" s="40" t="s">
        <v>11404</v>
      </c>
      <c r="G22829" s="40" t="s">
        <v>11404</v>
      </c>
      <c r="H22829" s="40" t="s">
        <v>11404</v>
      </c>
    </row>
    <row r="22830">
      <c r="A22830" s="39"/>
      <c r="E22830" s="40" t="s">
        <v>11404</v>
      </c>
      <c r="F22830" s="40" t="s">
        <v>11404</v>
      </c>
      <c r="G22830" s="40" t="s">
        <v>11404</v>
      </c>
      <c r="H22830" s="40" t="s">
        <v>11404</v>
      </c>
    </row>
    <row r="22831">
      <c r="A22831" s="39"/>
      <c r="E22831" s="40" t="s">
        <v>11404</v>
      </c>
      <c r="F22831" s="40" t="s">
        <v>11404</v>
      </c>
      <c r="G22831" s="40" t="s">
        <v>11404</v>
      </c>
      <c r="H22831" s="40" t="s">
        <v>11404</v>
      </c>
    </row>
    <row r="22832">
      <c r="A22832" s="39"/>
      <c r="E22832" s="40" t="s">
        <v>11404</v>
      </c>
      <c r="F22832" s="40" t="s">
        <v>11404</v>
      </c>
      <c r="G22832" s="40" t="s">
        <v>11404</v>
      </c>
      <c r="H22832" s="40" t="s">
        <v>11404</v>
      </c>
    </row>
    <row r="22833">
      <c r="A22833" s="39"/>
      <c r="E22833" s="40" t="s">
        <v>11404</v>
      </c>
      <c r="F22833" s="40" t="s">
        <v>11404</v>
      </c>
      <c r="G22833" s="40" t="s">
        <v>11404</v>
      </c>
      <c r="H22833" s="40" t="s">
        <v>11404</v>
      </c>
    </row>
    <row r="22834">
      <c r="A22834" s="39"/>
      <c r="E22834" s="40" t="s">
        <v>11404</v>
      </c>
      <c r="F22834" s="40" t="s">
        <v>11404</v>
      </c>
      <c r="G22834" s="40" t="s">
        <v>11404</v>
      </c>
      <c r="H22834" s="40" t="s">
        <v>11404</v>
      </c>
    </row>
    <row r="22835">
      <c r="A22835" s="39"/>
      <c r="E22835" s="40" t="s">
        <v>11404</v>
      </c>
      <c r="F22835" s="40" t="s">
        <v>11404</v>
      </c>
      <c r="G22835" s="40" t="s">
        <v>11404</v>
      </c>
      <c r="H22835" s="40" t="s">
        <v>11404</v>
      </c>
    </row>
    <row r="22836">
      <c r="A22836" s="39"/>
      <c r="E22836" s="40" t="s">
        <v>11404</v>
      </c>
      <c r="F22836" s="40" t="s">
        <v>11404</v>
      </c>
      <c r="G22836" s="40" t="s">
        <v>11404</v>
      </c>
      <c r="H22836" s="40" t="s">
        <v>11404</v>
      </c>
    </row>
    <row r="22837">
      <c r="A22837" s="39"/>
      <c r="E22837" s="40" t="s">
        <v>11404</v>
      </c>
      <c r="F22837" s="40" t="s">
        <v>11404</v>
      </c>
      <c r="G22837" s="40" t="s">
        <v>11404</v>
      </c>
      <c r="H22837" s="40" t="s">
        <v>11404</v>
      </c>
    </row>
    <row r="22838">
      <c r="A22838" s="39"/>
      <c r="E22838" s="40" t="s">
        <v>11404</v>
      </c>
      <c r="F22838" s="40" t="s">
        <v>11404</v>
      </c>
      <c r="G22838" s="40" t="s">
        <v>11404</v>
      </c>
      <c r="H22838" s="40" t="s">
        <v>11404</v>
      </c>
    </row>
    <row r="22839">
      <c r="A22839" s="39"/>
      <c r="E22839" s="40" t="s">
        <v>11404</v>
      </c>
      <c r="F22839" s="40" t="s">
        <v>11404</v>
      </c>
      <c r="G22839" s="40" t="s">
        <v>11404</v>
      </c>
      <c r="H22839" s="40" t="s">
        <v>11404</v>
      </c>
    </row>
    <row r="22840">
      <c r="A22840" s="39"/>
      <c r="E22840" s="40" t="s">
        <v>11404</v>
      </c>
      <c r="F22840" s="40" t="s">
        <v>11404</v>
      </c>
      <c r="G22840" s="40" t="s">
        <v>11404</v>
      </c>
      <c r="H22840" s="40" t="s">
        <v>11404</v>
      </c>
    </row>
    <row r="22841">
      <c r="A22841" s="39"/>
      <c r="E22841" s="40" t="s">
        <v>11404</v>
      </c>
      <c r="F22841" s="40" t="s">
        <v>11404</v>
      </c>
      <c r="G22841" s="40" t="s">
        <v>11404</v>
      </c>
      <c r="H22841" s="40" t="s">
        <v>11404</v>
      </c>
    </row>
    <row r="22842">
      <c r="A22842" s="39"/>
      <c r="E22842" s="40" t="s">
        <v>11404</v>
      </c>
      <c r="F22842" s="40" t="s">
        <v>11404</v>
      </c>
      <c r="G22842" s="40" t="s">
        <v>11404</v>
      </c>
      <c r="H22842" s="40" t="s">
        <v>11404</v>
      </c>
    </row>
    <row r="22843">
      <c r="A22843" s="39"/>
      <c r="E22843" s="40" t="s">
        <v>11404</v>
      </c>
      <c r="F22843" s="40" t="s">
        <v>11404</v>
      </c>
      <c r="G22843" s="40" t="s">
        <v>11404</v>
      </c>
      <c r="H22843" s="40" t="s">
        <v>11404</v>
      </c>
    </row>
    <row r="22844">
      <c r="A22844" s="39"/>
      <c r="E22844" s="40" t="s">
        <v>11404</v>
      </c>
      <c r="F22844" s="40" t="s">
        <v>11404</v>
      </c>
      <c r="G22844" s="40" t="s">
        <v>11404</v>
      </c>
      <c r="H22844" s="40" t="s">
        <v>11404</v>
      </c>
    </row>
    <row r="22845">
      <c r="A22845" s="39"/>
      <c r="E22845" s="40" t="s">
        <v>11404</v>
      </c>
      <c r="F22845" s="40" t="s">
        <v>11404</v>
      </c>
      <c r="G22845" s="40" t="s">
        <v>11404</v>
      </c>
      <c r="H22845" s="40" t="s">
        <v>11404</v>
      </c>
    </row>
    <row r="22846">
      <c r="A22846" s="39"/>
      <c r="E22846" s="40" t="s">
        <v>11404</v>
      </c>
      <c r="F22846" s="40" t="s">
        <v>11404</v>
      </c>
      <c r="G22846" s="40" t="s">
        <v>11404</v>
      </c>
      <c r="H22846" s="40" t="s">
        <v>11404</v>
      </c>
    </row>
    <row r="22847">
      <c r="A22847" s="39"/>
      <c r="E22847" s="40" t="s">
        <v>11404</v>
      </c>
      <c r="F22847" s="40" t="s">
        <v>11404</v>
      </c>
      <c r="G22847" s="40" t="s">
        <v>11404</v>
      </c>
      <c r="H22847" s="40" t="s">
        <v>11404</v>
      </c>
    </row>
    <row r="22848">
      <c r="A22848" s="39"/>
      <c r="E22848" s="40" t="s">
        <v>11404</v>
      </c>
      <c r="F22848" s="40" t="s">
        <v>11404</v>
      </c>
      <c r="G22848" s="40" t="s">
        <v>11404</v>
      </c>
      <c r="H22848" s="40" t="s">
        <v>11404</v>
      </c>
    </row>
    <row r="22849">
      <c r="A22849" s="39"/>
      <c r="E22849" s="40" t="s">
        <v>11404</v>
      </c>
      <c r="F22849" s="40" t="s">
        <v>11404</v>
      </c>
      <c r="G22849" s="40" t="s">
        <v>11404</v>
      </c>
      <c r="H22849" s="40" t="s">
        <v>11404</v>
      </c>
    </row>
    <row r="22850">
      <c r="A22850" s="39"/>
      <c r="E22850" s="40" t="s">
        <v>11404</v>
      </c>
      <c r="F22850" s="40" t="s">
        <v>11404</v>
      </c>
      <c r="G22850" s="40" t="s">
        <v>11404</v>
      </c>
      <c r="H22850" s="40" t="s">
        <v>11404</v>
      </c>
    </row>
    <row r="22851">
      <c r="A22851" s="39"/>
      <c r="E22851" s="40" t="s">
        <v>11404</v>
      </c>
      <c r="F22851" s="40" t="s">
        <v>11404</v>
      </c>
      <c r="G22851" s="40" t="s">
        <v>11404</v>
      </c>
      <c r="H22851" s="40" t="s">
        <v>11404</v>
      </c>
    </row>
    <row r="22852">
      <c r="A22852" s="39"/>
      <c r="E22852" s="40" t="s">
        <v>11404</v>
      </c>
      <c r="F22852" s="40" t="s">
        <v>11404</v>
      </c>
      <c r="G22852" s="40" t="s">
        <v>11404</v>
      </c>
      <c r="H22852" s="40" t="s">
        <v>11404</v>
      </c>
    </row>
    <row r="22853">
      <c r="A22853" s="39"/>
      <c r="E22853" s="40" t="s">
        <v>11404</v>
      </c>
      <c r="F22853" s="40" t="s">
        <v>11404</v>
      </c>
      <c r="G22853" s="40" t="s">
        <v>11404</v>
      </c>
      <c r="H22853" s="40" t="s">
        <v>11404</v>
      </c>
    </row>
    <row r="22854">
      <c r="A22854" s="39"/>
      <c r="E22854" s="40" t="s">
        <v>11404</v>
      </c>
      <c r="F22854" s="40" t="s">
        <v>11404</v>
      </c>
      <c r="G22854" s="40" t="s">
        <v>11404</v>
      </c>
      <c r="H22854" s="40" t="s">
        <v>11404</v>
      </c>
    </row>
    <row r="22855">
      <c r="A22855" s="39"/>
      <c r="E22855" s="40" t="s">
        <v>11404</v>
      </c>
      <c r="F22855" s="40" t="s">
        <v>11404</v>
      </c>
      <c r="G22855" s="40" t="s">
        <v>11404</v>
      </c>
      <c r="H22855" s="40" t="s">
        <v>11404</v>
      </c>
    </row>
    <row r="22856">
      <c r="A22856" s="39"/>
      <c r="E22856" s="40" t="s">
        <v>11404</v>
      </c>
      <c r="F22856" s="40" t="s">
        <v>11404</v>
      </c>
      <c r="G22856" s="40" t="s">
        <v>11404</v>
      </c>
      <c r="H22856" s="40" t="s">
        <v>11404</v>
      </c>
    </row>
    <row r="22857">
      <c r="A22857" s="39"/>
      <c r="E22857" s="40" t="s">
        <v>11404</v>
      </c>
      <c r="F22857" s="40" t="s">
        <v>11404</v>
      </c>
      <c r="G22857" s="40" t="s">
        <v>11404</v>
      </c>
      <c r="H22857" s="40" t="s">
        <v>11404</v>
      </c>
    </row>
    <row r="22858">
      <c r="A22858" s="39"/>
      <c r="E22858" s="40" t="s">
        <v>11404</v>
      </c>
      <c r="F22858" s="40" t="s">
        <v>11404</v>
      </c>
      <c r="G22858" s="40" t="s">
        <v>11404</v>
      </c>
      <c r="H22858" s="40" t="s">
        <v>11404</v>
      </c>
    </row>
    <row r="22859">
      <c r="A22859" s="39"/>
      <c r="E22859" s="40" t="s">
        <v>11404</v>
      </c>
      <c r="F22859" s="40" t="s">
        <v>11404</v>
      </c>
      <c r="G22859" s="40" t="s">
        <v>11404</v>
      </c>
      <c r="H22859" s="40" t="s">
        <v>11404</v>
      </c>
    </row>
    <row r="22860">
      <c r="A22860" s="39"/>
      <c r="E22860" s="40" t="s">
        <v>11404</v>
      </c>
      <c r="F22860" s="40" t="s">
        <v>11404</v>
      </c>
      <c r="G22860" s="40" t="s">
        <v>11404</v>
      </c>
      <c r="H22860" s="40" t="s">
        <v>11404</v>
      </c>
    </row>
    <row r="22861">
      <c r="A22861" s="39"/>
      <c r="E22861" s="40" t="s">
        <v>11404</v>
      </c>
      <c r="F22861" s="40" t="s">
        <v>11404</v>
      </c>
      <c r="G22861" s="40" t="s">
        <v>11404</v>
      </c>
      <c r="H22861" s="40" t="s">
        <v>11404</v>
      </c>
    </row>
    <row r="22862">
      <c r="A22862" s="39"/>
      <c r="E22862" s="40" t="s">
        <v>11404</v>
      </c>
      <c r="F22862" s="40" t="s">
        <v>11404</v>
      </c>
      <c r="G22862" s="40" t="s">
        <v>11404</v>
      </c>
      <c r="H22862" s="40" t="s">
        <v>11404</v>
      </c>
    </row>
    <row r="22863">
      <c r="A22863" s="39"/>
      <c r="E22863" s="40" t="s">
        <v>11404</v>
      </c>
      <c r="F22863" s="40" t="s">
        <v>11404</v>
      </c>
      <c r="G22863" s="40" t="s">
        <v>11404</v>
      </c>
      <c r="H22863" s="40" t="s">
        <v>11404</v>
      </c>
    </row>
    <row r="22864">
      <c r="A22864" s="39"/>
      <c r="E22864" s="40" t="s">
        <v>11404</v>
      </c>
      <c r="F22864" s="40" t="s">
        <v>11404</v>
      </c>
      <c r="G22864" s="40" t="s">
        <v>11404</v>
      </c>
      <c r="H22864" s="40" t="s">
        <v>11404</v>
      </c>
    </row>
    <row r="22865">
      <c r="A22865" s="39"/>
      <c r="E22865" s="40" t="s">
        <v>11404</v>
      </c>
      <c r="F22865" s="40" t="s">
        <v>11404</v>
      </c>
      <c r="G22865" s="40" t="s">
        <v>11404</v>
      </c>
      <c r="H22865" s="40" t="s">
        <v>11404</v>
      </c>
    </row>
    <row r="22866">
      <c r="A22866" s="39"/>
      <c r="E22866" s="40" t="s">
        <v>11404</v>
      </c>
      <c r="F22866" s="40" t="s">
        <v>11404</v>
      </c>
      <c r="G22866" s="40" t="s">
        <v>11404</v>
      </c>
      <c r="H22866" s="40" t="s">
        <v>11404</v>
      </c>
    </row>
    <row r="22867">
      <c r="A22867" s="39"/>
      <c r="E22867" s="40" t="s">
        <v>11404</v>
      </c>
      <c r="F22867" s="40" t="s">
        <v>11404</v>
      </c>
      <c r="G22867" s="40" t="s">
        <v>11404</v>
      </c>
      <c r="H22867" s="40" t="s">
        <v>11404</v>
      </c>
    </row>
    <row r="22868">
      <c r="A22868" s="39"/>
      <c r="E22868" s="40" t="s">
        <v>11404</v>
      </c>
      <c r="F22868" s="40" t="s">
        <v>11404</v>
      </c>
      <c r="G22868" s="40" t="s">
        <v>11404</v>
      </c>
      <c r="H22868" s="40" t="s">
        <v>11404</v>
      </c>
    </row>
    <row r="22869">
      <c r="A22869" s="39"/>
      <c r="E22869" s="40" t="s">
        <v>11404</v>
      </c>
      <c r="F22869" s="40" t="s">
        <v>11404</v>
      </c>
      <c r="G22869" s="40" t="s">
        <v>11404</v>
      </c>
      <c r="H22869" s="40" t="s">
        <v>11404</v>
      </c>
    </row>
    <row r="22870">
      <c r="A22870" s="39"/>
      <c r="E22870" s="40" t="s">
        <v>11404</v>
      </c>
      <c r="F22870" s="40" t="s">
        <v>11404</v>
      </c>
      <c r="G22870" s="40" t="s">
        <v>11404</v>
      </c>
      <c r="H22870" s="40" t="s">
        <v>11404</v>
      </c>
    </row>
    <row r="22871">
      <c r="A22871" s="39"/>
      <c r="E22871" s="40" t="s">
        <v>11404</v>
      </c>
      <c r="F22871" s="40" t="s">
        <v>11404</v>
      </c>
      <c r="G22871" s="40" t="s">
        <v>11404</v>
      </c>
      <c r="H22871" s="40" t="s">
        <v>11404</v>
      </c>
    </row>
    <row r="22872">
      <c r="A22872" s="39"/>
      <c r="E22872" s="40" t="s">
        <v>11404</v>
      </c>
      <c r="F22872" s="40" t="s">
        <v>11404</v>
      </c>
      <c r="G22872" s="40" t="s">
        <v>11404</v>
      </c>
      <c r="H22872" s="40" t="s">
        <v>11404</v>
      </c>
    </row>
    <row r="22873">
      <c r="A22873" s="39"/>
      <c r="E22873" s="40" t="s">
        <v>11404</v>
      </c>
      <c r="F22873" s="40" t="s">
        <v>11404</v>
      </c>
      <c r="G22873" s="40" t="s">
        <v>11404</v>
      </c>
      <c r="H22873" s="40" t="s">
        <v>11404</v>
      </c>
    </row>
    <row r="22874">
      <c r="A22874" s="39"/>
      <c r="E22874" s="40" t="s">
        <v>11404</v>
      </c>
      <c r="F22874" s="40" t="s">
        <v>11404</v>
      </c>
      <c r="G22874" s="40" t="s">
        <v>11404</v>
      </c>
      <c r="H22874" s="40" t="s">
        <v>11404</v>
      </c>
    </row>
    <row r="22875">
      <c r="A22875" s="39"/>
      <c r="E22875" s="40" t="s">
        <v>11404</v>
      </c>
      <c r="F22875" s="40" t="s">
        <v>11404</v>
      </c>
      <c r="G22875" s="40" t="s">
        <v>11404</v>
      </c>
      <c r="H22875" s="40" t="s">
        <v>11404</v>
      </c>
    </row>
    <row r="22876">
      <c r="A22876" s="39"/>
      <c r="E22876" s="40" t="s">
        <v>11404</v>
      </c>
      <c r="F22876" s="40" t="s">
        <v>11404</v>
      </c>
      <c r="G22876" s="40" t="s">
        <v>11404</v>
      </c>
      <c r="H22876" s="40" t="s">
        <v>11404</v>
      </c>
    </row>
    <row r="22877">
      <c r="A22877" s="39"/>
      <c r="E22877" s="40" t="s">
        <v>11404</v>
      </c>
      <c r="F22877" s="40" t="s">
        <v>11404</v>
      </c>
      <c r="G22877" s="40" t="s">
        <v>11404</v>
      </c>
      <c r="H22877" s="40" t="s">
        <v>11404</v>
      </c>
    </row>
    <row r="22878">
      <c r="A22878" s="39"/>
      <c r="E22878" s="40" t="s">
        <v>11404</v>
      </c>
      <c r="F22878" s="40" t="s">
        <v>11404</v>
      </c>
      <c r="G22878" s="40" t="s">
        <v>11404</v>
      </c>
      <c r="H22878" s="40" t="s">
        <v>11404</v>
      </c>
    </row>
    <row r="22879">
      <c r="A22879" s="39"/>
      <c r="E22879" s="40" t="s">
        <v>11404</v>
      </c>
      <c r="F22879" s="40" t="s">
        <v>11404</v>
      </c>
      <c r="G22879" s="40" t="s">
        <v>11404</v>
      </c>
      <c r="H22879" s="40" t="s">
        <v>11404</v>
      </c>
    </row>
    <row r="22880">
      <c r="A22880" s="39"/>
      <c r="E22880" s="40" t="s">
        <v>11404</v>
      </c>
      <c r="F22880" s="40" t="s">
        <v>11404</v>
      </c>
      <c r="G22880" s="40" t="s">
        <v>11404</v>
      </c>
      <c r="H22880" s="40" t="s">
        <v>11404</v>
      </c>
    </row>
    <row r="22881">
      <c r="A22881" s="39"/>
      <c r="E22881" s="40" t="s">
        <v>11404</v>
      </c>
      <c r="F22881" s="40" t="s">
        <v>11404</v>
      </c>
      <c r="G22881" s="40" t="s">
        <v>11404</v>
      </c>
      <c r="H22881" s="40" t="s">
        <v>11404</v>
      </c>
    </row>
    <row r="22882">
      <c r="A22882" s="39"/>
      <c r="E22882" s="40" t="s">
        <v>11404</v>
      </c>
      <c r="F22882" s="40" t="s">
        <v>11404</v>
      </c>
      <c r="G22882" s="40" t="s">
        <v>11404</v>
      </c>
      <c r="H22882" s="40" t="s">
        <v>11404</v>
      </c>
    </row>
    <row r="22883">
      <c r="A22883" s="39"/>
      <c r="E22883" s="40" t="s">
        <v>11404</v>
      </c>
      <c r="F22883" s="40" t="s">
        <v>11404</v>
      </c>
      <c r="G22883" s="40" t="s">
        <v>11404</v>
      </c>
      <c r="H22883" s="40" t="s">
        <v>11404</v>
      </c>
    </row>
    <row r="22884">
      <c r="A22884" s="39"/>
      <c r="E22884" s="40" t="s">
        <v>11404</v>
      </c>
      <c r="F22884" s="40" t="s">
        <v>11404</v>
      </c>
      <c r="G22884" s="40" t="s">
        <v>11404</v>
      </c>
      <c r="H22884" s="40" t="s">
        <v>11404</v>
      </c>
    </row>
    <row r="22885">
      <c r="A22885" s="39"/>
      <c r="E22885" s="40" t="s">
        <v>11404</v>
      </c>
      <c r="F22885" s="40" t="s">
        <v>11404</v>
      </c>
      <c r="G22885" s="40" t="s">
        <v>11404</v>
      </c>
      <c r="H22885" s="40" t="s">
        <v>11404</v>
      </c>
    </row>
    <row r="22886">
      <c r="A22886" s="39"/>
      <c r="E22886" s="40" t="s">
        <v>11404</v>
      </c>
      <c r="F22886" s="40" t="s">
        <v>11404</v>
      </c>
      <c r="G22886" s="40" t="s">
        <v>11404</v>
      </c>
      <c r="H22886" s="40" t="s">
        <v>11404</v>
      </c>
    </row>
    <row r="22887">
      <c r="A22887" s="39"/>
      <c r="E22887" s="40" t="s">
        <v>11404</v>
      </c>
      <c r="F22887" s="40" t="s">
        <v>11404</v>
      </c>
      <c r="G22887" s="40" t="s">
        <v>11404</v>
      </c>
      <c r="H22887" s="40" t="s">
        <v>11404</v>
      </c>
    </row>
    <row r="22888">
      <c r="A22888" s="39"/>
      <c r="E22888" s="40" t="s">
        <v>11404</v>
      </c>
      <c r="F22888" s="40" t="s">
        <v>11404</v>
      </c>
      <c r="G22888" s="40" t="s">
        <v>11404</v>
      </c>
      <c r="H22888" s="40" t="s">
        <v>11404</v>
      </c>
    </row>
    <row r="22889">
      <c r="A22889" s="39"/>
      <c r="E22889" s="40" t="s">
        <v>11404</v>
      </c>
      <c r="F22889" s="40" t="s">
        <v>11404</v>
      </c>
      <c r="G22889" s="40" t="s">
        <v>11404</v>
      </c>
      <c r="H22889" s="40" t="s">
        <v>11404</v>
      </c>
    </row>
    <row r="22890">
      <c r="A22890" s="39"/>
      <c r="E22890" s="40" t="s">
        <v>11404</v>
      </c>
      <c r="F22890" s="40" t="s">
        <v>11404</v>
      </c>
      <c r="G22890" s="40" t="s">
        <v>11404</v>
      </c>
      <c r="H22890" s="40" t="s">
        <v>11404</v>
      </c>
    </row>
    <row r="22891">
      <c r="A22891" s="39"/>
      <c r="E22891" s="40" t="s">
        <v>11404</v>
      </c>
      <c r="F22891" s="40" t="s">
        <v>11404</v>
      </c>
      <c r="G22891" s="40" t="s">
        <v>11404</v>
      </c>
      <c r="H22891" s="40" t="s">
        <v>11404</v>
      </c>
    </row>
    <row r="22892">
      <c r="A22892" s="39"/>
      <c r="E22892" s="40" t="s">
        <v>11404</v>
      </c>
      <c r="F22892" s="40" t="s">
        <v>11404</v>
      </c>
      <c r="G22892" s="40" t="s">
        <v>11404</v>
      </c>
      <c r="H22892" s="40" t="s">
        <v>11404</v>
      </c>
    </row>
    <row r="22893">
      <c r="A22893" s="39"/>
      <c r="E22893" s="40" t="s">
        <v>11404</v>
      </c>
      <c r="F22893" s="40" t="s">
        <v>11404</v>
      </c>
      <c r="G22893" s="40" t="s">
        <v>11404</v>
      </c>
      <c r="H22893" s="40" t="s">
        <v>11404</v>
      </c>
    </row>
    <row r="22894">
      <c r="A22894" s="39"/>
      <c r="E22894" s="40" t="s">
        <v>11404</v>
      </c>
      <c r="F22894" s="40" t="s">
        <v>11404</v>
      </c>
      <c r="G22894" s="40" t="s">
        <v>11404</v>
      </c>
      <c r="H22894" s="40" t="s">
        <v>11404</v>
      </c>
    </row>
    <row r="22895">
      <c r="A22895" s="39"/>
      <c r="E22895" s="40" t="s">
        <v>11404</v>
      </c>
      <c r="F22895" s="40" t="s">
        <v>11404</v>
      </c>
      <c r="G22895" s="40" t="s">
        <v>11404</v>
      </c>
      <c r="H22895" s="40" t="s">
        <v>11404</v>
      </c>
    </row>
    <row r="22896">
      <c r="A22896" s="39"/>
      <c r="E22896" s="40" t="s">
        <v>11404</v>
      </c>
      <c r="F22896" s="40" t="s">
        <v>11404</v>
      </c>
      <c r="G22896" s="40" t="s">
        <v>11404</v>
      </c>
      <c r="H22896" s="40" t="s">
        <v>11404</v>
      </c>
    </row>
    <row r="22897">
      <c r="A22897" s="39"/>
      <c r="E22897" s="40" t="s">
        <v>11404</v>
      </c>
      <c r="F22897" s="40" t="s">
        <v>11404</v>
      </c>
      <c r="G22897" s="40" t="s">
        <v>11404</v>
      </c>
      <c r="H22897" s="40" t="s">
        <v>11404</v>
      </c>
    </row>
    <row r="22898">
      <c r="A22898" s="39"/>
      <c r="E22898" s="40" t="s">
        <v>11404</v>
      </c>
      <c r="F22898" s="40" t="s">
        <v>11404</v>
      </c>
      <c r="G22898" s="40" t="s">
        <v>11404</v>
      </c>
      <c r="H22898" s="40" t="s">
        <v>11404</v>
      </c>
    </row>
    <row r="22899">
      <c r="A22899" s="39"/>
      <c r="E22899" s="40" t="s">
        <v>11404</v>
      </c>
      <c r="F22899" s="40" t="s">
        <v>11404</v>
      </c>
      <c r="G22899" s="40" t="s">
        <v>11404</v>
      </c>
      <c r="H22899" s="40" t="s">
        <v>11404</v>
      </c>
    </row>
    <row r="22900">
      <c r="A22900" s="39"/>
      <c r="E22900" s="40" t="s">
        <v>11404</v>
      </c>
      <c r="F22900" s="40" t="s">
        <v>11404</v>
      </c>
      <c r="G22900" s="40" t="s">
        <v>11404</v>
      </c>
      <c r="H22900" s="40" t="s">
        <v>11404</v>
      </c>
    </row>
    <row r="22901">
      <c r="A22901" s="39"/>
      <c r="E22901" s="40" t="s">
        <v>11404</v>
      </c>
      <c r="F22901" s="40" t="s">
        <v>11404</v>
      </c>
      <c r="G22901" s="40" t="s">
        <v>11404</v>
      </c>
      <c r="H22901" s="40" t="s">
        <v>11404</v>
      </c>
    </row>
    <row r="22902">
      <c r="A22902" s="39"/>
      <c r="E22902" s="40" t="s">
        <v>11404</v>
      </c>
      <c r="F22902" s="40" t="s">
        <v>11404</v>
      </c>
      <c r="G22902" s="40" t="s">
        <v>11404</v>
      </c>
      <c r="H22902" s="40" t="s">
        <v>11404</v>
      </c>
    </row>
    <row r="22903">
      <c r="A22903" s="39"/>
      <c r="E22903" s="40" t="s">
        <v>11404</v>
      </c>
      <c r="F22903" s="40" t="s">
        <v>11404</v>
      </c>
      <c r="G22903" s="40" t="s">
        <v>11404</v>
      </c>
      <c r="H22903" s="40" t="s">
        <v>11404</v>
      </c>
    </row>
    <row r="22904">
      <c r="A22904" s="39"/>
      <c r="E22904" s="40" t="s">
        <v>11404</v>
      </c>
      <c r="F22904" s="40" t="s">
        <v>11404</v>
      </c>
      <c r="G22904" s="40" t="s">
        <v>11404</v>
      </c>
      <c r="H22904" s="40" t="s">
        <v>11404</v>
      </c>
    </row>
    <row r="22905">
      <c r="A22905" s="39"/>
      <c r="E22905" s="40" t="s">
        <v>11404</v>
      </c>
      <c r="F22905" s="40" t="s">
        <v>11404</v>
      </c>
      <c r="G22905" s="40" t="s">
        <v>11404</v>
      </c>
      <c r="H22905" s="40" t="s">
        <v>11404</v>
      </c>
    </row>
    <row r="22906">
      <c r="A22906" s="39"/>
      <c r="E22906" s="40" t="s">
        <v>11404</v>
      </c>
      <c r="F22906" s="40" t="s">
        <v>11404</v>
      </c>
      <c r="G22906" s="40" t="s">
        <v>11404</v>
      </c>
      <c r="H22906" s="40" t="s">
        <v>11404</v>
      </c>
    </row>
    <row r="22907">
      <c r="A22907" s="39"/>
      <c r="E22907" s="40" t="s">
        <v>11404</v>
      </c>
      <c r="F22907" s="40" t="s">
        <v>11404</v>
      </c>
      <c r="G22907" s="40" t="s">
        <v>11404</v>
      </c>
      <c r="H22907" s="40" t="s">
        <v>11404</v>
      </c>
    </row>
    <row r="22908">
      <c r="A22908" s="39"/>
      <c r="E22908" s="40" t="s">
        <v>11404</v>
      </c>
      <c r="F22908" s="40" t="s">
        <v>11404</v>
      </c>
      <c r="G22908" s="40" t="s">
        <v>11404</v>
      </c>
      <c r="H22908" s="40" t="s">
        <v>11404</v>
      </c>
    </row>
    <row r="22909">
      <c r="A22909" s="39"/>
      <c r="E22909" s="40" t="s">
        <v>11404</v>
      </c>
      <c r="F22909" s="40" t="s">
        <v>11404</v>
      </c>
      <c r="G22909" s="40" t="s">
        <v>11404</v>
      </c>
      <c r="H22909" s="40" t="s">
        <v>11404</v>
      </c>
    </row>
    <row r="22910">
      <c r="A22910" s="39"/>
      <c r="E22910" s="40" t="s">
        <v>11404</v>
      </c>
      <c r="F22910" s="40" t="s">
        <v>11404</v>
      </c>
      <c r="G22910" s="40" t="s">
        <v>11404</v>
      </c>
      <c r="H22910" s="40" t="s">
        <v>11404</v>
      </c>
    </row>
    <row r="22911">
      <c r="A22911" s="39"/>
      <c r="E22911" s="40" t="s">
        <v>11404</v>
      </c>
      <c r="F22911" s="40" t="s">
        <v>11404</v>
      </c>
      <c r="G22911" s="40" t="s">
        <v>11404</v>
      </c>
      <c r="H22911" s="40" t="s">
        <v>11404</v>
      </c>
    </row>
    <row r="22912">
      <c r="A22912" s="39"/>
      <c r="E22912" s="40" t="s">
        <v>11404</v>
      </c>
      <c r="F22912" s="40" t="s">
        <v>11404</v>
      </c>
      <c r="G22912" s="40" t="s">
        <v>11404</v>
      </c>
      <c r="H22912" s="40" t="s">
        <v>11404</v>
      </c>
    </row>
    <row r="22913">
      <c r="A22913" s="39"/>
      <c r="E22913" s="40" t="s">
        <v>11404</v>
      </c>
      <c r="F22913" s="40" t="s">
        <v>11404</v>
      </c>
      <c r="G22913" s="40" t="s">
        <v>11404</v>
      </c>
      <c r="H22913" s="40" t="s">
        <v>11404</v>
      </c>
    </row>
    <row r="22914">
      <c r="A22914" s="39"/>
      <c r="E22914" s="40" t="s">
        <v>11404</v>
      </c>
      <c r="F22914" s="40" t="s">
        <v>11404</v>
      </c>
      <c r="G22914" s="40" t="s">
        <v>11404</v>
      </c>
      <c r="H22914" s="40" t="s">
        <v>11404</v>
      </c>
    </row>
    <row r="22915">
      <c r="A22915" s="39"/>
      <c r="E22915" s="40" t="s">
        <v>11404</v>
      </c>
      <c r="F22915" s="40" t="s">
        <v>11404</v>
      </c>
      <c r="G22915" s="40" t="s">
        <v>11404</v>
      </c>
      <c r="H22915" s="40" t="s">
        <v>11404</v>
      </c>
    </row>
    <row r="22916">
      <c r="A22916" s="39"/>
      <c r="E22916" s="40" t="s">
        <v>11404</v>
      </c>
      <c r="F22916" s="40" t="s">
        <v>11404</v>
      </c>
      <c r="G22916" s="40" t="s">
        <v>11404</v>
      </c>
      <c r="H22916" s="40" t="s">
        <v>11404</v>
      </c>
    </row>
    <row r="22917">
      <c r="A22917" s="39"/>
      <c r="E22917" s="40" t="s">
        <v>11404</v>
      </c>
      <c r="F22917" s="40" t="s">
        <v>11404</v>
      </c>
      <c r="G22917" s="40" t="s">
        <v>11404</v>
      </c>
      <c r="H22917" s="40" t="s">
        <v>11404</v>
      </c>
    </row>
    <row r="22918">
      <c r="A22918" s="39"/>
      <c r="E22918" s="40" t="s">
        <v>11404</v>
      </c>
      <c r="F22918" s="40" t="s">
        <v>11404</v>
      </c>
      <c r="G22918" s="40" t="s">
        <v>11404</v>
      </c>
      <c r="H22918" s="40" t="s">
        <v>11404</v>
      </c>
    </row>
    <row r="22919">
      <c r="A22919" s="39"/>
      <c r="E22919" s="40" t="s">
        <v>11404</v>
      </c>
      <c r="F22919" s="40" t="s">
        <v>11404</v>
      </c>
      <c r="G22919" s="40" t="s">
        <v>11404</v>
      </c>
      <c r="H22919" s="40" t="s">
        <v>11404</v>
      </c>
    </row>
    <row r="22920">
      <c r="A22920" s="39"/>
      <c r="E22920" s="40" t="s">
        <v>11404</v>
      </c>
      <c r="F22920" s="40" t="s">
        <v>11404</v>
      </c>
      <c r="G22920" s="40" t="s">
        <v>11404</v>
      </c>
      <c r="H22920" s="40" t="s">
        <v>11404</v>
      </c>
    </row>
    <row r="22921">
      <c r="A22921" s="39"/>
      <c r="E22921" s="40" t="s">
        <v>11404</v>
      </c>
      <c r="F22921" s="40" t="s">
        <v>11404</v>
      </c>
      <c r="G22921" s="40" t="s">
        <v>11404</v>
      </c>
      <c r="H22921" s="40" t="s">
        <v>11404</v>
      </c>
    </row>
    <row r="22922">
      <c r="A22922" s="39"/>
      <c r="E22922" s="40" t="s">
        <v>11404</v>
      </c>
      <c r="F22922" s="40" t="s">
        <v>11404</v>
      </c>
      <c r="G22922" s="40" t="s">
        <v>11404</v>
      </c>
      <c r="H22922" s="40" t="s">
        <v>11404</v>
      </c>
    </row>
    <row r="22923">
      <c r="A22923" s="39"/>
      <c r="E22923" s="40" t="s">
        <v>11404</v>
      </c>
      <c r="F22923" s="40" t="s">
        <v>11404</v>
      </c>
      <c r="G22923" s="40" t="s">
        <v>11404</v>
      </c>
      <c r="H22923" s="40" t="s">
        <v>11404</v>
      </c>
    </row>
    <row r="22924">
      <c r="A22924" s="39"/>
      <c r="E22924" s="40" t="s">
        <v>11404</v>
      </c>
      <c r="F22924" s="40" t="s">
        <v>11404</v>
      </c>
      <c r="G22924" s="40" t="s">
        <v>11404</v>
      </c>
      <c r="H22924" s="40" t="s">
        <v>11404</v>
      </c>
    </row>
    <row r="22925">
      <c r="A22925" s="39"/>
      <c r="E22925" s="40" t="s">
        <v>11404</v>
      </c>
      <c r="F22925" s="40" t="s">
        <v>11404</v>
      </c>
      <c r="G22925" s="40" t="s">
        <v>11404</v>
      </c>
      <c r="H22925" s="40" t="s">
        <v>11404</v>
      </c>
    </row>
    <row r="22926">
      <c r="A22926" s="39"/>
      <c r="E22926" s="40" t="s">
        <v>11404</v>
      </c>
      <c r="F22926" s="40" t="s">
        <v>11404</v>
      </c>
      <c r="G22926" s="40" t="s">
        <v>11404</v>
      </c>
      <c r="H22926" s="40" t="s">
        <v>11404</v>
      </c>
    </row>
    <row r="22927">
      <c r="A22927" s="39"/>
      <c r="E22927" s="40" t="s">
        <v>11404</v>
      </c>
      <c r="F22927" s="40" t="s">
        <v>11404</v>
      </c>
      <c r="G22927" s="40" t="s">
        <v>11404</v>
      </c>
      <c r="H22927" s="40" t="s">
        <v>11404</v>
      </c>
    </row>
    <row r="22928">
      <c r="A22928" s="39"/>
      <c r="E22928" s="40" t="s">
        <v>11404</v>
      </c>
      <c r="F22928" s="40" t="s">
        <v>11404</v>
      </c>
      <c r="G22928" s="40" t="s">
        <v>11404</v>
      </c>
      <c r="H22928" s="40" t="s">
        <v>11404</v>
      </c>
    </row>
    <row r="22929">
      <c r="A22929" s="39"/>
      <c r="E22929" s="40" t="s">
        <v>11404</v>
      </c>
      <c r="F22929" s="40" t="s">
        <v>11404</v>
      </c>
      <c r="G22929" s="40" t="s">
        <v>11404</v>
      </c>
      <c r="H22929" s="40" t="s">
        <v>11404</v>
      </c>
    </row>
    <row r="22930">
      <c r="A22930" s="39"/>
      <c r="E22930" s="40" t="s">
        <v>11404</v>
      </c>
      <c r="F22930" s="40" t="s">
        <v>11404</v>
      </c>
      <c r="G22930" s="40" t="s">
        <v>11404</v>
      </c>
      <c r="H22930" s="40" t="s">
        <v>11404</v>
      </c>
    </row>
    <row r="22931">
      <c r="A22931" s="39"/>
      <c r="E22931" s="40" t="s">
        <v>11404</v>
      </c>
      <c r="F22931" s="40" t="s">
        <v>11404</v>
      </c>
      <c r="G22931" s="40" t="s">
        <v>11404</v>
      </c>
      <c r="H22931" s="40" t="s">
        <v>11404</v>
      </c>
    </row>
    <row r="22932">
      <c r="A22932" s="39"/>
      <c r="E22932" s="40" t="s">
        <v>11404</v>
      </c>
      <c r="F22932" s="40" t="s">
        <v>11404</v>
      </c>
      <c r="G22932" s="40" t="s">
        <v>11404</v>
      </c>
      <c r="H22932" s="40" t="s">
        <v>11404</v>
      </c>
    </row>
    <row r="22933">
      <c r="A22933" s="39"/>
      <c r="E22933" s="40" t="s">
        <v>11404</v>
      </c>
      <c r="F22933" s="40" t="s">
        <v>11404</v>
      </c>
      <c r="G22933" s="40" t="s">
        <v>11404</v>
      </c>
      <c r="H22933" s="40" t="s">
        <v>11404</v>
      </c>
    </row>
    <row r="22934">
      <c r="A22934" s="39"/>
      <c r="E22934" s="40" t="s">
        <v>11404</v>
      </c>
      <c r="F22934" s="40" t="s">
        <v>11404</v>
      </c>
      <c r="G22934" s="40" t="s">
        <v>11404</v>
      </c>
      <c r="H22934" s="40" t="s">
        <v>11404</v>
      </c>
    </row>
    <row r="22935">
      <c r="A22935" s="39"/>
      <c r="E22935" s="40" t="s">
        <v>11404</v>
      </c>
      <c r="F22935" s="40" t="s">
        <v>11404</v>
      </c>
      <c r="G22935" s="40" t="s">
        <v>11404</v>
      </c>
      <c r="H22935" s="40" t="s">
        <v>11404</v>
      </c>
    </row>
    <row r="22936">
      <c r="A22936" s="39"/>
      <c r="E22936" s="40" t="s">
        <v>11404</v>
      </c>
      <c r="F22936" s="40" t="s">
        <v>11404</v>
      </c>
      <c r="G22936" s="40" t="s">
        <v>11404</v>
      </c>
      <c r="H22936" s="40" t="s">
        <v>11404</v>
      </c>
    </row>
    <row r="22937">
      <c r="A22937" s="39"/>
      <c r="E22937" s="40" t="s">
        <v>11404</v>
      </c>
      <c r="F22937" s="40" t="s">
        <v>11404</v>
      </c>
      <c r="G22937" s="40" t="s">
        <v>11404</v>
      </c>
      <c r="H22937" s="40" t="s">
        <v>11404</v>
      </c>
    </row>
    <row r="22938">
      <c r="A22938" s="39"/>
      <c r="E22938" s="40" t="s">
        <v>11404</v>
      </c>
      <c r="F22938" s="40" t="s">
        <v>11404</v>
      </c>
      <c r="G22938" s="40" t="s">
        <v>11404</v>
      </c>
      <c r="H22938" s="40" t="s">
        <v>11404</v>
      </c>
    </row>
    <row r="22939">
      <c r="A22939" s="39"/>
      <c r="E22939" s="40" t="s">
        <v>11404</v>
      </c>
      <c r="F22939" s="40" t="s">
        <v>11404</v>
      </c>
      <c r="G22939" s="40" t="s">
        <v>11404</v>
      </c>
      <c r="H22939" s="40" t="s">
        <v>11404</v>
      </c>
    </row>
    <row r="22940">
      <c r="A22940" s="39"/>
      <c r="E22940" s="40" t="s">
        <v>11404</v>
      </c>
      <c r="F22940" s="40" t="s">
        <v>11404</v>
      </c>
      <c r="G22940" s="40" t="s">
        <v>11404</v>
      </c>
      <c r="H22940" s="40" t="s">
        <v>11404</v>
      </c>
    </row>
    <row r="22941">
      <c r="A22941" s="39"/>
      <c r="E22941" s="40" t="s">
        <v>11404</v>
      </c>
      <c r="F22941" s="40" t="s">
        <v>11404</v>
      </c>
      <c r="G22941" s="40" t="s">
        <v>11404</v>
      </c>
      <c r="H22941" s="40" t="s">
        <v>11404</v>
      </c>
    </row>
    <row r="22942">
      <c r="A22942" s="39"/>
      <c r="E22942" s="40" t="s">
        <v>11404</v>
      </c>
      <c r="F22942" s="40" t="s">
        <v>11404</v>
      </c>
      <c r="G22942" s="40" t="s">
        <v>11404</v>
      </c>
      <c r="H22942" s="40" t="s">
        <v>11404</v>
      </c>
    </row>
    <row r="22943">
      <c r="A22943" s="39"/>
      <c r="E22943" s="40" t="s">
        <v>11404</v>
      </c>
      <c r="F22943" s="40" t="s">
        <v>11404</v>
      </c>
      <c r="G22943" s="40" t="s">
        <v>11404</v>
      </c>
      <c r="H22943" s="40" t="s">
        <v>11404</v>
      </c>
    </row>
    <row r="22944">
      <c r="A22944" s="39"/>
      <c r="E22944" s="40" t="s">
        <v>11404</v>
      </c>
      <c r="F22944" s="40" t="s">
        <v>11404</v>
      </c>
      <c r="G22944" s="40" t="s">
        <v>11404</v>
      </c>
      <c r="H22944" s="40" t="s">
        <v>11404</v>
      </c>
    </row>
    <row r="22945">
      <c r="A22945" s="39"/>
      <c r="E22945" s="40" t="s">
        <v>11404</v>
      </c>
      <c r="F22945" s="40" t="s">
        <v>11404</v>
      </c>
      <c r="G22945" s="40" t="s">
        <v>11404</v>
      </c>
      <c r="H22945" s="40" t="s">
        <v>11404</v>
      </c>
    </row>
    <row r="22946">
      <c r="A22946" s="39"/>
      <c r="E22946" s="40" t="s">
        <v>11404</v>
      </c>
      <c r="F22946" s="40" t="s">
        <v>11404</v>
      </c>
      <c r="G22946" s="40" t="s">
        <v>11404</v>
      </c>
      <c r="H22946" s="40" t="s">
        <v>11404</v>
      </c>
    </row>
    <row r="22947">
      <c r="A22947" s="39"/>
      <c r="E22947" s="40" t="s">
        <v>11404</v>
      </c>
      <c r="F22947" s="40" t="s">
        <v>11404</v>
      </c>
      <c r="G22947" s="40" t="s">
        <v>11404</v>
      </c>
      <c r="H22947" s="40" t="s">
        <v>11404</v>
      </c>
    </row>
    <row r="22948">
      <c r="A22948" s="39"/>
      <c r="E22948" s="40" t="s">
        <v>11404</v>
      </c>
      <c r="F22948" s="40" t="s">
        <v>11404</v>
      </c>
      <c r="G22948" s="40" t="s">
        <v>11404</v>
      </c>
      <c r="H22948" s="40" t="s">
        <v>11404</v>
      </c>
    </row>
    <row r="22949">
      <c r="A22949" s="39"/>
      <c r="E22949" s="40" t="s">
        <v>11404</v>
      </c>
      <c r="F22949" s="40" t="s">
        <v>11404</v>
      </c>
      <c r="G22949" s="40" t="s">
        <v>11404</v>
      </c>
      <c r="H22949" s="40" t="s">
        <v>11404</v>
      </c>
    </row>
    <row r="22950">
      <c r="A22950" s="39"/>
      <c r="E22950" s="40" t="s">
        <v>11404</v>
      </c>
      <c r="F22950" s="40" t="s">
        <v>11404</v>
      </c>
      <c r="G22950" s="40" t="s">
        <v>11404</v>
      </c>
      <c r="H22950" s="40" t="s">
        <v>11404</v>
      </c>
    </row>
    <row r="22951">
      <c r="A22951" s="39"/>
      <c r="E22951" s="40" t="s">
        <v>11404</v>
      </c>
      <c r="F22951" s="40" t="s">
        <v>11404</v>
      </c>
      <c r="G22951" s="40" t="s">
        <v>11404</v>
      </c>
      <c r="H22951" s="40" t="s">
        <v>11404</v>
      </c>
    </row>
    <row r="22952">
      <c r="A22952" s="39"/>
      <c r="E22952" s="40" t="s">
        <v>11404</v>
      </c>
      <c r="F22952" s="40" t="s">
        <v>11404</v>
      </c>
      <c r="G22952" s="40" t="s">
        <v>11404</v>
      </c>
      <c r="H22952" s="40" t="s">
        <v>11404</v>
      </c>
    </row>
    <row r="22953">
      <c r="A22953" s="39"/>
      <c r="E22953" s="40" t="s">
        <v>11404</v>
      </c>
      <c r="F22953" s="40" t="s">
        <v>11404</v>
      </c>
      <c r="G22953" s="40" t="s">
        <v>11404</v>
      </c>
      <c r="H22953" s="40" t="s">
        <v>11404</v>
      </c>
    </row>
    <row r="22954">
      <c r="A22954" s="39"/>
      <c r="E22954" s="40" t="s">
        <v>11404</v>
      </c>
      <c r="F22954" s="40" t="s">
        <v>11404</v>
      </c>
      <c r="G22954" s="40" t="s">
        <v>11404</v>
      </c>
      <c r="H22954" s="40" t="s">
        <v>11404</v>
      </c>
    </row>
    <row r="22955">
      <c r="A22955" s="39"/>
      <c r="E22955" s="40" t="s">
        <v>11404</v>
      </c>
      <c r="F22955" s="40" t="s">
        <v>11404</v>
      </c>
      <c r="G22955" s="40" t="s">
        <v>11404</v>
      </c>
      <c r="H22955" s="40" t="s">
        <v>11404</v>
      </c>
    </row>
    <row r="22956">
      <c r="A22956" s="39"/>
      <c r="E22956" s="40" t="s">
        <v>11404</v>
      </c>
      <c r="F22956" s="40" t="s">
        <v>11404</v>
      </c>
      <c r="G22956" s="40" t="s">
        <v>11404</v>
      </c>
      <c r="H22956" s="40" t="s">
        <v>11404</v>
      </c>
    </row>
    <row r="22957">
      <c r="A22957" s="39"/>
      <c r="E22957" s="40" t="s">
        <v>11404</v>
      </c>
      <c r="F22957" s="40" t="s">
        <v>11404</v>
      </c>
      <c r="G22957" s="40" t="s">
        <v>11404</v>
      </c>
      <c r="H22957" s="40" t="s">
        <v>11404</v>
      </c>
    </row>
    <row r="22958">
      <c r="A22958" s="39"/>
      <c r="E22958" s="40" t="s">
        <v>11404</v>
      </c>
      <c r="F22958" s="40" t="s">
        <v>11404</v>
      </c>
      <c r="G22958" s="40" t="s">
        <v>11404</v>
      </c>
      <c r="H22958" s="40" t="s">
        <v>11404</v>
      </c>
    </row>
    <row r="22959">
      <c r="A22959" s="39"/>
      <c r="E22959" s="40" t="s">
        <v>11404</v>
      </c>
      <c r="F22959" s="40" t="s">
        <v>11404</v>
      </c>
      <c r="G22959" s="40" t="s">
        <v>11404</v>
      </c>
      <c r="H22959" s="40" t="s">
        <v>11404</v>
      </c>
    </row>
    <row r="22960">
      <c r="A22960" s="39"/>
      <c r="E22960" s="40" t="s">
        <v>11404</v>
      </c>
      <c r="F22960" s="40" t="s">
        <v>11404</v>
      </c>
      <c r="G22960" s="40" t="s">
        <v>11404</v>
      </c>
      <c r="H22960" s="40" t="s">
        <v>11404</v>
      </c>
    </row>
    <row r="22961">
      <c r="A22961" s="39"/>
      <c r="E22961" s="40" t="s">
        <v>11404</v>
      </c>
      <c r="F22961" s="40" t="s">
        <v>11404</v>
      </c>
      <c r="G22961" s="40" t="s">
        <v>11404</v>
      </c>
      <c r="H22961" s="40" t="s">
        <v>11404</v>
      </c>
    </row>
    <row r="22962">
      <c r="A22962" s="39"/>
      <c r="E22962" s="40" t="s">
        <v>11404</v>
      </c>
      <c r="F22962" s="40" t="s">
        <v>11404</v>
      </c>
      <c r="G22962" s="40" t="s">
        <v>11404</v>
      </c>
      <c r="H22962" s="40" t="s">
        <v>11404</v>
      </c>
    </row>
    <row r="22963">
      <c r="A22963" s="39"/>
      <c r="E22963" s="40" t="s">
        <v>11404</v>
      </c>
      <c r="F22963" s="40" t="s">
        <v>11404</v>
      </c>
      <c r="G22963" s="40" t="s">
        <v>11404</v>
      </c>
      <c r="H22963" s="40" t="s">
        <v>11404</v>
      </c>
    </row>
    <row r="22964">
      <c r="A22964" s="39"/>
      <c r="E22964" s="40" t="s">
        <v>11404</v>
      </c>
      <c r="F22964" s="40" t="s">
        <v>11404</v>
      </c>
      <c r="G22964" s="40" t="s">
        <v>11404</v>
      </c>
      <c r="H22964" s="40" t="s">
        <v>11404</v>
      </c>
    </row>
    <row r="22965">
      <c r="A22965" s="39"/>
      <c r="E22965" s="40" t="s">
        <v>11404</v>
      </c>
      <c r="F22965" s="40" t="s">
        <v>11404</v>
      </c>
      <c r="G22965" s="40" t="s">
        <v>11404</v>
      </c>
      <c r="H22965" s="40" t="s">
        <v>11404</v>
      </c>
    </row>
    <row r="22966">
      <c r="A22966" s="39"/>
      <c r="E22966" s="40" t="s">
        <v>11404</v>
      </c>
      <c r="F22966" s="40" t="s">
        <v>11404</v>
      </c>
      <c r="G22966" s="40" t="s">
        <v>11404</v>
      </c>
      <c r="H22966" s="40" t="s">
        <v>11404</v>
      </c>
    </row>
    <row r="22967">
      <c r="A22967" s="39"/>
      <c r="E22967" s="40" t="s">
        <v>11404</v>
      </c>
      <c r="F22967" s="40" t="s">
        <v>11404</v>
      </c>
      <c r="G22967" s="40" t="s">
        <v>11404</v>
      </c>
      <c r="H22967" s="40" t="s">
        <v>11404</v>
      </c>
    </row>
    <row r="22968">
      <c r="A22968" s="39"/>
      <c r="E22968" s="40" t="s">
        <v>11404</v>
      </c>
      <c r="F22968" s="40" t="s">
        <v>11404</v>
      </c>
      <c r="G22968" s="40" t="s">
        <v>11404</v>
      </c>
      <c r="H22968" s="40" t="s">
        <v>11404</v>
      </c>
    </row>
    <row r="22969">
      <c r="A22969" s="39"/>
      <c r="E22969" s="40" t="s">
        <v>11404</v>
      </c>
      <c r="F22969" s="40" t="s">
        <v>11404</v>
      </c>
      <c r="G22969" s="40" t="s">
        <v>11404</v>
      </c>
      <c r="H22969" s="40" t="s">
        <v>11404</v>
      </c>
    </row>
    <row r="22970">
      <c r="A22970" s="39"/>
      <c r="E22970" s="40" t="s">
        <v>11404</v>
      </c>
      <c r="F22970" s="40" t="s">
        <v>11404</v>
      </c>
      <c r="G22970" s="40" t="s">
        <v>11404</v>
      </c>
      <c r="H22970" s="40" t="s">
        <v>11404</v>
      </c>
    </row>
    <row r="22971">
      <c r="A22971" s="39"/>
      <c r="E22971" s="40" t="s">
        <v>11404</v>
      </c>
      <c r="F22971" s="40" t="s">
        <v>11404</v>
      </c>
      <c r="G22971" s="40" t="s">
        <v>11404</v>
      </c>
      <c r="H22971" s="40" t="s">
        <v>11404</v>
      </c>
    </row>
    <row r="22972">
      <c r="A22972" s="39"/>
      <c r="E22972" s="40" t="s">
        <v>11404</v>
      </c>
      <c r="F22972" s="40" t="s">
        <v>11404</v>
      </c>
      <c r="G22972" s="40" t="s">
        <v>11404</v>
      </c>
      <c r="H22972" s="40" t="s">
        <v>11404</v>
      </c>
    </row>
    <row r="22973">
      <c r="A22973" s="39"/>
      <c r="E22973" s="40" t="s">
        <v>11404</v>
      </c>
      <c r="F22973" s="40" t="s">
        <v>11404</v>
      </c>
      <c r="G22973" s="40" t="s">
        <v>11404</v>
      </c>
      <c r="H22973" s="40" t="s">
        <v>11404</v>
      </c>
    </row>
    <row r="22974">
      <c r="A22974" s="39"/>
      <c r="E22974" s="40" t="s">
        <v>11404</v>
      </c>
      <c r="F22974" s="40" t="s">
        <v>11404</v>
      </c>
      <c r="G22974" s="40" t="s">
        <v>11404</v>
      </c>
      <c r="H22974" s="40" t="s">
        <v>11404</v>
      </c>
    </row>
    <row r="22975">
      <c r="A22975" s="39"/>
      <c r="E22975" s="40" t="s">
        <v>11404</v>
      </c>
      <c r="F22975" s="40" t="s">
        <v>11404</v>
      </c>
      <c r="G22975" s="40" t="s">
        <v>11404</v>
      </c>
      <c r="H22975" s="40" t="s">
        <v>11404</v>
      </c>
    </row>
    <row r="22976">
      <c r="A22976" s="39"/>
      <c r="E22976" s="40" t="s">
        <v>11404</v>
      </c>
      <c r="F22976" s="40" t="s">
        <v>11404</v>
      </c>
      <c r="G22976" s="40" t="s">
        <v>11404</v>
      </c>
      <c r="H22976" s="40" t="s">
        <v>11404</v>
      </c>
    </row>
    <row r="22977">
      <c r="A22977" s="39"/>
      <c r="E22977" s="40" t="s">
        <v>11404</v>
      </c>
      <c r="F22977" s="40" t="s">
        <v>11404</v>
      </c>
      <c r="G22977" s="40" t="s">
        <v>11404</v>
      </c>
      <c r="H22977" s="40" t="s">
        <v>11404</v>
      </c>
    </row>
    <row r="22978">
      <c r="A22978" s="39"/>
      <c r="E22978" s="40" t="s">
        <v>11404</v>
      </c>
      <c r="F22978" s="40" t="s">
        <v>11404</v>
      </c>
      <c r="G22978" s="40" t="s">
        <v>11404</v>
      </c>
      <c r="H22978" s="40" t="s">
        <v>11404</v>
      </c>
    </row>
    <row r="22979">
      <c r="A22979" s="39"/>
      <c r="E22979" s="40" t="s">
        <v>11404</v>
      </c>
      <c r="F22979" s="40" t="s">
        <v>11404</v>
      </c>
      <c r="G22979" s="40" t="s">
        <v>11404</v>
      </c>
      <c r="H22979" s="40" t="s">
        <v>11404</v>
      </c>
    </row>
    <row r="22980">
      <c r="A22980" s="39"/>
      <c r="E22980" s="40" t="s">
        <v>11404</v>
      </c>
      <c r="F22980" s="40" t="s">
        <v>11404</v>
      </c>
      <c r="G22980" s="40" t="s">
        <v>11404</v>
      </c>
      <c r="H22980" s="40" t="s">
        <v>11404</v>
      </c>
    </row>
    <row r="22981">
      <c r="A22981" s="39"/>
      <c r="E22981" s="40" t="s">
        <v>11404</v>
      </c>
      <c r="F22981" s="40" t="s">
        <v>11404</v>
      </c>
      <c r="G22981" s="40" t="s">
        <v>11404</v>
      </c>
      <c r="H22981" s="40" t="s">
        <v>11404</v>
      </c>
    </row>
    <row r="22982">
      <c r="A22982" s="39"/>
      <c r="E22982" s="40" t="s">
        <v>11404</v>
      </c>
      <c r="F22982" s="40" t="s">
        <v>11404</v>
      </c>
      <c r="G22982" s="40" t="s">
        <v>11404</v>
      </c>
      <c r="H22982" s="40" t="s">
        <v>11404</v>
      </c>
    </row>
    <row r="22983">
      <c r="A22983" s="39"/>
      <c r="E22983" s="40" t="s">
        <v>11404</v>
      </c>
      <c r="F22983" s="40" t="s">
        <v>11404</v>
      </c>
      <c r="G22983" s="40" t="s">
        <v>11404</v>
      </c>
      <c r="H22983" s="40" t="s">
        <v>11404</v>
      </c>
    </row>
    <row r="22984">
      <c r="A22984" s="39"/>
      <c r="E22984" s="40" t="s">
        <v>11404</v>
      </c>
      <c r="F22984" s="40" t="s">
        <v>11404</v>
      </c>
      <c r="G22984" s="40" t="s">
        <v>11404</v>
      </c>
      <c r="H22984" s="40" t="s">
        <v>11404</v>
      </c>
    </row>
    <row r="22985">
      <c r="A22985" s="39"/>
      <c r="E22985" s="40" t="s">
        <v>11404</v>
      </c>
      <c r="F22985" s="40" t="s">
        <v>11404</v>
      </c>
      <c r="G22985" s="40" t="s">
        <v>11404</v>
      </c>
      <c r="H22985" s="40" t="s">
        <v>11404</v>
      </c>
    </row>
    <row r="22986">
      <c r="A22986" s="39"/>
      <c r="E22986" s="40" t="s">
        <v>11404</v>
      </c>
      <c r="F22986" s="40" t="s">
        <v>11404</v>
      </c>
      <c r="G22986" s="40" t="s">
        <v>11404</v>
      </c>
      <c r="H22986" s="40" t="s">
        <v>11404</v>
      </c>
    </row>
    <row r="22987">
      <c r="A22987" s="39"/>
      <c r="E22987" s="40" t="s">
        <v>11404</v>
      </c>
      <c r="F22987" s="40" t="s">
        <v>11404</v>
      </c>
      <c r="G22987" s="40" t="s">
        <v>11404</v>
      </c>
      <c r="H22987" s="40" t="s">
        <v>11404</v>
      </c>
    </row>
    <row r="22988">
      <c r="A22988" s="39"/>
      <c r="E22988" s="40" t="s">
        <v>11404</v>
      </c>
      <c r="F22988" s="40" t="s">
        <v>11404</v>
      </c>
      <c r="G22988" s="40" t="s">
        <v>11404</v>
      </c>
      <c r="H22988" s="40" t="s">
        <v>11404</v>
      </c>
    </row>
    <row r="22989">
      <c r="A22989" s="39"/>
      <c r="E22989" s="40" t="s">
        <v>11404</v>
      </c>
      <c r="F22989" s="40" t="s">
        <v>11404</v>
      </c>
      <c r="G22989" s="40" t="s">
        <v>11404</v>
      </c>
      <c r="H22989" s="40" t="s">
        <v>11404</v>
      </c>
    </row>
    <row r="22990">
      <c r="A22990" s="39"/>
      <c r="E22990" s="40" t="s">
        <v>11404</v>
      </c>
      <c r="F22990" s="40" t="s">
        <v>11404</v>
      </c>
      <c r="G22990" s="40" t="s">
        <v>11404</v>
      </c>
      <c r="H22990" s="40" t="s">
        <v>11404</v>
      </c>
    </row>
    <row r="22991">
      <c r="A22991" s="39"/>
      <c r="E22991" s="40" t="s">
        <v>11404</v>
      </c>
      <c r="F22991" s="40" t="s">
        <v>11404</v>
      </c>
      <c r="G22991" s="40" t="s">
        <v>11404</v>
      </c>
      <c r="H22991" s="40" t="s">
        <v>11404</v>
      </c>
    </row>
    <row r="22992">
      <c r="A22992" s="39"/>
      <c r="E22992" s="40" t="s">
        <v>11404</v>
      </c>
      <c r="F22992" s="40" t="s">
        <v>11404</v>
      </c>
      <c r="G22992" s="40" t="s">
        <v>11404</v>
      </c>
      <c r="H22992" s="40" t="s">
        <v>11404</v>
      </c>
    </row>
    <row r="22993">
      <c r="A22993" s="39"/>
      <c r="E22993" s="40" t="s">
        <v>11404</v>
      </c>
      <c r="F22993" s="40" t="s">
        <v>11404</v>
      </c>
      <c r="G22993" s="40" t="s">
        <v>11404</v>
      </c>
      <c r="H22993" s="40" t="s">
        <v>11404</v>
      </c>
    </row>
    <row r="22994">
      <c r="A22994" s="39"/>
      <c r="E22994" s="40" t="s">
        <v>11404</v>
      </c>
      <c r="F22994" s="40" t="s">
        <v>11404</v>
      </c>
      <c r="G22994" s="40" t="s">
        <v>11404</v>
      </c>
      <c r="H22994" s="40" t="s">
        <v>11404</v>
      </c>
    </row>
    <row r="22995">
      <c r="A22995" s="39"/>
      <c r="E22995" s="40" t="s">
        <v>11404</v>
      </c>
      <c r="F22995" s="40" t="s">
        <v>11404</v>
      </c>
      <c r="G22995" s="40" t="s">
        <v>11404</v>
      </c>
      <c r="H22995" s="40" t="s">
        <v>11404</v>
      </c>
    </row>
    <row r="22996">
      <c r="A22996" s="39"/>
      <c r="E22996" s="40" t="s">
        <v>11404</v>
      </c>
      <c r="F22996" s="40" t="s">
        <v>11404</v>
      </c>
      <c r="G22996" s="40" t="s">
        <v>11404</v>
      </c>
      <c r="H22996" s="40" t="s">
        <v>11404</v>
      </c>
    </row>
    <row r="22997">
      <c r="A22997" s="39"/>
      <c r="E22997" s="40" t="s">
        <v>11404</v>
      </c>
      <c r="F22997" s="40" t="s">
        <v>11404</v>
      </c>
      <c r="G22997" s="40" t="s">
        <v>11404</v>
      </c>
      <c r="H22997" s="40" t="s">
        <v>11404</v>
      </c>
    </row>
    <row r="22998">
      <c r="A22998" s="39"/>
      <c r="E22998" s="40" t="s">
        <v>11404</v>
      </c>
      <c r="F22998" s="40" t="s">
        <v>11404</v>
      </c>
      <c r="G22998" s="40" t="s">
        <v>11404</v>
      </c>
      <c r="H22998" s="40" t="s">
        <v>11404</v>
      </c>
    </row>
    <row r="22999">
      <c r="A22999" s="39"/>
      <c r="E22999" s="40" t="s">
        <v>11404</v>
      </c>
      <c r="F22999" s="40" t="s">
        <v>11404</v>
      </c>
      <c r="G22999" s="40" t="s">
        <v>11404</v>
      </c>
      <c r="H22999" s="40" t="s">
        <v>11404</v>
      </c>
    </row>
    <row r="23000">
      <c r="A23000" s="39"/>
      <c r="E23000" s="40" t="s">
        <v>11404</v>
      </c>
      <c r="F23000" s="40" t="s">
        <v>11404</v>
      </c>
      <c r="G23000" s="40" t="s">
        <v>11404</v>
      </c>
      <c r="H23000" s="40" t="s">
        <v>11404</v>
      </c>
    </row>
    <row r="23001">
      <c r="A23001" s="39"/>
      <c r="E23001" s="40" t="s">
        <v>11404</v>
      </c>
      <c r="F23001" s="40" t="s">
        <v>11404</v>
      </c>
      <c r="G23001" s="40" t="s">
        <v>11404</v>
      </c>
      <c r="H23001" s="40" t="s">
        <v>11404</v>
      </c>
    </row>
    <row r="23002">
      <c r="A23002" s="39"/>
      <c r="E23002" s="40" t="s">
        <v>11404</v>
      </c>
      <c r="F23002" s="40" t="s">
        <v>11404</v>
      </c>
      <c r="G23002" s="40" t="s">
        <v>11404</v>
      </c>
      <c r="H23002" s="40" t="s">
        <v>11404</v>
      </c>
    </row>
    <row r="23003">
      <c r="A23003" s="39"/>
      <c r="E23003" s="40" t="s">
        <v>11404</v>
      </c>
      <c r="F23003" s="40" t="s">
        <v>11404</v>
      </c>
      <c r="G23003" s="40" t="s">
        <v>11404</v>
      </c>
      <c r="H23003" s="40" t="s">
        <v>11404</v>
      </c>
    </row>
    <row r="23004">
      <c r="A23004" s="39"/>
      <c r="E23004" s="40" t="s">
        <v>11404</v>
      </c>
      <c r="F23004" s="40" t="s">
        <v>11404</v>
      </c>
      <c r="G23004" s="40" t="s">
        <v>11404</v>
      </c>
      <c r="H23004" s="40" t="s">
        <v>11404</v>
      </c>
    </row>
    <row r="23005">
      <c r="A23005" s="39"/>
      <c r="E23005" s="40" t="s">
        <v>11404</v>
      </c>
      <c r="F23005" s="40" t="s">
        <v>11404</v>
      </c>
      <c r="G23005" s="40" t="s">
        <v>11404</v>
      </c>
      <c r="H23005" s="40" t="s">
        <v>11404</v>
      </c>
    </row>
    <row r="23006">
      <c r="A23006" s="39"/>
      <c r="E23006" s="40" t="s">
        <v>11404</v>
      </c>
      <c r="F23006" s="40" t="s">
        <v>11404</v>
      </c>
      <c r="G23006" s="40" t="s">
        <v>11404</v>
      </c>
      <c r="H23006" s="40" t="s">
        <v>11404</v>
      </c>
    </row>
    <row r="23007">
      <c r="A23007" s="39"/>
      <c r="E23007" s="40" t="s">
        <v>11404</v>
      </c>
      <c r="F23007" s="40" t="s">
        <v>11404</v>
      </c>
      <c r="G23007" s="40" t="s">
        <v>11404</v>
      </c>
      <c r="H23007" s="40" t="s">
        <v>11404</v>
      </c>
    </row>
    <row r="23008">
      <c r="A23008" s="39"/>
      <c r="E23008" s="40" t="s">
        <v>11404</v>
      </c>
      <c r="F23008" s="40" t="s">
        <v>11404</v>
      </c>
      <c r="G23008" s="40" t="s">
        <v>11404</v>
      </c>
      <c r="H23008" s="40" t="s">
        <v>11404</v>
      </c>
    </row>
    <row r="23009">
      <c r="A23009" s="39"/>
      <c r="E23009" s="40" t="s">
        <v>11404</v>
      </c>
      <c r="F23009" s="40" t="s">
        <v>11404</v>
      </c>
      <c r="G23009" s="40" t="s">
        <v>11404</v>
      </c>
      <c r="H23009" s="40" t="s">
        <v>11404</v>
      </c>
    </row>
    <row r="23010">
      <c r="A23010" s="39"/>
      <c r="E23010" s="40" t="s">
        <v>11404</v>
      </c>
      <c r="F23010" s="40" t="s">
        <v>11404</v>
      </c>
      <c r="G23010" s="40" t="s">
        <v>11404</v>
      </c>
      <c r="H23010" s="40" t="s">
        <v>11404</v>
      </c>
    </row>
    <row r="23011">
      <c r="A23011" s="39"/>
      <c r="E23011" s="40" t="s">
        <v>11404</v>
      </c>
      <c r="F23011" s="40" t="s">
        <v>11404</v>
      </c>
      <c r="G23011" s="40" t="s">
        <v>11404</v>
      </c>
      <c r="H23011" s="40" t="s">
        <v>11404</v>
      </c>
    </row>
    <row r="23012">
      <c r="A23012" s="39"/>
      <c r="E23012" s="40" t="s">
        <v>11404</v>
      </c>
      <c r="F23012" s="40" t="s">
        <v>11404</v>
      </c>
      <c r="G23012" s="40" t="s">
        <v>11404</v>
      </c>
      <c r="H23012" s="40" t="s">
        <v>11404</v>
      </c>
    </row>
    <row r="23013">
      <c r="A23013" s="39"/>
      <c r="E23013" s="40" t="s">
        <v>11404</v>
      </c>
      <c r="F23013" s="40" t="s">
        <v>11404</v>
      </c>
      <c r="G23013" s="40" t="s">
        <v>11404</v>
      </c>
      <c r="H23013" s="40" t="s">
        <v>11404</v>
      </c>
    </row>
    <row r="23014">
      <c r="A23014" s="39"/>
      <c r="E23014" s="40" t="s">
        <v>11404</v>
      </c>
      <c r="F23014" s="40" t="s">
        <v>11404</v>
      </c>
      <c r="G23014" s="40" t="s">
        <v>11404</v>
      </c>
      <c r="H23014" s="40" t="s">
        <v>11404</v>
      </c>
    </row>
    <row r="23015">
      <c r="A23015" s="39"/>
      <c r="E23015" s="40" t="s">
        <v>11404</v>
      </c>
      <c r="F23015" s="40" t="s">
        <v>11404</v>
      </c>
      <c r="G23015" s="40" t="s">
        <v>11404</v>
      </c>
      <c r="H23015" s="40" t="s">
        <v>11404</v>
      </c>
    </row>
    <row r="23016">
      <c r="A23016" s="39"/>
      <c r="E23016" s="40" t="s">
        <v>11404</v>
      </c>
      <c r="F23016" s="40" t="s">
        <v>11404</v>
      </c>
      <c r="G23016" s="40" t="s">
        <v>11404</v>
      </c>
      <c r="H23016" s="40" t="s">
        <v>11404</v>
      </c>
    </row>
    <row r="23017">
      <c r="A23017" s="39"/>
      <c r="E23017" s="40" t="s">
        <v>11404</v>
      </c>
      <c r="F23017" s="40" t="s">
        <v>11404</v>
      </c>
      <c r="G23017" s="40" t="s">
        <v>11404</v>
      </c>
      <c r="H23017" s="40" t="s">
        <v>11404</v>
      </c>
    </row>
    <row r="23018">
      <c r="A23018" s="39"/>
      <c r="E23018" s="40" t="s">
        <v>11404</v>
      </c>
      <c r="F23018" s="40" t="s">
        <v>11404</v>
      </c>
      <c r="G23018" s="40" t="s">
        <v>11404</v>
      </c>
      <c r="H23018" s="40" t="s">
        <v>11404</v>
      </c>
    </row>
    <row r="23019">
      <c r="A23019" s="39"/>
      <c r="E23019" s="40" t="s">
        <v>11404</v>
      </c>
      <c r="F23019" s="40" t="s">
        <v>11404</v>
      </c>
      <c r="G23019" s="40" t="s">
        <v>11404</v>
      </c>
      <c r="H23019" s="40" t="s">
        <v>11404</v>
      </c>
    </row>
    <row r="23020">
      <c r="A23020" s="39"/>
      <c r="E23020" s="40" t="s">
        <v>11404</v>
      </c>
      <c r="F23020" s="40" t="s">
        <v>11404</v>
      </c>
      <c r="G23020" s="40" t="s">
        <v>11404</v>
      </c>
      <c r="H23020" s="40" t="s">
        <v>11404</v>
      </c>
    </row>
    <row r="23021">
      <c r="A23021" s="39"/>
      <c r="E23021" s="40" t="s">
        <v>11404</v>
      </c>
      <c r="F23021" s="40" t="s">
        <v>11404</v>
      </c>
      <c r="G23021" s="40" t="s">
        <v>11404</v>
      </c>
      <c r="H23021" s="40" t="s">
        <v>11404</v>
      </c>
    </row>
    <row r="23022">
      <c r="A23022" s="39"/>
      <c r="E23022" s="40" t="s">
        <v>11404</v>
      </c>
      <c r="F23022" s="40" t="s">
        <v>11404</v>
      </c>
      <c r="G23022" s="40" t="s">
        <v>11404</v>
      </c>
      <c r="H23022" s="40" t="s">
        <v>11404</v>
      </c>
    </row>
    <row r="23023">
      <c r="A23023" s="39"/>
      <c r="E23023" s="40" t="s">
        <v>11404</v>
      </c>
      <c r="F23023" s="40" t="s">
        <v>11404</v>
      </c>
      <c r="G23023" s="40" t="s">
        <v>11404</v>
      </c>
      <c r="H23023" s="40" t="s">
        <v>11404</v>
      </c>
    </row>
    <row r="23024">
      <c r="A23024" s="39"/>
      <c r="E23024" s="40" t="s">
        <v>11404</v>
      </c>
      <c r="F23024" s="40" t="s">
        <v>11404</v>
      </c>
      <c r="G23024" s="40" t="s">
        <v>11404</v>
      </c>
      <c r="H23024" s="40" t="s">
        <v>11404</v>
      </c>
    </row>
    <row r="23025">
      <c r="A23025" s="39"/>
      <c r="E23025" s="40" t="s">
        <v>11404</v>
      </c>
      <c r="F23025" s="40" t="s">
        <v>11404</v>
      </c>
      <c r="G23025" s="40" t="s">
        <v>11404</v>
      </c>
      <c r="H23025" s="40" t="s">
        <v>11404</v>
      </c>
    </row>
    <row r="23026">
      <c r="A23026" s="39"/>
      <c r="E23026" s="40" t="s">
        <v>11404</v>
      </c>
      <c r="F23026" s="40" t="s">
        <v>11404</v>
      </c>
      <c r="G23026" s="40" t="s">
        <v>11404</v>
      </c>
      <c r="H23026" s="40" t="s">
        <v>11404</v>
      </c>
    </row>
    <row r="23027">
      <c r="A23027" s="39"/>
      <c r="E23027" s="40" t="s">
        <v>11404</v>
      </c>
      <c r="F23027" s="40" t="s">
        <v>11404</v>
      </c>
      <c r="G23027" s="40" t="s">
        <v>11404</v>
      </c>
      <c r="H23027" s="40" t="s">
        <v>11404</v>
      </c>
    </row>
    <row r="23028">
      <c r="A23028" s="39"/>
      <c r="E23028" s="40" t="s">
        <v>11404</v>
      </c>
      <c r="F23028" s="40" t="s">
        <v>11404</v>
      </c>
      <c r="G23028" s="40" t="s">
        <v>11404</v>
      </c>
      <c r="H23028" s="40" t="s">
        <v>11404</v>
      </c>
    </row>
    <row r="23029">
      <c r="A23029" s="39"/>
      <c r="E23029" s="40" t="s">
        <v>11404</v>
      </c>
      <c r="F23029" s="40" t="s">
        <v>11404</v>
      </c>
      <c r="G23029" s="40" t="s">
        <v>11404</v>
      </c>
      <c r="H23029" s="40" t="s">
        <v>11404</v>
      </c>
    </row>
    <row r="23030">
      <c r="A23030" s="39"/>
      <c r="E23030" s="40" t="s">
        <v>11404</v>
      </c>
      <c r="F23030" s="40" t="s">
        <v>11404</v>
      </c>
      <c r="G23030" s="40" t="s">
        <v>11404</v>
      </c>
      <c r="H23030" s="40" t="s">
        <v>11404</v>
      </c>
    </row>
    <row r="23031">
      <c r="A23031" s="39"/>
      <c r="E23031" s="40" t="s">
        <v>11404</v>
      </c>
      <c r="F23031" s="40" t="s">
        <v>11404</v>
      </c>
      <c r="G23031" s="40" t="s">
        <v>11404</v>
      </c>
      <c r="H23031" s="40" t="s">
        <v>11404</v>
      </c>
    </row>
    <row r="23032">
      <c r="A23032" s="39"/>
      <c r="E23032" s="40" t="s">
        <v>11404</v>
      </c>
      <c r="F23032" s="40" t="s">
        <v>11404</v>
      </c>
      <c r="G23032" s="40" t="s">
        <v>11404</v>
      </c>
      <c r="H23032" s="40" t="s">
        <v>11404</v>
      </c>
    </row>
    <row r="23033">
      <c r="A23033" s="39"/>
      <c r="E23033" s="40" t="s">
        <v>11404</v>
      </c>
      <c r="F23033" s="40" t="s">
        <v>11404</v>
      </c>
      <c r="G23033" s="40" t="s">
        <v>11404</v>
      </c>
      <c r="H23033" s="40" t="s">
        <v>11404</v>
      </c>
    </row>
    <row r="23034">
      <c r="A23034" s="39"/>
      <c r="E23034" s="40" t="s">
        <v>11404</v>
      </c>
      <c r="F23034" s="40" t="s">
        <v>11404</v>
      </c>
      <c r="G23034" s="40" t="s">
        <v>11404</v>
      </c>
      <c r="H23034" s="40" t="s">
        <v>11404</v>
      </c>
    </row>
    <row r="23035">
      <c r="A23035" s="39"/>
      <c r="E23035" s="40" t="s">
        <v>11404</v>
      </c>
      <c r="F23035" s="40" t="s">
        <v>11404</v>
      </c>
      <c r="G23035" s="40" t="s">
        <v>11404</v>
      </c>
      <c r="H23035" s="40" t="s">
        <v>11404</v>
      </c>
    </row>
    <row r="23036">
      <c r="A23036" s="39"/>
      <c r="E23036" s="40" t="s">
        <v>11404</v>
      </c>
      <c r="F23036" s="40" t="s">
        <v>11404</v>
      </c>
      <c r="G23036" s="40" t="s">
        <v>11404</v>
      </c>
      <c r="H23036" s="40" t="s">
        <v>11404</v>
      </c>
    </row>
    <row r="23037">
      <c r="A23037" s="39"/>
      <c r="E23037" s="40" t="s">
        <v>11404</v>
      </c>
      <c r="F23037" s="40" t="s">
        <v>11404</v>
      </c>
      <c r="G23037" s="40" t="s">
        <v>11404</v>
      </c>
      <c r="H23037" s="40" t="s">
        <v>11404</v>
      </c>
    </row>
    <row r="23038">
      <c r="A23038" s="39"/>
      <c r="E23038" s="40" t="s">
        <v>11404</v>
      </c>
      <c r="F23038" s="40" t="s">
        <v>11404</v>
      </c>
      <c r="G23038" s="40" t="s">
        <v>11404</v>
      </c>
      <c r="H23038" s="40" t="s">
        <v>11404</v>
      </c>
    </row>
    <row r="23039">
      <c r="A23039" s="39"/>
      <c r="E23039" s="40" t="s">
        <v>11404</v>
      </c>
      <c r="F23039" s="40" t="s">
        <v>11404</v>
      </c>
      <c r="G23039" s="40" t="s">
        <v>11404</v>
      </c>
      <c r="H23039" s="40" t="s">
        <v>11404</v>
      </c>
    </row>
    <row r="23040">
      <c r="A23040" s="39"/>
      <c r="E23040" s="40" t="s">
        <v>11404</v>
      </c>
      <c r="F23040" s="40" t="s">
        <v>11404</v>
      </c>
      <c r="G23040" s="40" t="s">
        <v>11404</v>
      </c>
      <c r="H23040" s="40" t="s">
        <v>11404</v>
      </c>
    </row>
    <row r="23041">
      <c r="A23041" s="39"/>
      <c r="E23041" s="40" t="s">
        <v>11404</v>
      </c>
      <c r="F23041" s="40" t="s">
        <v>11404</v>
      </c>
      <c r="G23041" s="40" t="s">
        <v>11404</v>
      </c>
      <c r="H23041" s="40" t="s">
        <v>11404</v>
      </c>
    </row>
    <row r="23042">
      <c r="A23042" s="39"/>
      <c r="E23042" s="40" t="s">
        <v>11404</v>
      </c>
      <c r="F23042" s="40" t="s">
        <v>11404</v>
      </c>
      <c r="G23042" s="40" t="s">
        <v>11404</v>
      </c>
      <c r="H23042" s="40" t="s">
        <v>11404</v>
      </c>
    </row>
    <row r="23043">
      <c r="A23043" s="39"/>
      <c r="E23043" s="40" t="s">
        <v>11404</v>
      </c>
      <c r="F23043" s="40" t="s">
        <v>11404</v>
      </c>
      <c r="G23043" s="40" t="s">
        <v>11404</v>
      </c>
      <c r="H23043" s="40" t="s">
        <v>11404</v>
      </c>
    </row>
    <row r="23044">
      <c r="A23044" s="39"/>
      <c r="E23044" s="40" t="s">
        <v>11404</v>
      </c>
      <c r="F23044" s="40" t="s">
        <v>11404</v>
      </c>
      <c r="G23044" s="40" t="s">
        <v>11404</v>
      </c>
      <c r="H23044" s="40" t="s">
        <v>11404</v>
      </c>
    </row>
    <row r="23045">
      <c r="A23045" s="39"/>
      <c r="E23045" s="40" t="s">
        <v>11404</v>
      </c>
      <c r="F23045" s="40" t="s">
        <v>11404</v>
      </c>
      <c r="G23045" s="40" t="s">
        <v>11404</v>
      </c>
      <c r="H23045" s="40" t="s">
        <v>11404</v>
      </c>
    </row>
    <row r="23046">
      <c r="A23046" s="39"/>
      <c r="E23046" s="40" t="s">
        <v>11404</v>
      </c>
      <c r="F23046" s="40" t="s">
        <v>11404</v>
      </c>
      <c r="G23046" s="40" t="s">
        <v>11404</v>
      </c>
      <c r="H23046" s="40" t="s">
        <v>11404</v>
      </c>
    </row>
    <row r="23047">
      <c r="A23047" s="39"/>
      <c r="E23047" s="40" t="s">
        <v>11404</v>
      </c>
      <c r="F23047" s="40" t="s">
        <v>11404</v>
      </c>
      <c r="G23047" s="40" t="s">
        <v>11404</v>
      </c>
      <c r="H23047" s="40" t="s">
        <v>11404</v>
      </c>
    </row>
    <row r="23048">
      <c r="A23048" s="39"/>
      <c r="E23048" s="40" t="s">
        <v>11404</v>
      </c>
      <c r="F23048" s="40" t="s">
        <v>11404</v>
      </c>
      <c r="G23048" s="40" t="s">
        <v>11404</v>
      </c>
      <c r="H23048" s="40" t="s">
        <v>11404</v>
      </c>
    </row>
    <row r="23049">
      <c r="A23049" s="39"/>
      <c r="E23049" s="40" t="s">
        <v>11404</v>
      </c>
      <c r="F23049" s="40" t="s">
        <v>11404</v>
      </c>
      <c r="G23049" s="40" t="s">
        <v>11404</v>
      </c>
      <c r="H23049" s="40" t="s">
        <v>11404</v>
      </c>
    </row>
    <row r="23050">
      <c r="A23050" s="39"/>
      <c r="E23050" s="40" t="s">
        <v>11404</v>
      </c>
      <c r="F23050" s="40" t="s">
        <v>11404</v>
      </c>
      <c r="G23050" s="40" t="s">
        <v>11404</v>
      </c>
      <c r="H23050" s="40" t="s">
        <v>11404</v>
      </c>
    </row>
    <row r="23051">
      <c r="A23051" s="39"/>
      <c r="E23051" s="40" t="s">
        <v>11404</v>
      </c>
      <c r="F23051" s="40" t="s">
        <v>11404</v>
      </c>
      <c r="G23051" s="40" t="s">
        <v>11404</v>
      </c>
      <c r="H23051" s="40" t="s">
        <v>11404</v>
      </c>
    </row>
    <row r="23052">
      <c r="A23052" s="39"/>
      <c r="E23052" s="40" t="s">
        <v>11404</v>
      </c>
      <c r="F23052" s="40" t="s">
        <v>11404</v>
      </c>
      <c r="G23052" s="40" t="s">
        <v>11404</v>
      </c>
      <c r="H23052" s="40" t="s">
        <v>11404</v>
      </c>
    </row>
    <row r="23053">
      <c r="A23053" s="39"/>
      <c r="E23053" s="40" t="s">
        <v>11404</v>
      </c>
      <c r="F23053" s="40" t="s">
        <v>11404</v>
      </c>
      <c r="G23053" s="40" t="s">
        <v>11404</v>
      </c>
      <c r="H23053" s="40" t="s">
        <v>11404</v>
      </c>
    </row>
    <row r="23054">
      <c r="A23054" s="39"/>
      <c r="E23054" s="40" t="s">
        <v>11404</v>
      </c>
      <c r="F23054" s="40" t="s">
        <v>11404</v>
      </c>
      <c r="G23054" s="40" t="s">
        <v>11404</v>
      </c>
      <c r="H23054" s="40" t="s">
        <v>11404</v>
      </c>
    </row>
    <row r="23055">
      <c r="A23055" s="39"/>
      <c r="E23055" s="40" t="s">
        <v>11404</v>
      </c>
      <c r="F23055" s="40" t="s">
        <v>11404</v>
      </c>
      <c r="G23055" s="40" t="s">
        <v>11404</v>
      </c>
      <c r="H23055" s="40" t="s">
        <v>11404</v>
      </c>
    </row>
    <row r="23056">
      <c r="A23056" s="39"/>
      <c r="E23056" s="40" t="s">
        <v>11404</v>
      </c>
      <c r="F23056" s="40" t="s">
        <v>11404</v>
      </c>
      <c r="G23056" s="40" t="s">
        <v>11404</v>
      </c>
      <c r="H23056" s="40" t="s">
        <v>11404</v>
      </c>
    </row>
    <row r="23057">
      <c r="A23057" s="39"/>
      <c r="E23057" s="40" t="s">
        <v>11404</v>
      </c>
      <c r="F23057" s="40" t="s">
        <v>11404</v>
      </c>
      <c r="G23057" s="40" t="s">
        <v>11404</v>
      </c>
      <c r="H23057" s="40" t="s">
        <v>11404</v>
      </c>
    </row>
    <row r="23058">
      <c r="A23058" s="39"/>
      <c r="E23058" s="40" t="s">
        <v>11404</v>
      </c>
      <c r="F23058" s="40" t="s">
        <v>11404</v>
      </c>
      <c r="G23058" s="40" t="s">
        <v>11404</v>
      </c>
      <c r="H23058" s="40" t="s">
        <v>11404</v>
      </c>
    </row>
    <row r="23059">
      <c r="A23059" s="39"/>
      <c r="E23059" s="40" t="s">
        <v>11404</v>
      </c>
      <c r="F23059" s="40" t="s">
        <v>11404</v>
      </c>
      <c r="G23059" s="40" t="s">
        <v>11404</v>
      </c>
      <c r="H23059" s="40" t="s">
        <v>11404</v>
      </c>
    </row>
    <row r="23060">
      <c r="A23060" s="39"/>
      <c r="E23060" s="40" t="s">
        <v>11404</v>
      </c>
      <c r="F23060" s="40" t="s">
        <v>11404</v>
      </c>
      <c r="G23060" s="40" t="s">
        <v>11404</v>
      </c>
      <c r="H23060" s="40" t="s">
        <v>11404</v>
      </c>
    </row>
    <row r="23061">
      <c r="A23061" s="39"/>
      <c r="E23061" s="40" t="s">
        <v>11404</v>
      </c>
      <c r="F23061" s="40" t="s">
        <v>11404</v>
      </c>
      <c r="G23061" s="40" t="s">
        <v>11404</v>
      </c>
      <c r="H23061" s="40" t="s">
        <v>11404</v>
      </c>
    </row>
    <row r="23062">
      <c r="A23062" s="39"/>
      <c r="E23062" s="40" t="s">
        <v>11404</v>
      </c>
      <c r="F23062" s="40" t="s">
        <v>11404</v>
      </c>
      <c r="G23062" s="40" t="s">
        <v>11404</v>
      </c>
      <c r="H23062" s="40" t="s">
        <v>11404</v>
      </c>
    </row>
    <row r="23063">
      <c r="A23063" s="39"/>
      <c r="E23063" s="40" t="s">
        <v>11404</v>
      </c>
      <c r="F23063" s="40" t="s">
        <v>11404</v>
      </c>
      <c r="G23063" s="40" t="s">
        <v>11404</v>
      </c>
      <c r="H23063" s="40" t="s">
        <v>11404</v>
      </c>
    </row>
    <row r="23064">
      <c r="A23064" s="39"/>
      <c r="E23064" s="40" t="s">
        <v>11404</v>
      </c>
      <c r="F23064" s="40" t="s">
        <v>11404</v>
      </c>
      <c r="G23064" s="40" t="s">
        <v>11404</v>
      </c>
      <c r="H23064" s="40" t="s">
        <v>11404</v>
      </c>
    </row>
    <row r="23065">
      <c r="A23065" s="39"/>
      <c r="E23065" s="40" t="s">
        <v>11404</v>
      </c>
      <c r="F23065" s="40" t="s">
        <v>11404</v>
      </c>
      <c r="G23065" s="40" t="s">
        <v>11404</v>
      </c>
      <c r="H23065" s="40" t="s">
        <v>11404</v>
      </c>
    </row>
    <row r="23066">
      <c r="A23066" s="39"/>
      <c r="E23066" s="40" t="s">
        <v>11404</v>
      </c>
      <c r="F23066" s="40" t="s">
        <v>11404</v>
      </c>
      <c r="G23066" s="40" t="s">
        <v>11404</v>
      </c>
      <c r="H23066" s="40" t="s">
        <v>11404</v>
      </c>
    </row>
    <row r="23067">
      <c r="A23067" s="39"/>
      <c r="E23067" s="40" t="s">
        <v>11404</v>
      </c>
      <c r="F23067" s="40" t="s">
        <v>11404</v>
      </c>
      <c r="G23067" s="40" t="s">
        <v>11404</v>
      </c>
      <c r="H23067" s="40" t="s">
        <v>11404</v>
      </c>
    </row>
    <row r="23068">
      <c r="A23068" s="39"/>
      <c r="E23068" s="40" t="s">
        <v>11404</v>
      </c>
      <c r="F23068" s="40" t="s">
        <v>11404</v>
      </c>
      <c r="G23068" s="40" t="s">
        <v>11404</v>
      </c>
      <c r="H23068" s="40" t="s">
        <v>11404</v>
      </c>
    </row>
    <row r="23069">
      <c r="A23069" s="39"/>
      <c r="E23069" s="40" t="s">
        <v>11404</v>
      </c>
      <c r="F23069" s="40" t="s">
        <v>11404</v>
      </c>
      <c r="G23069" s="40" t="s">
        <v>11404</v>
      </c>
      <c r="H23069" s="40" t="s">
        <v>11404</v>
      </c>
    </row>
    <row r="23070">
      <c r="A23070" s="39"/>
      <c r="E23070" s="40" t="s">
        <v>11404</v>
      </c>
      <c r="F23070" s="40" t="s">
        <v>11404</v>
      </c>
      <c r="G23070" s="40" t="s">
        <v>11404</v>
      </c>
      <c r="H23070" s="40" t="s">
        <v>11404</v>
      </c>
    </row>
    <row r="23071">
      <c r="A23071" s="39"/>
      <c r="E23071" s="40" t="s">
        <v>11404</v>
      </c>
      <c r="F23071" s="40" t="s">
        <v>11404</v>
      </c>
      <c r="G23071" s="40" t="s">
        <v>11404</v>
      </c>
      <c r="H23071" s="40" t="s">
        <v>11404</v>
      </c>
    </row>
    <row r="23072">
      <c r="A23072" s="39"/>
      <c r="E23072" s="40" t="s">
        <v>11404</v>
      </c>
      <c r="F23072" s="40" t="s">
        <v>11404</v>
      </c>
      <c r="G23072" s="40" t="s">
        <v>11404</v>
      </c>
      <c r="H23072" s="40" t="s">
        <v>11404</v>
      </c>
    </row>
    <row r="23073">
      <c r="A23073" s="39"/>
      <c r="E23073" s="40" t="s">
        <v>11404</v>
      </c>
      <c r="F23073" s="40" t="s">
        <v>11404</v>
      </c>
      <c r="G23073" s="40" t="s">
        <v>11404</v>
      </c>
      <c r="H23073" s="40" t="s">
        <v>11404</v>
      </c>
    </row>
    <row r="23074">
      <c r="A23074" s="39"/>
      <c r="E23074" s="40" t="s">
        <v>11404</v>
      </c>
      <c r="F23074" s="40" t="s">
        <v>11404</v>
      </c>
      <c r="G23074" s="40" t="s">
        <v>11404</v>
      </c>
      <c r="H23074" s="40" t="s">
        <v>11404</v>
      </c>
    </row>
    <row r="23075">
      <c r="A23075" s="39"/>
      <c r="E23075" s="40" t="s">
        <v>11404</v>
      </c>
      <c r="F23075" s="40" t="s">
        <v>11404</v>
      </c>
      <c r="G23075" s="40" t="s">
        <v>11404</v>
      </c>
      <c r="H23075" s="40" t="s">
        <v>11404</v>
      </c>
    </row>
    <row r="23076">
      <c r="A23076" s="39"/>
      <c r="E23076" s="40" t="s">
        <v>11404</v>
      </c>
      <c r="F23076" s="40" t="s">
        <v>11404</v>
      </c>
      <c r="G23076" s="40" t="s">
        <v>11404</v>
      </c>
      <c r="H23076" s="40" t="s">
        <v>11404</v>
      </c>
    </row>
    <row r="23077">
      <c r="A23077" s="39"/>
      <c r="E23077" s="40" t="s">
        <v>11404</v>
      </c>
      <c r="F23077" s="40" t="s">
        <v>11404</v>
      </c>
      <c r="G23077" s="40" t="s">
        <v>11404</v>
      </c>
      <c r="H23077" s="40" t="s">
        <v>11404</v>
      </c>
    </row>
    <row r="23078">
      <c r="A23078" s="39"/>
      <c r="E23078" s="40" t="s">
        <v>11404</v>
      </c>
      <c r="F23078" s="40" t="s">
        <v>11404</v>
      </c>
      <c r="G23078" s="40" t="s">
        <v>11404</v>
      </c>
      <c r="H23078" s="40" t="s">
        <v>11404</v>
      </c>
    </row>
    <row r="23079">
      <c r="A23079" s="39"/>
      <c r="E23079" s="40" t="s">
        <v>11404</v>
      </c>
      <c r="F23079" s="40" t="s">
        <v>11404</v>
      </c>
      <c r="G23079" s="40" t="s">
        <v>11404</v>
      </c>
      <c r="H23079" s="40" t="s">
        <v>11404</v>
      </c>
    </row>
    <row r="23080">
      <c r="A23080" s="39"/>
      <c r="E23080" s="40" t="s">
        <v>11404</v>
      </c>
      <c r="F23080" s="40" t="s">
        <v>11404</v>
      </c>
      <c r="G23080" s="40" t="s">
        <v>11404</v>
      </c>
      <c r="H23080" s="40" t="s">
        <v>11404</v>
      </c>
    </row>
    <row r="23081">
      <c r="A23081" s="39"/>
      <c r="E23081" s="40" t="s">
        <v>11404</v>
      </c>
      <c r="F23081" s="40" t="s">
        <v>11404</v>
      </c>
      <c r="G23081" s="40" t="s">
        <v>11404</v>
      </c>
      <c r="H23081" s="40" t="s">
        <v>11404</v>
      </c>
    </row>
    <row r="23082">
      <c r="A23082" s="39"/>
      <c r="E23082" s="40" t="s">
        <v>11404</v>
      </c>
      <c r="F23082" s="40" t="s">
        <v>11404</v>
      </c>
      <c r="G23082" s="40" t="s">
        <v>11404</v>
      </c>
      <c r="H23082" s="40" t="s">
        <v>11404</v>
      </c>
    </row>
    <row r="23083">
      <c r="A23083" s="39"/>
      <c r="E23083" s="40" t="s">
        <v>11404</v>
      </c>
      <c r="F23083" s="40" t="s">
        <v>11404</v>
      </c>
      <c r="G23083" s="40" t="s">
        <v>11404</v>
      </c>
      <c r="H23083" s="40" t="s">
        <v>11404</v>
      </c>
    </row>
    <row r="23084">
      <c r="A23084" s="39"/>
      <c r="E23084" s="40" t="s">
        <v>11404</v>
      </c>
      <c r="F23084" s="40" t="s">
        <v>11404</v>
      </c>
      <c r="G23084" s="40" t="s">
        <v>11404</v>
      </c>
      <c r="H23084" s="40" t="s">
        <v>11404</v>
      </c>
    </row>
    <row r="23085">
      <c r="A23085" s="39"/>
      <c r="E23085" s="40" t="s">
        <v>11404</v>
      </c>
      <c r="F23085" s="40" t="s">
        <v>11404</v>
      </c>
      <c r="G23085" s="40" t="s">
        <v>11404</v>
      </c>
      <c r="H23085" s="40" t="s">
        <v>11404</v>
      </c>
    </row>
    <row r="23086">
      <c r="A23086" s="39"/>
      <c r="E23086" s="40" t="s">
        <v>11404</v>
      </c>
      <c r="F23086" s="40" t="s">
        <v>11404</v>
      </c>
      <c r="G23086" s="40" t="s">
        <v>11404</v>
      </c>
      <c r="H23086" s="40" t="s">
        <v>11404</v>
      </c>
    </row>
    <row r="23087">
      <c r="A23087" s="39"/>
      <c r="E23087" s="40" t="s">
        <v>11404</v>
      </c>
      <c r="F23087" s="40" t="s">
        <v>11404</v>
      </c>
      <c r="G23087" s="40" t="s">
        <v>11404</v>
      </c>
      <c r="H23087" s="40" t="s">
        <v>11404</v>
      </c>
    </row>
    <row r="23088">
      <c r="A23088" s="39"/>
      <c r="E23088" s="40" t="s">
        <v>11404</v>
      </c>
      <c r="F23088" s="40" t="s">
        <v>11404</v>
      </c>
      <c r="G23088" s="40" t="s">
        <v>11404</v>
      </c>
      <c r="H23088" s="40" t="s">
        <v>11404</v>
      </c>
    </row>
    <row r="23089">
      <c r="A23089" s="39"/>
      <c r="E23089" s="40" t="s">
        <v>11404</v>
      </c>
      <c r="F23089" s="40" t="s">
        <v>11404</v>
      </c>
      <c r="G23089" s="40" t="s">
        <v>11404</v>
      </c>
      <c r="H23089" s="40" t="s">
        <v>11404</v>
      </c>
    </row>
    <row r="23090">
      <c r="A23090" s="39"/>
      <c r="E23090" s="40" t="s">
        <v>11404</v>
      </c>
      <c r="F23090" s="40" t="s">
        <v>11404</v>
      </c>
      <c r="G23090" s="40" t="s">
        <v>11404</v>
      </c>
      <c r="H23090" s="40" t="s">
        <v>11404</v>
      </c>
    </row>
    <row r="23091">
      <c r="A23091" s="39"/>
      <c r="E23091" s="40" t="s">
        <v>11404</v>
      </c>
      <c r="F23091" s="40" t="s">
        <v>11404</v>
      </c>
      <c r="G23091" s="40" t="s">
        <v>11404</v>
      </c>
      <c r="H23091" s="40" t="s">
        <v>11404</v>
      </c>
    </row>
    <row r="23092">
      <c r="A23092" s="39"/>
      <c r="E23092" s="40" t="s">
        <v>11404</v>
      </c>
      <c r="F23092" s="40" t="s">
        <v>11404</v>
      </c>
      <c r="G23092" s="40" t="s">
        <v>11404</v>
      </c>
      <c r="H23092" s="40" t="s">
        <v>11404</v>
      </c>
    </row>
    <row r="23093">
      <c r="A23093" s="39"/>
      <c r="E23093" s="40" t="s">
        <v>11404</v>
      </c>
      <c r="F23093" s="40" t="s">
        <v>11404</v>
      </c>
      <c r="G23093" s="40" t="s">
        <v>11404</v>
      </c>
      <c r="H23093" s="40" t="s">
        <v>11404</v>
      </c>
    </row>
    <row r="23094">
      <c r="A23094" s="39"/>
      <c r="E23094" s="40" t="s">
        <v>11404</v>
      </c>
      <c r="F23094" s="40" t="s">
        <v>11404</v>
      </c>
      <c r="G23094" s="40" t="s">
        <v>11404</v>
      </c>
      <c r="H23094" s="40" t="s">
        <v>11404</v>
      </c>
    </row>
    <row r="23095">
      <c r="A23095" s="39"/>
      <c r="E23095" s="40" t="s">
        <v>11404</v>
      </c>
      <c r="F23095" s="40" t="s">
        <v>11404</v>
      </c>
      <c r="G23095" s="40" t="s">
        <v>11404</v>
      </c>
      <c r="H23095" s="40" t="s">
        <v>11404</v>
      </c>
    </row>
    <row r="23096">
      <c r="A23096" s="39"/>
      <c r="E23096" s="40" t="s">
        <v>11404</v>
      </c>
      <c r="F23096" s="40" t="s">
        <v>11404</v>
      </c>
      <c r="G23096" s="40" t="s">
        <v>11404</v>
      </c>
      <c r="H23096" s="40" t="s">
        <v>11404</v>
      </c>
    </row>
    <row r="23097">
      <c r="A23097" s="39"/>
      <c r="E23097" s="40" t="s">
        <v>11404</v>
      </c>
      <c r="F23097" s="40" t="s">
        <v>11404</v>
      </c>
      <c r="G23097" s="40" t="s">
        <v>11404</v>
      </c>
      <c r="H23097" s="40" t="s">
        <v>11404</v>
      </c>
    </row>
    <row r="23098">
      <c r="A23098" s="39"/>
      <c r="E23098" s="40" t="s">
        <v>11404</v>
      </c>
      <c r="F23098" s="40" t="s">
        <v>11404</v>
      </c>
      <c r="G23098" s="40" t="s">
        <v>11404</v>
      </c>
      <c r="H23098" s="40" t="s">
        <v>11404</v>
      </c>
    </row>
    <row r="23099">
      <c r="A23099" s="39"/>
      <c r="E23099" s="40" t="s">
        <v>11404</v>
      </c>
      <c r="F23099" s="40" t="s">
        <v>11404</v>
      </c>
      <c r="G23099" s="40" t="s">
        <v>11404</v>
      </c>
      <c r="H23099" s="40" t="s">
        <v>11404</v>
      </c>
    </row>
    <row r="23100">
      <c r="A23100" s="39"/>
      <c r="E23100" s="40" t="s">
        <v>11404</v>
      </c>
      <c r="F23100" s="40" t="s">
        <v>11404</v>
      </c>
      <c r="G23100" s="40" t="s">
        <v>11404</v>
      </c>
      <c r="H23100" s="40" t="s">
        <v>11404</v>
      </c>
    </row>
    <row r="23101">
      <c r="A23101" s="39"/>
      <c r="E23101" s="40" t="s">
        <v>11404</v>
      </c>
      <c r="F23101" s="40" t="s">
        <v>11404</v>
      </c>
      <c r="G23101" s="40" t="s">
        <v>11404</v>
      </c>
      <c r="H23101" s="40" t="s">
        <v>11404</v>
      </c>
    </row>
    <row r="23102">
      <c r="A23102" s="39"/>
      <c r="E23102" s="40" t="s">
        <v>11404</v>
      </c>
      <c r="F23102" s="40" t="s">
        <v>11404</v>
      </c>
      <c r="G23102" s="40" t="s">
        <v>11404</v>
      </c>
      <c r="H23102" s="40" t="s">
        <v>11404</v>
      </c>
    </row>
    <row r="23103">
      <c r="A23103" s="39"/>
      <c r="E23103" s="40" t="s">
        <v>11404</v>
      </c>
      <c r="F23103" s="40" t="s">
        <v>11404</v>
      </c>
      <c r="G23103" s="40" t="s">
        <v>11404</v>
      </c>
      <c r="H23103" s="40" t="s">
        <v>11404</v>
      </c>
    </row>
    <row r="23104">
      <c r="A23104" s="39"/>
      <c r="E23104" s="40" t="s">
        <v>11404</v>
      </c>
      <c r="F23104" s="40" t="s">
        <v>11404</v>
      </c>
      <c r="G23104" s="40" t="s">
        <v>11404</v>
      </c>
      <c r="H23104" s="40" t="s">
        <v>11404</v>
      </c>
    </row>
    <row r="23105">
      <c r="A23105" s="39"/>
      <c r="E23105" s="40" t="s">
        <v>11404</v>
      </c>
      <c r="F23105" s="40" t="s">
        <v>11404</v>
      </c>
      <c r="G23105" s="40" t="s">
        <v>11404</v>
      </c>
      <c r="H23105" s="40" t="s">
        <v>11404</v>
      </c>
    </row>
    <row r="23106">
      <c r="A23106" s="39"/>
      <c r="E23106" s="40" t="s">
        <v>11404</v>
      </c>
      <c r="F23106" s="40" t="s">
        <v>11404</v>
      </c>
      <c r="G23106" s="40" t="s">
        <v>11404</v>
      </c>
      <c r="H23106" s="40" t="s">
        <v>11404</v>
      </c>
    </row>
    <row r="23107">
      <c r="A23107" s="39"/>
      <c r="E23107" s="40" t="s">
        <v>11404</v>
      </c>
      <c r="F23107" s="40" t="s">
        <v>11404</v>
      </c>
      <c r="G23107" s="40" t="s">
        <v>11404</v>
      </c>
      <c r="H23107" s="40" t="s">
        <v>11404</v>
      </c>
    </row>
    <row r="23108">
      <c r="A23108" s="39"/>
      <c r="E23108" s="40" t="s">
        <v>11404</v>
      </c>
      <c r="F23108" s="40" t="s">
        <v>11404</v>
      </c>
      <c r="G23108" s="40" t="s">
        <v>11404</v>
      </c>
      <c r="H23108" s="40" t="s">
        <v>11404</v>
      </c>
    </row>
    <row r="23109">
      <c r="A23109" s="39"/>
      <c r="E23109" s="40" t="s">
        <v>11404</v>
      </c>
      <c r="F23109" s="40" t="s">
        <v>11404</v>
      </c>
      <c r="G23109" s="40" t="s">
        <v>11404</v>
      </c>
      <c r="H23109" s="40" t="s">
        <v>11404</v>
      </c>
    </row>
    <row r="23110">
      <c r="A23110" s="39"/>
      <c r="E23110" s="40" t="s">
        <v>11404</v>
      </c>
      <c r="F23110" s="40" t="s">
        <v>11404</v>
      </c>
      <c r="G23110" s="40" t="s">
        <v>11404</v>
      </c>
      <c r="H23110" s="40" t="s">
        <v>11404</v>
      </c>
    </row>
    <row r="23111">
      <c r="A23111" s="39"/>
      <c r="E23111" s="40" t="s">
        <v>11404</v>
      </c>
      <c r="F23111" s="40" t="s">
        <v>11404</v>
      </c>
      <c r="G23111" s="40" t="s">
        <v>11404</v>
      </c>
      <c r="H23111" s="40" t="s">
        <v>11404</v>
      </c>
    </row>
    <row r="23112">
      <c r="A23112" s="39"/>
      <c r="E23112" s="40" t="s">
        <v>11404</v>
      </c>
      <c r="F23112" s="40" t="s">
        <v>11404</v>
      </c>
      <c r="G23112" s="40" t="s">
        <v>11404</v>
      </c>
      <c r="H23112" s="40" t="s">
        <v>11404</v>
      </c>
    </row>
    <row r="23113">
      <c r="A23113" s="39"/>
      <c r="E23113" s="40" t="s">
        <v>11404</v>
      </c>
      <c r="F23113" s="40" t="s">
        <v>11404</v>
      </c>
      <c r="G23113" s="40" t="s">
        <v>11404</v>
      </c>
      <c r="H23113" s="40" t="s">
        <v>11404</v>
      </c>
    </row>
    <row r="23114">
      <c r="A23114" s="39"/>
      <c r="E23114" s="40" t="s">
        <v>11404</v>
      </c>
      <c r="F23114" s="40" t="s">
        <v>11404</v>
      </c>
      <c r="G23114" s="40" t="s">
        <v>11404</v>
      </c>
      <c r="H23114" s="40" t="s">
        <v>11404</v>
      </c>
    </row>
    <row r="23115">
      <c r="A23115" s="39"/>
      <c r="E23115" s="40" t="s">
        <v>11404</v>
      </c>
      <c r="F23115" s="40" t="s">
        <v>11404</v>
      </c>
      <c r="G23115" s="40" t="s">
        <v>11404</v>
      </c>
      <c r="H23115" s="40" t="s">
        <v>11404</v>
      </c>
    </row>
    <row r="23116">
      <c r="A23116" s="39"/>
      <c r="E23116" s="40" t="s">
        <v>11404</v>
      </c>
      <c r="F23116" s="40" t="s">
        <v>11404</v>
      </c>
      <c r="G23116" s="40" t="s">
        <v>11404</v>
      </c>
      <c r="H23116" s="40" t="s">
        <v>11404</v>
      </c>
    </row>
    <row r="23117">
      <c r="A23117" s="39"/>
      <c r="E23117" s="40" t="s">
        <v>11404</v>
      </c>
      <c r="F23117" s="40" t="s">
        <v>11404</v>
      </c>
      <c r="G23117" s="40" t="s">
        <v>11404</v>
      </c>
      <c r="H23117" s="40" t="s">
        <v>11404</v>
      </c>
    </row>
    <row r="23118">
      <c r="A23118" s="39"/>
      <c r="E23118" s="40" t="s">
        <v>11404</v>
      </c>
      <c r="F23118" s="40" t="s">
        <v>11404</v>
      </c>
      <c r="G23118" s="40" t="s">
        <v>11404</v>
      </c>
      <c r="H23118" s="40" t="s">
        <v>11404</v>
      </c>
    </row>
    <row r="23119">
      <c r="A23119" s="39"/>
      <c r="E23119" s="40" t="s">
        <v>11404</v>
      </c>
      <c r="F23119" s="40" t="s">
        <v>11404</v>
      </c>
      <c r="G23119" s="40" t="s">
        <v>11404</v>
      </c>
      <c r="H23119" s="40" t="s">
        <v>11404</v>
      </c>
    </row>
    <row r="23120">
      <c r="A23120" s="39"/>
      <c r="E23120" s="40" t="s">
        <v>11404</v>
      </c>
      <c r="F23120" s="40" t="s">
        <v>11404</v>
      </c>
      <c r="G23120" s="40" t="s">
        <v>11404</v>
      </c>
      <c r="H23120" s="40" t="s">
        <v>11404</v>
      </c>
    </row>
    <row r="23121">
      <c r="A23121" s="39"/>
      <c r="E23121" s="40" t="s">
        <v>11404</v>
      </c>
      <c r="F23121" s="40" t="s">
        <v>11404</v>
      </c>
      <c r="G23121" s="40" t="s">
        <v>11404</v>
      </c>
      <c r="H23121" s="40" t="s">
        <v>11404</v>
      </c>
    </row>
    <row r="23122">
      <c r="A23122" s="39"/>
      <c r="E23122" s="40" t="s">
        <v>11404</v>
      </c>
      <c r="F23122" s="40" t="s">
        <v>11404</v>
      </c>
      <c r="G23122" s="40" t="s">
        <v>11404</v>
      </c>
      <c r="H23122" s="40" t="s">
        <v>11404</v>
      </c>
    </row>
    <row r="23123">
      <c r="A23123" s="39"/>
      <c r="E23123" s="40" t="s">
        <v>11404</v>
      </c>
      <c r="F23123" s="40" t="s">
        <v>11404</v>
      </c>
      <c r="G23123" s="40" t="s">
        <v>11404</v>
      </c>
      <c r="H23123" s="40" t="s">
        <v>11404</v>
      </c>
    </row>
    <row r="23124">
      <c r="A23124" s="39"/>
      <c r="E23124" s="40" t="s">
        <v>11404</v>
      </c>
      <c r="F23124" s="40" t="s">
        <v>11404</v>
      </c>
      <c r="G23124" s="40" t="s">
        <v>11404</v>
      </c>
      <c r="H23124" s="40" t="s">
        <v>11404</v>
      </c>
    </row>
    <row r="23125">
      <c r="A23125" s="39"/>
      <c r="E23125" s="40" t="s">
        <v>11404</v>
      </c>
      <c r="F23125" s="40" t="s">
        <v>11404</v>
      </c>
      <c r="G23125" s="40" t="s">
        <v>11404</v>
      </c>
      <c r="H23125" s="40" t="s">
        <v>11404</v>
      </c>
    </row>
    <row r="23126">
      <c r="A23126" s="39"/>
      <c r="E23126" s="40" t="s">
        <v>11404</v>
      </c>
      <c r="F23126" s="40" t="s">
        <v>11404</v>
      </c>
      <c r="G23126" s="40" t="s">
        <v>11404</v>
      </c>
      <c r="H23126" s="40" t="s">
        <v>11404</v>
      </c>
    </row>
    <row r="23127">
      <c r="A23127" s="39"/>
      <c r="E23127" s="40" t="s">
        <v>11404</v>
      </c>
      <c r="F23127" s="40" t="s">
        <v>11404</v>
      </c>
      <c r="G23127" s="40" t="s">
        <v>11404</v>
      </c>
      <c r="H23127" s="40" t="s">
        <v>11404</v>
      </c>
    </row>
    <row r="23128">
      <c r="A23128" s="39"/>
      <c r="E23128" s="40" t="s">
        <v>11404</v>
      </c>
      <c r="F23128" s="40" t="s">
        <v>11404</v>
      </c>
      <c r="G23128" s="40" t="s">
        <v>11404</v>
      </c>
      <c r="H23128" s="40" t="s">
        <v>11404</v>
      </c>
    </row>
    <row r="23129">
      <c r="A23129" s="39"/>
      <c r="E23129" s="40" t="s">
        <v>11404</v>
      </c>
      <c r="F23129" s="40" t="s">
        <v>11404</v>
      </c>
      <c r="G23129" s="40" t="s">
        <v>11404</v>
      </c>
      <c r="H23129" s="40" t="s">
        <v>11404</v>
      </c>
    </row>
    <row r="23130">
      <c r="A23130" s="39"/>
      <c r="E23130" s="40" t="s">
        <v>11404</v>
      </c>
      <c r="F23130" s="40" t="s">
        <v>11404</v>
      </c>
      <c r="G23130" s="40" t="s">
        <v>11404</v>
      </c>
      <c r="H23130" s="40" t="s">
        <v>11404</v>
      </c>
    </row>
    <row r="23131">
      <c r="A23131" s="39"/>
      <c r="E23131" s="40" t="s">
        <v>11404</v>
      </c>
      <c r="F23131" s="40" t="s">
        <v>11404</v>
      </c>
      <c r="G23131" s="40" t="s">
        <v>11404</v>
      </c>
      <c r="H23131" s="40" t="s">
        <v>11404</v>
      </c>
    </row>
    <row r="23132">
      <c r="A23132" s="39"/>
      <c r="E23132" s="40" t="s">
        <v>11404</v>
      </c>
      <c r="F23132" s="40" t="s">
        <v>11404</v>
      </c>
      <c r="G23132" s="40" t="s">
        <v>11404</v>
      </c>
      <c r="H23132" s="40" t="s">
        <v>11404</v>
      </c>
    </row>
    <row r="23133">
      <c r="A23133" s="39"/>
      <c r="E23133" s="40" t="s">
        <v>11404</v>
      </c>
      <c r="F23133" s="40" t="s">
        <v>11404</v>
      </c>
      <c r="G23133" s="40" t="s">
        <v>11404</v>
      </c>
      <c r="H23133" s="40" t="s">
        <v>11404</v>
      </c>
    </row>
    <row r="23134">
      <c r="A23134" s="39"/>
      <c r="E23134" s="40" t="s">
        <v>11404</v>
      </c>
      <c r="F23134" s="40" t="s">
        <v>11404</v>
      </c>
      <c r="G23134" s="40" t="s">
        <v>11404</v>
      </c>
      <c r="H23134" s="40" t="s">
        <v>11404</v>
      </c>
    </row>
    <row r="23135">
      <c r="A23135" s="39"/>
      <c r="E23135" s="40" t="s">
        <v>11404</v>
      </c>
      <c r="F23135" s="40" t="s">
        <v>11404</v>
      </c>
      <c r="G23135" s="40" t="s">
        <v>11404</v>
      </c>
      <c r="H23135" s="40" t="s">
        <v>11404</v>
      </c>
    </row>
    <row r="23136">
      <c r="A23136" s="39"/>
      <c r="E23136" s="40" t="s">
        <v>11404</v>
      </c>
      <c r="F23136" s="40" t="s">
        <v>11404</v>
      </c>
      <c r="G23136" s="40" t="s">
        <v>11404</v>
      </c>
      <c r="H23136" s="40" t="s">
        <v>11404</v>
      </c>
    </row>
    <row r="23137">
      <c r="A23137" s="39"/>
      <c r="E23137" s="40" t="s">
        <v>11404</v>
      </c>
      <c r="F23137" s="40" t="s">
        <v>11404</v>
      </c>
      <c r="G23137" s="40" t="s">
        <v>11404</v>
      </c>
      <c r="H23137" s="40" t="s">
        <v>11404</v>
      </c>
    </row>
    <row r="23138">
      <c r="A23138" s="39"/>
      <c r="E23138" s="40" t="s">
        <v>11404</v>
      </c>
      <c r="F23138" s="40" t="s">
        <v>11404</v>
      </c>
      <c r="G23138" s="40" t="s">
        <v>11404</v>
      </c>
      <c r="H23138" s="40" t="s">
        <v>11404</v>
      </c>
    </row>
    <row r="23139">
      <c r="A23139" s="39"/>
      <c r="E23139" s="40" t="s">
        <v>11404</v>
      </c>
      <c r="F23139" s="40" t="s">
        <v>11404</v>
      </c>
      <c r="G23139" s="40" t="s">
        <v>11404</v>
      </c>
      <c r="H23139" s="40" t="s">
        <v>11404</v>
      </c>
    </row>
    <row r="23140">
      <c r="A23140" s="39"/>
      <c r="E23140" s="40" t="s">
        <v>11404</v>
      </c>
      <c r="F23140" s="40" t="s">
        <v>11404</v>
      </c>
      <c r="G23140" s="40" t="s">
        <v>11404</v>
      </c>
      <c r="H23140" s="40" t="s">
        <v>11404</v>
      </c>
    </row>
    <row r="23141">
      <c r="A23141" s="39"/>
      <c r="E23141" s="40" t="s">
        <v>11404</v>
      </c>
      <c r="F23141" s="40" t="s">
        <v>11404</v>
      </c>
      <c r="G23141" s="40" t="s">
        <v>11404</v>
      </c>
      <c r="H23141" s="40" t="s">
        <v>11404</v>
      </c>
    </row>
    <row r="23142">
      <c r="A23142" s="39"/>
      <c r="E23142" s="40" t="s">
        <v>11404</v>
      </c>
      <c r="F23142" s="40" t="s">
        <v>11404</v>
      </c>
      <c r="G23142" s="40" t="s">
        <v>11404</v>
      </c>
      <c r="H23142" s="40" t="s">
        <v>11404</v>
      </c>
    </row>
    <row r="23143">
      <c r="A23143" s="39"/>
      <c r="E23143" s="40" t="s">
        <v>11404</v>
      </c>
      <c r="F23143" s="40" t="s">
        <v>11404</v>
      </c>
      <c r="G23143" s="40" t="s">
        <v>11404</v>
      </c>
      <c r="H23143" s="40" t="s">
        <v>11404</v>
      </c>
    </row>
    <row r="23144">
      <c r="A23144" s="39"/>
      <c r="E23144" s="40" t="s">
        <v>11404</v>
      </c>
      <c r="F23144" s="40" t="s">
        <v>11404</v>
      </c>
      <c r="G23144" s="40" t="s">
        <v>11404</v>
      </c>
      <c r="H23144" s="40" t="s">
        <v>11404</v>
      </c>
    </row>
    <row r="23145">
      <c r="A23145" s="39"/>
      <c r="E23145" s="40" t="s">
        <v>11404</v>
      </c>
      <c r="F23145" s="40" t="s">
        <v>11404</v>
      </c>
      <c r="G23145" s="40" t="s">
        <v>11404</v>
      </c>
      <c r="H23145" s="40" t="s">
        <v>11404</v>
      </c>
    </row>
    <row r="23146">
      <c r="A23146" s="39"/>
      <c r="E23146" s="40" t="s">
        <v>11404</v>
      </c>
      <c r="F23146" s="40" t="s">
        <v>11404</v>
      </c>
      <c r="G23146" s="40" t="s">
        <v>11404</v>
      </c>
      <c r="H23146" s="40" t="s">
        <v>11404</v>
      </c>
    </row>
    <row r="23147">
      <c r="A23147" s="39"/>
      <c r="E23147" s="40" t="s">
        <v>11404</v>
      </c>
      <c r="F23147" s="40" t="s">
        <v>11404</v>
      </c>
      <c r="G23147" s="40" t="s">
        <v>11404</v>
      </c>
      <c r="H23147" s="40" t="s">
        <v>11404</v>
      </c>
    </row>
    <row r="23148">
      <c r="A23148" s="39"/>
      <c r="E23148" s="40" t="s">
        <v>11404</v>
      </c>
      <c r="F23148" s="40" t="s">
        <v>11404</v>
      </c>
      <c r="G23148" s="40" t="s">
        <v>11404</v>
      </c>
      <c r="H23148" s="40" t="s">
        <v>11404</v>
      </c>
    </row>
    <row r="23149">
      <c r="A23149" s="39"/>
      <c r="E23149" s="40" t="s">
        <v>11404</v>
      </c>
      <c r="F23149" s="40" t="s">
        <v>11404</v>
      </c>
      <c r="G23149" s="40" t="s">
        <v>11404</v>
      </c>
      <c r="H23149" s="40" t="s">
        <v>11404</v>
      </c>
    </row>
    <row r="23150">
      <c r="A23150" s="39"/>
      <c r="E23150" s="40" t="s">
        <v>11404</v>
      </c>
      <c r="F23150" s="40" t="s">
        <v>11404</v>
      </c>
      <c r="G23150" s="40" t="s">
        <v>11404</v>
      </c>
      <c r="H23150" s="40" t="s">
        <v>11404</v>
      </c>
    </row>
    <row r="23151">
      <c r="A23151" s="39"/>
      <c r="E23151" s="40" t="s">
        <v>11404</v>
      </c>
      <c r="F23151" s="40" t="s">
        <v>11404</v>
      </c>
      <c r="G23151" s="40" t="s">
        <v>11404</v>
      </c>
      <c r="H23151" s="40" t="s">
        <v>11404</v>
      </c>
    </row>
    <row r="23152">
      <c r="A23152" s="39"/>
      <c r="E23152" s="40" t="s">
        <v>11404</v>
      </c>
      <c r="F23152" s="40" t="s">
        <v>11404</v>
      </c>
      <c r="G23152" s="40" t="s">
        <v>11404</v>
      </c>
      <c r="H23152" s="40" t="s">
        <v>11404</v>
      </c>
    </row>
    <row r="23153">
      <c r="A23153" s="39"/>
      <c r="E23153" s="40" t="s">
        <v>11404</v>
      </c>
      <c r="F23153" s="40" t="s">
        <v>11404</v>
      </c>
      <c r="G23153" s="40" t="s">
        <v>11404</v>
      </c>
      <c r="H23153" s="40" t="s">
        <v>11404</v>
      </c>
    </row>
    <row r="23154">
      <c r="A23154" s="39"/>
      <c r="E23154" s="40" t="s">
        <v>11404</v>
      </c>
      <c r="F23154" s="40" t="s">
        <v>11404</v>
      </c>
      <c r="G23154" s="40" t="s">
        <v>11404</v>
      </c>
      <c r="H23154" s="40" t="s">
        <v>11404</v>
      </c>
    </row>
    <row r="23155">
      <c r="A23155" s="39"/>
      <c r="E23155" s="40" t="s">
        <v>11404</v>
      </c>
      <c r="F23155" s="40" t="s">
        <v>11404</v>
      </c>
      <c r="G23155" s="40" t="s">
        <v>11404</v>
      </c>
      <c r="H23155" s="40" t="s">
        <v>11404</v>
      </c>
    </row>
    <row r="23156">
      <c r="A23156" s="39"/>
      <c r="E23156" s="40" t="s">
        <v>11404</v>
      </c>
      <c r="F23156" s="40" t="s">
        <v>11404</v>
      </c>
      <c r="G23156" s="40" t="s">
        <v>11404</v>
      </c>
      <c r="H23156" s="40" t="s">
        <v>11404</v>
      </c>
    </row>
    <row r="23157">
      <c r="A23157" s="39"/>
      <c r="E23157" s="40" t="s">
        <v>11404</v>
      </c>
      <c r="F23157" s="40" t="s">
        <v>11404</v>
      </c>
      <c r="G23157" s="40" t="s">
        <v>11404</v>
      </c>
      <c r="H23157" s="40" t="s">
        <v>11404</v>
      </c>
    </row>
    <row r="23158">
      <c r="A23158" s="39"/>
      <c r="E23158" s="40" t="s">
        <v>11404</v>
      </c>
      <c r="F23158" s="40" t="s">
        <v>11404</v>
      </c>
      <c r="G23158" s="40" t="s">
        <v>11404</v>
      </c>
      <c r="H23158" s="40" t="s">
        <v>11404</v>
      </c>
    </row>
    <row r="23159">
      <c r="A23159" s="39"/>
      <c r="E23159" s="40" t="s">
        <v>11404</v>
      </c>
      <c r="F23159" s="40" t="s">
        <v>11404</v>
      </c>
      <c r="G23159" s="40" t="s">
        <v>11404</v>
      </c>
      <c r="H23159" s="40" t="s">
        <v>11404</v>
      </c>
    </row>
    <row r="23160">
      <c r="A23160" s="39"/>
      <c r="E23160" s="40" t="s">
        <v>11404</v>
      </c>
      <c r="F23160" s="40" t="s">
        <v>11404</v>
      </c>
      <c r="G23160" s="40" t="s">
        <v>11404</v>
      </c>
      <c r="H23160" s="40" t="s">
        <v>11404</v>
      </c>
    </row>
    <row r="23161">
      <c r="A23161" s="39"/>
      <c r="E23161" s="40" t="s">
        <v>11404</v>
      </c>
      <c r="F23161" s="40" t="s">
        <v>11404</v>
      </c>
      <c r="G23161" s="40" t="s">
        <v>11404</v>
      </c>
      <c r="H23161" s="40" t="s">
        <v>11404</v>
      </c>
    </row>
    <row r="23162">
      <c r="A23162" s="39"/>
      <c r="E23162" s="40" t="s">
        <v>11404</v>
      </c>
      <c r="F23162" s="40" t="s">
        <v>11404</v>
      </c>
      <c r="G23162" s="40" t="s">
        <v>11404</v>
      </c>
      <c r="H23162" s="40" t="s">
        <v>11404</v>
      </c>
    </row>
    <row r="23163">
      <c r="A23163" s="39"/>
      <c r="E23163" s="40" t="s">
        <v>11404</v>
      </c>
      <c r="F23163" s="40" t="s">
        <v>11404</v>
      </c>
      <c r="G23163" s="40" t="s">
        <v>11404</v>
      </c>
      <c r="H23163" s="40" t="s">
        <v>11404</v>
      </c>
    </row>
    <row r="23164">
      <c r="A23164" s="39"/>
      <c r="E23164" s="40" t="s">
        <v>11404</v>
      </c>
      <c r="F23164" s="40" t="s">
        <v>11404</v>
      </c>
      <c r="G23164" s="40" t="s">
        <v>11404</v>
      </c>
      <c r="H23164" s="40" t="s">
        <v>11404</v>
      </c>
    </row>
    <row r="23165">
      <c r="A23165" s="39"/>
      <c r="E23165" s="40" t="s">
        <v>11404</v>
      </c>
      <c r="F23165" s="40" t="s">
        <v>11404</v>
      </c>
      <c r="G23165" s="40" t="s">
        <v>11404</v>
      </c>
      <c r="H23165" s="40" t="s">
        <v>11404</v>
      </c>
    </row>
    <row r="23166">
      <c r="A23166" s="39"/>
      <c r="E23166" s="40" t="s">
        <v>11404</v>
      </c>
      <c r="F23166" s="40" t="s">
        <v>11404</v>
      </c>
      <c r="G23166" s="40" t="s">
        <v>11404</v>
      </c>
      <c r="H23166" s="40" t="s">
        <v>11404</v>
      </c>
    </row>
    <row r="23167">
      <c r="A23167" s="39"/>
      <c r="E23167" s="40" t="s">
        <v>11404</v>
      </c>
      <c r="F23167" s="40" t="s">
        <v>11404</v>
      </c>
      <c r="G23167" s="40" t="s">
        <v>11404</v>
      </c>
      <c r="H23167" s="40" t="s">
        <v>11404</v>
      </c>
    </row>
    <row r="23168">
      <c r="A23168" s="39"/>
      <c r="E23168" s="40" t="s">
        <v>11404</v>
      </c>
      <c r="F23168" s="40" t="s">
        <v>11404</v>
      </c>
      <c r="G23168" s="40" t="s">
        <v>11404</v>
      </c>
      <c r="H23168" s="40" t="s">
        <v>11404</v>
      </c>
    </row>
    <row r="23169">
      <c r="A23169" s="39"/>
      <c r="E23169" s="40" t="s">
        <v>11404</v>
      </c>
      <c r="F23169" s="40" t="s">
        <v>11404</v>
      </c>
      <c r="G23169" s="40" t="s">
        <v>11404</v>
      </c>
      <c r="H23169" s="40" t="s">
        <v>11404</v>
      </c>
    </row>
    <row r="23170">
      <c r="A23170" s="39"/>
      <c r="E23170" s="40" t="s">
        <v>11404</v>
      </c>
      <c r="F23170" s="40" t="s">
        <v>11404</v>
      </c>
      <c r="G23170" s="40" t="s">
        <v>11404</v>
      </c>
      <c r="H23170" s="40" t="s">
        <v>11404</v>
      </c>
    </row>
    <row r="23171">
      <c r="A23171" s="39"/>
      <c r="E23171" s="40" t="s">
        <v>11404</v>
      </c>
      <c r="F23171" s="40" t="s">
        <v>11404</v>
      </c>
      <c r="G23171" s="40" t="s">
        <v>11404</v>
      </c>
      <c r="H23171" s="40" t="s">
        <v>11404</v>
      </c>
    </row>
    <row r="23172">
      <c r="A23172" s="39"/>
      <c r="E23172" s="40" t="s">
        <v>11404</v>
      </c>
      <c r="F23172" s="40" t="s">
        <v>11404</v>
      </c>
      <c r="G23172" s="40" t="s">
        <v>11404</v>
      </c>
      <c r="H23172" s="40" t="s">
        <v>11404</v>
      </c>
    </row>
    <row r="23173">
      <c r="A23173" s="39"/>
      <c r="E23173" s="40" t="s">
        <v>11404</v>
      </c>
      <c r="F23173" s="40" t="s">
        <v>11404</v>
      </c>
      <c r="G23173" s="40" t="s">
        <v>11404</v>
      </c>
      <c r="H23173" s="40" t="s">
        <v>11404</v>
      </c>
    </row>
    <row r="23174">
      <c r="A23174" s="39"/>
      <c r="E23174" s="40" t="s">
        <v>11404</v>
      </c>
      <c r="F23174" s="40" t="s">
        <v>11404</v>
      </c>
      <c r="G23174" s="40" t="s">
        <v>11404</v>
      </c>
      <c r="H23174" s="40" t="s">
        <v>11404</v>
      </c>
    </row>
    <row r="23175">
      <c r="A23175" s="39"/>
      <c r="E23175" s="40" t="s">
        <v>11404</v>
      </c>
      <c r="F23175" s="40" t="s">
        <v>11404</v>
      </c>
      <c r="G23175" s="40" t="s">
        <v>11404</v>
      </c>
      <c r="H23175" s="40" t="s">
        <v>11404</v>
      </c>
    </row>
    <row r="23176">
      <c r="A23176" s="39"/>
      <c r="E23176" s="40" t="s">
        <v>11404</v>
      </c>
      <c r="F23176" s="40" t="s">
        <v>11404</v>
      </c>
      <c r="G23176" s="40" t="s">
        <v>11404</v>
      </c>
      <c r="H23176" s="40" t="s">
        <v>11404</v>
      </c>
    </row>
    <row r="23177">
      <c r="A23177" s="39"/>
      <c r="E23177" s="40" t="s">
        <v>11404</v>
      </c>
      <c r="F23177" s="40" t="s">
        <v>11404</v>
      </c>
      <c r="G23177" s="40" t="s">
        <v>11404</v>
      </c>
      <c r="H23177" s="40" t="s">
        <v>11404</v>
      </c>
    </row>
    <row r="23178">
      <c r="A23178" s="39"/>
      <c r="E23178" s="40" t="s">
        <v>11404</v>
      </c>
      <c r="F23178" s="40" t="s">
        <v>11404</v>
      </c>
      <c r="G23178" s="40" t="s">
        <v>11404</v>
      </c>
      <c r="H23178" s="40" t="s">
        <v>11404</v>
      </c>
    </row>
    <row r="23179">
      <c r="A23179" s="39"/>
      <c r="E23179" s="40" t="s">
        <v>11404</v>
      </c>
      <c r="F23179" s="40" t="s">
        <v>11404</v>
      </c>
      <c r="G23179" s="40" t="s">
        <v>11404</v>
      </c>
      <c r="H23179" s="40" t="s">
        <v>11404</v>
      </c>
    </row>
    <row r="23180">
      <c r="A23180" s="39"/>
      <c r="E23180" s="40" t="s">
        <v>11404</v>
      </c>
      <c r="F23180" s="40" t="s">
        <v>11404</v>
      </c>
      <c r="G23180" s="40" t="s">
        <v>11404</v>
      </c>
      <c r="H23180" s="40" t="s">
        <v>11404</v>
      </c>
    </row>
    <row r="23181">
      <c r="A23181" s="39"/>
      <c r="E23181" s="40" t="s">
        <v>11404</v>
      </c>
      <c r="F23181" s="40" t="s">
        <v>11404</v>
      </c>
      <c r="G23181" s="40" t="s">
        <v>11404</v>
      </c>
      <c r="H23181" s="40" t="s">
        <v>11404</v>
      </c>
    </row>
    <row r="23182">
      <c r="A23182" s="39"/>
      <c r="E23182" s="40" t="s">
        <v>11404</v>
      </c>
      <c r="F23182" s="40" t="s">
        <v>11404</v>
      </c>
      <c r="G23182" s="40" t="s">
        <v>11404</v>
      </c>
      <c r="H23182" s="40" t="s">
        <v>11404</v>
      </c>
    </row>
    <row r="23183">
      <c r="A23183" s="39"/>
      <c r="E23183" s="40" t="s">
        <v>11404</v>
      </c>
      <c r="F23183" s="40" t="s">
        <v>11404</v>
      </c>
      <c r="G23183" s="40" t="s">
        <v>11404</v>
      </c>
      <c r="H23183" s="40" t="s">
        <v>11404</v>
      </c>
    </row>
    <row r="23184">
      <c r="A23184" s="39"/>
      <c r="E23184" s="40" t="s">
        <v>11404</v>
      </c>
      <c r="F23184" s="40" t="s">
        <v>11404</v>
      </c>
      <c r="G23184" s="40" t="s">
        <v>11404</v>
      </c>
      <c r="H23184" s="40" t="s">
        <v>11404</v>
      </c>
    </row>
    <row r="23185">
      <c r="A23185" s="39"/>
      <c r="E23185" s="40" t="s">
        <v>11404</v>
      </c>
      <c r="F23185" s="40" t="s">
        <v>11404</v>
      </c>
      <c r="G23185" s="40" t="s">
        <v>11404</v>
      </c>
      <c r="H23185" s="40" t="s">
        <v>11404</v>
      </c>
    </row>
    <row r="23186">
      <c r="A23186" s="39"/>
      <c r="E23186" s="40" t="s">
        <v>11404</v>
      </c>
      <c r="F23186" s="40" t="s">
        <v>11404</v>
      </c>
      <c r="G23186" s="40" t="s">
        <v>11404</v>
      </c>
      <c r="H23186" s="40" t="s">
        <v>11404</v>
      </c>
    </row>
    <row r="23187">
      <c r="A23187" s="39"/>
      <c r="E23187" s="40" t="s">
        <v>11404</v>
      </c>
      <c r="F23187" s="40" t="s">
        <v>11404</v>
      </c>
      <c r="G23187" s="40" t="s">
        <v>11404</v>
      </c>
      <c r="H23187" s="40" t="s">
        <v>11404</v>
      </c>
    </row>
    <row r="23188">
      <c r="A23188" s="39"/>
      <c r="E23188" s="40" t="s">
        <v>11404</v>
      </c>
      <c r="F23188" s="40" t="s">
        <v>11404</v>
      </c>
      <c r="G23188" s="40" t="s">
        <v>11404</v>
      </c>
      <c r="H23188" s="40" t="s">
        <v>11404</v>
      </c>
    </row>
    <row r="23189">
      <c r="A23189" s="39"/>
      <c r="E23189" s="40" t="s">
        <v>11404</v>
      </c>
      <c r="F23189" s="40" t="s">
        <v>11404</v>
      </c>
      <c r="G23189" s="40" t="s">
        <v>11404</v>
      </c>
      <c r="H23189" s="40" t="s">
        <v>11404</v>
      </c>
    </row>
    <row r="23190">
      <c r="A23190" s="39"/>
      <c r="E23190" s="40" t="s">
        <v>11404</v>
      </c>
      <c r="F23190" s="40" t="s">
        <v>11404</v>
      </c>
      <c r="G23190" s="40" t="s">
        <v>11404</v>
      </c>
      <c r="H23190" s="40" t="s">
        <v>11404</v>
      </c>
    </row>
    <row r="23191">
      <c r="A23191" s="39"/>
      <c r="E23191" s="40" t="s">
        <v>11404</v>
      </c>
      <c r="F23191" s="40" t="s">
        <v>11404</v>
      </c>
      <c r="G23191" s="40" t="s">
        <v>11404</v>
      </c>
      <c r="H23191" s="40" t="s">
        <v>11404</v>
      </c>
    </row>
    <row r="23192">
      <c r="A23192" s="39"/>
      <c r="E23192" s="40" t="s">
        <v>11404</v>
      </c>
      <c r="F23192" s="40" t="s">
        <v>11404</v>
      </c>
      <c r="G23192" s="40" t="s">
        <v>11404</v>
      </c>
      <c r="H23192" s="40" t="s">
        <v>11404</v>
      </c>
    </row>
    <row r="23193">
      <c r="A23193" s="39"/>
      <c r="E23193" s="40" t="s">
        <v>11404</v>
      </c>
      <c r="F23193" s="40" t="s">
        <v>11404</v>
      </c>
      <c r="G23193" s="40" t="s">
        <v>11404</v>
      </c>
      <c r="H23193" s="40" t="s">
        <v>11404</v>
      </c>
    </row>
    <row r="23194">
      <c r="A23194" s="39"/>
      <c r="E23194" s="40" t="s">
        <v>11404</v>
      </c>
      <c r="F23194" s="40" t="s">
        <v>11404</v>
      </c>
      <c r="G23194" s="40" t="s">
        <v>11404</v>
      </c>
      <c r="H23194" s="40" t="s">
        <v>11404</v>
      </c>
    </row>
    <row r="23195">
      <c r="A23195" s="39"/>
      <c r="E23195" s="40" t="s">
        <v>11404</v>
      </c>
      <c r="F23195" s="40" t="s">
        <v>11404</v>
      </c>
      <c r="G23195" s="40" t="s">
        <v>11404</v>
      </c>
      <c r="H23195" s="40" t="s">
        <v>11404</v>
      </c>
    </row>
    <row r="23196">
      <c r="A23196" s="39"/>
      <c r="E23196" s="40" t="s">
        <v>11404</v>
      </c>
      <c r="F23196" s="40" t="s">
        <v>11404</v>
      </c>
      <c r="G23196" s="40" t="s">
        <v>11404</v>
      </c>
      <c r="H23196" s="40" t="s">
        <v>11404</v>
      </c>
    </row>
    <row r="23197">
      <c r="A23197" s="39"/>
      <c r="E23197" s="40" t="s">
        <v>11404</v>
      </c>
      <c r="F23197" s="40" t="s">
        <v>11404</v>
      </c>
      <c r="G23197" s="40" t="s">
        <v>11404</v>
      </c>
      <c r="H23197" s="40" t="s">
        <v>11404</v>
      </c>
    </row>
    <row r="23198">
      <c r="A23198" s="39"/>
      <c r="E23198" s="40" t="s">
        <v>11404</v>
      </c>
      <c r="F23198" s="40" t="s">
        <v>11404</v>
      </c>
      <c r="G23198" s="40" t="s">
        <v>11404</v>
      </c>
      <c r="H23198" s="40" t="s">
        <v>11404</v>
      </c>
    </row>
    <row r="23199">
      <c r="A23199" s="39"/>
      <c r="E23199" s="40" t="s">
        <v>11404</v>
      </c>
      <c r="F23199" s="40" t="s">
        <v>11404</v>
      </c>
      <c r="G23199" s="40" t="s">
        <v>11404</v>
      </c>
      <c r="H23199" s="40" t="s">
        <v>11404</v>
      </c>
    </row>
    <row r="23200">
      <c r="A23200" s="39"/>
      <c r="E23200" s="40" t="s">
        <v>11404</v>
      </c>
      <c r="F23200" s="40" t="s">
        <v>11404</v>
      </c>
      <c r="G23200" s="40" t="s">
        <v>11404</v>
      </c>
      <c r="H23200" s="40" t="s">
        <v>11404</v>
      </c>
    </row>
    <row r="23201">
      <c r="A23201" s="39"/>
      <c r="E23201" s="40" t="s">
        <v>11404</v>
      </c>
      <c r="F23201" s="40" t="s">
        <v>11404</v>
      </c>
      <c r="G23201" s="40" t="s">
        <v>11404</v>
      </c>
      <c r="H23201" s="40" t="s">
        <v>11404</v>
      </c>
    </row>
    <row r="23202">
      <c r="A23202" s="39"/>
      <c r="E23202" s="40" t="s">
        <v>11404</v>
      </c>
      <c r="F23202" s="40" t="s">
        <v>11404</v>
      </c>
      <c r="G23202" s="40" t="s">
        <v>11404</v>
      </c>
      <c r="H23202" s="40" t="s">
        <v>11404</v>
      </c>
    </row>
    <row r="23203">
      <c r="A23203" s="39"/>
      <c r="E23203" s="40" t="s">
        <v>11404</v>
      </c>
      <c r="F23203" s="40" t="s">
        <v>11404</v>
      </c>
      <c r="G23203" s="40" t="s">
        <v>11404</v>
      </c>
      <c r="H23203" s="40" t="s">
        <v>11404</v>
      </c>
    </row>
    <row r="23204">
      <c r="A23204" s="39"/>
      <c r="E23204" s="40" t="s">
        <v>11404</v>
      </c>
      <c r="F23204" s="40" t="s">
        <v>11404</v>
      </c>
      <c r="G23204" s="40" t="s">
        <v>11404</v>
      </c>
      <c r="H23204" s="40" t="s">
        <v>11404</v>
      </c>
    </row>
    <row r="23205">
      <c r="A23205" s="39"/>
      <c r="E23205" s="40" t="s">
        <v>11404</v>
      </c>
      <c r="F23205" s="40" t="s">
        <v>11404</v>
      </c>
      <c r="G23205" s="40" t="s">
        <v>11404</v>
      </c>
      <c r="H23205" s="40" t="s">
        <v>11404</v>
      </c>
    </row>
    <row r="23206">
      <c r="A23206" s="39"/>
      <c r="E23206" s="40" t="s">
        <v>11404</v>
      </c>
      <c r="F23206" s="40" t="s">
        <v>11404</v>
      </c>
      <c r="G23206" s="40" t="s">
        <v>11404</v>
      </c>
      <c r="H23206" s="40" t="s">
        <v>11404</v>
      </c>
    </row>
    <row r="23207">
      <c r="A23207" s="39"/>
      <c r="E23207" s="40" t="s">
        <v>11404</v>
      </c>
      <c r="F23207" s="40" t="s">
        <v>11404</v>
      </c>
      <c r="G23207" s="40" t="s">
        <v>11404</v>
      </c>
      <c r="H23207" s="40" t="s">
        <v>11404</v>
      </c>
    </row>
    <row r="23208">
      <c r="A23208" s="39"/>
      <c r="E23208" s="40" t="s">
        <v>11404</v>
      </c>
      <c r="F23208" s="40" t="s">
        <v>11404</v>
      </c>
      <c r="G23208" s="40" t="s">
        <v>11404</v>
      </c>
      <c r="H23208" s="40" t="s">
        <v>11404</v>
      </c>
    </row>
    <row r="23209">
      <c r="A23209" s="39"/>
      <c r="E23209" s="40" t="s">
        <v>11404</v>
      </c>
      <c r="F23209" s="40" t="s">
        <v>11404</v>
      </c>
      <c r="G23209" s="40" t="s">
        <v>11404</v>
      </c>
      <c r="H23209" s="40" t="s">
        <v>11404</v>
      </c>
    </row>
    <row r="23210">
      <c r="A23210" s="39"/>
      <c r="E23210" s="40" t="s">
        <v>11404</v>
      </c>
      <c r="F23210" s="40" t="s">
        <v>11404</v>
      </c>
      <c r="G23210" s="40" t="s">
        <v>11404</v>
      </c>
      <c r="H23210" s="40" t="s">
        <v>11404</v>
      </c>
    </row>
    <row r="23211">
      <c r="A23211" s="39"/>
      <c r="E23211" s="40" t="s">
        <v>11404</v>
      </c>
      <c r="F23211" s="40" t="s">
        <v>11404</v>
      </c>
      <c r="G23211" s="40" t="s">
        <v>11404</v>
      </c>
      <c r="H23211" s="40" t="s">
        <v>11404</v>
      </c>
    </row>
    <row r="23212">
      <c r="A23212" s="39"/>
      <c r="E23212" s="40" t="s">
        <v>11404</v>
      </c>
      <c r="F23212" s="40" t="s">
        <v>11404</v>
      </c>
      <c r="G23212" s="40" t="s">
        <v>11404</v>
      </c>
      <c r="H23212" s="40" t="s">
        <v>11404</v>
      </c>
    </row>
    <row r="23213">
      <c r="A23213" s="39"/>
      <c r="E23213" s="40" t="s">
        <v>11404</v>
      </c>
      <c r="F23213" s="40" t="s">
        <v>11404</v>
      </c>
      <c r="G23213" s="40" t="s">
        <v>11404</v>
      </c>
      <c r="H23213" s="40" t="s">
        <v>11404</v>
      </c>
    </row>
    <row r="23214">
      <c r="A23214" s="39"/>
      <c r="E23214" s="40" t="s">
        <v>11404</v>
      </c>
      <c r="F23214" s="40" t="s">
        <v>11404</v>
      </c>
      <c r="G23214" s="40" t="s">
        <v>11404</v>
      </c>
      <c r="H23214" s="40" t="s">
        <v>11404</v>
      </c>
    </row>
    <row r="23215">
      <c r="A23215" s="39"/>
      <c r="E23215" s="40" t="s">
        <v>11404</v>
      </c>
      <c r="F23215" s="40" t="s">
        <v>11404</v>
      </c>
      <c r="G23215" s="40" t="s">
        <v>11404</v>
      </c>
      <c r="H23215" s="40" t="s">
        <v>11404</v>
      </c>
    </row>
    <row r="23216">
      <c r="A23216" s="39"/>
      <c r="E23216" s="40" t="s">
        <v>11404</v>
      </c>
      <c r="F23216" s="40" t="s">
        <v>11404</v>
      </c>
      <c r="G23216" s="40" t="s">
        <v>11404</v>
      </c>
      <c r="H23216" s="40" t="s">
        <v>11404</v>
      </c>
    </row>
    <row r="23217">
      <c r="A23217" s="39"/>
      <c r="E23217" s="40" t="s">
        <v>11404</v>
      </c>
      <c r="F23217" s="40" t="s">
        <v>11404</v>
      </c>
      <c r="G23217" s="40" t="s">
        <v>11404</v>
      </c>
      <c r="H23217" s="40" t="s">
        <v>11404</v>
      </c>
    </row>
    <row r="23218">
      <c r="A23218" s="39"/>
      <c r="E23218" s="40" t="s">
        <v>11404</v>
      </c>
      <c r="F23218" s="40" t="s">
        <v>11404</v>
      </c>
      <c r="G23218" s="40" t="s">
        <v>11404</v>
      </c>
      <c r="H23218" s="40" t="s">
        <v>11404</v>
      </c>
    </row>
    <row r="23219">
      <c r="A23219" s="39"/>
      <c r="E23219" s="40" t="s">
        <v>11404</v>
      </c>
      <c r="F23219" s="40" t="s">
        <v>11404</v>
      </c>
      <c r="G23219" s="40" t="s">
        <v>11404</v>
      </c>
      <c r="H23219" s="40" t="s">
        <v>11404</v>
      </c>
    </row>
    <row r="23220">
      <c r="A23220" s="39"/>
      <c r="E23220" s="40" t="s">
        <v>11404</v>
      </c>
      <c r="F23220" s="40" t="s">
        <v>11404</v>
      </c>
      <c r="G23220" s="40" t="s">
        <v>11404</v>
      </c>
      <c r="H23220" s="40" t="s">
        <v>11404</v>
      </c>
    </row>
    <row r="23221">
      <c r="A23221" s="39"/>
      <c r="E23221" s="40" t="s">
        <v>11404</v>
      </c>
      <c r="F23221" s="40" t="s">
        <v>11404</v>
      </c>
      <c r="G23221" s="40" t="s">
        <v>11404</v>
      </c>
      <c r="H23221" s="40" t="s">
        <v>11404</v>
      </c>
    </row>
    <row r="23222">
      <c r="A23222" s="39"/>
      <c r="E23222" s="40" t="s">
        <v>11404</v>
      </c>
      <c r="F23222" s="40" t="s">
        <v>11404</v>
      </c>
      <c r="G23222" s="40" t="s">
        <v>11404</v>
      </c>
      <c r="H23222" s="40" t="s">
        <v>11404</v>
      </c>
    </row>
    <row r="23223">
      <c r="A23223" s="39"/>
      <c r="E23223" s="40" t="s">
        <v>11404</v>
      </c>
      <c r="F23223" s="40" t="s">
        <v>11404</v>
      </c>
      <c r="G23223" s="40" t="s">
        <v>11404</v>
      </c>
      <c r="H23223" s="40" t="s">
        <v>11404</v>
      </c>
    </row>
    <row r="23224">
      <c r="A23224" s="39"/>
      <c r="E23224" s="40" t="s">
        <v>11404</v>
      </c>
      <c r="F23224" s="40" t="s">
        <v>11404</v>
      </c>
      <c r="G23224" s="40" t="s">
        <v>11404</v>
      </c>
      <c r="H23224" s="40" t="s">
        <v>11404</v>
      </c>
    </row>
    <row r="23225">
      <c r="A23225" s="39"/>
      <c r="E23225" s="40" t="s">
        <v>11404</v>
      </c>
      <c r="F23225" s="40" t="s">
        <v>11404</v>
      </c>
      <c r="G23225" s="40" t="s">
        <v>11404</v>
      </c>
      <c r="H23225" s="40" t="s">
        <v>11404</v>
      </c>
    </row>
    <row r="23226">
      <c r="A23226" s="39"/>
      <c r="E23226" s="40" t="s">
        <v>11404</v>
      </c>
      <c r="F23226" s="40" t="s">
        <v>11404</v>
      </c>
      <c r="G23226" s="40" t="s">
        <v>11404</v>
      </c>
      <c r="H23226" s="40" t="s">
        <v>11404</v>
      </c>
    </row>
    <row r="23227">
      <c r="A23227" s="39"/>
      <c r="E23227" s="40" t="s">
        <v>11404</v>
      </c>
      <c r="F23227" s="40" t="s">
        <v>11404</v>
      </c>
      <c r="G23227" s="40" t="s">
        <v>11404</v>
      </c>
      <c r="H23227" s="40" t="s">
        <v>11404</v>
      </c>
    </row>
    <row r="23228">
      <c r="A23228" s="39"/>
      <c r="E23228" s="40" t="s">
        <v>11404</v>
      </c>
      <c r="F23228" s="40" t="s">
        <v>11404</v>
      </c>
      <c r="G23228" s="40" t="s">
        <v>11404</v>
      </c>
      <c r="H23228" s="40" t="s">
        <v>11404</v>
      </c>
    </row>
    <row r="23229">
      <c r="A23229" s="39"/>
      <c r="E23229" s="40" t="s">
        <v>11404</v>
      </c>
      <c r="F23229" s="40" t="s">
        <v>11404</v>
      </c>
      <c r="G23229" s="40" t="s">
        <v>11404</v>
      </c>
      <c r="H23229" s="40" t="s">
        <v>11404</v>
      </c>
    </row>
    <row r="23230">
      <c r="A23230" s="39"/>
      <c r="E23230" s="40" t="s">
        <v>11404</v>
      </c>
      <c r="F23230" s="40" t="s">
        <v>11404</v>
      </c>
      <c r="G23230" s="40" t="s">
        <v>11404</v>
      </c>
      <c r="H23230" s="40" t="s">
        <v>11404</v>
      </c>
    </row>
    <row r="23231">
      <c r="A23231" s="39"/>
      <c r="E23231" s="40" t="s">
        <v>11404</v>
      </c>
      <c r="F23231" s="40" t="s">
        <v>11404</v>
      </c>
      <c r="G23231" s="40" t="s">
        <v>11404</v>
      </c>
      <c r="H23231" s="40" t="s">
        <v>11404</v>
      </c>
    </row>
    <row r="23232">
      <c r="A23232" s="39"/>
      <c r="E23232" s="40" t="s">
        <v>11404</v>
      </c>
      <c r="F23232" s="40" t="s">
        <v>11404</v>
      </c>
      <c r="G23232" s="40" t="s">
        <v>11404</v>
      </c>
      <c r="H23232" s="40" t="s">
        <v>11404</v>
      </c>
    </row>
    <row r="23233">
      <c r="A23233" s="39"/>
      <c r="E23233" s="40" t="s">
        <v>11404</v>
      </c>
      <c r="F23233" s="40" t="s">
        <v>11404</v>
      </c>
      <c r="G23233" s="40" t="s">
        <v>11404</v>
      </c>
      <c r="H23233" s="40" t="s">
        <v>11404</v>
      </c>
    </row>
    <row r="23234">
      <c r="A23234" s="39"/>
      <c r="E23234" s="40" t="s">
        <v>11404</v>
      </c>
      <c r="F23234" s="40" t="s">
        <v>11404</v>
      </c>
      <c r="G23234" s="40" t="s">
        <v>11404</v>
      </c>
      <c r="H23234" s="40" t="s">
        <v>11404</v>
      </c>
    </row>
    <row r="23235">
      <c r="A23235" s="39"/>
      <c r="E23235" s="40" t="s">
        <v>11404</v>
      </c>
      <c r="F23235" s="40" t="s">
        <v>11404</v>
      </c>
      <c r="G23235" s="40" t="s">
        <v>11404</v>
      </c>
      <c r="H23235" s="40" t="s">
        <v>11404</v>
      </c>
    </row>
    <row r="23236">
      <c r="A23236" s="39"/>
      <c r="E23236" s="40" t="s">
        <v>11404</v>
      </c>
      <c r="F23236" s="40" t="s">
        <v>11404</v>
      </c>
      <c r="G23236" s="40" t="s">
        <v>11404</v>
      </c>
      <c r="H23236" s="40" t="s">
        <v>11404</v>
      </c>
    </row>
    <row r="23237">
      <c r="A23237" s="39"/>
      <c r="E23237" s="40" t="s">
        <v>11404</v>
      </c>
      <c r="F23237" s="40" t="s">
        <v>11404</v>
      </c>
      <c r="G23237" s="40" t="s">
        <v>11404</v>
      </c>
      <c r="H23237" s="40" t="s">
        <v>11404</v>
      </c>
    </row>
    <row r="23238">
      <c r="A23238" s="39"/>
      <c r="E23238" s="40" t="s">
        <v>11404</v>
      </c>
      <c r="F23238" s="40" t="s">
        <v>11404</v>
      </c>
      <c r="G23238" s="40" t="s">
        <v>11404</v>
      </c>
      <c r="H23238" s="40" t="s">
        <v>11404</v>
      </c>
    </row>
    <row r="23239">
      <c r="A23239" s="39"/>
      <c r="E23239" s="40" t="s">
        <v>11404</v>
      </c>
      <c r="F23239" s="40" t="s">
        <v>11404</v>
      </c>
      <c r="G23239" s="40" t="s">
        <v>11404</v>
      </c>
      <c r="H23239" s="40" t="s">
        <v>11404</v>
      </c>
    </row>
    <row r="23240">
      <c r="A23240" s="39"/>
      <c r="E23240" s="40" t="s">
        <v>11404</v>
      </c>
      <c r="F23240" s="40" t="s">
        <v>11404</v>
      </c>
      <c r="G23240" s="40" t="s">
        <v>11404</v>
      </c>
      <c r="H23240" s="40" t="s">
        <v>11404</v>
      </c>
    </row>
    <row r="23241">
      <c r="A23241" s="39"/>
      <c r="E23241" s="40" t="s">
        <v>11404</v>
      </c>
      <c r="F23241" s="40" t="s">
        <v>11404</v>
      </c>
      <c r="G23241" s="40" t="s">
        <v>11404</v>
      </c>
      <c r="H23241" s="40" t="s">
        <v>11404</v>
      </c>
    </row>
    <row r="23242">
      <c r="A23242" s="39"/>
      <c r="E23242" s="40" t="s">
        <v>11404</v>
      </c>
      <c r="F23242" s="40" t="s">
        <v>11404</v>
      </c>
      <c r="G23242" s="40" t="s">
        <v>11404</v>
      </c>
      <c r="H23242" s="40" t="s">
        <v>11404</v>
      </c>
    </row>
    <row r="23243">
      <c r="A23243" s="39"/>
      <c r="E23243" s="40" t="s">
        <v>11404</v>
      </c>
      <c r="F23243" s="40" t="s">
        <v>11404</v>
      </c>
      <c r="G23243" s="40" t="s">
        <v>11404</v>
      </c>
      <c r="H23243" s="40" t="s">
        <v>11404</v>
      </c>
    </row>
    <row r="23244">
      <c r="A23244" s="39"/>
      <c r="E23244" s="40" t="s">
        <v>11404</v>
      </c>
      <c r="F23244" s="40" t="s">
        <v>11404</v>
      </c>
      <c r="G23244" s="40" t="s">
        <v>11404</v>
      </c>
      <c r="H23244" s="40" t="s">
        <v>11404</v>
      </c>
    </row>
    <row r="23245">
      <c r="A23245" s="39"/>
      <c r="E23245" s="40" t="s">
        <v>11404</v>
      </c>
      <c r="F23245" s="40" t="s">
        <v>11404</v>
      </c>
      <c r="G23245" s="40" t="s">
        <v>11404</v>
      </c>
      <c r="H23245" s="40" t="s">
        <v>11404</v>
      </c>
    </row>
    <row r="23246">
      <c r="A23246" s="39"/>
      <c r="E23246" s="40" t="s">
        <v>11404</v>
      </c>
      <c r="F23246" s="40" t="s">
        <v>11404</v>
      </c>
      <c r="G23246" s="40" t="s">
        <v>11404</v>
      </c>
      <c r="H23246" s="40" t="s">
        <v>11404</v>
      </c>
    </row>
    <row r="23247">
      <c r="A23247" s="39"/>
      <c r="E23247" s="40" t="s">
        <v>11404</v>
      </c>
      <c r="F23247" s="40" t="s">
        <v>11404</v>
      </c>
      <c r="G23247" s="40" t="s">
        <v>11404</v>
      </c>
      <c r="H23247" s="40" t="s">
        <v>11404</v>
      </c>
    </row>
    <row r="23248">
      <c r="A23248" s="39"/>
      <c r="E23248" s="40" t="s">
        <v>11404</v>
      </c>
      <c r="F23248" s="40" t="s">
        <v>11404</v>
      </c>
      <c r="G23248" s="40" t="s">
        <v>11404</v>
      </c>
      <c r="H23248" s="40" t="s">
        <v>11404</v>
      </c>
    </row>
    <row r="23249">
      <c r="A23249" s="39"/>
      <c r="E23249" s="40" t="s">
        <v>11404</v>
      </c>
      <c r="F23249" s="40" t="s">
        <v>11404</v>
      </c>
      <c r="G23249" s="40" t="s">
        <v>11404</v>
      </c>
      <c r="H23249" s="40" t="s">
        <v>11404</v>
      </c>
    </row>
    <row r="23250">
      <c r="A23250" s="39"/>
      <c r="E23250" s="40" t="s">
        <v>11404</v>
      </c>
      <c r="F23250" s="40" t="s">
        <v>11404</v>
      </c>
      <c r="G23250" s="40" t="s">
        <v>11404</v>
      </c>
      <c r="H23250" s="40" t="s">
        <v>11404</v>
      </c>
    </row>
    <row r="23251">
      <c r="A23251" s="39"/>
      <c r="E23251" s="40" t="s">
        <v>11404</v>
      </c>
      <c r="F23251" s="40" t="s">
        <v>11404</v>
      </c>
      <c r="G23251" s="40" t="s">
        <v>11404</v>
      </c>
      <c r="H23251" s="40" t="s">
        <v>11404</v>
      </c>
    </row>
    <row r="23252">
      <c r="A23252" s="39"/>
      <c r="E23252" s="40" t="s">
        <v>11404</v>
      </c>
      <c r="F23252" s="40" t="s">
        <v>11404</v>
      </c>
      <c r="G23252" s="40" t="s">
        <v>11404</v>
      </c>
      <c r="H23252" s="40" t="s">
        <v>11404</v>
      </c>
    </row>
    <row r="23253">
      <c r="A23253" s="39"/>
      <c r="E23253" s="40" t="s">
        <v>11404</v>
      </c>
      <c r="F23253" s="40" t="s">
        <v>11404</v>
      </c>
      <c r="G23253" s="40" t="s">
        <v>11404</v>
      </c>
      <c r="H23253" s="40" t="s">
        <v>11404</v>
      </c>
    </row>
    <row r="23254">
      <c r="A23254" s="39"/>
      <c r="E23254" s="40" t="s">
        <v>11404</v>
      </c>
      <c r="F23254" s="40" t="s">
        <v>11404</v>
      </c>
      <c r="G23254" s="40" t="s">
        <v>11404</v>
      </c>
      <c r="H23254" s="40" t="s">
        <v>11404</v>
      </c>
    </row>
    <row r="23255">
      <c r="A23255" s="39"/>
      <c r="E23255" s="40" t="s">
        <v>11404</v>
      </c>
      <c r="F23255" s="40" t="s">
        <v>11404</v>
      </c>
      <c r="G23255" s="40" t="s">
        <v>11404</v>
      </c>
      <c r="H23255" s="40" t="s">
        <v>11404</v>
      </c>
    </row>
    <row r="23256">
      <c r="A23256" s="39"/>
      <c r="E23256" s="40" t="s">
        <v>11404</v>
      </c>
      <c r="F23256" s="40" t="s">
        <v>11404</v>
      </c>
      <c r="G23256" s="40" t="s">
        <v>11404</v>
      </c>
      <c r="H23256" s="40" t="s">
        <v>11404</v>
      </c>
    </row>
    <row r="23257">
      <c r="A23257" s="39"/>
      <c r="E23257" s="40" t="s">
        <v>11404</v>
      </c>
      <c r="F23257" s="40" t="s">
        <v>11404</v>
      </c>
      <c r="G23257" s="40" t="s">
        <v>11404</v>
      </c>
      <c r="H23257" s="40" t="s">
        <v>11404</v>
      </c>
    </row>
    <row r="23258">
      <c r="A23258" s="39"/>
      <c r="E23258" s="40" t="s">
        <v>11404</v>
      </c>
      <c r="F23258" s="40" t="s">
        <v>11404</v>
      </c>
      <c r="G23258" s="40" t="s">
        <v>11404</v>
      </c>
      <c r="H23258" s="40" t="s">
        <v>11404</v>
      </c>
    </row>
    <row r="23259">
      <c r="A23259" s="39"/>
      <c r="E23259" s="40" t="s">
        <v>11404</v>
      </c>
      <c r="F23259" s="40" t="s">
        <v>11404</v>
      </c>
      <c r="G23259" s="40" t="s">
        <v>11404</v>
      </c>
      <c r="H23259" s="40" t="s">
        <v>11404</v>
      </c>
    </row>
    <row r="23260">
      <c r="A23260" s="39"/>
      <c r="E23260" s="40" t="s">
        <v>11404</v>
      </c>
      <c r="F23260" s="40" t="s">
        <v>11404</v>
      </c>
      <c r="G23260" s="40" t="s">
        <v>11404</v>
      </c>
      <c r="H23260" s="40" t="s">
        <v>11404</v>
      </c>
    </row>
    <row r="23261">
      <c r="A23261" s="39"/>
      <c r="E23261" s="40" t="s">
        <v>11404</v>
      </c>
      <c r="F23261" s="40" t="s">
        <v>11404</v>
      </c>
      <c r="G23261" s="40" t="s">
        <v>11404</v>
      </c>
      <c r="H23261" s="40" t="s">
        <v>11404</v>
      </c>
    </row>
    <row r="23262">
      <c r="A23262" s="39"/>
      <c r="E23262" s="40" t="s">
        <v>11404</v>
      </c>
      <c r="F23262" s="40" t="s">
        <v>11404</v>
      </c>
      <c r="G23262" s="40" t="s">
        <v>11404</v>
      </c>
      <c r="H23262" s="40" t="s">
        <v>11404</v>
      </c>
    </row>
    <row r="23263">
      <c r="A23263" s="39"/>
      <c r="E23263" s="40" t="s">
        <v>11404</v>
      </c>
      <c r="F23263" s="40" t="s">
        <v>11404</v>
      </c>
      <c r="G23263" s="40" t="s">
        <v>11404</v>
      </c>
      <c r="H23263" s="40" t="s">
        <v>11404</v>
      </c>
    </row>
    <row r="23264">
      <c r="A23264" s="39"/>
      <c r="E23264" s="40" t="s">
        <v>11404</v>
      </c>
      <c r="F23264" s="40" t="s">
        <v>11404</v>
      </c>
      <c r="G23264" s="40" t="s">
        <v>11404</v>
      </c>
      <c r="H23264" s="40" t="s">
        <v>11404</v>
      </c>
    </row>
    <row r="23265">
      <c r="A23265" s="39"/>
      <c r="E23265" s="40" t="s">
        <v>11404</v>
      </c>
      <c r="F23265" s="40" t="s">
        <v>11404</v>
      </c>
      <c r="G23265" s="40" t="s">
        <v>11404</v>
      </c>
      <c r="H23265" s="40" t="s">
        <v>11404</v>
      </c>
    </row>
    <row r="23266">
      <c r="A23266" s="39"/>
      <c r="E23266" s="40" t="s">
        <v>11404</v>
      </c>
      <c r="F23266" s="40" t="s">
        <v>11404</v>
      </c>
      <c r="G23266" s="40" t="s">
        <v>11404</v>
      </c>
      <c r="H23266" s="40" t="s">
        <v>11404</v>
      </c>
    </row>
    <row r="23267">
      <c r="A23267" s="39"/>
      <c r="E23267" s="40" t="s">
        <v>11404</v>
      </c>
      <c r="F23267" s="40" t="s">
        <v>11404</v>
      </c>
      <c r="G23267" s="40" t="s">
        <v>11404</v>
      </c>
      <c r="H23267" s="40" t="s">
        <v>11404</v>
      </c>
    </row>
    <row r="23268">
      <c r="A23268" s="39"/>
      <c r="E23268" s="40" t="s">
        <v>11404</v>
      </c>
      <c r="F23268" s="40" t="s">
        <v>11404</v>
      </c>
      <c r="G23268" s="40" t="s">
        <v>11404</v>
      </c>
      <c r="H23268" s="40" t="s">
        <v>11404</v>
      </c>
    </row>
    <row r="23269">
      <c r="A23269" s="39"/>
      <c r="E23269" s="40" t="s">
        <v>11404</v>
      </c>
      <c r="F23269" s="40" t="s">
        <v>11404</v>
      </c>
      <c r="G23269" s="40" t="s">
        <v>11404</v>
      </c>
      <c r="H23269" s="40" t="s">
        <v>11404</v>
      </c>
    </row>
    <row r="23270">
      <c r="A23270" s="39"/>
      <c r="E23270" s="40" t="s">
        <v>11404</v>
      </c>
      <c r="F23270" s="40" t="s">
        <v>11404</v>
      </c>
      <c r="G23270" s="40" t="s">
        <v>11404</v>
      </c>
      <c r="H23270" s="40" t="s">
        <v>11404</v>
      </c>
    </row>
    <row r="23271">
      <c r="A23271" s="39"/>
      <c r="E23271" s="40" t="s">
        <v>11404</v>
      </c>
      <c r="F23271" s="40" t="s">
        <v>11404</v>
      </c>
      <c r="G23271" s="40" t="s">
        <v>11404</v>
      </c>
      <c r="H23271" s="40" t="s">
        <v>11404</v>
      </c>
    </row>
    <row r="23272">
      <c r="A23272" s="39"/>
      <c r="E23272" s="40" t="s">
        <v>11404</v>
      </c>
      <c r="F23272" s="40" t="s">
        <v>11404</v>
      </c>
      <c r="G23272" s="40" t="s">
        <v>11404</v>
      </c>
      <c r="H23272" s="40" t="s">
        <v>11404</v>
      </c>
    </row>
    <row r="23273">
      <c r="A23273" s="39"/>
      <c r="E23273" s="40" t="s">
        <v>11404</v>
      </c>
      <c r="F23273" s="40" t="s">
        <v>11404</v>
      </c>
      <c r="G23273" s="40" t="s">
        <v>11404</v>
      </c>
      <c r="H23273" s="40" t="s">
        <v>11404</v>
      </c>
    </row>
    <row r="23274">
      <c r="A23274" s="39"/>
      <c r="E23274" s="40" t="s">
        <v>11404</v>
      </c>
      <c r="F23274" s="40" t="s">
        <v>11404</v>
      </c>
      <c r="G23274" s="40" t="s">
        <v>11404</v>
      </c>
      <c r="H23274" s="40" t="s">
        <v>11404</v>
      </c>
    </row>
    <row r="23275">
      <c r="A23275" s="39"/>
      <c r="E23275" s="40" t="s">
        <v>11404</v>
      </c>
      <c r="F23275" s="40" t="s">
        <v>11404</v>
      </c>
      <c r="G23275" s="40" t="s">
        <v>11404</v>
      </c>
      <c r="H23275" s="40" t="s">
        <v>11404</v>
      </c>
    </row>
    <row r="23276">
      <c r="A23276" s="39"/>
      <c r="E23276" s="40" t="s">
        <v>11404</v>
      </c>
      <c r="F23276" s="40" t="s">
        <v>11404</v>
      </c>
      <c r="G23276" s="40" t="s">
        <v>11404</v>
      </c>
      <c r="H23276" s="40" t="s">
        <v>11404</v>
      </c>
    </row>
    <row r="23277">
      <c r="A23277" s="39"/>
      <c r="E23277" s="40" t="s">
        <v>11404</v>
      </c>
      <c r="F23277" s="40" t="s">
        <v>11404</v>
      </c>
      <c r="G23277" s="40" t="s">
        <v>11404</v>
      </c>
      <c r="H23277" s="40" t="s">
        <v>11404</v>
      </c>
    </row>
    <row r="23278">
      <c r="A23278" s="39"/>
      <c r="E23278" s="40" t="s">
        <v>11404</v>
      </c>
      <c r="F23278" s="40" t="s">
        <v>11404</v>
      </c>
      <c r="G23278" s="40" t="s">
        <v>11404</v>
      </c>
      <c r="H23278" s="40" t="s">
        <v>11404</v>
      </c>
    </row>
    <row r="23279">
      <c r="A23279" s="39"/>
      <c r="E23279" s="40" t="s">
        <v>11404</v>
      </c>
      <c r="F23279" s="40" t="s">
        <v>11404</v>
      </c>
      <c r="G23279" s="40" t="s">
        <v>11404</v>
      </c>
      <c r="H23279" s="40" t="s">
        <v>11404</v>
      </c>
    </row>
    <row r="23280">
      <c r="A23280" s="39"/>
      <c r="E23280" s="40" t="s">
        <v>11404</v>
      </c>
      <c r="F23280" s="40" t="s">
        <v>11404</v>
      </c>
      <c r="G23280" s="40" t="s">
        <v>11404</v>
      </c>
      <c r="H23280" s="40" t="s">
        <v>11404</v>
      </c>
    </row>
    <row r="23281">
      <c r="A23281" s="39"/>
      <c r="E23281" s="40" t="s">
        <v>11404</v>
      </c>
      <c r="F23281" s="40" t="s">
        <v>11404</v>
      </c>
      <c r="G23281" s="40" t="s">
        <v>11404</v>
      </c>
      <c r="H23281" s="40" t="s">
        <v>11404</v>
      </c>
    </row>
    <row r="23282">
      <c r="A23282" s="39"/>
      <c r="E23282" s="40" t="s">
        <v>11404</v>
      </c>
      <c r="F23282" s="40" t="s">
        <v>11404</v>
      </c>
      <c r="G23282" s="40" t="s">
        <v>11404</v>
      </c>
      <c r="H23282" s="40" t="s">
        <v>11404</v>
      </c>
    </row>
    <row r="23283">
      <c r="A23283" s="39"/>
      <c r="E23283" s="40" t="s">
        <v>11404</v>
      </c>
      <c r="F23283" s="40" t="s">
        <v>11404</v>
      </c>
      <c r="G23283" s="40" t="s">
        <v>11404</v>
      </c>
      <c r="H23283" s="40" t="s">
        <v>11404</v>
      </c>
    </row>
    <row r="23284">
      <c r="A23284" s="39"/>
      <c r="E23284" s="40" t="s">
        <v>11404</v>
      </c>
      <c r="F23284" s="40" t="s">
        <v>11404</v>
      </c>
      <c r="G23284" s="40" t="s">
        <v>11404</v>
      </c>
      <c r="H23284" s="40" t="s">
        <v>11404</v>
      </c>
    </row>
    <row r="23285">
      <c r="A23285" s="39"/>
      <c r="E23285" s="40" t="s">
        <v>11404</v>
      </c>
      <c r="F23285" s="40" t="s">
        <v>11404</v>
      </c>
      <c r="G23285" s="40" t="s">
        <v>11404</v>
      </c>
      <c r="H23285" s="40" t="s">
        <v>11404</v>
      </c>
    </row>
    <row r="23286">
      <c r="A23286" s="39"/>
      <c r="E23286" s="40" t="s">
        <v>11404</v>
      </c>
      <c r="F23286" s="40" t="s">
        <v>11404</v>
      </c>
      <c r="G23286" s="40" t="s">
        <v>11404</v>
      </c>
      <c r="H23286" s="40" t="s">
        <v>11404</v>
      </c>
    </row>
    <row r="23287">
      <c r="A23287" s="39"/>
      <c r="E23287" s="40" t="s">
        <v>11404</v>
      </c>
      <c r="F23287" s="40" t="s">
        <v>11404</v>
      </c>
      <c r="G23287" s="40" t="s">
        <v>11404</v>
      </c>
      <c r="H23287" s="40" t="s">
        <v>11404</v>
      </c>
    </row>
    <row r="23288">
      <c r="A23288" s="39"/>
      <c r="E23288" s="40" t="s">
        <v>11404</v>
      </c>
      <c r="F23288" s="40" t="s">
        <v>11404</v>
      </c>
      <c r="G23288" s="40" t="s">
        <v>11404</v>
      </c>
      <c r="H23288" s="40" t="s">
        <v>11404</v>
      </c>
    </row>
    <row r="23289">
      <c r="A23289" s="39"/>
      <c r="E23289" s="40" t="s">
        <v>11404</v>
      </c>
      <c r="F23289" s="40" t="s">
        <v>11404</v>
      </c>
      <c r="G23289" s="40" t="s">
        <v>11404</v>
      </c>
      <c r="H23289" s="40" t="s">
        <v>11404</v>
      </c>
    </row>
    <row r="23290">
      <c r="A23290" s="39"/>
      <c r="E23290" s="40" t="s">
        <v>11404</v>
      </c>
      <c r="F23290" s="40" t="s">
        <v>11404</v>
      </c>
      <c r="G23290" s="40" t="s">
        <v>11404</v>
      </c>
      <c r="H23290" s="40" t="s">
        <v>11404</v>
      </c>
    </row>
    <row r="23291">
      <c r="A23291" s="39"/>
      <c r="E23291" s="40" t="s">
        <v>11404</v>
      </c>
      <c r="F23291" s="40" t="s">
        <v>11404</v>
      </c>
      <c r="G23291" s="40" t="s">
        <v>11404</v>
      </c>
      <c r="H23291" s="40" t="s">
        <v>11404</v>
      </c>
    </row>
    <row r="23292">
      <c r="A23292" s="39"/>
      <c r="E23292" s="40" t="s">
        <v>11404</v>
      </c>
      <c r="F23292" s="40" t="s">
        <v>11404</v>
      </c>
      <c r="G23292" s="40" t="s">
        <v>11404</v>
      </c>
      <c r="H23292" s="40" t="s">
        <v>11404</v>
      </c>
    </row>
    <row r="23293">
      <c r="A23293" s="39"/>
      <c r="E23293" s="40" t="s">
        <v>11404</v>
      </c>
      <c r="F23293" s="40" t="s">
        <v>11404</v>
      </c>
      <c r="G23293" s="40" t="s">
        <v>11404</v>
      </c>
      <c r="H23293" s="40" t="s">
        <v>11404</v>
      </c>
    </row>
    <row r="23294">
      <c r="A23294" s="39"/>
      <c r="E23294" s="40" t="s">
        <v>11404</v>
      </c>
      <c r="F23294" s="40" t="s">
        <v>11404</v>
      </c>
      <c r="G23294" s="40" t="s">
        <v>11404</v>
      </c>
      <c r="H23294" s="40" t="s">
        <v>11404</v>
      </c>
    </row>
    <row r="23295">
      <c r="A23295" s="39"/>
      <c r="E23295" s="40" t="s">
        <v>11404</v>
      </c>
      <c r="F23295" s="40" t="s">
        <v>11404</v>
      </c>
      <c r="G23295" s="40" t="s">
        <v>11404</v>
      </c>
      <c r="H23295" s="40" t="s">
        <v>11404</v>
      </c>
    </row>
    <row r="23296">
      <c r="A23296" s="39"/>
      <c r="E23296" s="40" t="s">
        <v>11404</v>
      </c>
      <c r="F23296" s="40" t="s">
        <v>11404</v>
      </c>
      <c r="G23296" s="40" t="s">
        <v>11404</v>
      </c>
      <c r="H23296" s="40" t="s">
        <v>11404</v>
      </c>
    </row>
    <row r="23297">
      <c r="A23297" s="39"/>
      <c r="E23297" s="40" t="s">
        <v>11404</v>
      </c>
      <c r="F23297" s="40" t="s">
        <v>11404</v>
      </c>
      <c r="G23297" s="40" t="s">
        <v>11404</v>
      </c>
      <c r="H23297" s="40" t="s">
        <v>11404</v>
      </c>
    </row>
    <row r="23298">
      <c r="A23298" s="39"/>
      <c r="E23298" s="40" t="s">
        <v>11404</v>
      </c>
      <c r="F23298" s="40" t="s">
        <v>11404</v>
      </c>
      <c r="G23298" s="40" t="s">
        <v>11404</v>
      </c>
      <c r="H23298" s="40" t="s">
        <v>11404</v>
      </c>
    </row>
    <row r="23299">
      <c r="A23299" s="39"/>
      <c r="E23299" s="40" t="s">
        <v>11404</v>
      </c>
      <c r="F23299" s="40" t="s">
        <v>11404</v>
      </c>
      <c r="G23299" s="40" t="s">
        <v>11404</v>
      </c>
      <c r="H23299" s="40" t="s">
        <v>11404</v>
      </c>
    </row>
    <row r="23300">
      <c r="A23300" s="39"/>
      <c r="E23300" s="40" t="s">
        <v>11404</v>
      </c>
      <c r="F23300" s="40" t="s">
        <v>11404</v>
      </c>
      <c r="G23300" s="40" t="s">
        <v>11404</v>
      </c>
      <c r="H23300" s="40" t="s">
        <v>11404</v>
      </c>
    </row>
    <row r="23301">
      <c r="A23301" s="39"/>
      <c r="E23301" s="40" t="s">
        <v>11404</v>
      </c>
      <c r="F23301" s="40" t="s">
        <v>11404</v>
      </c>
      <c r="G23301" s="40" t="s">
        <v>11404</v>
      </c>
      <c r="H23301" s="40" t="s">
        <v>11404</v>
      </c>
    </row>
    <row r="23302">
      <c r="A23302" s="39"/>
      <c r="E23302" s="40" t="s">
        <v>11404</v>
      </c>
      <c r="F23302" s="40" t="s">
        <v>11404</v>
      </c>
      <c r="G23302" s="40" t="s">
        <v>11404</v>
      </c>
      <c r="H23302" s="40" t="s">
        <v>11404</v>
      </c>
    </row>
    <row r="23303">
      <c r="A23303" s="39"/>
      <c r="E23303" s="40" t="s">
        <v>11404</v>
      </c>
      <c r="F23303" s="40" t="s">
        <v>11404</v>
      </c>
      <c r="G23303" s="40" t="s">
        <v>11404</v>
      </c>
      <c r="H23303" s="40" t="s">
        <v>11404</v>
      </c>
    </row>
    <row r="23304">
      <c r="A23304" s="39"/>
      <c r="E23304" s="40" t="s">
        <v>11404</v>
      </c>
      <c r="F23304" s="40" t="s">
        <v>11404</v>
      </c>
      <c r="G23304" s="40" t="s">
        <v>11404</v>
      </c>
      <c r="H23304" s="40" t="s">
        <v>11404</v>
      </c>
    </row>
    <row r="23305">
      <c r="A23305" s="39"/>
      <c r="E23305" s="40" t="s">
        <v>11404</v>
      </c>
      <c r="F23305" s="40" t="s">
        <v>11404</v>
      </c>
      <c r="G23305" s="40" t="s">
        <v>11404</v>
      </c>
      <c r="H23305" s="40" t="s">
        <v>11404</v>
      </c>
    </row>
    <row r="23306">
      <c r="A23306" s="39"/>
      <c r="E23306" s="40" t="s">
        <v>11404</v>
      </c>
      <c r="F23306" s="40" t="s">
        <v>11404</v>
      </c>
      <c r="G23306" s="40" t="s">
        <v>11404</v>
      </c>
      <c r="H23306" s="40" t="s">
        <v>11404</v>
      </c>
    </row>
    <row r="23307">
      <c r="A23307" s="39"/>
      <c r="E23307" s="40" t="s">
        <v>11404</v>
      </c>
      <c r="F23307" s="40" t="s">
        <v>11404</v>
      </c>
      <c r="G23307" s="40" t="s">
        <v>11404</v>
      </c>
      <c r="H23307" s="40" t="s">
        <v>11404</v>
      </c>
    </row>
    <row r="23308">
      <c r="A23308" s="39"/>
      <c r="E23308" s="40" t="s">
        <v>11404</v>
      </c>
      <c r="F23308" s="40" t="s">
        <v>11404</v>
      </c>
      <c r="G23308" s="40" t="s">
        <v>11404</v>
      </c>
      <c r="H23308" s="40" t="s">
        <v>11404</v>
      </c>
    </row>
    <row r="23309">
      <c r="A23309" s="39"/>
      <c r="E23309" s="40" t="s">
        <v>11404</v>
      </c>
      <c r="F23309" s="40" t="s">
        <v>11404</v>
      </c>
      <c r="G23309" s="40" t="s">
        <v>11404</v>
      </c>
      <c r="H23309" s="40" t="s">
        <v>11404</v>
      </c>
    </row>
    <row r="23310">
      <c r="A23310" s="39"/>
      <c r="E23310" s="40" t="s">
        <v>11404</v>
      </c>
      <c r="F23310" s="40" t="s">
        <v>11404</v>
      </c>
      <c r="G23310" s="40" t="s">
        <v>11404</v>
      </c>
      <c r="H23310" s="40" t="s">
        <v>11404</v>
      </c>
    </row>
    <row r="23311">
      <c r="A23311" s="39"/>
      <c r="E23311" s="40" t="s">
        <v>11404</v>
      </c>
      <c r="F23311" s="40" t="s">
        <v>11404</v>
      </c>
      <c r="G23311" s="40" t="s">
        <v>11404</v>
      </c>
      <c r="H23311" s="40" t="s">
        <v>11404</v>
      </c>
    </row>
    <row r="23312">
      <c r="A23312" s="39"/>
      <c r="E23312" s="40" t="s">
        <v>11404</v>
      </c>
      <c r="F23312" s="40" t="s">
        <v>11404</v>
      </c>
      <c r="G23312" s="40" t="s">
        <v>11404</v>
      </c>
      <c r="H23312" s="40" t="s">
        <v>11404</v>
      </c>
    </row>
    <row r="23313">
      <c r="A23313" s="39"/>
      <c r="E23313" s="40" t="s">
        <v>11404</v>
      </c>
      <c r="F23313" s="40" t="s">
        <v>11404</v>
      </c>
      <c r="G23313" s="40" t="s">
        <v>11404</v>
      </c>
      <c r="H23313" s="40" t="s">
        <v>11404</v>
      </c>
    </row>
    <row r="23314">
      <c r="A23314" s="39"/>
      <c r="E23314" s="40" t="s">
        <v>11404</v>
      </c>
      <c r="F23314" s="40" t="s">
        <v>11404</v>
      </c>
      <c r="G23314" s="40" t="s">
        <v>11404</v>
      </c>
      <c r="H23314" s="40" t="s">
        <v>11404</v>
      </c>
    </row>
    <row r="23315">
      <c r="A23315" s="39"/>
      <c r="E23315" s="40" t="s">
        <v>11404</v>
      </c>
      <c r="F23315" s="40" t="s">
        <v>11404</v>
      </c>
      <c r="G23315" s="40" t="s">
        <v>11404</v>
      </c>
      <c r="H23315" s="40" t="s">
        <v>11404</v>
      </c>
    </row>
    <row r="23316">
      <c r="A23316" s="39"/>
      <c r="E23316" s="40" t="s">
        <v>11404</v>
      </c>
      <c r="F23316" s="40" t="s">
        <v>11404</v>
      </c>
      <c r="G23316" s="40" t="s">
        <v>11404</v>
      </c>
      <c r="H23316" s="40" t="s">
        <v>11404</v>
      </c>
    </row>
    <row r="23317">
      <c r="A23317" s="39"/>
      <c r="E23317" s="40" t="s">
        <v>11404</v>
      </c>
      <c r="F23317" s="40" t="s">
        <v>11404</v>
      </c>
      <c r="G23317" s="40" t="s">
        <v>11404</v>
      </c>
      <c r="H23317" s="40" t="s">
        <v>11404</v>
      </c>
    </row>
    <row r="23318">
      <c r="A23318" s="39"/>
      <c r="E23318" s="40" t="s">
        <v>11404</v>
      </c>
      <c r="F23318" s="40" t="s">
        <v>11404</v>
      </c>
      <c r="G23318" s="40" t="s">
        <v>11404</v>
      </c>
      <c r="H23318" s="40" t="s">
        <v>11404</v>
      </c>
    </row>
    <row r="23319">
      <c r="A23319" s="39"/>
      <c r="E23319" s="40" t="s">
        <v>11404</v>
      </c>
      <c r="F23319" s="40" t="s">
        <v>11404</v>
      </c>
      <c r="G23319" s="40" t="s">
        <v>11404</v>
      </c>
      <c r="H23319" s="40" t="s">
        <v>11404</v>
      </c>
    </row>
    <row r="23320">
      <c r="A23320" s="39"/>
      <c r="E23320" s="40" t="s">
        <v>11404</v>
      </c>
      <c r="F23320" s="40" t="s">
        <v>11404</v>
      </c>
      <c r="G23320" s="40" t="s">
        <v>11404</v>
      </c>
      <c r="H23320" s="40" t="s">
        <v>11404</v>
      </c>
    </row>
    <row r="23321">
      <c r="A23321" s="39"/>
      <c r="E23321" s="40" t="s">
        <v>11404</v>
      </c>
      <c r="F23321" s="40" t="s">
        <v>11404</v>
      </c>
      <c r="G23321" s="40" t="s">
        <v>11404</v>
      </c>
      <c r="H23321" s="40" t="s">
        <v>11404</v>
      </c>
    </row>
    <row r="23322">
      <c r="A23322" s="39"/>
      <c r="E23322" s="40" t="s">
        <v>11404</v>
      </c>
      <c r="F23322" s="40" t="s">
        <v>11404</v>
      </c>
      <c r="G23322" s="40" t="s">
        <v>11404</v>
      </c>
      <c r="H23322" s="40" t="s">
        <v>11404</v>
      </c>
    </row>
    <row r="23323">
      <c r="A23323" s="39"/>
      <c r="E23323" s="40" t="s">
        <v>11404</v>
      </c>
      <c r="F23323" s="40" t="s">
        <v>11404</v>
      </c>
      <c r="G23323" s="40" t="s">
        <v>11404</v>
      </c>
      <c r="H23323" s="40" t="s">
        <v>11404</v>
      </c>
    </row>
    <row r="23324">
      <c r="A23324" s="39"/>
      <c r="E23324" s="40" t="s">
        <v>11404</v>
      </c>
      <c r="F23324" s="40" t="s">
        <v>11404</v>
      </c>
      <c r="G23324" s="40" t="s">
        <v>11404</v>
      </c>
      <c r="H23324" s="40" t="s">
        <v>11404</v>
      </c>
    </row>
    <row r="23325">
      <c r="A23325" s="39"/>
      <c r="E23325" s="40" t="s">
        <v>11404</v>
      </c>
      <c r="F23325" s="40" t="s">
        <v>11404</v>
      </c>
      <c r="G23325" s="40" t="s">
        <v>11404</v>
      </c>
      <c r="H23325" s="40" t="s">
        <v>11404</v>
      </c>
    </row>
    <row r="23326">
      <c r="A23326" s="39"/>
      <c r="E23326" s="40" t="s">
        <v>11404</v>
      </c>
      <c r="F23326" s="40" t="s">
        <v>11404</v>
      </c>
      <c r="G23326" s="40" t="s">
        <v>11404</v>
      </c>
      <c r="H23326" s="40" t="s">
        <v>11404</v>
      </c>
    </row>
    <row r="23327">
      <c r="A23327" s="39"/>
      <c r="E23327" s="40" t="s">
        <v>11404</v>
      </c>
      <c r="F23327" s="40" t="s">
        <v>11404</v>
      </c>
      <c r="G23327" s="40" t="s">
        <v>11404</v>
      </c>
      <c r="H23327" s="40" t="s">
        <v>11404</v>
      </c>
    </row>
    <row r="23328">
      <c r="A23328" s="39"/>
      <c r="E23328" s="40" t="s">
        <v>11404</v>
      </c>
      <c r="F23328" s="40" t="s">
        <v>11404</v>
      </c>
      <c r="G23328" s="40" t="s">
        <v>11404</v>
      </c>
      <c r="H23328" s="40" t="s">
        <v>11404</v>
      </c>
    </row>
    <row r="23329">
      <c r="A23329" s="39"/>
      <c r="E23329" s="40" t="s">
        <v>11404</v>
      </c>
      <c r="F23329" s="40" t="s">
        <v>11404</v>
      </c>
      <c r="G23329" s="40" t="s">
        <v>11404</v>
      </c>
      <c r="H23329" s="40" t="s">
        <v>11404</v>
      </c>
    </row>
    <row r="23330">
      <c r="A23330" s="39"/>
      <c r="E23330" s="40" t="s">
        <v>11404</v>
      </c>
      <c r="F23330" s="40" t="s">
        <v>11404</v>
      </c>
      <c r="G23330" s="40" t="s">
        <v>11404</v>
      </c>
      <c r="H23330" s="40" t="s">
        <v>11404</v>
      </c>
    </row>
    <row r="23331">
      <c r="A23331" s="39"/>
      <c r="E23331" s="40" t="s">
        <v>11404</v>
      </c>
      <c r="F23331" s="40" t="s">
        <v>11404</v>
      </c>
      <c r="G23331" s="40" t="s">
        <v>11404</v>
      </c>
      <c r="H23331" s="40" t="s">
        <v>11404</v>
      </c>
    </row>
    <row r="23332">
      <c r="A23332" s="39"/>
      <c r="E23332" s="40" t="s">
        <v>11404</v>
      </c>
      <c r="F23332" s="40" t="s">
        <v>11404</v>
      </c>
      <c r="G23332" s="40" t="s">
        <v>11404</v>
      </c>
      <c r="H23332" s="40" t="s">
        <v>11404</v>
      </c>
    </row>
    <row r="23333">
      <c r="A23333" s="39"/>
      <c r="E23333" s="40" t="s">
        <v>11404</v>
      </c>
      <c r="F23333" s="40" t="s">
        <v>11404</v>
      </c>
      <c r="G23333" s="40" t="s">
        <v>11404</v>
      </c>
      <c r="H23333" s="40" t="s">
        <v>11404</v>
      </c>
    </row>
    <row r="23334">
      <c r="A23334" s="39"/>
      <c r="E23334" s="40" t="s">
        <v>11404</v>
      </c>
      <c r="F23334" s="40" t="s">
        <v>11404</v>
      </c>
      <c r="G23334" s="40" t="s">
        <v>11404</v>
      </c>
      <c r="H23334" s="40" t="s">
        <v>11404</v>
      </c>
    </row>
    <row r="23335">
      <c r="A23335" s="39"/>
      <c r="E23335" s="40" t="s">
        <v>11404</v>
      </c>
      <c r="F23335" s="40" t="s">
        <v>11404</v>
      </c>
      <c r="G23335" s="40" t="s">
        <v>11404</v>
      </c>
      <c r="H23335" s="40" t="s">
        <v>11404</v>
      </c>
    </row>
    <row r="23336">
      <c r="A23336" s="39"/>
      <c r="E23336" s="40" t="s">
        <v>11404</v>
      </c>
      <c r="F23336" s="40" t="s">
        <v>11404</v>
      </c>
      <c r="G23336" s="40" t="s">
        <v>11404</v>
      </c>
      <c r="H23336" s="40" t="s">
        <v>11404</v>
      </c>
    </row>
    <row r="23337">
      <c r="A23337" s="39"/>
      <c r="E23337" s="40" t="s">
        <v>11404</v>
      </c>
      <c r="F23337" s="40" t="s">
        <v>11404</v>
      </c>
      <c r="G23337" s="40" t="s">
        <v>11404</v>
      </c>
      <c r="H23337" s="40" t="s">
        <v>11404</v>
      </c>
    </row>
    <row r="23338">
      <c r="A23338" s="39"/>
      <c r="E23338" s="40" t="s">
        <v>11404</v>
      </c>
      <c r="F23338" s="40" t="s">
        <v>11404</v>
      </c>
      <c r="G23338" s="40" t="s">
        <v>11404</v>
      </c>
      <c r="H23338" s="40" t="s">
        <v>11404</v>
      </c>
    </row>
    <row r="23339">
      <c r="A23339" s="39"/>
      <c r="E23339" s="40" t="s">
        <v>11404</v>
      </c>
      <c r="F23339" s="40" t="s">
        <v>11404</v>
      </c>
      <c r="G23339" s="40" t="s">
        <v>11404</v>
      </c>
      <c r="H23339" s="40" t="s">
        <v>11404</v>
      </c>
    </row>
    <row r="23340">
      <c r="A23340" s="39"/>
      <c r="E23340" s="40" t="s">
        <v>11404</v>
      </c>
      <c r="F23340" s="40" t="s">
        <v>11404</v>
      </c>
      <c r="G23340" s="40" t="s">
        <v>11404</v>
      </c>
      <c r="H23340" s="40" t="s">
        <v>11404</v>
      </c>
    </row>
    <row r="23341">
      <c r="A23341" s="39"/>
      <c r="E23341" s="40" t="s">
        <v>11404</v>
      </c>
      <c r="F23341" s="40" t="s">
        <v>11404</v>
      </c>
      <c r="G23341" s="40" t="s">
        <v>11404</v>
      </c>
      <c r="H23341" s="40" t="s">
        <v>11404</v>
      </c>
    </row>
    <row r="23342">
      <c r="A23342" s="39"/>
      <c r="E23342" s="40" t="s">
        <v>11404</v>
      </c>
      <c r="F23342" s="40" t="s">
        <v>11404</v>
      </c>
      <c r="G23342" s="40" t="s">
        <v>11404</v>
      </c>
      <c r="H23342" s="40" t="s">
        <v>11404</v>
      </c>
    </row>
    <row r="23343">
      <c r="A23343" s="39"/>
      <c r="E23343" s="40" t="s">
        <v>11404</v>
      </c>
      <c r="F23343" s="40" t="s">
        <v>11404</v>
      </c>
      <c r="G23343" s="40" t="s">
        <v>11404</v>
      </c>
      <c r="H23343" s="40" t="s">
        <v>11404</v>
      </c>
    </row>
    <row r="23344">
      <c r="A23344" s="39"/>
      <c r="E23344" s="40" t="s">
        <v>11404</v>
      </c>
      <c r="F23344" s="40" t="s">
        <v>11404</v>
      </c>
      <c r="G23344" s="40" t="s">
        <v>11404</v>
      </c>
      <c r="H23344" s="40" t="s">
        <v>11404</v>
      </c>
    </row>
    <row r="23345">
      <c r="A23345" s="39"/>
      <c r="E23345" s="40" t="s">
        <v>11404</v>
      </c>
      <c r="F23345" s="40" t="s">
        <v>11404</v>
      </c>
      <c r="G23345" s="40" t="s">
        <v>11404</v>
      </c>
      <c r="H23345" s="40" t="s">
        <v>11404</v>
      </c>
    </row>
    <row r="23346">
      <c r="A23346" s="39"/>
      <c r="E23346" s="40" t="s">
        <v>11404</v>
      </c>
      <c r="F23346" s="40" t="s">
        <v>11404</v>
      </c>
      <c r="G23346" s="40" t="s">
        <v>11404</v>
      </c>
      <c r="H23346" s="40" t="s">
        <v>11404</v>
      </c>
    </row>
    <row r="23347">
      <c r="A23347" s="39"/>
      <c r="E23347" s="40" t="s">
        <v>11404</v>
      </c>
      <c r="F23347" s="40" t="s">
        <v>11404</v>
      </c>
      <c r="G23347" s="40" t="s">
        <v>11404</v>
      </c>
      <c r="H23347" s="40" t="s">
        <v>11404</v>
      </c>
    </row>
    <row r="23348">
      <c r="A23348" s="39"/>
      <c r="E23348" s="40" t="s">
        <v>11404</v>
      </c>
      <c r="F23348" s="40" t="s">
        <v>11404</v>
      </c>
      <c r="G23348" s="40" t="s">
        <v>11404</v>
      </c>
      <c r="H23348" s="40" t="s">
        <v>11404</v>
      </c>
    </row>
    <row r="23349">
      <c r="A23349" s="39"/>
      <c r="E23349" s="40" t="s">
        <v>11404</v>
      </c>
      <c r="F23349" s="40" t="s">
        <v>11404</v>
      </c>
      <c r="G23349" s="40" t="s">
        <v>11404</v>
      </c>
      <c r="H23349" s="40" t="s">
        <v>11404</v>
      </c>
    </row>
    <row r="23350">
      <c r="A23350" s="39"/>
      <c r="E23350" s="40" t="s">
        <v>11404</v>
      </c>
      <c r="F23350" s="40" t="s">
        <v>11404</v>
      </c>
      <c r="G23350" s="40" t="s">
        <v>11404</v>
      </c>
      <c r="H23350" s="40" t="s">
        <v>11404</v>
      </c>
    </row>
    <row r="23351">
      <c r="A23351" s="39"/>
      <c r="E23351" s="40" t="s">
        <v>11404</v>
      </c>
      <c r="F23351" s="40" t="s">
        <v>11404</v>
      </c>
      <c r="G23351" s="40" t="s">
        <v>11404</v>
      </c>
      <c r="H23351" s="40" t="s">
        <v>11404</v>
      </c>
    </row>
    <row r="23352">
      <c r="A23352" s="39"/>
      <c r="E23352" s="40" t="s">
        <v>11404</v>
      </c>
      <c r="F23352" s="40" t="s">
        <v>11404</v>
      </c>
      <c r="G23352" s="40" t="s">
        <v>11404</v>
      </c>
      <c r="H23352" s="40" t="s">
        <v>11404</v>
      </c>
    </row>
    <row r="23353">
      <c r="A23353" s="39"/>
      <c r="E23353" s="40" t="s">
        <v>11404</v>
      </c>
      <c r="F23353" s="40" t="s">
        <v>11404</v>
      </c>
      <c r="G23353" s="40" t="s">
        <v>11404</v>
      </c>
      <c r="H23353" s="40" t="s">
        <v>11404</v>
      </c>
    </row>
    <row r="23354">
      <c r="A23354" s="39"/>
      <c r="E23354" s="40" t="s">
        <v>11404</v>
      </c>
      <c r="F23354" s="40" t="s">
        <v>11404</v>
      </c>
      <c r="G23354" s="40" t="s">
        <v>11404</v>
      </c>
      <c r="H23354" s="40" t="s">
        <v>11404</v>
      </c>
    </row>
    <row r="23355">
      <c r="A23355" s="39"/>
      <c r="E23355" s="40" t="s">
        <v>11404</v>
      </c>
      <c r="F23355" s="40" t="s">
        <v>11404</v>
      </c>
      <c r="G23355" s="40" t="s">
        <v>11404</v>
      </c>
      <c r="H23355" s="40" t="s">
        <v>11404</v>
      </c>
    </row>
    <row r="23356">
      <c r="A23356" s="39"/>
      <c r="E23356" s="40" t="s">
        <v>11404</v>
      </c>
      <c r="F23356" s="40" t="s">
        <v>11404</v>
      </c>
      <c r="G23356" s="40" t="s">
        <v>11404</v>
      </c>
      <c r="H23356" s="40" t="s">
        <v>11404</v>
      </c>
    </row>
    <row r="23357">
      <c r="A23357" s="39"/>
      <c r="E23357" s="40" t="s">
        <v>11404</v>
      </c>
      <c r="F23357" s="40" t="s">
        <v>11404</v>
      </c>
      <c r="G23357" s="40" t="s">
        <v>11404</v>
      </c>
      <c r="H23357" s="40" t="s">
        <v>11404</v>
      </c>
    </row>
    <row r="23358">
      <c r="A23358" s="39"/>
      <c r="E23358" s="40" t="s">
        <v>11404</v>
      </c>
      <c r="F23358" s="40" t="s">
        <v>11404</v>
      </c>
      <c r="G23358" s="40" t="s">
        <v>11404</v>
      </c>
      <c r="H23358" s="40" t="s">
        <v>11404</v>
      </c>
    </row>
    <row r="23359">
      <c r="A23359" s="39"/>
      <c r="E23359" s="40" t="s">
        <v>11404</v>
      </c>
      <c r="F23359" s="40" t="s">
        <v>11404</v>
      </c>
      <c r="G23359" s="40" t="s">
        <v>11404</v>
      </c>
      <c r="H23359" s="40" t="s">
        <v>11404</v>
      </c>
    </row>
    <row r="23360">
      <c r="A23360" s="39"/>
      <c r="E23360" s="40" t="s">
        <v>11404</v>
      </c>
      <c r="F23360" s="40" t="s">
        <v>11404</v>
      </c>
      <c r="G23360" s="40" t="s">
        <v>11404</v>
      </c>
      <c r="H23360" s="40" t="s">
        <v>11404</v>
      </c>
    </row>
    <row r="23361">
      <c r="A23361" s="39"/>
      <c r="E23361" s="40" t="s">
        <v>11404</v>
      </c>
      <c r="F23361" s="40" t="s">
        <v>11404</v>
      </c>
      <c r="G23361" s="40" t="s">
        <v>11404</v>
      </c>
      <c r="H23361" s="40" t="s">
        <v>11404</v>
      </c>
    </row>
    <row r="23362">
      <c r="A23362" s="39"/>
      <c r="E23362" s="40" t="s">
        <v>11404</v>
      </c>
      <c r="F23362" s="40" t="s">
        <v>11404</v>
      </c>
      <c r="G23362" s="40" t="s">
        <v>11404</v>
      </c>
      <c r="H23362" s="40" t="s">
        <v>11404</v>
      </c>
    </row>
    <row r="23363">
      <c r="A23363" s="39"/>
      <c r="E23363" s="40" t="s">
        <v>11404</v>
      </c>
      <c r="F23363" s="40" t="s">
        <v>11404</v>
      </c>
      <c r="G23363" s="40" t="s">
        <v>11404</v>
      </c>
      <c r="H23363" s="40" t="s">
        <v>11404</v>
      </c>
    </row>
    <row r="23364">
      <c r="A23364" s="39"/>
      <c r="E23364" s="40" t="s">
        <v>11404</v>
      </c>
      <c r="F23364" s="40" t="s">
        <v>11404</v>
      </c>
      <c r="G23364" s="40" t="s">
        <v>11404</v>
      </c>
      <c r="H23364" s="40" t="s">
        <v>11404</v>
      </c>
    </row>
    <row r="23365">
      <c r="A23365" s="39"/>
      <c r="E23365" s="40" t="s">
        <v>11404</v>
      </c>
      <c r="F23365" s="40" t="s">
        <v>11404</v>
      </c>
      <c r="G23365" s="40" t="s">
        <v>11404</v>
      </c>
      <c r="H23365" s="40" t="s">
        <v>11404</v>
      </c>
    </row>
    <row r="23366">
      <c r="A23366" s="39"/>
      <c r="E23366" s="40" t="s">
        <v>11404</v>
      </c>
      <c r="F23366" s="40" t="s">
        <v>11404</v>
      </c>
      <c r="G23366" s="40" t="s">
        <v>11404</v>
      </c>
      <c r="H23366" s="40" t="s">
        <v>11404</v>
      </c>
    </row>
    <row r="23367">
      <c r="A23367" s="39"/>
      <c r="E23367" s="40" t="s">
        <v>11404</v>
      </c>
      <c r="F23367" s="40" t="s">
        <v>11404</v>
      </c>
      <c r="G23367" s="40" t="s">
        <v>11404</v>
      </c>
      <c r="H23367" s="40" t="s">
        <v>11404</v>
      </c>
    </row>
    <row r="23368">
      <c r="A23368" s="39"/>
      <c r="E23368" s="40" t="s">
        <v>11404</v>
      </c>
      <c r="F23368" s="40" t="s">
        <v>11404</v>
      </c>
      <c r="G23368" s="40" t="s">
        <v>11404</v>
      </c>
      <c r="H23368" s="40" t="s">
        <v>11404</v>
      </c>
    </row>
    <row r="23369">
      <c r="A23369" s="39"/>
      <c r="E23369" s="40" t="s">
        <v>11404</v>
      </c>
      <c r="F23369" s="40" t="s">
        <v>11404</v>
      </c>
      <c r="G23369" s="40" t="s">
        <v>11404</v>
      </c>
      <c r="H23369" s="40" t="s">
        <v>11404</v>
      </c>
    </row>
    <row r="23370">
      <c r="A23370" s="39"/>
      <c r="E23370" s="40" t="s">
        <v>11404</v>
      </c>
      <c r="F23370" s="40" t="s">
        <v>11404</v>
      </c>
      <c r="G23370" s="40" t="s">
        <v>11404</v>
      </c>
      <c r="H23370" s="40" t="s">
        <v>11404</v>
      </c>
    </row>
    <row r="23371">
      <c r="A23371" s="39"/>
      <c r="E23371" s="40" t="s">
        <v>11404</v>
      </c>
      <c r="F23371" s="40" t="s">
        <v>11404</v>
      </c>
      <c r="G23371" s="40" t="s">
        <v>11404</v>
      </c>
      <c r="H23371" s="40" t="s">
        <v>11404</v>
      </c>
    </row>
    <row r="23372">
      <c r="A23372" s="39"/>
      <c r="E23372" s="40" t="s">
        <v>11404</v>
      </c>
      <c r="F23372" s="40" t="s">
        <v>11404</v>
      </c>
      <c r="G23372" s="40" t="s">
        <v>11404</v>
      </c>
      <c r="H23372" s="40" t="s">
        <v>11404</v>
      </c>
    </row>
    <row r="23373">
      <c r="A23373" s="39"/>
      <c r="E23373" s="40" t="s">
        <v>11404</v>
      </c>
      <c r="F23373" s="40" t="s">
        <v>11404</v>
      </c>
      <c r="G23373" s="40" t="s">
        <v>11404</v>
      </c>
      <c r="H23373" s="40" t="s">
        <v>11404</v>
      </c>
    </row>
    <row r="23374">
      <c r="A23374" s="39"/>
      <c r="E23374" s="40" t="s">
        <v>11404</v>
      </c>
      <c r="F23374" s="40" t="s">
        <v>11404</v>
      </c>
      <c r="G23374" s="40" t="s">
        <v>11404</v>
      </c>
      <c r="H23374" s="40" t="s">
        <v>11404</v>
      </c>
    </row>
    <row r="23375">
      <c r="A23375" s="39"/>
      <c r="E23375" s="40" t="s">
        <v>11404</v>
      </c>
      <c r="F23375" s="40" t="s">
        <v>11404</v>
      </c>
      <c r="G23375" s="40" t="s">
        <v>11404</v>
      </c>
      <c r="H23375" s="40" t="s">
        <v>11404</v>
      </c>
    </row>
    <row r="23376">
      <c r="A23376" s="39"/>
      <c r="E23376" s="40" t="s">
        <v>11404</v>
      </c>
      <c r="F23376" s="40" t="s">
        <v>11404</v>
      </c>
      <c r="G23376" s="40" t="s">
        <v>11404</v>
      </c>
      <c r="H23376" s="40" t="s">
        <v>11404</v>
      </c>
    </row>
    <row r="23377">
      <c r="A23377" s="39"/>
      <c r="E23377" s="40" t="s">
        <v>11404</v>
      </c>
      <c r="F23377" s="40" t="s">
        <v>11404</v>
      </c>
      <c r="G23377" s="40" t="s">
        <v>11404</v>
      </c>
      <c r="H23377" s="40" t="s">
        <v>11404</v>
      </c>
    </row>
    <row r="23378">
      <c r="A23378" s="39"/>
      <c r="E23378" s="40" t="s">
        <v>11404</v>
      </c>
      <c r="F23378" s="40" t="s">
        <v>11404</v>
      </c>
      <c r="G23378" s="40" t="s">
        <v>11404</v>
      </c>
      <c r="H23378" s="40" t="s">
        <v>11404</v>
      </c>
    </row>
    <row r="23379">
      <c r="A23379" s="39"/>
      <c r="E23379" s="40" t="s">
        <v>11404</v>
      </c>
      <c r="F23379" s="40" t="s">
        <v>11404</v>
      </c>
      <c r="G23379" s="40" t="s">
        <v>11404</v>
      </c>
      <c r="H23379" s="40" t="s">
        <v>11404</v>
      </c>
    </row>
    <row r="23380">
      <c r="A23380" s="39"/>
      <c r="E23380" s="40" t="s">
        <v>11404</v>
      </c>
      <c r="F23380" s="40" t="s">
        <v>11404</v>
      </c>
      <c r="G23380" s="40" t="s">
        <v>11404</v>
      </c>
      <c r="H23380" s="40" t="s">
        <v>11404</v>
      </c>
    </row>
    <row r="23381">
      <c r="A23381" s="39"/>
      <c r="E23381" s="40" t="s">
        <v>11404</v>
      </c>
      <c r="F23381" s="40" t="s">
        <v>11404</v>
      </c>
      <c r="G23381" s="40" t="s">
        <v>11404</v>
      </c>
      <c r="H23381" s="40" t="s">
        <v>11404</v>
      </c>
    </row>
    <row r="23382">
      <c r="A23382" s="39"/>
      <c r="E23382" s="40" t="s">
        <v>11404</v>
      </c>
      <c r="F23382" s="40" t="s">
        <v>11404</v>
      </c>
      <c r="G23382" s="40" t="s">
        <v>11404</v>
      </c>
      <c r="H23382" s="40" t="s">
        <v>11404</v>
      </c>
    </row>
    <row r="23383">
      <c r="A23383" s="39"/>
      <c r="E23383" s="40" t="s">
        <v>11404</v>
      </c>
      <c r="F23383" s="40" t="s">
        <v>11404</v>
      </c>
      <c r="G23383" s="40" t="s">
        <v>11404</v>
      </c>
      <c r="H23383" s="40" t="s">
        <v>11404</v>
      </c>
    </row>
    <row r="23384">
      <c r="A23384" s="39"/>
      <c r="E23384" s="40" t="s">
        <v>11404</v>
      </c>
      <c r="F23384" s="40" t="s">
        <v>11404</v>
      </c>
      <c r="G23384" s="40" t="s">
        <v>11404</v>
      </c>
      <c r="H23384" s="40" t="s">
        <v>11404</v>
      </c>
    </row>
    <row r="23385">
      <c r="A23385" s="39"/>
      <c r="E23385" s="40" t="s">
        <v>11404</v>
      </c>
      <c r="F23385" s="40" t="s">
        <v>11404</v>
      </c>
      <c r="G23385" s="40" t="s">
        <v>11404</v>
      </c>
      <c r="H23385" s="40" t="s">
        <v>11404</v>
      </c>
    </row>
    <row r="23386">
      <c r="A23386" s="39"/>
      <c r="E23386" s="40" t="s">
        <v>11404</v>
      </c>
      <c r="F23386" s="40" t="s">
        <v>11404</v>
      </c>
      <c r="G23386" s="40" t="s">
        <v>11404</v>
      </c>
      <c r="H23386" s="40" t="s">
        <v>11404</v>
      </c>
    </row>
    <row r="23387">
      <c r="A23387" s="39"/>
      <c r="E23387" s="40" t="s">
        <v>11404</v>
      </c>
      <c r="F23387" s="40" t="s">
        <v>11404</v>
      </c>
      <c r="G23387" s="40" t="s">
        <v>11404</v>
      </c>
      <c r="H23387" s="40" t="s">
        <v>11404</v>
      </c>
    </row>
    <row r="23388">
      <c r="A23388" s="39"/>
      <c r="E23388" s="40" t="s">
        <v>11404</v>
      </c>
      <c r="F23388" s="40" t="s">
        <v>11404</v>
      </c>
      <c r="G23388" s="40" t="s">
        <v>11404</v>
      </c>
      <c r="H23388" s="40" t="s">
        <v>11404</v>
      </c>
    </row>
    <row r="23389">
      <c r="A23389" s="39"/>
      <c r="E23389" s="40" t="s">
        <v>11404</v>
      </c>
      <c r="F23389" s="40" t="s">
        <v>11404</v>
      </c>
      <c r="G23389" s="40" t="s">
        <v>11404</v>
      </c>
      <c r="H23389" s="40" t="s">
        <v>11404</v>
      </c>
    </row>
    <row r="23390">
      <c r="A23390" s="39"/>
      <c r="E23390" s="40" t="s">
        <v>11404</v>
      </c>
      <c r="F23390" s="40" t="s">
        <v>11404</v>
      </c>
      <c r="G23390" s="40" t="s">
        <v>11404</v>
      </c>
      <c r="H23390" s="40" t="s">
        <v>11404</v>
      </c>
    </row>
    <row r="23391">
      <c r="A23391" s="39"/>
      <c r="E23391" s="40" t="s">
        <v>11404</v>
      </c>
      <c r="F23391" s="40" t="s">
        <v>11404</v>
      </c>
      <c r="G23391" s="40" t="s">
        <v>11404</v>
      </c>
      <c r="H23391" s="40" t="s">
        <v>11404</v>
      </c>
    </row>
    <row r="23392">
      <c r="A23392" s="39"/>
      <c r="E23392" s="40" t="s">
        <v>11404</v>
      </c>
      <c r="F23392" s="40" t="s">
        <v>11404</v>
      </c>
      <c r="G23392" s="40" t="s">
        <v>11404</v>
      </c>
      <c r="H23392" s="40" t="s">
        <v>11404</v>
      </c>
    </row>
    <row r="23393">
      <c r="A23393" s="39"/>
      <c r="E23393" s="40" t="s">
        <v>11404</v>
      </c>
      <c r="F23393" s="40" t="s">
        <v>11404</v>
      </c>
      <c r="G23393" s="40" t="s">
        <v>11404</v>
      </c>
      <c r="H23393" s="40" t="s">
        <v>11404</v>
      </c>
    </row>
    <row r="23394">
      <c r="A23394" s="39"/>
      <c r="E23394" s="40" t="s">
        <v>11404</v>
      </c>
      <c r="F23394" s="40" t="s">
        <v>11404</v>
      </c>
      <c r="G23394" s="40" t="s">
        <v>11404</v>
      </c>
      <c r="H23394" s="40" t="s">
        <v>11404</v>
      </c>
    </row>
    <row r="23395">
      <c r="A23395" s="39"/>
      <c r="E23395" s="40" t="s">
        <v>11404</v>
      </c>
      <c r="F23395" s="40" t="s">
        <v>11404</v>
      </c>
      <c r="G23395" s="40" t="s">
        <v>11404</v>
      </c>
      <c r="H23395" s="40" t="s">
        <v>11404</v>
      </c>
    </row>
    <row r="23396">
      <c r="A23396" s="39"/>
      <c r="E23396" s="40" t="s">
        <v>11404</v>
      </c>
      <c r="F23396" s="40" t="s">
        <v>11404</v>
      </c>
      <c r="G23396" s="40" t="s">
        <v>11404</v>
      </c>
      <c r="H23396" s="40" t="s">
        <v>11404</v>
      </c>
    </row>
    <row r="23397">
      <c r="A23397" s="39"/>
      <c r="E23397" s="40" t="s">
        <v>11404</v>
      </c>
      <c r="F23397" s="40" t="s">
        <v>11404</v>
      </c>
      <c r="G23397" s="40" t="s">
        <v>11404</v>
      </c>
      <c r="H23397" s="40" t="s">
        <v>11404</v>
      </c>
    </row>
    <row r="23398">
      <c r="A23398" s="39"/>
      <c r="E23398" s="40" t="s">
        <v>11404</v>
      </c>
      <c r="F23398" s="40" t="s">
        <v>11404</v>
      </c>
      <c r="G23398" s="40" t="s">
        <v>11404</v>
      </c>
      <c r="H23398" s="40" t="s">
        <v>11404</v>
      </c>
    </row>
    <row r="23399">
      <c r="A23399" s="39"/>
      <c r="E23399" s="40" t="s">
        <v>11404</v>
      </c>
      <c r="F23399" s="40" t="s">
        <v>11404</v>
      </c>
      <c r="G23399" s="40" t="s">
        <v>11404</v>
      </c>
      <c r="H23399" s="40" t="s">
        <v>11404</v>
      </c>
    </row>
    <row r="23400">
      <c r="A23400" s="39"/>
      <c r="E23400" s="40" t="s">
        <v>11404</v>
      </c>
      <c r="F23400" s="40" t="s">
        <v>11404</v>
      </c>
      <c r="G23400" s="40" t="s">
        <v>11404</v>
      </c>
      <c r="H23400" s="40" t="s">
        <v>11404</v>
      </c>
    </row>
    <row r="23401">
      <c r="A23401" s="39"/>
      <c r="E23401" s="40" t="s">
        <v>11404</v>
      </c>
      <c r="F23401" s="40" t="s">
        <v>11404</v>
      </c>
      <c r="G23401" s="40" t="s">
        <v>11404</v>
      </c>
      <c r="H23401" s="40" t="s">
        <v>11404</v>
      </c>
    </row>
    <row r="23402">
      <c r="A23402" s="39"/>
      <c r="E23402" s="40" t="s">
        <v>11404</v>
      </c>
      <c r="F23402" s="40" t="s">
        <v>11404</v>
      </c>
      <c r="G23402" s="40" t="s">
        <v>11404</v>
      </c>
      <c r="H23402" s="40" t="s">
        <v>11404</v>
      </c>
    </row>
    <row r="23403">
      <c r="A23403" s="39"/>
      <c r="E23403" s="40" t="s">
        <v>11404</v>
      </c>
      <c r="F23403" s="40" t="s">
        <v>11404</v>
      </c>
      <c r="G23403" s="40" t="s">
        <v>11404</v>
      </c>
      <c r="H23403" s="40" t="s">
        <v>11404</v>
      </c>
    </row>
    <row r="23404">
      <c r="A23404" s="39"/>
      <c r="E23404" s="40" t="s">
        <v>11404</v>
      </c>
      <c r="F23404" s="40" t="s">
        <v>11404</v>
      </c>
      <c r="G23404" s="40" t="s">
        <v>11404</v>
      </c>
      <c r="H23404" s="40" t="s">
        <v>11404</v>
      </c>
    </row>
    <row r="23405">
      <c r="A23405" s="39"/>
      <c r="E23405" s="40" t="s">
        <v>11404</v>
      </c>
      <c r="F23405" s="40" t="s">
        <v>11404</v>
      </c>
      <c r="G23405" s="40" t="s">
        <v>11404</v>
      </c>
      <c r="H23405" s="40" t="s">
        <v>11404</v>
      </c>
    </row>
    <row r="23406">
      <c r="A23406" s="39"/>
      <c r="E23406" s="40" t="s">
        <v>11404</v>
      </c>
      <c r="F23406" s="40" t="s">
        <v>11404</v>
      </c>
      <c r="G23406" s="40" t="s">
        <v>11404</v>
      </c>
      <c r="H23406" s="40" t="s">
        <v>11404</v>
      </c>
    </row>
    <row r="23407">
      <c r="A23407" s="39"/>
      <c r="E23407" s="40" t="s">
        <v>11404</v>
      </c>
      <c r="F23407" s="40" t="s">
        <v>11404</v>
      </c>
      <c r="G23407" s="40" t="s">
        <v>11404</v>
      </c>
      <c r="H23407" s="40" t="s">
        <v>11404</v>
      </c>
    </row>
    <row r="23408">
      <c r="A23408" s="39"/>
      <c r="E23408" s="40" t="s">
        <v>11404</v>
      </c>
      <c r="F23408" s="40" t="s">
        <v>11404</v>
      </c>
      <c r="G23408" s="40" t="s">
        <v>11404</v>
      </c>
      <c r="H23408" s="40" t="s">
        <v>11404</v>
      </c>
    </row>
    <row r="23409">
      <c r="A23409" s="39"/>
      <c r="E23409" s="40" t="s">
        <v>11404</v>
      </c>
      <c r="F23409" s="40" t="s">
        <v>11404</v>
      </c>
      <c r="G23409" s="40" t="s">
        <v>11404</v>
      </c>
      <c r="H23409" s="40" t="s">
        <v>11404</v>
      </c>
    </row>
    <row r="23410">
      <c r="A23410" s="39"/>
      <c r="E23410" s="40" t="s">
        <v>11404</v>
      </c>
      <c r="F23410" s="40" t="s">
        <v>11404</v>
      </c>
      <c r="G23410" s="40" t="s">
        <v>11404</v>
      </c>
      <c r="H23410" s="40" t="s">
        <v>11404</v>
      </c>
    </row>
    <row r="23411">
      <c r="A23411" s="39"/>
      <c r="E23411" s="40" t="s">
        <v>11404</v>
      </c>
      <c r="F23411" s="40" t="s">
        <v>11404</v>
      </c>
      <c r="G23411" s="40" t="s">
        <v>11404</v>
      </c>
      <c r="H23411" s="40" t="s">
        <v>11404</v>
      </c>
    </row>
    <row r="23412">
      <c r="A23412" s="39"/>
      <c r="E23412" s="40" t="s">
        <v>11404</v>
      </c>
      <c r="F23412" s="40" t="s">
        <v>11404</v>
      </c>
      <c r="G23412" s="40" t="s">
        <v>11404</v>
      </c>
      <c r="H23412" s="40" t="s">
        <v>11404</v>
      </c>
    </row>
    <row r="23413">
      <c r="A23413" s="39"/>
      <c r="E23413" s="40" t="s">
        <v>11404</v>
      </c>
      <c r="F23413" s="40" t="s">
        <v>11404</v>
      </c>
      <c r="G23413" s="40" t="s">
        <v>11404</v>
      </c>
      <c r="H23413" s="40" t="s">
        <v>11404</v>
      </c>
    </row>
    <row r="23414">
      <c r="A23414" s="39"/>
      <c r="E23414" s="40" t="s">
        <v>11404</v>
      </c>
      <c r="F23414" s="40" t="s">
        <v>11404</v>
      </c>
      <c r="G23414" s="40" t="s">
        <v>11404</v>
      </c>
      <c r="H23414" s="40" t="s">
        <v>11404</v>
      </c>
    </row>
    <row r="23415">
      <c r="A23415" s="39"/>
      <c r="E23415" s="40" t="s">
        <v>11404</v>
      </c>
      <c r="F23415" s="40" t="s">
        <v>11404</v>
      </c>
      <c r="G23415" s="40" t="s">
        <v>11404</v>
      </c>
      <c r="H23415" s="40" t="s">
        <v>11404</v>
      </c>
    </row>
    <row r="23416">
      <c r="A23416" s="39"/>
      <c r="E23416" s="40" t="s">
        <v>11404</v>
      </c>
      <c r="F23416" s="40" t="s">
        <v>11404</v>
      </c>
      <c r="G23416" s="40" t="s">
        <v>11404</v>
      </c>
      <c r="H23416" s="40" t="s">
        <v>11404</v>
      </c>
    </row>
    <row r="23417">
      <c r="A23417" s="39"/>
      <c r="E23417" s="40" t="s">
        <v>11404</v>
      </c>
      <c r="F23417" s="40" t="s">
        <v>11404</v>
      </c>
      <c r="G23417" s="40" t="s">
        <v>11404</v>
      </c>
      <c r="H23417" s="40" t="s">
        <v>11404</v>
      </c>
    </row>
    <row r="23418">
      <c r="A23418" s="39"/>
      <c r="E23418" s="40" t="s">
        <v>11404</v>
      </c>
      <c r="F23418" s="40" t="s">
        <v>11404</v>
      </c>
      <c r="G23418" s="40" t="s">
        <v>11404</v>
      </c>
      <c r="H23418" s="40" t="s">
        <v>11404</v>
      </c>
    </row>
    <row r="23419">
      <c r="A23419" s="39"/>
      <c r="E23419" s="40" t="s">
        <v>11404</v>
      </c>
      <c r="F23419" s="40" t="s">
        <v>11404</v>
      </c>
      <c r="G23419" s="40" t="s">
        <v>11404</v>
      </c>
      <c r="H23419" s="40" t="s">
        <v>11404</v>
      </c>
    </row>
    <row r="23420">
      <c r="A23420" s="39"/>
      <c r="E23420" s="40" t="s">
        <v>11404</v>
      </c>
      <c r="F23420" s="40" t="s">
        <v>11404</v>
      </c>
      <c r="G23420" s="40" t="s">
        <v>11404</v>
      </c>
      <c r="H23420" s="40" t="s">
        <v>11404</v>
      </c>
    </row>
    <row r="23421">
      <c r="A23421" s="39"/>
      <c r="E23421" s="40" t="s">
        <v>11404</v>
      </c>
      <c r="F23421" s="40" t="s">
        <v>11404</v>
      </c>
      <c r="G23421" s="40" t="s">
        <v>11404</v>
      </c>
      <c r="H23421" s="40" t="s">
        <v>11404</v>
      </c>
    </row>
    <row r="23422">
      <c r="A23422" s="39"/>
      <c r="E23422" s="40" t="s">
        <v>11404</v>
      </c>
      <c r="F23422" s="40" t="s">
        <v>11404</v>
      </c>
      <c r="G23422" s="40" t="s">
        <v>11404</v>
      </c>
      <c r="H23422" s="40" t="s">
        <v>11404</v>
      </c>
    </row>
    <row r="23423">
      <c r="A23423" s="39"/>
      <c r="E23423" s="40" t="s">
        <v>11404</v>
      </c>
      <c r="F23423" s="40" t="s">
        <v>11404</v>
      </c>
      <c r="G23423" s="40" t="s">
        <v>11404</v>
      </c>
      <c r="H23423" s="40" t="s">
        <v>11404</v>
      </c>
    </row>
    <row r="23424">
      <c r="A23424" s="39"/>
      <c r="E23424" s="40" t="s">
        <v>11404</v>
      </c>
      <c r="F23424" s="40" t="s">
        <v>11404</v>
      </c>
      <c r="G23424" s="40" t="s">
        <v>11404</v>
      </c>
      <c r="H23424" s="40" t="s">
        <v>11404</v>
      </c>
    </row>
    <row r="23425">
      <c r="A23425" s="39"/>
      <c r="E23425" s="40" t="s">
        <v>11404</v>
      </c>
      <c r="F23425" s="40" t="s">
        <v>11404</v>
      </c>
      <c r="G23425" s="40" t="s">
        <v>11404</v>
      </c>
      <c r="H23425" s="40" t="s">
        <v>11404</v>
      </c>
    </row>
    <row r="23426">
      <c r="A23426" s="39"/>
      <c r="E23426" s="40" t="s">
        <v>11404</v>
      </c>
      <c r="F23426" s="40" t="s">
        <v>11404</v>
      </c>
      <c r="G23426" s="40" t="s">
        <v>11404</v>
      </c>
      <c r="H23426" s="40" t="s">
        <v>11404</v>
      </c>
    </row>
    <row r="23427">
      <c r="A23427" s="39"/>
      <c r="E23427" s="40" t="s">
        <v>11404</v>
      </c>
      <c r="F23427" s="40" t="s">
        <v>11404</v>
      </c>
      <c r="G23427" s="40" t="s">
        <v>11404</v>
      </c>
      <c r="H23427" s="40" t="s">
        <v>11404</v>
      </c>
    </row>
    <row r="23428">
      <c r="A23428" s="39"/>
      <c r="E23428" s="40" t="s">
        <v>11404</v>
      </c>
      <c r="F23428" s="40" t="s">
        <v>11404</v>
      </c>
      <c r="G23428" s="40" t="s">
        <v>11404</v>
      </c>
      <c r="H23428" s="40" t="s">
        <v>11404</v>
      </c>
    </row>
    <row r="23429">
      <c r="A23429" s="39"/>
      <c r="E23429" s="40" t="s">
        <v>11404</v>
      </c>
      <c r="F23429" s="40" t="s">
        <v>11404</v>
      </c>
      <c r="G23429" s="40" t="s">
        <v>11404</v>
      </c>
      <c r="H23429" s="40" t="s">
        <v>11404</v>
      </c>
    </row>
    <row r="23430">
      <c r="A23430" s="39"/>
      <c r="E23430" s="40" t="s">
        <v>11404</v>
      </c>
      <c r="F23430" s="40" t="s">
        <v>11404</v>
      </c>
      <c r="G23430" s="40" t="s">
        <v>11404</v>
      </c>
      <c r="H23430" s="40" t="s">
        <v>11404</v>
      </c>
    </row>
    <row r="23431">
      <c r="A23431" s="39"/>
      <c r="E23431" s="40" t="s">
        <v>11404</v>
      </c>
      <c r="F23431" s="40" t="s">
        <v>11404</v>
      </c>
      <c r="G23431" s="40" t="s">
        <v>11404</v>
      </c>
      <c r="H23431" s="40" t="s">
        <v>11404</v>
      </c>
    </row>
    <row r="23432">
      <c r="A23432" s="39"/>
      <c r="E23432" s="40" t="s">
        <v>11404</v>
      </c>
      <c r="F23432" s="40" t="s">
        <v>11404</v>
      </c>
      <c r="G23432" s="40" t="s">
        <v>11404</v>
      </c>
      <c r="H23432" s="40" t="s">
        <v>11404</v>
      </c>
    </row>
    <row r="23433">
      <c r="A23433" s="39"/>
      <c r="E23433" s="40" t="s">
        <v>11404</v>
      </c>
      <c r="F23433" s="40" t="s">
        <v>11404</v>
      </c>
      <c r="G23433" s="40" t="s">
        <v>11404</v>
      </c>
      <c r="H23433" s="40" t="s">
        <v>11404</v>
      </c>
    </row>
    <row r="23434">
      <c r="A23434" s="39"/>
      <c r="E23434" s="40" t="s">
        <v>11404</v>
      </c>
      <c r="F23434" s="40" t="s">
        <v>11404</v>
      </c>
      <c r="G23434" s="40" t="s">
        <v>11404</v>
      </c>
      <c r="H23434" s="40" t="s">
        <v>11404</v>
      </c>
    </row>
    <row r="23435">
      <c r="A23435" s="39"/>
      <c r="E23435" s="40" t="s">
        <v>11404</v>
      </c>
      <c r="F23435" s="40" t="s">
        <v>11404</v>
      </c>
      <c r="G23435" s="40" t="s">
        <v>11404</v>
      </c>
      <c r="H23435" s="40" t="s">
        <v>11404</v>
      </c>
    </row>
    <row r="23436">
      <c r="A23436" s="39"/>
      <c r="E23436" s="40" t="s">
        <v>11404</v>
      </c>
      <c r="F23436" s="40" t="s">
        <v>11404</v>
      </c>
      <c r="G23436" s="40" t="s">
        <v>11404</v>
      </c>
      <c r="H23436" s="40" t="s">
        <v>11404</v>
      </c>
    </row>
    <row r="23437">
      <c r="A23437" s="39"/>
      <c r="E23437" s="40" t="s">
        <v>11404</v>
      </c>
      <c r="F23437" s="40" t="s">
        <v>11404</v>
      </c>
      <c r="G23437" s="40" t="s">
        <v>11404</v>
      </c>
      <c r="H23437" s="40" t="s">
        <v>11404</v>
      </c>
    </row>
    <row r="23438">
      <c r="A23438" s="39"/>
      <c r="E23438" s="40" t="s">
        <v>11404</v>
      </c>
      <c r="F23438" s="40" t="s">
        <v>11404</v>
      </c>
      <c r="G23438" s="40" t="s">
        <v>11404</v>
      </c>
      <c r="H23438" s="40" t="s">
        <v>11404</v>
      </c>
    </row>
    <row r="23439">
      <c r="A23439" s="39"/>
      <c r="E23439" s="40" t="s">
        <v>11404</v>
      </c>
      <c r="F23439" s="40" t="s">
        <v>11404</v>
      </c>
      <c r="G23439" s="40" t="s">
        <v>11404</v>
      </c>
      <c r="H23439" s="40" t="s">
        <v>11404</v>
      </c>
    </row>
    <row r="23440">
      <c r="A23440" s="39"/>
      <c r="E23440" s="40" t="s">
        <v>11404</v>
      </c>
      <c r="F23440" s="40" t="s">
        <v>11404</v>
      </c>
      <c r="G23440" s="40" t="s">
        <v>11404</v>
      </c>
      <c r="H23440" s="40" t="s">
        <v>11404</v>
      </c>
    </row>
    <row r="23441">
      <c r="A23441" s="39"/>
      <c r="E23441" s="40" t="s">
        <v>11404</v>
      </c>
      <c r="F23441" s="40" t="s">
        <v>11404</v>
      </c>
      <c r="G23441" s="40" t="s">
        <v>11404</v>
      </c>
      <c r="H23441" s="40" t="s">
        <v>11404</v>
      </c>
    </row>
    <row r="23442">
      <c r="A23442" s="39"/>
      <c r="E23442" s="40" t="s">
        <v>11404</v>
      </c>
      <c r="F23442" s="40" t="s">
        <v>11404</v>
      </c>
      <c r="G23442" s="40" t="s">
        <v>11404</v>
      </c>
      <c r="H23442" s="40" t="s">
        <v>11404</v>
      </c>
    </row>
    <row r="23443">
      <c r="A23443" s="39"/>
      <c r="E23443" s="40" t="s">
        <v>11404</v>
      </c>
      <c r="F23443" s="40" t="s">
        <v>11404</v>
      </c>
      <c r="G23443" s="40" t="s">
        <v>11404</v>
      </c>
      <c r="H23443" s="40" t="s">
        <v>11404</v>
      </c>
    </row>
    <row r="23444">
      <c r="A23444" s="39"/>
      <c r="E23444" s="40" t="s">
        <v>11404</v>
      </c>
      <c r="F23444" s="40" t="s">
        <v>11404</v>
      </c>
      <c r="G23444" s="40" t="s">
        <v>11404</v>
      </c>
      <c r="H23444" s="40" t="s">
        <v>11404</v>
      </c>
    </row>
    <row r="23445">
      <c r="A23445" s="39"/>
      <c r="E23445" s="40" t="s">
        <v>11404</v>
      </c>
      <c r="F23445" s="40" t="s">
        <v>11404</v>
      </c>
      <c r="G23445" s="40" t="s">
        <v>11404</v>
      </c>
      <c r="H23445" s="40" t="s">
        <v>11404</v>
      </c>
    </row>
    <row r="23446">
      <c r="A23446" s="39"/>
      <c r="E23446" s="40" t="s">
        <v>11404</v>
      </c>
      <c r="F23446" s="40" t="s">
        <v>11404</v>
      </c>
      <c r="G23446" s="40" t="s">
        <v>11404</v>
      </c>
      <c r="H23446" s="40" t="s">
        <v>11404</v>
      </c>
    </row>
    <row r="23447">
      <c r="A23447" s="39"/>
      <c r="E23447" s="40" t="s">
        <v>11404</v>
      </c>
      <c r="F23447" s="40" t="s">
        <v>11404</v>
      </c>
      <c r="G23447" s="40" t="s">
        <v>11404</v>
      </c>
      <c r="H23447" s="40" t="s">
        <v>11404</v>
      </c>
    </row>
    <row r="23448">
      <c r="A23448" s="39"/>
      <c r="E23448" s="40" t="s">
        <v>11404</v>
      </c>
      <c r="F23448" s="40" t="s">
        <v>11404</v>
      </c>
      <c r="G23448" s="40" t="s">
        <v>11404</v>
      </c>
      <c r="H23448" s="40" t="s">
        <v>11404</v>
      </c>
    </row>
    <row r="23449">
      <c r="A23449" s="39"/>
      <c r="E23449" s="40" t="s">
        <v>11404</v>
      </c>
      <c r="F23449" s="40" t="s">
        <v>11404</v>
      </c>
      <c r="G23449" s="40" t="s">
        <v>11404</v>
      </c>
      <c r="H23449" s="40" t="s">
        <v>11404</v>
      </c>
    </row>
    <row r="23450">
      <c r="A23450" s="39"/>
      <c r="E23450" s="40" t="s">
        <v>11404</v>
      </c>
      <c r="F23450" s="40" t="s">
        <v>11404</v>
      </c>
      <c r="G23450" s="40" t="s">
        <v>11404</v>
      </c>
      <c r="H23450" s="40" t="s">
        <v>11404</v>
      </c>
    </row>
    <row r="23451">
      <c r="A23451" s="39"/>
      <c r="E23451" s="40" t="s">
        <v>11404</v>
      </c>
      <c r="F23451" s="40" t="s">
        <v>11404</v>
      </c>
      <c r="G23451" s="40" t="s">
        <v>11404</v>
      </c>
      <c r="H23451" s="40" t="s">
        <v>11404</v>
      </c>
    </row>
    <row r="23452">
      <c r="A23452" s="39"/>
      <c r="E23452" s="40" t="s">
        <v>11404</v>
      </c>
      <c r="F23452" s="40" t="s">
        <v>11404</v>
      </c>
      <c r="G23452" s="40" t="s">
        <v>11404</v>
      </c>
      <c r="H23452" s="40" t="s">
        <v>11404</v>
      </c>
    </row>
    <row r="23453">
      <c r="A23453" s="39"/>
      <c r="E23453" s="40" t="s">
        <v>11404</v>
      </c>
      <c r="F23453" s="40" t="s">
        <v>11404</v>
      </c>
      <c r="G23453" s="40" t="s">
        <v>11404</v>
      </c>
      <c r="H23453" s="40" t="s">
        <v>11404</v>
      </c>
    </row>
    <row r="23454">
      <c r="A23454" s="39"/>
      <c r="E23454" s="40" t="s">
        <v>11404</v>
      </c>
      <c r="F23454" s="40" t="s">
        <v>11404</v>
      </c>
      <c r="G23454" s="40" t="s">
        <v>11404</v>
      </c>
      <c r="H23454" s="40" t="s">
        <v>11404</v>
      </c>
    </row>
    <row r="23455">
      <c r="A23455" s="39"/>
      <c r="E23455" s="40" t="s">
        <v>11404</v>
      </c>
      <c r="F23455" s="40" t="s">
        <v>11404</v>
      </c>
      <c r="G23455" s="40" t="s">
        <v>11404</v>
      </c>
      <c r="H23455" s="40" t="s">
        <v>11404</v>
      </c>
    </row>
    <row r="23456">
      <c r="A23456" s="39"/>
      <c r="E23456" s="40" t="s">
        <v>11404</v>
      </c>
      <c r="F23456" s="40" t="s">
        <v>11404</v>
      </c>
      <c r="G23456" s="40" t="s">
        <v>11404</v>
      </c>
      <c r="H23456" s="40" t="s">
        <v>11404</v>
      </c>
    </row>
    <row r="23457">
      <c r="A23457" s="39"/>
      <c r="E23457" s="40" t="s">
        <v>11404</v>
      </c>
      <c r="F23457" s="40" t="s">
        <v>11404</v>
      </c>
      <c r="G23457" s="40" t="s">
        <v>11404</v>
      </c>
      <c r="H23457" s="40" t="s">
        <v>11404</v>
      </c>
    </row>
    <row r="23458">
      <c r="A23458" s="39"/>
      <c r="E23458" s="40" t="s">
        <v>11404</v>
      </c>
      <c r="F23458" s="40" t="s">
        <v>11404</v>
      </c>
      <c r="G23458" s="40" t="s">
        <v>11404</v>
      </c>
      <c r="H23458" s="40" t="s">
        <v>11404</v>
      </c>
    </row>
    <row r="23459">
      <c r="A23459" s="39"/>
      <c r="E23459" s="40" t="s">
        <v>11404</v>
      </c>
      <c r="F23459" s="40" t="s">
        <v>11404</v>
      </c>
      <c r="G23459" s="40" t="s">
        <v>11404</v>
      </c>
      <c r="H23459" s="40" t="s">
        <v>11404</v>
      </c>
    </row>
    <row r="23460">
      <c r="A23460" s="39"/>
      <c r="E23460" s="40" t="s">
        <v>11404</v>
      </c>
      <c r="F23460" s="40" t="s">
        <v>11404</v>
      </c>
      <c r="G23460" s="40" t="s">
        <v>11404</v>
      </c>
      <c r="H23460" s="40" t="s">
        <v>11404</v>
      </c>
    </row>
    <row r="23461">
      <c r="A23461" s="39"/>
      <c r="E23461" s="40" t="s">
        <v>11404</v>
      </c>
      <c r="F23461" s="40" t="s">
        <v>11404</v>
      </c>
      <c r="G23461" s="40" t="s">
        <v>11404</v>
      </c>
      <c r="H23461" s="40" t="s">
        <v>11404</v>
      </c>
    </row>
    <row r="23462">
      <c r="A23462" s="39"/>
      <c r="E23462" s="40" t="s">
        <v>11404</v>
      </c>
      <c r="F23462" s="40" t="s">
        <v>11404</v>
      </c>
      <c r="G23462" s="40" t="s">
        <v>11404</v>
      </c>
      <c r="H23462" s="40" t="s">
        <v>11404</v>
      </c>
    </row>
    <row r="23463">
      <c r="A23463" s="39"/>
      <c r="E23463" s="40" t="s">
        <v>11404</v>
      </c>
      <c r="F23463" s="40" t="s">
        <v>11404</v>
      </c>
      <c r="G23463" s="40" t="s">
        <v>11404</v>
      </c>
      <c r="H23463" s="40" t="s">
        <v>11404</v>
      </c>
    </row>
    <row r="23464">
      <c r="A23464" s="39"/>
      <c r="E23464" s="40" t="s">
        <v>11404</v>
      </c>
      <c r="F23464" s="40" t="s">
        <v>11404</v>
      </c>
      <c r="G23464" s="40" t="s">
        <v>11404</v>
      </c>
      <c r="H23464" s="40" t="s">
        <v>11404</v>
      </c>
    </row>
    <row r="23465">
      <c r="A23465" s="39"/>
      <c r="E23465" s="40" t="s">
        <v>11404</v>
      </c>
      <c r="F23465" s="40" t="s">
        <v>11404</v>
      </c>
      <c r="G23465" s="40" t="s">
        <v>11404</v>
      </c>
      <c r="H23465" s="40" t="s">
        <v>11404</v>
      </c>
    </row>
    <row r="23466">
      <c r="A23466" s="39"/>
      <c r="E23466" s="40" t="s">
        <v>11404</v>
      </c>
      <c r="F23466" s="40" t="s">
        <v>11404</v>
      </c>
      <c r="G23466" s="40" t="s">
        <v>11404</v>
      </c>
      <c r="H23466" s="40" t="s">
        <v>11404</v>
      </c>
    </row>
    <row r="23467">
      <c r="A23467" s="39"/>
      <c r="E23467" s="40" t="s">
        <v>11404</v>
      </c>
      <c r="F23467" s="40" t="s">
        <v>11404</v>
      </c>
      <c r="G23467" s="40" t="s">
        <v>11404</v>
      </c>
      <c r="H23467" s="40" t="s">
        <v>11404</v>
      </c>
    </row>
    <row r="23468">
      <c r="A23468" s="39"/>
      <c r="E23468" s="40" t="s">
        <v>11404</v>
      </c>
      <c r="F23468" s="40" t="s">
        <v>11404</v>
      </c>
      <c r="G23468" s="40" t="s">
        <v>11404</v>
      </c>
      <c r="H23468" s="40" t="s">
        <v>11404</v>
      </c>
    </row>
    <row r="23469">
      <c r="A23469" s="39"/>
      <c r="E23469" s="40" t="s">
        <v>11404</v>
      </c>
      <c r="F23469" s="40" t="s">
        <v>11404</v>
      </c>
      <c r="G23469" s="40" t="s">
        <v>11404</v>
      </c>
      <c r="H23469" s="40" t="s">
        <v>11404</v>
      </c>
    </row>
    <row r="23470">
      <c r="A23470" s="39"/>
      <c r="E23470" s="40" t="s">
        <v>11404</v>
      </c>
      <c r="F23470" s="40" t="s">
        <v>11404</v>
      </c>
      <c r="G23470" s="40" t="s">
        <v>11404</v>
      </c>
      <c r="H23470" s="40" t="s">
        <v>11404</v>
      </c>
    </row>
    <row r="23471">
      <c r="A23471" s="39"/>
      <c r="E23471" s="40" t="s">
        <v>11404</v>
      </c>
      <c r="F23471" s="40" t="s">
        <v>11404</v>
      </c>
      <c r="G23471" s="40" t="s">
        <v>11404</v>
      </c>
      <c r="H23471" s="40" t="s">
        <v>11404</v>
      </c>
    </row>
    <row r="23472">
      <c r="A23472" s="39"/>
      <c r="E23472" s="40" t="s">
        <v>11404</v>
      </c>
      <c r="F23472" s="40" t="s">
        <v>11404</v>
      </c>
      <c r="G23472" s="40" t="s">
        <v>11404</v>
      </c>
      <c r="H23472" s="40" t="s">
        <v>11404</v>
      </c>
    </row>
    <row r="23473">
      <c r="A23473" s="39"/>
      <c r="E23473" s="40" t="s">
        <v>11404</v>
      </c>
      <c r="F23473" s="40" t="s">
        <v>11404</v>
      </c>
      <c r="G23473" s="40" t="s">
        <v>11404</v>
      </c>
      <c r="H23473" s="40" t="s">
        <v>11404</v>
      </c>
    </row>
    <row r="23474">
      <c r="A23474" s="39"/>
      <c r="E23474" s="40" t="s">
        <v>11404</v>
      </c>
      <c r="F23474" s="40" t="s">
        <v>11404</v>
      </c>
      <c r="G23474" s="40" t="s">
        <v>11404</v>
      </c>
      <c r="H23474" s="40" t="s">
        <v>11404</v>
      </c>
    </row>
    <row r="23475">
      <c r="A23475" s="39"/>
      <c r="E23475" s="40" t="s">
        <v>11404</v>
      </c>
      <c r="F23475" s="40" t="s">
        <v>11404</v>
      </c>
      <c r="G23475" s="40" t="s">
        <v>11404</v>
      </c>
      <c r="H23475" s="40" t="s">
        <v>11404</v>
      </c>
    </row>
    <row r="23476">
      <c r="A23476" s="39"/>
      <c r="E23476" s="40" t="s">
        <v>11404</v>
      </c>
      <c r="F23476" s="40" t="s">
        <v>11404</v>
      </c>
      <c r="G23476" s="40" t="s">
        <v>11404</v>
      </c>
      <c r="H23476" s="40" t="s">
        <v>11404</v>
      </c>
    </row>
    <row r="23477">
      <c r="A23477" s="39"/>
      <c r="E23477" s="40" t="s">
        <v>11404</v>
      </c>
      <c r="F23477" s="40" t="s">
        <v>11404</v>
      </c>
      <c r="G23477" s="40" t="s">
        <v>11404</v>
      </c>
      <c r="H23477" s="40" t="s">
        <v>11404</v>
      </c>
    </row>
    <row r="23478">
      <c r="A23478" s="39"/>
      <c r="E23478" s="40" t="s">
        <v>11404</v>
      </c>
      <c r="F23478" s="40" t="s">
        <v>11404</v>
      </c>
      <c r="G23478" s="40" t="s">
        <v>11404</v>
      </c>
      <c r="H23478" s="40" t="s">
        <v>11404</v>
      </c>
    </row>
    <row r="23479">
      <c r="A23479" s="39"/>
      <c r="E23479" s="40" t="s">
        <v>11404</v>
      </c>
      <c r="F23479" s="40" t="s">
        <v>11404</v>
      </c>
      <c r="G23479" s="40" t="s">
        <v>11404</v>
      </c>
      <c r="H23479" s="40" t="s">
        <v>11404</v>
      </c>
    </row>
    <row r="23480">
      <c r="A23480" s="39"/>
      <c r="E23480" s="40" t="s">
        <v>11404</v>
      </c>
      <c r="F23480" s="40" t="s">
        <v>11404</v>
      </c>
      <c r="G23480" s="40" t="s">
        <v>11404</v>
      </c>
      <c r="H23480" s="40" t="s">
        <v>11404</v>
      </c>
    </row>
    <row r="23481">
      <c r="A23481" s="39"/>
      <c r="E23481" s="40" t="s">
        <v>11404</v>
      </c>
      <c r="F23481" s="40" t="s">
        <v>11404</v>
      </c>
      <c r="G23481" s="40" t="s">
        <v>11404</v>
      </c>
      <c r="H23481" s="40" t="s">
        <v>11404</v>
      </c>
    </row>
    <row r="23482">
      <c r="A23482" s="39"/>
      <c r="E23482" s="40" t="s">
        <v>11404</v>
      </c>
      <c r="F23482" s="40" t="s">
        <v>11404</v>
      </c>
      <c r="G23482" s="40" t="s">
        <v>11404</v>
      </c>
      <c r="H23482" s="40" t="s">
        <v>11404</v>
      </c>
    </row>
    <row r="23483">
      <c r="A23483" s="39"/>
      <c r="E23483" s="40" t="s">
        <v>11404</v>
      </c>
      <c r="F23483" s="40" t="s">
        <v>11404</v>
      </c>
      <c r="G23483" s="40" t="s">
        <v>11404</v>
      </c>
      <c r="H23483" s="40" t="s">
        <v>11404</v>
      </c>
    </row>
    <row r="23484">
      <c r="A23484" s="39"/>
      <c r="E23484" s="40" t="s">
        <v>11404</v>
      </c>
      <c r="F23484" s="40" t="s">
        <v>11404</v>
      </c>
      <c r="G23484" s="40" t="s">
        <v>11404</v>
      </c>
      <c r="H23484" s="40" t="s">
        <v>11404</v>
      </c>
    </row>
    <row r="23485">
      <c r="A23485" s="39"/>
      <c r="E23485" s="40" t="s">
        <v>11404</v>
      </c>
      <c r="F23485" s="40" t="s">
        <v>11404</v>
      </c>
      <c r="G23485" s="40" t="s">
        <v>11404</v>
      </c>
      <c r="H23485" s="40" t="s">
        <v>11404</v>
      </c>
    </row>
    <row r="23486">
      <c r="A23486" s="39"/>
      <c r="E23486" s="40" t="s">
        <v>11404</v>
      </c>
      <c r="F23486" s="40" t="s">
        <v>11404</v>
      </c>
      <c r="G23486" s="40" t="s">
        <v>11404</v>
      </c>
      <c r="H23486" s="40" t="s">
        <v>11404</v>
      </c>
    </row>
    <row r="23487">
      <c r="A23487" s="39"/>
      <c r="E23487" s="40" t="s">
        <v>11404</v>
      </c>
      <c r="F23487" s="40" t="s">
        <v>11404</v>
      </c>
      <c r="G23487" s="40" t="s">
        <v>11404</v>
      </c>
      <c r="H23487" s="40" t="s">
        <v>11404</v>
      </c>
    </row>
    <row r="23488">
      <c r="A23488" s="39"/>
      <c r="E23488" s="40" t="s">
        <v>11404</v>
      </c>
      <c r="F23488" s="40" t="s">
        <v>11404</v>
      </c>
      <c r="G23488" s="40" t="s">
        <v>11404</v>
      </c>
      <c r="H23488" s="40" t="s">
        <v>11404</v>
      </c>
    </row>
    <row r="23489">
      <c r="A23489" s="39"/>
      <c r="E23489" s="40" t="s">
        <v>11404</v>
      </c>
      <c r="F23489" s="40" t="s">
        <v>11404</v>
      </c>
      <c r="G23489" s="40" t="s">
        <v>11404</v>
      </c>
      <c r="H23489" s="40" t="s">
        <v>11404</v>
      </c>
    </row>
    <row r="23490">
      <c r="A23490" s="39"/>
      <c r="E23490" s="40" t="s">
        <v>11404</v>
      </c>
      <c r="F23490" s="40" t="s">
        <v>11404</v>
      </c>
      <c r="G23490" s="40" t="s">
        <v>11404</v>
      </c>
      <c r="H23490" s="40" t="s">
        <v>11404</v>
      </c>
    </row>
    <row r="23491">
      <c r="A23491" s="39"/>
      <c r="E23491" s="40" t="s">
        <v>11404</v>
      </c>
      <c r="F23491" s="40" t="s">
        <v>11404</v>
      </c>
      <c r="G23491" s="40" t="s">
        <v>11404</v>
      </c>
      <c r="H23491" s="40" t="s">
        <v>11404</v>
      </c>
    </row>
    <row r="23492">
      <c r="A23492" s="39"/>
      <c r="E23492" s="40" t="s">
        <v>11404</v>
      </c>
      <c r="F23492" s="40" t="s">
        <v>11404</v>
      </c>
      <c r="G23492" s="40" t="s">
        <v>11404</v>
      </c>
      <c r="H23492" s="40" t="s">
        <v>11404</v>
      </c>
    </row>
    <row r="23493">
      <c r="A23493" s="39"/>
      <c r="E23493" s="40" t="s">
        <v>11404</v>
      </c>
      <c r="F23493" s="40" t="s">
        <v>11404</v>
      </c>
      <c r="G23493" s="40" t="s">
        <v>11404</v>
      </c>
      <c r="H23493" s="40" t="s">
        <v>11404</v>
      </c>
    </row>
    <row r="23494">
      <c r="A23494" s="39"/>
      <c r="E23494" s="40" t="s">
        <v>11404</v>
      </c>
      <c r="F23494" s="40" t="s">
        <v>11404</v>
      </c>
      <c r="G23494" s="40" t="s">
        <v>11404</v>
      </c>
      <c r="H23494" s="40" t="s">
        <v>11404</v>
      </c>
    </row>
    <row r="23495">
      <c r="A23495" s="39"/>
      <c r="E23495" s="40" t="s">
        <v>11404</v>
      </c>
      <c r="F23495" s="40" t="s">
        <v>11404</v>
      </c>
      <c r="G23495" s="40" t="s">
        <v>11404</v>
      </c>
      <c r="H23495" s="40" t="s">
        <v>11404</v>
      </c>
    </row>
    <row r="23496">
      <c r="A23496" s="39"/>
      <c r="E23496" s="40" t="s">
        <v>11404</v>
      </c>
      <c r="F23496" s="40" t="s">
        <v>11404</v>
      </c>
      <c r="G23496" s="40" t="s">
        <v>11404</v>
      </c>
      <c r="H23496" s="40" t="s">
        <v>11404</v>
      </c>
    </row>
    <row r="23497">
      <c r="A23497" s="39"/>
      <c r="E23497" s="40" t="s">
        <v>11404</v>
      </c>
      <c r="F23497" s="40" t="s">
        <v>11404</v>
      </c>
      <c r="G23497" s="40" t="s">
        <v>11404</v>
      </c>
      <c r="H23497" s="40" t="s">
        <v>11404</v>
      </c>
    </row>
    <row r="23498">
      <c r="A23498" s="39"/>
      <c r="E23498" s="40" t="s">
        <v>11404</v>
      </c>
      <c r="F23498" s="40" t="s">
        <v>11404</v>
      </c>
      <c r="G23498" s="40" t="s">
        <v>11404</v>
      </c>
      <c r="H23498" s="40" t="s">
        <v>11404</v>
      </c>
    </row>
    <row r="23499">
      <c r="A23499" s="39"/>
      <c r="E23499" s="40" t="s">
        <v>11404</v>
      </c>
      <c r="F23499" s="40" t="s">
        <v>11404</v>
      </c>
      <c r="G23499" s="40" t="s">
        <v>11404</v>
      </c>
      <c r="H23499" s="40" t="s">
        <v>11404</v>
      </c>
    </row>
    <row r="23500">
      <c r="A23500" s="39"/>
      <c r="E23500" s="40" t="s">
        <v>11404</v>
      </c>
      <c r="F23500" s="40" t="s">
        <v>11404</v>
      </c>
      <c r="G23500" s="40" t="s">
        <v>11404</v>
      </c>
      <c r="H23500" s="40" t="s">
        <v>11404</v>
      </c>
    </row>
    <row r="23501">
      <c r="A23501" s="39"/>
      <c r="E23501" s="40" t="s">
        <v>11404</v>
      </c>
      <c r="F23501" s="40" t="s">
        <v>11404</v>
      </c>
      <c r="G23501" s="40" t="s">
        <v>11404</v>
      </c>
      <c r="H23501" s="40" t="s">
        <v>11404</v>
      </c>
    </row>
    <row r="23502">
      <c r="A23502" s="39"/>
      <c r="E23502" s="40" t="s">
        <v>11404</v>
      </c>
      <c r="F23502" s="40" t="s">
        <v>11404</v>
      </c>
      <c r="G23502" s="40" t="s">
        <v>11404</v>
      </c>
      <c r="H23502" s="40" t="s">
        <v>11404</v>
      </c>
    </row>
    <row r="23503">
      <c r="A23503" s="39"/>
      <c r="E23503" s="40" t="s">
        <v>11404</v>
      </c>
      <c r="F23503" s="40" t="s">
        <v>11404</v>
      </c>
      <c r="G23503" s="40" t="s">
        <v>11404</v>
      </c>
      <c r="H23503" s="40" t="s">
        <v>11404</v>
      </c>
    </row>
    <row r="23504">
      <c r="A23504" s="39"/>
      <c r="E23504" s="40" t="s">
        <v>11404</v>
      </c>
      <c r="F23504" s="40" t="s">
        <v>11404</v>
      </c>
      <c r="G23504" s="40" t="s">
        <v>11404</v>
      </c>
      <c r="H23504" s="40" t="s">
        <v>11404</v>
      </c>
    </row>
    <row r="23505">
      <c r="A23505" s="39"/>
      <c r="E23505" s="40" t="s">
        <v>11404</v>
      </c>
      <c r="F23505" s="40" t="s">
        <v>11404</v>
      </c>
      <c r="G23505" s="40" t="s">
        <v>11404</v>
      </c>
      <c r="H23505" s="40" t="s">
        <v>11404</v>
      </c>
    </row>
    <row r="23506">
      <c r="A23506" s="39"/>
      <c r="E23506" s="40" t="s">
        <v>11404</v>
      </c>
      <c r="F23506" s="40" t="s">
        <v>11404</v>
      </c>
      <c r="G23506" s="40" t="s">
        <v>11404</v>
      </c>
      <c r="H23506" s="40" t="s">
        <v>11404</v>
      </c>
    </row>
    <row r="23507">
      <c r="A23507" s="39"/>
      <c r="E23507" s="40" t="s">
        <v>11404</v>
      </c>
      <c r="F23507" s="40" t="s">
        <v>11404</v>
      </c>
      <c r="G23507" s="40" t="s">
        <v>11404</v>
      </c>
      <c r="H23507" s="40" t="s">
        <v>11404</v>
      </c>
    </row>
    <row r="23508">
      <c r="A23508" s="39"/>
      <c r="E23508" s="40" t="s">
        <v>11404</v>
      </c>
      <c r="F23508" s="40" t="s">
        <v>11404</v>
      </c>
      <c r="G23508" s="40" t="s">
        <v>11404</v>
      </c>
      <c r="H23508" s="40" t="s">
        <v>11404</v>
      </c>
    </row>
    <row r="23509">
      <c r="A23509" s="39"/>
      <c r="E23509" s="40" t="s">
        <v>11404</v>
      </c>
      <c r="F23509" s="40" t="s">
        <v>11404</v>
      </c>
      <c r="G23509" s="40" t="s">
        <v>11404</v>
      </c>
      <c r="H23509" s="40" t="s">
        <v>11404</v>
      </c>
    </row>
    <row r="23510">
      <c r="A23510" s="39"/>
      <c r="E23510" s="40" t="s">
        <v>11404</v>
      </c>
      <c r="F23510" s="40" t="s">
        <v>11404</v>
      </c>
      <c r="G23510" s="40" t="s">
        <v>11404</v>
      </c>
      <c r="H23510" s="40" t="s">
        <v>11404</v>
      </c>
    </row>
    <row r="23511">
      <c r="A23511" s="39"/>
      <c r="E23511" s="40" t="s">
        <v>11404</v>
      </c>
      <c r="F23511" s="40" t="s">
        <v>11404</v>
      </c>
      <c r="G23511" s="40" t="s">
        <v>11404</v>
      </c>
      <c r="H23511" s="40" t="s">
        <v>11404</v>
      </c>
    </row>
    <row r="23512">
      <c r="A23512" s="39"/>
      <c r="E23512" s="40" t="s">
        <v>11404</v>
      </c>
      <c r="F23512" s="40" t="s">
        <v>11404</v>
      </c>
      <c r="G23512" s="40" t="s">
        <v>11404</v>
      </c>
      <c r="H23512" s="40" t="s">
        <v>11404</v>
      </c>
    </row>
    <row r="23513">
      <c r="A23513" s="39"/>
      <c r="E23513" s="40" t="s">
        <v>11404</v>
      </c>
      <c r="F23513" s="40" t="s">
        <v>11404</v>
      </c>
      <c r="G23513" s="40" t="s">
        <v>11404</v>
      </c>
      <c r="H23513" s="40" t="s">
        <v>11404</v>
      </c>
    </row>
    <row r="23514">
      <c r="A23514" s="39"/>
      <c r="E23514" s="40" t="s">
        <v>11404</v>
      </c>
      <c r="F23514" s="40" t="s">
        <v>11404</v>
      </c>
      <c r="G23514" s="40" t="s">
        <v>11404</v>
      </c>
      <c r="H23514" s="40" t="s">
        <v>11404</v>
      </c>
    </row>
    <row r="23515">
      <c r="A23515" s="39"/>
      <c r="E23515" s="40" t="s">
        <v>11404</v>
      </c>
      <c r="F23515" s="40" t="s">
        <v>11404</v>
      </c>
      <c r="G23515" s="40" t="s">
        <v>11404</v>
      </c>
      <c r="H23515" s="40" t="s">
        <v>11404</v>
      </c>
    </row>
    <row r="23516">
      <c r="A23516" s="39"/>
      <c r="E23516" s="40" t="s">
        <v>11404</v>
      </c>
      <c r="F23516" s="40" t="s">
        <v>11404</v>
      </c>
      <c r="G23516" s="40" t="s">
        <v>11404</v>
      </c>
      <c r="H23516" s="40" t="s">
        <v>11404</v>
      </c>
    </row>
    <row r="23517">
      <c r="A23517" s="39"/>
      <c r="E23517" s="40" t="s">
        <v>11404</v>
      </c>
      <c r="F23517" s="40" t="s">
        <v>11404</v>
      </c>
      <c r="G23517" s="40" t="s">
        <v>11404</v>
      </c>
      <c r="H23517" s="40" t="s">
        <v>11404</v>
      </c>
    </row>
    <row r="23518">
      <c r="A23518" s="39"/>
      <c r="E23518" s="40" t="s">
        <v>11404</v>
      </c>
      <c r="F23518" s="40" t="s">
        <v>11404</v>
      </c>
      <c r="G23518" s="40" t="s">
        <v>11404</v>
      </c>
      <c r="H23518" s="40" t="s">
        <v>11404</v>
      </c>
    </row>
    <row r="23519">
      <c r="A23519" s="39"/>
      <c r="E23519" s="40" t="s">
        <v>11404</v>
      </c>
      <c r="F23519" s="40" t="s">
        <v>11404</v>
      </c>
      <c r="G23519" s="40" t="s">
        <v>11404</v>
      </c>
      <c r="H23519" s="40" t="s">
        <v>11404</v>
      </c>
    </row>
    <row r="23520">
      <c r="A23520" s="39"/>
      <c r="E23520" s="40" t="s">
        <v>11404</v>
      </c>
      <c r="F23520" s="40" t="s">
        <v>11404</v>
      </c>
      <c r="G23520" s="40" t="s">
        <v>11404</v>
      </c>
      <c r="H23520" s="40" t="s">
        <v>11404</v>
      </c>
    </row>
    <row r="23521">
      <c r="A23521" s="39"/>
      <c r="E23521" s="40" t="s">
        <v>11404</v>
      </c>
      <c r="F23521" s="40" t="s">
        <v>11404</v>
      </c>
      <c r="G23521" s="40" t="s">
        <v>11404</v>
      </c>
      <c r="H23521" s="40" t="s">
        <v>11404</v>
      </c>
    </row>
    <row r="23522">
      <c r="A23522" s="39"/>
      <c r="E23522" s="40" t="s">
        <v>11404</v>
      </c>
      <c r="F23522" s="40" t="s">
        <v>11404</v>
      </c>
      <c r="G23522" s="40" t="s">
        <v>11404</v>
      </c>
      <c r="H23522" s="40" t="s">
        <v>11404</v>
      </c>
    </row>
    <row r="23523">
      <c r="A23523" s="39"/>
      <c r="E23523" s="40" t="s">
        <v>11404</v>
      </c>
      <c r="F23523" s="40" t="s">
        <v>11404</v>
      </c>
      <c r="G23523" s="40" t="s">
        <v>11404</v>
      </c>
      <c r="H23523" s="40" t="s">
        <v>11404</v>
      </c>
    </row>
    <row r="23524">
      <c r="A23524" s="39"/>
      <c r="E23524" s="40" t="s">
        <v>11404</v>
      </c>
      <c r="F23524" s="40" t="s">
        <v>11404</v>
      </c>
      <c r="G23524" s="40" t="s">
        <v>11404</v>
      </c>
      <c r="H23524" s="40" t="s">
        <v>11404</v>
      </c>
    </row>
    <row r="23525">
      <c r="A23525" s="39"/>
      <c r="E23525" s="40" t="s">
        <v>11404</v>
      </c>
      <c r="F23525" s="40" t="s">
        <v>11404</v>
      </c>
      <c r="G23525" s="40" t="s">
        <v>11404</v>
      </c>
      <c r="H23525" s="40" t="s">
        <v>11404</v>
      </c>
    </row>
    <row r="23526">
      <c r="A23526" s="39"/>
      <c r="E23526" s="40" t="s">
        <v>11404</v>
      </c>
      <c r="F23526" s="40" t="s">
        <v>11404</v>
      </c>
      <c r="G23526" s="40" t="s">
        <v>11404</v>
      </c>
      <c r="H23526" s="40" t="s">
        <v>11404</v>
      </c>
    </row>
    <row r="23527">
      <c r="A23527" s="39"/>
      <c r="E23527" s="40" t="s">
        <v>11404</v>
      </c>
      <c r="F23527" s="40" t="s">
        <v>11404</v>
      </c>
      <c r="G23527" s="40" t="s">
        <v>11404</v>
      </c>
      <c r="H23527" s="40" t="s">
        <v>11404</v>
      </c>
    </row>
    <row r="23528">
      <c r="A23528" s="39"/>
      <c r="E23528" s="40" t="s">
        <v>11404</v>
      </c>
      <c r="F23528" s="40" t="s">
        <v>11404</v>
      </c>
      <c r="G23528" s="40" t="s">
        <v>11404</v>
      </c>
      <c r="H23528" s="40" t="s">
        <v>11404</v>
      </c>
    </row>
    <row r="23529">
      <c r="A23529" s="39"/>
      <c r="E23529" s="40" t="s">
        <v>11404</v>
      </c>
      <c r="F23529" s="40" t="s">
        <v>11404</v>
      </c>
      <c r="G23529" s="40" t="s">
        <v>11404</v>
      </c>
      <c r="H23529" s="40" t="s">
        <v>11404</v>
      </c>
    </row>
    <row r="23530">
      <c r="A23530" s="39"/>
      <c r="E23530" s="40" t="s">
        <v>11404</v>
      </c>
      <c r="F23530" s="40" t="s">
        <v>11404</v>
      </c>
      <c r="G23530" s="40" t="s">
        <v>11404</v>
      </c>
      <c r="H23530" s="40" t="s">
        <v>11404</v>
      </c>
    </row>
    <row r="23531">
      <c r="A23531" s="39"/>
      <c r="E23531" s="40" t="s">
        <v>11404</v>
      </c>
      <c r="F23531" s="40" t="s">
        <v>11404</v>
      </c>
      <c r="G23531" s="40" t="s">
        <v>11404</v>
      </c>
      <c r="H23531" s="40" t="s">
        <v>11404</v>
      </c>
    </row>
    <row r="23532">
      <c r="A23532" s="39"/>
      <c r="E23532" s="40" t="s">
        <v>11404</v>
      </c>
      <c r="F23532" s="40" t="s">
        <v>11404</v>
      </c>
      <c r="G23532" s="40" t="s">
        <v>11404</v>
      </c>
      <c r="H23532" s="40" t="s">
        <v>11404</v>
      </c>
    </row>
    <row r="23533">
      <c r="A23533" s="39"/>
      <c r="E23533" s="40" t="s">
        <v>11404</v>
      </c>
      <c r="F23533" s="40" t="s">
        <v>11404</v>
      </c>
      <c r="G23533" s="40" t="s">
        <v>11404</v>
      </c>
      <c r="H23533" s="40" t="s">
        <v>11404</v>
      </c>
    </row>
    <row r="23534">
      <c r="A23534" s="39"/>
      <c r="E23534" s="40" t="s">
        <v>11404</v>
      </c>
      <c r="F23534" s="40" t="s">
        <v>11404</v>
      </c>
      <c r="G23534" s="40" t="s">
        <v>11404</v>
      </c>
      <c r="H23534" s="40" t="s">
        <v>11404</v>
      </c>
    </row>
    <row r="23535">
      <c r="A23535" s="39"/>
      <c r="E23535" s="40" t="s">
        <v>11404</v>
      </c>
      <c r="F23535" s="40" t="s">
        <v>11404</v>
      </c>
      <c r="G23535" s="40" t="s">
        <v>11404</v>
      </c>
      <c r="H23535" s="40" t="s">
        <v>11404</v>
      </c>
    </row>
    <row r="23536">
      <c r="A23536" s="39"/>
      <c r="E23536" s="40" t="s">
        <v>11404</v>
      </c>
      <c r="F23536" s="40" t="s">
        <v>11404</v>
      </c>
      <c r="G23536" s="40" t="s">
        <v>11404</v>
      </c>
      <c r="H23536" s="40" t="s">
        <v>11404</v>
      </c>
    </row>
    <row r="23537">
      <c r="A23537" s="39"/>
      <c r="E23537" s="40" t="s">
        <v>11404</v>
      </c>
      <c r="F23537" s="40" t="s">
        <v>11404</v>
      </c>
      <c r="G23537" s="40" t="s">
        <v>11404</v>
      </c>
      <c r="H23537" s="40" t="s">
        <v>11404</v>
      </c>
    </row>
    <row r="23538">
      <c r="A23538" s="39"/>
      <c r="E23538" s="40" t="s">
        <v>11404</v>
      </c>
      <c r="F23538" s="40" t="s">
        <v>11404</v>
      </c>
      <c r="G23538" s="40" t="s">
        <v>11404</v>
      </c>
      <c r="H23538" s="40" t="s">
        <v>11404</v>
      </c>
    </row>
    <row r="23539">
      <c r="A23539" s="39"/>
      <c r="E23539" s="40" t="s">
        <v>11404</v>
      </c>
      <c r="F23539" s="40" t="s">
        <v>11404</v>
      </c>
      <c r="G23539" s="40" t="s">
        <v>11404</v>
      </c>
      <c r="H23539" s="40" t="s">
        <v>11404</v>
      </c>
    </row>
    <row r="23540">
      <c r="A23540" s="39"/>
      <c r="E23540" s="40" t="s">
        <v>11404</v>
      </c>
      <c r="F23540" s="40" t="s">
        <v>11404</v>
      </c>
      <c r="G23540" s="40" t="s">
        <v>11404</v>
      </c>
      <c r="H23540" s="40" t="s">
        <v>11404</v>
      </c>
    </row>
    <row r="23541">
      <c r="A23541" s="39"/>
      <c r="E23541" s="40" t="s">
        <v>11404</v>
      </c>
      <c r="F23541" s="40" t="s">
        <v>11404</v>
      </c>
      <c r="G23541" s="40" t="s">
        <v>11404</v>
      </c>
      <c r="H23541" s="40" t="s">
        <v>11404</v>
      </c>
    </row>
    <row r="23542">
      <c r="A23542" s="39"/>
      <c r="E23542" s="40" t="s">
        <v>11404</v>
      </c>
      <c r="F23542" s="40" t="s">
        <v>11404</v>
      </c>
      <c r="G23542" s="40" t="s">
        <v>11404</v>
      </c>
      <c r="H23542" s="40" t="s">
        <v>11404</v>
      </c>
    </row>
    <row r="23543">
      <c r="A23543" s="39"/>
      <c r="E23543" s="40" t="s">
        <v>11404</v>
      </c>
      <c r="F23543" s="40" t="s">
        <v>11404</v>
      </c>
      <c r="G23543" s="40" t="s">
        <v>11404</v>
      </c>
      <c r="H23543" s="40" t="s">
        <v>11404</v>
      </c>
    </row>
    <row r="23544">
      <c r="A23544" s="39"/>
      <c r="E23544" s="40" t="s">
        <v>11404</v>
      </c>
      <c r="F23544" s="40" t="s">
        <v>11404</v>
      </c>
      <c r="G23544" s="40" t="s">
        <v>11404</v>
      </c>
      <c r="H23544" s="40" t="s">
        <v>11404</v>
      </c>
    </row>
    <row r="23545">
      <c r="A23545" s="39"/>
      <c r="E23545" s="40" t="s">
        <v>11404</v>
      </c>
      <c r="F23545" s="40" t="s">
        <v>11404</v>
      </c>
      <c r="G23545" s="40" t="s">
        <v>11404</v>
      </c>
      <c r="H23545" s="40" t="s">
        <v>11404</v>
      </c>
    </row>
    <row r="23546">
      <c r="A23546" s="39"/>
      <c r="E23546" s="40" t="s">
        <v>11404</v>
      </c>
      <c r="F23546" s="40" t="s">
        <v>11404</v>
      </c>
      <c r="G23546" s="40" t="s">
        <v>11404</v>
      </c>
      <c r="H23546" s="40" t="s">
        <v>11404</v>
      </c>
    </row>
    <row r="23547">
      <c r="A23547" s="39"/>
      <c r="E23547" s="40" t="s">
        <v>11404</v>
      </c>
      <c r="F23547" s="40" t="s">
        <v>11404</v>
      </c>
      <c r="G23547" s="40" t="s">
        <v>11404</v>
      </c>
      <c r="H23547" s="40" t="s">
        <v>11404</v>
      </c>
    </row>
    <row r="23548">
      <c r="A23548" s="39"/>
      <c r="E23548" s="40" t="s">
        <v>11404</v>
      </c>
      <c r="F23548" s="40" t="s">
        <v>11404</v>
      </c>
      <c r="G23548" s="40" t="s">
        <v>11404</v>
      </c>
      <c r="H23548" s="40" t="s">
        <v>11404</v>
      </c>
    </row>
    <row r="23549">
      <c r="A23549" s="39"/>
      <c r="E23549" s="40" t="s">
        <v>11404</v>
      </c>
      <c r="F23549" s="40" t="s">
        <v>11404</v>
      </c>
      <c r="G23549" s="40" t="s">
        <v>11404</v>
      </c>
      <c r="H23549" s="40" t="s">
        <v>11404</v>
      </c>
    </row>
    <row r="23550">
      <c r="A23550" s="39"/>
      <c r="E23550" s="40" t="s">
        <v>11404</v>
      </c>
      <c r="F23550" s="40" t="s">
        <v>11404</v>
      </c>
      <c r="G23550" s="40" t="s">
        <v>11404</v>
      </c>
      <c r="H23550" s="40" t="s">
        <v>11404</v>
      </c>
    </row>
    <row r="23551">
      <c r="A23551" s="39"/>
      <c r="E23551" s="40" t="s">
        <v>11404</v>
      </c>
      <c r="F23551" s="40" t="s">
        <v>11404</v>
      </c>
      <c r="G23551" s="40" t="s">
        <v>11404</v>
      </c>
      <c r="H23551" s="40" t="s">
        <v>11404</v>
      </c>
    </row>
    <row r="23552">
      <c r="A23552" s="39"/>
      <c r="E23552" s="40" t="s">
        <v>11404</v>
      </c>
      <c r="F23552" s="40" t="s">
        <v>11404</v>
      </c>
      <c r="G23552" s="40" t="s">
        <v>11404</v>
      </c>
      <c r="H23552" s="40" t="s">
        <v>11404</v>
      </c>
    </row>
    <row r="23553">
      <c r="A23553" s="39"/>
      <c r="E23553" s="40" t="s">
        <v>11404</v>
      </c>
      <c r="F23553" s="40" t="s">
        <v>11404</v>
      </c>
      <c r="G23553" s="40" t="s">
        <v>11404</v>
      </c>
      <c r="H23553" s="40" t="s">
        <v>11404</v>
      </c>
    </row>
    <row r="23554">
      <c r="A23554" s="39"/>
      <c r="E23554" s="40" t="s">
        <v>11404</v>
      </c>
      <c r="F23554" s="40" t="s">
        <v>11404</v>
      </c>
      <c r="G23554" s="40" t="s">
        <v>11404</v>
      </c>
      <c r="H23554" s="40" t="s">
        <v>11404</v>
      </c>
    </row>
    <row r="23555">
      <c r="A23555" s="39"/>
      <c r="E23555" s="40" t="s">
        <v>11404</v>
      </c>
      <c r="F23555" s="40" t="s">
        <v>11404</v>
      </c>
      <c r="G23555" s="40" t="s">
        <v>11404</v>
      </c>
      <c r="H23555" s="40" t="s">
        <v>11404</v>
      </c>
    </row>
    <row r="23556">
      <c r="A23556" s="39"/>
      <c r="E23556" s="40" t="s">
        <v>11404</v>
      </c>
      <c r="F23556" s="40" t="s">
        <v>11404</v>
      </c>
      <c r="G23556" s="40" t="s">
        <v>11404</v>
      </c>
      <c r="H23556" s="40" t="s">
        <v>11404</v>
      </c>
    </row>
    <row r="23557">
      <c r="A23557" s="39"/>
      <c r="E23557" s="40" t="s">
        <v>11404</v>
      </c>
      <c r="F23557" s="40" t="s">
        <v>11404</v>
      </c>
      <c r="G23557" s="40" t="s">
        <v>11404</v>
      </c>
      <c r="H23557" s="40" t="s">
        <v>11404</v>
      </c>
    </row>
    <row r="23558">
      <c r="A23558" s="39"/>
      <c r="E23558" s="40" t="s">
        <v>11404</v>
      </c>
      <c r="F23558" s="40" t="s">
        <v>11404</v>
      </c>
      <c r="G23558" s="40" t="s">
        <v>11404</v>
      </c>
      <c r="H23558" s="40" t="s">
        <v>11404</v>
      </c>
    </row>
    <row r="23559">
      <c r="A23559" s="39"/>
      <c r="E23559" s="40" t="s">
        <v>11404</v>
      </c>
      <c r="F23559" s="40" t="s">
        <v>11404</v>
      </c>
      <c r="G23559" s="40" t="s">
        <v>11404</v>
      </c>
      <c r="H23559" s="40" t="s">
        <v>11404</v>
      </c>
    </row>
    <row r="23560">
      <c r="A23560" s="39"/>
      <c r="E23560" s="40" t="s">
        <v>11404</v>
      </c>
      <c r="F23560" s="40" t="s">
        <v>11404</v>
      </c>
      <c r="G23560" s="40" t="s">
        <v>11404</v>
      </c>
      <c r="H23560" s="40" t="s">
        <v>11404</v>
      </c>
    </row>
    <row r="23561">
      <c r="A23561" s="39"/>
      <c r="E23561" s="40" t="s">
        <v>11404</v>
      </c>
      <c r="F23561" s="40" t="s">
        <v>11404</v>
      </c>
      <c r="G23561" s="40" t="s">
        <v>11404</v>
      </c>
      <c r="H23561" s="40" t="s">
        <v>11404</v>
      </c>
    </row>
    <row r="23562">
      <c r="A23562" s="39"/>
      <c r="E23562" s="40" t="s">
        <v>11404</v>
      </c>
      <c r="F23562" s="40" t="s">
        <v>11404</v>
      </c>
      <c r="G23562" s="40" t="s">
        <v>11404</v>
      </c>
      <c r="H23562" s="40" t="s">
        <v>11404</v>
      </c>
    </row>
    <row r="23563">
      <c r="A23563" s="39"/>
      <c r="E23563" s="40" t="s">
        <v>11404</v>
      </c>
      <c r="F23563" s="40" t="s">
        <v>11404</v>
      </c>
      <c r="G23563" s="40" t="s">
        <v>11404</v>
      </c>
      <c r="H23563" s="40" t="s">
        <v>11404</v>
      </c>
    </row>
    <row r="23564">
      <c r="A23564" s="39"/>
      <c r="E23564" s="40" t="s">
        <v>11404</v>
      </c>
      <c r="F23564" s="40" t="s">
        <v>11404</v>
      </c>
      <c r="G23564" s="40" t="s">
        <v>11404</v>
      </c>
      <c r="H23564" s="40" t="s">
        <v>11404</v>
      </c>
    </row>
    <row r="23565">
      <c r="A23565" s="39"/>
      <c r="E23565" s="40" t="s">
        <v>11404</v>
      </c>
      <c r="F23565" s="40" t="s">
        <v>11404</v>
      </c>
      <c r="G23565" s="40" t="s">
        <v>11404</v>
      </c>
      <c r="H23565" s="40" t="s">
        <v>11404</v>
      </c>
    </row>
    <row r="23566">
      <c r="A23566" s="39"/>
      <c r="E23566" s="40" t="s">
        <v>11404</v>
      </c>
      <c r="F23566" s="40" t="s">
        <v>11404</v>
      </c>
      <c r="G23566" s="40" t="s">
        <v>11404</v>
      </c>
      <c r="H23566" s="40" t="s">
        <v>11404</v>
      </c>
    </row>
    <row r="23567">
      <c r="A23567" s="39"/>
      <c r="E23567" s="40" t="s">
        <v>11404</v>
      </c>
      <c r="F23567" s="40" t="s">
        <v>11404</v>
      </c>
      <c r="G23567" s="40" t="s">
        <v>11404</v>
      </c>
      <c r="H23567" s="40" t="s">
        <v>11404</v>
      </c>
    </row>
    <row r="23568">
      <c r="A23568" s="39"/>
      <c r="E23568" s="40" t="s">
        <v>11404</v>
      </c>
      <c r="F23568" s="40" t="s">
        <v>11404</v>
      </c>
      <c r="G23568" s="40" t="s">
        <v>11404</v>
      </c>
      <c r="H23568" s="40" t="s">
        <v>11404</v>
      </c>
    </row>
    <row r="23569">
      <c r="A23569" s="39"/>
      <c r="E23569" s="40" t="s">
        <v>11404</v>
      </c>
      <c r="F23569" s="40" t="s">
        <v>11404</v>
      </c>
      <c r="G23569" s="40" t="s">
        <v>11404</v>
      </c>
      <c r="H23569" s="40" t="s">
        <v>11404</v>
      </c>
    </row>
    <row r="23570">
      <c r="A23570" s="39"/>
      <c r="E23570" s="40" t="s">
        <v>11404</v>
      </c>
      <c r="F23570" s="40" t="s">
        <v>11404</v>
      </c>
      <c r="G23570" s="40" t="s">
        <v>11404</v>
      </c>
      <c r="H23570" s="40" t="s">
        <v>11404</v>
      </c>
    </row>
    <row r="23571">
      <c r="A23571" s="39"/>
      <c r="E23571" s="40" t="s">
        <v>11404</v>
      </c>
      <c r="F23571" s="40" t="s">
        <v>11404</v>
      </c>
      <c r="G23571" s="40" t="s">
        <v>11404</v>
      </c>
      <c r="H23571" s="40" t="s">
        <v>11404</v>
      </c>
    </row>
    <row r="23572">
      <c r="A23572" s="39"/>
      <c r="E23572" s="40" t="s">
        <v>11404</v>
      </c>
      <c r="F23572" s="40" t="s">
        <v>11404</v>
      </c>
      <c r="G23572" s="40" t="s">
        <v>11404</v>
      </c>
      <c r="H23572" s="40" t="s">
        <v>11404</v>
      </c>
    </row>
    <row r="23573">
      <c r="A23573" s="39"/>
      <c r="E23573" s="40" t="s">
        <v>11404</v>
      </c>
      <c r="F23573" s="40" t="s">
        <v>11404</v>
      </c>
      <c r="G23573" s="40" t="s">
        <v>11404</v>
      </c>
      <c r="H23573" s="40" t="s">
        <v>11404</v>
      </c>
    </row>
    <row r="23574">
      <c r="A23574" s="39"/>
      <c r="E23574" s="40" t="s">
        <v>11404</v>
      </c>
      <c r="F23574" s="40" t="s">
        <v>11404</v>
      </c>
      <c r="G23574" s="40" t="s">
        <v>11404</v>
      </c>
      <c r="H23574" s="40" t="s">
        <v>11404</v>
      </c>
    </row>
    <row r="23575">
      <c r="A23575" s="39"/>
      <c r="E23575" s="40" t="s">
        <v>11404</v>
      </c>
      <c r="F23575" s="40" t="s">
        <v>11404</v>
      </c>
      <c r="G23575" s="40" t="s">
        <v>11404</v>
      </c>
      <c r="H23575" s="40" t="s">
        <v>11404</v>
      </c>
    </row>
    <row r="23576">
      <c r="A23576" s="39"/>
      <c r="E23576" s="40" t="s">
        <v>11404</v>
      </c>
      <c r="F23576" s="40" t="s">
        <v>11404</v>
      </c>
      <c r="G23576" s="40" t="s">
        <v>11404</v>
      </c>
      <c r="H23576" s="40" t="s">
        <v>11404</v>
      </c>
    </row>
    <row r="23577">
      <c r="A23577" s="39"/>
      <c r="E23577" s="40" t="s">
        <v>11404</v>
      </c>
      <c r="F23577" s="40" t="s">
        <v>11404</v>
      </c>
      <c r="G23577" s="40" t="s">
        <v>11404</v>
      </c>
      <c r="H23577" s="40" t="s">
        <v>11404</v>
      </c>
    </row>
    <row r="23578">
      <c r="A23578" s="39"/>
      <c r="E23578" s="40" t="s">
        <v>11404</v>
      </c>
      <c r="F23578" s="40" t="s">
        <v>11404</v>
      </c>
      <c r="G23578" s="40" t="s">
        <v>11404</v>
      </c>
      <c r="H23578" s="40" t="s">
        <v>11404</v>
      </c>
    </row>
    <row r="23579">
      <c r="A23579" s="39"/>
      <c r="E23579" s="40" t="s">
        <v>11404</v>
      </c>
      <c r="F23579" s="40" t="s">
        <v>11404</v>
      </c>
      <c r="G23579" s="40" t="s">
        <v>11404</v>
      </c>
      <c r="H23579" s="40" t="s">
        <v>11404</v>
      </c>
    </row>
    <row r="23580">
      <c r="A23580" s="39"/>
      <c r="E23580" s="40" t="s">
        <v>11404</v>
      </c>
      <c r="F23580" s="40" t="s">
        <v>11404</v>
      </c>
      <c r="G23580" s="40" t="s">
        <v>11404</v>
      </c>
      <c r="H23580" s="40" t="s">
        <v>11404</v>
      </c>
    </row>
    <row r="23581">
      <c r="A23581" s="39"/>
      <c r="E23581" s="40" t="s">
        <v>11404</v>
      </c>
      <c r="F23581" s="40" t="s">
        <v>11404</v>
      </c>
      <c r="G23581" s="40" t="s">
        <v>11404</v>
      </c>
      <c r="H23581" s="40" t="s">
        <v>11404</v>
      </c>
    </row>
    <row r="23582">
      <c r="A23582" s="39"/>
      <c r="E23582" s="40" t="s">
        <v>11404</v>
      </c>
      <c r="F23582" s="40" t="s">
        <v>11404</v>
      </c>
      <c r="G23582" s="40" t="s">
        <v>11404</v>
      </c>
      <c r="H23582" s="40" t="s">
        <v>11404</v>
      </c>
    </row>
    <row r="23583">
      <c r="A23583" s="39"/>
      <c r="E23583" s="40" t="s">
        <v>11404</v>
      </c>
      <c r="F23583" s="40" t="s">
        <v>11404</v>
      </c>
      <c r="G23583" s="40" t="s">
        <v>11404</v>
      </c>
      <c r="H23583" s="40" t="s">
        <v>11404</v>
      </c>
    </row>
    <row r="23584">
      <c r="A23584" s="39"/>
      <c r="E23584" s="40" t="s">
        <v>11404</v>
      </c>
      <c r="F23584" s="40" t="s">
        <v>11404</v>
      </c>
      <c r="G23584" s="40" t="s">
        <v>11404</v>
      </c>
      <c r="H23584" s="40" t="s">
        <v>11404</v>
      </c>
    </row>
    <row r="23585">
      <c r="A23585" s="39"/>
      <c r="E23585" s="40" t="s">
        <v>11404</v>
      </c>
      <c r="F23585" s="40" t="s">
        <v>11404</v>
      </c>
      <c r="G23585" s="40" t="s">
        <v>11404</v>
      </c>
      <c r="H23585" s="40" t="s">
        <v>11404</v>
      </c>
    </row>
    <row r="23586">
      <c r="A23586" s="39"/>
      <c r="E23586" s="40" t="s">
        <v>11404</v>
      </c>
      <c r="F23586" s="40" t="s">
        <v>11404</v>
      </c>
      <c r="G23586" s="40" t="s">
        <v>11404</v>
      </c>
      <c r="H23586" s="40" t="s">
        <v>11404</v>
      </c>
    </row>
    <row r="23587">
      <c r="A23587" s="39"/>
      <c r="E23587" s="40" t="s">
        <v>11404</v>
      </c>
      <c r="F23587" s="40" t="s">
        <v>11404</v>
      </c>
      <c r="G23587" s="40" t="s">
        <v>11404</v>
      </c>
      <c r="H23587" s="40" t="s">
        <v>11404</v>
      </c>
    </row>
    <row r="23588">
      <c r="A23588" s="39"/>
      <c r="E23588" s="40" t="s">
        <v>11404</v>
      </c>
      <c r="F23588" s="40" t="s">
        <v>11404</v>
      </c>
      <c r="G23588" s="40" t="s">
        <v>11404</v>
      </c>
      <c r="H23588" s="40" t="s">
        <v>11404</v>
      </c>
    </row>
    <row r="23589">
      <c r="A23589" s="39"/>
      <c r="E23589" s="40" t="s">
        <v>11404</v>
      </c>
      <c r="F23589" s="40" t="s">
        <v>11404</v>
      </c>
      <c r="G23589" s="40" t="s">
        <v>11404</v>
      </c>
      <c r="H23589" s="40" t="s">
        <v>11404</v>
      </c>
    </row>
    <row r="23590">
      <c r="A23590" s="39"/>
      <c r="E23590" s="40" t="s">
        <v>11404</v>
      </c>
      <c r="F23590" s="40" t="s">
        <v>11404</v>
      </c>
      <c r="G23590" s="40" t="s">
        <v>11404</v>
      </c>
      <c r="H23590" s="40" t="s">
        <v>11404</v>
      </c>
    </row>
    <row r="23591">
      <c r="A23591" s="39"/>
      <c r="E23591" s="40" t="s">
        <v>11404</v>
      </c>
      <c r="F23591" s="40" t="s">
        <v>11404</v>
      </c>
      <c r="G23591" s="40" t="s">
        <v>11404</v>
      </c>
      <c r="H23591" s="40" t="s">
        <v>11404</v>
      </c>
    </row>
    <row r="23592">
      <c r="A23592" s="39"/>
      <c r="E23592" s="40" t="s">
        <v>11404</v>
      </c>
      <c r="F23592" s="40" t="s">
        <v>11404</v>
      </c>
      <c r="G23592" s="40" t="s">
        <v>11404</v>
      </c>
      <c r="H23592" s="40" t="s">
        <v>11404</v>
      </c>
    </row>
    <row r="23593">
      <c r="A23593" s="39"/>
      <c r="E23593" s="40" t="s">
        <v>11404</v>
      </c>
      <c r="F23593" s="40" t="s">
        <v>11404</v>
      </c>
      <c r="G23593" s="40" t="s">
        <v>11404</v>
      </c>
      <c r="H23593" s="40" t="s">
        <v>11404</v>
      </c>
    </row>
    <row r="23594">
      <c r="A23594" s="39"/>
      <c r="E23594" s="40" t="s">
        <v>11404</v>
      </c>
      <c r="F23594" s="40" t="s">
        <v>11404</v>
      </c>
      <c r="G23594" s="40" t="s">
        <v>11404</v>
      </c>
      <c r="H23594" s="40" t="s">
        <v>11404</v>
      </c>
    </row>
    <row r="23595">
      <c r="A23595" s="39"/>
      <c r="E23595" s="40" t="s">
        <v>11404</v>
      </c>
      <c r="F23595" s="40" t="s">
        <v>11404</v>
      </c>
      <c r="G23595" s="40" t="s">
        <v>11404</v>
      </c>
      <c r="H23595" s="40" t="s">
        <v>11404</v>
      </c>
    </row>
    <row r="23596">
      <c r="A23596" s="39"/>
      <c r="E23596" s="40" t="s">
        <v>11404</v>
      </c>
      <c r="F23596" s="40" t="s">
        <v>11404</v>
      </c>
      <c r="G23596" s="40" t="s">
        <v>11404</v>
      </c>
      <c r="H23596" s="40" t="s">
        <v>11404</v>
      </c>
    </row>
    <row r="23597">
      <c r="A23597" s="39"/>
      <c r="E23597" s="40" t="s">
        <v>11404</v>
      </c>
      <c r="F23597" s="40" t="s">
        <v>11404</v>
      </c>
      <c r="G23597" s="40" t="s">
        <v>11404</v>
      </c>
      <c r="H23597" s="40" t="s">
        <v>11404</v>
      </c>
    </row>
    <row r="23598">
      <c r="A23598" s="39"/>
      <c r="E23598" s="40" t="s">
        <v>11404</v>
      </c>
      <c r="F23598" s="40" t="s">
        <v>11404</v>
      </c>
      <c r="G23598" s="40" t="s">
        <v>11404</v>
      </c>
      <c r="H23598" s="40" t="s">
        <v>11404</v>
      </c>
    </row>
    <row r="23599">
      <c r="A23599" s="39"/>
      <c r="E23599" s="40" t="s">
        <v>11404</v>
      </c>
      <c r="F23599" s="40" t="s">
        <v>11404</v>
      </c>
      <c r="G23599" s="40" t="s">
        <v>11404</v>
      </c>
      <c r="H23599" s="40" t="s">
        <v>11404</v>
      </c>
    </row>
    <row r="23600">
      <c r="A23600" s="39"/>
      <c r="E23600" s="40" t="s">
        <v>11404</v>
      </c>
      <c r="F23600" s="40" t="s">
        <v>11404</v>
      </c>
      <c r="G23600" s="40" t="s">
        <v>11404</v>
      </c>
      <c r="H23600" s="40" t="s">
        <v>11404</v>
      </c>
    </row>
    <row r="23601">
      <c r="A23601" s="39"/>
      <c r="E23601" s="40" t="s">
        <v>11404</v>
      </c>
      <c r="F23601" s="40" t="s">
        <v>11404</v>
      </c>
      <c r="G23601" s="40" t="s">
        <v>11404</v>
      </c>
      <c r="H23601" s="40" t="s">
        <v>11404</v>
      </c>
    </row>
    <row r="23602">
      <c r="A23602" s="39"/>
      <c r="E23602" s="40" t="s">
        <v>11404</v>
      </c>
      <c r="F23602" s="40" t="s">
        <v>11404</v>
      </c>
      <c r="G23602" s="40" t="s">
        <v>11404</v>
      </c>
      <c r="H23602" s="40" t="s">
        <v>11404</v>
      </c>
    </row>
    <row r="23603">
      <c r="A23603" s="39"/>
      <c r="E23603" s="40" t="s">
        <v>11404</v>
      </c>
      <c r="F23603" s="40" t="s">
        <v>11404</v>
      </c>
      <c r="G23603" s="40" t="s">
        <v>11404</v>
      </c>
      <c r="H23603" s="40" t="s">
        <v>11404</v>
      </c>
    </row>
    <row r="23604">
      <c r="A23604" s="39"/>
      <c r="E23604" s="40" t="s">
        <v>11404</v>
      </c>
      <c r="F23604" s="40" t="s">
        <v>11404</v>
      </c>
      <c r="G23604" s="40" t="s">
        <v>11404</v>
      </c>
      <c r="H23604" s="40" t="s">
        <v>11404</v>
      </c>
    </row>
    <row r="23605">
      <c r="A23605" s="39"/>
      <c r="E23605" s="40" t="s">
        <v>11404</v>
      </c>
      <c r="F23605" s="40" t="s">
        <v>11404</v>
      </c>
      <c r="G23605" s="40" t="s">
        <v>11404</v>
      </c>
      <c r="H23605" s="40" t="s">
        <v>11404</v>
      </c>
    </row>
    <row r="23606">
      <c r="A23606" s="39"/>
      <c r="E23606" s="40" t="s">
        <v>11404</v>
      </c>
      <c r="F23606" s="40" t="s">
        <v>11404</v>
      </c>
      <c r="G23606" s="40" t="s">
        <v>11404</v>
      </c>
      <c r="H23606" s="40" t="s">
        <v>11404</v>
      </c>
    </row>
    <row r="23607">
      <c r="A23607" s="39"/>
      <c r="E23607" s="40" t="s">
        <v>11404</v>
      </c>
      <c r="F23607" s="40" t="s">
        <v>11404</v>
      </c>
      <c r="G23607" s="40" t="s">
        <v>11404</v>
      </c>
      <c r="H23607" s="40" t="s">
        <v>11404</v>
      </c>
    </row>
    <row r="23608">
      <c r="A23608" s="39"/>
      <c r="E23608" s="40" t="s">
        <v>11404</v>
      </c>
      <c r="F23608" s="40" t="s">
        <v>11404</v>
      </c>
      <c r="G23608" s="40" t="s">
        <v>11404</v>
      </c>
      <c r="H23608" s="40" t="s">
        <v>11404</v>
      </c>
    </row>
    <row r="23609">
      <c r="A23609" s="39"/>
      <c r="E23609" s="40" t="s">
        <v>11404</v>
      </c>
      <c r="F23609" s="40" t="s">
        <v>11404</v>
      </c>
      <c r="G23609" s="40" t="s">
        <v>11404</v>
      </c>
      <c r="H23609" s="40" t="s">
        <v>11404</v>
      </c>
    </row>
    <row r="23610">
      <c r="A23610" s="39"/>
      <c r="E23610" s="40" t="s">
        <v>11404</v>
      </c>
      <c r="F23610" s="40" t="s">
        <v>11404</v>
      </c>
      <c r="G23610" s="40" t="s">
        <v>11404</v>
      </c>
      <c r="H23610" s="40" t="s">
        <v>11404</v>
      </c>
    </row>
    <row r="23611">
      <c r="A23611" s="39"/>
      <c r="E23611" s="40" t="s">
        <v>11404</v>
      </c>
      <c r="F23611" s="40" t="s">
        <v>11404</v>
      </c>
      <c r="G23611" s="40" t="s">
        <v>11404</v>
      </c>
      <c r="H23611" s="40" t="s">
        <v>11404</v>
      </c>
    </row>
    <row r="23612">
      <c r="A23612" s="39"/>
      <c r="E23612" s="40" t="s">
        <v>11404</v>
      </c>
      <c r="F23612" s="40" t="s">
        <v>11404</v>
      </c>
      <c r="G23612" s="40" t="s">
        <v>11404</v>
      </c>
      <c r="H23612" s="40" t="s">
        <v>11404</v>
      </c>
    </row>
    <row r="23613">
      <c r="A23613" s="39"/>
      <c r="E23613" s="40" t="s">
        <v>11404</v>
      </c>
      <c r="F23613" s="40" t="s">
        <v>11404</v>
      </c>
      <c r="G23613" s="40" t="s">
        <v>11404</v>
      </c>
      <c r="H23613" s="40" t="s">
        <v>11404</v>
      </c>
    </row>
    <row r="23614">
      <c r="A23614" s="39"/>
      <c r="E23614" s="40" t="s">
        <v>11404</v>
      </c>
      <c r="F23614" s="40" t="s">
        <v>11404</v>
      </c>
      <c r="G23614" s="40" t="s">
        <v>11404</v>
      </c>
      <c r="H23614" s="40" t="s">
        <v>11404</v>
      </c>
    </row>
    <row r="23615">
      <c r="A23615" s="39"/>
      <c r="E23615" s="40" t="s">
        <v>11404</v>
      </c>
      <c r="F23615" s="40" t="s">
        <v>11404</v>
      </c>
      <c r="G23615" s="40" t="s">
        <v>11404</v>
      </c>
      <c r="H23615" s="40" t="s">
        <v>11404</v>
      </c>
    </row>
    <row r="23616">
      <c r="A23616" s="39"/>
      <c r="E23616" s="40" t="s">
        <v>11404</v>
      </c>
      <c r="F23616" s="40" t="s">
        <v>11404</v>
      </c>
      <c r="G23616" s="40" t="s">
        <v>11404</v>
      </c>
      <c r="H23616" s="40" t="s">
        <v>11404</v>
      </c>
    </row>
    <row r="23617">
      <c r="A23617" s="39"/>
      <c r="E23617" s="40" t="s">
        <v>11404</v>
      </c>
      <c r="F23617" s="40" t="s">
        <v>11404</v>
      </c>
      <c r="G23617" s="40" t="s">
        <v>11404</v>
      </c>
      <c r="H23617" s="40" t="s">
        <v>11404</v>
      </c>
    </row>
    <row r="23618">
      <c r="A23618" s="39"/>
      <c r="E23618" s="40" t="s">
        <v>11404</v>
      </c>
      <c r="F23618" s="40" t="s">
        <v>11404</v>
      </c>
      <c r="G23618" s="40" t="s">
        <v>11404</v>
      </c>
      <c r="H23618" s="40" t="s">
        <v>11404</v>
      </c>
    </row>
    <row r="23619">
      <c r="A23619" s="39"/>
      <c r="E23619" s="40" t="s">
        <v>11404</v>
      </c>
      <c r="F23619" s="40" t="s">
        <v>11404</v>
      </c>
      <c r="G23619" s="40" t="s">
        <v>11404</v>
      </c>
      <c r="H23619" s="40" t="s">
        <v>11404</v>
      </c>
    </row>
    <row r="23620">
      <c r="A23620" s="39"/>
      <c r="E23620" s="40" t="s">
        <v>11404</v>
      </c>
      <c r="F23620" s="40" t="s">
        <v>11404</v>
      </c>
      <c r="G23620" s="40" t="s">
        <v>11404</v>
      </c>
      <c r="H23620" s="40" t="s">
        <v>11404</v>
      </c>
    </row>
    <row r="23621">
      <c r="A23621" s="39"/>
      <c r="E23621" s="40" t="s">
        <v>11404</v>
      </c>
      <c r="F23621" s="40" t="s">
        <v>11404</v>
      </c>
      <c r="G23621" s="40" t="s">
        <v>11404</v>
      </c>
      <c r="H23621" s="40" t="s">
        <v>11404</v>
      </c>
    </row>
    <row r="23622">
      <c r="A23622" s="39"/>
      <c r="E23622" s="40" t="s">
        <v>11404</v>
      </c>
      <c r="F23622" s="40" t="s">
        <v>11404</v>
      </c>
      <c r="G23622" s="40" t="s">
        <v>11404</v>
      </c>
      <c r="H23622" s="40" t="s">
        <v>11404</v>
      </c>
    </row>
    <row r="23623">
      <c r="A23623" s="39"/>
      <c r="E23623" s="40" t="s">
        <v>11404</v>
      </c>
      <c r="F23623" s="40" t="s">
        <v>11404</v>
      </c>
      <c r="G23623" s="40" t="s">
        <v>11404</v>
      </c>
      <c r="H23623" s="40" t="s">
        <v>11404</v>
      </c>
    </row>
    <row r="23624">
      <c r="A23624" s="39"/>
      <c r="E23624" s="40" t="s">
        <v>11404</v>
      </c>
      <c r="F23624" s="40" t="s">
        <v>11404</v>
      </c>
      <c r="G23624" s="40" t="s">
        <v>11404</v>
      </c>
      <c r="H23624" s="40" t="s">
        <v>11404</v>
      </c>
    </row>
    <row r="23625">
      <c r="A23625" s="39"/>
      <c r="E23625" s="40" t="s">
        <v>11404</v>
      </c>
      <c r="F23625" s="40" t="s">
        <v>11404</v>
      </c>
      <c r="G23625" s="40" t="s">
        <v>11404</v>
      </c>
      <c r="H23625" s="40" t="s">
        <v>11404</v>
      </c>
    </row>
    <row r="23626">
      <c r="A23626" s="39"/>
      <c r="E23626" s="40" t="s">
        <v>11404</v>
      </c>
      <c r="F23626" s="40" t="s">
        <v>11404</v>
      </c>
      <c r="G23626" s="40" t="s">
        <v>11404</v>
      </c>
      <c r="H23626" s="40" t="s">
        <v>11404</v>
      </c>
    </row>
    <row r="23627">
      <c r="A23627" s="39"/>
      <c r="E23627" s="40" t="s">
        <v>11404</v>
      </c>
      <c r="F23627" s="40" t="s">
        <v>11404</v>
      </c>
      <c r="G23627" s="40" t="s">
        <v>11404</v>
      </c>
      <c r="H23627" s="40" t="s">
        <v>11404</v>
      </c>
    </row>
    <row r="23628">
      <c r="A23628" s="39"/>
      <c r="E23628" s="40" t="s">
        <v>11404</v>
      </c>
      <c r="F23628" s="40" t="s">
        <v>11404</v>
      </c>
      <c r="G23628" s="40" t="s">
        <v>11404</v>
      </c>
      <c r="H23628" s="40" t="s">
        <v>11404</v>
      </c>
    </row>
    <row r="23629">
      <c r="A23629" s="39"/>
      <c r="E23629" s="40" t="s">
        <v>11404</v>
      </c>
      <c r="F23629" s="40" t="s">
        <v>11404</v>
      </c>
      <c r="G23629" s="40" t="s">
        <v>11404</v>
      </c>
      <c r="H23629" s="40" t="s">
        <v>11404</v>
      </c>
    </row>
    <row r="23630">
      <c r="A23630" s="39"/>
      <c r="E23630" s="40" t="s">
        <v>11404</v>
      </c>
      <c r="F23630" s="40" t="s">
        <v>11404</v>
      </c>
      <c r="G23630" s="40" t="s">
        <v>11404</v>
      </c>
      <c r="H23630" s="40" t="s">
        <v>11404</v>
      </c>
    </row>
    <row r="23631">
      <c r="A23631" s="39"/>
      <c r="E23631" s="40" t="s">
        <v>11404</v>
      </c>
      <c r="F23631" s="40" t="s">
        <v>11404</v>
      </c>
      <c r="G23631" s="40" t="s">
        <v>11404</v>
      </c>
      <c r="H23631" s="40" t="s">
        <v>11404</v>
      </c>
    </row>
    <row r="23632">
      <c r="A23632" s="39"/>
      <c r="E23632" s="40" t="s">
        <v>11404</v>
      </c>
      <c r="F23632" s="40" t="s">
        <v>11404</v>
      </c>
      <c r="G23632" s="40" t="s">
        <v>11404</v>
      </c>
      <c r="H23632" s="40" t="s">
        <v>11404</v>
      </c>
    </row>
    <row r="23633">
      <c r="A23633" s="39"/>
      <c r="E23633" s="40" t="s">
        <v>11404</v>
      </c>
      <c r="F23633" s="40" t="s">
        <v>11404</v>
      </c>
      <c r="G23633" s="40" t="s">
        <v>11404</v>
      </c>
      <c r="H23633" s="40" t="s">
        <v>11404</v>
      </c>
    </row>
    <row r="23634">
      <c r="A23634" s="39"/>
      <c r="E23634" s="40" t="s">
        <v>11404</v>
      </c>
      <c r="F23634" s="40" t="s">
        <v>11404</v>
      </c>
      <c r="G23634" s="40" t="s">
        <v>11404</v>
      </c>
      <c r="H23634" s="40" t="s">
        <v>11404</v>
      </c>
    </row>
    <row r="23635">
      <c r="A23635" s="39"/>
      <c r="E23635" s="40" t="s">
        <v>11404</v>
      </c>
      <c r="F23635" s="40" t="s">
        <v>11404</v>
      </c>
      <c r="G23635" s="40" t="s">
        <v>11404</v>
      </c>
      <c r="H23635" s="40" t="s">
        <v>11404</v>
      </c>
    </row>
    <row r="23636">
      <c r="A23636" s="39"/>
      <c r="E23636" s="40" t="s">
        <v>11404</v>
      </c>
      <c r="F23636" s="40" t="s">
        <v>11404</v>
      </c>
      <c r="G23636" s="40" t="s">
        <v>11404</v>
      </c>
      <c r="H23636" s="40" t="s">
        <v>11404</v>
      </c>
    </row>
    <row r="23637">
      <c r="A23637" s="39"/>
      <c r="E23637" s="40" t="s">
        <v>11404</v>
      </c>
      <c r="F23637" s="40" t="s">
        <v>11404</v>
      </c>
      <c r="G23637" s="40" t="s">
        <v>11404</v>
      </c>
      <c r="H23637" s="40" t="s">
        <v>11404</v>
      </c>
    </row>
    <row r="23638">
      <c r="A23638" s="39"/>
      <c r="E23638" s="40" t="s">
        <v>11404</v>
      </c>
      <c r="F23638" s="40" t="s">
        <v>11404</v>
      </c>
      <c r="G23638" s="40" t="s">
        <v>11404</v>
      </c>
      <c r="H23638" s="40" t="s">
        <v>11404</v>
      </c>
    </row>
    <row r="23639">
      <c r="A23639" s="39"/>
      <c r="E23639" s="40" t="s">
        <v>11404</v>
      </c>
      <c r="F23639" s="40" t="s">
        <v>11404</v>
      </c>
      <c r="G23639" s="40" t="s">
        <v>11404</v>
      </c>
      <c r="H23639" s="40" t="s">
        <v>11404</v>
      </c>
    </row>
    <row r="23640">
      <c r="A23640" s="39"/>
      <c r="E23640" s="40" t="s">
        <v>11404</v>
      </c>
      <c r="F23640" s="40" t="s">
        <v>11404</v>
      </c>
      <c r="G23640" s="40" t="s">
        <v>11404</v>
      </c>
      <c r="H23640" s="40" t="s">
        <v>11404</v>
      </c>
    </row>
    <row r="23641">
      <c r="A23641" s="39"/>
      <c r="E23641" s="40" t="s">
        <v>11404</v>
      </c>
      <c r="F23641" s="40" t="s">
        <v>11404</v>
      </c>
      <c r="G23641" s="40" t="s">
        <v>11404</v>
      </c>
      <c r="H23641" s="40" t="s">
        <v>11404</v>
      </c>
    </row>
    <row r="23642">
      <c r="A23642" s="39"/>
      <c r="E23642" s="40" t="s">
        <v>11404</v>
      </c>
      <c r="F23642" s="40" t="s">
        <v>11404</v>
      </c>
      <c r="G23642" s="40" t="s">
        <v>11404</v>
      </c>
      <c r="H23642" s="40" t="s">
        <v>11404</v>
      </c>
    </row>
    <row r="23643">
      <c r="A23643" s="39"/>
      <c r="E23643" s="40" t="s">
        <v>11404</v>
      </c>
      <c r="F23643" s="40" t="s">
        <v>11404</v>
      </c>
      <c r="G23643" s="40" t="s">
        <v>11404</v>
      </c>
      <c r="H23643" s="40" t="s">
        <v>11404</v>
      </c>
    </row>
    <row r="23644">
      <c r="A23644" s="39"/>
      <c r="E23644" s="40" t="s">
        <v>11404</v>
      </c>
      <c r="F23644" s="40" t="s">
        <v>11404</v>
      </c>
      <c r="G23644" s="40" t="s">
        <v>11404</v>
      </c>
      <c r="H23644" s="40" t="s">
        <v>11404</v>
      </c>
    </row>
    <row r="23645">
      <c r="A23645" s="39"/>
      <c r="E23645" s="40" t="s">
        <v>11404</v>
      </c>
      <c r="F23645" s="40" t="s">
        <v>11404</v>
      </c>
      <c r="G23645" s="40" t="s">
        <v>11404</v>
      </c>
      <c r="H23645" s="40" t="s">
        <v>11404</v>
      </c>
    </row>
    <row r="23646">
      <c r="A23646" s="39"/>
      <c r="E23646" s="40" t="s">
        <v>11404</v>
      </c>
      <c r="F23646" s="40" t="s">
        <v>11404</v>
      </c>
      <c r="G23646" s="40" t="s">
        <v>11404</v>
      </c>
      <c r="H23646" s="40" t="s">
        <v>11404</v>
      </c>
    </row>
    <row r="23647">
      <c r="A23647" s="39"/>
      <c r="E23647" s="40" t="s">
        <v>11404</v>
      </c>
      <c r="F23647" s="40" t="s">
        <v>11404</v>
      </c>
      <c r="G23647" s="40" t="s">
        <v>11404</v>
      </c>
      <c r="H23647" s="40" t="s">
        <v>11404</v>
      </c>
    </row>
    <row r="23648">
      <c r="A23648" s="39"/>
      <c r="E23648" s="40" t="s">
        <v>11404</v>
      </c>
      <c r="F23648" s="40" t="s">
        <v>11404</v>
      </c>
      <c r="G23648" s="40" t="s">
        <v>11404</v>
      </c>
      <c r="H23648" s="40" t="s">
        <v>11404</v>
      </c>
    </row>
    <row r="23649">
      <c r="A23649" s="39"/>
      <c r="E23649" s="40" t="s">
        <v>11404</v>
      </c>
      <c r="F23649" s="40" t="s">
        <v>11404</v>
      </c>
      <c r="G23649" s="40" t="s">
        <v>11404</v>
      </c>
      <c r="H23649" s="40" t="s">
        <v>11404</v>
      </c>
    </row>
    <row r="23650">
      <c r="A23650" s="39"/>
      <c r="E23650" s="40" t="s">
        <v>11404</v>
      </c>
      <c r="F23650" s="40" t="s">
        <v>11404</v>
      </c>
      <c r="G23650" s="40" t="s">
        <v>11404</v>
      </c>
      <c r="H23650" s="40" t="s">
        <v>11404</v>
      </c>
    </row>
    <row r="23651">
      <c r="A23651" s="39"/>
      <c r="E23651" s="40" t="s">
        <v>11404</v>
      </c>
      <c r="F23651" s="40" t="s">
        <v>11404</v>
      </c>
      <c r="G23651" s="40" t="s">
        <v>11404</v>
      </c>
      <c r="H23651" s="40" t="s">
        <v>11404</v>
      </c>
    </row>
    <row r="23652">
      <c r="A23652" s="39"/>
      <c r="E23652" s="40" t="s">
        <v>11404</v>
      </c>
      <c r="F23652" s="40" t="s">
        <v>11404</v>
      </c>
      <c r="G23652" s="40" t="s">
        <v>11404</v>
      </c>
      <c r="H23652" s="40" t="s">
        <v>11404</v>
      </c>
    </row>
    <row r="23653">
      <c r="A23653" s="39"/>
      <c r="E23653" s="40" t="s">
        <v>11404</v>
      </c>
      <c r="F23653" s="40" t="s">
        <v>11404</v>
      </c>
      <c r="G23653" s="40" t="s">
        <v>11404</v>
      </c>
      <c r="H23653" s="40" t="s">
        <v>11404</v>
      </c>
    </row>
    <row r="23654">
      <c r="A23654" s="39"/>
      <c r="E23654" s="40" t="s">
        <v>11404</v>
      </c>
      <c r="F23654" s="40" t="s">
        <v>11404</v>
      </c>
      <c r="G23654" s="40" t="s">
        <v>11404</v>
      </c>
      <c r="H23654" s="40" t="s">
        <v>11404</v>
      </c>
    </row>
    <row r="23655">
      <c r="A23655" s="39"/>
      <c r="E23655" s="40" t="s">
        <v>11404</v>
      </c>
      <c r="F23655" s="40" t="s">
        <v>11404</v>
      </c>
      <c r="G23655" s="40" t="s">
        <v>11404</v>
      </c>
      <c r="H23655" s="40" t="s">
        <v>11404</v>
      </c>
    </row>
    <row r="23656">
      <c r="A23656" s="39"/>
      <c r="E23656" s="40" t="s">
        <v>11404</v>
      </c>
      <c r="F23656" s="40" t="s">
        <v>11404</v>
      </c>
      <c r="G23656" s="40" t="s">
        <v>11404</v>
      </c>
      <c r="H23656" s="40" t="s">
        <v>11404</v>
      </c>
    </row>
    <row r="23657">
      <c r="A23657" s="39"/>
      <c r="E23657" s="40" t="s">
        <v>11404</v>
      </c>
      <c r="F23657" s="40" t="s">
        <v>11404</v>
      </c>
      <c r="G23657" s="40" t="s">
        <v>11404</v>
      </c>
      <c r="H23657" s="40" t="s">
        <v>11404</v>
      </c>
    </row>
    <row r="23658">
      <c r="A23658" s="39"/>
      <c r="E23658" s="40" t="s">
        <v>11404</v>
      </c>
      <c r="F23658" s="40" t="s">
        <v>11404</v>
      </c>
      <c r="G23658" s="40" t="s">
        <v>11404</v>
      </c>
      <c r="H23658" s="40" t="s">
        <v>11404</v>
      </c>
    </row>
    <row r="23659">
      <c r="A23659" s="39"/>
      <c r="E23659" s="40" t="s">
        <v>11404</v>
      </c>
      <c r="F23659" s="40" t="s">
        <v>11404</v>
      </c>
      <c r="G23659" s="40" t="s">
        <v>11404</v>
      </c>
      <c r="H23659" s="40" t="s">
        <v>11404</v>
      </c>
    </row>
    <row r="23660">
      <c r="A23660" s="39"/>
      <c r="E23660" s="40" t="s">
        <v>11404</v>
      </c>
      <c r="F23660" s="40" t="s">
        <v>11404</v>
      </c>
      <c r="G23660" s="40" t="s">
        <v>11404</v>
      </c>
      <c r="H23660" s="40" t="s">
        <v>11404</v>
      </c>
    </row>
    <row r="23661">
      <c r="A23661" s="39"/>
      <c r="E23661" s="40" t="s">
        <v>11404</v>
      </c>
      <c r="F23661" s="40" t="s">
        <v>11404</v>
      </c>
      <c r="G23661" s="40" t="s">
        <v>11404</v>
      </c>
      <c r="H23661" s="40" t="s">
        <v>11404</v>
      </c>
    </row>
    <row r="23662">
      <c r="A23662" s="39"/>
      <c r="E23662" s="40" t="s">
        <v>11404</v>
      </c>
      <c r="F23662" s="40" t="s">
        <v>11404</v>
      </c>
      <c r="G23662" s="40" t="s">
        <v>11404</v>
      </c>
      <c r="H23662" s="40" t="s">
        <v>11404</v>
      </c>
    </row>
    <row r="23663">
      <c r="A23663" s="39"/>
      <c r="E23663" s="40" t="s">
        <v>11404</v>
      </c>
      <c r="F23663" s="40" t="s">
        <v>11404</v>
      </c>
      <c r="G23663" s="40" t="s">
        <v>11404</v>
      </c>
      <c r="H23663" s="40" t="s">
        <v>11404</v>
      </c>
    </row>
    <row r="23664">
      <c r="A23664" s="39"/>
      <c r="E23664" s="40" t="s">
        <v>11404</v>
      </c>
      <c r="F23664" s="40" t="s">
        <v>11404</v>
      </c>
      <c r="G23664" s="40" t="s">
        <v>11404</v>
      </c>
      <c r="H23664" s="40" t="s">
        <v>11404</v>
      </c>
    </row>
    <row r="23665">
      <c r="A23665" s="39"/>
      <c r="E23665" s="40" t="s">
        <v>11404</v>
      </c>
      <c r="F23665" s="40" t="s">
        <v>11404</v>
      </c>
      <c r="G23665" s="40" t="s">
        <v>11404</v>
      </c>
      <c r="H23665" s="40" t="s">
        <v>11404</v>
      </c>
    </row>
    <row r="23666">
      <c r="A23666" s="39"/>
      <c r="E23666" s="40" t="s">
        <v>11404</v>
      </c>
      <c r="F23666" s="40" t="s">
        <v>11404</v>
      </c>
      <c r="G23666" s="40" t="s">
        <v>11404</v>
      </c>
      <c r="H23666" s="40" t="s">
        <v>11404</v>
      </c>
    </row>
    <row r="23667">
      <c r="A23667" s="39"/>
      <c r="E23667" s="40" t="s">
        <v>11404</v>
      </c>
      <c r="F23667" s="40" t="s">
        <v>11404</v>
      </c>
      <c r="G23667" s="40" t="s">
        <v>11404</v>
      </c>
      <c r="H23667" s="40" t="s">
        <v>11404</v>
      </c>
    </row>
    <row r="23668">
      <c r="A23668" s="39"/>
      <c r="E23668" s="40" t="s">
        <v>11404</v>
      </c>
      <c r="F23668" s="40" t="s">
        <v>11404</v>
      </c>
      <c r="G23668" s="40" t="s">
        <v>11404</v>
      </c>
      <c r="H23668" s="40" t="s">
        <v>11404</v>
      </c>
    </row>
    <row r="23669">
      <c r="A23669" s="39"/>
      <c r="E23669" s="40" t="s">
        <v>11404</v>
      </c>
      <c r="F23669" s="40" t="s">
        <v>11404</v>
      </c>
      <c r="G23669" s="40" t="s">
        <v>11404</v>
      </c>
      <c r="H23669" s="40" t="s">
        <v>11404</v>
      </c>
    </row>
    <row r="23670">
      <c r="A23670" s="39"/>
      <c r="E23670" s="40" t="s">
        <v>11404</v>
      </c>
      <c r="F23670" s="40" t="s">
        <v>11404</v>
      </c>
      <c r="G23670" s="40" t="s">
        <v>11404</v>
      </c>
      <c r="H23670" s="40" t="s">
        <v>11404</v>
      </c>
    </row>
    <row r="23671">
      <c r="A23671" s="39"/>
      <c r="E23671" s="40" t="s">
        <v>11404</v>
      </c>
      <c r="F23671" s="40" t="s">
        <v>11404</v>
      </c>
      <c r="G23671" s="40" t="s">
        <v>11404</v>
      </c>
      <c r="H23671" s="40" t="s">
        <v>11404</v>
      </c>
    </row>
    <row r="23672">
      <c r="A23672" s="39"/>
      <c r="E23672" s="40" t="s">
        <v>11404</v>
      </c>
      <c r="F23672" s="40" t="s">
        <v>11404</v>
      </c>
      <c r="G23672" s="40" t="s">
        <v>11404</v>
      </c>
      <c r="H23672" s="40" t="s">
        <v>11404</v>
      </c>
    </row>
    <row r="23673">
      <c r="A23673" s="39"/>
      <c r="E23673" s="40" t="s">
        <v>11404</v>
      </c>
      <c r="F23673" s="40" t="s">
        <v>11404</v>
      </c>
      <c r="G23673" s="40" t="s">
        <v>11404</v>
      </c>
      <c r="H23673" s="40" t="s">
        <v>11404</v>
      </c>
    </row>
    <row r="23674">
      <c r="A23674" s="39"/>
      <c r="E23674" s="40" t="s">
        <v>11404</v>
      </c>
      <c r="F23674" s="40" t="s">
        <v>11404</v>
      </c>
      <c r="G23674" s="40" t="s">
        <v>11404</v>
      </c>
      <c r="H23674" s="40" t="s">
        <v>11404</v>
      </c>
    </row>
    <row r="23675">
      <c r="A23675" s="39"/>
      <c r="E23675" s="40" t="s">
        <v>11404</v>
      </c>
      <c r="F23675" s="40" t="s">
        <v>11404</v>
      </c>
      <c r="G23675" s="40" t="s">
        <v>11404</v>
      </c>
      <c r="H23675" s="40" t="s">
        <v>11404</v>
      </c>
    </row>
    <row r="23676">
      <c r="A23676" s="39"/>
      <c r="E23676" s="40" t="s">
        <v>11404</v>
      </c>
      <c r="F23676" s="40" t="s">
        <v>11404</v>
      </c>
      <c r="G23676" s="40" t="s">
        <v>11404</v>
      </c>
      <c r="H23676" s="40" t="s">
        <v>11404</v>
      </c>
    </row>
    <row r="23677">
      <c r="A23677" s="39"/>
      <c r="E23677" s="40" t="s">
        <v>11404</v>
      </c>
      <c r="F23677" s="40" t="s">
        <v>11404</v>
      </c>
      <c r="G23677" s="40" t="s">
        <v>11404</v>
      </c>
      <c r="H23677" s="40" t="s">
        <v>11404</v>
      </c>
    </row>
    <row r="23678">
      <c r="A23678" s="39"/>
      <c r="E23678" s="40" t="s">
        <v>11404</v>
      </c>
      <c r="F23678" s="40" t="s">
        <v>11404</v>
      </c>
      <c r="G23678" s="40" t="s">
        <v>11404</v>
      </c>
      <c r="H23678" s="40" t="s">
        <v>11404</v>
      </c>
    </row>
    <row r="23679">
      <c r="A23679" s="39"/>
      <c r="E23679" s="40" t="s">
        <v>11404</v>
      </c>
      <c r="F23679" s="40" t="s">
        <v>11404</v>
      </c>
      <c r="G23679" s="40" t="s">
        <v>11404</v>
      </c>
      <c r="H23679" s="40" t="s">
        <v>11404</v>
      </c>
    </row>
    <row r="23680">
      <c r="A23680" s="39"/>
      <c r="E23680" s="40" t="s">
        <v>11404</v>
      </c>
      <c r="F23680" s="40" t="s">
        <v>11404</v>
      </c>
      <c r="G23680" s="40" t="s">
        <v>11404</v>
      </c>
      <c r="H23680" s="40" t="s">
        <v>11404</v>
      </c>
    </row>
    <row r="23681">
      <c r="A23681" s="39"/>
      <c r="E23681" s="40" t="s">
        <v>11404</v>
      </c>
      <c r="F23681" s="40" t="s">
        <v>11404</v>
      </c>
      <c r="G23681" s="40" t="s">
        <v>11404</v>
      </c>
      <c r="H23681" s="40" t="s">
        <v>11404</v>
      </c>
    </row>
    <row r="23682">
      <c r="A23682" s="39"/>
      <c r="E23682" s="40" t="s">
        <v>11404</v>
      </c>
      <c r="F23682" s="40" t="s">
        <v>11404</v>
      </c>
      <c r="G23682" s="40" t="s">
        <v>11404</v>
      </c>
      <c r="H23682" s="40" t="s">
        <v>11404</v>
      </c>
    </row>
    <row r="23683">
      <c r="A23683" s="39"/>
      <c r="E23683" s="40" t="s">
        <v>11404</v>
      </c>
      <c r="F23683" s="40" t="s">
        <v>11404</v>
      </c>
      <c r="G23683" s="40" t="s">
        <v>11404</v>
      </c>
      <c r="H23683" s="40" t="s">
        <v>11404</v>
      </c>
    </row>
    <row r="23684">
      <c r="A23684" s="39"/>
      <c r="E23684" s="40" t="s">
        <v>11404</v>
      </c>
      <c r="F23684" s="40" t="s">
        <v>11404</v>
      </c>
      <c r="G23684" s="40" t="s">
        <v>11404</v>
      </c>
      <c r="H23684" s="40" t="s">
        <v>11404</v>
      </c>
    </row>
    <row r="23685">
      <c r="A23685" s="39"/>
      <c r="E23685" s="40" t="s">
        <v>11404</v>
      </c>
      <c r="F23685" s="40" t="s">
        <v>11404</v>
      </c>
      <c r="G23685" s="40" t="s">
        <v>11404</v>
      </c>
      <c r="H23685" s="40" t="s">
        <v>11404</v>
      </c>
    </row>
    <row r="23686">
      <c r="A23686" s="39"/>
      <c r="E23686" s="40" t="s">
        <v>11404</v>
      </c>
      <c r="F23686" s="40" t="s">
        <v>11404</v>
      </c>
      <c r="G23686" s="40" t="s">
        <v>11404</v>
      </c>
      <c r="H23686" s="40" t="s">
        <v>11404</v>
      </c>
    </row>
    <row r="23687">
      <c r="A23687" s="39"/>
      <c r="E23687" s="40" t="s">
        <v>11404</v>
      </c>
      <c r="F23687" s="40" t="s">
        <v>11404</v>
      </c>
      <c r="G23687" s="40" t="s">
        <v>11404</v>
      </c>
      <c r="H23687" s="40" t="s">
        <v>11404</v>
      </c>
    </row>
    <row r="23688">
      <c r="A23688" s="39"/>
      <c r="E23688" s="40" t="s">
        <v>11404</v>
      </c>
      <c r="F23688" s="40" t="s">
        <v>11404</v>
      </c>
      <c r="G23688" s="40" t="s">
        <v>11404</v>
      </c>
      <c r="H23688" s="40" t="s">
        <v>11404</v>
      </c>
    </row>
    <row r="23689">
      <c r="A23689" s="39"/>
      <c r="E23689" s="40" t="s">
        <v>11404</v>
      </c>
      <c r="F23689" s="40" t="s">
        <v>11404</v>
      </c>
      <c r="G23689" s="40" t="s">
        <v>11404</v>
      </c>
      <c r="H23689" s="40" t="s">
        <v>11404</v>
      </c>
    </row>
    <row r="23690">
      <c r="A23690" s="39"/>
      <c r="E23690" s="40" t="s">
        <v>11404</v>
      </c>
      <c r="F23690" s="40" t="s">
        <v>11404</v>
      </c>
      <c r="G23690" s="40" t="s">
        <v>11404</v>
      </c>
      <c r="H23690" s="40" t="s">
        <v>11404</v>
      </c>
    </row>
    <row r="23691">
      <c r="A23691" s="39"/>
      <c r="E23691" s="40" t="s">
        <v>11404</v>
      </c>
      <c r="F23691" s="40" t="s">
        <v>11404</v>
      </c>
      <c r="G23691" s="40" t="s">
        <v>11404</v>
      </c>
      <c r="H23691" s="40" t="s">
        <v>11404</v>
      </c>
    </row>
    <row r="23692">
      <c r="A23692" s="39"/>
      <c r="E23692" s="40" t="s">
        <v>11404</v>
      </c>
      <c r="F23692" s="40" t="s">
        <v>11404</v>
      </c>
      <c r="G23692" s="40" t="s">
        <v>11404</v>
      </c>
      <c r="H23692" s="40" t="s">
        <v>11404</v>
      </c>
    </row>
    <row r="23693">
      <c r="A23693" s="39"/>
      <c r="E23693" s="40" t="s">
        <v>11404</v>
      </c>
      <c r="F23693" s="40" t="s">
        <v>11404</v>
      </c>
      <c r="G23693" s="40" t="s">
        <v>11404</v>
      </c>
      <c r="H23693" s="40" t="s">
        <v>11404</v>
      </c>
    </row>
    <row r="23694">
      <c r="A23694" s="39"/>
      <c r="E23694" s="40" t="s">
        <v>11404</v>
      </c>
      <c r="F23694" s="40" t="s">
        <v>11404</v>
      </c>
      <c r="G23694" s="40" t="s">
        <v>11404</v>
      </c>
      <c r="H23694" s="40" t="s">
        <v>11404</v>
      </c>
    </row>
    <row r="23695">
      <c r="A23695" s="39"/>
      <c r="E23695" s="40" t="s">
        <v>11404</v>
      </c>
      <c r="F23695" s="40" t="s">
        <v>11404</v>
      </c>
      <c r="G23695" s="40" t="s">
        <v>11404</v>
      </c>
      <c r="H23695" s="40" t="s">
        <v>11404</v>
      </c>
    </row>
    <row r="23696">
      <c r="A23696" s="39"/>
      <c r="E23696" s="40" t="s">
        <v>11404</v>
      </c>
      <c r="F23696" s="40" t="s">
        <v>11404</v>
      </c>
      <c r="G23696" s="40" t="s">
        <v>11404</v>
      </c>
      <c r="H23696" s="40" t="s">
        <v>11404</v>
      </c>
    </row>
    <row r="23697">
      <c r="A23697" s="39"/>
      <c r="E23697" s="40" t="s">
        <v>11404</v>
      </c>
      <c r="F23697" s="40" t="s">
        <v>11404</v>
      </c>
      <c r="G23697" s="40" t="s">
        <v>11404</v>
      </c>
      <c r="H23697" s="40" t="s">
        <v>11404</v>
      </c>
    </row>
    <row r="23698">
      <c r="A23698" s="39"/>
      <c r="E23698" s="40" t="s">
        <v>11404</v>
      </c>
      <c r="F23698" s="40" t="s">
        <v>11404</v>
      </c>
      <c r="G23698" s="40" t="s">
        <v>11404</v>
      </c>
      <c r="H23698" s="40" t="s">
        <v>11404</v>
      </c>
    </row>
    <row r="23699">
      <c r="A23699" s="39"/>
      <c r="E23699" s="40" t="s">
        <v>11404</v>
      </c>
      <c r="F23699" s="40" t="s">
        <v>11404</v>
      </c>
      <c r="G23699" s="40" t="s">
        <v>11404</v>
      </c>
      <c r="H23699" s="40" t="s">
        <v>11404</v>
      </c>
    </row>
    <row r="23700">
      <c r="A23700" s="39"/>
      <c r="E23700" s="40" t="s">
        <v>11404</v>
      </c>
      <c r="F23700" s="40" t="s">
        <v>11404</v>
      </c>
      <c r="G23700" s="40" t="s">
        <v>11404</v>
      </c>
      <c r="H23700" s="40" t="s">
        <v>11404</v>
      </c>
    </row>
    <row r="23701">
      <c r="A23701" s="39"/>
      <c r="E23701" s="40" t="s">
        <v>11404</v>
      </c>
      <c r="F23701" s="40" t="s">
        <v>11404</v>
      </c>
      <c r="G23701" s="40" t="s">
        <v>11404</v>
      </c>
      <c r="H23701" s="40" t="s">
        <v>11404</v>
      </c>
    </row>
    <row r="23702">
      <c r="A23702" s="39"/>
      <c r="E23702" s="40" t="s">
        <v>11404</v>
      </c>
      <c r="F23702" s="40" t="s">
        <v>11404</v>
      </c>
      <c r="G23702" s="40" t="s">
        <v>11404</v>
      </c>
      <c r="H23702" s="40" t="s">
        <v>11404</v>
      </c>
    </row>
    <row r="23703">
      <c r="A23703" s="39"/>
      <c r="E23703" s="40" t="s">
        <v>11404</v>
      </c>
      <c r="F23703" s="40" t="s">
        <v>11404</v>
      </c>
      <c r="G23703" s="40" t="s">
        <v>11404</v>
      </c>
      <c r="H23703" s="40" t="s">
        <v>11404</v>
      </c>
    </row>
    <row r="23704">
      <c r="A23704" s="39"/>
      <c r="E23704" s="40" t="s">
        <v>11404</v>
      </c>
      <c r="F23704" s="40" t="s">
        <v>11404</v>
      </c>
      <c r="G23704" s="40" t="s">
        <v>11404</v>
      </c>
      <c r="H23704" s="40" t="s">
        <v>11404</v>
      </c>
    </row>
    <row r="23705">
      <c r="A23705" s="39"/>
      <c r="E23705" s="40" t="s">
        <v>11404</v>
      </c>
      <c r="F23705" s="40" t="s">
        <v>11404</v>
      </c>
      <c r="G23705" s="40" t="s">
        <v>11404</v>
      </c>
      <c r="H23705" s="40" t="s">
        <v>11404</v>
      </c>
    </row>
    <row r="23706">
      <c r="A23706" s="39"/>
      <c r="E23706" s="40" t="s">
        <v>11404</v>
      </c>
      <c r="F23706" s="40" t="s">
        <v>11404</v>
      </c>
      <c r="G23706" s="40" t="s">
        <v>11404</v>
      </c>
      <c r="H23706" s="40" t="s">
        <v>11404</v>
      </c>
    </row>
    <row r="23707">
      <c r="A23707" s="39"/>
      <c r="E23707" s="40" t="s">
        <v>11404</v>
      </c>
      <c r="F23707" s="40" t="s">
        <v>11404</v>
      </c>
      <c r="G23707" s="40" t="s">
        <v>11404</v>
      </c>
      <c r="H23707" s="40" t="s">
        <v>11404</v>
      </c>
    </row>
    <row r="23708">
      <c r="A23708" s="39"/>
      <c r="E23708" s="40" t="s">
        <v>11404</v>
      </c>
      <c r="F23708" s="40" t="s">
        <v>11404</v>
      </c>
      <c r="G23708" s="40" t="s">
        <v>11404</v>
      </c>
      <c r="H23708" s="40" t="s">
        <v>11404</v>
      </c>
    </row>
    <row r="23709">
      <c r="A23709" s="39"/>
      <c r="E23709" s="40" t="s">
        <v>11404</v>
      </c>
      <c r="F23709" s="40" t="s">
        <v>11404</v>
      </c>
      <c r="G23709" s="40" t="s">
        <v>11404</v>
      </c>
      <c r="H23709" s="40" t="s">
        <v>11404</v>
      </c>
    </row>
    <row r="23710">
      <c r="A23710" s="39"/>
      <c r="E23710" s="40" t="s">
        <v>11404</v>
      </c>
      <c r="F23710" s="40" t="s">
        <v>11404</v>
      </c>
      <c r="G23710" s="40" t="s">
        <v>11404</v>
      </c>
      <c r="H23710" s="40" t="s">
        <v>11404</v>
      </c>
    </row>
    <row r="23711">
      <c r="A23711" s="39"/>
      <c r="E23711" s="40" t="s">
        <v>11404</v>
      </c>
      <c r="F23711" s="40" t="s">
        <v>11404</v>
      </c>
      <c r="G23711" s="40" t="s">
        <v>11404</v>
      </c>
      <c r="H23711" s="40" t="s">
        <v>11404</v>
      </c>
    </row>
    <row r="23712">
      <c r="A23712" s="39"/>
      <c r="E23712" s="40" t="s">
        <v>11404</v>
      </c>
      <c r="F23712" s="40" t="s">
        <v>11404</v>
      </c>
      <c r="G23712" s="40" t="s">
        <v>11404</v>
      </c>
      <c r="H23712" s="40" t="s">
        <v>11404</v>
      </c>
    </row>
    <row r="23713">
      <c r="A23713" s="39"/>
      <c r="E23713" s="40" t="s">
        <v>11404</v>
      </c>
      <c r="F23713" s="40" t="s">
        <v>11404</v>
      </c>
      <c r="G23713" s="40" t="s">
        <v>11404</v>
      </c>
      <c r="H23713" s="40" t="s">
        <v>11404</v>
      </c>
    </row>
    <row r="23714">
      <c r="A23714" s="39"/>
      <c r="E23714" s="40" t="s">
        <v>11404</v>
      </c>
      <c r="F23714" s="40" t="s">
        <v>11404</v>
      </c>
      <c r="G23714" s="40" t="s">
        <v>11404</v>
      </c>
      <c r="H23714" s="40" t="s">
        <v>11404</v>
      </c>
    </row>
    <row r="23715">
      <c r="A23715" s="39"/>
      <c r="E23715" s="40" t="s">
        <v>11404</v>
      </c>
      <c r="F23715" s="40" t="s">
        <v>11404</v>
      </c>
      <c r="G23715" s="40" t="s">
        <v>11404</v>
      </c>
      <c r="H23715" s="40" t="s">
        <v>11404</v>
      </c>
    </row>
    <row r="23716">
      <c r="A23716" s="39"/>
      <c r="E23716" s="40" t="s">
        <v>11404</v>
      </c>
      <c r="F23716" s="40" t="s">
        <v>11404</v>
      </c>
      <c r="G23716" s="40" t="s">
        <v>11404</v>
      </c>
      <c r="H23716" s="40" t="s">
        <v>11404</v>
      </c>
    </row>
    <row r="23717">
      <c r="A23717" s="39"/>
      <c r="E23717" s="40" t="s">
        <v>11404</v>
      </c>
      <c r="F23717" s="40" t="s">
        <v>11404</v>
      </c>
      <c r="G23717" s="40" t="s">
        <v>11404</v>
      </c>
      <c r="H23717" s="40" t="s">
        <v>11404</v>
      </c>
    </row>
    <row r="23718">
      <c r="A23718" s="39"/>
      <c r="E23718" s="40" t="s">
        <v>11404</v>
      </c>
      <c r="F23718" s="40" t="s">
        <v>11404</v>
      </c>
      <c r="G23718" s="40" t="s">
        <v>11404</v>
      </c>
      <c r="H23718" s="40" t="s">
        <v>11404</v>
      </c>
    </row>
    <row r="23719">
      <c r="A23719" s="39"/>
      <c r="E23719" s="40" t="s">
        <v>11404</v>
      </c>
      <c r="F23719" s="40" t="s">
        <v>11404</v>
      </c>
      <c r="G23719" s="40" t="s">
        <v>11404</v>
      </c>
      <c r="H23719" s="40" t="s">
        <v>11404</v>
      </c>
    </row>
    <row r="23720">
      <c r="A23720" s="39"/>
      <c r="E23720" s="40" t="s">
        <v>11404</v>
      </c>
      <c r="F23720" s="40" t="s">
        <v>11404</v>
      </c>
      <c r="G23720" s="40" t="s">
        <v>11404</v>
      </c>
      <c r="H23720" s="40" t="s">
        <v>11404</v>
      </c>
    </row>
    <row r="23721">
      <c r="A23721" s="39"/>
      <c r="E23721" s="40" t="s">
        <v>11404</v>
      </c>
      <c r="F23721" s="40" t="s">
        <v>11404</v>
      </c>
      <c r="G23721" s="40" t="s">
        <v>11404</v>
      </c>
      <c r="H23721" s="40" t="s">
        <v>11404</v>
      </c>
    </row>
    <row r="23722">
      <c r="A23722" s="39"/>
      <c r="E23722" s="40" t="s">
        <v>11404</v>
      </c>
      <c r="F23722" s="40" t="s">
        <v>11404</v>
      </c>
      <c r="G23722" s="40" t="s">
        <v>11404</v>
      </c>
      <c r="H23722" s="40" t="s">
        <v>11404</v>
      </c>
    </row>
    <row r="23723">
      <c r="A23723" s="39"/>
      <c r="E23723" s="40" t="s">
        <v>11404</v>
      </c>
      <c r="F23723" s="40" t="s">
        <v>11404</v>
      </c>
      <c r="G23723" s="40" t="s">
        <v>11404</v>
      </c>
      <c r="H23723" s="40" t="s">
        <v>11404</v>
      </c>
    </row>
    <row r="23724">
      <c r="A23724" s="39"/>
      <c r="E23724" s="40" t="s">
        <v>11404</v>
      </c>
      <c r="F23724" s="40" t="s">
        <v>11404</v>
      </c>
      <c r="G23724" s="40" t="s">
        <v>11404</v>
      </c>
      <c r="H23724" s="40" t="s">
        <v>11404</v>
      </c>
    </row>
    <row r="23725">
      <c r="A23725" s="39"/>
      <c r="E23725" s="40" t="s">
        <v>11404</v>
      </c>
      <c r="F23725" s="40" t="s">
        <v>11404</v>
      </c>
      <c r="G23725" s="40" t="s">
        <v>11404</v>
      </c>
      <c r="H23725" s="40" t="s">
        <v>11404</v>
      </c>
    </row>
    <row r="23726">
      <c r="A23726" s="39"/>
      <c r="E23726" s="40" t="s">
        <v>11404</v>
      </c>
      <c r="F23726" s="40" t="s">
        <v>11404</v>
      </c>
      <c r="G23726" s="40" t="s">
        <v>11404</v>
      </c>
      <c r="H23726" s="40" t="s">
        <v>11404</v>
      </c>
    </row>
    <row r="23727">
      <c r="A23727" s="39"/>
      <c r="E23727" s="40" t="s">
        <v>11404</v>
      </c>
      <c r="F23727" s="40" t="s">
        <v>11404</v>
      </c>
      <c r="G23727" s="40" t="s">
        <v>11404</v>
      </c>
      <c r="H23727" s="40" t="s">
        <v>11404</v>
      </c>
    </row>
    <row r="23728">
      <c r="A23728" s="39"/>
      <c r="E23728" s="40" t="s">
        <v>11404</v>
      </c>
      <c r="F23728" s="40" t="s">
        <v>11404</v>
      </c>
      <c r="G23728" s="40" t="s">
        <v>11404</v>
      </c>
      <c r="H23728" s="40" t="s">
        <v>11404</v>
      </c>
    </row>
    <row r="23729">
      <c r="A23729" s="39"/>
      <c r="E23729" s="40" t="s">
        <v>11404</v>
      </c>
      <c r="F23729" s="40" t="s">
        <v>11404</v>
      </c>
      <c r="G23729" s="40" t="s">
        <v>11404</v>
      </c>
      <c r="H23729" s="40" t="s">
        <v>11404</v>
      </c>
    </row>
    <row r="23730">
      <c r="A23730" s="39"/>
      <c r="E23730" s="40" t="s">
        <v>11404</v>
      </c>
      <c r="F23730" s="40" t="s">
        <v>11404</v>
      </c>
      <c r="G23730" s="40" t="s">
        <v>11404</v>
      </c>
      <c r="H23730" s="40" t="s">
        <v>11404</v>
      </c>
    </row>
    <row r="23731">
      <c r="A23731" s="39"/>
      <c r="E23731" s="40" t="s">
        <v>11404</v>
      </c>
      <c r="F23731" s="40" t="s">
        <v>11404</v>
      </c>
      <c r="G23731" s="40" t="s">
        <v>11404</v>
      </c>
      <c r="H23731" s="40" t="s">
        <v>11404</v>
      </c>
    </row>
    <row r="23732">
      <c r="A23732" s="39"/>
      <c r="E23732" s="40" t="s">
        <v>11404</v>
      </c>
      <c r="F23732" s="40" t="s">
        <v>11404</v>
      </c>
      <c r="G23732" s="40" t="s">
        <v>11404</v>
      </c>
      <c r="H23732" s="40" t="s">
        <v>11404</v>
      </c>
    </row>
    <row r="23733">
      <c r="A23733" s="39"/>
      <c r="E23733" s="40" t="s">
        <v>11404</v>
      </c>
      <c r="F23733" s="40" t="s">
        <v>11404</v>
      </c>
      <c r="G23733" s="40" t="s">
        <v>11404</v>
      </c>
      <c r="H23733" s="40" t="s">
        <v>11404</v>
      </c>
    </row>
    <row r="23734">
      <c r="A23734" s="39"/>
      <c r="E23734" s="40" t="s">
        <v>11404</v>
      </c>
      <c r="F23734" s="40" t="s">
        <v>11404</v>
      </c>
      <c r="G23734" s="40" t="s">
        <v>11404</v>
      </c>
      <c r="H23734" s="40" t="s">
        <v>11404</v>
      </c>
    </row>
    <row r="23735">
      <c r="A23735" s="39"/>
      <c r="E23735" s="40" t="s">
        <v>11404</v>
      </c>
      <c r="F23735" s="40" t="s">
        <v>11404</v>
      </c>
      <c r="G23735" s="40" t="s">
        <v>11404</v>
      </c>
      <c r="H23735" s="40" t="s">
        <v>11404</v>
      </c>
    </row>
    <row r="23736">
      <c r="A23736" s="39"/>
      <c r="E23736" s="40" t="s">
        <v>11404</v>
      </c>
      <c r="F23736" s="40" t="s">
        <v>11404</v>
      </c>
      <c r="G23736" s="40" t="s">
        <v>11404</v>
      </c>
      <c r="H23736" s="40" t="s">
        <v>11404</v>
      </c>
    </row>
    <row r="23737">
      <c r="A23737" s="39"/>
      <c r="E23737" s="40" t="s">
        <v>11404</v>
      </c>
      <c r="F23737" s="40" t="s">
        <v>11404</v>
      </c>
      <c r="G23737" s="40" t="s">
        <v>11404</v>
      </c>
      <c r="H23737" s="40" t="s">
        <v>11404</v>
      </c>
    </row>
    <row r="23738">
      <c r="A23738" s="39"/>
      <c r="E23738" s="40" t="s">
        <v>11404</v>
      </c>
      <c r="F23738" s="40" t="s">
        <v>11404</v>
      </c>
      <c r="G23738" s="40" t="s">
        <v>11404</v>
      </c>
      <c r="H23738" s="40" t="s">
        <v>11404</v>
      </c>
    </row>
    <row r="23739">
      <c r="A23739" s="39"/>
      <c r="E23739" s="40" t="s">
        <v>11404</v>
      </c>
      <c r="F23739" s="40" t="s">
        <v>11404</v>
      </c>
      <c r="G23739" s="40" t="s">
        <v>11404</v>
      </c>
      <c r="H23739" s="40" t="s">
        <v>11404</v>
      </c>
    </row>
    <row r="23740">
      <c r="A23740" s="39"/>
      <c r="E23740" s="40" t="s">
        <v>11404</v>
      </c>
      <c r="F23740" s="40" t="s">
        <v>11404</v>
      </c>
      <c r="G23740" s="40" t="s">
        <v>11404</v>
      </c>
      <c r="H23740" s="40" t="s">
        <v>11404</v>
      </c>
    </row>
    <row r="23741">
      <c r="A23741" s="39"/>
      <c r="E23741" s="40" t="s">
        <v>11404</v>
      </c>
      <c r="F23741" s="40" t="s">
        <v>11404</v>
      </c>
      <c r="G23741" s="40" t="s">
        <v>11404</v>
      </c>
      <c r="H23741" s="40" t="s">
        <v>11404</v>
      </c>
    </row>
    <row r="23742">
      <c r="A23742" s="39"/>
      <c r="E23742" s="40" t="s">
        <v>11404</v>
      </c>
      <c r="F23742" s="40" t="s">
        <v>11404</v>
      </c>
      <c r="G23742" s="40" t="s">
        <v>11404</v>
      </c>
      <c r="H23742" s="40" t="s">
        <v>11404</v>
      </c>
    </row>
    <row r="23743">
      <c r="A23743" s="39"/>
      <c r="E23743" s="40" t="s">
        <v>11404</v>
      </c>
      <c r="F23743" s="40" t="s">
        <v>11404</v>
      </c>
      <c r="G23743" s="40" t="s">
        <v>11404</v>
      </c>
      <c r="H23743" s="40" t="s">
        <v>11404</v>
      </c>
    </row>
    <row r="23744">
      <c r="A23744" s="39"/>
      <c r="E23744" s="40" t="s">
        <v>11404</v>
      </c>
      <c r="F23744" s="40" t="s">
        <v>11404</v>
      </c>
      <c r="G23744" s="40" t="s">
        <v>11404</v>
      </c>
      <c r="H23744" s="40" t="s">
        <v>11404</v>
      </c>
    </row>
    <row r="23745">
      <c r="A23745" s="39"/>
      <c r="E23745" s="40" t="s">
        <v>11404</v>
      </c>
      <c r="F23745" s="40" t="s">
        <v>11404</v>
      </c>
      <c r="G23745" s="40" t="s">
        <v>11404</v>
      </c>
      <c r="H23745" s="40" t="s">
        <v>11404</v>
      </c>
    </row>
    <row r="23746">
      <c r="A23746" s="39"/>
      <c r="E23746" s="40" t="s">
        <v>11404</v>
      </c>
      <c r="F23746" s="40" t="s">
        <v>11404</v>
      </c>
      <c r="G23746" s="40" t="s">
        <v>11404</v>
      </c>
      <c r="H23746" s="40" t="s">
        <v>11404</v>
      </c>
    </row>
    <row r="23747">
      <c r="A23747" s="39"/>
      <c r="E23747" s="40" t="s">
        <v>11404</v>
      </c>
      <c r="F23747" s="40" t="s">
        <v>11404</v>
      </c>
      <c r="G23747" s="40" t="s">
        <v>11404</v>
      </c>
      <c r="H23747" s="40" t="s">
        <v>11404</v>
      </c>
    </row>
    <row r="23748">
      <c r="A23748" s="39"/>
      <c r="E23748" s="40" t="s">
        <v>11404</v>
      </c>
      <c r="F23748" s="40" t="s">
        <v>11404</v>
      </c>
      <c r="G23748" s="40" t="s">
        <v>11404</v>
      </c>
      <c r="H23748" s="40" t="s">
        <v>11404</v>
      </c>
    </row>
    <row r="23749">
      <c r="A23749" s="39"/>
      <c r="E23749" s="40" t="s">
        <v>11404</v>
      </c>
      <c r="F23749" s="40" t="s">
        <v>11404</v>
      </c>
      <c r="G23749" s="40" t="s">
        <v>11404</v>
      </c>
      <c r="H23749" s="40" t="s">
        <v>11404</v>
      </c>
    </row>
    <row r="23750">
      <c r="A23750" s="39"/>
      <c r="E23750" s="40" t="s">
        <v>11404</v>
      </c>
      <c r="F23750" s="40" t="s">
        <v>11404</v>
      </c>
      <c r="G23750" s="40" t="s">
        <v>11404</v>
      </c>
      <c r="H23750" s="40" t="s">
        <v>11404</v>
      </c>
    </row>
    <row r="23751">
      <c r="A23751" s="39"/>
      <c r="E23751" s="40" t="s">
        <v>11404</v>
      </c>
      <c r="F23751" s="40" t="s">
        <v>11404</v>
      </c>
      <c r="G23751" s="40" t="s">
        <v>11404</v>
      </c>
      <c r="H23751" s="40" t="s">
        <v>11404</v>
      </c>
    </row>
    <row r="23752">
      <c r="A23752" s="39"/>
      <c r="E23752" s="40" t="s">
        <v>11404</v>
      </c>
      <c r="F23752" s="40" t="s">
        <v>11404</v>
      </c>
      <c r="G23752" s="40" t="s">
        <v>11404</v>
      </c>
      <c r="H23752" s="40" t="s">
        <v>11404</v>
      </c>
    </row>
    <row r="23753">
      <c r="A23753" s="39"/>
      <c r="E23753" s="40" t="s">
        <v>11404</v>
      </c>
      <c r="F23753" s="40" t="s">
        <v>11404</v>
      </c>
      <c r="G23753" s="40" t="s">
        <v>11404</v>
      </c>
      <c r="H23753" s="40" t="s">
        <v>11404</v>
      </c>
    </row>
    <row r="23754">
      <c r="A23754" s="39"/>
      <c r="E23754" s="40" t="s">
        <v>11404</v>
      </c>
      <c r="F23754" s="40" t="s">
        <v>11404</v>
      </c>
      <c r="G23754" s="40" t="s">
        <v>11404</v>
      </c>
      <c r="H23754" s="40" t="s">
        <v>11404</v>
      </c>
    </row>
    <row r="23755">
      <c r="A23755" s="39"/>
      <c r="E23755" s="40" t="s">
        <v>11404</v>
      </c>
      <c r="F23755" s="40" t="s">
        <v>11404</v>
      </c>
      <c r="G23755" s="40" t="s">
        <v>11404</v>
      </c>
      <c r="H23755" s="40" t="s">
        <v>11404</v>
      </c>
    </row>
    <row r="23756">
      <c r="A23756" s="39"/>
      <c r="E23756" s="40" t="s">
        <v>11404</v>
      </c>
      <c r="F23756" s="40" t="s">
        <v>11404</v>
      </c>
      <c r="G23756" s="40" t="s">
        <v>11404</v>
      </c>
      <c r="H23756" s="40" t="s">
        <v>11404</v>
      </c>
    </row>
    <row r="23757">
      <c r="A23757" s="39"/>
      <c r="E23757" s="40" t="s">
        <v>11404</v>
      </c>
      <c r="F23757" s="40" t="s">
        <v>11404</v>
      </c>
      <c r="G23757" s="40" t="s">
        <v>11404</v>
      </c>
      <c r="H23757" s="40" t="s">
        <v>11404</v>
      </c>
    </row>
    <row r="23758">
      <c r="A23758" s="39"/>
      <c r="E23758" s="40" t="s">
        <v>11404</v>
      </c>
      <c r="F23758" s="40" t="s">
        <v>11404</v>
      </c>
      <c r="G23758" s="40" t="s">
        <v>11404</v>
      </c>
      <c r="H23758" s="40" t="s">
        <v>11404</v>
      </c>
    </row>
    <row r="23759">
      <c r="A23759" s="39"/>
      <c r="E23759" s="40" t="s">
        <v>11404</v>
      </c>
      <c r="F23759" s="40" t="s">
        <v>11404</v>
      </c>
      <c r="G23759" s="40" t="s">
        <v>11404</v>
      </c>
      <c r="H23759" s="40" t="s">
        <v>11404</v>
      </c>
    </row>
    <row r="23760">
      <c r="A23760" s="39"/>
      <c r="E23760" s="40" t="s">
        <v>11404</v>
      </c>
      <c r="F23760" s="40" t="s">
        <v>11404</v>
      </c>
      <c r="G23760" s="40" t="s">
        <v>11404</v>
      </c>
      <c r="H23760" s="40" t="s">
        <v>11404</v>
      </c>
    </row>
    <row r="23761">
      <c r="A23761" s="39"/>
      <c r="E23761" s="40" t="s">
        <v>11404</v>
      </c>
      <c r="F23761" s="40" t="s">
        <v>11404</v>
      </c>
      <c r="G23761" s="40" t="s">
        <v>11404</v>
      </c>
      <c r="H23761" s="40" t="s">
        <v>11404</v>
      </c>
    </row>
    <row r="23762">
      <c r="A23762" s="39"/>
      <c r="E23762" s="40" t="s">
        <v>11404</v>
      </c>
      <c r="F23762" s="40" t="s">
        <v>11404</v>
      </c>
      <c r="G23762" s="40" t="s">
        <v>11404</v>
      </c>
      <c r="H23762" s="40" t="s">
        <v>11404</v>
      </c>
    </row>
    <row r="23763">
      <c r="A23763" s="39"/>
      <c r="E23763" s="40" t="s">
        <v>11404</v>
      </c>
      <c r="F23763" s="40" t="s">
        <v>11404</v>
      </c>
      <c r="G23763" s="40" t="s">
        <v>11404</v>
      </c>
      <c r="H23763" s="40" t="s">
        <v>11404</v>
      </c>
    </row>
    <row r="23764">
      <c r="A23764" s="39"/>
      <c r="E23764" s="40" t="s">
        <v>11404</v>
      </c>
      <c r="F23764" s="40" t="s">
        <v>11404</v>
      </c>
      <c r="G23764" s="40" t="s">
        <v>11404</v>
      </c>
      <c r="H23764" s="40" t="s">
        <v>11404</v>
      </c>
    </row>
    <row r="23765">
      <c r="A23765" s="39"/>
      <c r="E23765" s="40" t="s">
        <v>11404</v>
      </c>
      <c r="F23765" s="40" t="s">
        <v>11404</v>
      </c>
      <c r="G23765" s="40" t="s">
        <v>11404</v>
      </c>
      <c r="H23765" s="40" t="s">
        <v>11404</v>
      </c>
    </row>
    <row r="23766">
      <c r="A23766" s="39"/>
      <c r="E23766" s="40" t="s">
        <v>11404</v>
      </c>
      <c r="F23766" s="40" t="s">
        <v>11404</v>
      </c>
      <c r="G23766" s="40" t="s">
        <v>11404</v>
      </c>
      <c r="H23766" s="40" t="s">
        <v>11404</v>
      </c>
    </row>
    <row r="23767">
      <c r="A23767" s="39"/>
      <c r="E23767" s="40" t="s">
        <v>11404</v>
      </c>
      <c r="F23767" s="40" t="s">
        <v>11404</v>
      </c>
      <c r="G23767" s="40" t="s">
        <v>11404</v>
      </c>
      <c r="H23767" s="40" t="s">
        <v>11404</v>
      </c>
    </row>
    <row r="23768">
      <c r="A23768" s="39"/>
      <c r="E23768" s="40" t="s">
        <v>11404</v>
      </c>
      <c r="F23768" s="40" t="s">
        <v>11404</v>
      </c>
      <c r="G23768" s="40" t="s">
        <v>11404</v>
      </c>
      <c r="H23768" s="40" t="s">
        <v>11404</v>
      </c>
    </row>
    <row r="23769">
      <c r="A23769" s="39"/>
      <c r="E23769" s="40" t="s">
        <v>11404</v>
      </c>
      <c r="F23769" s="40" t="s">
        <v>11404</v>
      </c>
      <c r="G23769" s="40" t="s">
        <v>11404</v>
      </c>
      <c r="H23769" s="40" t="s">
        <v>11404</v>
      </c>
    </row>
    <row r="23770">
      <c r="A23770" s="39"/>
      <c r="E23770" s="40" t="s">
        <v>11404</v>
      </c>
      <c r="F23770" s="40" t="s">
        <v>11404</v>
      </c>
      <c r="G23770" s="40" t="s">
        <v>11404</v>
      </c>
      <c r="H23770" s="40" t="s">
        <v>11404</v>
      </c>
    </row>
    <row r="23771">
      <c r="A23771" s="39"/>
      <c r="E23771" s="40" t="s">
        <v>11404</v>
      </c>
      <c r="F23771" s="40" t="s">
        <v>11404</v>
      </c>
      <c r="G23771" s="40" t="s">
        <v>11404</v>
      </c>
      <c r="H23771" s="40" t="s">
        <v>11404</v>
      </c>
    </row>
    <row r="23772">
      <c r="A23772" s="39"/>
      <c r="E23772" s="40" t="s">
        <v>11404</v>
      </c>
      <c r="F23772" s="40" t="s">
        <v>11404</v>
      </c>
      <c r="G23772" s="40" t="s">
        <v>11404</v>
      </c>
      <c r="H23772" s="40" t="s">
        <v>11404</v>
      </c>
    </row>
    <row r="23773">
      <c r="A23773" s="39"/>
      <c r="E23773" s="40" t="s">
        <v>11404</v>
      </c>
      <c r="F23773" s="40" t="s">
        <v>11404</v>
      </c>
      <c r="G23773" s="40" t="s">
        <v>11404</v>
      </c>
      <c r="H23773" s="40" t="s">
        <v>11404</v>
      </c>
    </row>
    <row r="23774">
      <c r="A23774" s="39"/>
      <c r="E23774" s="40" t="s">
        <v>11404</v>
      </c>
      <c r="F23774" s="40" t="s">
        <v>11404</v>
      </c>
      <c r="G23774" s="40" t="s">
        <v>11404</v>
      </c>
      <c r="H23774" s="40" t="s">
        <v>11404</v>
      </c>
    </row>
    <row r="23775">
      <c r="A23775" s="39"/>
      <c r="E23775" s="40" t="s">
        <v>11404</v>
      </c>
      <c r="F23775" s="40" t="s">
        <v>11404</v>
      </c>
      <c r="G23775" s="40" t="s">
        <v>11404</v>
      </c>
      <c r="H23775" s="40" t="s">
        <v>11404</v>
      </c>
    </row>
    <row r="23776">
      <c r="A23776" s="39"/>
      <c r="E23776" s="40" t="s">
        <v>11404</v>
      </c>
      <c r="F23776" s="40" t="s">
        <v>11404</v>
      </c>
      <c r="G23776" s="40" t="s">
        <v>11404</v>
      </c>
      <c r="H23776" s="40" t="s">
        <v>11404</v>
      </c>
    </row>
    <row r="23777">
      <c r="A23777" s="39"/>
      <c r="E23777" s="40" t="s">
        <v>11404</v>
      </c>
      <c r="F23777" s="40" t="s">
        <v>11404</v>
      </c>
      <c r="G23777" s="40" t="s">
        <v>11404</v>
      </c>
      <c r="H23777" s="40" t="s">
        <v>11404</v>
      </c>
    </row>
    <row r="23778">
      <c r="A23778" s="39"/>
      <c r="E23778" s="40" t="s">
        <v>11404</v>
      </c>
      <c r="F23778" s="40" t="s">
        <v>11404</v>
      </c>
      <c r="G23778" s="40" t="s">
        <v>11404</v>
      </c>
      <c r="H23778" s="40" t="s">
        <v>11404</v>
      </c>
    </row>
    <row r="23779">
      <c r="A23779" s="39"/>
      <c r="E23779" s="40" t="s">
        <v>11404</v>
      </c>
      <c r="F23779" s="40" t="s">
        <v>11404</v>
      </c>
      <c r="G23779" s="40" t="s">
        <v>11404</v>
      </c>
      <c r="H23779" s="40" t="s">
        <v>11404</v>
      </c>
    </row>
    <row r="23780">
      <c r="A23780" s="39"/>
      <c r="E23780" s="40" t="s">
        <v>11404</v>
      </c>
      <c r="F23780" s="40" t="s">
        <v>11404</v>
      </c>
      <c r="G23780" s="40" t="s">
        <v>11404</v>
      </c>
      <c r="H23780" s="40" t="s">
        <v>11404</v>
      </c>
    </row>
    <row r="23781">
      <c r="A23781" s="39"/>
      <c r="E23781" s="40" t="s">
        <v>11404</v>
      </c>
      <c r="F23781" s="40" t="s">
        <v>11404</v>
      </c>
      <c r="G23781" s="40" t="s">
        <v>11404</v>
      </c>
      <c r="H23781" s="40" t="s">
        <v>11404</v>
      </c>
    </row>
    <row r="23782">
      <c r="A23782" s="39"/>
      <c r="E23782" s="40" t="s">
        <v>11404</v>
      </c>
      <c r="F23782" s="40" t="s">
        <v>11404</v>
      </c>
      <c r="G23782" s="40" t="s">
        <v>11404</v>
      </c>
      <c r="H23782" s="40" t="s">
        <v>11404</v>
      </c>
    </row>
    <row r="23783">
      <c r="A23783" s="39"/>
      <c r="E23783" s="40" t="s">
        <v>11404</v>
      </c>
      <c r="F23783" s="40" t="s">
        <v>11404</v>
      </c>
      <c r="G23783" s="40" t="s">
        <v>11404</v>
      </c>
      <c r="H23783" s="40" t="s">
        <v>11404</v>
      </c>
    </row>
    <row r="23784">
      <c r="A23784" s="39"/>
      <c r="E23784" s="40" t="s">
        <v>11404</v>
      </c>
      <c r="F23784" s="40" t="s">
        <v>11404</v>
      </c>
      <c r="G23784" s="40" t="s">
        <v>11404</v>
      </c>
      <c r="H23784" s="40" t="s">
        <v>11404</v>
      </c>
    </row>
    <row r="23785">
      <c r="A23785" s="39"/>
      <c r="E23785" s="40" t="s">
        <v>11404</v>
      </c>
      <c r="F23785" s="40" t="s">
        <v>11404</v>
      </c>
      <c r="G23785" s="40" t="s">
        <v>11404</v>
      </c>
      <c r="H23785" s="40" t="s">
        <v>11404</v>
      </c>
    </row>
    <row r="23786">
      <c r="A23786" s="39"/>
      <c r="E23786" s="40" t="s">
        <v>11404</v>
      </c>
      <c r="F23786" s="40" t="s">
        <v>11404</v>
      </c>
      <c r="G23786" s="40" t="s">
        <v>11404</v>
      </c>
      <c r="H23786" s="40" t="s">
        <v>11404</v>
      </c>
    </row>
    <row r="23787">
      <c r="A23787" s="39"/>
      <c r="E23787" s="40" t="s">
        <v>11404</v>
      </c>
      <c r="F23787" s="40" t="s">
        <v>11404</v>
      </c>
      <c r="G23787" s="40" t="s">
        <v>11404</v>
      </c>
      <c r="H23787" s="40" t="s">
        <v>11404</v>
      </c>
    </row>
    <row r="23788">
      <c r="A23788" s="39"/>
      <c r="E23788" s="40" t="s">
        <v>11404</v>
      </c>
      <c r="F23788" s="40" t="s">
        <v>11404</v>
      </c>
      <c r="G23788" s="40" t="s">
        <v>11404</v>
      </c>
      <c r="H23788" s="40" t="s">
        <v>11404</v>
      </c>
    </row>
    <row r="23789">
      <c r="A23789" s="39"/>
      <c r="E23789" s="40" t="s">
        <v>11404</v>
      </c>
      <c r="F23789" s="40" t="s">
        <v>11404</v>
      </c>
      <c r="G23789" s="40" t="s">
        <v>11404</v>
      </c>
      <c r="H23789" s="40" t="s">
        <v>11404</v>
      </c>
    </row>
    <row r="23790">
      <c r="A23790" s="39"/>
      <c r="E23790" s="40" t="s">
        <v>11404</v>
      </c>
      <c r="F23790" s="40" t="s">
        <v>11404</v>
      </c>
      <c r="G23790" s="40" t="s">
        <v>11404</v>
      </c>
      <c r="H23790" s="40" t="s">
        <v>11404</v>
      </c>
    </row>
    <row r="23791">
      <c r="A23791" s="39"/>
      <c r="E23791" s="40" t="s">
        <v>11404</v>
      </c>
      <c r="F23791" s="40" t="s">
        <v>11404</v>
      </c>
      <c r="G23791" s="40" t="s">
        <v>11404</v>
      </c>
      <c r="H23791" s="40" t="s">
        <v>11404</v>
      </c>
    </row>
    <row r="23792">
      <c r="A23792" s="39"/>
      <c r="E23792" s="40" t="s">
        <v>11404</v>
      </c>
      <c r="F23792" s="40" t="s">
        <v>11404</v>
      </c>
      <c r="G23792" s="40" t="s">
        <v>11404</v>
      </c>
      <c r="H23792" s="40" t="s">
        <v>11404</v>
      </c>
    </row>
    <row r="23793">
      <c r="A23793" s="39"/>
      <c r="E23793" s="40" t="s">
        <v>11404</v>
      </c>
      <c r="F23793" s="40" t="s">
        <v>11404</v>
      </c>
      <c r="G23793" s="40" t="s">
        <v>11404</v>
      </c>
      <c r="H23793" s="40" t="s">
        <v>11404</v>
      </c>
    </row>
    <row r="23794">
      <c r="A23794" s="39"/>
      <c r="E23794" s="40" t="s">
        <v>11404</v>
      </c>
      <c r="F23794" s="40" t="s">
        <v>11404</v>
      </c>
      <c r="G23794" s="40" t="s">
        <v>11404</v>
      </c>
      <c r="H23794" s="40" t="s">
        <v>11404</v>
      </c>
    </row>
    <row r="23795">
      <c r="A23795" s="39"/>
      <c r="E23795" s="40" t="s">
        <v>11404</v>
      </c>
      <c r="F23795" s="40" t="s">
        <v>11404</v>
      </c>
      <c r="G23795" s="40" t="s">
        <v>11404</v>
      </c>
      <c r="H23795" s="40" t="s">
        <v>11404</v>
      </c>
    </row>
    <row r="23796">
      <c r="A23796" s="39"/>
      <c r="E23796" s="40" t="s">
        <v>11404</v>
      </c>
      <c r="F23796" s="40" t="s">
        <v>11404</v>
      </c>
      <c r="G23796" s="40" t="s">
        <v>11404</v>
      </c>
      <c r="H23796" s="40" t="s">
        <v>11404</v>
      </c>
    </row>
    <row r="23797">
      <c r="A23797" s="39"/>
      <c r="E23797" s="40" t="s">
        <v>11404</v>
      </c>
      <c r="F23797" s="40" t="s">
        <v>11404</v>
      </c>
      <c r="G23797" s="40" t="s">
        <v>11404</v>
      </c>
      <c r="H23797" s="40" t="s">
        <v>11404</v>
      </c>
    </row>
    <row r="23798">
      <c r="A23798" s="39"/>
      <c r="E23798" s="40" t="s">
        <v>11404</v>
      </c>
      <c r="F23798" s="40" t="s">
        <v>11404</v>
      </c>
      <c r="G23798" s="40" t="s">
        <v>11404</v>
      </c>
      <c r="H23798" s="40" t="s">
        <v>11404</v>
      </c>
    </row>
    <row r="23799">
      <c r="A23799" s="39"/>
      <c r="E23799" s="40" t="s">
        <v>11404</v>
      </c>
      <c r="F23799" s="40" t="s">
        <v>11404</v>
      </c>
      <c r="G23799" s="40" t="s">
        <v>11404</v>
      </c>
      <c r="H23799" s="40" t="s">
        <v>11404</v>
      </c>
    </row>
    <row r="23800">
      <c r="A23800" s="39"/>
      <c r="E23800" s="40" t="s">
        <v>11404</v>
      </c>
      <c r="F23800" s="40" t="s">
        <v>11404</v>
      </c>
      <c r="G23800" s="40" t="s">
        <v>11404</v>
      </c>
      <c r="H23800" s="40" t="s">
        <v>11404</v>
      </c>
    </row>
    <row r="23801">
      <c r="A23801" s="39"/>
      <c r="E23801" s="40" t="s">
        <v>11404</v>
      </c>
      <c r="F23801" s="40" t="s">
        <v>11404</v>
      </c>
      <c r="G23801" s="40" t="s">
        <v>11404</v>
      </c>
      <c r="H23801" s="40" t="s">
        <v>11404</v>
      </c>
    </row>
    <row r="23802">
      <c r="A23802" s="39"/>
      <c r="E23802" s="40" t="s">
        <v>11404</v>
      </c>
      <c r="F23802" s="40" t="s">
        <v>11404</v>
      </c>
      <c r="G23802" s="40" t="s">
        <v>11404</v>
      </c>
      <c r="H23802" s="40" t="s">
        <v>11404</v>
      </c>
    </row>
    <row r="23803">
      <c r="A23803" s="39"/>
      <c r="E23803" s="40" t="s">
        <v>11404</v>
      </c>
      <c r="F23803" s="40" t="s">
        <v>11404</v>
      </c>
      <c r="G23803" s="40" t="s">
        <v>11404</v>
      </c>
      <c r="H23803" s="40" t="s">
        <v>11404</v>
      </c>
    </row>
    <row r="23804">
      <c r="A23804" s="39"/>
      <c r="E23804" s="40" t="s">
        <v>11404</v>
      </c>
      <c r="F23804" s="40" t="s">
        <v>11404</v>
      </c>
      <c r="G23804" s="40" t="s">
        <v>11404</v>
      </c>
      <c r="H23804" s="40" t="s">
        <v>11404</v>
      </c>
    </row>
    <row r="23805">
      <c r="A23805" s="39"/>
      <c r="E23805" s="40" t="s">
        <v>11404</v>
      </c>
      <c r="F23805" s="40" t="s">
        <v>11404</v>
      </c>
      <c r="G23805" s="40" t="s">
        <v>11404</v>
      </c>
      <c r="H23805" s="40" t="s">
        <v>11404</v>
      </c>
    </row>
    <row r="23806">
      <c r="A23806" s="39"/>
      <c r="E23806" s="40" t="s">
        <v>11404</v>
      </c>
      <c r="F23806" s="40" t="s">
        <v>11404</v>
      </c>
      <c r="G23806" s="40" t="s">
        <v>11404</v>
      </c>
      <c r="H23806" s="40" t="s">
        <v>11404</v>
      </c>
    </row>
    <row r="23807">
      <c r="A23807" s="39"/>
      <c r="E23807" s="40" t="s">
        <v>11404</v>
      </c>
      <c r="F23807" s="40" t="s">
        <v>11404</v>
      </c>
      <c r="G23807" s="40" t="s">
        <v>11404</v>
      </c>
      <c r="H23807" s="40" t="s">
        <v>11404</v>
      </c>
    </row>
    <row r="23808">
      <c r="A23808" s="39"/>
      <c r="E23808" s="40" t="s">
        <v>11404</v>
      </c>
      <c r="F23808" s="40" t="s">
        <v>11404</v>
      </c>
      <c r="G23808" s="40" t="s">
        <v>11404</v>
      </c>
      <c r="H23808" s="40" t="s">
        <v>11404</v>
      </c>
    </row>
    <row r="23809">
      <c r="A23809" s="39"/>
      <c r="E23809" s="40" t="s">
        <v>11404</v>
      </c>
      <c r="F23809" s="40" t="s">
        <v>11404</v>
      </c>
      <c r="G23809" s="40" t="s">
        <v>11404</v>
      </c>
      <c r="H23809" s="40" t="s">
        <v>11404</v>
      </c>
    </row>
    <row r="23810">
      <c r="A23810" s="39"/>
      <c r="E23810" s="40" t="s">
        <v>11404</v>
      </c>
      <c r="F23810" s="40" t="s">
        <v>11404</v>
      </c>
      <c r="G23810" s="40" t="s">
        <v>11404</v>
      </c>
      <c r="H23810" s="40" t="s">
        <v>11404</v>
      </c>
    </row>
    <row r="23811">
      <c r="A23811" s="39"/>
      <c r="E23811" s="40" t="s">
        <v>11404</v>
      </c>
      <c r="F23811" s="40" t="s">
        <v>11404</v>
      </c>
      <c r="G23811" s="40" t="s">
        <v>11404</v>
      </c>
      <c r="H23811" s="40" t="s">
        <v>11404</v>
      </c>
    </row>
    <row r="23812">
      <c r="A23812" s="39"/>
      <c r="E23812" s="40" t="s">
        <v>11404</v>
      </c>
      <c r="F23812" s="40" t="s">
        <v>11404</v>
      </c>
      <c r="G23812" s="40" t="s">
        <v>11404</v>
      </c>
      <c r="H23812" s="40" t="s">
        <v>11404</v>
      </c>
    </row>
    <row r="23813">
      <c r="A23813" s="39"/>
      <c r="E23813" s="40" t="s">
        <v>11404</v>
      </c>
      <c r="F23813" s="40" t="s">
        <v>11404</v>
      </c>
      <c r="G23813" s="40" t="s">
        <v>11404</v>
      </c>
      <c r="H23813" s="40" t="s">
        <v>11404</v>
      </c>
    </row>
    <row r="23814">
      <c r="A23814" s="39"/>
      <c r="E23814" s="40" t="s">
        <v>11404</v>
      </c>
      <c r="F23814" s="40" t="s">
        <v>11404</v>
      </c>
      <c r="G23814" s="40" t="s">
        <v>11404</v>
      </c>
      <c r="H23814" s="40" t="s">
        <v>11404</v>
      </c>
    </row>
    <row r="23815">
      <c r="A23815" s="39"/>
      <c r="E23815" s="40" t="s">
        <v>11404</v>
      </c>
      <c r="F23815" s="40" t="s">
        <v>11404</v>
      </c>
      <c r="G23815" s="40" t="s">
        <v>11404</v>
      </c>
      <c r="H23815" s="40" t="s">
        <v>11404</v>
      </c>
    </row>
    <row r="23816">
      <c r="A23816" s="39"/>
      <c r="E23816" s="40" t="s">
        <v>11404</v>
      </c>
      <c r="F23816" s="40" t="s">
        <v>11404</v>
      </c>
      <c r="G23816" s="40" t="s">
        <v>11404</v>
      </c>
      <c r="H23816" s="40" t="s">
        <v>11404</v>
      </c>
    </row>
    <row r="23817">
      <c r="A23817" s="39"/>
      <c r="E23817" s="40" t="s">
        <v>11404</v>
      </c>
      <c r="F23817" s="40" t="s">
        <v>11404</v>
      </c>
      <c r="G23817" s="40" t="s">
        <v>11404</v>
      </c>
      <c r="H23817" s="40" t="s">
        <v>11404</v>
      </c>
    </row>
    <row r="23818">
      <c r="A23818" s="39"/>
      <c r="E23818" s="40" t="s">
        <v>11404</v>
      </c>
      <c r="F23818" s="40" t="s">
        <v>11404</v>
      </c>
      <c r="G23818" s="40" t="s">
        <v>11404</v>
      </c>
      <c r="H23818" s="40" t="s">
        <v>11404</v>
      </c>
    </row>
    <row r="23819">
      <c r="A23819" s="39"/>
      <c r="E23819" s="40" t="s">
        <v>11404</v>
      </c>
      <c r="F23819" s="40" t="s">
        <v>11404</v>
      </c>
      <c r="G23819" s="40" t="s">
        <v>11404</v>
      </c>
      <c r="H23819" s="40" t="s">
        <v>11404</v>
      </c>
    </row>
    <row r="23820">
      <c r="A23820" s="39"/>
      <c r="E23820" s="40" t="s">
        <v>11404</v>
      </c>
      <c r="F23820" s="40" t="s">
        <v>11404</v>
      </c>
      <c r="G23820" s="40" t="s">
        <v>11404</v>
      </c>
      <c r="H23820" s="40" t="s">
        <v>11404</v>
      </c>
    </row>
    <row r="23821">
      <c r="A23821" s="39"/>
      <c r="E23821" s="40" t="s">
        <v>11404</v>
      </c>
      <c r="F23821" s="40" t="s">
        <v>11404</v>
      </c>
      <c r="G23821" s="40" t="s">
        <v>11404</v>
      </c>
      <c r="H23821" s="40" t="s">
        <v>11404</v>
      </c>
    </row>
    <row r="23822">
      <c r="A23822" s="39"/>
      <c r="E23822" s="40" t="s">
        <v>11404</v>
      </c>
      <c r="F23822" s="40" t="s">
        <v>11404</v>
      </c>
      <c r="G23822" s="40" t="s">
        <v>11404</v>
      </c>
      <c r="H23822" s="40" t="s">
        <v>11404</v>
      </c>
    </row>
    <row r="23823">
      <c r="A23823" s="39"/>
      <c r="E23823" s="40" t="s">
        <v>11404</v>
      </c>
      <c r="F23823" s="40" t="s">
        <v>11404</v>
      </c>
      <c r="G23823" s="40" t="s">
        <v>11404</v>
      </c>
      <c r="H23823" s="40" t="s">
        <v>11404</v>
      </c>
    </row>
    <row r="23824">
      <c r="A23824" s="39"/>
      <c r="E23824" s="40" t="s">
        <v>11404</v>
      </c>
      <c r="F23824" s="40" t="s">
        <v>11404</v>
      </c>
      <c r="G23824" s="40" t="s">
        <v>11404</v>
      </c>
      <c r="H23824" s="40" t="s">
        <v>11404</v>
      </c>
    </row>
    <row r="23825">
      <c r="A23825" s="39"/>
      <c r="E23825" s="40" t="s">
        <v>11404</v>
      </c>
      <c r="F23825" s="40" t="s">
        <v>11404</v>
      </c>
      <c r="G23825" s="40" t="s">
        <v>11404</v>
      </c>
      <c r="H23825" s="40" t="s">
        <v>11404</v>
      </c>
    </row>
    <row r="23826">
      <c r="A23826" s="39"/>
      <c r="E23826" s="40" t="s">
        <v>11404</v>
      </c>
      <c r="F23826" s="40" t="s">
        <v>11404</v>
      </c>
      <c r="G23826" s="40" t="s">
        <v>11404</v>
      </c>
      <c r="H23826" s="40" t="s">
        <v>11404</v>
      </c>
    </row>
    <row r="23827">
      <c r="A23827" s="39"/>
      <c r="E23827" s="40" t="s">
        <v>11404</v>
      </c>
      <c r="F23827" s="40" t="s">
        <v>11404</v>
      </c>
      <c r="G23827" s="40" t="s">
        <v>11404</v>
      </c>
      <c r="H23827" s="40" t="s">
        <v>11404</v>
      </c>
    </row>
    <row r="23828">
      <c r="A23828" s="39"/>
      <c r="E23828" s="40" t="s">
        <v>11404</v>
      </c>
      <c r="F23828" s="40" t="s">
        <v>11404</v>
      </c>
      <c r="G23828" s="40" t="s">
        <v>11404</v>
      </c>
      <c r="H23828" s="40" t="s">
        <v>11404</v>
      </c>
    </row>
    <row r="23829">
      <c r="A23829" s="39"/>
      <c r="E23829" s="40" t="s">
        <v>11404</v>
      </c>
      <c r="F23829" s="40" t="s">
        <v>11404</v>
      </c>
      <c r="G23829" s="40" t="s">
        <v>11404</v>
      </c>
      <c r="H23829" s="40" t="s">
        <v>11404</v>
      </c>
    </row>
    <row r="23830">
      <c r="A23830" s="39"/>
      <c r="E23830" s="40" t="s">
        <v>11404</v>
      </c>
      <c r="F23830" s="40" t="s">
        <v>11404</v>
      </c>
      <c r="G23830" s="40" t="s">
        <v>11404</v>
      </c>
      <c r="H23830" s="40" t="s">
        <v>11404</v>
      </c>
    </row>
    <row r="23831">
      <c r="A23831" s="39"/>
      <c r="E23831" s="40" t="s">
        <v>11404</v>
      </c>
      <c r="F23831" s="40" t="s">
        <v>11404</v>
      </c>
      <c r="G23831" s="40" t="s">
        <v>11404</v>
      </c>
      <c r="H23831" s="40" t="s">
        <v>11404</v>
      </c>
    </row>
    <row r="23832">
      <c r="A23832" s="39"/>
      <c r="E23832" s="40" t="s">
        <v>11404</v>
      </c>
      <c r="F23832" s="40" t="s">
        <v>11404</v>
      </c>
      <c r="G23832" s="40" t="s">
        <v>11404</v>
      </c>
      <c r="H23832" s="40" t="s">
        <v>11404</v>
      </c>
    </row>
    <row r="23833">
      <c r="A23833" s="39"/>
      <c r="E23833" s="40" t="s">
        <v>11404</v>
      </c>
      <c r="F23833" s="40" t="s">
        <v>11404</v>
      </c>
      <c r="G23833" s="40" t="s">
        <v>11404</v>
      </c>
      <c r="H23833" s="40" t="s">
        <v>11404</v>
      </c>
    </row>
    <row r="23834">
      <c r="A23834" s="39"/>
      <c r="E23834" s="40" t="s">
        <v>11404</v>
      </c>
      <c r="F23834" s="40" t="s">
        <v>11404</v>
      </c>
      <c r="G23834" s="40" t="s">
        <v>11404</v>
      </c>
      <c r="H23834" s="40" t="s">
        <v>11404</v>
      </c>
    </row>
    <row r="23835">
      <c r="A23835" s="39"/>
      <c r="E23835" s="40" t="s">
        <v>11404</v>
      </c>
      <c r="F23835" s="40" t="s">
        <v>11404</v>
      </c>
      <c r="G23835" s="40" t="s">
        <v>11404</v>
      </c>
      <c r="H23835" s="40" t="s">
        <v>11404</v>
      </c>
    </row>
    <row r="23836">
      <c r="A23836" s="39"/>
      <c r="E23836" s="40" t="s">
        <v>11404</v>
      </c>
      <c r="F23836" s="40" t="s">
        <v>11404</v>
      </c>
      <c r="G23836" s="40" t="s">
        <v>11404</v>
      </c>
      <c r="H23836" s="40" t="s">
        <v>11404</v>
      </c>
    </row>
    <row r="23837">
      <c r="A23837" s="39"/>
      <c r="E23837" s="40" t="s">
        <v>11404</v>
      </c>
      <c r="F23837" s="40" t="s">
        <v>11404</v>
      </c>
      <c r="G23837" s="40" t="s">
        <v>11404</v>
      </c>
      <c r="H23837" s="40" t="s">
        <v>11404</v>
      </c>
    </row>
    <row r="23838">
      <c r="A23838" s="39"/>
      <c r="E23838" s="40" t="s">
        <v>11404</v>
      </c>
      <c r="F23838" s="40" t="s">
        <v>11404</v>
      </c>
      <c r="G23838" s="40" t="s">
        <v>11404</v>
      </c>
      <c r="H23838" s="40" t="s">
        <v>11404</v>
      </c>
    </row>
    <row r="23839">
      <c r="A23839" s="39"/>
      <c r="E23839" s="40" t="s">
        <v>11404</v>
      </c>
      <c r="F23839" s="40" t="s">
        <v>11404</v>
      </c>
      <c r="G23839" s="40" t="s">
        <v>11404</v>
      </c>
      <c r="H23839" s="40" t="s">
        <v>11404</v>
      </c>
    </row>
    <row r="23840">
      <c r="A23840" s="39"/>
      <c r="E23840" s="40" t="s">
        <v>11404</v>
      </c>
      <c r="F23840" s="40" t="s">
        <v>11404</v>
      </c>
      <c r="G23840" s="40" t="s">
        <v>11404</v>
      </c>
      <c r="H23840" s="40" t="s">
        <v>11404</v>
      </c>
    </row>
    <row r="23841">
      <c r="A23841" s="39"/>
      <c r="E23841" s="40" t="s">
        <v>11404</v>
      </c>
      <c r="F23841" s="40" t="s">
        <v>11404</v>
      </c>
      <c r="G23841" s="40" t="s">
        <v>11404</v>
      </c>
      <c r="H23841" s="40" t="s">
        <v>11404</v>
      </c>
    </row>
    <row r="23842">
      <c r="A23842" s="39"/>
      <c r="E23842" s="40" t="s">
        <v>11404</v>
      </c>
      <c r="F23842" s="40" t="s">
        <v>11404</v>
      </c>
      <c r="G23842" s="40" t="s">
        <v>11404</v>
      </c>
      <c r="H23842" s="40" t="s">
        <v>11404</v>
      </c>
    </row>
    <row r="23843">
      <c r="A23843" s="39"/>
      <c r="E23843" s="40" t="s">
        <v>11404</v>
      </c>
      <c r="F23843" s="40" t="s">
        <v>11404</v>
      </c>
      <c r="G23843" s="40" t="s">
        <v>11404</v>
      </c>
      <c r="H23843" s="40" t="s">
        <v>11404</v>
      </c>
    </row>
    <row r="23844">
      <c r="A23844" s="39"/>
      <c r="E23844" s="40" t="s">
        <v>11404</v>
      </c>
      <c r="F23844" s="40" t="s">
        <v>11404</v>
      </c>
      <c r="G23844" s="40" t="s">
        <v>11404</v>
      </c>
      <c r="H23844" s="40" t="s">
        <v>11404</v>
      </c>
    </row>
    <row r="23845">
      <c r="A23845" s="39"/>
      <c r="E23845" s="40" t="s">
        <v>11404</v>
      </c>
      <c r="F23845" s="40" t="s">
        <v>11404</v>
      </c>
      <c r="G23845" s="40" t="s">
        <v>11404</v>
      </c>
      <c r="H23845" s="40" t="s">
        <v>11404</v>
      </c>
    </row>
    <row r="23846">
      <c r="A23846" s="39"/>
      <c r="E23846" s="40" t="s">
        <v>11404</v>
      </c>
      <c r="F23846" s="40" t="s">
        <v>11404</v>
      </c>
      <c r="G23846" s="40" t="s">
        <v>11404</v>
      </c>
      <c r="H23846" s="40" t="s">
        <v>11404</v>
      </c>
    </row>
    <row r="23847">
      <c r="A23847" s="39"/>
      <c r="E23847" s="40" t="s">
        <v>11404</v>
      </c>
      <c r="F23847" s="40" t="s">
        <v>11404</v>
      </c>
      <c r="G23847" s="40" t="s">
        <v>11404</v>
      </c>
      <c r="H23847" s="40" t="s">
        <v>11404</v>
      </c>
    </row>
    <row r="23848">
      <c r="A23848" s="39"/>
      <c r="E23848" s="40" t="s">
        <v>11404</v>
      </c>
      <c r="F23848" s="40" t="s">
        <v>11404</v>
      </c>
      <c r="G23848" s="40" t="s">
        <v>11404</v>
      </c>
      <c r="H23848" s="40" t="s">
        <v>11404</v>
      </c>
    </row>
    <row r="23849">
      <c r="A23849" s="39"/>
      <c r="E23849" s="40" t="s">
        <v>11404</v>
      </c>
      <c r="F23849" s="40" t="s">
        <v>11404</v>
      </c>
      <c r="G23849" s="40" t="s">
        <v>11404</v>
      </c>
      <c r="H23849" s="40" t="s">
        <v>11404</v>
      </c>
    </row>
    <row r="23850">
      <c r="A23850" s="39"/>
      <c r="E23850" s="40" t="s">
        <v>11404</v>
      </c>
      <c r="F23850" s="40" t="s">
        <v>11404</v>
      </c>
      <c r="G23850" s="40" t="s">
        <v>11404</v>
      </c>
      <c r="H23850" s="40" t="s">
        <v>11404</v>
      </c>
    </row>
    <row r="23851">
      <c r="A23851" s="39"/>
      <c r="E23851" s="40" t="s">
        <v>11404</v>
      </c>
      <c r="F23851" s="40" t="s">
        <v>11404</v>
      </c>
      <c r="G23851" s="40" t="s">
        <v>11404</v>
      </c>
      <c r="H23851" s="40" t="s">
        <v>11404</v>
      </c>
    </row>
    <row r="23852">
      <c r="A23852" s="39"/>
      <c r="E23852" s="40" t="s">
        <v>11404</v>
      </c>
      <c r="F23852" s="40" t="s">
        <v>11404</v>
      </c>
      <c r="G23852" s="40" t="s">
        <v>11404</v>
      </c>
      <c r="H23852" s="40" t="s">
        <v>11404</v>
      </c>
    </row>
    <row r="23853">
      <c r="A23853" s="39"/>
      <c r="E23853" s="40" t="s">
        <v>11404</v>
      </c>
      <c r="F23853" s="40" t="s">
        <v>11404</v>
      </c>
      <c r="G23853" s="40" t="s">
        <v>11404</v>
      </c>
      <c r="H23853" s="40" t="s">
        <v>11404</v>
      </c>
    </row>
    <row r="23854">
      <c r="A23854" s="39"/>
      <c r="E23854" s="40" t="s">
        <v>11404</v>
      </c>
      <c r="F23854" s="40" t="s">
        <v>11404</v>
      </c>
      <c r="G23854" s="40" t="s">
        <v>11404</v>
      </c>
      <c r="H23854" s="40" t="s">
        <v>11404</v>
      </c>
    </row>
    <row r="23855">
      <c r="A23855" s="39"/>
      <c r="E23855" s="40" t="s">
        <v>11404</v>
      </c>
      <c r="F23855" s="40" t="s">
        <v>11404</v>
      </c>
      <c r="G23855" s="40" t="s">
        <v>11404</v>
      </c>
      <c r="H23855" s="40" t="s">
        <v>11404</v>
      </c>
    </row>
    <row r="23856">
      <c r="A23856" s="39"/>
      <c r="E23856" s="40" t="s">
        <v>11404</v>
      </c>
      <c r="F23856" s="40" t="s">
        <v>11404</v>
      </c>
      <c r="G23856" s="40" t="s">
        <v>11404</v>
      </c>
      <c r="H23856" s="40" t="s">
        <v>11404</v>
      </c>
    </row>
    <row r="23857">
      <c r="A23857" s="39"/>
      <c r="E23857" s="40" t="s">
        <v>11404</v>
      </c>
      <c r="F23857" s="40" t="s">
        <v>11404</v>
      </c>
      <c r="G23857" s="40" t="s">
        <v>11404</v>
      </c>
      <c r="H23857" s="40" t="s">
        <v>11404</v>
      </c>
    </row>
    <row r="23858">
      <c r="A23858" s="39"/>
      <c r="E23858" s="40" t="s">
        <v>11404</v>
      </c>
      <c r="F23858" s="40" t="s">
        <v>11404</v>
      </c>
      <c r="G23858" s="40" t="s">
        <v>11404</v>
      </c>
      <c r="H23858" s="40" t="s">
        <v>11404</v>
      </c>
    </row>
    <row r="23859">
      <c r="A23859" s="39"/>
      <c r="E23859" s="40" t="s">
        <v>11404</v>
      </c>
      <c r="F23859" s="40" t="s">
        <v>11404</v>
      </c>
      <c r="G23859" s="40" t="s">
        <v>11404</v>
      </c>
      <c r="H23859" s="40" t="s">
        <v>11404</v>
      </c>
    </row>
    <row r="23860">
      <c r="A23860" s="39"/>
      <c r="E23860" s="40" t="s">
        <v>11404</v>
      </c>
      <c r="F23860" s="40" t="s">
        <v>11404</v>
      </c>
      <c r="G23860" s="40" t="s">
        <v>11404</v>
      </c>
      <c r="H23860" s="40" t="s">
        <v>11404</v>
      </c>
    </row>
    <row r="23861">
      <c r="A23861" s="39"/>
      <c r="E23861" s="40" t="s">
        <v>11404</v>
      </c>
      <c r="F23861" s="40" t="s">
        <v>11404</v>
      </c>
      <c r="G23861" s="40" t="s">
        <v>11404</v>
      </c>
      <c r="H23861" s="40" t="s">
        <v>11404</v>
      </c>
    </row>
    <row r="23862">
      <c r="A23862" s="39"/>
      <c r="E23862" s="40" t="s">
        <v>11404</v>
      </c>
      <c r="F23862" s="40" t="s">
        <v>11404</v>
      </c>
      <c r="G23862" s="40" t="s">
        <v>11404</v>
      </c>
      <c r="H23862" s="40" t="s">
        <v>11404</v>
      </c>
    </row>
    <row r="23863">
      <c r="A23863" s="39"/>
      <c r="E23863" s="40" t="s">
        <v>11404</v>
      </c>
      <c r="F23863" s="40" t="s">
        <v>11404</v>
      </c>
      <c r="G23863" s="40" t="s">
        <v>11404</v>
      </c>
      <c r="H23863" s="40" t="s">
        <v>11404</v>
      </c>
    </row>
    <row r="23864">
      <c r="A23864" s="39"/>
      <c r="E23864" s="40" t="s">
        <v>11404</v>
      </c>
      <c r="F23864" s="40" t="s">
        <v>11404</v>
      </c>
      <c r="G23864" s="40" t="s">
        <v>11404</v>
      </c>
      <c r="H23864" s="40" t="s">
        <v>11404</v>
      </c>
    </row>
    <row r="23865">
      <c r="A23865" s="39"/>
      <c r="E23865" s="40" t="s">
        <v>11404</v>
      </c>
      <c r="F23865" s="40" t="s">
        <v>11404</v>
      </c>
      <c r="G23865" s="40" t="s">
        <v>11404</v>
      </c>
      <c r="H23865" s="40" t="s">
        <v>11404</v>
      </c>
    </row>
    <row r="23866">
      <c r="A23866" s="39"/>
      <c r="E23866" s="40" t="s">
        <v>11404</v>
      </c>
      <c r="F23866" s="40" t="s">
        <v>11404</v>
      </c>
      <c r="G23866" s="40" t="s">
        <v>11404</v>
      </c>
      <c r="H23866" s="40" t="s">
        <v>11404</v>
      </c>
    </row>
    <row r="23867">
      <c r="A23867" s="39"/>
      <c r="E23867" s="40" t="s">
        <v>11404</v>
      </c>
      <c r="F23867" s="40" t="s">
        <v>11404</v>
      </c>
      <c r="G23867" s="40" t="s">
        <v>11404</v>
      </c>
      <c r="H23867" s="40" t="s">
        <v>11404</v>
      </c>
    </row>
    <row r="23868">
      <c r="A23868" s="39"/>
      <c r="E23868" s="40" t="s">
        <v>11404</v>
      </c>
      <c r="F23868" s="40" t="s">
        <v>11404</v>
      </c>
      <c r="G23868" s="40" t="s">
        <v>11404</v>
      </c>
      <c r="H23868" s="40" t="s">
        <v>11404</v>
      </c>
    </row>
    <row r="23869">
      <c r="A23869" s="39"/>
      <c r="E23869" s="40" t="s">
        <v>11404</v>
      </c>
      <c r="F23869" s="40" t="s">
        <v>11404</v>
      </c>
      <c r="G23869" s="40" t="s">
        <v>11404</v>
      </c>
      <c r="H23869" s="40" t="s">
        <v>11404</v>
      </c>
    </row>
    <row r="23870">
      <c r="A23870" s="39"/>
      <c r="E23870" s="40" t="s">
        <v>11404</v>
      </c>
      <c r="F23870" s="40" t="s">
        <v>11404</v>
      </c>
      <c r="G23870" s="40" t="s">
        <v>11404</v>
      </c>
      <c r="H23870" s="40" t="s">
        <v>11404</v>
      </c>
    </row>
    <row r="23871">
      <c r="A23871" s="39"/>
      <c r="E23871" s="40" t="s">
        <v>11404</v>
      </c>
      <c r="F23871" s="40" t="s">
        <v>11404</v>
      </c>
      <c r="G23871" s="40" t="s">
        <v>11404</v>
      </c>
      <c r="H23871" s="40" t="s">
        <v>11404</v>
      </c>
    </row>
    <row r="23872">
      <c r="A23872" s="39"/>
      <c r="E23872" s="40" t="s">
        <v>11404</v>
      </c>
      <c r="F23872" s="40" t="s">
        <v>11404</v>
      </c>
      <c r="G23872" s="40" t="s">
        <v>11404</v>
      </c>
      <c r="H23872" s="40" t="s">
        <v>11404</v>
      </c>
    </row>
    <row r="23873">
      <c r="A23873" s="39"/>
      <c r="E23873" s="40" t="s">
        <v>11404</v>
      </c>
      <c r="F23873" s="40" t="s">
        <v>11404</v>
      </c>
      <c r="G23873" s="40" t="s">
        <v>11404</v>
      </c>
      <c r="H23873" s="40" t="s">
        <v>11404</v>
      </c>
    </row>
    <row r="23874">
      <c r="A23874" s="39"/>
      <c r="E23874" s="40" t="s">
        <v>11404</v>
      </c>
      <c r="F23874" s="40" t="s">
        <v>11404</v>
      </c>
      <c r="G23874" s="40" t="s">
        <v>11404</v>
      </c>
      <c r="H23874" s="40" t="s">
        <v>11404</v>
      </c>
    </row>
    <row r="23875">
      <c r="A23875" s="39"/>
      <c r="E23875" s="40" t="s">
        <v>11404</v>
      </c>
      <c r="F23875" s="40" t="s">
        <v>11404</v>
      </c>
      <c r="G23875" s="40" t="s">
        <v>11404</v>
      </c>
      <c r="H23875" s="40" t="s">
        <v>11404</v>
      </c>
    </row>
    <row r="23876">
      <c r="A23876" s="39"/>
      <c r="E23876" s="40" t="s">
        <v>11404</v>
      </c>
      <c r="F23876" s="40" t="s">
        <v>11404</v>
      </c>
      <c r="G23876" s="40" t="s">
        <v>11404</v>
      </c>
      <c r="H23876" s="40" t="s">
        <v>11404</v>
      </c>
    </row>
    <row r="23877">
      <c r="A23877" s="39"/>
      <c r="E23877" s="40" t="s">
        <v>11404</v>
      </c>
      <c r="F23877" s="40" t="s">
        <v>11404</v>
      </c>
      <c r="G23877" s="40" t="s">
        <v>11404</v>
      </c>
      <c r="H23877" s="40" t="s">
        <v>11404</v>
      </c>
    </row>
    <row r="23878">
      <c r="A23878" s="39"/>
      <c r="E23878" s="40" t="s">
        <v>11404</v>
      </c>
      <c r="F23878" s="40" t="s">
        <v>11404</v>
      </c>
      <c r="G23878" s="40" t="s">
        <v>11404</v>
      </c>
      <c r="H23878" s="40" t="s">
        <v>11404</v>
      </c>
    </row>
    <row r="23879">
      <c r="A23879" s="39"/>
      <c r="E23879" s="40" t="s">
        <v>11404</v>
      </c>
      <c r="F23879" s="40" t="s">
        <v>11404</v>
      </c>
      <c r="G23879" s="40" t="s">
        <v>11404</v>
      </c>
      <c r="H23879" s="40" t="s">
        <v>11404</v>
      </c>
    </row>
    <row r="23880">
      <c r="A23880" s="39"/>
      <c r="E23880" s="40" t="s">
        <v>11404</v>
      </c>
      <c r="F23880" s="40" t="s">
        <v>11404</v>
      </c>
      <c r="G23880" s="40" t="s">
        <v>11404</v>
      </c>
      <c r="H23880" s="40" t="s">
        <v>11404</v>
      </c>
    </row>
    <row r="23881">
      <c r="A23881" s="39"/>
      <c r="E23881" s="40" t="s">
        <v>11404</v>
      </c>
      <c r="F23881" s="40" t="s">
        <v>11404</v>
      </c>
      <c r="G23881" s="40" t="s">
        <v>11404</v>
      </c>
      <c r="H23881" s="40" t="s">
        <v>11404</v>
      </c>
    </row>
    <row r="23882">
      <c r="A23882" s="39"/>
      <c r="E23882" s="40" t="s">
        <v>11404</v>
      </c>
      <c r="F23882" s="40" t="s">
        <v>11404</v>
      </c>
      <c r="G23882" s="40" t="s">
        <v>11404</v>
      </c>
      <c r="H23882" s="40" t="s">
        <v>11404</v>
      </c>
    </row>
    <row r="23883">
      <c r="A23883" s="39"/>
      <c r="E23883" s="40" t="s">
        <v>11404</v>
      </c>
      <c r="F23883" s="40" t="s">
        <v>11404</v>
      </c>
      <c r="G23883" s="40" t="s">
        <v>11404</v>
      </c>
      <c r="H23883" s="40" t="s">
        <v>11404</v>
      </c>
    </row>
    <row r="23884">
      <c r="A23884" s="39"/>
      <c r="E23884" s="40" t="s">
        <v>11404</v>
      </c>
      <c r="F23884" s="40" t="s">
        <v>11404</v>
      </c>
      <c r="G23884" s="40" t="s">
        <v>11404</v>
      </c>
      <c r="H23884" s="40" t="s">
        <v>11404</v>
      </c>
    </row>
    <row r="23885">
      <c r="A23885" s="39"/>
      <c r="E23885" s="40" t="s">
        <v>11404</v>
      </c>
      <c r="F23885" s="40" t="s">
        <v>11404</v>
      </c>
      <c r="G23885" s="40" t="s">
        <v>11404</v>
      </c>
      <c r="H23885" s="40" t="s">
        <v>11404</v>
      </c>
    </row>
    <row r="23886">
      <c r="A23886" s="39"/>
      <c r="E23886" s="40" t="s">
        <v>11404</v>
      </c>
      <c r="F23886" s="40" t="s">
        <v>11404</v>
      </c>
      <c r="G23886" s="40" t="s">
        <v>11404</v>
      </c>
      <c r="H23886" s="40" t="s">
        <v>11404</v>
      </c>
    </row>
    <row r="23887">
      <c r="A23887" s="39"/>
      <c r="E23887" s="40" t="s">
        <v>11404</v>
      </c>
      <c r="F23887" s="40" t="s">
        <v>11404</v>
      </c>
      <c r="G23887" s="40" t="s">
        <v>11404</v>
      </c>
      <c r="H23887" s="40" t="s">
        <v>11404</v>
      </c>
    </row>
    <row r="23888">
      <c r="A23888" s="39"/>
      <c r="E23888" s="40" t="s">
        <v>11404</v>
      </c>
      <c r="F23888" s="40" t="s">
        <v>11404</v>
      </c>
      <c r="G23888" s="40" t="s">
        <v>11404</v>
      </c>
      <c r="H23888" s="40" t="s">
        <v>11404</v>
      </c>
    </row>
    <row r="23889">
      <c r="A23889" s="39"/>
      <c r="E23889" s="40" t="s">
        <v>11404</v>
      </c>
      <c r="F23889" s="40" t="s">
        <v>11404</v>
      </c>
      <c r="G23889" s="40" t="s">
        <v>11404</v>
      </c>
      <c r="H23889" s="40" t="s">
        <v>11404</v>
      </c>
    </row>
    <row r="23890">
      <c r="A23890" s="39"/>
      <c r="E23890" s="40" t="s">
        <v>11404</v>
      </c>
      <c r="F23890" s="40" t="s">
        <v>11404</v>
      </c>
      <c r="G23890" s="40" t="s">
        <v>11404</v>
      </c>
      <c r="H23890" s="40" t="s">
        <v>11404</v>
      </c>
    </row>
    <row r="23891">
      <c r="A23891" s="39"/>
      <c r="E23891" s="40" t="s">
        <v>11404</v>
      </c>
      <c r="F23891" s="40" t="s">
        <v>11404</v>
      </c>
      <c r="G23891" s="40" t="s">
        <v>11404</v>
      </c>
      <c r="H23891" s="40" t="s">
        <v>11404</v>
      </c>
    </row>
    <row r="23892">
      <c r="A23892" s="39"/>
      <c r="E23892" s="40" t="s">
        <v>11404</v>
      </c>
      <c r="F23892" s="40" t="s">
        <v>11404</v>
      </c>
      <c r="G23892" s="40" t="s">
        <v>11404</v>
      </c>
      <c r="H23892" s="40" t="s">
        <v>11404</v>
      </c>
    </row>
    <row r="23893">
      <c r="A23893" s="39"/>
      <c r="E23893" s="40" t="s">
        <v>11404</v>
      </c>
      <c r="F23893" s="40" t="s">
        <v>11404</v>
      </c>
      <c r="G23893" s="40" t="s">
        <v>11404</v>
      </c>
      <c r="H23893" s="40" t="s">
        <v>11404</v>
      </c>
    </row>
    <row r="23894">
      <c r="A23894" s="39"/>
      <c r="E23894" s="40" t="s">
        <v>11404</v>
      </c>
      <c r="F23894" s="40" t="s">
        <v>11404</v>
      </c>
      <c r="G23894" s="40" t="s">
        <v>11404</v>
      </c>
      <c r="H23894" s="40" t="s">
        <v>11404</v>
      </c>
    </row>
    <row r="23895">
      <c r="A23895" s="39"/>
      <c r="E23895" s="40" t="s">
        <v>11404</v>
      </c>
      <c r="F23895" s="40" t="s">
        <v>11404</v>
      </c>
      <c r="G23895" s="40" t="s">
        <v>11404</v>
      </c>
      <c r="H23895" s="40" t="s">
        <v>11404</v>
      </c>
    </row>
    <row r="23896">
      <c r="A23896" s="39"/>
      <c r="E23896" s="40" t="s">
        <v>11404</v>
      </c>
      <c r="F23896" s="40" t="s">
        <v>11404</v>
      </c>
      <c r="G23896" s="40" t="s">
        <v>11404</v>
      </c>
      <c r="H23896" s="40" t="s">
        <v>11404</v>
      </c>
    </row>
    <row r="23897">
      <c r="A23897" s="39"/>
      <c r="E23897" s="40" t="s">
        <v>11404</v>
      </c>
      <c r="F23897" s="40" t="s">
        <v>11404</v>
      </c>
      <c r="G23897" s="40" t="s">
        <v>11404</v>
      </c>
      <c r="H23897" s="40" t="s">
        <v>11404</v>
      </c>
    </row>
    <row r="23898">
      <c r="A23898" s="39"/>
      <c r="E23898" s="40" t="s">
        <v>11404</v>
      </c>
      <c r="F23898" s="40" t="s">
        <v>11404</v>
      </c>
      <c r="G23898" s="40" t="s">
        <v>11404</v>
      </c>
      <c r="H23898" s="40" t="s">
        <v>11404</v>
      </c>
    </row>
    <row r="23899">
      <c r="A23899" s="39"/>
      <c r="E23899" s="40" t="s">
        <v>11404</v>
      </c>
      <c r="F23899" s="40" t="s">
        <v>11404</v>
      </c>
      <c r="G23899" s="40" t="s">
        <v>11404</v>
      </c>
      <c r="H23899" s="40" t="s">
        <v>11404</v>
      </c>
    </row>
    <row r="23900">
      <c r="A23900" s="39"/>
      <c r="E23900" s="40" t="s">
        <v>11404</v>
      </c>
      <c r="F23900" s="40" t="s">
        <v>11404</v>
      </c>
      <c r="G23900" s="40" t="s">
        <v>11404</v>
      </c>
      <c r="H23900" s="40" t="s">
        <v>11404</v>
      </c>
    </row>
    <row r="23901">
      <c r="A23901" s="39"/>
      <c r="E23901" s="40" t="s">
        <v>11404</v>
      </c>
      <c r="F23901" s="40" t="s">
        <v>11404</v>
      </c>
      <c r="G23901" s="40" t="s">
        <v>11404</v>
      </c>
      <c r="H23901" s="40" t="s">
        <v>11404</v>
      </c>
    </row>
    <row r="23902">
      <c r="A23902" s="39"/>
      <c r="E23902" s="40" t="s">
        <v>11404</v>
      </c>
      <c r="F23902" s="40" t="s">
        <v>11404</v>
      </c>
      <c r="G23902" s="40" t="s">
        <v>11404</v>
      </c>
      <c r="H23902" s="40" t="s">
        <v>11404</v>
      </c>
    </row>
    <row r="23903">
      <c r="A23903" s="39"/>
      <c r="E23903" s="40" t="s">
        <v>11404</v>
      </c>
      <c r="F23903" s="40" t="s">
        <v>11404</v>
      </c>
      <c r="G23903" s="40" t="s">
        <v>11404</v>
      </c>
      <c r="H23903" s="40" t="s">
        <v>11404</v>
      </c>
    </row>
    <row r="23904">
      <c r="A23904" s="39"/>
      <c r="E23904" s="40" t="s">
        <v>11404</v>
      </c>
      <c r="F23904" s="40" t="s">
        <v>11404</v>
      </c>
      <c r="G23904" s="40" t="s">
        <v>11404</v>
      </c>
      <c r="H23904" s="40" t="s">
        <v>11404</v>
      </c>
    </row>
    <row r="23905">
      <c r="A23905" s="39"/>
      <c r="E23905" s="40" t="s">
        <v>11404</v>
      </c>
      <c r="F23905" s="40" t="s">
        <v>11404</v>
      </c>
      <c r="G23905" s="40" t="s">
        <v>11404</v>
      </c>
      <c r="H23905" s="40" t="s">
        <v>11404</v>
      </c>
    </row>
    <row r="23906">
      <c r="A23906" s="39"/>
      <c r="E23906" s="40" t="s">
        <v>11404</v>
      </c>
      <c r="F23906" s="40" t="s">
        <v>11404</v>
      </c>
      <c r="G23906" s="40" t="s">
        <v>11404</v>
      </c>
      <c r="H23906" s="40" t="s">
        <v>11404</v>
      </c>
    </row>
    <row r="23907">
      <c r="A23907" s="39"/>
      <c r="E23907" s="40" t="s">
        <v>11404</v>
      </c>
      <c r="F23907" s="40" t="s">
        <v>11404</v>
      </c>
      <c r="G23907" s="40" t="s">
        <v>11404</v>
      </c>
      <c r="H23907" s="40" t="s">
        <v>11404</v>
      </c>
    </row>
    <row r="23908">
      <c r="A23908" s="39"/>
      <c r="E23908" s="40" t="s">
        <v>11404</v>
      </c>
      <c r="F23908" s="40" t="s">
        <v>11404</v>
      </c>
      <c r="G23908" s="40" t="s">
        <v>11404</v>
      </c>
      <c r="H23908" s="40" t="s">
        <v>11404</v>
      </c>
    </row>
    <row r="23909">
      <c r="A23909" s="39"/>
      <c r="E23909" s="40" t="s">
        <v>11404</v>
      </c>
      <c r="F23909" s="40" t="s">
        <v>11404</v>
      </c>
      <c r="G23909" s="40" t="s">
        <v>11404</v>
      </c>
      <c r="H23909" s="40" t="s">
        <v>11404</v>
      </c>
    </row>
    <row r="23910">
      <c r="A23910" s="39"/>
      <c r="E23910" s="40" t="s">
        <v>11404</v>
      </c>
      <c r="F23910" s="40" t="s">
        <v>11404</v>
      </c>
      <c r="G23910" s="40" t="s">
        <v>11404</v>
      </c>
      <c r="H23910" s="40" t="s">
        <v>11404</v>
      </c>
    </row>
    <row r="23911">
      <c r="A23911" s="39"/>
      <c r="E23911" s="40" t="s">
        <v>11404</v>
      </c>
      <c r="F23911" s="40" t="s">
        <v>11404</v>
      </c>
      <c r="G23911" s="40" t="s">
        <v>11404</v>
      </c>
      <c r="H23911" s="40" t="s">
        <v>11404</v>
      </c>
    </row>
    <row r="23912">
      <c r="A23912" s="39"/>
      <c r="E23912" s="40" t="s">
        <v>11404</v>
      </c>
      <c r="F23912" s="40" t="s">
        <v>11404</v>
      </c>
      <c r="G23912" s="40" t="s">
        <v>11404</v>
      </c>
      <c r="H23912" s="40" t="s">
        <v>11404</v>
      </c>
    </row>
    <row r="23913">
      <c r="A23913" s="39"/>
      <c r="E23913" s="40" t="s">
        <v>11404</v>
      </c>
      <c r="F23913" s="40" t="s">
        <v>11404</v>
      </c>
      <c r="G23913" s="40" t="s">
        <v>11404</v>
      </c>
      <c r="H23913" s="40" t="s">
        <v>11404</v>
      </c>
    </row>
    <row r="23914">
      <c r="A23914" s="39"/>
      <c r="E23914" s="40" t="s">
        <v>11404</v>
      </c>
      <c r="F23914" s="40" t="s">
        <v>11404</v>
      </c>
      <c r="G23914" s="40" t="s">
        <v>11404</v>
      </c>
      <c r="H23914" s="40" t="s">
        <v>11404</v>
      </c>
    </row>
    <row r="23915">
      <c r="A23915" s="39"/>
      <c r="E23915" s="40" t="s">
        <v>11404</v>
      </c>
      <c r="F23915" s="40" t="s">
        <v>11404</v>
      </c>
      <c r="G23915" s="40" t="s">
        <v>11404</v>
      </c>
      <c r="H23915" s="40" t="s">
        <v>11404</v>
      </c>
    </row>
    <row r="23916">
      <c r="A23916" s="39"/>
      <c r="E23916" s="40" t="s">
        <v>11404</v>
      </c>
      <c r="F23916" s="40" t="s">
        <v>11404</v>
      </c>
      <c r="G23916" s="40" t="s">
        <v>11404</v>
      </c>
      <c r="H23916" s="40" t="s">
        <v>11404</v>
      </c>
    </row>
    <row r="23917">
      <c r="A23917" s="39"/>
      <c r="E23917" s="40" t="s">
        <v>11404</v>
      </c>
      <c r="F23917" s="40" t="s">
        <v>11404</v>
      </c>
      <c r="G23917" s="40" t="s">
        <v>11404</v>
      </c>
      <c r="H23917" s="40" t="s">
        <v>11404</v>
      </c>
    </row>
    <row r="23918">
      <c r="A23918" s="39"/>
      <c r="E23918" s="40" t="s">
        <v>11404</v>
      </c>
      <c r="F23918" s="40" t="s">
        <v>11404</v>
      </c>
      <c r="G23918" s="40" t="s">
        <v>11404</v>
      </c>
      <c r="H23918" s="40" t="s">
        <v>11404</v>
      </c>
    </row>
    <row r="23919">
      <c r="A23919" s="39"/>
      <c r="E23919" s="40" t="s">
        <v>11404</v>
      </c>
      <c r="F23919" s="40" t="s">
        <v>11404</v>
      </c>
      <c r="G23919" s="40" t="s">
        <v>11404</v>
      </c>
      <c r="H23919" s="40" t="s">
        <v>11404</v>
      </c>
    </row>
    <row r="23920">
      <c r="A23920" s="39"/>
      <c r="E23920" s="40" t="s">
        <v>11404</v>
      </c>
      <c r="F23920" s="40" t="s">
        <v>11404</v>
      </c>
      <c r="G23920" s="40" t="s">
        <v>11404</v>
      </c>
      <c r="H23920" s="40" t="s">
        <v>11404</v>
      </c>
    </row>
    <row r="23921">
      <c r="A23921" s="39"/>
      <c r="E23921" s="40" t="s">
        <v>11404</v>
      </c>
      <c r="F23921" s="40" t="s">
        <v>11404</v>
      </c>
      <c r="G23921" s="40" t="s">
        <v>11404</v>
      </c>
      <c r="H23921" s="40" t="s">
        <v>11404</v>
      </c>
    </row>
    <row r="23922">
      <c r="A23922" s="39"/>
      <c r="E23922" s="40" t="s">
        <v>11404</v>
      </c>
      <c r="F23922" s="40" t="s">
        <v>11404</v>
      </c>
      <c r="G23922" s="40" t="s">
        <v>11404</v>
      </c>
      <c r="H23922" s="40" t="s">
        <v>11404</v>
      </c>
    </row>
    <row r="23923">
      <c r="A23923" s="39"/>
      <c r="E23923" s="40" t="s">
        <v>11404</v>
      </c>
      <c r="F23923" s="40" t="s">
        <v>11404</v>
      </c>
      <c r="G23923" s="40" t="s">
        <v>11404</v>
      </c>
      <c r="H23923" s="40" t="s">
        <v>11404</v>
      </c>
    </row>
    <row r="23924">
      <c r="A23924" s="39"/>
      <c r="E23924" s="40" t="s">
        <v>11404</v>
      </c>
      <c r="F23924" s="40" t="s">
        <v>11404</v>
      </c>
      <c r="G23924" s="40" t="s">
        <v>11404</v>
      </c>
      <c r="H23924" s="40" t="s">
        <v>11404</v>
      </c>
    </row>
    <row r="23925">
      <c r="A23925" s="39"/>
      <c r="E23925" s="40" t="s">
        <v>11404</v>
      </c>
      <c r="F23925" s="40" t="s">
        <v>11404</v>
      </c>
      <c r="G23925" s="40" t="s">
        <v>11404</v>
      </c>
      <c r="H23925" s="40" t="s">
        <v>11404</v>
      </c>
    </row>
    <row r="23926">
      <c r="A23926" s="39"/>
      <c r="E23926" s="40" t="s">
        <v>11404</v>
      </c>
      <c r="F23926" s="40" t="s">
        <v>11404</v>
      </c>
      <c r="G23926" s="40" t="s">
        <v>11404</v>
      </c>
      <c r="H23926" s="40" t="s">
        <v>11404</v>
      </c>
    </row>
    <row r="23927">
      <c r="A23927" s="39"/>
      <c r="E23927" s="40" t="s">
        <v>11404</v>
      </c>
      <c r="F23927" s="40" t="s">
        <v>11404</v>
      </c>
      <c r="G23927" s="40" t="s">
        <v>11404</v>
      </c>
      <c r="H23927" s="40" t="s">
        <v>11404</v>
      </c>
    </row>
    <row r="23928">
      <c r="A23928" s="39"/>
      <c r="E23928" s="40" t="s">
        <v>11404</v>
      </c>
      <c r="F23928" s="40" t="s">
        <v>11404</v>
      </c>
      <c r="G23928" s="40" t="s">
        <v>11404</v>
      </c>
      <c r="H23928" s="40" t="s">
        <v>11404</v>
      </c>
    </row>
    <row r="23929">
      <c r="A23929" s="39"/>
      <c r="E23929" s="40" t="s">
        <v>11404</v>
      </c>
      <c r="F23929" s="40" t="s">
        <v>11404</v>
      </c>
      <c r="G23929" s="40" t="s">
        <v>11404</v>
      </c>
      <c r="H23929" s="40" t="s">
        <v>11404</v>
      </c>
    </row>
    <row r="23930">
      <c r="A23930" s="39"/>
      <c r="E23930" s="40" t="s">
        <v>11404</v>
      </c>
      <c r="F23930" s="40" t="s">
        <v>11404</v>
      </c>
      <c r="G23930" s="40" t="s">
        <v>11404</v>
      </c>
      <c r="H23930" s="40" t="s">
        <v>11404</v>
      </c>
    </row>
    <row r="23931">
      <c r="A23931" s="39"/>
      <c r="E23931" s="40" t="s">
        <v>11404</v>
      </c>
      <c r="F23931" s="40" t="s">
        <v>11404</v>
      </c>
      <c r="G23931" s="40" t="s">
        <v>11404</v>
      </c>
      <c r="H23931" s="40" t="s">
        <v>11404</v>
      </c>
    </row>
    <row r="23932">
      <c r="A23932" s="39"/>
      <c r="E23932" s="40" t="s">
        <v>11404</v>
      </c>
      <c r="F23932" s="40" t="s">
        <v>11404</v>
      </c>
      <c r="G23932" s="40" t="s">
        <v>11404</v>
      </c>
      <c r="H23932" s="40" t="s">
        <v>11404</v>
      </c>
    </row>
    <row r="23933">
      <c r="A23933" s="39"/>
      <c r="E23933" s="40" t="s">
        <v>11404</v>
      </c>
      <c r="F23933" s="40" t="s">
        <v>11404</v>
      </c>
      <c r="G23933" s="40" t="s">
        <v>11404</v>
      </c>
      <c r="H23933" s="40" t="s">
        <v>11404</v>
      </c>
    </row>
    <row r="23934">
      <c r="A23934" s="39"/>
      <c r="E23934" s="40" t="s">
        <v>11404</v>
      </c>
      <c r="F23934" s="40" t="s">
        <v>11404</v>
      </c>
      <c r="G23934" s="40" t="s">
        <v>11404</v>
      </c>
      <c r="H23934" s="40" t="s">
        <v>11404</v>
      </c>
    </row>
    <row r="23935">
      <c r="A23935" s="39"/>
      <c r="E23935" s="40" t="s">
        <v>11404</v>
      </c>
      <c r="F23935" s="40" t="s">
        <v>11404</v>
      </c>
      <c r="G23935" s="40" t="s">
        <v>11404</v>
      </c>
      <c r="H23935" s="40" t="s">
        <v>11404</v>
      </c>
    </row>
    <row r="23936">
      <c r="A23936" s="39"/>
      <c r="E23936" s="40" t="s">
        <v>11404</v>
      </c>
      <c r="F23936" s="40" t="s">
        <v>11404</v>
      </c>
      <c r="G23936" s="40" t="s">
        <v>11404</v>
      </c>
      <c r="H23936" s="40" t="s">
        <v>11404</v>
      </c>
    </row>
    <row r="23937">
      <c r="A23937" s="39"/>
      <c r="E23937" s="40" t="s">
        <v>11404</v>
      </c>
      <c r="F23937" s="40" t="s">
        <v>11404</v>
      </c>
      <c r="G23937" s="40" t="s">
        <v>11404</v>
      </c>
      <c r="H23937" s="40" t="s">
        <v>11404</v>
      </c>
    </row>
    <row r="23938">
      <c r="A23938" s="39"/>
      <c r="E23938" s="40" t="s">
        <v>11404</v>
      </c>
      <c r="F23938" s="40" t="s">
        <v>11404</v>
      </c>
      <c r="G23938" s="40" t="s">
        <v>11404</v>
      </c>
      <c r="H23938" s="40" t="s">
        <v>11404</v>
      </c>
    </row>
    <row r="23939">
      <c r="A23939" s="39"/>
      <c r="E23939" s="40" t="s">
        <v>11404</v>
      </c>
      <c r="F23939" s="40" t="s">
        <v>11404</v>
      </c>
      <c r="G23939" s="40" t="s">
        <v>11404</v>
      </c>
      <c r="H23939" s="40" t="s">
        <v>11404</v>
      </c>
    </row>
    <row r="23940">
      <c r="A23940" s="39"/>
      <c r="E23940" s="40" t="s">
        <v>11404</v>
      </c>
      <c r="F23940" s="40" t="s">
        <v>11404</v>
      </c>
      <c r="G23940" s="40" t="s">
        <v>11404</v>
      </c>
      <c r="H23940" s="40" t="s">
        <v>11404</v>
      </c>
    </row>
    <row r="23941">
      <c r="A23941" s="39"/>
      <c r="E23941" s="40" t="s">
        <v>11404</v>
      </c>
      <c r="F23941" s="40" t="s">
        <v>11404</v>
      </c>
      <c r="G23941" s="40" t="s">
        <v>11404</v>
      </c>
      <c r="H23941" s="40" t="s">
        <v>11404</v>
      </c>
    </row>
    <row r="23942">
      <c r="A23942" s="39"/>
      <c r="E23942" s="40" t="s">
        <v>11404</v>
      </c>
      <c r="F23942" s="40" t="s">
        <v>11404</v>
      </c>
      <c r="G23942" s="40" t="s">
        <v>11404</v>
      </c>
      <c r="H23942" s="40" t="s">
        <v>11404</v>
      </c>
    </row>
    <row r="23943">
      <c r="A23943" s="39"/>
      <c r="E23943" s="40" t="s">
        <v>11404</v>
      </c>
      <c r="F23943" s="40" t="s">
        <v>11404</v>
      </c>
      <c r="G23943" s="40" t="s">
        <v>11404</v>
      </c>
      <c r="H23943" s="40" t="s">
        <v>11404</v>
      </c>
    </row>
    <row r="23944">
      <c r="A23944" s="39"/>
      <c r="E23944" s="40" t="s">
        <v>11404</v>
      </c>
      <c r="F23944" s="40" t="s">
        <v>11404</v>
      </c>
      <c r="G23944" s="40" t="s">
        <v>11404</v>
      </c>
      <c r="H23944" s="40" t="s">
        <v>11404</v>
      </c>
    </row>
    <row r="23945">
      <c r="A23945" s="39"/>
      <c r="E23945" s="40" t="s">
        <v>11404</v>
      </c>
      <c r="F23945" s="40" t="s">
        <v>11404</v>
      </c>
      <c r="G23945" s="40" t="s">
        <v>11404</v>
      </c>
      <c r="H23945" s="40" t="s">
        <v>11404</v>
      </c>
    </row>
    <row r="23946">
      <c r="A23946" s="39"/>
      <c r="E23946" s="40" t="s">
        <v>11404</v>
      </c>
      <c r="F23946" s="40" t="s">
        <v>11404</v>
      </c>
      <c r="G23946" s="40" t="s">
        <v>11404</v>
      </c>
      <c r="H23946" s="40" t="s">
        <v>11404</v>
      </c>
    </row>
    <row r="23947">
      <c r="A23947" s="39"/>
      <c r="E23947" s="40" t="s">
        <v>11404</v>
      </c>
      <c r="F23947" s="40" t="s">
        <v>11404</v>
      </c>
      <c r="G23947" s="40" t="s">
        <v>11404</v>
      </c>
      <c r="H23947" s="40" t="s">
        <v>11404</v>
      </c>
    </row>
    <row r="23948">
      <c r="A23948" s="39"/>
      <c r="E23948" s="40" t="s">
        <v>11404</v>
      </c>
      <c r="F23948" s="40" t="s">
        <v>11404</v>
      </c>
      <c r="G23948" s="40" t="s">
        <v>11404</v>
      </c>
      <c r="H23948" s="40" t="s">
        <v>11404</v>
      </c>
    </row>
    <row r="23949">
      <c r="A23949" s="39"/>
      <c r="E23949" s="40" t="s">
        <v>11404</v>
      </c>
      <c r="F23949" s="40" t="s">
        <v>11404</v>
      </c>
      <c r="G23949" s="40" t="s">
        <v>11404</v>
      </c>
      <c r="H23949" s="40" t="s">
        <v>11404</v>
      </c>
    </row>
    <row r="23950">
      <c r="A23950" s="39"/>
      <c r="E23950" s="40" t="s">
        <v>11404</v>
      </c>
      <c r="F23950" s="40" t="s">
        <v>11404</v>
      </c>
      <c r="G23950" s="40" t="s">
        <v>11404</v>
      </c>
      <c r="H23950" s="40" t="s">
        <v>11404</v>
      </c>
    </row>
    <row r="23951">
      <c r="A23951" s="39"/>
      <c r="E23951" s="40" t="s">
        <v>11404</v>
      </c>
      <c r="F23951" s="40" t="s">
        <v>11404</v>
      </c>
      <c r="G23951" s="40" t="s">
        <v>11404</v>
      </c>
      <c r="H23951" s="40" t="s">
        <v>11404</v>
      </c>
    </row>
    <row r="23952">
      <c r="A23952" s="39"/>
      <c r="E23952" s="40" t="s">
        <v>11404</v>
      </c>
      <c r="F23952" s="40" t="s">
        <v>11404</v>
      </c>
      <c r="G23952" s="40" t="s">
        <v>11404</v>
      </c>
      <c r="H23952" s="40" t="s">
        <v>11404</v>
      </c>
    </row>
    <row r="23953">
      <c r="A23953" s="39"/>
      <c r="E23953" s="40" t="s">
        <v>11404</v>
      </c>
      <c r="F23953" s="40" t="s">
        <v>11404</v>
      </c>
      <c r="G23953" s="40" t="s">
        <v>11404</v>
      </c>
      <c r="H23953" s="40" t="s">
        <v>11404</v>
      </c>
    </row>
    <row r="23954">
      <c r="A23954" s="39"/>
      <c r="E23954" s="40" t="s">
        <v>11404</v>
      </c>
      <c r="F23954" s="40" t="s">
        <v>11404</v>
      </c>
      <c r="G23954" s="40" t="s">
        <v>11404</v>
      </c>
      <c r="H23954" s="40" t="s">
        <v>11404</v>
      </c>
    </row>
    <row r="23955">
      <c r="A23955" s="39"/>
      <c r="E23955" s="40" t="s">
        <v>11404</v>
      </c>
      <c r="F23955" s="40" t="s">
        <v>11404</v>
      </c>
      <c r="G23955" s="40" t="s">
        <v>11404</v>
      </c>
      <c r="H23955" s="40" t="s">
        <v>11404</v>
      </c>
    </row>
    <row r="23956">
      <c r="A23956" s="39"/>
      <c r="E23956" s="40" t="s">
        <v>11404</v>
      </c>
      <c r="F23956" s="40" t="s">
        <v>11404</v>
      </c>
      <c r="G23956" s="40" t="s">
        <v>11404</v>
      </c>
      <c r="H23956" s="40" t="s">
        <v>11404</v>
      </c>
    </row>
    <row r="23957">
      <c r="A23957" s="39"/>
      <c r="E23957" s="40" t="s">
        <v>11404</v>
      </c>
      <c r="F23957" s="40" t="s">
        <v>11404</v>
      </c>
      <c r="G23957" s="40" t="s">
        <v>11404</v>
      </c>
      <c r="H23957" s="40" t="s">
        <v>11404</v>
      </c>
    </row>
    <row r="23958">
      <c r="A23958" s="39"/>
      <c r="E23958" s="40" t="s">
        <v>11404</v>
      </c>
      <c r="F23958" s="40" t="s">
        <v>11404</v>
      </c>
      <c r="G23958" s="40" t="s">
        <v>11404</v>
      </c>
      <c r="H23958" s="40" t="s">
        <v>11404</v>
      </c>
    </row>
    <row r="23959">
      <c r="A23959" s="39"/>
      <c r="E23959" s="40" t="s">
        <v>11404</v>
      </c>
      <c r="F23959" s="40" t="s">
        <v>11404</v>
      </c>
      <c r="G23959" s="40" t="s">
        <v>11404</v>
      </c>
      <c r="H23959" s="40" t="s">
        <v>11404</v>
      </c>
    </row>
    <row r="23960">
      <c r="A23960" s="39"/>
      <c r="E23960" s="40" t="s">
        <v>11404</v>
      </c>
      <c r="F23960" s="40" t="s">
        <v>11404</v>
      </c>
      <c r="G23960" s="40" t="s">
        <v>11404</v>
      </c>
      <c r="H23960" s="40" t="s">
        <v>11404</v>
      </c>
    </row>
    <row r="23961">
      <c r="A23961" s="39"/>
      <c r="E23961" s="40" t="s">
        <v>11404</v>
      </c>
      <c r="F23961" s="40" t="s">
        <v>11404</v>
      </c>
      <c r="G23961" s="40" t="s">
        <v>11404</v>
      </c>
      <c r="H23961" s="40" t="s">
        <v>11404</v>
      </c>
    </row>
    <row r="23962">
      <c r="A23962" s="39"/>
      <c r="E23962" s="40" t="s">
        <v>11404</v>
      </c>
      <c r="F23962" s="40" t="s">
        <v>11404</v>
      </c>
      <c r="G23962" s="40" t="s">
        <v>11404</v>
      </c>
      <c r="H23962" s="40" t="s">
        <v>11404</v>
      </c>
    </row>
    <row r="23963">
      <c r="A23963" s="39"/>
      <c r="E23963" s="40" t="s">
        <v>11404</v>
      </c>
      <c r="F23963" s="40" t="s">
        <v>11404</v>
      </c>
      <c r="G23963" s="40" t="s">
        <v>11404</v>
      </c>
      <c r="H23963" s="40" t="s">
        <v>11404</v>
      </c>
    </row>
    <row r="23964">
      <c r="A23964" s="39"/>
      <c r="E23964" s="40" t="s">
        <v>11404</v>
      </c>
      <c r="F23964" s="40" t="s">
        <v>11404</v>
      </c>
      <c r="G23964" s="40" t="s">
        <v>11404</v>
      </c>
      <c r="H23964" s="40" t="s">
        <v>11404</v>
      </c>
    </row>
    <row r="23965">
      <c r="A23965" s="39"/>
      <c r="E23965" s="40" t="s">
        <v>11404</v>
      </c>
      <c r="F23965" s="40" t="s">
        <v>11404</v>
      </c>
      <c r="G23965" s="40" t="s">
        <v>11404</v>
      </c>
      <c r="H23965" s="40" t="s">
        <v>11404</v>
      </c>
    </row>
    <row r="23966">
      <c r="A23966" s="39"/>
      <c r="E23966" s="40" t="s">
        <v>11404</v>
      </c>
      <c r="F23966" s="40" t="s">
        <v>11404</v>
      </c>
      <c r="G23966" s="40" t="s">
        <v>11404</v>
      </c>
      <c r="H23966" s="40" t="s">
        <v>11404</v>
      </c>
    </row>
    <row r="23967">
      <c r="A23967" s="39"/>
      <c r="E23967" s="40" t="s">
        <v>11404</v>
      </c>
      <c r="F23967" s="40" t="s">
        <v>11404</v>
      </c>
      <c r="G23967" s="40" t="s">
        <v>11404</v>
      </c>
      <c r="H23967" s="40" t="s">
        <v>11404</v>
      </c>
    </row>
    <row r="23968">
      <c r="A23968" s="39"/>
      <c r="E23968" s="40" t="s">
        <v>11404</v>
      </c>
      <c r="F23968" s="40" t="s">
        <v>11404</v>
      </c>
      <c r="G23968" s="40" t="s">
        <v>11404</v>
      </c>
      <c r="H23968" s="40" t="s">
        <v>11404</v>
      </c>
    </row>
    <row r="23969">
      <c r="A23969" s="39"/>
      <c r="E23969" s="40" t="s">
        <v>11404</v>
      </c>
      <c r="F23969" s="40" t="s">
        <v>11404</v>
      </c>
      <c r="G23969" s="40" t="s">
        <v>11404</v>
      </c>
      <c r="H23969" s="40" t="s">
        <v>11404</v>
      </c>
    </row>
    <row r="23970">
      <c r="A23970" s="39"/>
      <c r="E23970" s="40" t="s">
        <v>11404</v>
      </c>
      <c r="F23970" s="40" t="s">
        <v>11404</v>
      </c>
      <c r="G23970" s="40" t="s">
        <v>11404</v>
      </c>
      <c r="H23970" s="40" t="s">
        <v>11404</v>
      </c>
    </row>
    <row r="23971">
      <c r="A23971" s="39"/>
      <c r="E23971" s="40" t="s">
        <v>11404</v>
      </c>
      <c r="F23971" s="40" t="s">
        <v>11404</v>
      </c>
      <c r="G23971" s="40" t="s">
        <v>11404</v>
      </c>
      <c r="H23971" s="40" t="s">
        <v>11404</v>
      </c>
    </row>
    <row r="23972">
      <c r="A23972" s="39"/>
      <c r="E23972" s="40" t="s">
        <v>11404</v>
      </c>
      <c r="F23972" s="40" t="s">
        <v>11404</v>
      </c>
      <c r="G23972" s="40" t="s">
        <v>11404</v>
      </c>
      <c r="H23972" s="40" t="s">
        <v>11404</v>
      </c>
    </row>
    <row r="23973">
      <c r="A23973" s="39"/>
      <c r="E23973" s="40" t="s">
        <v>11404</v>
      </c>
      <c r="F23973" s="40" t="s">
        <v>11404</v>
      </c>
      <c r="G23973" s="40" t="s">
        <v>11404</v>
      </c>
      <c r="H23973" s="40" t="s">
        <v>11404</v>
      </c>
    </row>
    <row r="23974">
      <c r="A23974" s="39"/>
      <c r="E23974" s="40" t="s">
        <v>11404</v>
      </c>
      <c r="F23974" s="40" t="s">
        <v>11404</v>
      </c>
      <c r="G23974" s="40" t="s">
        <v>11404</v>
      </c>
      <c r="H23974" s="40" t="s">
        <v>11404</v>
      </c>
    </row>
    <row r="23975">
      <c r="A23975" s="39"/>
      <c r="E23975" s="40" t="s">
        <v>11404</v>
      </c>
      <c r="F23975" s="40" t="s">
        <v>11404</v>
      </c>
      <c r="G23975" s="40" t="s">
        <v>11404</v>
      </c>
      <c r="H23975" s="40" t="s">
        <v>11404</v>
      </c>
    </row>
    <row r="23976">
      <c r="A23976" s="39"/>
      <c r="E23976" s="40" t="s">
        <v>11404</v>
      </c>
      <c r="F23976" s="40" t="s">
        <v>11404</v>
      </c>
      <c r="G23976" s="40" t="s">
        <v>11404</v>
      </c>
      <c r="H23976" s="40" t="s">
        <v>11404</v>
      </c>
    </row>
    <row r="23977">
      <c r="A23977" s="39"/>
      <c r="E23977" s="40" t="s">
        <v>11404</v>
      </c>
      <c r="F23977" s="40" t="s">
        <v>11404</v>
      </c>
      <c r="G23977" s="40" t="s">
        <v>11404</v>
      </c>
      <c r="H23977" s="40" t="s">
        <v>11404</v>
      </c>
    </row>
    <row r="23978">
      <c r="A23978" s="39"/>
      <c r="E23978" s="40" t="s">
        <v>11404</v>
      </c>
      <c r="F23978" s="40" t="s">
        <v>11404</v>
      </c>
      <c r="G23978" s="40" t="s">
        <v>11404</v>
      </c>
      <c r="H23978" s="40" t="s">
        <v>11404</v>
      </c>
    </row>
    <row r="23979">
      <c r="A23979" s="39"/>
      <c r="E23979" s="40" t="s">
        <v>11404</v>
      </c>
      <c r="F23979" s="40" t="s">
        <v>11404</v>
      </c>
      <c r="G23979" s="40" t="s">
        <v>11404</v>
      </c>
      <c r="H23979" s="40" t="s">
        <v>11404</v>
      </c>
    </row>
    <row r="23980">
      <c r="A23980" s="39"/>
      <c r="E23980" s="40" t="s">
        <v>11404</v>
      </c>
      <c r="F23980" s="40" t="s">
        <v>11404</v>
      </c>
      <c r="G23980" s="40" t="s">
        <v>11404</v>
      </c>
      <c r="H23980" s="40" t="s">
        <v>11404</v>
      </c>
    </row>
    <row r="23981">
      <c r="A23981" s="39"/>
      <c r="E23981" s="40" t="s">
        <v>11404</v>
      </c>
      <c r="F23981" s="40" t="s">
        <v>11404</v>
      </c>
      <c r="G23981" s="40" t="s">
        <v>11404</v>
      </c>
      <c r="H23981" s="40" t="s">
        <v>11404</v>
      </c>
    </row>
    <row r="23982">
      <c r="A23982" s="39"/>
      <c r="E23982" s="40" t="s">
        <v>11404</v>
      </c>
      <c r="F23982" s="40" t="s">
        <v>11404</v>
      </c>
      <c r="G23982" s="40" t="s">
        <v>11404</v>
      </c>
      <c r="H23982" s="40" t="s">
        <v>11404</v>
      </c>
    </row>
    <row r="23983">
      <c r="A23983" s="39"/>
      <c r="E23983" s="40" t="s">
        <v>11404</v>
      </c>
      <c r="F23983" s="40" t="s">
        <v>11404</v>
      </c>
      <c r="G23983" s="40" t="s">
        <v>11404</v>
      </c>
      <c r="H23983" s="40" t="s">
        <v>11404</v>
      </c>
    </row>
    <row r="23984">
      <c r="A23984" s="39"/>
      <c r="E23984" s="40" t="s">
        <v>11404</v>
      </c>
      <c r="F23984" s="40" t="s">
        <v>11404</v>
      </c>
      <c r="G23984" s="40" t="s">
        <v>11404</v>
      </c>
      <c r="H23984" s="40" t="s">
        <v>11404</v>
      </c>
    </row>
    <row r="23985">
      <c r="A23985" s="39"/>
      <c r="E23985" s="40" t="s">
        <v>11404</v>
      </c>
      <c r="F23985" s="40" t="s">
        <v>11404</v>
      </c>
      <c r="G23985" s="40" t="s">
        <v>11404</v>
      </c>
      <c r="H23985" s="40" t="s">
        <v>11404</v>
      </c>
    </row>
    <row r="23986">
      <c r="A23986" s="39"/>
      <c r="E23986" s="40" t="s">
        <v>11404</v>
      </c>
      <c r="F23986" s="40" t="s">
        <v>11404</v>
      </c>
      <c r="G23986" s="40" t="s">
        <v>11404</v>
      </c>
      <c r="H23986" s="40" t="s">
        <v>11404</v>
      </c>
    </row>
    <row r="23987">
      <c r="A23987" s="39"/>
      <c r="E23987" s="40" t="s">
        <v>11404</v>
      </c>
      <c r="F23987" s="40" t="s">
        <v>11404</v>
      </c>
      <c r="G23987" s="40" t="s">
        <v>11404</v>
      </c>
      <c r="H23987" s="40" t="s">
        <v>11404</v>
      </c>
    </row>
    <row r="23988">
      <c r="A23988" s="39"/>
      <c r="E23988" s="40" t="s">
        <v>11404</v>
      </c>
      <c r="F23988" s="40" t="s">
        <v>11404</v>
      </c>
      <c r="G23988" s="40" t="s">
        <v>11404</v>
      </c>
      <c r="H23988" s="40" t="s">
        <v>11404</v>
      </c>
    </row>
    <row r="23989">
      <c r="A23989" s="39"/>
      <c r="E23989" s="40" t="s">
        <v>11404</v>
      </c>
      <c r="F23989" s="40" t="s">
        <v>11404</v>
      </c>
      <c r="G23989" s="40" t="s">
        <v>11404</v>
      </c>
      <c r="H23989" s="40" t="s">
        <v>11404</v>
      </c>
    </row>
    <row r="23990">
      <c r="A23990" s="39"/>
      <c r="E23990" s="40" t="s">
        <v>11404</v>
      </c>
      <c r="F23990" s="40" t="s">
        <v>11404</v>
      </c>
      <c r="G23990" s="40" t="s">
        <v>11404</v>
      </c>
      <c r="H23990" s="40" t="s">
        <v>11404</v>
      </c>
    </row>
    <row r="23991">
      <c r="A23991" s="39"/>
      <c r="E23991" s="40" t="s">
        <v>11404</v>
      </c>
      <c r="F23991" s="40" t="s">
        <v>11404</v>
      </c>
      <c r="G23991" s="40" t="s">
        <v>11404</v>
      </c>
      <c r="H23991" s="40" t="s">
        <v>11404</v>
      </c>
    </row>
    <row r="23992">
      <c r="A23992" s="39"/>
      <c r="E23992" s="40" t="s">
        <v>11404</v>
      </c>
      <c r="F23992" s="40" t="s">
        <v>11404</v>
      </c>
      <c r="G23992" s="40" t="s">
        <v>11404</v>
      </c>
      <c r="H23992" s="40" t="s">
        <v>11404</v>
      </c>
    </row>
    <row r="23993">
      <c r="A23993" s="39"/>
      <c r="E23993" s="40" t="s">
        <v>11404</v>
      </c>
      <c r="F23993" s="40" t="s">
        <v>11404</v>
      </c>
      <c r="G23993" s="40" t="s">
        <v>11404</v>
      </c>
      <c r="H23993" s="40" t="s">
        <v>11404</v>
      </c>
    </row>
    <row r="23994">
      <c r="A23994" s="39"/>
      <c r="E23994" s="40" t="s">
        <v>11404</v>
      </c>
      <c r="F23994" s="40" t="s">
        <v>11404</v>
      </c>
      <c r="G23994" s="40" t="s">
        <v>11404</v>
      </c>
      <c r="H23994" s="40" t="s">
        <v>11404</v>
      </c>
    </row>
    <row r="23995">
      <c r="A23995" s="39"/>
      <c r="E23995" s="40" t="s">
        <v>11404</v>
      </c>
      <c r="F23995" s="40" t="s">
        <v>11404</v>
      </c>
      <c r="G23995" s="40" t="s">
        <v>11404</v>
      </c>
      <c r="H23995" s="40" t="s">
        <v>11404</v>
      </c>
    </row>
    <row r="23996">
      <c r="A23996" s="39"/>
      <c r="E23996" s="40" t="s">
        <v>11404</v>
      </c>
      <c r="F23996" s="40" t="s">
        <v>11404</v>
      </c>
      <c r="G23996" s="40" t="s">
        <v>11404</v>
      </c>
      <c r="H23996" s="40" t="s">
        <v>11404</v>
      </c>
    </row>
    <row r="23997">
      <c r="A23997" s="39"/>
      <c r="E23997" s="40" t="s">
        <v>11404</v>
      </c>
      <c r="F23997" s="40" t="s">
        <v>11404</v>
      </c>
      <c r="G23997" s="40" t="s">
        <v>11404</v>
      </c>
      <c r="H23997" s="40" t="s">
        <v>11404</v>
      </c>
    </row>
    <row r="23998">
      <c r="A23998" s="39"/>
      <c r="E23998" s="40" t="s">
        <v>11404</v>
      </c>
      <c r="F23998" s="40" t="s">
        <v>11404</v>
      </c>
      <c r="G23998" s="40" t="s">
        <v>11404</v>
      </c>
      <c r="H23998" s="40" t="s">
        <v>11404</v>
      </c>
    </row>
    <row r="23999">
      <c r="A23999" s="39"/>
      <c r="E23999" s="40" t="s">
        <v>11404</v>
      </c>
      <c r="F23999" s="40" t="s">
        <v>11404</v>
      </c>
      <c r="G23999" s="40" t="s">
        <v>11404</v>
      </c>
      <c r="H23999" s="40" t="s">
        <v>11404</v>
      </c>
    </row>
    <row r="24000">
      <c r="A24000" s="39"/>
      <c r="E24000" s="40" t="s">
        <v>11404</v>
      </c>
      <c r="F24000" s="40" t="s">
        <v>11404</v>
      </c>
      <c r="G24000" s="40" t="s">
        <v>11404</v>
      </c>
      <c r="H24000" s="40" t="s">
        <v>11404</v>
      </c>
    </row>
    <row r="24001">
      <c r="A24001" s="39"/>
      <c r="E24001" s="40" t="s">
        <v>11404</v>
      </c>
      <c r="F24001" s="40" t="s">
        <v>11404</v>
      </c>
      <c r="G24001" s="40" t="s">
        <v>11404</v>
      </c>
      <c r="H24001" s="40" t="s">
        <v>11404</v>
      </c>
    </row>
    <row r="24002">
      <c r="A24002" s="39"/>
      <c r="E24002" s="40" t="s">
        <v>11404</v>
      </c>
      <c r="F24002" s="40" t="s">
        <v>11404</v>
      </c>
      <c r="G24002" s="40" t="s">
        <v>11404</v>
      </c>
      <c r="H24002" s="40" t="s">
        <v>11404</v>
      </c>
    </row>
    <row r="24003">
      <c r="A24003" s="39"/>
      <c r="E24003" s="40" t="s">
        <v>11404</v>
      </c>
      <c r="F24003" s="40" t="s">
        <v>11404</v>
      </c>
      <c r="G24003" s="40" t="s">
        <v>11404</v>
      </c>
      <c r="H24003" s="40" t="s">
        <v>11404</v>
      </c>
    </row>
    <row r="24004">
      <c r="A24004" s="39"/>
      <c r="E24004" s="40" t="s">
        <v>11404</v>
      </c>
      <c r="F24004" s="40" t="s">
        <v>11404</v>
      </c>
      <c r="G24004" s="40" t="s">
        <v>11404</v>
      </c>
      <c r="H24004" s="40" t="s">
        <v>11404</v>
      </c>
    </row>
    <row r="24005">
      <c r="A24005" s="39"/>
      <c r="E24005" s="40" t="s">
        <v>11404</v>
      </c>
      <c r="F24005" s="40" t="s">
        <v>11404</v>
      </c>
      <c r="G24005" s="40" t="s">
        <v>11404</v>
      </c>
      <c r="H24005" s="40" t="s">
        <v>11404</v>
      </c>
    </row>
    <row r="24006">
      <c r="A24006" s="39"/>
      <c r="E24006" s="40" t="s">
        <v>11404</v>
      </c>
      <c r="F24006" s="40" t="s">
        <v>11404</v>
      </c>
      <c r="G24006" s="40" t="s">
        <v>11404</v>
      </c>
      <c r="H24006" s="40" t="s">
        <v>11404</v>
      </c>
    </row>
    <row r="24007">
      <c r="A24007" s="39"/>
      <c r="E24007" s="40" t="s">
        <v>11404</v>
      </c>
      <c r="F24007" s="40" t="s">
        <v>11404</v>
      </c>
      <c r="G24007" s="40" t="s">
        <v>11404</v>
      </c>
      <c r="H24007" s="40" t="s">
        <v>11404</v>
      </c>
    </row>
    <row r="24008">
      <c r="A24008" s="39"/>
      <c r="E24008" s="40" t="s">
        <v>11404</v>
      </c>
      <c r="F24008" s="40" t="s">
        <v>11404</v>
      </c>
      <c r="G24008" s="40" t="s">
        <v>11404</v>
      </c>
      <c r="H24008" s="40" t="s">
        <v>11404</v>
      </c>
    </row>
    <row r="24009">
      <c r="A24009" s="39"/>
      <c r="E24009" s="40" t="s">
        <v>11404</v>
      </c>
      <c r="F24009" s="40" t="s">
        <v>11404</v>
      </c>
      <c r="G24009" s="40" t="s">
        <v>11404</v>
      </c>
      <c r="H24009" s="40" t="s">
        <v>11404</v>
      </c>
    </row>
    <row r="24010">
      <c r="A24010" s="39"/>
      <c r="E24010" s="40" t="s">
        <v>11404</v>
      </c>
      <c r="F24010" s="40" t="s">
        <v>11404</v>
      </c>
      <c r="G24010" s="40" t="s">
        <v>11404</v>
      </c>
      <c r="H24010" s="40" t="s">
        <v>11404</v>
      </c>
    </row>
    <row r="24011">
      <c r="A24011" s="39"/>
      <c r="E24011" s="40" t="s">
        <v>11404</v>
      </c>
      <c r="F24011" s="40" t="s">
        <v>11404</v>
      </c>
      <c r="G24011" s="40" t="s">
        <v>11404</v>
      </c>
      <c r="H24011" s="40" t="s">
        <v>11404</v>
      </c>
    </row>
    <row r="24012">
      <c r="A24012" s="39"/>
      <c r="E24012" s="40" t="s">
        <v>11404</v>
      </c>
      <c r="F24012" s="40" t="s">
        <v>11404</v>
      </c>
      <c r="G24012" s="40" t="s">
        <v>11404</v>
      </c>
      <c r="H24012" s="40" t="s">
        <v>11404</v>
      </c>
    </row>
    <row r="24013">
      <c r="A24013" s="39"/>
      <c r="E24013" s="40" t="s">
        <v>11404</v>
      </c>
      <c r="F24013" s="40" t="s">
        <v>11404</v>
      </c>
      <c r="G24013" s="40" t="s">
        <v>11404</v>
      </c>
      <c r="H24013" s="40" t="s">
        <v>11404</v>
      </c>
    </row>
    <row r="24014">
      <c r="A24014" s="39"/>
      <c r="E24014" s="40" t="s">
        <v>11404</v>
      </c>
      <c r="F24014" s="40" t="s">
        <v>11404</v>
      </c>
      <c r="G24014" s="40" t="s">
        <v>11404</v>
      </c>
      <c r="H24014" s="40" t="s">
        <v>11404</v>
      </c>
    </row>
    <row r="24015">
      <c r="A24015" s="39"/>
      <c r="E24015" s="40" t="s">
        <v>11404</v>
      </c>
      <c r="F24015" s="40" t="s">
        <v>11404</v>
      </c>
      <c r="G24015" s="40" t="s">
        <v>11404</v>
      </c>
      <c r="H24015" s="40" t="s">
        <v>11404</v>
      </c>
    </row>
    <row r="24016">
      <c r="A24016" s="39"/>
      <c r="E24016" s="40" t="s">
        <v>11404</v>
      </c>
      <c r="F24016" s="40" t="s">
        <v>11404</v>
      </c>
      <c r="G24016" s="40" t="s">
        <v>11404</v>
      </c>
      <c r="H24016" s="40" t="s">
        <v>11404</v>
      </c>
    </row>
    <row r="24017">
      <c r="A24017" s="39"/>
      <c r="E24017" s="40" t="s">
        <v>11404</v>
      </c>
      <c r="F24017" s="40" t="s">
        <v>11404</v>
      </c>
      <c r="G24017" s="40" t="s">
        <v>11404</v>
      </c>
      <c r="H24017" s="40" t="s">
        <v>11404</v>
      </c>
    </row>
    <row r="24018">
      <c r="A24018" s="39"/>
      <c r="E24018" s="40" t="s">
        <v>11404</v>
      </c>
      <c r="F24018" s="40" t="s">
        <v>11404</v>
      </c>
      <c r="G24018" s="40" t="s">
        <v>11404</v>
      </c>
      <c r="H24018" s="40" t="s">
        <v>11404</v>
      </c>
    </row>
    <row r="24019">
      <c r="A24019" s="39"/>
      <c r="E24019" s="40" t="s">
        <v>11404</v>
      </c>
      <c r="F24019" s="40" t="s">
        <v>11404</v>
      </c>
      <c r="G24019" s="40" t="s">
        <v>11404</v>
      </c>
      <c r="H24019" s="40" t="s">
        <v>11404</v>
      </c>
    </row>
    <row r="24020">
      <c r="A24020" s="39"/>
      <c r="E24020" s="40" t="s">
        <v>11404</v>
      </c>
      <c r="F24020" s="40" t="s">
        <v>11404</v>
      </c>
      <c r="G24020" s="40" t="s">
        <v>11404</v>
      </c>
      <c r="H24020" s="40" t="s">
        <v>11404</v>
      </c>
    </row>
    <row r="24021">
      <c r="A24021" s="39"/>
      <c r="E24021" s="40" t="s">
        <v>11404</v>
      </c>
      <c r="F24021" s="40" t="s">
        <v>11404</v>
      </c>
      <c r="G24021" s="40" t="s">
        <v>11404</v>
      </c>
      <c r="H24021" s="40" t="s">
        <v>11404</v>
      </c>
    </row>
    <row r="24022">
      <c r="A24022" s="39"/>
      <c r="E24022" s="40" t="s">
        <v>11404</v>
      </c>
      <c r="F24022" s="40" t="s">
        <v>11404</v>
      </c>
      <c r="G24022" s="40" t="s">
        <v>11404</v>
      </c>
      <c r="H24022" s="40" t="s">
        <v>11404</v>
      </c>
    </row>
    <row r="24023">
      <c r="A24023" s="39"/>
      <c r="E24023" s="40" t="s">
        <v>11404</v>
      </c>
      <c r="F24023" s="40" t="s">
        <v>11404</v>
      </c>
      <c r="G24023" s="40" t="s">
        <v>11404</v>
      </c>
      <c r="H24023" s="40" t="s">
        <v>11404</v>
      </c>
    </row>
    <row r="24024">
      <c r="A24024" s="39"/>
      <c r="E24024" s="40" t="s">
        <v>11404</v>
      </c>
      <c r="F24024" s="40" t="s">
        <v>11404</v>
      </c>
      <c r="G24024" s="40" t="s">
        <v>11404</v>
      </c>
      <c r="H24024" s="40" t="s">
        <v>11404</v>
      </c>
    </row>
    <row r="24025">
      <c r="A24025" s="39"/>
      <c r="E24025" s="40" t="s">
        <v>11404</v>
      </c>
      <c r="F24025" s="40" t="s">
        <v>11404</v>
      </c>
      <c r="G24025" s="40" t="s">
        <v>11404</v>
      </c>
      <c r="H24025" s="40" t="s">
        <v>11404</v>
      </c>
    </row>
    <row r="24026">
      <c r="A24026" s="39"/>
      <c r="E24026" s="40" t="s">
        <v>11404</v>
      </c>
      <c r="F24026" s="40" t="s">
        <v>11404</v>
      </c>
      <c r="G24026" s="40" t="s">
        <v>11404</v>
      </c>
      <c r="H24026" s="40" t="s">
        <v>11404</v>
      </c>
    </row>
    <row r="24027">
      <c r="A24027" s="39"/>
      <c r="E24027" s="40" t="s">
        <v>11404</v>
      </c>
      <c r="F24027" s="40" t="s">
        <v>11404</v>
      </c>
      <c r="G24027" s="40" t="s">
        <v>11404</v>
      </c>
      <c r="H24027" s="40" t="s">
        <v>11404</v>
      </c>
    </row>
    <row r="24028">
      <c r="A24028" s="39"/>
      <c r="E24028" s="40" t="s">
        <v>11404</v>
      </c>
      <c r="F24028" s="40" t="s">
        <v>11404</v>
      </c>
      <c r="G24028" s="40" t="s">
        <v>11404</v>
      </c>
      <c r="H24028" s="40" t="s">
        <v>11404</v>
      </c>
    </row>
    <row r="24029">
      <c r="A24029" s="39"/>
      <c r="E24029" s="40" t="s">
        <v>11404</v>
      </c>
      <c r="F24029" s="40" t="s">
        <v>11404</v>
      </c>
      <c r="G24029" s="40" t="s">
        <v>11404</v>
      </c>
      <c r="H24029" s="40" t="s">
        <v>11404</v>
      </c>
    </row>
    <row r="24030">
      <c r="A24030" s="39"/>
      <c r="E24030" s="40" t="s">
        <v>11404</v>
      </c>
      <c r="F24030" s="40" t="s">
        <v>11404</v>
      </c>
      <c r="G24030" s="40" t="s">
        <v>11404</v>
      </c>
      <c r="H24030" s="40" t="s">
        <v>11404</v>
      </c>
    </row>
    <row r="24031">
      <c r="A24031" s="39"/>
      <c r="E24031" s="40" t="s">
        <v>11404</v>
      </c>
      <c r="F24031" s="40" t="s">
        <v>11404</v>
      </c>
      <c r="G24031" s="40" t="s">
        <v>11404</v>
      </c>
      <c r="H24031" s="40" t="s">
        <v>11404</v>
      </c>
    </row>
    <row r="24032">
      <c r="A24032" s="39"/>
      <c r="E24032" s="40" t="s">
        <v>11404</v>
      </c>
      <c r="F24032" s="40" t="s">
        <v>11404</v>
      </c>
      <c r="G24032" s="40" t="s">
        <v>11404</v>
      </c>
      <c r="H24032" s="40" t="s">
        <v>11404</v>
      </c>
    </row>
    <row r="24033">
      <c r="A24033" s="39"/>
      <c r="E24033" s="40" t="s">
        <v>11404</v>
      </c>
      <c r="F24033" s="40" t="s">
        <v>11404</v>
      </c>
      <c r="G24033" s="40" t="s">
        <v>11404</v>
      </c>
      <c r="H24033" s="40" t="s">
        <v>11404</v>
      </c>
    </row>
    <row r="24034">
      <c r="A24034" s="39"/>
      <c r="E24034" s="40" t="s">
        <v>11404</v>
      </c>
      <c r="F24034" s="40" t="s">
        <v>11404</v>
      </c>
      <c r="G24034" s="40" t="s">
        <v>11404</v>
      </c>
      <c r="H24034" s="40" t="s">
        <v>11404</v>
      </c>
    </row>
    <row r="24035">
      <c r="A24035" s="39"/>
      <c r="E24035" s="40" t="s">
        <v>11404</v>
      </c>
      <c r="F24035" s="40" t="s">
        <v>11404</v>
      </c>
      <c r="G24035" s="40" t="s">
        <v>11404</v>
      </c>
      <c r="H24035" s="40" t="s">
        <v>11404</v>
      </c>
    </row>
    <row r="24036">
      <c r="A24036" s="39"/>
      <c r="E24036" s="40" t="s">
        <v>11404</v>
      </c>
      <c r="F24036" s="40" t="s">
        <v>11404</v>
      </c>
      <c r="G24036" s="40" t="s">
        <v>11404</v>
      </c>
      <c r="H24036" s="40" t="s">
        <v>11404</v>
      </c>
    </row>
    <row r="24037">
      <c r="A24037" s="39"/>
      <c r="E24037" s="40" t="s">
        <v>11404</v>
      </c>
      <c r="F24037" s="40" t="s">
        <v>11404</v>
      </c>
      <c r="G24037" s="40" t="s">
        <v>11404</v>
      </c>
      <c r="H24037" s="40" t="s">
        <v>11404</v>
      </c>
    </row>
    <row r="24038">
      <c r="A24038" s="39"/>
      <c r="E24038" s="40" t="s">
        <v>11404</v>
      </c>
      <c r="F24038" s="40" t="s">
        <v>11404</v>
      </c>
      <c r="G24038" s="40" t="s">
        <v>11404</v>
      </c>
      <c r="H24038" s="40" t="s">
        <v>11404</v>
      </c>
    </row>
    <row r="24039">
      <c r="A24039" s="39"/>
      <c r="E24039" s="40" t="s">
        <v>11404</v>
      </c>
      <c r="F24039" s="40" t="s">
        <v>11404</v>
      </c>
      <c r="G24039" s="40" t="s">
        <v>11404</v>
      </c>
      <c r="H24039" s="40" t="s">
        <v>11404</v>
      </c>
    </row>
    <row r="24040">
      <c r="A24040" s="39"/>
      <c r="E24040" s="40" t="s">
        <v>11404</v>
      </c>
      <c r="F24040" s="40" t="s">
        <v>11404</v>
      </c>
      <c r="G24040" s="40" t="s">
        <v>11404</v>
      </c>
      <c r="H24040" s="40" t="s">
        <v>11404</v>
      </c>
    </row>
    <row r="24041">
      <c r="A24041" s="39"/>
      <c r="E24041" s="40" t="s">
        <v>11404</v>
      </c>
      <c r="F24041" s="40" t="s">
        <v>11404</v>
      </c>
      <c r="G24041" s="40" t="s">
        <v>11404</v>
      </c>
      <c r="H24041" s="40" t="s">
        <v>11404</v>
      </c>
    </row>
    <row r="24042">
      <c r="A24042" s="39"/>
      <c r="E24042" s="40" t="s">
        <v>11404</v>
      </c>
      <c r="F24042" s="40" t="s">
        <v>11404</v>
      </c>
      <c r="G24042" s="40" t="s">
        <v>11404</v>
      </c>
      <c r="H24042" s="40" t="s">
        <v>11404</v>
      </c>
    </row>
    <row r="24043">
      <c r="A24043" s="39"/>
      <c r="E24043" s="40" t="s">
        <v>11404</v>
      </c>
      <c r="F24043" s="40" t="s">
        <v>11404</v>
      </c>
      <c r="G24043" s="40" t="s">
        <v>11404</v>
      </c>
      <c r="H24043" s="40" t="s">
        <v>11404</v>
      </c>
    </row>
    <row r="24044">
      <c r="A24044" s="39"/>
      <c r="E24044" s="40" t="s">
        <v>11404</v>
      </c>
      <c r="F24044" s="40" t="s">
        <v>11404</v>
      </c>
      <c r="G24044" s="40" t="s">
        <v>11404</v>
      </c>
      <c r="H24044" s="40" t="s">
        <v>11404</v>
      </c>
    </row>
    <row r="24045">
      <c r="A24045" s="39"/>
      <c r="E24045" s="40" t="s">
        <v>11404</v>
      </c>
      <c r="F24045" s="40" t="s">
        <v>11404</v>
      </c>
      <c r="G24045" s="40" t="s">
        <v>11404</v>
      </c>
      <c r="H24045" s="40" t="s">
        <v>11404</v>
      </c>
    </row>
    <row r="24046">
      <c r="A24046" s="39"/>
      <c r="E24046" s="40" t="s">
        <v>11404</v>
      </c>
      <c r="F24046" s="40" t="s">
        <v>11404</v>
      </c>
      <c r="G24046" s="40" t="s">
        <v>11404</v>
      </c>
      <c r="H24046" s="40" t="s">
        <v>11404</v>
      </c>
    </row>
    <row r="24047">
      <c r="A24047" s="39"/>
      <c r="E24047" s="40" t="s">
        <v>11404</v>
      </c>
      <c r="F24047" s="40" t="s">
        <v>11404</v>
      </c>
      <c r="G24047" s="40" t="s">
        <v>11404</v>
      </c>
      <c r="H24047" s="40" t="s">
        <v>11404</v>
      </c>
    </row>
    <row r="24048">
      <c r="A24048" s="39"/>
      <c r="E24048" s="40" t="s">
        <v>11404</v>
      </c>
      <c r="F24048" s="40" t="s">
        <v>11404</v>
      </c>
      <c r="G24048" s="40" t="s">
        <v>11404</v>
      </c>
      <c r="H24048" s="40" t="s">
        <v>11404</v>
      </c>
    </row>
    <row r="24049">
      <c r="A24049" s="39"/>
      <c r="E24049" s="40" t="s">
        <v>11404</v>
      </c>
      <c r="F24049" s="40" t="s">
        <v>11404</v>
      </c>
      <c r="G24049" s="40" t="s">
        <v>11404</v>
      </c>
      <c r="H24049" s="40" t="s">
        <v>11404</v>
      </c>
    </row>
    <row r="24050">
      <c r="A24050" s="39"/>
      <c r="E24050" s="40" t="s">
        <v>11404</v>
      </c>
      <c r="F24050" s="40" t="s">
        <v>11404</v>
      </c>
      <c r="G24050" s="40" t="s">
        <v>11404</v>
      </c>
      <c r="H24050" s="40" t="s">
        <v>11404</v>
      </c>
    </row>
    <row r="24051">
      <c r="A24051" s="39"/>
      <c r="E24051" s="40" t="s">
        <v>11404</v>
      </c>
      <c r="F24051" s="40" t="s">
        <v>11404</v>
      </c>
      <c r="G24051" s="40" t="s">
        <v>11404</v>
      </c>
      <c r="H24051" s="40" t="s">
        <v>11404</v>
      </c>
    </row>
    <row r="24052">
      <c r="A24052" s="39"/>
      <c r="E24052" s="40" t="s">
        <v>11404</v>
      </c>
      <c r="F24052" s="40" t="s">
        <v>11404</v>
      </c>
      <c r="G24052" s="40" t="s">
        <v>11404</v>
      </c>
      <c r="H24052" s="40" t="s">
        <v>11404</v>
      </c>
    </row>
    <row r="24053">
      <c r="A24053" s="39"/>
      <c r="E24053" s="40" t="s">
        <v>11404</v>
      </c>
      <c r="F24053" s="40" t="s">
        <v>11404</v>
      </c>
      <c r="G24053" s="40" t="s">
        <v>11404</v>
      </c>
      <c r="H24053" s="40" t="s">
        <v>11404</v>
      </c>
    </row>
    <row r="24054">
      <c r="A24054" s="39"/>
      <c r="E24054" s="40" t="s">
        <v>11404</v>
      </c>
      <c r="F24054" s="40" t="s">
        <v>11404</v>
      </c>
      <c r="G24054" s="40" t="s">
        <v>11404</v>
      </c>
      <c r="H24054" s="40" t="s">
        <v>11404</v>
      </c>
    </row>
    <row r="24055">
      <c r="A24055" s="39"/>
      <c r="E24055" s="40" t="s">
        <v>11404</v>
      </c>
      <c r="F24055" s="40" t="s">
        <v>11404</v>
      </c>
      <c r="G24055" s="40" t="s">
        <v>11404</v>
      </c>
      <c r="H24055" s="40" t="s">
        <v>11404</v>
      </c>
    </row>
    <row r="24056">
      <c r="A24056" s="39"/>
      <c r="E24056" s="40" t="s">
        <v>11404</v>
      </c>
      <c r="F24056" s="40" t="s">
        <v>11404</v>
      </c>
      <c r="G24056" s="40" t="s">
        <v>11404</v>
      </c>
      <c r="H24056" s="40" t="s">
        <v>11404</v>
      </c>
    </row>
    <row r="24057">
      <c r="A24057" s="39"/>
      <c r="E24057" s="40" t="s">
        <v>11404</v>
      </c>
      <c r="F24057" s="40" t="s">
        <v>11404</v>
      </c>
      <c r="G24057" s="40" t="s">
        <v>11404</v>
      </c>
      <c r="H24057" s="40" t="s">
        <v>11404</v>
      </c>
    </row>
    <row r="24058">
      <c r="A24058" s="39"/>
      <c r="E24058" s="40" t="s">
        <v>11404</v>
      </c>
      <c r="F24058" s="40" t="s">
        <v>11404</v>
      </c>
      <c r="G24058" s="40" t="s">
        <v>11404</v>
      </c>
      <c r="H24058" s="40" t="s">
        <v>11404</v>
      </c>
    </row>
    <row r="24059">
      <c r="A24059" s="39"/>
      <c r="E24059" s="40" t="s">
        <v>11404</v>
      </c>
      <c r="F24059" s="40" t="s">
        <v>11404</v>
      </c>
      <c r="G24059" s="40" t="s">
        <v>11404</v>
      </c>
      <c r="H24059" s="40" t="s">
        <v>11404</v>
      </c>
    </row>
    <row r="24060">
      <c r="A24060" s="39"/>
      <c r="E24060" s="40" t="s">
        <v>11404</v>
      </c>
      <c r="F24060" s="40" t="s">
        <v>11404</v>
      </c>
      <c r="G24060" s="40" t="s">
        <v>11404</v>
      </c>
      <c r="H24060" s="40" t="s">
        <v>11404</v>
      </c>
    </row>
    <row r="24061">
      <c r="A24061" s="39"/>
      <c r="E24061" s="40" t="s">
        <v>11404</v>
      </c>
      <c r="F24061" s="40" t="s">
        <v>11404</v>
      </c>
      <c r="G24061" s="40" t="s">
        <v>11404</v>
      </c>
      <c r="H24061" s="40" t="s">
        <v>11404</v>
      </c>
    </row>
    <row r="24062">
      <c r="A24062" s="39"/>
      <c r="E24062" s="40" t="s">
        <v>11404</v>
      </c>
      <c r="F24062" s="40" t="s">
        <v>11404</v>
      </c>
      <c r="G24062" s="40" t="s">
        <v>11404</v>
      </c>
      <c r="H24062" s="40" t="s">
        <v>11404</v>
      </c>
    </row>
    <row r="24063">
      <c r="A24063" s="39"/>
      <c r="E24063" s="40" t="s">
        <v>11404</v>
      </c>
      <c r="F24063" s="40" t="s">
        <v>11404</v>
      </c>
      <c r="G24063" s="40" t="s">
        <v>11404</v>
      </c>
      <c r="H24063" s="40" t="s">
        <v>11404</v>
      </c>
    </row>
    <row r="24064">
      <c r="A24064" s="39"/>
      <c r="E24064" s="40" t="s">
        <v>11404</v>
      </c>
      <c r="F24064" s="40" t="s">
        <v>11404</v>
      </c>
      <c r="G24064" s="40" t="s">
        <v>11404</v>
      </c>
      <c r="H24064" s="40" t="s">
        <v>11404</v>
      </c>
    </row>
    <row r="24065">
      <c r="A24065" s="39"/>
      <c r="E24065" s="40" t="s">
        <v>11404</v>
      </c>
      <c r="F24065" s="40" t="s">
        <v>11404</v>
      </c>
      <c r="G24065" s="40" t="s">
        <v>11404</v>
      </c>
      <c r="H24065" s="40" t="s">
        <v>11404</v>
      </c>
    </row>
    <row r="24066">
      <c r="A24066" s="39"/>
      <c r="E24066" s="40" t="s">
        <v>11404</v>
      </c>
      <c r="F24066" s="40" t="s">
        <v>11404</v>
      </c>
      <c r="G24066" s="40" t="s">
        <v>11404</v>
      </c>
      <c r="H24066" s="40" t="s">
        <v>11404</v>
      </c>
    </row>
    <row r="24067">
      <c r="A24067" s="39"/>
      <c r="E24067" s="40" t="s">
        <v>11404</v>
      </c>
      <c r="F24067" s="40" t="s">
        <v>11404</v>
      </c>
      <c r="G24067" s="40" t="s">
        <v>11404</v>
      </c>
      <c r="H24067" s="40" t="s">
        <v>11404</v>
      </c>
    </row>
    <row r="24068">
      <c r="A24068" s="39"/>
      <c r="E24068" s="40" t="s">
        <v>11404</v>
      </c>
      <c r="F24068" s="40" t="s">
        <v>11404</v>
      </c>
      <c r="G24068" s="40" t="s">
        <v>11404</v>
      </c>
      <c r="H24068" s="40" t="s">
        <v>11404</v>
      </c>
    </row>
    <row r="24069">
      <c r="A24069" s="39"/>
      <c r="E24069" s="40" t="s">
        <v>11404</v>
      </c>
      <c r="F24069" s="40" t="s">
        <v>11404</v>
      </c>
      <c r="G24069" s="40" t="s">
        <v>11404</v>
      </c>
      <c r="H24069" s="40" t="s">
        <v>11404</v>
      </c>
    </row>
    <row r="24070">
      <c r="A24070" s="39"/>
      <c r="E24070" s="40" t="s">
        <v>11404</v>
      </c>
      <c r="F24070" s="40" t="s">
        <v>11404</v>
      </c>
      <c r="G24070" s="40" t="s">
        <v>11404</v>
      </c>
      <c r="H24070" s="40" t="s">
        <v>11404</v>
      </c>
    </row>
    <row r="24071">
      <c r="A24071" s="39"/>
      <c r="E24071" s="40" t="s">
        <v>11404</v>
      </c>
      <c r="F24071" s="40" t="s">
        <v>11404</v>
      </c>
      <c r="G24071" s="40" t="s">
        <v>11404</v>
      </c>
      <c r="H24071" s="40" t="s">
        <v>11404</v>
      </c>
    </row>
    <row r="24072">
      <c r="A24072" s="39"/>
      <c r="E24072" s="40" t="s">
        <v>11404</v>
      </c>
      <c r="F24072" s="40" t="s">
        <v>11404</v>
      </c>
      <c r="G24072" s="40" t="s">
        <v>11404</v>
      </c>
      <c r="H24072" s="40" t="s">
        <v>11404</v>
      </c>
    </row>
    <row r="24073">
      <c r="A24073" s="39"/>
      <c r="E24073" s="40" t="s">
        <v>11404</v>
      </c>
      <c r="F24073" s="40" t="s">
        <v>11404</v>
      </c>
      <c r="G24073" s="40" t="s">
        <v>11404</v>
      </c>
      <c r="H24073" s="40" t="s">
        <v>11404</v>
      </c>
    </row>
    <row r="24074">
      <c r="A24074" s="39"/>
      <c r="E24074" s="40" t="s">
        <v>11404</v>
      </c>
      <c r="F24074" s="40" t="s">
        <v>11404</v>
      </c>
      <c r="G24074" s="40" t="s">
        <v>11404</v>
      </c>
      <c r="H24074" s="40" t="s">
        <v>11404</v>
      </c>
    </row>
    <row r="24075">
      <c r="A24075" s="39"/>
      <c r="E24075" s="40" t="s">
        <v>11404</v>
      </c>
      <c r="F24075" s="40" t="s">
        <v>11404</v>
      </c>
      <c r="G24075" s="40" t="s">
        <v>11404</v>
      </c>
      <c r="H24075" s="40" t="s">
        <v>11404</v>
      </c>
    </row>
    <row r="24076">
      <c r="A24076" s="39"/>
      <c r="E24076" s="40" t="s">
        <v>11404</v>
      </c>
      <c r="F24076" s="40" t="s">
        <v>11404</v>
      </c>
      <c r="G24076" s="40" t="s">
        <v>11404</v>
      </c>
      <c r="H24076" s="40" t="s">
        <v>11404</v>
      </c>
    </row>
    <row r="24077">
      <c r="A24077" s="39"/>
      <c r="E24077" s="40" t="s">
        <v>11404</v>
      </c>
      <c r="F24077" s="40" t="s">
        <v>11404</v>
      </c>
      <c r="G24077" s="40" t="s">
        <v>11404</v>
      </c>
      <c r="H24077" s="40" t="s">
        <v>11404</v>
      </c>
    </row>
    <row r="24078">
      <c r="A24078" s="39"/>
      <c r="E24078" s="40" t="s">
        <v>11404</v>
      </c>
      <c r="F24078" s="40" t="s">
        <v>11404</v>
      </c>
      <c r="G24078" s="40" t="s">
        <v>11404</v>
      </c>
      <c r="H24078" s="40" t="s">
        <v>11404</v>
      </c>
    </row>
    <row r="24079">
      <c r="A24079" s="39"/>
      <c r="E24079" s="40" t="s">
        <v>11404</v>
      </c>
      <c r="F24079" s="40" t="s">
        <v>11404</v>
      </c>
      <c r="G24079" s="40" t="s">
        <v>11404</v>
      </c>
      <c r="H24079" s="40" t="s">
        <v>11404</v>
      </c>
    </row>
    <row r="24080">
      <c r="A24080" s="39"/>
      <c r="E24080" s="40" t="s">
        <v>11404</v>
      </c>
      <c r="F24080" s="40" t="s">
        <v>11404</v>
      </c>
      <c r="G24080" s="40" t="s">
        <v>11404</v>
      </c>
      <c r="H24080" s="40" t="s">
        <v>11404</v>
      </c>
    </row>
    <row r="24081">
      <c r="A24081" s="39"/>
      <c r="E24081" s="40" t="s">
        <v>11404</v>
      </c>
      <c r="F24081" s="40" t="s">
        <v>11404</v>
      </c>
      <c r="G24081" s="40" t="s">
        <v>11404</v>
      </c>
      <c r="H24081" s="40" t="s">
        <v>11404</v>
      </c>
    </row>
    <row r="24082">
      <c r="A24082" s="39"/>
      <c r="E24082" s="40" t="s">
        <v>11404</v>
      </c>
      <c r="F24082" s="40" t="s">
        <v>11404</v>
      </c>
      <c r="G24082" s="40" t="s">
        <v>11404</v>
      </c>
      <c r="H24082" s="40" t="s">
        <v>11404</v>
      </c>
    </row>
    <row r="24083">
      <c r="A24083" s="39"/>
      <c r="E24083" s="40" t="s">
        <v>11404</v>
      </c>
      <c r="F24083" s="40" t="s">
        <v>11404</v>
      </c>
      <c r="G24083" s="40" t="s">
        <v>11404</v>
      </c>
      <c r="H24083" s="40" t="s">
        <v>11404</v>
      </c>
    </row>
    <row r="24084">
      <c r="A24084" s="39"/>
      <c r="E24084" s="40" t="s">
        <v>11404</v>
      </c>
      <c r="F24084" s="40" t="s">
        <v>11404</v>
      </c>
      <c r="G24084" s="40" t="s">
        <v>11404</v>
      </c>
      <c r="H24084" s="40" t="s">
        <v>11404</v>
      </c>
    </row>
    <row r="24085">
      <c r="A24085" s="39"/>
      <c r="E24085" s="40" t="s">
        <v>11404</v>
      </c>
      <c r="F24085" s="40" t="s">
        <v>11404</v>
      </c>
      <c r="G24085" s="40" t="s">
        <v>11404</v>
      </c>
      <c r="H24085" s="40" t="s">
        <v>11404</v>
      </c>
    </row>
    <row r="24086">
      <c r="A24086" s="39"/>
      <c r="E24086" s="40" t="s">
        <v>11404</v>
      </c>
      <c r="F24086" s="40" t="s">
        <v>11404</v>
      </c>
      <c r="G24086" s="40" t="s">
        <v>11404</v>
      </c>
      <c r="H24086" s="40" t="s">
        <v>11404</v>
      </c>
    </row>
    <row r="24087">
      <c r="A24087" s="39"/>
      <c r="E24087" s="40" t="s">
        <v>11404</v>
      </c>
      <c r="F24087" s="40" t="s">
        <v>11404</v>
      </c>
      <c r="G24087" s="40" t="s">
        <v>11404</v>
      </c>
      <c r="H24087" s="40" t="s">
        <v>11404</v>
      </c>
    </row>
    <row r="24088">
      <c r="A24088" s="39"/>
      <c r="E24088" s="40" t="s">
        <v>11404</v>
      </c>
      <c r="F24088" s="40" t="s">
        <v>11404</v>
      </c>
      <c r="G24088" s="40" t="s">
        <v>11404</v>
      </c>
      <c r="H24088" s="40" t="s">
        <v>11404</v>
      </c>
    </row>
    <row r="24089">
      <c r="A24089" s="39"/>
      <c r="E24089" s="40" t="s">
        <v>11404</v>
      </c>
      <c r="F24089" s="40" t="s">
        <v>11404</v>
      </c>
      <c r="G24089" s="40" t="s">
        <v>11404</v>
      </c>
      <c r="H24089" s="40" t="s">
        <v>11404</v>
      </c>
    </row>
    <row r="24090">
      <c r="A24090" s="39"/>
      <c r="E24090" s="40" t="s">
        <v>11404</v>
      </c>
      <c r="F24090" s="40" t="s">
        <v>11404</v>
      </c>
      <c r="G24090" s="40" t="s">
        <v>11404</v>
      </c>
      <c r="H24090" s="40" t="s">
        <v>11404</v>
      </c>
    </row>
    <row r="24091">
      <c r="A24091" s="39"/>
      <c r="E24091" s="40" t="s">
        <v>11404</v>
      </c>
      <c r="F24091" s="40" t="s">
        <v>11404</v>
      </c>
      <c r="G24091" s="40" t="s">
        <v>11404</v>
      </c>
      <c r="H24091" s="40" t="s">
        <v>11404</v>
      </c>
    </row>
    <row r="24092">
      <c r="A24092" s="39"/>
      <c r="E24092" s="40" t="s">
        <v>11404</v>
      </c>
      <c r="F24092" s="40" t="s">
        <v>11404</v>
      </c>
      <c r="G24092" s="40" t="s">
        <v>11404</v>
      </c>
      <c r="H24092" s="40" t="s">
        <v>11404</v>
      </c>
    </row>
    <row r="24093">
      <c r="A24093" s="39"/>
      <c r="E24093" s="40" t="s">
        <v>11404</v>
      </c>
      <c r="F24093" s="40" t="s">
        <v>11404</v>
      </c>
      <c r="G24093" s="40" t="s">
        <v>11404</v>
      </c>
      <c r="H24093" s="40" t="s">
        <v>11404</v>
      </c>
    </row>
    <row r="24094">
      <c r="A24094" s="39"/>
      <c r="E24094" s="40" t="s">
        <v>11404</v>
      </c>
      <c r="F24094" s="40" t="s">
        <v>11404</v>
      </c>
      <c r="G24094" s="40" t="s">
        <v>11404</v>
      </c>
      <c r="H24094" s="40" t="s">
        <v>11404</v>
      </c>
    </row>
    <row r="24095">
      <c r="A24095" s="39"/>
      <c r="E24095" s="40" t="s">
        <v>11404</v>
      </c>
      <c r="F24095" s="40" t="s">
        <v>11404</v>
      </c>
      <c r="G24095" s="40" t="s">
        <v>11404</v>
      </c>
      <c r="H24095" s="40" t="s">
        <v>11404</v>
      </c>
    </row>
    <row r="24096">
      <c r="A24096" s="39"/>
      <c r="E24096" s="40" t="s">
        <v>11404</v>
      </c>
      <c r="F24096" s="40" t="s">
        <v>11404</v>
      </c>
      <c r="G24096" s="40" t="s">
        <v>11404</v>
      </c>
      <c r="H24096" s="40" t="s">
        <v>11404</v>
      </c>
    </row>
    <row r="24097">
      <c r="A24097" s="39"/>
      <c r="E24097" s="40" t="s">
        <v>11404</v>
      </c>
      <c r="F24097" s="40" t="s">
        <v>11404</v>
      </c>
      <c r="G24097" s="40" t="s">
        <v>11404</v>
      </c>
      <c r="H24097" s="40" t="s">
        <v>11404</v>
      </c>
    </row>
    <row r="24098">
      <c r="A24098" s="39"/>
      <c r="E24098" s="40" t="s">
        <v>11404</v>
      </c>
      <c r="F24098" s="40" t="s">
        <v>11404</v>
      </c>
      <c r="G24098" s="40" t="s">
        <v>11404</v>
      </c>
      <c r="H24098" s="40" t="s">
        <v>11404</v>
      </c>
    </row>
    <row r="24099">
      <c r="A24099" s="39"/>
      <c r="E24099" s="40" t="s">
        <v>11404</v>
      </c>
      <c r="F24099" s="40" t="s">
        <v>11404</v>
      </c>
      <c r="G24099" s="40" t="s">
        <v>11404</v>
      </c>
      <c r="H24099" s="40" t="s">
        <v>11404</v>
      </c>
    </row>
    <row r="24100">
      <c r="A24100" s="39"/>
      <c r="E24100" s="40" t="s">
        <v>11404</v>
      </c>
      <c r="F24100" s="40" t="s">
        <v>11404</v>
      </c>
      <c r="G24100" s="40" t="s">
        <v>11404</v>
      </c>
      <c r="H24100" s="40" t="s">
        <v>11404</v>
      </c>
    </row>
    <row r="24101">
      <c r="A24101" s="39"/>
      <c r="E24101" s="40" t="s">
        <v>11404</v>
      </c>
      <c r="F24101" s="40" t="s">
        <v>11404</v>
      </c>
      <c r="G24101" s="40" t="s">
        <v>11404</v>
      </c>
      <c r="H24101" s="40" t="s">
        <v>11404</v>
      </c>
    </row>
    <row r="24102">
      <c r="A24102" s="39"/>
      <c r="E24102" s="40" t="s">
        <v>11404</v>
      </c>
      <c r="F24102" s="40" t="s">
        <v>11404</v>
      </c>
      <c r="G24102" s="40" t="s">
        <v>11404</v>
      </c>
      <c r="H24102" s="40" t="s">
        <v>11404</v>
      </c>
    </row>
    <row r="24103">
      <c r="A24103" s="39"/>
      <c r="E24103" s="40" t="s">
        <v>11404</v>
      </c>
      <c r="F24103" s="40" t="s">
        <v>11404</v>
      </c>
      <c r="G24103" s="40" t="s">
        <v>11404</v>
      </c>
      <c r="H24103" s="40" t="s">
        <v>11404</v>
      </c>
    </row>
    <row r="24104">
      <c r="A24104" s="39"/>
      <c r="E24104" s="40" t="s">
        <v>11404</v>
      </c>
      <c r="F24104" s="40" t="s">
        <v>11404</v>
      </c>
      <c r="G24104" s="40" t="s">
        <v>11404</v>
      </c>
      <c r="H24104" s="40" t="s">
        <v>11404</v>
      </c>
    </row>
    <row r="24105">
      <c r="A24105" s="39"/>
      <c r="E24105" s="40" t="s">
        <v>11404</v>
      </c>
      <c r="F24105" s="40" t="s">
        <v>11404</v>
      </c>
      <c r="G24105" s="40" t="s">
        <v>11404</v>
      </c>
      <c r="H24105" s="40" t="s">
        <v>11404</v>
      </c>
    </row>
    <row r="24106">
      <c r="A24106" s="39"/>
      <c r="E24106" s="40" t="s">
        <v>11404</v>
      </c>
      <c r="F24106" s="40" t="s">
        <v>11404</v>
      </c>
      <c r="G24106" s="40" t="s">
        <v>11404</v>
      </c>
      <c r="H24106" s="40" t="s">
        <v>11404</v>
      </c>
    </row>
    <row r="24107">
      <c r="A24107" s="39"/>
      <c r="E24107" s="40" t="s">
        <v>11404</v>
      </c>
      <c r="F24107" s="40" t="s">
        <v>11404</v>
      </c>
      <c r="G24107" s="40" t="s">
        <v>11404</v>
      </c>
      <c r="H24107" s="40" t="s">
        <v>11404</v>
      </c>
    </row>
    <row r="24108">
      <c r="A24108" s="39"/>
      <c r="E24108" s="40" t="s">
        <v>11404</v>
      </c>
      <c r="F24108" s="40" t="s">
        <v>11404</v>
      </c>
      <c r="G24108" s="40" t="s">
        <v>11404</v>
      </c>
      <c r="H24108" s="40" t="s">
        <v>11404</v>
      </c>
    </row>
    <row r="24109">
      <c r="A24109" s="39"/>
      <c r="E24109" s="40" t="s">
        <v>11404</v>
      </c>
      <c r="F24109" s="40" t="s">
        <v>11404</v>
      </c>
      <c r="G24109" s="40" t="s">
        <v>11404</v>
      </c>
      <c r="H24109" s="40" t="s">
        <v>11404</v>
      </c>
    </row>
    <row r="24110">
      <c r="A24110" s="39"/>
      <c r="E24110" s="40" t="s">
        <v>11404</v>
      </c>
      <c r="F24110" s="40" t="s">
        <v>11404</v>
      </c>
      <c r="G24110" s="40" t="s">
        <v>11404</v>
      </c>
      <c r="H24110" s="40" t="s">
        <v>11404</v>
      </c>
    </row>
    <row r="24111">
      <c r="A24111" s="39"/>
      <c r="E24111" s="40" t="s">
        <v>11404</v>
      </c>
      <c r="F24111" s="40" t="s">
        <v>11404</v>
      </c>
      <c r="G24111" s="40" t="s">
        <v>11404</v>
      </c>
      <c r="H24111" s="40" t="s">
        <v>11404</v>
      </c>
    </row>
    <row r="24112">
      <c r="A24112" s="39"/>
      <c r="E24112" s="40" t="s">
        <v>11404</v>
      </c>
      <c r="F24112" s="40" t="s">
        <v>11404</v>
      </c>
      <c r="G24112" s="40" t="s">
        <v>11404</v>
      </c>
      <c r="H24112" s="40" t="s">
        <v>11404</v>
      </c>
    </row>
    <row r="24113">
      <c r="A24113" s="39"/>
      <c r="E24113" s="40" t="s">
        <v>11404</v>
      </c>
      <c r="F24113" s="40" t="s">
        <v>11404</v>
      </c>
      <c r="G24113" s="40" t="s">
        <v>11404</v>
      </c>
      <c r="H24113" s="40" t="s">
        <v>11404</v>
      </c>
    </row>
    <row r="24114">
      <c r="A24114" s="39"/>
      <c r="E24114" s="40" t="s">
        <v>11404</v>
      </c>
      <c r="F24114" s="40" t="s">
        <v>11404</v>
      </c>
      <c r="G24114" s="40" t="s">
        <v>11404</v>
      </c>
      <c r="H24114" s="40" t="s">
        <v>11404</v>
      </c>
    </row>
    <row r="24115">
      <c r="A24115" s="39"/>
      <c r="E24115" s="40" t="s">
        <v>11404</v>
      </c>
      <c r="F24115" s="40" t="s">
        <v>11404</v>
      </c>
      <c r="G24115" s="40" t="s">
        <v>11404</v>
      </c>
      <c r="H24115" s="40" t="s">
        <v>11404</v>
      </c>
    </row>
    <row r="24116">
      <c r="A24116" s="39"/>
      <c r="E24116" s="40" t="s">
        <v>11404</v>
      </c>
      <c r="F24116" s="40" t="s">
        <v>11404</v>
      </c>
      <c r="G24116" s="40" t="s">
        <v>11404</v>
      </c>
      <c r="H24116" s="40" t="s">
        <v>11404</v>
      </c>
    </row>
    <row r="24117">
      <c r="A24117" s="39"/>
      <c r="E24117" s="40" t="s">
        <v>11404</v>
      </c>
      <c r="F24117" s="40" t="s">
        <v>11404</v>
      </c>
      <c r="G24117" s="40" t="s">
        <v>11404</v>
      </c>
      <c r="H24117" s="40" t="s">
        <v>11404</v>
      </c>
    </row>
    <row r="24118">
      <c r="A24118" s="39"/>
      <c r="E24118" s="40" t="s">
        <v>11404</v>
      </c>
      <c r="F24118" s="40" t="s">
        <v>11404</v>
      </c>
      <c r="G24118" s="40" t="s">
        <v>11404</v>
      </c>
      <c r="H24118" s="40" t="s">
        <v>11404</v>
      </c>
    </row>
    <row r="24119">
      <c r="A24119" s="39"/>
      <c r="E24119" s="40" t="s">
        <v>11404</v>
      </c>
      <c r="F24119" s="40" t="s">
        <v>11404</v>
      </c>
      <c r="G24119" s="40" t="s">
        <v>11404</v>
      </c>
      <c r="H24119" s="40" t="s">
        <v>11404</v>
      </c>
    </row>
    <row r="24120">
      <c r="A24120" s="39"/>
      <c r="E24120" s="40" t="s">
        <v>11404</v>
      </c>
      <c r="F24120" s="40" t="s">
        <v>11404</v>
      </c>
      <c r="G24120" s="40" t="s">
        <v>11404</v>
      </c>
      <c r="H24120" s="40" t="s">
        <v>11404</v>
      </c>
    </row>
    <row r="24121">
      <c r="A24121" s="39"/>
      <c r="E24121" s="40" t="s">
        <v>11404</v>
      </c>
      <c r="F24121" s="40" t="s">
        <v>11404</v>
      </c>
      <c r="G24121" s="40" t="s">
        <v>11404</v>
      </c>
      <c r="H24121" s="40" t="s">
        <v>11404</v>
      </c>
    </row>
    <row r="24122">
      <c r="A24122" s="39"/>
      <c r="E24122" s="40" t="s">
        <v>11404</v>
      </c>
      <c r="F24122" s="40" t="s">
        <v>11404</v>
      </c>
      <c r="G24122" s="40" t="s">
        <v>11404</v>
      </c>
      <c r="H24122" s="40" t="s">
        <v>11404</v>
      </c>
    </row>
    <row r="24123">
      <c r="A24123" s="39"/>
      <c r="E24123" s="40" t="s">
        <v>11404</v>
      </c>
      <c r="F24123" s="40" t="s">
        <v>11404</v>
      </c>
      <c r="G24123" s="40" t="s">
        <v>11404</v>
      </c>
      <c r="H24123" s="40" t="s">
        <v>11404</v>
      </c>
    </row>
    <row r="24124">
      <c r="A24124" s="39"/>
      <c r="E24124" s="40" t="s">
        <v>11404</v>
      </c>
      <c r="F24124" s="40" t="s">
        <v>11404</v>
      </c>
      <c r="G24124" s="40" t="s">
        <v>11404</v>
      </c>
      <c r="H24124" s="40" t="s">
        <v>11404</v>
      </c>
    </row>
    <row r="24125">
      <c r="A24125" s="39"/>
      <c r="E24125" s="40" t="s">
        <v>11404</v>
      </c>
      <c r="F24125" s="40" t="s">
        <v>11404</v>
      </c>
      <c r="G24125" s="40" t="s">
        <v>11404</v>
      </c>
      <c r="H24125" s="40" t="s">
        <v>11404</v>
      </c>
    </row>
    <row r="24126">
      <c r="A24126" s="39"/>
      <c r="E24126" s="40" t="s">
        <v>11404</v>
      </c>
      <c r="F24126" s="40" t="s">
        <v>11404</v>
      </c>
      <c r="G24126" s="40" t="s">
        <v>11404</v>
      </c>
      <c r="H24126" s="40" t="s">
        <v>11404</v>
      </c>
    </row>
    <row r="24127">
      <c r="A24127" s="39"/>
      <c r="E24127" s="40" t="s">
        <v>11404</v>
      </c>
      <c r="F24127" s="40" t="s">
        <v>11404</v>
      </c>
      <c r="G24127" s="40" t="s">
        <v>11404</v>
      </c>
      <c r="H24127" s="40" t="s">
        <v>11404</v>
      </c>
    </row>
    <row r="24128">
      <c r="A24128" s="39"/>
      <c r="E24128" s="40" t="s">
        <v>11404</v>
      </c>
      <c r="F24128" s="40" t="s">
        <v>11404</v>
      </c>
      <c r="G24128" s="40" t="s">
        <v>11404</v>
      </c>
      <c r="H24128" s="40" t="s">
        <v>11404</v>
      </c>
    </row>
    <row r="24129">
      <c r="A24129" s="39"/>
      <c r="E24129" s="40" t="s">
        <v>11404</v>
      </c>
      <c r="F24129" s="40" t="s">
        <v>11404</v>
      </c>
      <c r="G24129" s="40" t="s">
        <v>11404</v>
      </c>
      <c r="H24129" s="40" t="s">
        <v>11404</v>
      </c>
    </row>
    <row r="24130">
      <c r="A24130" s="39"/>
      <c r="E24130" s="40" t="s">
        <v>11404</v>
      </c>
      <c r="F24130" s="40" t="s">
        <v>11404</v>
      </c>
      <c r="G24130" s="40" t="s">
        <v>11404</v>
      </c>
      <c r="H24130" s="40" t="s">
        <v>11404</v>
      </c>
    </row>
    <row r="24131">
      <c r="A24131" s="39"/>
      <c r="E24131" s="40" t="s">
        <v>11404</v>
      </c>
      <c r="F24131" s="40" t="s">
        <v>11404</v>
      </c>
      <c r="G24131" s="40" t="s">
        <v>11404</v>
      </c>
      <c r="H24131" s="40" t="s">
        <v>11404</v>
      </c>
    </row>
    <row r="24132">
      <c r="A24132" s="39"/>
      <c r="E24132" s="40" t="s">
        <v>11404</v>
      </c>
      <c r="F24132" s="40" t="s">
        <v>11404</v>
      </c>
      <c r="G24132" s="40" t="s">
        <v>11404</v>
      </c>
      <c r="H24132" s="40" t="s">
        <v>11404</v>
      </c>
    </row>
    <row r="24133">
      <c r="A24133" s="39"/>
      <c r="E24133" s="40" t="s">
        <v>11404</v>
      </c>
      <c r="F24133" s="40" t="s">
        <v>11404</v>
      </c>
      <c r="G24133" s="40" t="s">
        <v>11404</v>
      </c>
      <c r="H24133" s="40" t="s">
        <v>11404</v>
      </c>
    </row>
    <row r="24134">
      <c r="A24134" s="39"/>
      <c r="E24134" s="40" t="s">
        <v>11404</v>
      </c>
      <c r="F24134" s="40" t="s">
        <v>11404</v>
      </c>
      <c r="G24134" s="40" t="s">
        <v>11404</v>
      </c>
      <c r="H24134" s="40" t="s">
        <v>11404</v>
      </c>
    </row>
    <row r="24135">
      <c r="A24135" s="39"/>
      <c r="E24135" s="40" t="s">
        <v>11404</v>
      </c>
      <c r="F24135" s="40" t="s">
        <v>11404</v>
      </c>
      <c r="G24135" s="40" t="s">
        <v>11404</v>
      </c>
      <c r="H24135" s="40" t="s">
        <v>11404</v>
      </c>
    </row>
    <row r="24136">
      <c r="A24136" s="39"/>
      <c r="E24136" s="40" t="s">
        <v>11404</v>
      </c>
      <c r="F24136" s="40" t="s">
        <v>11404</v>
      </c>
      <c r="G24136" s="40" t="s">
        <v>11404</v>
      </c>
      <c r="H24136" s="40" t="s">
        <v>11404</v>
      </c>
    </row>
    <row r="24137">
      <c r="A24137" s="39"/>
      <c r="E24137" s="40" t="s">
        <v>11404</v>
      </c>
      <c r="F24137" s="40" t="s">
        <v>11404</v>
      </c>
      <c r="G24137" s="40" t="s">
        <v>11404</v>
      </c>
      <c r="H24137" s="40" t="s">
        <v>11404</v>
      </c>
    </row>
    <row r="24138">
      <c r="A24138" s="39"/>
      <c r="E24138" s="40" t="s">
        <v>11404</v>
      </c>
      <c r="F24138" s="40" t="s">
        <v>11404</v>
      </c>
      <c r="G24138" s="40" t="s">
        <v>11404</v>
      </c>
      <c r="H24138" s="40" t="s">
        <v>11404</v>
      </c>
    </row>
    <row r="24139">
      <c r="A24139" s="39"/>
      <c r="E24139" s="40" t="s">
        <v>11404</v>
      </c>
      <c r="F24139" s="40" t="s">
        <v>11404</v>
      </c>
      <c r="G24139" s="40" t="s">
        <v>11404</v>
      </c>
      <c r="H24139" s="40" t="s">
        <v>11404</v>
      </c>
    </row>
    <row r="24140">
      <c r="A24140" s="39"/>
      <c r="E24140" s="40" t="s">
        <v>11404</v>
      </c>
      <c r="F24140" s="40" t="s">
        <v>11404</v>
      </c>
      <c r="G24140" s="40" t="s">
        <v>11404</v>
      </c>
      <c r="H24140" s="40" t="s">
        <v>11404</v>
      </c>
    </row>
    <row r="24141">
      <c r="A24141" s="39"/>
      <c r="E24141" s="40" t="s">
        <v>11404</v>
      </c>
      <c r="F24141" s="40" t="s">
        <v>11404</v>
      </c>
      <c r="G24141" s="40" t="s">
        <v>11404</v>
      </c>
      <c r="H24141" s="40" t="s">
        <v>11404</v>
      </c>
    </row>
    <row r="24142">
      <c r="A24142" s="39"/>
      <c r="E24142" s="40" t="s">
        <v>11404</v>
      </c>
      <c r="F24142" s="40" t="s">
        <v>11404</v>
      </c>
      <c r="G24142" s="40" t="s">
        <v>11404</v>
      </c>
      <c r="H24142" s="40" t="s">
        <v>11404</v>
      </c>
    </row>
    <row r="24143">
      <c r="A24143" s="39"/>
      <c r="E24143" s="40" t="s">
        <v>11404</v>
      </c>
      <c r="F24143" s="40" t="s">
        <v>11404</v>
      </c>
      <c r="G24143" s="40" t="s">
        <v>11404</v>
      </c>
      <c r="H24143" s="40" t="s">
        <v>11404</v>
      </c>
    </row>
    <row r="24144">
      <c r="A24144" s="39"/>
      <c r="E24144" s="40" t="s">
        <v>11404</v>
      </c>
      <c r="F24144" s="40" t="s">
        <v>11404</v>
      </c>
      <c r="G24144" s="40" t="s">
        <v>11404</v>
      </c>
      <c r="H24144" s="40" t="s">
        <v>11404</v>
      </c>
    </row>
    <row r="24145">
      <c r="A24145" s="39"/>
      <c r="E24145" s="40" t="s">
        <v>11404</v>
      </c>
      <c r="F24145" s="40" t="s">
        <v>11404</v>
      </c>
      <c r="G24145" s="40" t="s">
        <v>11404</v>
      </c>
      <c r="H24145" s="40" t="s">
        <v>11404</v>
      </c>
    </row>
    <row r="24146">
      <c r="A24146" s="39"/>
      <c r="E24146" s="40" t="s">
        <v>11404</v>
      </c>
      <c r="F24146" s="40" t="s">
        <v>11404</v>
      </c>
      <c r="G24146" s="40" t="s">
        <v>11404</v>
      </c>
      <c r="H24146" s="40" t="s">
        <v>11404</v>
      </c>
    </row>
    <row r="24147">
      <c r="A24147" s="39"/>
      <c r="E24147" s="40" t="s">
        <v>11404</v>
      </c>
      <c r="F24147" s="40" t="s">
        <v>11404</v>
      </c>
      <c r="G24147" s="40" t="s">
        <v>11404</v>
      </c>
      <c r="H24147" s="40" t="s">
        <v>11404</v>
      </c>
    </row>
    <row r="24148">
      <c r="A24148" s="39"/>
      <c r="E24148" s="40" t="s">
        <v>11404</v>
      </c>
      <c r="F24148" s="40" t="s">
        <v>11404</v>
      </c>
      <c r="G24148" s="40" t="s">
        <v>11404</v>
      </c>
      <c r="H24148" s="40" t="s">
        <v>11404</v>
      </c>
    </row>
    <row r="24149">
      <c r="A24149" s="39"/>
      <c r="E24149" s="40" t="s">
        <v>11404</v>
      </c>
      <c r="F24149" s="40" t="s">
        <v>11404</v>
      </c>
      <c r="G24149" s="40" t="s">
        <v>11404</v>
      </c>
      <c r="H24149" s="40" t="s">
        <v>11404</v>
      </c>
    </row>
    <row r="24150">
      <c r="A24150" s="39"/>
      <c r="E24150" s="40" t="s">
        <v>11404</v>
      </c>
      <c r="F24150" s="40" t="s">
        <v>11404</v>
      </c>
      <c r="G24150" s="40" t="s">
        <v>11404</v>
      </c>
      <c r="H24150" s="40" t="s">
        <v>11404</v>
      </c>
    </row>
    <row r="24151">
      <c r="A24151" s="39"/>
      <c r="E24151" s="40" t="s">
        <v>11404</v>
      </c>
      <c r="F24151" s="40" t="s">
        <v>11404</v>
      </c>
      <c r="G24151" s="40" t="s">
        <v>11404</v>
      </c>
      <c r="H24151" s="40" t="s">
        <v>11404</v>
      </c>
    </row>
    <row r="24152">
      <c r="A24152" s="39"/>
      <c r="E24152" s="40" t="s">
        <v>11404</v>
      </c>
      <c r="F24152" s="40" t="s">
        <v>11404</v>
      </c>
      <c r="G24152" s="40" t="s">
        <v>11404</v>
      </c>
      <c r="H24152" s="40" t="s">
        <v>11404</v>
      </c>
    </row>
    <row r="24153">
      <c r="A24153" s="39"/>
      <c r="E24153" s="40" t="s">
        <v>11404</v>
      </c>
      <c r="F24153" s="40" t="s">
        <v>11404</v>
      </c>
      <c r="G24153" s="40" t="s">
        <v>11404</v>
      </c>
      <c r="H24153" s="40" t="s">
        <v>11404</v>
      </c>
    </row>
    <row r="24154">
      <c r="A24154" s="39"/>
      <c r="E24154" s="40" t="s">
        <v>11404</v>
      </c>
      <c r="F24154" s="40" t="s">
        <v>11404</v>
      </c>
      <c r="G24154" s="40" t="s">
        <v>11404</v>
      </c>
      <c r="H24154" s="40" t="s">
        <v>11404</v>
      </c>
    </row>
    <row r="24155">
      <c r="A24155" s="39"/>
      <c r="E24155" s="40" t="s">
        <v>11404</v>
      </c>
      <c r="F24155" s="40" t="s">
        <v>11404</v>
      </c>
      <c r="G24155" s="40" t="s">
        <v>11404</v>
      </c>
      <c r="H24155" s="40" t="s">
        <v>11404</v>
      </c>
    </row>
    <row r="24156">
      <c r="A24156" s="39"/>
      <c r="E24156" s="40" t="s">
        <v>11404</v>
      </c>
      <c r="F24156" s="40" t="s">
        <v>11404</v>
      </c>
      <c r="G24156" s="40" t="s">
        <v>11404</v>
      </c>
      <c r="H24156" s="40" t="s">
        <v>11404</v>
      </c>
    </row>
    <row r="24157">
      <c r="A24157" s="39"/>
      <c r="E24157" s="40" t="s">
        <v>11404</v>
      </c>
      <c r="F24157" s="40" t="s">
        <v>11404</v>
      </c>
      <c r="G24157" s="40" t="s">
        <v>11404</v>
      </c>
      <c r="H24157" s="40" t="s">
        <v>11404</v>
      </c>
    </row>
    <row r="24158">
      <c r="A24158" s="39"/>
      <c r="E24158" s="40" t="s">
        <v>11404</v>
      </c>
      <c r="F24158" s="40" t="s">
        <v>11404</v>
      </c>
      <c r="G24158" s="40" t="s">
        <v>11404</v>
      </c>
      <c r="H24158" s="40" t="s">
        <v>11404</v>
      </c>
    </row>
    <row r="24159">
      <c r="A24159" s="39"/>
      <c r="E24159" s="40" t="s">
        <v>11404</v>
      </c>
      <c r="F24159" s="40" t="s">
        <v>11404</v>
      </c>
      <c r="G24159" s="40" t="s">
        <v>11404</v>
      </c>
      <c r="H24159" s="40" t="s">
        <v>11404</v>
      </c>
    </row>
    <row r="24160">
      <c r="A24160" s="39"/>
      <c r="E24160" s="40" t="s">
        <v>11404</v>
      </c>
      <c r="F24160" s="40" t="s">
        <v>11404</v>
      </c>
      <c r="G24160" s="40" t="s">
        <v>11404</v>
      </c>
      <c r="H24160" s="40" t="s">
        <v>11404</v>
      </c>
    </row>
    <row r="24161">
      <c r="A24161" s="39"/>
      <c r="E24161" s="40" t="s">
        <v>11404</v>
      </c>
      <c r="F24161" s="40" t="s">
        <v>11404</v>
      </c>
      <c r="G24161" s="40" t="s">
        <v>11404</v>
      </c>
      <c r="H24161" s="40" t="s">
        <v>11404</v>
      </c>
    </row>
    <row r="24162">
      <c r="A24162" s="39"/>
      <c r="E24162" s="40" t="s">
        <v>11404</v>
      </c>
      <c r="F24162" s="40" t="s">
        <v>11404</v>
      </c>
      <c r="G24162" s="40" t="s">
        <v>11404</v>
      </c>
      <c r="H24162" s="40" t="s">
        <v>11404</v>
      </c>
    </row>
    <row r="24163">
      <c r="A24163" s="39"/>
      <c r="E24163" s="40" t="s">
        <v>11404</v>
      </c>
      <c r="F24163" s="40" t="s">
        <v>11404</v>
      </c>
      <c r="G24163" s="40" t="s">
        <v>11404</v>
      </c>
      <c r="H24163" s="40" t="s">
        <v>11404</v>
      </c>
    </row>
    <row r="24164">
      <c r="A24164" s="39"/>
      <c r="E24164" s="40" t="s">
        <v>11404</v>
      </c>
      <c r="F24164" s="40" t="s">
        <v>11404</v>
      </c>
      <c r="G24164" s="40" t="s">
        <v>11404</v>
      </c>
      <c r="H24164" s="40" t="s">
        <v>11404</v>
      </c>
    </row>
    <row r="24165">
      <c r="A24165" s="39"/>
      <c r="E24165" s="40" t="s">
        <v>11404</v>
      </c>
      <c r="F24165" s="40" t="s">
        <v>11404</v>
      </c>
      <c r="G24165" s="40" t="s">
        <v>11404</v>
      </c>
      <c r="H24165" s="40" t="s">
        <v>11404</v>
      </c>
    </row>
    <row r="24166">
      <c r="A24166" s="39"/>
      <c r="E24166" s="40" t="s">
        <v>11404</v>
      </c>
      <c r="F24166" s="40" t="s">
        <v>11404</v>
      </c>
      <c r="G24166" s="40" t="s">
        <v>11404</v>
      </c>
      <c r="H24166" s="40" t="s">
        <v>11404</v>
      </c>
    </row>
    <row r="24167">
      <c r="A24167" s="39"/>
      <c r="E24167" s="40" t="s">
        <v>11404</v>
      </c>
      <c r="F24167" s="40" t="s">
        <v>11404</v>
      </c>
      <c r="G24167" s="40" t="s">
        <v>11404</v>
      </c>
      <c r="H24167" s="40" t="s">
        <v>11404</v>
      </c>
    </row>
    <row r="24168">
      <c r="A24168" s="39"/>
      <c r="E24168" s="40" t="s">
        <v>11404</v>
      </c>
      <c r="F24168" s="40" t="s">
        <v>11404</v>
      </c>
      <c r="G24168" s="40" t="s">
        <v>11404</v>
      </c>
      <c r="H24168" s="40" t="s">
        <v>11404</v>
      </c>
    </row>
    <row r="24169">
      <c r="A24169" s="39"/>
      <c r="E24169" s="40" t="s">
        <v>11404</v>
      </c>
      <c r="F24169" s="40" t="s">
        <v>11404</v>
      </c>
      <c r="G24169" s="40" t="s">
        <v>11404</v>
      </c>
      <c r="H24169" s="40" t="s">
        <v>11404</v>
      </c>
    </row>
    <row r="24170">
      <c r="A24170" s="39"/>
      <c r="E24170" s="40" t="s">
        <v>11404</v>
      </c>
      <c r="F24170" s="40" t="s">
        <v>11404</v>
      </c>
      <c r="G24170" s="40" t="s">
        <v>11404</v>
      </c>
      <c r="H24170" s="40" t="s">
        <v>11404</v>
      </c>
    </row>
    <row r="24171">
      <c r="A24171" s="39"/>
      <c r="E24171" s="40" t="s">
        <v>11404</v>
      </c>
      <c r="F24171" s="40" t="s">
        <v>11404</v>
      </c>
      <c r="G24171" s="40" t="s">
        <v>11404</v>
      </c>
      <c r="H24171" s="40" t="s">
        <v>11404</v>
      </c>
    </row>
    <row r="24172">
      <c r="A24172" s="39"/>
      <c r="E24172" s="40" t="s">
        <v>11404</v>
      </c>
      <c r="F24172" s="40" t="s">
        <v>11404</v>
      </c>
      <c r="G24172" s="40" t="s">
        <v>11404</v>
      </c>
      <c r="H24172" s="40" t="s">
        <v>11404</v>
      </c>
    </row>
    <row r="24173">
      <c r="A24173" s="39"/>
      <c r="E24173" s="40" t="s">
        <v>11404</v>
      </c>
      <c r="F24173" s="40" t="s">
        <v>11404</v>
      </c>
      <c r="G24173" s="40" t="s">
        <v>11404</v>
      </c>
      <c r="H24173" s="40" t="s">
        <v>11404</v>
      </c>
    </row>
    <row r="24174">
      <c r="A24174" s="39"/>
      <c r="E24174" s="40" t="s">
        <v>11404</v>
      </c>
      <c r="F24174" s="40" t="s">
        <v>11404</v>
      </c>
      <c r="G24174" s="40" t="s">
        <v>11404</v>
      </c>
      <c r="H24174" s="40" t="s">
        <v>11404</v>
      </c>
    </row>
    <row r="24175">
      <c r="A24175" s="39"/>
      <c r="E24175" s="40" t="s">
        <v>11404</v>
      </c>
      <c r="F24175" s="40" t="s">
        <v>11404</v>
      </c>
      <c r="G24175" s="40" t="s">
        <v>11404</v>
      </c>
      <c r="H24175" s="40" t="s">
        <v>11404</v>
      </c>
    </row>
    <row r="24176">
      <c r="A24176" s="39"/>
      <c r="E24176" s="40" t="s">
        <v>11404</v>
      </c>
      <c r="F24176" s="40" t="s">
        <v>11404</v>
      </c>
      <c r="G24176" s="40" t="s">
        <v>11404</v>
      </c>
      <c r="H24176" s="40" t="s">
        <v>11404</v>
      </c>
    </row>
    <row r="24177">
      <c r="A24177" s="39"/>
      <c r="E24177" s="40" t="s">
        <v>11404</v>
      </c>
      <c r="F24177" s="40" t="s">
        <v>11404</v>
      </c>
      <c r="G24177" s="40" t="s">
        <v>11404</v>
      </c>
      <c r="H24177" s="40" t="s">
        <v>11404</v>
      </c>
    </row>
    <row r="24178">
      <c r="A24178" s="39"/>
      <c r="E24178" s="40" t="s">
        <v>11404</v>
      </c>
      <c r="F24178" s="40" t="s">
        <v>11404</v>
      </c>
      <c r="G24178" s="40" t="s">
        <v>11404</v>
      </c>
      <c r="H24178" s="40" t="s">
        <v>11404</v>
      </c>
    </row>
    <row r="24179">
      <c r="A24179" s="39"/>
      <c r="E24179" s="40" t="s">
        <v>11404</v>
      </c>
      <c r="F24179" s="40" t="s">
        <v>11404</v>
      </c>
      <c r="G24179" s="40" t="s">
        <v>11404</v>
      </c>
      <c r="H24179" s="40" t="s">
        <v>11404</v>
      </c>
    </row>
    <row r="24180">
      <c r="A24180" s="39"/>
      <c r="E24180" s="40" t="s">
        <v>11404</v>
      </c>
      <c r="F24180" s="40" t="s">
        <v>11404</v>
      </c>
      <c r="G24180" s="40" t="s">
        <v>11404</v>
      </c>
      <c r="H24180" s="40" t="s">
        <v>11404</v>
      </c>
    </row>
    <row r="24181">
      <c r="A24181" s="39"/>
      <c r="E24181" s="40" t="s">
        <v>11404</v>
      </c>
      <c r="F24181" s="40" t="s">
        <v>11404</v>
      </c>
      <c r="G24181" s="40" t="s">
        <v>11404</v>
      </c>
      <c r="H24181" s="40" t="s">
        <v>11404</v>
      </c>
    </row>
    <row r="24182">
      <c r="A24182" s="39"/>
      <c r="E24182" s="40" t="s">
        <v>11404</v>
      </c>
      <c r="F24182" s="40" t="s">
        <v>11404</v>
      </c>
      <c r="G24182" s="40" t="s">
        <v>11404</v>
      </c>
      <c r="H24182" s="40" t="s">
        <v>11404</v>
      </c>
    </row>
    <row r="24183">
      <c r="A24183" s="39"/>
      <c r="E24183" s="40" t="s">
        <v>11404</v>
      </c>
      <c r="F24183" s="40" t="s">
        <v>11404</v>
      </c>
      <c r="G24183" s="40" t="s">
        <v>11404</v>
      </c>
      <c r="H24183" s="40" t="s">
        <v>11404</v>
      </c>
    </row>
    <row r="24184">
      <c r="A24184" s="39"/>
      <c r="E24184" s="40" t="s">
        <v>11404</v>
      </c>
      <c r="F24184" s="40" t="s">
        <v>11404</v>
      </c>
      <c r="G24184" s="40" t="s">
        <v>11404</v>
      </c>
      <c r="H24184" s="40" t="s">
        <v>11404</v>
      </c>
    </row>
    <row r="24185">
      <c r="A24185" s="39"/>
      <c r="E24185" s="40" t="s">
        <v>11404</v>
      </c>
      <c r="F24185" s="40" t="s">
        <v>11404</v>
      </c>
      <c r="G24185" s="40" t="s">
        <v>11404</v>
      </c>
      <c r="H24185" s="40" t="s">
        <v>11404</v>
      </c>
    </row>
    <row r="24186">
      <c r="A24186" s="39"/>
      <c r="E24186" s="40" t="s">
        <v>11404</v>
      </c>
      <c r="F24186" s="40" t="s">
        <v>11404</v>
      </c>
      <c r="G24186" s="40" t="s">
        <v>11404</v>
      </c>
      <c r="H24186" s="40" t="s">
        <v>11404</v>
      </c>
    </row>
    <row r="24187">
      <c r="A24187" s="39"/>
      <c r="E24187" s="40" t="s">
        <v>11404</v>
      </c>
      <c r="F24187" s="40" t="s">
        <v>11404</v>
      </c>
      <c r="G24187" s="40" t="s">
        <v>11404</v>
      </c>
      <c r="H24187" s="40" t="s">
        <v>11404</v>
      </c>
    </row>
    <row r="24188">
      <c r="A24188" s="39"/>
      <c r="E24188" s="40" t="s">
        <v>11404</v>
      </c>
      <c r="F24188" s="40" t="s">
        <v>11404</v>
      </c>
      <c r="G24188" s="40" t="s">
        <v>11404</v>
      </c>
      <c r="H24188" s="40" t="s">
        <v>11404</v>
      </c>
    </row>
    <row r="24189">
      <c r="A24189" s="39"/>
      <c r="E24189" s="40" t="s">
        <v>11404</v>
      </c>
      <c r="F24189" s="40" t="s">
        <v>11404</v>
      </c>
      <c r="G24189" s="40" t="s">
        <v>11404</v>
      </c>
      <c r="H24189" s="40" t="s">
        <v>11404</v>
      </c>
    </row>
    <row r="24190">
      <c r="A24190" s="39"/>
      <c r="E24190" s="40" t="s">
        <v>11404</v>
      </c>
      <c r="F24190" s="40" t="s">
        <v>11404</v>
      </c>
      <c r="G24190" s="40" t="s">
        <v>11404</v>
      </c>
      <c r="H24190" s="40" t="s">
        <v>11404</v>
      </c>
    </row>
    <row r="24191">
      <c r="A24191" s="39"/>
      <c r="E24191" s="40" t="s">
        <v>11404</v>
      </c>
      <c r="F24191" s="40" t="s">
        <v>11404</v>
      </c>
      <c r="G24191" s="40" t="s">
        <v>11404</v>
      </c>
      <c r="H24191" s="40" t="s">
        <v>11404</v>
      </c>
    </row>
    <row r="24192">
      <c r="A24192" s="39"/>
      <c r="E24192" s="40" t="s">
        <v>11404</v>
      </c>
      <c r="F24192" s="40" t="s">
        <v>11404</v>
      </c>
      <c r="G24192" s="40" t="s">
        <v>11404</v>
      </c>
      <c r="H24192" s="40" t="s">
        <v>11404</v>
      </c>
    </row>
    <row r="24193">
      <c r="A24193" s="39"/>
      <c r="E24193" s="40" t="s">
        <v>11404</v>
      </c>
      <c r="F24193" s="40" t="s">
        <v>11404</v>
      </c>
      <c r="G24193" s="40" t="s">
        <v>11404</v>
      </c>
      <c r="H24193" s="40" t="s">
        <v>11404</v>
      </c>
    </row>
    <row r="24194">
      <c r="A24194" s="39"/>
      <c r="E24194" s="40" t="s">
        <v>11404</v>
      </c>
      <c r="F24194" s="40" t="s">
        <v>11404</v>
      </c>
      <c r="G24194" s="40" t="s">
        <v>11404</v>
      </c>
      <c r="H24194" s="40" t="s">
        <v>11404</v>
      </c>
    </row>
    <row r="24195">
      <c r="A24195" s="39"/>
      <c r="E24195" s="40" t="s">
        <v>11404</v>
      </c>
      <c r="F24195" s="40" t="s">
        <v>11404</v>
      </c>
      <c r="G24195" s="40" t="s">
        <v>11404</v>
      </c>
      <c r="H24195" s="40" t="s">
        <v>11404</v>
      </c>
    </row>
    <row r="24196">
      <c r="A24196" s="39"/>
      <c r="E24196" s="40" t="s">
        <v>11404</v>
      </c>
      <c r="F24196" s="40" t="s">
        <v>11404</v>
      </c>
      <c r="G24196" s="40" t="s">
        <v>11404</v>
      </c>
      <c r="H24196" s="40" t="s">
        <v>11404</v>
      </c>
    </row>
    <row r="24197">
      <c r="A24197" s="39"/>
      <c r="E24197" s="40" t="s">
        <v>11404</v>
      </c>
      <c r="F24197" s="40" t="s">
        <v>11404</v>
      </c>
      <c r="G24197" s="40" t="s">
        <v>11404</v>
      </c>
      <c r="H24197" s="40" t="s">
        <v>11404</v>
      </c>
    </row>
    <row r="24198">
      <c r="A24198" s="39"/>
      <c r="E24198" s="40" t="s">
        <v>11404</v>
      </c>
      <c r="F24198" s="40" t="s">
        <v>11404</v>
      </c>
      <c r="G24198" s="40" t="s">
        <v>11404</v>
      </c>
      <c r="H24198" s="40" t="s">
        <v>11404</v>
      </c>
    </row>
    <row r="24199">
      <c r="A24199" s="39"/>
      <c r="E24199" s="40" t="s">
        <v>11404</v>
      </c>
      <c r="F24199" s="40" t="s">
        <v>11404</v>
      </c>
      <c r="G24199" s="40" t="s">
        <v>11404</v>
      </c>
      <c r="H24199" s="40" t="s">
        <v>11404</v>
      </c>
    </row>
    <row r="24200">
      <c r="A24200" s="39"/>
      <c r="E24200" s="40" t="s">
        <v>11404</v>
      </c>
      <c r="F24200" s="40" t="s">
        <v>11404</v>
      </c>
      <c r="G24200" s="40" t="s">
        <v>11404</v>
      </c>
      <c r="H24200" s="40" t="s">
        <v>11404</v>
      </c>
    </row>
    <row r="24201">
      <c r="A24201" s="39"/>
      <c r="E24201" s="40" t="s">
        <v>11404</v>
      </c>
      <c r="F24201" s="40" t="s">
        <v>11404</v>
      </c>
      <c r="G24201" s="40" t="s">
        <v>11404</v>
      </c>
      <c r="H24201" s="40" t="s">
        <v>11404</v>
      </c>
    </row>
    <row r="24202">
      <c r="A24202" s="39"/>
      <c r="E24202" s="40" t="s">
        <v>11404</v>
      </c>
      <c r="F24202" s="40" t="s">
        <v>11404</v>
      </c>
      <c r="G24202" s="40" t="s">
        <v>11404</v>
      </c>
      <c r="H24202" s="40" t="s">
        <v>11404</v>
      </c>
    </row>
    <row r="24203">
      <c r="A24203" s="39"/>
      <c r="E24203" s="40" t="s">
        <v>11404</v>
      </c>
      <c r="F24203" s="40" t="s">
        <v>11404</v>
      </c>
      <c r="G24203" s="40" t="s">
        <v>11404</v>
      </c>
      <c r="H24203" s="40" t="s">
        <v>11404</v>
      </c>
    </row>
    <row r="24204">
      <c r="A24204" s="39"/>
      <c r="E24204" s="40" t="s">
        <v>11404</v>
      </c>
      <c r="F24204" s="40" t="s">
        <v>11404</v>
      </c>
      <c r="G24204" s="40" t="s">
        <v>11404</v>
      </c>
      <c r="H24204" s="40" t="s">
        <v>11404</v>
      </c>
    </row>
    <row r="24205">
      <c r="A24205" s="39"/>
      <c r="E24205" s="40" t="s">
        <v>11404</v>
      </c>
      <c r="F24205" s="40" t="s">
        <v>11404</v>
      </c>
      <c r="G24205" s="40" t="s">
        <v>11404</v>
      </c>
      <c r="H24205" s="40" t="s">
        <v>11404</v>
      </c>
    </row>
    <row r="24206">
      <c r="A24206" s="39"/>
      <c r="E24206" s="40" t="s">
        <v>11404</v>
      </c>
      <c r="F24206" s="40" t="s">
        <v>11404</v>
      </c>
      <c r="G24206" s="40" t="s">
        <v>11404</v>
      </c>
      <c r="H24206" s="40" t="s">
        <v>11404</v>
      </c>
    </row>
    <row r="24207">
      <c r="A24207" s="39"/>
      <c r="E24207" s="40" t="s">
        <v>11404</v>
      </c>
      <c r="F24207" s="40" t="s">
        <v>11404</v>
      </c>
      <c r="G24207" s="40" t="s">
        <v>11404</v>
      </c>
      <c r="H24207" s="40" t="s">
        <v>11404</v>
      </c>
    </row>
    <row r="24208">
      <c r="A24208" s="39"/>
      <c r="E24208" s="40" t="s">
        <v>11404</v>
      </c>
      <c r="F24208" s="40" t="s">
        <v>11404</v>
      </c>
      <c r="G24208" s="40" t="s">
        <v>11404</v>
      </c>
      <c r="H24208" s="40" t="s">
        <v>11404</v>
      </c>
    </row>
    <row r="24209">
      <c r="A24209" s="39"/>
      <c r="E24209" s="40" t="s">
        <v>11404</v>
      </c>
      <c r="F24209" s="40" t="s">
        <v>11404</v>
      </c>
      <c r="G24209" s="40" t="s">
        <v>11404</v>
      </c>
      <c r="H24209" s="40" t="s">
        <v>11404</v>
      </c>
    </row>
    <row r="24210">
      <c r="A24210" s="39"/>
      <c r="E24210" s="40" t="s">
        <v>11404</v>
      </c>
      <c r="F24210" s="40" t="s">
        <v>11404</v>
      </c>
      <c r="G24210" s="40" t="s">
        <v>11404</v>
      </c>
      <c r="H24210" s="40" t="s">
        <v>11404</v>
      </c>
    </row>
    <row r="24211">
      <c r="A24211" s="39"/>
      <c r="E24211" s="40" t="s">
        <v>11404</v>
      </c>
      <c r="F24211" s="40" t="s">
        <v>11404</v>
      </c>
      <c r="G24211" s="40" t="s">
        <v>11404</v>
      </c>
      <c r="H24211" s="40" t="s">
        <v>11404</v>
      </c>
    </row>
    <row r="24212">
      <c r="A24212" s="39"/>
      <c r="E24212" s="40" t="s">
        <v>11404</v>
      </c>
      <c r="F24212" s="40" t="s">
        <v>11404</v>
      </c>
      <c r="G24212" s="40" t="s">
        <v>11404</v>
      </c>
      <c r="H24212" s="40" t="s">
        <v>11404</v>
      </c>
    </row>
    <row r="24213">
      <c r="A24213" s="39"/>
      <c r="E24213" s="40" t="s">
        <v>11404</v>
      </c>
      <c r="F24213" s="40" t="s">
        <v>11404</v>
      </c>
      <c r="G24213" s="40" t="s">
        <v>11404</v>
      </c>
      <c r="H24213" s="40" t="s">
        <v>11404</v>
      </c>
    </row>
    <row r="24214">
      <c r="A24214" s="39"/>
      <c r="E24214" s="40" t="s">
        <v>11404</v>
      </c>
      <c r="F24214" s="40" t="s">
        <v>11404</v>
      </c>
      <c r="G24214" s="40" t="s">
        <v>11404</v>
      </c>
      <c r="H24214" s="40" t="s">
        <v>11404</v>
      </c>
    </row>
    <row r="24215">
      <c r="A24215" s="39"/>
      <c r="E24215" s="40" t="s">
        <v>11404</v>
      </c>
      <c r="F24215" s="40" t="s">
        <v>11404</v>
      </c>
      <c r="G24215" s="40" t="s">
        <v>11404</v>
      </c>
      <c r="H24215" s="40" t="s">
        <v>11404</v>
      </c>
    </row>
    <row r="24216">
      <c r="A24216" s="39"/>
      <c r="E24216" s="40" t="s">
        <v>11404</v>
      </c>
      <c r="F24216" s="40" t="s">
        <v>11404</v>
      </c>
      <c r="G24216" s="40" t="s">
        <v>11404</v>
      </c>
      <c r="H24216" s="40" t="s">
        <v>11404</v>
      </c>
    </row>
    <row r="24217">
      <c r="A24217" s="39"/>
      <c r="E24217" s="40" t="s">
        <v>11404</v>
      </c>
      <c r="F24217" s="40" t="s">
        <v>11404</v>
      </c>
      <c r="G24217" s="40" t="s">
        <v>11404</v>
      </c>
      <c r="H24217" s="40" t="s">
        <v>11404</v>
      </c>
    </row>
    <row r="24218">
      <c r="A24218" s="39"/>
      <c r="E24218" s="40" t="s">
        <v>11404</v>
      </c>
      <c r="F24218" s="40" t="s">
        <v>11404</v>
      </c>
      <c r="G24218" s="40" t="s">
        <v>11404</v>
      </c>
      <c r="H24218" s="40" t="s">
        <v>11404</v>
      </c>
    </row>
    <row r="24219">
      <c r="A24219" s="39"/>
      <c r="E24219" s="40" t="s">
        <v>11404</v>
      </c>
      <c r="F24219" s="40" t="s">
        <v>11404</v>
      </c>
      <c r="G24219" s="40" t="s">
        <v>11404</v>
      </c>
      <c r="H24219" s="40" t="s">
        <v>11404</v>
      </c>
    </row>
    <row r="24220">
      <c r="A24220" s="39"/>
      <c r="E24220" s="40" t="s">
        <v>11404</v>
      </c>
      <c r="F24220" s="40" t="s">
        <v>11404</v>
      </c>
      <c r="G24220" s="40" t="s">
        <v>11404</v>
      </c>
      <c r="H24220" s="40" t="s">
        <v>11404</v>
      </c>
    </row>
    <row r="24221">
      <c r="A24221" s="39"/>
      <c r="E24221" s="40" t="s">
        <v>11404</v>
      </c>
      <c r="F24221" s="40" t="s">
        <v>11404</v>
      </c>
      <c r="G24221" s="40" t="s">
        <v>11404</v>
      </c>
      <c r="H24221" s="40" t="s">
        <v>11404</v>
      </c>
    </row>
    <row r="24222">
      <c r="A24222" s="39"/>
      <c r="E24222" s="40" t="s">
        <v>11404</v>
      </c>
      <c r="F24222" s="40" t="s">
        <v>11404</v>
      </c>
      <c r="G24222" s="40" t="s">
        <v>11404</v>
      </c>
      <c r="H24222" s="40" t="s">
        <v>11404</v>
      </c>
    </row>
    <row r="24223">
      <c r="A24223" s="39"/>
      <c r="E24223" s="40" t="s">
        <v>11404</v>
      </c>
      <c r="F24223" s="40" t="s">
        <v>11404</v>
      </c>
      <c r="G24223" s="40" t="s">
        <v>11404</v>
      </c>
      <c r="H24223" s="40" t="s">
        <v>11404</v>
      </c>
    </row>
    <row r="24224">
      <c r="A24224" s="39"/>
      <c r="E24224" s="40" t="s">
        <v>11404</v>
      </c>
      <c r="F24224" s="40" t="s">
        <v>11404</v>
      </c>
      <c r="G24224" s="40" t="s">
        <v>11404</v>
      </c>
      <c r="H24224" s="40" t="s">
        <v>11404</v>
      </c>
    </row>
    <row r="24225">
      <c r="A24225" s="39"/>
      <c r="E24225" s="40" t="s">
        <v>11404</v>
      </c>
      <c r="F24225" s="40" t="s">
        <v>11404</v>
      </c>
      <c r="G24225" s="40" t="s">
        <v>11404</v>
      </c>
      <c r="H24225" s="40" t="s">
        <v>11404</v>
      </c>
    </row>
    <row r="24226">
      <c r="A24226" s="39"/>
      <c r="E24226" s="40" t="s">
        <v>11404</v>
      </c>
      <c r="F24226" s="40" t="s">
        <v>11404</v>
      </c>
      <c r="G24226" s="40" t="s">
        <v>11404</v>
      </c>
      <c r="H24226" s="40" t="s">
        <v>11404</v>
      </c>
    </row>
    <row r="24227">
      <c r="A24227" s="39"/>
      <c r="E24227" s="40" t="s">
        <v>11404</v>
      </c>
      <c r="F24227" s="40" t="s">
        <v>11404</v>
      </c>
      <c r="G24227" s="40" t="s">
        <v>11404</v>
      </c>
      <c r="H24227" s="40" t="s">
        <v>11404</v>
      </c>
    </row>
    <row r="24228">
      <c r="A24228" s="39"/>
      <c r="E24228" s="40" t="s">
        <v>11404</v>
      </c>
      <c r="F24228" s="40" t="s">
        <v>11404</v>
      </c>
      <c r="G24228" s="40" t="s">
        <v>11404</v>
      </c>
      <c r="H24228" s="40" t="s">
        <v>11404</v>
      </c>
    </row>
    <row r="24229">
      <c r="A24229" s="39"/>
      <c r="E24229" s="40" t="s">
        <v>11404</v>
      </c>
      <c r="F24229" s="40" t="s">
        <v>11404</v>
      </c>
      <c r="G24229" s="40" t="s">
        <v>11404</v>
      </c>
      <c r="H24229" s="40" t="s">
        <v>11404</v>
      </c>
    </row>
    <row r="24230">
      <c r="A24230" s="39"/>
      <c r="E24230" s="40" t="s">
        <v>11404</v>
      </c>
      <c r="F24230" s="40" t="s">
        <v>11404</v>
      </c>
      <c r="G24230" s="40" t="s">
        <v>11404</v>
      </c>
      <c r="H24230" s="40" t="s">
        <v>11404</v>
      </c>
    </row>
    <row r="24231">
      <c r="A24231" s="39"/>
      <c r="E24231" s="40" t="s">
        <v>11404</v>
      </c>
      <c r="F24231" s="40" t="s">
        <v>11404</v>
      </c>
      <c r="G24231" s="40" t="s">
        <v>11404</v>
      </c>
      <c r="H24231" s="40" t="s">
        <v>11404</v>
      </c>
    </row>
    <row r="24232">
      <c r="A24232" s="39"/>
      <c r="E24232" s="40" t="s">
        <v>11404</v>
      </c>
      <c r="F24232" s="40" t="s">
        <v>11404</v>
      </c>
      <c r="G24232" s="40" t="s">
        <v>11404</v>
      </c>
      <c r="H24232" s="40" t="s">
        <v>11404</v>
      </c>
    </row>
    <row r="24233">
      <c r="A24233" s="39"/>
      <c r="E24233" s="40" t="s">
        <v>11404</v>
      </c>
      <c r="F24233" s="40" t="s">
        <v>11404</v>
      </c>
      <c r="G24233" s="40" t="s">
        <v>11404</v>
      </c>
      <c r="H24233" s="40" t="s">
        <v>11404</v>
      </c>
    </row>
    <row r="24234">
      <c r="A24234" s="39"/>
      <c r="E24234" s="40" t="s">
        <v>11404</v>
      </c>
      <c r="F24234" s="40" t="s">
        <v>11404</v>
      </c>
      <c r="G24234" s="40" t="s">
        <v>11404</v>
      </c>
      <c r="H24234" s="40" t="s">
        <v>11404</v>
      </c>
    </row>
    <row r="24235">
      <c r="A24235" s="39"/>
      <c r="E24235" s="40" t="s">
        <v>11404</v>
      </c>
      <c r="F24235" s="40" t="s">
        <v>11404</v>
      </c>
      <c r="G24235" s="40" t="s">
        <v>11404</v>
      </c>
      <c r="H24235" s="40" t="s">
        <v>11404</v>
      </c>
    </row>
    <row r="24236">
      <c r="A24236" s="39"/>
      <c r="E24236" s="40" t="s">
        <v>11404</v>
      </c>
      <c r="F24236" s="40" t="s">
        <v>11404</v>
      </c>
      <c r="G24236" s="40" t="s">
        <v>11404</v>
      </c>
      <c r="H24236" s="40" t="s">
        <v>11404</v>
      </c>
    </row>
    <row r="24237">
      <c r="A24237" s="39"/>
      <c r="E24237" s="40" t="s">
        <v>11404</v>
      </c>
      <c r="F24237" s="40" t="s">
        <v>11404</v>
      </c>
      <c r="G24237" s="40" t="s">
        <v>11404</v>
      </c>
      <c r="H24237" s="40" t="s">
        <v>11404</v>
      </c>
    </row>
    <row r="24238">
      <c r="A24238" s="39"/>
      <c r="E24238" s="40" t="s">
        <v>11404</v>
      </c>
      <c r="F24238" s="40" t="s">
        <v>11404</v>
      </c>
      <c r="G24238" s="40" t="s">
        <v>11404</v>
      </c>
      <c r="H24238" s="40" t="s">
        <v>11404</v>
      </c>
    </row>
    <row r="24239">
      <c r="A24239" s="39"/>
      <c r="E24239" s="40" t="s">
        <v>11404</v>
      </c>
      <c r="F24239" s="40" t="s">
        <v>11404</v>
      </c>
      <c r="G24239" s="40" t="s">
        <v>11404</v>
      </c>
      <c r="H24239" s="40" t="s">
        <v>11404</v>
      </c>
    </row>
    <row r="24240">
      <c r="A24240" s="39"/>
      <c r="E24240" s="40" t="s">
        <v>11404</v>
      </c>
      <c r="F24240" s="40" t="s">
        <v>11404</v>
      </c>
      <c r="G24240" s="40" t="s">
        <v>11404</v>
      </c>
      <c r="H24240" s="40" t="s">
        <v>11404</v>
      </c>
    </row>
    <row r="24241">
      <c r="A24241" s="39"/>
      <c r="E24241" s="40" t="s">
        <v>11404</v>
      </c>
      <c r="F24241" s="40" t="s">
        <v>11404</v>
      </c>
      <c r="G24241" s="40" t="s">
        <v>11404</v>
      </c>
      <c r="H24241" s="40" t="s">
        <v>11404</v>
      </c>
    </row>
    <row r="24242">
      <c r="A24242" s="39"/>
      <c r="E24242" s="40" t="s">
        <v>11404</v>
      </c>
      <c r="F24242" s="40" t="s">
        <v>11404</v>
      </c>
      <c r="G24242" s="40" t="s">
        <v>11404</v>
      </c>
      <c r="H24242" s="40" t="s">
        <v>11404</v>
      </c>
    </row>
    <row r="24243">
      <c r="A24243" s="39"/>
      <c r="E24243" s="40" t="s">
        <v>11404</v>
      </c>
      <c r="F24243" s="40" t="s">
        <v>11404</v>
      </c>
      <c r="G24243" s="40" t="s">
        <v>11404</v>
      </c>
      <c r="H24243" s="40" t="s">
        <v>11404</v>
      </c>
    </row>
    <row r="24244">
      <c r="A24244" s="39"/>
      <c r="E24244" s="40" t="s">
        <v>11404</v>
      </c>
      <c r="F24244" s="40" t="s">
        <v>11404</v>
      </c>
      <c r="G24244" s="40" t="s">
        <v>11404</v>
      </c>
      <c r="H24244" s="40" t="s">
        <v>11404</v>
      </c>
    </row>
    <row r="24245">
      <c r="A24245" s="39"/>
      <c r="E24245" s="40" t="s">
        <v>11404</v>
      </c>
      <c r="F24245" s="40" t="s">
        <v>11404</v>
      </c>
      <c r="G24245" s="40" t="s">
        <v>11404</v>
      </c>
      <c r="H24245" s="40" t="s">
        <v>11404</v>
      </c>
    </row>
    <row r="24246">
      <c r="A24246" s="39"/>
      <c r="E24246" s="40" t="s">
        <v>11404</v>
      </c>
      <c r="F24246" s="40" t="s">
        <v>11404</v>
      </c>
      <c r="G24246" s="40" t="s">
        <v>11404</v>
      </c>
      <c r="H24246" s="40" t="s">
        <v>11404</v>
      </c>
    </row>
    <row r="24247">
      <c r="A24247" s="39"/>
      <c r="E24247" s="40" t="s">
        <v>11404</v>
      </c>
      <c r="F24247" s="40" t="s">
        <v>11404</v>
      </c>
      <c r="G24247" s="40" t="s">
        <v>11404</v>
      </c>
      <c r="H24247" s="40" t="s">
        <v>11404</v>
      </c>
    </row>
    <row r="24248">
      <c r="A24248" s="39"/>
      <c r="E24248" s="40" t="s">
        <v>11404</v>
      </c>
      <c r="F24248" s="40" t="s">
        <v>11404</v>
      </c>
      <c r="G24248" s="40" t="s">
        <v>11404</v>
      </c>
      <c r="H24248" s="40" t="s">
        <v>11404</v>
      </c>
    </row>
    <row r="24249">
      <c r="A24249" s="39"/>
      <c r="E24249" s="40" t="s">
        <v>11404</v>
      </c>
      <c r="F24249" s="40" t="s">
        <v>11404</v>
      </c>
      <c r="G24249" s="40" t="s">
        <v>11404</v>
      </c>
      <c r="H24249" s="40" t="s">
        <v>11404</v>
      </c>
    </row>
    <row r="24250">
      <c r="A24250" s="39"/>
      <c r="E24250" s="40" t="s">
        <v>11404</v>
      </c>
      <c r="F24250" s="40" t="s">
        <v>11404</v>
      </c>
      <c r="G24250" s="40" t="s">
        <v>11404</v>
      </c>
      <c r="H24250" s="40" t="s">
        <v>11404</v>
      </c>
    </row>
    <row r="24251">
      <c r="A24251" s="39"/>
      <c r="E24251" s="40" t="s">
        <v>11404</v>
      </c>
      <c r="F24251" s="40" t="s">
        <v>11404</v>
      </c>
      <c r="G24251" s="40" t="s">
        <v>11404</v>
      </c>
      <c r="H24251" s="40" t="s">
        <v>11404</v>
      </c>
    </row>
    <row r="24252">
      <c r="A24252" s="39"/>
      <c r="E24252" s="40" t="s">
        <v>11404</v>
      </c>
      <c r="F24252" s="40" t="s">
        <v>11404</v>
      </c>
      <c r="G24252" s="40" t="s">
        <v>11404</v>
      </c>
      <c r="H24252" s="40" t="s">
        <v>11404</v>
      </c>
    </row>
    <row r="24253">
      <c r="A24253" s="39"/>
      <c r="E24253" s="40" t="s">
        <v>11404</v>
      </c>
      <c r="F24253" s="40" t="s">
        <v>11404</v>
      </c>
      <c r="G24253" s="40" t="s">
        <v>11404</v>
      </c>
      <c r="H24253" s="40" t="s">
        <v>11404</v>
      </c>
    </row>
    <row r="24254">
      <c r="A24254" s="39"/>
      <c r="E24254" s="40" t="s">
        <v>11404</v>
      </c>
      <c r="F24254" s="40" t="s">
        <v>11404</v>
      </c>
      <c r="G24254" s="40" t="s">
        <v>11404</v>
      </c>
      <c r="H24254" s="40" t="s">
        <v>11404</v>
      </c>
    </row>
    <row r="24255">
      <c r="A24255" s="39"/>
      <c r="E24255" s="40" t="s">
        <v>11404</v>
      </c>
      <c r="F24255" s="40" t="s">
        <v>11404</v>
      </c>
      <c r="G24255" s="40" t="s">
        <v>11404</v>
      </c>
      <c r="H24255" s="40" t="s">
        <v>11404</v>
      </c>
    </row>
    <row r="24256">
      <c r="A24256" s="39"/>
      <c r="E24256" s="40" t="s">
        <v>11404</v>
      </c>
      <c r="F24256" s="40" t="s">
        <v>11404</v>
      </c>
      <c r="G24256" s="40" t="s">
        <v>11404</v>
      </c>
      <c r="H24256" s="40" t="s">
        <v>11404</v>
      </c>
    </row>
    <row r="24257">
      <c r="A24257" s="39"/>
      <c r="E24257" s="40" t="s">
        <v>11404</v>
      </c>
      <c r="F24257" s="40" t="s">
        <v>11404</v>
      </c>
      <c r="G24257" s="40" t="s">
        <v>11404</v>
      </c>
      <c r="H24257" s="40" t="s">
        <v>11404</v>
      </c>
    </row>
    <row r="24258">
      <c r="A24258" s="39"/>
      <c r="E24258" s="40" t="s">
        <v>11404</v>
      </c>
      <c r="F24258" s="40" t="s">
        <v>11404</v>
      </c>
      <c r="G24258" s="40" t="s">
        <v>11404</v>
      </c>
      <c r="H24258" s="40" t="s">
        <v>11404</v>
      </c>
    </row>
    <row r="24259">
      <c r="A24259" s="39"/>
      <c r="E24259" s="40" t="s">
        <v>11404</v>
      </c>
      <c r="F24259" s="40" t="s">
        <v>11404</v>
      </c>
      <c r="G24259" s="40" t="s">
        <v>11404</v>
      </c>
      <c r="H24259" s="40" t="s">
        <v>11404</v>
      </c>
    </row>
    <row r="24260">
      <c r="A24260" s="39"/>
      <c r="E24260" s="40" t="s">
        <v>11404</v>
      </c>
      <c r="F24260" s="40" t="s">
        <v>11404</v>
      </c>
      <c r="G24260" s="40" t="s">
        <v>11404</v>
      </c>
      <c r="H24260" s="40" t="s">
        <v>11404</v>
      </c>
    </row>
    <row r="24261">
      <c r="A24261" s="39"/>
      <c r="E24261" s="40" t="s">
        <v>11404</v>
      </c>
      <c r="F24261" s="40" t="s">
        <v>11404</v>
      </c>
      <c r="G24261" s="40" t="s">
        <v>11404</v>
      </c>
      <c r="H24261" s="40" t="s">
        <v>11404</v>
      </c>
    </row>
    <row r="24262">
      <c r="A24262" s="39"/>
      <c r="E24262" s="40" t="s">
        <v>11404</v>
      </c>
      <c r="F24262" s="40" t="s">
        <v>11404</v>
      </c>
      <c r="G24262" s="40" t="s">
        <v>11404</v>
      </c>
      <c r="H24262" s="40" t="s">
        <v>11404</v>
      </c>
    </row>
    <row r="24263">
      <c r="A24263" s="39"/>
      <c r="E24263" s="40" t="s">
        <v>11404</v>
      </c>
      <c r="F24263" s="40" t="s">
        <v>11404</v>
      </c>
      <c r="G24263" s="40" t="s">
        <v>11404</v>
      </c>
      <c r="H24263" s="40" t="s">
        <v>11404</v>
      </c>
    </row>
    <row r="24264">
      <c r="A24264" s="39"/>
      <c r="E24264" s="40" t="s">
        <v>11404</v>
      </c>
      <c r="F24264" s="40" t="s">
        <v>11404</v>
      </c>
      <c r="G24264" s="40" t="s">
        <v>11404</v>
      </c>
      <c r="H24264" s="40" t="s">
        <v>11404</v>
      </c>
    </row>
    <row r="24265">
      <c r="A24265" s="39"/>
      <c r="E24265" s="40" t="s">
        <v>11404</v>
      </c>
      <c r="F24265" s="40" t="s">
        <v>11404</v>
      </c>
      <c r="G24265" s="40" t="s">
        <v>11404</v>
      </c>
      <c r="H24265" s="40" t="s">
        <v>11404</v>
      </c>
    </row>
    <row r="24266">
      <c r="A24266" s="39"/>
      <c r="E24266" s="40" t="s">
        <v>11404</v>
      </c>
      <c r="F24266" s="40" t="s">
        <v>11404</v>
      </c>
      <c r="G24266" s="40" t="s">
        <v>11404</v>
      </c>
      <c r="H24266" s="40" t="s">
        <v>11404</v>
      </c>
    </row>
    <row r="24267">
      <c r="A24267" s="39"/>
      <c r="E24267" s="40" t="s">
        <v>11404</v>
      </c>
      <c r="F24267" s="40" t="s">
        <v>11404</v>
      </c>
      <c r="G24267" s="40" t="s">
        <v>11404</v>
      </c>
      <c r="H24267" s="40" t="s">
        <v>11404</v>
      </c>
    </row>
    <row r="24268">
      <c r="A24268" s="39"/>
      <c r="E24268" s="40" t="s">
        <v>11404</v>
      </c>
      <c r="F24268" s="40" t="s">
        <v>11404</v>
      </c>
      <c r="G24268" s="40" t="s">
        <v>11404</v>
      </c>
      <c r="H24268" s="40" t="s">
        <v>11404</v>
      </c>
    </row>
    <row r="24269">
      <c r="A24269" s="39"/>
      <c r="E24269" s="40" t="s">
        <v>11404</v>
      </c>
      <c r="F24269" s="40" t="s">
        <v>11404</v>
      </c>
      <c r="G24269" s="40" t="s">
        <v>11404</v>
      </c>
      <c r="H24269" s="40" t="s">
        <v>11404</v>
      </c>
    </row>
    <row r="24270">
      <c r="A24270" s="39"/>
      <c r="E24270" s="40" t="s">
        <v>11404</v>
      </c>
      <c r="F24270" s="40" t="s">
        <v>11404</v>
      </c>
      <c r="G24270" s="40" t="s">
        <v>11404</v>
      </c>
      <c r="H24270" s="40" t="s">
        <v>11404</v>
      </c>
    </row>
    <row r="24271">
      <c r="A24271" s="39"/>
      <c r="E24271" s="40" t="s">
        <v>11404</v>
      </c>
      <c r="F24271" s="40" t="s">
        <v>11404</v>
      </c>
      <c r="G24271" s="40" t="s">
        <v>11404</v>
      </c>
      <c r="H24271" s="40" t="s">
        <v>11404</v>
      </c>
    </row>
    <row r="24272">
      <c r="A24272" s="39"/>
      <c r="E24272" s="40" t="s">
        <v>11404</v>
      </c>
      <c r="F24272" s="40" t="s">
        <v>11404</v>
      </c>
      <c r="G24272" s="40" t="s">
        <v>11404</v>
      </c>
      <c r="H24272" s="40" t="s">
        <v>11404</v>
      </c>
    </row>
    <row r="24273">
      <c r="A24273" s="39"/>
      <c r="E24273" s="40" t="s">
        <v>11404</v>
      </c>
      <c r="F24273" s="40" t="s">
        <v>11404</v>
      </c>
      <c r="G24273" s="40" t="s">
        <v>11404</v>
      </c>
      <c r="H24273" s="40" t="s">
        <v>11404</v>
      </c>
    </row>
    <row r="24274">
      <c r="A24274" s="39"/>
      <c r="E24274" s="40" t="s">
        <v>11404</v>
      </c>
      <c r="F24274" s="40" t="s">
        <v>11404</v>
      </c>
      <c r="G24274" s="40" t="s">
        <v>11404</v>
      </c>
      <c r="H24274" s="40" t="s">
        <v>11404</v>
      </c>
    </row>
    <row r="24275">
      <c r="A24275" s="39"/>
      <c r="E24275" s="40" t="s">
        <v>11404</v>
      </c>
      <c r="F24275" s="40" t="s">
        <v>11404</v>
      </c>
      <c r="G24275" s="40" t="s">
        <v>11404</v>
      </c>
      <c r="H24275" s="40" t="s">
        <v>11404</v>
      </c>
    </row>
    <row r="24276">
      <c r="A24276" s="39"/>
      <c r="E24276" s="40" t="s">
        <v>11404</v>
      </c>
      <c r="F24276" s="40" t="s">
        <v>11404</v>
      </c>
      <c r="G24276" s="40" t="s">
        <v>11404</v>
      </c>
      <c r="H24276" s="40" t="s">
        <v>11404</v>
      </c>
    </row>
    <row r="24277">
      <c r="A24277" s="39"/>
      <c r="E24277" s="40" t="s">
        <v>11404</v>
      </c>
      <c r="F24277" s="40" t="s">
        <v>11404</v>
      </c>
      <c r="G24277" s="40" t="s">
        <v>11404</v>
      </c>
      <c r="H24277" s="40" t="s">
        <v>11404</v>
      </c>
    </row>
    <row r="24278">
      <c r="A24278" s="39"/>
      <c r="E24278" s="40" t="s">
        <v>11404</v>
      </c>
      <c r="F24278" s="40" t="s">
        <v>11404</v>
      </c>
      <c r="G24278" s="40" t="s">
        <v>11404</v>
      </c>
      <c r="H24278" s="40" t="s">
        <v>11404</v>
      </c>
    </row>
    <row r="24279">
      <c r="A24279" s="39"/>
      <c r="E24279" s="40" t="s">
        <v>11404</v>
      </c>
      <c r="F24279" s="40" t="s">
        <v>11404</v>
      </c>
      <c r="G24279" s="40" t="s">
        <v>11404</v>
      </c>
      <c r="H24279" s="40" t="s">
        <v>11404</v>
      </c>
    </row>
    <row r="24280">
      <c r="A24280" s="39"/>
      <c r="E24280" s="40" t="s">
        <v>11404</v>
      </c>
      <c r="F24280" s="40" t="s">
        <v>11404</v>
      </c>
      <c r="G24280" s="40" t="s">
        <v>11404</v>
      </c>
      <c r="H24280" s="40" t="s">
        <v>11404</v>
      </c>
    </row>
    <row r="24281">
      <c r="A24281" s="39"/>
      <c r="E24281" s="40" t="s">
        <v>11404</v>
      </c>
      <c r="F24281" s="40" t="s">
        <v>11404</v>
      </c>
      <c r="G24281" s="40" t="s">
        <v>11404</v>
      </c>
      <c r="H24281" s="40" t="s">
        <v>11404</v>
      </c>
    </row>
    <row r="24282">
      <c r="A24282" s="39"/>
      <c r="E24282" s="40" t="s">
        <v>11404</v>
      </c>
      <c r="F24282" s="40" t="s">
        <v>11404</v>
      </c>
      <c r="G24282" s="40" t="s">
        <v>11404</v>
      </c>
      <c r="H24282" s="40" t="s">
        <v>11404</v>
      </c>
    </row>
    <row r="24283">
      <c r="A24283" s="39"/>
      <c r="E24283" s="40" t="s">
        <v>11404</v>
      </c>
      <c r="F24283" s="40" t="s">
        <v>11404</v>
      </c>
      <c r="G24283" s="40" t="s">
        <v>11404</v>
      </c>
      <c r="H24283" s="40" t="s">
        <v>11404</v>
      </c>
    </row>
    <row r="24284">
      <c r="A24284" s="39"/>
      <c r="E24284" s="40" t="s">
        <v>11404</v>
      </c>
      <c r="F24284" s="40" t="s">
        <v>11404</v>
      </c>
      <c r="G24284" s="40" t="s">
        <v>11404</v>
      </c>
      <c r="H24284" s="40" t="s">
        <v>11404</v>
      </c>
    </row>
    <row r="24285">
      <c r="A24285" s="39"/>
      <c r="E24285" s="40" t="s">
        <v>11404</v>
      </c>
      <c r="F24285" s="40" t="s">
        <v>11404</v>
      </c>
      <c r="G24285" s="40" t="s">
        <v>11404</v>
      </c>
      <c r="H24285" s="40" t="s">
        <v>11404</v>
      </c>
    </row>
    <row r="24286">
      <c r="A24286" s="39"/>
      <c r="E24286" s="40" t="s">
        <v>11404</v>
      </c>
      <c r="F24286" s="40" t="s">
        <v>11404</v>
      </c>
      <c r="G24286" s="40" t="s">
        <v>11404</v>
      </c>
      <c r="H24286" s="40" t="s">
        <v>11404</v>
      </c>
    </row>
    <row r="24287">
      <c r="A24287" s="39"/>
      <c r="E24287" s="40" t="s">
        <v>11404</v>
      </c>
      <c r="F24287" s="40" t="s">
        <v>11404</v>
      </c>
      <c r="G24287" s="40" t="s">
        <v>11404</v>
      </c>
      <c r="H24287" s="40" t="s">
        <v>11404</v>
      </c>
    </row>
    <row r="24288">
      <c r="A24288" s="39"/>
      <c r="E24288" s="40" t="s">
        <v>11404</v>
      </c>
      <c r="F24288" s="40" t="s">
        <v>11404</v>
      </c>
      <c r="G24288" s="40" t="s">
        <v>11404</v>
      </c>
      <c r="H24288" s="40" t="s">
        <v>11404</v>
      </c>
    </row>
    <row r="24289">
      <c r="A24289" s="39"/>
      <c r="E24289" s="40" t="s">
        <v>11404</v>
      </c>
      <c r="F24289" s="40" t="s">
        <v>11404</v>
      </c>
      <c r="G24289" s="40" t="s">
        <v>11404</v>
      </c>
      <c r="H24289" s="40" t="s">
        <v>11404</v>
      </c>
    </row>
    <row r="24290">
      <c r="A24290" s="39"/>
      <c r="E24290" s="40" t="s">
        <v>11404</v>
      </c>
      <c r="F24290" s="40" t="s">
        <v>11404</v>
      </c>
      <c r="G24290" s="40" t="s">
        <v>11404</v>
      </c>
      <c r="H24290" s="40" t="s">
        <v>11404</v>
      </c>
    </row>
    <row r="24291">
      <c r="A24291" s="39"/>
      <c r="E24291" s="40" t="s">
        <v>11404</v>
      </c>
      <c r="F24291" s="40" t="s">
        <v>11404</v>
      </c>
      <c r="G24291" s="40" t="s">
        <v>11404</v>
      </c>
      <c r="H24291" s="40" t="s">
        <v>11404</v>
      </c>
    </row>
    <row r="24292">
      <c r="A24292" s="39"/>
      <c r="E24292" s="40" t="s">
        <v>11404</v>
      </c>
      <c r="F24292" s="40" t="s">
        <v>11404</v>
      </c>
      <c r="G24292" s="40" t="s">
        <v>11404</v>
      </c>
      <c r="H24292" s="40" t="s">
        <v>11404</v>
      </c>
    </row>
    <row r="24293">
      <c r="A24293" s="39"/>
      <c r="E24293" s="40" t="s">
        <v>11404</v>
      </c>
      <c r="F24293" s="40" t="s">
        <v>11404</v>
      </c>
      <c r="G24293" s="40" t="s">
        <v>11404</v>
      </c>
      <c r="H24293" s="40" t="s">
        <v>11404</v>
      </c>
    </row>
    <row r="24294">
      <c r="A24294" s="39"/>
      <c r="E24294" s="40" t="s">
        <v>11404</v>
      </c>
      <c r="F24294" s="40" t="s">
        <v>11404</v>
      </c>
      <c r="G24294" s="40" t="s">
        <v>11404</v>
      </c>
      <c r="H24294" s="40" t="s">
        <v>11404</v>
      </c>
    </row>
    <row r="24295">
      <c r="A24295" s="39"/>
      <c r="E24295" s="40" t="s">
        <v>11404</v>
      </c>
      <c r="F24295" s="40" t="s">
        <v>11404</v>
      </c>
      <c r="G24295" s="40" t="s">
        <v>11404</v>
      </c>
      <c r="H24295" s="40" t="s">
        <v>11404</v>
      </c>
    </row>
    <row r="24296">
      <c r="A24296" s="39"/>
      <c r="E24296" s="40" t="s">
        <v>11404</v>
      </c>
      <c r="F24296" s="40" t="s">
        <v>11404</v>
      </c>
      <c r="G24296" s="40" t="s">
        <v>11404</v>
      </c>
      <c r="H24296" s="40" t="s">
        <v>11404</v>
      </c>
    </row>
    <row r="24297">
      <c r="A24297" s="39"/>
      <c r="E24297" s="40" t="s">
        <v>11404</v>
      </c>
      <c r="F24297" s="40" t="s">
        <v>11404</v>
      </c>
      <c r="G24297" s="40" t="s">
        <v>11404</v>
      </c>
      <c r="H24297" s="40" t="s">
        <v>11404</v>
      </c>
    </row>
    <row r="24298">
      <c r="A24298" s="39"/>
      <c r="E24298" s="40" t="s">
        <v>11404</v>
      </c>
      <c r="F24298" s="40" t="s">
        <v>11404</v>
      </c>
      <c r="G24298" s="40" t="s">
        <v>11404</v>
      </c>
      <c r="H24298" s="40" t="s">
        <v>11404</v>
      </c>
    </row>
    <row r="24299">
      <c r="A24299" s="39"/>
      <c r="E24299" s="40" t="s">
        <v>11404</v>
      </c>
      <c r="F24299" s="40" t="s">
        <v>11404</v>
      </c>
      <c r="G24299" s="40" t="s">
        <v>11404</v>
      </c>
      <c r="H24299" s="40" t="s">
        <v>11404</v>
      </c>
    </row>
    <row r="24300">
      <c r="A24300" s="39"/>
      <c r="E24300" s="40" t="s">
        <v>11404</v>
      </c>
      <c r="F24300" s="40" t="s">
        <v>11404</v>
      </c>
      <c r="G24300" s="40" t="s">
        <v>11404</v>
      </c>
      <c r="H24300" s="40" t="s">
        <v>11404</v>
      </c>
    </row>
    <row r="24301">
      <c r="A24301" s="39"/>
      <c r="E24301" s="40" t="s">
        <v>11404</v>
      </c>
      <c r="F24301" s="40" t="s">
        <v>11404</v>
      </c>
      <c r="G24301" s="40" t="s">
        <v>11404</v>
      </c>
      <c r="H24301" s="40" t="s">
        <v>11404</v>
      </c>
    </row>
    <row r="24302">
      <c r="A24302" s="39"/>
      <c r="E24302" s="40" t="s">
        <v>11404</v>
      </c>
      <c r="F24302" s="40" t="s">
        <v>11404</v>
      </c>
      <c r="G24302" s="40" t="s">
        <v>11404</v>
      </c>
      <c r="H24302" s="40" t="s">
        <v>11404</v>
      </c>
    </row>
    <row r="24303">
      <c r="A24303" s="39"/>
      <c r="E24303" s="40" t="s">
        <v>11404</v>
      </c>
      <c r="F24303" s="40" t="s">
        <v>11404</v>
      </c>
      <c r="G24303" s="40" t="s">
        <v>11404</v>
      </c>
      <c r="H24303" s="40" t="s">
        <v>11404</v>
      </c>
    </row>
    <row r="24304">
      <c r="A24304" s="39"/>
      <c r="E24304" s="40" t="s">
        <v>11404</v>
      </c>
      <c r="F24304" s="40" t="s">
        <v>11404</v>
      </c>
      <c r="G24304" s="40" t="s">
        <v>11404</v>
      </c>
      <c r="H24304" s="40" t="s">
        <v>11404</v>
      </c>
    </row>
    <row r="24305">
      <c r="A24305" s="39"/>
      <c r="E24305" s="40" t="s">
        <v>11404</v>
      </c>
      <c r="F24305" s="40" t="s">
        <v>11404</v>
      </c>
      <c r="G24305" s="40" t="s">
        <v>11404</v>
      </c>
      <c r="H24305" s="40" t="s">
        <v>11404</v>
      </c>
    </row>
    <row r="24306">
      <c r="A24306" s="39"/>
      <c r="E24306" s="40" t="s">
        <v>11404</v>
      </c>
      <c r="F24306" s="40" t="s">
        <v>11404</v>
      </c>
      <c r="G24306" s="40" t="s">
        <v>11404</v>
      </c>
      <c r="H24306" s="40" t="s">
        <v>11404</v>
      </c>
    </row>
    <row r="24307">
      <c r="A24307" s="39"/>
      <c r="E24307" s="40" t="s">
        <v>11404</v>
      </c>
      <c r="F24307" s="40" t="s">
        <v>11404</v>
      </c>
      <c r="G24307" s="40" t="s">
        <v>11404</v>
      </c>
      <c r="H24307" s="40" t="s">
        <v>11404</v>
      </c>
    </row>
    <row r="24308">
      <c r="A24308" s="39"/>
      <c r="E24308" s="40" t="s">
        <v>11404</v>
      </c>
      <c r="F24308" s="40" t="s">
        <v>11404</v>
      </c>
      <c r="G24308" s="40" t="s">
        <v>11404</v>
      </c>
      <c r="H24308" s="40" t="s">
        <v>11404</v>
      </c>
    </row>
    <row r="24309">
      <c r="A24309" s="39"/>
      <c r="E24309" s="40" t="s">
        <v>11404</v>
      </c>
      <c r="F24309" s="40" t="s">
        <v>11404</v>
      </c>
      <c r="G24309" s="40" t="s">
        <v>11404</v>
      </c>
      <c r="H24309" s="40" t="s">
        <v>11404</v>
      </c>
    </row>
    <row r="24310">
      <c r="A24310" s="39"/>
      <c r="E24310" s="40" t="s">
        <v>11404</v>
      </c>
      <c r="F24310" s="40" t="s">
        <v>11404</v>
      </c>
      <c r="G24310" s="40" t="s">
        <v>11404</v>
      </c>
      <c r="H24310" s="40" t="s">
        <v>11404</v>
      </c>
    </row>
    <row r="24311">
      <c r="A24311" s="39"/>
      <c r="E24311" s="40" t="s">
        <v>11404</v>
      </c>
      <c r="F24311" s="40" t="s">
        <v>11404</v>
      </c>
      <c r="G24311" s="40" t="s">
        <v>11404</v>
      </c>
      <c r="H24311" s="40" t="s">
        <v>11404</v>
      </c>
    </row>
    <row r="24312">
      <c r="A24312" s="39"/>
      <c r="E24312" s="40" t="s">
        <v>11404</v>
      </c>
      <c r="F24312" s="40" t="s">
        <v>11404</v>
      </c>
      <c r="G24312" s="40" t="s">
        <v>11404</v>
      </c>
      <c r="H24312" s="40" t="s">
        <v>11404</v>
      </c>
    </row>
    <row r="24313">
      <c r="A24313" s="39"/>
      <c r="E24313" s="40" t="s">
        <v>11404</v>
      </c>
      <c r="F24313" s="40" t="s">
        <v>11404</v>
      </c>
      <c r="G24313" s="40" t="s">
        <v>11404</v>
      </c>
      <c r="H24313" s="40" t="s">
        <v>11404</v>
      </c>
    </row>
    <row r="24314">
      <c r="A24314" s="39"/>
      <c r="E24314" s="40" t="s">
        <v>11404</v>
      </c>
      <c r="F24314" s="40" t="s">
        <v>11404</v>
      </c>
      <c r="G24314" s="40" t="s">
        <v>11404</v>
      </c>
      <c r="H24314" s="40" t="s">
        <v>11404</v>
      </c>
    </row>
    <row r="24315">
      <c r="A24315" s="39"/>
      <c r="E24315" s="40" t="s">
        <v>11404</v>
      </c>
      <c r="F24315" s="40" t="s">
        <v>11404</v>
      </c>
      <c r="G24315" s="40" t="s">
        <v>11404</v>
      </c>
      <c r="H24315" s="40" t="s">
        <v>11404</v>
      </c>
    </row>
    <row r="24316">
      <c r="A24316" s="39"/>
      <c r="E24316" s="40" t="s">
        <v>11404</v>
      </c>
      <c r="F24316" s="40" t="s">
        <v>11404</v>
      </c>
      <c r="G24316" s="40" t="s">
        <v>11404</v>
      </c>
      <c r="H24316" s="40" t="s">
        <v>11404</v>
      </c>
    </row>
    <row r="24317">
      <c r="A24317" s="39"/>
      <c r="E24317" s="40" t="s">
        <v>11404</v>
      </c>
      <c r="F24317" s="40" t="s">
        <v>11404</v>
      </c>
      <c r="G24317" s="40" t="s">
        <v>11404</v>
      </c>
      <c r="H24317" s="40" t="s">
        <v>11404</v>
      </c>
    </row>
    <row r="24318">
      <c r="A24318" s="39"/>
      <c r="E24318" s="40" t="s">
        <v>11404</v>
      </c>
      <c r="F24318" s="40" t="s">
        <v>11404</v>
      </c>
      <c r="G24318" s="40" t="s">
        <v>11404</v>
      </c>
      <c r="H24318" s="40" t="s">
        <v>11404</v>
      </c>
    </row>
    <row r="24319">
      <c r="A24319" s="39"/>
      <c r="E24319" s="40" t="s">
        <v>11404</v>
      </c>
      <c r="F24319" s="40" t="s">
        <v>11404</v>
      </c>
      <c r="G24319" s="40" t="s">
        <v>11404</v>
      </c>
      <c r="H24319" s="40" t="s">
        <v>11404</v>
      </c>
    </row>
    <row r="24320">
      <c r="A24320" s="39"/>
      <c r="E24320" s="40" t="s">
        <v>11404</v>
      </c>
      <c r="F24320" s="40" t="s">
        <v>11404</v>
      </c>
      <c r="G24320" s="40" t="s">
        <v>11404</v>
      </c>
      <c r="H24320" s="40" t="s">
        <v>11404</v>
      </c>
    </row>
    <row r="24321">
      <c r="A24321" s="39"/>
      <c r="E24321" s="40" t="s">
        <v>11404</v>
      </c>
      <c r="F24321" s="40" t="s">
        <v>11404</v>
      </c>
      <c r="G24321" s="40" t="s">
        <v>11404</v>
      </c>
      <c r="H24321" s="40" t="s">
        <v>11404</v>
      </c>
    </row>
    <row r="24322">
      <c r="A24322" s="39"/>
      <c r="E24322" s="40" t="s">
        <v>11404</v>
      </c>
      <c r="F24322" s="40" t="s">
        <v>11404</v>
      </c>
      <c r="G24322" s="40" t="s">
        <v>11404</v>
      </c>
      <c r="H24322" s="40" t="s">
        <v>11404</v>
      </c>
    </row>
    <row r="24323">
      <c r="A24323" s="39"/>
      <c r="E24323" s="40" t="s">
        <v>11404</v>
      </c>
      <c r="F24323" s="40" t="s">
        <v>11404</v>
      </c>
      <c r="G24323" s="40" t="s">
        <v>11404</v>
      </c>
      <c r="H24323" s="40" t="s">
        <v>11404</v>
      </c>
    </row>
    <row r="24324">
      <c r="A24324" s="39"/>
      <c r="E24324" s="40" t="s">
        <v>11404</v>
      </c>
      <c r="F24324" s="40" t="s">
        <v>11404</v>
      </c>
      <c r="G24324" s="40" t="s">
        <v>11404</v>
      </c>
      <c r="H24324" s="40" t="s">
        <v>11404</v>
      </c>
    </row>
    <row r="24325">
      <c r="A24325" s="39"/>
      <c r="E24325" s="40" t="s">
        <v>11404</v>
      </c>
      <c r="F24325" s="40" t="s">
        <v>11404</v>
      </c>
      <c r="G24325" s="40" t="s">
        <v>11404</v>
      </c>
      <c r="H24325" s="40" t="s">
        <v>11404</v>
      </c>
    </row>
    <row r="24326">
      <c r="A24326" s="39"/>
      <c r="E24326" s="40" t="s">
        <v>11404</v>
      </c>
      <c r="F24326" s="40" t="s">
        <v>11404</v>
      </c>
      <c r="G24326" s="40" t="s">
        <v>11404</v>
      </c>
      <c r="H24326" s="40" t="s">
        <v>11404</v>
      </c>
    </row>
    <row r="24327">
      <c r="A24327" s="39"/>
      <c r="E24327" s="40" t="s">
        <v>11404</v>
      </c>
      <c r="F24327" s="40" t="s">
        <v>11404</v>
      </c>
      <c r="G24327" s="40" t="s">
        <v>11404</v>
      </c>
      <c r="H24327" s="40" t="s">
        <v>11404</v>
      </c>
    </row>
    <row r="24328">
      <c r="A24328" s="39"/>
      <c r="E24328" s="40" t="s">
        <v>11404</v>
      </c>
      <c r="F24328" s="40" t="s">
        <v>11404</v>
      </c>
      <c r="G24328" s="40" t="s">
        <v>11404</v>
      </c>
      <c r="H24328" s="40" t="s">
        <v>11404</v>
      </c>
    </row>
    <row r="24329">
      <c r="A24329" s="39"/>
      <c r="E24329" s="40" t="s">
        <v>11404</v>
      </c>
      <c r="F24329" s="40" t="s">
        <v>11404</v>
      </c>
      <c r="G24329" s="40" t="s">
        <v>11404</v>
      </c>
      <c r="H24329" s="40" t="s">
        <v>11404</v>
      </c>
    </row>
    <row r="24330">
      <c r="A24330" s="39"/>
      <c r="E24330" s="40" t="s">
        <v>11404</v>
      </c>
      <c r="F24330" s="40" t="s">
        <v>11404</v>
      </c>
      <c r="G24330" s="40" t="s">
        <v>11404</v>
      </c>
      <c r="H24330" s="40" t="s">
        <v>11404</v>
      </c>
    </row>
    <row r="24331">
      <c r="A24331" s="39"/>
      <c r="E24331" s="40" t="s">
        <v>11404</v>
      </c>
      <c r="F24331" s="40" t="s">
        <v>11404</v>
      </c>
      <c r="G24331" s="40" t="s">
        <v>11404</v>
      </c>
      <c r="H24331" s="40" t="s">
        <v>11404</v>
      </c>
    </row>
    <row r="24332">
      <c r="A24332" s="39"/>
      <c r="E24332" s="40" t="s">
        <v>11404</v>
      </c>
      <c r="F24332" s="40" t="s">
        <v>11404</v>
      </c>
      <c r="G24332" s="40" t="s">
        <v>11404</v>
      </c>
      <c r="H24332" s="40" t="s">
        <v>11404</v>
      </c>
    </row>
    <row r="24333">
      <c r="A24333" s="39"/>
      <c r="E24333" s="40" t="s">
        <v>11404</v>
      </c>
      <c r="F24333" s="40" t="s">
        <v>11404</v>
      </c>
      <c r="G24333" s="40" t="s">
        <v>11404</v>
      </c>
      <c r="H24333" s="40" t="s">
        <v>11404</v>
      </c>
    </row>
    <row r="24334">
      <c r="A24334" s="39"/>
      <c r="E24334" s="40" t="s">
        <v>11404</v>
      </c>
      <c r="F24334" s="40" t="s">
        <v>11404</v>
      </c>
      <c r="G24334" s="40" t="s">
        <v>11404</v>
      </c>
      <c r="H24334" s="40" t="s">
        <v>11404</v>
      </c>
    </row>
    <row r="24335">
      <c r="A24335" s="39"/>
      <c r="E24335" s="40" t="s">
        <v>11404</v>
      </c>
      <c r="F24335" s="40" t="s">
        <v>11404</v>
      </c>
      <c r="G24335" s="40" t="s">
        <v>11404</v>
      </c>
      <c r="H24335" s="40" t="s">
        <v>11404</v>
      </c>
    </row>
    <row r="24336">
      <c r="A24336" s="39"/>
      <c r="E24336" s="40" t="s">
        <v>11404</v>
      </c>
      <c r="F24336" s="40" t="s">
        <v>11404</v>
      </c>
      <c r="G24336" s="40" t="s">
        <v>11404</v>
      </c>
      <c r="H24336" s="40" t="s">
        <v>11404</v>
      </c>
    </row>
    <row r="24337">
      <c r="A24337" s="39"/>
      <c r="E24337" s="40" t="s">
        <v>11404</v>
      </c>
      <c r="F24337" s="40" t="s">
        <v>11404</v>
      </c>
      <c r="G24337" s="40" t="s">
        <v>11404</v>
      </c>
      <c r="H24337" s="40" t="s">
        <v>11404</v>
      </c>
    </row>
    <row r="24338">
      <c r="A24338" s="39"/>
      <c r="E24338" s="40" t="s">
        <v>11404</v>
      </c>
      <c r="F24338" s="40" t="s">
        <v>11404</v>
      </c>
      <c r="G24338" s="40" t="s">
        <v>11404</v>
      </c>
      <c r="H24338" s="40" t="s">
        <v>11404</v>
      </c>
    </row>
    <row r="24339">
      <c r="A24339" s="39"/>
      <c r="E24339" s="40" t="s">
        <v>11404</v>
      </c>
      <c r="F24339" s="40" t="s">
        <v>11404</v>
      </c>
      <c r="G24339" s="40" t="s">
        <v>11404</v>
      </c>
      <c r="H24339" s="40" t="s">
        <v>11404</v>
      </c>
    </row>
    <row r="24340">
      <c r="A24340" s="39"/>
      <c r="E24340" s="40" t="s">
        <v>11404</v>
      </c>
      <c r="F24340" s="40" t="s">
        <v>11404</v>
      </c>
      <c r="G24340" s="40" t="s">
        <v>11404</v>
      </c>
      <c r="H24340" s="40" t="s">
        <v>11404</v>
      </c>
    </row>
    <row r="24341">
      <c r="A24341" s="39"/>
      <c r="E24341" s="40" t="s">
        <v>11404</v>
      </c>
      <c r="F24341" s="40" t="s">
        <v>11404</v>
      </c>
      <c r="G24341" s="40" t="s">
        <v>11404</v>
      </c>
      <c r="H24341" s="40" t="s">
        <v>11404</v>
      </c>
    </row>
    <row r="24342">
      <c r="A24342" s="39"/>
      <c r="E24342" s="40" t="s">
        <v>11404</v>
      </c>
      <c r="F24342" s="40" t="s">
        <v>11404</v>
      </c>
      <c r="G24342" s="40" t="s">
        <v>11404</v>
      </c>
      <c r="H24342" s="40" t="s">
        <v>11404</v>
      </c>
    </row>
    <row r="24343">
      <c r="A24343" s="39"/>
      <c r="E24343" s="40" t="s">
        <v>11404</v>
      </c>
      <c r="F24343" s="40" t="s">
        <v>11404</v>
      </c>
      <c r="G24343" s="40" t="s">
        <v>11404</v>
      </c>
      <c r="H24343" s="40" t="s">
        <v>11404</v>
      </c>
    </row>
    <row r="24344">
      <c r="A24344" s="39"/>
      <c r="E24344" s="40" t="s">
        <v>11404</v>
      </c>
      <c r="F24344" s="40" t="s">
        <v>11404</v>
      </c>
      <c r="G24344" s="40" t="s">
        <v>11404</v>
      </c>
      <c r="H24344" s="40" t="s">
        <v>11404</v>
      </c>
    </row>
    <row r="24345">
      <c r="A24345" s="39"/>
      <c r="E24345" s="40" t="s">
        <v>11404</v>
      </c>
      <c r="F24345" s="40" t="s">
        <v>11404</v>
      </c>
      <c r="G24345" s="40" t="s">
        <v>11404</v>
      </c>
      <c r="H24345" s="40" t="s">
        <v>11404</v>
      </c>
    </row>
    <row r="24346">
      <c r="A24346" s="39"/>
      <c r="E24346" s="40" t="s">
        <v>11404</v>
      </c>
      <c r="F24346" s="40" t="s">
        <v>11404</v>
      </c>
      <c r="G24346" s="40" t="s">
        <v>11404</v>
      </c>
      <c r="H24346" s="40" t="s">
        <v>11404</v>
      </c>
    </row>
    <row r="24347">
      <c r="A24347" s="39"/>
      <c r="E24347" s="40" t="s">
        <v>11404</v>
      </c>
      <c r="F24347" s="40" t="s">
        <v>11404</v>
      </c>
      <c r="G24347" s="40" t="s">
        <v>11404</v>
      </c>
      <c r="H24347" s="40" t="s">
        <v>11404</v>
      </c>
    </row>
    <row r="24348">
      <c r="A24348" s="39"/>
      <c r="E24348" s="40" t="s">
        <v>11404</v>
      </c>
      <c r="F24348" s="40" t="s">
        <v>11404</v>
      </c>
      <c r="G24348" s="40" t="s">
        <v>11404</v>
      </c>
      <c r="H24348" s="40" t="s">
        <v>11404</v>
      </c>
    </row>
    <row r="24349">
      <c r="A24349" s="39"/>
      <c r="E24349" s="40" t="s">
        <v>11404</v>
      </c>
      <c r="F24349" s="40" t="s">
        <v>11404</v>
      </c>
      <c r="G24349" s="40" t="s">
        <v>11404</v>
      </c>
      <c r="H24349" s="40" t="s">
        <v>11404</v>
      </c>
    </row>
    <row r="24350">
      <c r="A24350" s="39"/>
      <c r="E24350" s="40" t="s">
        <v>11404</v>
      </c>
      <c r="F24350" s="40" t="s">
        <v>11404</v>
      </c>
      <c r="G24350" s="40" t="s">
        <v>11404</v>
      </c>
      <c r="H24350" s="40" t="s">
        <v>11404</v>
      </c>
    </row>
    <row r="24351">
      <c r="A24351" s="39"/>
      <c r="E24351" s="40" t="s">
        <v>11404</v>
      </c>
      <c r="F24351" s="40" t="s">
        <v>11404</v>
      </c>
      <c r="G24351" s="40" t="s">
        <v>11404</v>
      </c>
      <c r="H24351" s="40" t="s">
        <v>11404</v>
      </c>
    </row>
    <row r="24352">
      <c r="A24352" s="39"/>
      <c r="E24352" s="40" t="s">
        <v>11404</v>
      </c>
      <c r="F24352" s="40" t="s">
        <v>11404</v>
      </c>
      <c r="G24352" s="40" t="s">
        <v>11404</v>
      </c>
      <c r="H24352" s="40" t="s">
        <v>11404</v>
      </c>
    </row>
    <row r="24353">
      <c r="A24353" s="39"/>
      <c r="E24353" s="40" t="s">
        <v>11404</v>
      </c>
      <c r="F24353" s="40" t="s">
        <v>11404</v>
      </c>
      <c r="G24353" s="40" t="s">
        <v>11404</v>
      </c>
      <c r="H24353" s="40" t="s">
        <v>11404</v>
      </c>
    </row>
    <row r="24354">
      <c r="A24354" s="39"/>
      <c r="E24354" s="40" t="s">
        <v>11404</v>
      </c>
      <c r="F24354" s="40" t="s">
        <v>11404</v>
      </c>
      <c r="G24354" s="40" t="s">
        <v>11404</v>
      </c>
      <c r="H24354" s="40" t="s">
        <v>11404</v>
      </c>
    </row>
    <row r="24355">
      <c r="A24355" s="39"/>
      <c r="E24355" s="40" t="s">
        <v>11404</v>
      </c>
      <c r="F24355" s="40" t="s">
        <v>11404</v>
      </c>
      <c r="G24355" s="40" t="s">
        <v>11404</v>
      </c>
      <c r="H24355" s="40" t="s">
        <v>11404</v>
      </c>
    </row>
    <row r="24356">
      <c r="A24356" s="39"/>
      <c r="E24356" s="40" t="s">
        <v>11404</v>
      </c>
      <c r="F24356" s="40" t="s">
        <v>11404</v>
      </c>
      <c r="G24356" s="40" t="s">
        <v>11404</v>
      </c>
      <c r="H24356" s="40" t="s">
        <v>11404</v>
      </c>
    </row>
    <row r="24357">
      <c r="A24357" s="39"/>
      <c r="E24357" s="40" t="s">
        <v>11404</v>
      </c>
      <c r="F24357" s="40" t="s">
        <v>11404</v>
      </c>
      <c r="G24357" s="40" t="s">
        <v>11404</v>
      </c>
      <c r="H24357" s="40" t="s">
        <v>11404</v>
      </c>
    </row>
    <row r="24358">
      <c r="A24358" s="39"/>
      <c r="E24358" s="40" t="s">
        <v>11404</v>
      </c>
      <c r="F24358" s="40" t="s">
        <v>11404</v>
      </c>
      <c r="G24358" s="40" t="s">
        <v>11404</v>
      </c>
      <c r="H24358" s="40" t="s">
        <v>11404</v>
      </c>
    </row>
    <row r="24359">
      <c r="A24359" s="39"/>
      <c r="E24359" s="40" t="s">
        <v>11404</v>
      </c>
      <c r="F24359" s="40" t="s">
        <v>11404</v>
      </c>
      <c r="G24359" s="40" t="s">
        <v>11404</v>
      </c>
      <c r="H24359" s="40" t="s">
        <v>11404</v>
      </c>
    </row>
    <row r="24360">
      <c r="A24360" s="39"/>
      <c r="E24360" s="40" t="s">
        <v>11404</v>
      </c>
      <c r="F24360" s="40" t="s">
        <v>11404</v>
      </c>
      <c r="G24360" s="40" t="s">
        <v>11404</v>
      </c>
      <c r="H24360" s="40" t="s">
        <v>11404</v>
      </c>
    </row>
    <row r="24361">
      <c r="A24361" s="39"/>
      <c r="E24361" s="40" t="s">
        <v>11404</v>
      </c>
      <c r="F24361" s="40" t="s">
        <v>11404</v>
      </c>
      <c r="G24361" s="40" t="s">
        <v>11404</v>
      </c>
      <c r="H24361" s="40" t="s">
        <v>11404</v>
      </c>
    </row>
    <row r="24362">
      <c r="A24362" s="39"/>
      <c r="E24362" s="40" t="s">
        <v>11404</v>
      </c>
      <c r="F24362" s="40" t="s">
        <v>11404</v>
      </c>
      <c r="G24362" s="40" t="s">
        <v>11404</v>
      </c>
      <c r="H24362" s="40" t="s">
        <v>11404</v>
      </c>
    </row>
    <row r="24363">
      <c r="A24363" s="39"/>
      <c r="E24363" s="40" t="s">
        <v>11404</v>
      </c>
      <c r="F24363" s="40" t="s">
        <v>11404</v>
      </c>
      <c r="G24363" s="40" t="s">
        <v>11404</v>
      </c>
      <c r="H24363" s="40" t="s">
        <v>11404</v>
      </c>
    </row>
    <row r="24364">
      <c r="A24364" s="39"/>
      <c r="E24364" s="40" t="s">
        <v>11404</v>
      </c>
      <c r="F24364" s="40" t="s">
        <v>11404</v>
      </c>
      <c r="G24364" s="40" t="s">
        <v>11404</v>
      </c>
      <c r="H24364" s="40" t="s">
        <v>11404</v>
      </c>
    </row>
    <row r="24365">
      <c r="A24365" s="39"/>
      <c r="E24365" s="40" t="s">
        <v>11404</v>
      </c>
      <c r="F24365" s="40" t="s">
        <v>11404</v>
      </c>
      <c r="G24365" s="40" t="s">
        <v>11404</v>
      </c>
      <c r="H24365" s="40" t="s">
        <v>11404</v>
      </c>
    </row>
    <row r="24366">
      <c r="A24366" s="39"/>
      <c r="E24366" s="40" t="s">
        <v>11404</v>
      </c>
      <c r="F24366" s="40" t="s">
        <v>11404</v>
      </c>
      <c r="G24366" s="40" t="s">
        <v>11404</v>
      </c>
      <c r="H24366" s="40" t="s">
        <v>11404</v>
      </c>
    </row>
    <row r="24367">
      <c r="A24367" s="39"/>
      <c r="E24367" s="40" t="s">
        <v>11404</v>
      </c>
      <c r="F24367" s="40" t="s">
        <v>11404</v>
      </c>
      <c r="G24367" s="40" t="s">
        <v>11404</v>
      </c>
      <c r="H24367" s="40" t="s">
        <v>11404</v>
      </c>
    </row>
    <row r="24368">
      <c r="A24368" s="39"/>
      <c r="E24368" s="40" t="s">
        <v>11404</v>
      </c>
      <c r="F24368" s="40" t="s">
        <v>11404</v>
      </c>
      <c r="G24368" s="40" t="s">
        <v>11404</v>
      </c>
      <c r="H24368" s="40" t="s">
        <v>11404</v>
      </c>
    </row>
    <row r="24369">
      <c r="A24369" s="39"/>
      <c r="E24369" s="40" t="s">
        <v>11404</v>
      </c>
      <c r="F24369" s="40" t="s">
        <v>11404</v>
      </c>
      <c r="G24369" s="40" t="s">
        <v>11404</v>
      </c>
      <c r="H24369" s="40" t="s">
        <v>11404</v>
      </c>
    </row>
    <row r="24370">
      <c r="A24370" s="39"/>
      <c r="E24370" s="40" t="s">
        <v>11404</v>
      </c>
      <c r="F24370" s="40" t="s">
        <v>11404</v>
      </c>
      <c r="G24370" s="40" t="s">
        <v>11404</v>
      </c>
      <c r="H24370" s="40" t="s">
        <v>11404</v>
      </c>
    </row>
    <row r="24371">
      <c r="A24371" s="39"/>
      <c r="E24371" s="40" t="s">
        <v>11404</v>
      </c>
      <c r="F24371" s="40" t="s">
        <v>11404</v>
      </c>
      <c r="G24371" s="40" t="s">
        <v>11404</v>
      </c>
      <c r="H24371" s="40" t="s">
        <v>11404</v>
      </c>
    </row>
    <row r="24372">
      <c r="A24372" s="39"/>
      <c r="E24372" s="40" t="s">
        <v>11404</v>
      </c>
      <c r="F24372" s="40" t="s">
        <v>11404</v>
      </c>
      <c r="G24372" s="40" t="s">
        <v>11404</v>
      </c>
      <c r="H24372" s="40" t="s">
        <v>11404</v>
      </c>
    </row>
    <row r="24373">
      <c r="A24373" s="39"/>
      <c r="E24373" s="40" t="s">
        <v>11404</v>
      </c>
      <c r="F24373" s="40" t="s">
        <v>11404</v>
      </c>
      <c r="G24373" s="40" t="s">
        <v>11404</v>
      </c>
      <c r="H24373" s="40" t="s">
        <v>11404</v>
      </c>
    </row>
    <row r="24374">
      <c r="A24374" s="39"/>
      <c r="E24374" s="40" t="s">
        <v>11404</v>
      </c>
      <c r="F24374" s="40" t="s">
        <v>11404</v>
      </c>
      <c r="G24374" s="40" t="s">
        <v>11404</v>
      </c>
      <c r="H24374" s="40" t="s">
        <v>11404</v>
      </c>
    </row>
    <row r="24375">
      <c r="A24375" s="39"/>
      <c r="E24375" s="40" t="s">
        <v>11404</v>
      </c>
      <c r="F24375" s="40" t="s">
        <v>11404</v>
      </c>
      <c r="G24375" s="40" t="s">
        <v>11404</v>
      </c>
      <c r="H24375" s="40" t="s">
        <v>11404</v>
      </c>
    </row>
    <row r="24376">
      <c r="A24376" s="39"/>
      <c r="E24376" s="40" t="s">
        <v>11404</v>
      </c>
      <c r="F24376" s="40" t="s">
        <v>11404</v>
      </c>
      <c r="G24376" s="40" t="s">
        <v>11404</v>
      </c>
      <c r="H24376" s="40" t="s">
        <v>11404</v>
      </c>
    </row>
    <row r="24377">
      <c r="A24377" s="39"/>
      <c r="E24377" s="40" t="s">
        <v>11404</v>
      </c>
      <c r="F24377" s="40" t="s">
        <v>11404</v>
      </c>
      <c r="G24377" s="40" t="s">
        <v>11404</v>
      </c>
      <c r="H24377" s="40" t="s">
        <v>11404</v>
      </c>
    </row>
    <row r="24378">
      <c r="A24378" s="39"/>
      <c r="E24378" s="40" t="s">
        <v>11404</v>
      </c>
      <c r="F24378" s="40" t="s">
        <v>11404</v>
      </c>
      <c r="G24378" s="40" t="s">
        <v>11404</v>
      </c>
      <c r="H24378" s="40" t="s">
        <v>11404</v>
      </c>
    </row>
    <row r="24379">
      <c r="A24379" s="39"/>
      <c r="E24379" s="40" t="s">
        <v>11404</v>
      </c>
      <c r="F24379" s="40" t="s">
        <v>11404</v>
      </c>
      <c r="G24379" s="40" t="s">
        <v>11404</v>
      </c>
      <c r="H24379" s="40" t="s">
        <v>11404</v>
      </c>
    </row>
    <row r="24380">
      <c r="A24380" s="39"/>
      <c r="E24380" s="40" t="s">
        <v>11404</v>
      </c>
      <c r="F24380" s="40" t="s">
        <v>11404</v>
      </c>
      <c r="G24380" s="40" t="s">
        <v>11404</v>
      </c>
      <c r="H24380" s="40" t="s">
        <v>11404</v>
      </c>
    </row>
    <row r="24381">
      <c r="A24381" s="39"/>
      <c r="E24381" s="40" t="s">
        <v>11404</v>
      </c>
      <c r="F24381" s="40" t="s">
        <v>11404</v>
      </c>
      <c r="G24381" s="40" t="s">
        <v>11404</v>
      </c>
      <c r="H24381" s="40" t="s">
        <v>11404</v>
      </c>
    </row>
    <row r="24382">
      <c r="A24382" s="39"/>
      <c r="E24382" s="40" t="s">
        <v>11404</v>
      </c>
      <c r="F24382" s="40" t="s">
        <v>11404</v>
      </c>
      <c r="G24382" s="40" t="s">
        <v>11404</v>
      </c>
      <c r="H24382" s="40" t="s">
        <v>11404</v>
      </c>
    </row>
    <row r="24383">
      <c r="A24383" s="39"/>
      <c r="E24383" s="40" t="s">
        <v>11404</v>
      </c>
      <c r="F24383" s="40" t="s">
        <v>11404</v>
      </c>
      <c r="G24383" s="40" t="s">
        <v>11404</v>
      </c>
      <c r="H24383" s="40" t="s">
        <v>11404</v>
      </c>
    </row>
    <row r="24384">
      <c r="A24384" s="39"/>
      <c r="E24384" s="40" t="s">
        <v>11404</v>
      </c>
      <c r="F24384" s="40" t="s">
        <v>11404</v>
      </c>
      <c r="G24384" s="40" t="s">
        <v>11404</v>
      </c>
      <c r="H24384" s="40" t="s">
        <v>11404</v>
      </c>
    </row>
    <row r="24385">
      <c r="A24385" s="39"/>
      <c r="E24385" s="40" t="s">
        <v>11404</v>
      </c>
      <c r="F24385" s="40" t="s">
        <v>11404</v>
      </c>
      <c r="G24385" s="40" t="s">
        <v>11404</v>
      </c>
      <c r="H24385" s="40" t="s">
        <v>11404</v>
      </c>
    </row>
    <row r="24386">
      <c r="A24386" s="39"/>
      <c r="E24386" s="40" t="s">
        <v>11404</v>
      </c>
      <c r="F24386" s="40" t="s">
        <v>11404</v>
      </c>
      <c r="G24386" s="40" t="s">
        <v>11404</v>
      </c>
      <c r="H24386" s="40" t="s">
        <v>11404</v>
      </c>
    </row>
    <row r="24387">
      <c r="A24387" s="39"/>
      <c r="E24387" s="40" t="s">
        <v>11404</v>
      </c>
      <c r="F24387" s="40" t="s">
        <v>11404</v>
      </c>
      <c r="G24387" s="40" t="s">
        <v>11404</v>
      </c>
      <c r="H24387" s="40" t="s">
        <v>11404</v>
      </c>
    </row>
    <row r="24388">
      <c r="A24388" s="39"/>
      <c r="E24388" s="40" t="s">
        <v>11404</v>
      </c>
      <c r="F24388" s="40" t="s">
        <v>11404</v>
      </c>
      <c r="G24388" s="40" t="s">
        <v>11404</v>
      </c>
      <c r="H24388" s="40" t="s">
        <v>11404</v>
      </c>
    </row>
    <row r="24389">
      <c r="A24389" s="39"/>
      <c r="E24389" s="40" t="s">
        <v>11404</v>
      </c>
      <c r="F24389" s="40" t="s">
        <v>11404</v>
      </c>
      <c r="G24389" s="40" t="s">
        <v>11404</v>
      </c>
      <c r="H24389" s="40" t="s">
        <v>11404</v>
      </c>
    </row>
    <row r="24390">
      <c r="A24390" s="39"/>
      <c r="E24390" s="40" t="s">
        <v>11404</v>
      </c>
      <c r="F24390" s="40" t="s">
        <v>11404</v>
      </c>
      <c r="G24390" s="40" t="s">
        <v>11404</v>
      </c>
      <c r="H24390" s="40" t="s">
        <v>11404</v>
      </c>
    </row>
    <row r="24391">
      <c r="A24391" s="39"/>
      <c r="E24391" s="40" t="s">
        <v>11404</v>
      </c>
      <c r="F24391" s="40" t="s">
        <v>11404</v>
      </c>
      <c r="G24391" s="40" t="s">
        <v>11404</v>
      </c>
      <c r="H24391" s="40" t="s">
        <v>11404</v>
      </c>
    </row>
    <row r="24392">
      <c r="A24392" s="39"/>
      <c r="E24392" s="40" t="s">
        <v>11404</v>
      </c>
      <c r="F24392" s="40" t="s">
        <v>11404</v>
      </c>
      <c r="G24392" s="40" t="s">
        <v>11404</v>
      </c>
      <c r="H24392" s="40" t="s">
        <v>11404</v>
      </c>
    </row>
    <row r="24393">
      <c r="A24393" s="39"/>
      <c r="E24393" s="40" t="s">
        <v>11404</v>
      </c>
      <c r="F24393" s="40" t="s">
        <v>11404</v>
      </c>
      <c r="G24393" s="40" t="s">
        <v>11404</v>
      </c>
      <c r="H24393" s="40" t="s">
        <v>11404</v>
      </c>
    </row>
    <row r="24394">
      <c r="A24394" s="39"/>
      <c r="E24394" s="40" t="s">
        <v>11404</v>
      </c>
      <c r="F24394" s="40" t="s">
        <v>11404</v>
      </c>
      <c r="G24394" s="40" t="s">
        <v>11404</v>
      </c>
      <c r="H24394" s="40" t="s">
        <v>11404</v>
      </c>
    </row>
    <row r="24395">
      <c r="A24395" s="39"/>
      <c r="E24395" s="40" t="s">
        <v>11404</v>
      </c>
      <c r="F24395" s="40" t="s">
        <v>11404</v>
      </c>
      <c r="G24395" s="40" t="s">
        <v>11404</v>
      </c>
      <c r="H24395" s="40" t="s">
        <v>11404</v>
      </c>
    </row>
    <row r="24396">
      <c r="A24396" s="39"/>
      <c r="E24396" s="40" t="s">
        <v>11404</v>
      </c>
      <c r="F24396" s="40" t="s">
        <v>11404</v>
      </c>
      <c r="G24396" s="40" t="s">
        <v>11404</v>
      </c>
      <c r="H24396" s="40" t="s">
        <v>11404</v>
      </c>
    </row>
    <row r="24397">
      <c r="A24397" s="39"/>
      <c r="E24397" s="40" t="s">
        <v>11404</v>
      </c>
      <c r="F24397" s="40" t="s">
        <v>11404</v>
      </c>
      <c r="G24397" s="40" t="s">
        <v>11404</v>
      </c>
      <c r="H24397" s="40" t="s">
        <v>11404</v>
      </c>
    </row>
    <row r="24398">
      <c r="A24398" s="39"/>
      <c r="E24398" s="40" t="s">
        <v>11404</v>
      </c>
      <c r="F24398" s="40" t="s">
        <v>11404</v>
      </c>
      <c r="G24398" s="40" t="s">
        <v>11404</v>
      </c>
      <c r="H24398" s="40" t="s">
        <v>11404</v>
      </c>
    </row>
    <row r="24399">
      <c r="A24399" s="39"/>
      <c r="E24399" s="40" t="s">
        <v>11404</v>
      </c>
      <c r="F24399" s="40" t="s">
        <v>11404</v>
      </c>
      <c r="G24399" s="40" t="s">
        <v>11404</v>
      </c>
      <c r="H24399" s="40" t="s">
        <v>11404</v>
      </c>
    </row>
    <row r="24400">
      <c r="A24400" s="39"/>
      <c r="E24400" s="40" t="s">
        <v>11404</v>
      </c>
      <c r="F24400" s="40" t="s">
        <v>11404</v>
      </c>
      <c r="G24400" s="40" t="s">
        <v>11404</v>
      </c>
      <c r="H24400" s="40" t="s">
        <v>11404</v>
      </c>
    </row>
    <row r="24401">
      <c r="A24401" s="39"/>
      <c r="E24401" s="40" t="s">
        <v>11404</v>
      </c>
      <c r="F24401" s="40" t="s">
        <v>11404</v>
      </c>
      <c r="G24401" s="40" t="s">
        <v>11404</v>
      </c>
      <c r="H24401" s="40" t="s">
        <v>11404</v>
      </c>
    </row>
    <row r="24402">
      <c r="A24402" s="39"/>
      <c r="E24402" s="40" t="s">
        <v>11404</v>
      </c>
      <c r="F24402" s="40" t="s">
        <v>11404</v>
      </c>
      <c r="G24402" s="40" t="s">
        <v>11404</v>
      </c>
      <c r="H24402" s="40" t="s">
        <v>11404</v>
      </c>
    </row>
    <row r="24403">
      <c r="A24403" s="39"/>
      <c r="E24403" s="40" t="s">
        <v>11404</v>
      </c>
      <c r="F24403" s="40" t="s">
        <v>11404</v>
      </c>
      <c r="G24403" s="40" t="s">
        <v>11404</v>
      </c>
      <c r="H24403" s="40" t="s">
        <v>11404</v>
      </c>
    </row>
    <row r="24404">
      <c r="A24404" s="39"/>
      <c r="E24404" s="40" t="s">
        <v>11404</v>
      </c>
      <c r="F24404" s="40" t="s">
        <v>11404</v>
      </c>
      <c r="G24404" s="40" t="s">
        <v>11404</v>
      </c>
      <c r="H24404" s="40" t="s">
        <v>11404</v>
      </c>
    </row>
    <row r="24405">
      <c r="A24405" s="39"/>
      <c r="E24405" s="40" t="s">
        <v>11404</v>
      </c>
      <c r="F24405" s="40" t="s">
        <v>11404</v>
      </c>
      <c r="G24405" s="40" t="s">
        <v>11404</v>
      </c>
      <c r="H24405" s="40" t="s">
        <v>11404</v>
      </c>
    </row>
    <row r="24406">
      <c r="A24406" s="39"/>
      <c r="E24406" s="40" t="s">
        <v>11404</v>
      </c>
      <c r="F24406" s="40" t="s">
        <v>11404</v>
      </c>
      <c r="G24406" s="40" t="s">
        <v>11404</v>
      </c>
      <c r="H24406" s="40" t="s">
        <v>11404</v>
      </c>
    </row>
    <row r="24407">
      <c r="A24407" s="39"/>
      <c r="E24407" s="40" t="s">
        <v>11404</v>
      </c>
      <c r="F24407" s="40" t="s">
        <v>11404</v>
      </c>
      <c r="G24407" s="40" t="s">
        <v>11404</v>
      </c>
      <c r="H24407" s="40" t="s">
        <v>11404</v>
      </c>
    </row>
    <row r="24408">
      <c r="A24408" s="39"/>
      <c r="E24408" s="40" t="s">
        <v>11404</v>
      </c>
      <c r="F24408" s="40" t="s">
        <v>11404</v>
      </c>
      <c r="G24408" s="40" t="s">
        <v>11404</v>
      </c>
      <c r="H24408" s="40" t="s">
        <v>11404</v>
      </c>
    </row>
    <row r="24409">
      <c r="A24409" s="39"/>
      <c r="E24409" s="40" t="s">
        <v>11404</v>
      </c>
      <c r="F24409" s="40" t="s">
        <v>11404</v>
      </c>
      <c r="G24409" s="40" t="s">
        <v>11404</v>
      </c>
      <c r="H24409" s="40" t="s">
        <v>11404</v>
      </c>
    </row>
    <row r="24410">
      <c r="A24410" s="39"/>
      <c r="E24410" s="40" t="s">
        <v>11404</v>
      </c>
      <c r="F24410" s="40" t="s">
        <v>11404</v>
      </c>
      <c r="G24410" s="40" t="s">
        <v>11404</v>
      </c>
      <c r="H24410" s="40" t="s">
        <v>11404</v>
      </c>
    </row>
    <row r="24411">
      <c r="A24411" s="39"/>
      <c r="E24411" s="40" t="s">
        <v>11404</v>
      </c>
      <c r="F24411" s="40" t="s">
        <v>11404</v>
      </c>
      <c r="G24411" s="40" t="s">
        <v>11404</v>
      </c>
      <c r="H24411" s="40" t="s">
        <v>11404</v>
      </c>
    </row>
    <row r="24412">
      <c r="A24412" s="39"/>
      <c r="E24412" s="40" t="s">
        <v>11404</v>
      </c>
      <c r="F24412" s="40" t="s">
        <v>11404</v>
      </c>
      <c r="G24412" s="40" t="s">
        <v>11404</v>
      </c>
      <c r="H24412" s="40" t="s">
        <v>11404</v>
      </c>
    </row>
    <row r="24413">
      <c r="A24413" s="39"/>
      <c r="E24413" s="40" t="s">
        <v>11404</v>
      </c>
      <c r="F24413" s="40" t="s">
        <v>11404</v>
      </c>
      <c r="G24413" s="40" t="s">
        <v>11404</v>
      </c>
      <c r="H24413" s="40" t="s">
        <v>11404</v>
      </c>
    </row>
    <row r="24414">
      <c r="A24414" s="39"/>
      <c r="E24414" s="40" t="s">
        <v>11404</v>
      </c>
      <c r="F24414" s="40" t="s">
        <v>11404</v>
      </c>
      <c r="G24414" s="40" t="s">
        <v>11404</v>
      </c>
      <c r="H24414" s="40" t="s">
        <v>11404</v>
      </c>
    </row>
    <row r="24415">
      <c r="A24415" s="39"/>
      <c r="E24415" s="40" t="s">
        <v>11404</v>
      </c>
      <c r="F24415" s="40" t="s">
        <v>11404</v>
      </c>
      <c r="G24415" s="40" t="s">
        <v>11404</v>
      </c>
      <c r="H24415" s="40" t="s">
        <v>11404</v>
      </c>
    </row>
    <row r="24416">
      <c r="A24416" s="39"/>
      <c r="E24416" s="40" t="s">
        <v>11404</v>
      </c>
      <c r="F24416" s="40" t="s">
        <v>11404</v>
      </c>
      <c r="G24416" s="40" t="s">
        <v>11404</v>
      </c>
      <c r="H24416" s="40" t="s">
        <v>11404</v>
      </c>
    </row>
    <row r="24417">
      <c r="A24417" s="39"/>
      <c r="E24417" s="40" t="s">
        <v>11404</v>
      </c>
      <c r="F24417" s="40" t="s">
        <v>11404</v>
      </c>
      <c r="G24417" s="40" t="s">
        <v>11404</v>
      </c>
      <c r="H24417" s="40" t="s">
        <v>11404</v>
      </c>
    </row>
    <row r="24418">
      <c r="A24418" s="39"/>
      <c r="E24418" s="40" t="s">
        <v>11404</v>
      </c>
      <c r="F24418" s="40" t="s">
        <v>11404</v>
      </c>
      <c r="G24418" s="40" t="s">
        <v>11404</v>
      </c>
      <c r="H24418" s="40" t="s">
        <v>11404</v>
      </c>
    </row>
    <row r="24419">
      <c r="A24419" s="39"/>
      <c r="E24419" s="40" t="s">
        <v>11404</v>
      </c>
      <c r="F24419" s="40" t="s">
        <v>11404</v>
      </c>
      <c r="G24419" s="40" t="s">
        <v>11404</v>
      </c>
      <c r="H24419" s="40" t="s">
        <v>11404</v>
      </c>
    </row>
    <row r="24420">
      <c r="A24420" s="39"/>
      <c r="E24420" s="40" t="s">
        <v>11404</v>
      </c>
      <c r="F24420" s="40" t="s">
        <v>11404</v>
      </c>
      <c r="G24420" s="40" t="s">
        <v>11404</v>
      </c>
      <c r="H24420" s="40" t="s">
        <v>11404</v>
      </c>
    </row>
    <row r="24421">
      <c r="A24421" s="39"/>
      <c r="E24421" s="40" t="s">
        <v>11404</v>
      </c>
      <c r="F24421" s="40" t="s">
        <v>11404</v>
      </c>
      <c r="G24421" s="40" t="s">
        <v>11404</v>
      </c>
      <c r="H24421" s="40" t="s">
        <v>11404</v>
      </c>
    </row>
    <row r="24422">
      <c r="A24422" s="39"/>
      <c r="E24422" s="40" t="s">
        <v>11404</v>
      </c>
      <c r="F24422" s="40" t="s">
        <v>11404</v>
      </c>
      <c r="G24422" s="40" t="s">
        <v>11404</v>
      </c>
      <c r="H24422" s="40" t="s">
        <v>11404</v>
      </c>
    </row>
    <row r="24423">
      <c r="A24423" s="39"/>
      <c r="E24423" s="40" t="s">
        <v>11404</v>
      </c>
      <c r="F24423" s="40" t="s">
        <v>11404</v>
      </c>
      <c r="G24423" s="40" t="s">
        <v>11404</v>
      </c>
      <c r="H24423" s="40" t="s">
        <v>11404</v>
      </c>
    </row>
    <row r="24424">
      <c r="A24424" s="39"/>
      <c r="E24424" s="40" t="s">
        <v>11404</v>
      </c>
      <c r="F24424" s="40" t="s">
        <v>11404</v>
      </c>
      <c r="G24424" s="40" t="s">
        <v>11404</v>
      </c>
      <c r="H24424" s="40" t="s">
        <v>11404</v>
      </c>
    </row>
    <row r="24425">
      <c r="A24425" s="39"/>
      <c r="E24425" s="40" t="s">
        <v>11404</v>
      </c>
      <c r="F24425" s="40" t="s">
        <v>11404</v>
      </c>
      <c r="G24425" s="40" t="s">
        <v>11404</v>
      </c>
      <c r="H24425" s="40" t="s">
        <v>11404</v>
      </c>
    </row>
    <row r="24426">
      <c r="A24426" s="39"/>
      <c r="E24426" s="40" t="s">
        <v>11404</v>
      </c>
      <c r="F24426" s="40" t="s">
        <v>11404</v>
      </c>
      <c r="G24426" s="40" t="s">
        <v>11404</v>
      </c>
      <c r="H24426" s="40" t="s">
        <v>11404</v>
      </c>
    </row>
    <row r="24427">
      <c r="A24427" s="39"/>
      <c r="E24427" s="40" t="s">
        <v>11404</v>
      </c>
      <c r="F24427" s="40" t="s">
        <v>11404</v>
      </c>
      <c r="G24427" s="40" t="s">
        <v>11404</v>
      </c>
      <c r="H24427" s="40" t="s">
        <v>11404</v>
      </c>
    </row>
    <row r="24428">
      <c r="A24428" s="39"/>
      <c r="E24428" s="40" t="s">
        <v>11404</v>
      </c>
      <c r="F24428" s="40" t="s">
        <v>11404</v>
      </c>
      <c r="G24428" s="40" t="s">
        <v>11404</v>
      </c>
      <c r="H24428" s="40" t="s">
        <v>11404</v>
      </c>
    </row>
    <row r="24429">
      <c r="A24429" s="39"/>
      <c r="E24429" s="40" t="s">
        <v>11404</v>
      </c>
      <c r="F24429" s="40" t="s">
        <v>11404</v>
      </c>
      <c r="G24429" s="40" t="s">
        <v>11404</v>
      </c>
      <c r="H24429" s="40" t="s">
        <v>11404</v>
      </c>
    </row>
    <row r="24430">
      <c r="A24430" s="39"/>
      <c r="E24430" s="40" t="s">
        <v>11404</v>
      </c>
      <c r="F24430" s="40" t="s">
        <v>11404</v>
      </c>
      <c r="G24430" s="40" t="s">
        <v>11404</v>
      </c>
      <c r="H24430" s="40" t="s">
        <v>11404</v>
      </c>
    </row>
    <row r="24431">
      <c r="A24431" s="39"/>
      <c r="E24431" s="40" t="s">
        <v>11404</v>
      </c>
      <c r="F24431" s="40" t="s">
        <v>11404</v>
      </c>
      <c r="G24431" s="40" t="s">
        <v>11404</v>
      </c>
      <c r="H24431" s="40" t="s">
        <v>11404</v>
      </c>
    </row>
    <row r="24432">
      <c r="A24432" s="39"/>
      <c r="E24432" s="40" t="s">
        <v>11404</v>
      </c>
      <c r="F24432" s="40" t="s">
        <v>11404</v>
      </c>
      <c r="G24432" s="40" t="s">
        <v>11404</v>
      </c>
      <c r="H24432" s="40" t="s">
        <v>11404</v>
      </c>
    </row>
    <row r="24433">
      <c r="A24433" s="39"/>
      <c r="E24433" s="40" t="s">
        <v>11404</v>
      </c>
      <c r="F24433" s="40" t="s">
        <v>11404</v>
      </c>
      <c r="G24433" s="40" t="s">
        <v>11404</v>
      </c>
      <c r="H24433" s="40" t="s">
        <v>11404</v>
      </c>
    </row>
    <row r="24434">
      <c r="A24434" s="39"/>
      <c r="E24434" s="40" t="s">
        <v>11404</v>
      </c>
      <c r="F24434" s="40" t="s">
        <v>11404</v>
      </c>
      <c r="G24434" s="40" t="s">
        <v>11404</v>
      </c>
      <c r="H24434" s="40" t="s">
        <v>11404</v>
      </c>
    </row>
    <row r="24435">
      <c r="A24435" s="39"/>
      <c r="E24435" s="40" t="s">
        <v>11404</v>
      </c>
      <c r="F24435" s="40" t="s">
        <v>11404</v>
      </c>
      <c r="G24435" s="40" t="s">
        <v>11404</v>
      </c>
      <c r="H24435" s="40" t="s">
        <v>11404</v>
      </c>
    </row>
    <row r="24436">
      <c r="A24436" s="39"/>
      <c r="E24436" s="40" t="s">
        <v>11404</v>
      </c>
      <c r="F24436" s="40" t="s">
        <v>11404</v>
      </c>
      <c r="G24436" s="40" t="s">
        <v>11404</v>
      </c>
      <c r="H24436" s="40" t="s">
        <v>11404</v>
      </c>
    </row>
    <row r="24437">
      <c r="A24437" s="39"/>
      <c r="E24437" s="40" t="s">
        <v>11404</v>
      </c>
      <c r="F24437" s="40" t="s">
        <v>11404</v>
      </c>
      <c r="G24437" s="40" t="s">
        <v>11404</v>
      </c>
      <c r="H24437" s="40" t="s">
        <v>11404</v>
      </c>
    </row>
    <row r="24438">
      <c r="A24438" s="39"/>
      <c r="E24438" s="40" t="s">
        <v>11404</v>
      </c>
      <c r="F24438" s="40" t="s">
        <v>11404</v>
      </c>
      <c r="G24438" s="40" t="s">
        <v>11404</v>
      </c>
      <c r="H24438" s="40" t="s">
        <v>11404</v>
      </c>
    </row>
    <row r="24439">
      <c r="A24439" s="39"/>
      <c r="E24439" s="40" t="s">
        <v>11404</v>
      </c>
      <c r="F24439" s="40" t="s">
        <v>11404</v>
      </c>
      <c r="G24439" s="40" t="s">
        <v>11404</v>
      </c>
      <c r="H24439" s="40" t="s">
        <v>11404</v>
      </c>
    </row>
    <row r="24440">
      <c r="A24440" s="39"/>
      <c r="E24440" s="40" t="s">
        <v>11404</v>
      </c>
      <c r="F24440" s="40" t="s">
        <v>11404</v>
      </c>
      <c r="G24440" s="40" t="s">
        <v>11404</v>
      </c>
      <c r="H24440" s="40" t="s">
        <v>11404</v>
      </c>
    </row>
    <row r="24441">
      <c r="A24441" s="39"/>
      <c r="E24441" s="40" t="s">
        <v>11404</v>
      </c>
      <c r="F24441" s="40" t="s">
        <v>11404</v>
      </c>
      <c r="G24441" s="40" t="s">
        <v>11404</v>
      </c>
      <c r="H24441" s="40" t="s">
        <v>11404</v>
      </c>
    </row>
    <row r="24442">
      <c r="A24442" s="39"/>
      <c r="E24442" s="40" t="s">
        <v>11404</v>
      </c>
      <c r="F24442" s="40" t="s">
        <v>11404</v>
      </c>
      <c r="G24442" s="40" t="s">
        <v>11404</v>
      </c>
      <c r="H24442" s="40" t="s">
        <v>11404</v>
      </c>
    </row>
    <row r="24443">
      <c r="A24443" s="39"/>
      <c r="E24443" s="40" t="s">
        <v>11404</v>
      </c>
      <c r="F24443" s="40" t="s">
        <v>11404</v>
      </c>
      <c r="G24443" s="40" t="s">
        <v>11404</v>
      </c>
      <c r="H24443" s="40" t="s">
        <v>11404</v>
      </c>
    </row>
    <row r="24444">
      <c r="A24444" s="39"/>
      <c r="E24444" s="40" t="s">
        <v>11404</v>
      </c>
      <c r="F24444" s="40" t="s">
        <v>11404</v>
      </c>
      <c r="G24444" s="40" t="s">
        <v>11404</v>
      </c>
      <c r="H24444" s="40" t="s">
        <v>11404</v>
      </c>
    </row>
    <row r="24445">
      <c r="A24445" s="39"/>
      <c r="E24445" s="40" t="s">
        <v>11404</v>
      </c>
      <c r="F24445" s="40" t="s">
        <v>11404</v>
      </c>
      <c r="G24445" s="40" t="s">
        <v>11404</v>
      </c>
      <c r="H24445" s="40" t="s">
        <v>11404</v>
      </c>
    </row>
    <row r="24446">
      <c r="A24446" s="39"/>
      <c r="E24446" s="40" t="s">
        <v>11404</v>
      </c>
      <c r="F24446" s="40" t="s">
        <v>11404</v>
      </c>
      <c r="G24446" s="40" t="s">
        <v>11404</v>
      </c>
      <c r="H24446" s="40" t="s">
        <v>11404</v>
      </c>
    </row>
    <row r="24447">
      <c r="A24447" s="39"/>
      <c r="E24447" s="40" t="s">
        <v>11404</v>
      </c>
      <c r="F24447" s="40" t="s">
        <v>11404</v>
      </c>
      <c r="G24447" s="40" t="s">
        <v>11404</v>
      </c>
      <c r="H24447" s="40" t="s">
        <v>11404</v>
      </c>
    </row>
    <row r="24448">
      <c r="A24448" s="39"/>
      <c r="E24448" s="40" t="s">
        <v>11404</v>
      </c>
      <c r="F24448" s="40" t="s">
        <v>11404</v>
      </c>
      <c r="G24448" s="40" t="s">
        <v>11404</v>
      </c>
      <c r="H24448" s="40" t="s">
        <v>11404</v>
      </c>
    </row>
    <row r="24449">
      <c r="A24449" s="39"/>
      <c r="E24449" s="40" t="s">
        <v>11404</v>
      </c>
      <c r="F24449" s="40" t="s">
        <v>11404</v>
      </c>
      <c r="G24449" s="40" t="s">
        <v>11404</v>
      </c>
      <c r="H24449" s="40" t="s">
        <v>11404</v>
      </c>
    </row>
    <row r="24450">
      <c r="A24450" s="39"/>
      <c r="E24450" s="40" t="s">
        <v>11404</v>
      </c>
      <c r="F24450" s="40" t="s">
        <v>11404</v>
      </c>
      <c r="G24450" s="40" t="s">
        <v>11404</v>
      </c>
      <c r="H24450" s="40" t="s">
        <v>11404</v>
      </c>
    </row>
    <row r="24451">
      <c r="A24451" s="39"/>
      <c r="E24451" s="40" t="s">
        <v>11404</v>
      </c>
      <c r="F24451" s="40" t="s">
        <v>11404</v>
      </c>
      <c r="G24451" s="40" t="s">
        <v>11404</v>
      </c>
      <c r="H24451" s="40" t="s">
        <v>11404</v>
      </c>
    </row>
    <row r="24452">
      <c r="A24452" s="39"/>
      <c r="E24452" s="40" t="s">
        <v>11404</v>
      </c>
      <c r="F24452" s="40" t="s">
        <v>11404</v>
      </c>
      <c r="G24452" s="40" t="s">
        <v>11404</v>
      </c>
      <c r="H24452" s="40" t="s">
        <v>11404</v>
      </c>
    </row>
    <row r="24453">
      <c r="A24453" s="39"/>
      <c r="E24453" s="40" t="s">
        <v>11404</v>
      </c>
      <c r="F24453" s="40" t="s">
        <v>11404</v>
      </c>
      <c r="G24453" s="40" t="s">
        <v>11404</v>
      </c>
      <c r="H24453" s="40" t="s">
        <v>11404</v>
      </c>
    </row>
    <row r="24454">
      <c r="A24454" s="39"/>
      <c r="E24454" s="40" t="s">
        <v>11404</v>
      </c>
      <c r="F24454" s="40" t="s">
        <v>11404</v>
      </c>
      <c r="G24454" s="40" t="s">
        <v>11404</v>
      </c>
      <c r="H24454" s="40" t="s">
        <v>11404</v>
      </c>
    </row>
    <row r="24455">
      <c r="A24455" s="39"/>
      <c r="E24455" s="40" t="s">
        <v>11404</v>
      </c>
      <c r="F24455" s="40" t="s">
        <v>11404</v>
      </c>
      <c r="G24455" s="40" t="s">
        <v>11404</v>
      </c>
      <c r="H24455" s="40" t="s">
        <v>11404</v>
      </c>
    </row>
    <row r="24456">
      <c r="A24456" s="39"/>
      <c r="E24456" s="40" t="s">
        <v>11404</v>
      </c>
      <c r="F24456" s="40" t="s">
        <v>11404</v>
      </c>
      <c r="G24456" s="40" t="s">
        <v>11404</v>
      </c>
      <c r="H24456" s="40" t="s">
        <v>11404</v>
      </c>
    </row>
    <row r="24457">
      <c r="A24457" s="39"/>
      <c r="E24457" s="40" t="s">
        <v>11404</v>
      </c>
      <c r="F24457" s="40" t="s">
        <v>11404</v>
      </c>
      <c r="G24457" s="40" t="s">
        <v>11404</v>
      </c>
      <c r="H24457" s="40" t="s">
        <v>11404</v>
      </c>
    </row>
    <row r="24458">
      <c r="A24458" s="39"/>
      <c r="E24458" s="40" t="s">
        <v>11404</v>
      </c>
      <c r="F24458" s="40" t="s">
        <v>11404</v>
      </c>
      <c r="G24458" s="40" t="s">
        <v>11404</v>
      </c>
      <c r="H24458" s="40" t="s">
        <v>11404</v>
      </c>
    </row>
    <row r="24459">
      <c r="A24459" s="39"/>
      <c r="E24459" s="40" t="s">
        <v>11404</v>
      </c>
      <c r="F24459" s="40" t="s">
        <v>11404</v>
      </c>
      <c r="G24459" s="40" t="s">
        <v>11404</v>
      </c>
      <c r="H24459" s="40" t="s">
        <v>11404</v>
      </c>
    </row>
    <row r="24460">
      <c r="A24460" s="39"/>
      <c r="E24460" s="40" t="s">
        <v>11404</v>
      </c>
      <c r="F24460" s="40" t="s">
        <v>11404</v>
      </c>
      <c r="G24460" s="40" t="s">
        <v>11404</v>
      </c>
      <c r="H24460" s="40" t="s">
        <v>11404</v>
      </c>
    </row>
    <row r="24461">
      <c r="A24461" s="39"/>
      <c r="E24461" s="40" t="s">
        <v>11404</v>
      </c>
      <c r="F24461" s="40" t="s">
        <v>11404</v>
      </c>
      <c r="G24461" s="40" t="s">
        <v>11404</v>
      </c>
      <c r="H24461" s="40" t="s">
        <v>11404</v>
      </c>
    </row>
    <row r="24462">
      <c r="A24462" s="39"/>
      <c r="E24462" s="40" t="s">
        <v>11404</v>
      </c>
      <c r="F24462" s="40" t="s">
        <v>11404</v>
      </c>
      <c r="G24462" s="40" t="s">
        <v>11404</v>
      </c>
      <c r="H24462" s="40" t="s">
        <v>11404</v>
      </c>
    </row>
    <row r="24463">
      <c r="A24463" s="39"/>
      <c r="E24463" s="40" t="s">
        <v>11404</v>
      </c>
      <c r="F24463" s="40" t="s">
        <v>11404</v>
      </c>
      <c r="G24463" s="40" t="s">
        <v>11404</v>
      </c>
      <c r="H24463" s="40" t="s">
        <v>11404</v>
      </c>
    </row>
    <row r="24464">
      <c r="A24464" s="39"/>
      <c r="E24464" s="40" t="s">
        <v>11404</v>
      </c>
      <c r="F24464" s="40" t="s">
        <v>11404</v>
      </c>
      <c r="G24464" s="40" t="s">
        <v>11404</v>
      </c>
      <c r="H24464" s="40" t="s">
        <v>11404</v>
      </c>
    </row>
    <row r="24465">
      <c r="A24465" s="39"/>
      <c r="E24465" s="40" t="s">
        <v>11404</v>
      </c>
      <c r="F24465" s="40" t="s">
        <v>11404</v>
      </c>
      <c r="G24465" s="40" t="s">
        <v>11404</v>
      </c>
      <c r="H24465" s="40" t="s">
        <v>11404</v>
      </c>
    </row>
    <row r="24466">
      <c r="A24466" s="39"/>
      <c r="E24466" s="40" t="s">
        <v>11404</v>
      </c>
      <c r="F24466" s="40" t="s">
        <v>11404</v>
      </c>
      <c r="G24466" s="40" t="s">
        <v>11404</v>
      </c>
      <c r="H24466" s="40" t="s">
        <v>11404</v>
      </c>
    </row>
    <row r="24467">
      <c r="A24467" s="39"/>
      <c r="E24467" s="40" t="s">
        <v>11404</v>
      </c>
      <c r="F24467" s="40" t="s">
        <v>11404</v>
      </c>
      <c r="G24467" s="40" t="s">
        <v>11404</v>
      </c>
      <c r="H24467" s="40" t="s">
        <v>11404</v>
      </c>
    </row>
    <row r="24468">
      <c r="A24468" s="39"/>
      <c r="E24468" s="40" t="s">
        <v>11404</v>
      </c>
      <c r="F24468" s="40" t="s">
        <v>11404</v>
      </c>
      <c r="G24468" s="40" t="s">
        <v>11404</v>
      </c>
      <c r="H24468" s="40" t="s">
        <v>11404</v>
      </c>
    </row>
    <row r="24469">
      <c r="A24469" s="39"/>
      <c r="E24469" s="40" t="s">
        <v>11404</v>
      </c>
      <c r="F24469" s="40" t="s">
        <v>11404</v>
      </c>
      <c r="G24469" s="40" t="s">
        <v>11404</v>
      </c>
      <c r="H24469" s="40" t="s">
        <v>11404</v>
      </c>
    </row>
    <row r="24470">
      <c r="A24470" s="39"/>
      <c r="E24470" s="40" t="s">
        <v>11404</v>
      </c>
      <c r="F24470" s="40" t="s">
        <v>11404</v>
      </c>
      <c r="G24470" s="40" t="s">
        <v>11404</v>
      </c>
      <c r="H24470" s="40" t="s">
        <v>11404</v>
      </c>
    </row>
    <row r="24471">
      <c r="A24471" s="39"/>
      <c r="E24471" s="40" t="s">
        <v>11404</v>
      </c>
      <c r="F24471" s="40" t="s">
        <v>11404</v>
      </c>
      <c r="G24471" s="40" t="s">
        <v>11404</v>
      </c>
      <c r="H24471" s="40" t="s">
        <v>11404</v>
      </c>
    </row>
    <row r="24472">
      <c r="A24472" s="39"/>
      <c r="E24472" s="40" t="s">
        <v>11404</v>
      </c>
      <c r="F24472" s="40" t="s">
        <v>11404</v>
      </c>
      <c r="G24472" s="40" t="s">
        <v>11404</v>
      </c>
      <c r="H24472" s="40" t="s">
        <v>11404</v>
      </c>
    </row>
    <row r="24473">
      <c r="A24473" s="39"/>
      <c r="E24473" s="40" t="s">
        <v>11404</v>
      </c>
      <c r="F24473" s="40" t="s">
        <v>11404</v>
      </c>
      <c r="G24473" s="40" t="s">
        <v>11404</v>
      </c>
      <c r="H24473" s="40" t="s">
        <v>11404</v>
      </c>
    </row>
    <row r="24474">
      <c r="A24474" s="39"/>
      <c r="E24474" s="40" t="s">
        <v>11404</v>
      </c>
      <c r="F24474" s="40" t="s">
        <v>11404</v>
      </c>
      <c r="G24474" s="40" t="s">
        <v>11404</v>
      </c>
      <c r="H24474" s="40" t="s">
        <v>11404</v>
      </c>
    </row>
    <row r="24475">
      <c r="A24475" s="39"/>
      <c r="E24475" s="40" t="s">
        <v>11404</v>
      </c>
      <c r="F24475" s="40" t="s">
        <v>11404</v>
      </c>
      <c r="G24475" s="40" t="s">
        <v>11404</v>
      </c>
      <c r="H24475" s="40" t="s">
        <v>11404</v>
      </c>
    </row>
    <row r="24476">
      <c r="A24476" s="39"/>
      <c r="E24476" s="40" t="s">
        <v>11404</v>
      </c>
      <c r="F24476" s="40" t="s">
        <v>11404</v>
      </c>
      <c r="G24476" s="40" t="s">
        <v>11404</v>
      </c>
      <c r="H24476" s="40" t="s">
        <v>11404</v>
      </c>
    </row>
    <row r="24477">
      <c r="A24477" s="39"/>
      <c r="E24477" s="40" t="s">
        <v>11404</v>
      </c>
      <c r="F24477" s="40" t="s">
        <v>11404</v>
      </c>
      <c r="G24477" s="40" t="s">
        <v>11404</v>
      </c>
      <c r="H24477" s="40" t="s">
        <v>11404</v>
      </c>
    </row>
    <row r="24478">
      <c r="A24478" s="39"/>
      <c r="E24478" s="40" t="s">
        <v>11404</v>
      </c>
      <c r="F24478" s="40" t="s">
        <v>11404</v>
      </c>
      <c r="G24478" s="40" t="s">
        <v>11404</v>
      </c>
      <c r="H24478" s="40" t="s">
        <v>11404</v>
      </c>
    </row>
    <row r="24479">
      <c r="A24479" s="39"/>
      <c r="E24479" s="40" t="s">
        <v>11404</v>
      </c>
      <c r="F24479" s="40" t="s">
        <v>11404</v>
      </c>
      <c r="G24479" s="40" t="s">
        <v>11404</v>
      </c>
      <c r="H24479" s="40" t="s">
        <v>11404</v>
      </c>
    </row>
    <row r="24480">
      <c r="A24480" s="39"/>
      <c r="E24480" s="40" t="s">
        <v>11404</v>
      </c>
      <c r="F24480" s="40" t="s">
        <v>11404</v>
      </c>
      <c r="G24480" s="40" t="s">
        <v>11404</v>
      </c>
      <c r="H24480" s="40" t="s">
        <v>11404</v>
      </c>
    </row>
    <row r="24481">
      <c r="A24481" s="39"/>
      <c r="E24481" s="40" t="s">
        <v>11404</v>
      </c>
      <c r="F24481" s="40" t="s">
        <v>11404</v>
      </c>
      <c r="G24481" s="40" t="s">
        <v>11404</v>
      </c>
      <c r="H24481" s="40" t="s">
        <v>11404</v>
      </c>
    </row>
    <row r="24482">
      <c r="A24482" s="39"/>
      <c r="E24482" s="40" t="s">
        <v>11404</v>
      </c>
      <c r="F24482" s="40" t="s">
        <v>11404</v>
      </c>
      <c r="G24482" s="40" t="s">
        <v>11404</v>
      </c>
      <c r="H24482" s="40" t="s">
        <v>11404</v>
      </c>
    </row>
    <row r="24483">
      <c r="A24483" s="39"/>
      <c r="E24483" s="40" t="s">
        <v>11404</v>
      </c>
      <c r="F24483" s="40" t="s">
        <v>11404</v>
      </c>
      <c r="G24483" s="40" t="s">
        <v>11404</v>
      </c>
      <c r="H24483" s="40" t="s">
        <v>11404</v>
      </c>
    </row>
    <row r="24484">
      <c r="A24484" s="39"/>
      <c r="E24484" s="40" t="s">
        <v>11404</v>
      </c>
      <c r="F24484" s="40" t="s">
        <v>11404</v>
      </c>
      <c r="G24484" s="40" t="s">
        <v>11404</v>
      </c>
      <c r="H24484" s="40" t="s">
        <v>11404</v>
      </c>
    </row>
    <row r="24485">
      <c r="A24485" s="39"/>
      <c r="E24485" s="40" t="s">
        <v>11404</v>
      </c>
      <c r="F24485" s="40" t="s">
        <v>11404</v>
      </c>
      <c r="G24485" s="40" t="s">
        <v>11404</v>
      </c>
      <c r="H24485" s="40" t="s">
        <v>11404</v>
      </c>
    </row>
    <row r="24486">
      <c r="A24486" s="39"/>
      <c r="E24486" s="40" t="s">
        <v>11404</v>
      </c>
      <c r="F24486" s="40" t="s">
        <v>11404</v>
      </c>
      <c r="G24486" s="40" t="s">
        <v>11404</v>
      </c>
      <c r="H24486" s="40" t="s">
        <v>11404</v>
      </c>
    </row>
    <row r="24487">
      <c r="A24487" s="39"/>
      <c r="E24487" s="40" t="s">
        <v>11404</v>
      </c>
      <c r="F24487" s="40" t="s">
        <v>11404</v>
      </c>
      <c r="G24487" s="40" t="s">
        <v>11404</v>
      </c>
      <c r="H24487" s="40" t="s">
        <v>11404</v>
      </c>
    </row>
    <row r="24488">
      <c r="A24488" s="39"/>
      <c r="E24488" s="40" t="s">
        <v>11404</v>
      </c>
      <c r="F24488" s="40" t="s">
        <v>11404</v>
      </c>
      <c r="G24488" s="40" t="s">
        <v>11404</v>
      </c>
      <c r="H24488" s="40" t="s">
        <v>11404</v>
      </c>
    </row>
    <row r="24489">
      <c r="A24489" s="39"/>
      <c r="E24489" s="40" t="s">
        <v>11404</v>
      </c>
      <c r="F24489" s="40" t="s">
        <v>11404</v>
      </c>
      <c r="G24489" s="40" t="s">
        <v>11404</v>
      </c>
      <c r="H24489" s="40" t="s">
        <v>11404</v>
      </c>
    </row>
    <row r="24490">
      <c r="A24490" s="39"/>
      <c r="E24490" s="40" t="s">
        <v>11404</v>
      </c>
      <c r="F24490" s="40" t="s">
        <v>11404</v>
      </c>
      <c r="G24490" s="40" t="s">
        <v>11404</v>
      </c>
      <c r="H24490" s="40" t="s">
        <v>11404</v>
      </c>
    </row>
    <row r="24491">
      <c r="A24491" s="39"/>
      <c r="E24491" s="40" t="s">
        <v>11404</v>
      </c>
      <c r="F24491" s="40" t="s">
        <v>11404</v>
      </c>
      <c r="G24491" s="40" t="s">
        <v>11404</v>
      </c>
      <c r="H24491" s="40" t="s">
        <v>11404</v>
      </c>
    </row>
    <row r="24492">
      <c r="A24492" s="39"/>
      <c r="E24492" s="40" t="s">
        <v>11404</v>
      </c>
      <c r="F24492" s="40" t="s">
        <v>11404</v>
      </c>
      <c r="G24492" s="40" t="s">
        <v>11404</v>
      </c>
      <c r="H24492" s="40" t="s">
        <v>11404</v>
      </c>
    </row>
    <row r="24493">
      <c r="A24493" s="39"/>
      <c r="E24493" s="40" t="s">
        <v>11404</v>
      </c>
      <c r="F24493" s="40" t="s">
        <v>11404</v>
      </c>
      <c r="G24493" s="40" t="s">
        <v>11404</v>
      </c>
      <c r="H24493" s="40" t="s">
        <v>11404</v>
      </c>
    </row>
    <row r="24494">
      <c r="A24494" s="39"/>
      <c r="E24494" s="40" t="s">
        <v>11404</v>
      </c>
      <c r="F24494" s="40" t="s">
        <v>11404</v>
      </c>
      <c r="G24494" s="40" t="s">
        <v>11404</v>
      </c>
      <c r="H24494" s="40" t="s">
        <v>11404</v>
      </c>
    </row>
    <row r="24495">
      <c r="A24495" s="39"/>
      <c r="E24495" s="40" t="s">
        <v>11404</v>
      </c>
      <c r="F24495" s="40" t="s">
        <v>11404</v>
      </c>
      <c r="G24495" s="40" t="s">
        <v>11404</v>
      </c>
      <c r="H24495" s="40" t="s">
        <v>11404</v>
      </c>
    </row>
    <row r="24496">
      <c r="A24496" s="39"/>
      <c r="E24496" s="40" t="s">
        <v>11404</v>
      </c>
      <c r="F24496" s="40" t="s">
        <v>11404</v>
      </c>
      <c r="G24496" s="40" t="s">
        <v>11404</v>
      </c>
      <c r="H24496" s="40" t="s">
        <v>11404</v>
      </c>
    </row>
    <row r="24497">
      <c r="A24497" s="39"/>
      <c r="E24497" s="40" t="s">
        <v>11404</v>
      </c>
      <c r="F24497" s="40" t="s">
        <v>11404</v>
      </c>
      <c r="G24497" s="40" t="s">
        <v>11404</v>
      </c>
      <c r="H24497" s="40" t="s">
        <v>11404</v>
      </c>
    </row>
    <row r="24498">
      <c r="A24498" s="39"/>
      <c r="E24498" s="40" t="s">
        <v>11404</v>
      </c>
      <c r="F24498" s="40" t="s">
        <v>11404</v>
      </c>
      <c r="G24498" s="40" t="s">
        <v>11404</v>
      </c>
      <c r="H24498" s="40" t="s">
        <v>11404</v>
      </c>
    </row>
    <row r="24499">
      <c r="A24499" s="39"/>
      <c r="E24499" s="40" t="s">
        <v>11404</v>
      </c>
      <c r="F24499" s="40" t="s">
        <v>11404</v>
      </c>
      <c r="G24499" s="40" t="s">
        <v>11404</v>
      </c>
      <c r="H24499" s="40" t="s">
        <v>11404</v>
      </c>
    </row>
    <row r="24500">
      <c r="A24500" s="39"/>
      <c r="E24500" s="40" t="s">
        <v>11404</v>
      </c>
      <c r="F24500" s="40" t="s">
        <v>11404</v>
      </c>
      <c r="G24500" s="40" t="s">
        <v>11404</v>
      </c>
      <c r="H24500" s="40" t="s">
        <v>11404</v>
      </c>
    </row>
    <row r="24501">
      <c r="A24501" s="39"/>
      <c r="E24501" s="40" t="s">
        <v>11404</v>
      </c>
      <c r="F24501" s="40" t="s">
        <v>11404</v>
      </c>
      <c r="G24501" s="40" t="s">
        <v>11404</v>
      </c>
      <c r="H24501" s="40" t="s">
        <v>11404</v>
      </c>
    </row>
    <row r="24502">
      <c r="A24502" s="39"/>
      <c r="E24502" s="40" t="s">
        <v>11404</v>
      </c>
      <c r="F24502" s="40" t="s">
        <v>11404</v>
      </c>
      <c r="G24502" s="40" t="s">
        <v>11404</v>
      </c>
      <c r="H24502" s="40" t="s">
        <v>11404</v>
      </c>
    </row>
    <row r="24503">
      <c r="A24503" s="39"/>
      <c r="E24503" s="40" t="s">
        <v>11404</v>
      </c>
      <c r="F24503" s="40" t="s">
        <v>11404</v>
      </c>
      <c r="G24503" s="40" t="s">
        <v>11404</v>
      </c>
      <c r="H24503" s="40" t="s">
        <v>11404</v>
      </c>
    </row>
    <row r="24504">
      <c r="A24504" s="39"/>
      <c r="E24504" s="40" t="s">
        <v>11404</v>
      </c>
      <c r="F24504" s="40" t="s">
        <v>11404</v>
      </c>
      <c r="G24504" s="40" t="s">
        <v>11404</v>
      </c>
      <c r="H24504" s="40" t="s">
        <v>11404</v>
      </c>
    </row>
    <row r="24505">
      <c r="A24505" s="39"/>
      <c r="E24505" s="40" t="s">
        <v>11404</v>
      </c>
      <c r="F24505" s="40" t="s">
        <v>11404</v>
      </c>
      <c r="G24505" s="40" t="s">
        <v>11404</v>
      </c>
      <c r="H24505" s="40" t="s">
        <v>11404</v>
      </c>
    </row>
    <row r="24506">
      <c r="A24506" s="39"/>
      <c r="E24506" s="40" t="s">
        <v>11404</v>
      </c>
      <c r="F24506" s="40" t="s">
        <v>11404</v>
      </c>
      <c r="G24506" s="40" t="s">
        <v>11404</v>
      </c>
      <c r="H24506" s="40" t="s">
        <v>11404</v>
      </c>
    </row>
    <row r="24507">
      <c r="A24507" s="39"/>
      <c r="E24507" s="40" t="s">
        <v>11404</v>
      </c>
      <c r="F24507" s="40" t="s">
        <v>11404</v>
      </c>
      <c r="G24507" s="40" t="s">
        <v>11404</v>
      </c>
      <c r="H24507" s="40" t="s">
        <v>11404</v>
      </c>
    </row>
    <row r="24508">
      <c r="A24508" s="39"/>
      <c r="E24508" s="40" t="s">
        <v>11404</v>
      </c>
      <c r="F24508" s="40" t="s">
        <v>11404</v>
      </c>
      <c r="G24508" s="40" t="s">
        <v>11404</v>
      </c>
      <c r="H24508" s="40" t="s">
        <v>11404</v>
      </c>
    </row>
    <row r="24509">
      <c r="A24509" s="39"/>
      <c r="E24509" s="40" t="s">
        <v>11404</v>
      </c>
      <c r="F24509" s="40" t="s">
        <v>11404</v>
      </c>
      <c r="G24509" s="40" t="s">
        <v>11404</v>
      </c>
      <c r="H24509" s="40" t="s">
        <v>11404</v>
      </c>
    </row>
    <row r="24510">
      <c r="A24510" s="39"/>
      <c r="E24510" s="40" t="s">
        <v>11404</v>
      </c>
      <c r="F24510" s="40" t="s">
        <v>11404</v>
      </c>
      <c r="G24510" s="40" t="s">
        <v>11404</v>
      </c>
      <c r="H24510" s="40" t="s">
        <v>11404</v>
      </c>
    </row>
    <row r="24511">
      <c r="A24511" s="39"/>
      <c r="E24511" s="40" t="s">
        <v>11404</v>
      </c>
      <c r="F24511" s="40" t="s">
        <v>11404</v>
      </c>
      <c r="G24511" s="40" t="s">
        <v>11404</v>
      </c>
      <c r="H24511" s="40" t="s">
        <v>11404</v>
      </c>
    </row>
    <row r="24512">
      <c r="A24512" s="39"/>
      <c r="E24512" s="40" t="s">
        <v>11404</v>
      </c>
      <c r="F24512" s="40" t="s">
        <v>11404</v>
      </c>
      <c r="G24512" s="40" t="s">
        <v>11404</v>
      </c>
      <c r="H24512" s="40" t="s">
        <v>11404</v>
      </c>
    </row>
    <row r="24513">
      <c r="A24513" s="39"/>
      <c r="E24513" s="40" t="s">
        <v>11404</v>
      </c>
      <c r="F24513" s="40" t="s">
        <v>11404</v>
      </c>
      <c r="G24513" s="40" t="s">
        <v>11404</v>
      </c>
      <c r="H24513" s="40" t="s">
        <v>11404</v>
      </c>
    </row>
    <row r="24514">
      <c r="A24514" s="39"/>
      <c r="E24514" s="40" t="s">
        <v>11404</v>
      </c>
      <c r="F24514" s="40" t="s">
        <v>11404</v>
      </c>
      <c r="G24514" s="40" t="s">
        <v>11404</v>
      </c>
      <c r="H24514" s="40" t="s">
        <v>11404</v>
      </c>
    </row>
    <row r="24515">
      <c r="A24515" s="39"/>
      <c r="E24515" s="40" t="s">
        <v>11404</v>
      </c>
      <c r="F24515" s="40" t="s">
        <v>11404</v>
      </c>
      <c r="G24515" s="40" t="s">
        <v>11404</v>
      </c>
      <c r="H24515" s="40" t="s">
        <v>11404</v>
      </c>
    </row>
    <row r="24516">
      <c r="A24516" s="39"/>
      <c r="E24516" s="40" t="s">
        <v>11404</v>
      </c>
      <c r="F24516" s="40" t="s">
        <v>11404</v>
      </c>
      <c r="G24516" s="40" t="s">
        <v>11404</v>
      </c>
      <c r="H24516" s="40" t="s">
        <v>11404</v>
      </c>
    </row>
    <row r="24517">
      <c r="A24517" s="39"/>
      <c r="E24517" s="40" t="s">
        <v>11404</v>
      </c>
      <c r="F24517" s="40" t="s">
        <v>11404</v>
      </c>
      <c r="G24517" s="40" t="s">
        <v>11404</v>
      </c>
      <c r="H24517" s="40" t="s">
        <v>11404</v>
      </c>
    </row>
    <row r="24518">
      <c r="A24518" s="39"/>
      <c r="E24518" s="40" t="s">
        <v>11404</v>
      </c>
      <c r="F24518" s="40" t="s">
        <v>11404</v>
      </c>
      <c r="G24518" s="40" t="s">
        <v>11404</v>
      </c>
      <c r="H24518" s="40" t="s">
        <v>11404</v>
      </c>
    </row>
    <row r="24519">
      <c r="A24519" s="39"/>
      <c r="E24519" s="40" t="s">
        <v>11404</v>
      </c>
      <c r="F24519" s="40" t="s">
        <v>11404</v>
      </c>
      <c r="G24519" s="40" t="s">
        <v>11404</v>
      </c>
      <c r="H24519" s="40" t="s">
        <v>11404</v>
      </c>
    </row>
    <row r="24520">
      <c r="A24520" s="39"/>
      <c r="E24520" s="40" t="s">
        <v>11404</v>
      </c>
      <c r="F24520" s="40" t="s">
        <v>11404</v>
      </c>
      <c r="G24520" s="40" t="s">
        <v>11404</v>
      </c>
      <c r="H24520" s="40" t="s">
        <v>11404</v>
      </c>
    </row>
    <row r="24521">
      <c r="A24521" s="39"/>
      <c r="E24521" s="40" t="s">
        <v>11404</v>
      </c>
      <c r="F24521" s="40" t="s">
        <v>11404</v>
      </c>
      <c r="G24521" s="40" t="s">
        <v>11404</v>
      </c>
      <c r="H24521" s="40" t="s">
        <v>11404</v>
      </c>
    </row>
    <row r="24522">
      <c r="A24522" s="39"/>
      <c r="E24522" s="40" t="s">
        <v>11404</v>
      </c>
      <c r="F24522" s="40" t="s">
        <v>11404</v>
      </c>
      <c r="G24522" s="40" t="s">
        <v>11404</v>
      </c>
      <c r="H24522" s="40" t="s">
        <v>11404</v>
      </c>
    </row>
    <row r="24523">
      <c r="A24523" s="39"/>
      <c r="E24523" s="40" t="s">
        <v>11404</v>
      </c>
      <c r="F24523" s="40" t="s">
        <v>11404</v>
      </c>
      <c r="G24523" s="40" t="s">
        <v>11404</v>
      </c>
      <c r="H24523" s="40" t="s">
        <v>11404</v>
      </c>
    </row>
    <row r="24524">
      <c r="A24524" s="39"/>
      <c r="E24524" s="40" t="s">
        <v>11404</v>
      </c>
      <c r="F24524" s="40" t="s">
        <v>11404</v>
      </c>
      <c r="G24524" s="40" t="s">
        <v>11404</v>
      </c>
      <c r="H24524" s="40" t="s">
        <v>11404</v>
      </c>
    </row>
    <row r="24525">
      <c r="A24525" s="39"/>
      <c r="E24525" s="40" t="s">
        <v>11404</v>
      </c>
      <c r="F24525" s="40" t="s">
        <v>11404</v>
      </c>
      <c r="G24525" s="40" t="s">
        <v>11404</v>
      </c>
      <c r="H24525" s="40" t="s">
        <v>11404</v>
      </c>
    </row>
    <row r="24526">
      <c r="A24526" s="39"/>
      <c r="E24526" s="40" t="s">
        <v>11404</v>
      </c>
      <c r="F24526" s="40" t="s">
        <v>11404</v>
      </c>
      <c r="G24526" s="40" t="s">
        <v>11404</v>
      </c>
      <c r="H24526" s="40" t="s">
        <v>11404</v>
      </c>
    </row>
    <row r="24527">
      <c r="A24527" s="39"/>
      <c r="E24527" s="40" t="s">
        <v>11404</v>
      </c>
      <c r="F24527" s="40" t="s">
        <v>11404</v>
      </c>
      <c r="G24527" s="40" t="s">
        <v>11404</v>
      </c>
      <c r="H24527" s="40" t="s">
        <v>11404</v>
      </c>
    </row>
    <row r="24528">
      <c r="A24528" s="39"/>
      <c r="E24528" s="40" t="s">
        <v>11404</v>
      </c>
      <c r="F24528" s="40" t="s">
        <v>11404</v>
      </c>
      <c r="G24528" s="40" t="s">
        <v>11404</v>
      </c>
      <c r="H24528" s="40" t="s">
        <v>11404</v>
      </c>
    </row>
    <row r="24529">
      <c r="A24529" s="39"/>
      <c r="E24529" s="40" t="s">
        <v>11404</v>
      </c>
      <c r="F24529" s="40" t="s">
        <v>11404</v>
      </c>
      <c r="G24529" s="40" t="s">
        <v>11404</v>
      </c>
      <c r="H24529" s="40" t="s">
        <v>11404</v>
      </c>
    </row>
    <row r="24530">
      <c r="A24530" s="39"/>
      <c r="E24530" s="40" t="s">
        <v>11404</v>
      </c>
      <c r="F24530" s="40" t="s">
        <v>11404</v>
      </c>
      <c r="G24530" s="40" t="s">
        <v>11404</v>
      </c>
      <c r="H24530" s="40" t="s">
        <v>11404</v>
      </c>
    </row>
    <row r="24531">
      <c r="A24531" s="39"/>
      <c r="E24531" s="40" t="s">
        <v>11404</v>
      </c>
      <c r="F24531" s="40" t="s">
        <v>11404</v>
      </c>
      <c r="G24531" s="40" t="s">
        <v>11404</v>
      </c>
      <c r="H24531" s="40" t="s">
        <v>11404</v>
      </c>
    </row>
    <row r="24532">
      <c r="A24532" s="39"/>
      <c r="E24532" s="40" t="s">
        <v>11404</v>
      </c>
      <c r="F24532" s="40" t="s">
        <v>11404</v>
      </c>
      <c r="G24532" s="40" t="s">
        <v>11404</v>
      </c>
      <c r="H24532" s="40" t="s">
        <v>11404</v>
      </c>
    </row>
    <row r="24533">
      <c r="A24533" s="39"/>
      <c r="E24533" s="40" t="s">
        <v>11404</v>
      </c>
      <c r="F24533" s="40" t="s">
        <v>11404</v>
      </c>
      <c r="G24533" s="40" t="s">
        <v>11404</v>
      </c>
      <c r="H24533" s="40" t="s">
        <v>11404</v>
      </c>
    </row>
    <row r="24534">
      <c r="A24534" s="39"/>
      <c r="E24534" s="40" t="s">
        <v>11404</v>
      </c>
      <c r="F24534" s="40" t="s">
        <v>11404</v>
      </c>
      <c r="G24534" s="40" t="s">
        <v>11404</v>
      </c>
      <c r="H24534" s="40" t="s">
        <v>11404</v>
      </c>
    </row>
    <row r="24535">
      <c r="A24535" s="39"/>
      <c r="E24535" s="40" t="s">
        <v>11404</v>
      </c>
      <c r="F24535" s="40" t="s">
        <v>11404</v>
      </c>
      <c r="G24535" s="40" t="s">
        <v>11404</v>
      </c>
      <c r="H24535" s="40" t="s">
        <v>11404</v>
      </c>
    </row>
    <row r="24536">
      <c r="A24536" s="39"/>
      <c r="E24536" s="40" t="s">
        <v>11404</v>
      </c>
      <c r="F24536" s="40" t="s">
        <v>11404</v>
      </c>
      <c r="G24536" s="40" t="s">
        <v>11404</v>
      </c>
      <c r="H24536" s="40" t="s">
        <v>11404</v>
      </c>
    </row>
    <row r="24537">
      <c r="A24537" s="39"/>
      <c r="E24537" s="40" t="s">
        <v>11404</v>
      </c>
      <c r="F24537" s="40" t="s">
        <v>11404</v>
      </c>
      <c r="G24537" s="40" t="s">
        <v>11404</v>
      </c>
      <c r="H24537" s="40" t="s">
        <v>11404</v>
      </c>
    </row>
    <row r="24538">
      <c r="A24538" s="39"/>
      <c r="E24538" s="40" t="s">
        <v>11404</v>
      </c>
      <c r="F24538" s="40" t="s">
        <v>11404</v>
      </c>
      <c r="G24538" s="40" t="s">
        <v>11404</v>
      </c>
      <c r="H24538" s="40" t="s">
        <v>11404</v>
      </c>
    </row>
    <row r="24539">
      <c r="A24539" s="39"/>
      <c r="E24539" s="40" t="s">
        <v>11404</v>
      </c>
      <c r="F24539" s="40" t="s">
        <v>11404</v>
      </c>
      <c r="G24539" s="40" t="s">
        <v>11404</v>
      </c>
      <c r="H24539" s="40" t="s">
        <v>11404</v>
      </c>
    </row>
    <row r="24540">
      <c r="A24540" s="39"/>
      <c r="E24540" s="40" t="s">
        <v>11404</v>
      </c>
      <c r="F24540" s="40" t="s">
        <v>11404</v>
      </c>
      <c r="G24540" s="40" t="s">
        <v>11404</v>
      </c>
      <c r="H24540" s="40" t="s">
        <v>11404</v>
      </c>
    </row>
    <row r="24541">
      <c r="A24541" s="39"/>
      <c r="E24541" s="40" t="s">
        <v>11404</v>
      </c>
      <c r="F24541" s="40" t="s">
        <v>11404</v>
      </c>
      <c r="G24541" s="40" t="s">
        <v>11404</v>
      </c>
      <c r="H24541" s="40" t="s">
        <v>11404</v>
      </c>
    </row>
    <row r="24542">
      <c r="A24542" s="39"/>
      <c r="E24542" s="40" t="s">
        <v>11404</v>
      </c>
      <c r="F24542" s="40" t="s">
        <v>11404</v>
      </c>
      <c r="G24542" s="40" t="s">
        <v>11404</v>
      </c>
      <c r="H24542" s="40" t="s">
        <v>11404</v>
      </c>
    </row>
    <row r="24543">
      <c r="A24543" s="39"/>
      <c r="E24543" s="40" t="s">
        <v>11404</v>
      </c>
      <c r="F24543" s="40" t="s">
        <v>11404</v>
      </c>
      <c r="G24543" s="40" t="s">
        <v>11404</v>
      </c>
      <c r="H24543" s="40" t="s">
        <v>11404</v>
      </c>
    </row>
    <row r="24544">
      <c r="A24544" s="39"/>
      <c r="E24544" s="40" t="s">
        <v>11404</v>
      </c>
      <c r="F24544" s="40" t="s">
        <v>11404</v>
      </c>
      <c r="G24544" s="40" t="s">
        <v>11404</v>
      </c>
      <c r="H24544" s="40" t="s">
        <v>11404</v>
      </c>
    </row>
    <row r="24545">
      <c r="A24545" s="39"/>
      <c r="E24545" s="40" t="s">
        <v>11404</v>
      </c>
      <c r="F24545" s="40" t="s">
        <v>11404</v>
      </c>
      <c r="G24545" s="40" t="s">
        <v>11404</v>
      </c>
      <c r="H24545" s="40" t="s">
        <v>11404</v>
      </c>
    </row>
    <row r="24546">
      <c r="A24546" s="39"/>
      <c r="E24546" s="40" t="s">
        <v>11404</v>
      </c>
      <c r="F24546" s="40" t="s">
        <v>11404</v>
      </c>
      <c r="G24546" s="40" t="s">
        <v>11404</v>
      </c>
      <c r="H24546" s="40" t="s">
        <v>11404</v>
      </c>
    </row>
    <row r="24547">
      <c r="A24547" s="39"/>
      <c r="E24547" s="40" t="s">
        <v>11404</v>
      </c>
      <c r="F24547" s="40" t="s">
        <v>11404</v>
      </c>
      <c r="G24547" s="40" t="s">
        <v>11404</v>
      </c>
      <c r="H24547" s="40" t="s">
        <v>11404</v>
      </c>
    </row>
    <row r="24548">
      <c r="A24548" s="39"/>
      <c r="E24548" s="40" t="s">
        <v>11404</v>
      </c>
      <c r="F24548" s="40" t="s">
        <v>11404</v>
      </c>
      <c r="G24548" s="40" t="s">
        <v>11404</v>
      </c>
      <c r="H24548" s="40" t="s">
        <v>11404</v>
      </c>
    </row>
    <row r="24549">
      <c r="A24549" s="39"/>
      <c r="E24549" s="40" t="s">
        <v>11404</v>
      </c>
      <c r="F24549" s="40" t="s">
        <v>11404</v>
      </c>
      <c r="G24549" s="40" t="s">
        <v>11404</v>
      </c>
      <c r="H24549" s="40" t="s">
        <v>11404</v>
      </c>
    </row>
    <row r="24550">
      <c r="A24550" s="39"/>
      <c r="E24550" s="40" t="s">
        <v>11404</v>
      </c>
      <c r="F24550" s="40" t="s">
        <v>11404</v>
      </c>
      <c r="G24550" s="40" t="s">
        <v>11404</v>
      </c>
      <c r="H24550" s="40" t="s">
        <v>11404</v>
      </c>
    </row>
    <row r="24551">
      <c r="A24551" s="39"/>
      <c r="E24551" s="40" t="s">
        <v>11404</v>
      </c>
      <c r="F24551" s="40" t="s">
        <v>11404</v>
      </c>
      <c r="G24551" s="40" t="s">
        <v>11404</v>
      </c>
      <c r="H24551" s="40" t="s">
        <v>11404</v>
      </c>
    </row>
    <row r="24552">
      <c r="A24552" s="39"/>
      <c r="E24552" s="40" t="s">
        <v>11404</v>
      </c>
      <c r="F24552" s="40" t="s">
        <v>11404</v>
      </c>
      <c r="G24552" s="40" t="s">
        <v>11404</v>
      </c>
      <c r="H24552" s="40" t="s">
        <v>11404</v>
      </c>
    </row>
    <row r="24553">
      <c r="A24553" s="39"/>
      <c r="E24553" s="40" t="s">
        <v>11404</v>
      </c>
      <c r="F24553" s="40" t="s">
        <v>11404</v>
      </c>
      <c r="G24553" s="40" t="s">
        <v>11404</v>
      </c>
      <c r="H24553" s="40" t="s">
        <v>11404</v>
      </c>
    </row>
    <row r="24554">
      <c r="A24554" s="39"/>
      <c r="E24554" s="40" t="s">
        <v>11404</v>
      </c>
      <c r="F24554" s="40" t="s">
        <v>11404</v>
      </c>
      <c r="G24554" s="40" t="s">
        <v>11404</v>
      </c>
      <c r="H24554" s="40" t="s">
        <v>11404</v>
      </c>
    </row>
    <row r="24555">
      <c r="A24555" s="39"/>
      <c r="E24555" s="40" t="s">
        <v>11404</v>
      </c>
      <c r="F24555" s="40" t="s">
        <v>11404</v>
      </c>
      <c r="G24555" s="40" t="s">
        <v>11404</v>
      </c>
      <c r="H24555" s="40" t="s">
        <v>11404</v>
      </c>
    </row>
    <row r="24556">
      <c r="A24556" s="39"/>
      <c r="E24556" s="40" t="s">
        <v>11404</v>
      </c>
      <c r="F24556" s="40" t="s">
        <v>11404</v>
      </c>
      <c r="G24556" s="40" t="s">
        <v>11404</v>
      </c>
      <c r="H24556" s="40" t="s">
        <v>11404</v>
      </c>
    </row>
    <row r="24557">
      <c r="A24557" s="39"/>
      <c r="E24557" s="40" t="s">
        <v>11404</v>
      </c>
      <c r="F24557" s="40" t="s">
        <v>11404</v>
      </c>
      <c r="G24557" s="40" t="s">
        <v>11404</v>
      </c>
      <c r="H24557" s="40" t="s">
        <v>11404</v>
      </c>
    </row>
    <row r="24558">
      <c r="A24558" s="39"/>
      <c r="E24558" s="40" t="s">
        <v>11404</v>
      </c>
      <c r="F24558" s="40" t="s">
        <v>11404</v>
      </c>
      <c r="G24558" s="40" t="s">
        <v>11404</v>
      </c>
      <c r="H24558" s="40" t="s">
        <v>11404</v>
      </c>
    </row>
    <row r="24559">
      <c r="A24559" s="39"/>
      <c r="E24559" s="40" t="s">
        <v>11404</v>
      </c>
      <c r="F24559" s="40" t="s">
        <v>11404</v>
      </c>
      <c r="G24559" s="40" t="s">
        <v>11404</v>
      </c>
      <c r="H24559" s="40" t="s">
        <v>11404</v>
      </c>
    </row>
    <row r="24560">
      <c r="A24560" s="39"/>
      <c r="E24560" s="40" t="s">
        <v>11404</v>
      </c>
      <c r="F24560" s="40" t="s">
        <v>11404</v>
      </c>
      <c r="G24560" s="40" t="s">
        <v>11404</v>
      </c>
      <c r="H24560" s="40" t="s">
        <v>11404</v>
      </c>
    </row>
    <row r="24561">
      <c r="A24561" s="39"/>
      <c r="E24561" s="40" t="s">
        <v>11404</v>
      </c>
      <c r="F24561" s="40" t="s">
        <v>11404</v>
      </c>
      <c r="G24561" s="40" t="s">
        <v>11404</v>
      </c>
      <c r="H24561" s="40" t="s">
        <v>11404</v>
      </c>
    </row>
    <row r="24562">
      <c r="A24562" s="39"/>
      <c r="E24562" s="40" t="s">
        <v>11404</v>
      </c>
      <c r="F24562" s="40" t="s">
        <v>11404</v>
      </c>
      <c r="G24562" s="40" t="s">
        <v>11404</v>
      </c>
      <c r="H24562" s="40" t="s">
        <v>11404</v>
      </c>
    </row>
    <row r="24563">
      <c r="A24563" s="39"/>
      <c r="E24563" s="40" t="s">
        <v>11404</v>
      </c>
      <c r="F24563" s="40" t="s">
        <v>11404</v>
      </c>
      <c r="G24563" s="40" t="s">
        <v>11404</v>
      </c>
      <c r="H24563" s="40" t="s">
        <v>11404</v>
      </c>
    </row>
    <row r="24564">
      <c r="A24564" s="39"/>
      <c r="E24564" s="40" t="s">
        <v>11404</v>
      </c>
      <c r="F24564" s="40" t="s">
        <v>11404</v>
      </c>
      <c r="G24564" s="40" t="s">
        <v>11404</v>
      </c>
      <c r="H24564" s="40" t="s">
        <v>11404</v>
      </c>
    </row>
    <row r="24565">
      <c r="A24565" s="39"/>
      <c r="E24565" s="40" t="s">
        <v>11404</v>
      </c>
      <c r="F24565" s="40" t="s">
        <v>11404</v>
      </c>
      <c r="G24565" s="40" t="s">
        <v>11404</v>
      </c>
      <c r="H24565" s="40" t="s">
        <v>11404</v>
      </c>
    </row>
    <row r="24566">
      <c r="A24566" s="39"/>
      <c r="E24566" s="40" t="s">
        <v>11404</v>
      </c>
      <c r="F24566" s="40" t="s">
        <v>11404</v>
      </c>
      <c r="G24566" s="40" t="s">
        <v>11404</v>
      </c>
      <c r="H24566" s="40" t="s">
        <v>11404</v>
      </c>
    </row>
    <row r="24567">
      <c r="A24567" s="39"/>
      <c r="E24567" s="40" t="s">
        <v>11404</v>
      </c>
      <c r="F24567" s="40" t="s">
        <v>11404</v>
      </c>
      <c r="G24567" s="40" t="s">
        <v>11404</v>
      </c>
      <c r="H24567" s="40" t="s">
        <v>11404</v>
      </c>
    </row>
    <row r="24568">
      <c r="A24568" s="39"/>
      <c r="E24568" s="40" t="s">
        <v>11404</v>
      </c>
      <c r="F24568" s="40" t="s">
        <v>11404</v>
      </c>
      <c r="G24568" s="40" t="s">
        <v>11404</v>
      </c>
      <c r="H24568" s="40" t="s">
        <v>11404</v>
      </c>
    </row>
    <row r="24569">
      <c r="A24569" s="39"/>
      <c r="E24569" s="40" t="s">
        <v>11404</v>
      </c>
      <c r="F24569" s="40" t="s">
        <v>11404</v>
      </c>
      <c r="G24569" s="40" t="s">
        <v>11404</v>
      </c>
      <c r="H24569" s="40" t="s">
        <v>11404</v>
      </c>
    </row>
    <row r="24570">
      <c r="A24570" s="39"/>
      <c r="E24570" s="40" t="s">
        <v>11404</v>
      </c>
      <c r="F24570" s="40" t="s">
        <v>11404</v>
      </c>
      <c r="G24570" s="40" t="s">
        <v>11404</v>
      </c>
      <c r="H24570" s="40" t="s">
        <v>11404</v>
      </c>
    </row>
    <row r="24571">
      <c r="A24571" s="39"/>
      <c r="E24571" s="40" t="s">
        <v>11404</v>
      </c>
      <c r="F24571" s="40" t="s">
        <v>11404</v>
      </c>
      <c r="G24571" s="40" t="s">
        <v>11404</v>
      </c>
      <c r="H24571" s="40" t="s">
        <v>11404</v>
      </c>
    </row>
    <row r="24572">
      <c r="A24572" s="39"/>
      <c r="E24572" s="40" t="s">
        <v>11404</v>
      </c>
      <c r="F24572" s="40" t="s">
        <v>11404</v>
      </c>
      <c r="G24572" s="40" t="s">
        <v>11404</v>
      </c>
      <c r="H24572" s="40" t="s">
        <v>11404</v>
      </c>
    </row>
    <row r="24573">
      <c r="A24573" s="39"/>
      <c r="E24573" s="40" t="s">
        <v>11404</v>
      </c>
      <c r="F24573" s="40" t="s">
        <v>11404</v>
      </c>
      <c r="G24573" s="40" t="s">
        <v>11404</v>
      </c>
      <c r="H24573" s="40" t="s">
        <v>11404</v>
      </c>
    </row>
    <row r="24574">
      <c r="A24574" s="39"/>
      <c r="E24574" s="40" t="s">
        <v>11404</v>
      </c>
      <c r="F24574" s="40" t="s">
        <v>11404</v>
      </c>
      <c r="G24574" s="40" t="s">
        <v>11404</v>
      </c>
      <c r="H24574" s="40" t="s">
        <v>11404</v>
      </c>
    </row>
    <row r="24575">
      <c r="A24575" s="39"/>
      <c r="E24575" s="40" t="s">
        <v>11404</v>
      </c>
      <c r="F24575" s="40" t="s">
        <v>11404</v>
      </c>
      <c r="G24575" s="40" t="s">
        <v>11404</v>
      </c>
      <c r="H24575" s="40" t="s">
        <v>11404</v>
      </c>
    </row>
    <row r="24576">
      <c r="A24576" s="39"/>
      <c r="E24576" s="40" t="s">
        <v>11404</v>
      </c>
      <c r="F24576" s="40" t="s">
        <v>11404</v>
      </c>
      <c r="G24576" s="40" t="s">
        <v>11404</v>
      </c>
      <c r="H24576" s="40" t="s">
        <v>11404</v>
      </c>
    </row>
    <row r="24577">
      <c r="A24577" s="39"/>
      <c r="E24577" s="40" t="s">
        <v>11404</v>
      </c>
      <c r="F24577" s="40" t="s">
        <v>11404</v>
      </c>
      <c r="G24577" s="40" t="s">
        <v>11404</v>
      </c>
      <c r="H24577" s="40" t="s">
        <v>11404</v>
      </c>
    </row>
    <row r="24578">
      <c r="A24578" s="39"/>
      <c r="E24578" s="40" t="s">
        <v>11404</v>
      </c>
      <c r="F24578" s="40" t="s">
        <v>11404</v>
      </c>
      <c r="G24578" s="40" t="s">
        <v>11404</v>
      </c>
      <c r="H24578" s="40" t="s">
        <v>11404</v>
      </c>
    </row>
    <row r="24579">
      <c r="A24579" s="39"/>
      <c r="E24579" s="40" t="s">
        <v>11404</v>
      </c>
      <c r="F24579" s="40" t="s">
        <v>11404</v>
      </c>
      <c r="G24579" s="40" t="s">
        <v>11404</v>
      </c>
      <c r="H24579" s="40" t="s">
        <v>11404</v>
      </c>
    </row>
    <row r="24580">
      <c r="A24580" s="39"/>
      <c r="E24580" s="40" t="s">
        <v>11404</v>
      </c>
      <c r="F24580" s="40" t="s">
        <v>11404</v>
      </c>
      <c r="G24580" s="40" t="s">
        <v>11404</v>
      </c>
      <c r="H24580" s="40" t="s">
        <v>11404</v>
      </c>
    </row>
    <row r="24581">
      <c r="A24581" s="39"/>
      <c r="E24581" s="40" t="s">
        <v>11404</v>
      </c>
      <c r="F24581" s="40" t="s">
        <v>11404</v>
      </c>
      <c r="G24581" s="40" t="s">
        <v>11404</v>
      </c>
      <c r="H24581" s="40" t="s">
        <v>11404</v>
      </c>
    </row>
    <row r="24582">
      <c r="A24582" s="39"/>
      <c r="E24582" s="40" t="s">
        <v>11404</v>
      </c>
      <c r="F24582" s="40" t="s">
        <v>11404</v>
      </c>
      <c r="G24582" s="40" t="s">
        <v>11404</v>
      </c>
      <c r="H24582" s="40" t="s">
        <v>11404</v>
      </c>
    </row>
    <row r="24583">
      <c r="A24583" s="39"/>
      <c r="E24583" s="40" t="s">
        <v>11404</v>
      </c>
      <c r="F24583" s="40" t="s">
        <v>11404</v>
      </c>
      <c r="G24583" s="40" t="s">
        <v>11404</v>
      </c>
      <c r="H24583" s="40" t="s">
        <v>11404</v>
      </c>
    </row>
    <row r="24584">
      <c r="A24584" s="39"/>
      <c r="E24584" s="40" t="s">
        <v>11404</v>
      </c>
      <c r="F24584" s="40" t="s">
        <v>11404</v>
      </c>
      <c r="G24584" s="40" t="s">
        <v>11404</v>
      </c>
      <c r="H24584" s="40" t="s">
        <v>11404</v>
      </c>
    </row>
    <row r="24585">
      <c r="A24585" s="39"/>
      <c r="E24585" s="40" t="s">
        <v>11404</v>
      </c>
      <c r="F24585" s="40" t="s">
        <v>11404</v>
      </c>
      <c r="G24585" s="40" t="s">
        <v>11404</v>
      </c>
      <c r="H24585" s="40" t="s">
        <v>11404</v>
      </c>
    </row>
    <row r="24586">
      <c r="A24586" s="39"/>
      <c r="E24586" s="40" t="s">
        <v>11404</v>
      </c>
      <c r="F24586" s="40" t="s">
        <v>11404</v>
      </c>
      <c r="G24586" s="40" t="s">
        <v>11404</v>
      </c>
      <c r="H24586" s="40" t="s">
        <v>11404</v>
      </c>
    </row>
    <row r="24587">
      <c r="A24587" s="39"/>
      <c r="E24587" s="40" t="s">
        <v>11404</v>
      </c>
      <c r="F24587" s="40" t="s">
        <v>11404</v>
      </c>
      <c r="G24587" s="40" t="s">
        <v>11404</v>
      </c>
      <c r="H24587" s="40" t="s">
        <v>11404</v>
      </c>
    </row>
    <row r="24588">
      <c r="A24588" s="39"/>
      <c r="E24588" s="40" t="s">
        <v>11404</v>
      </c>
      <c r="F24588" s="40" t="s">
        <v>11404</v>
      </c>
      <c r="G24588" s="40" t="s">
        <v>11404</v>
      </c>
      <c r="H24588" s="40" t="s">
        <v>11404</v>
      </c>
    </row>
    <row r="24589">
      <c r="A24589" s="39"/>
      <c r="E24589" s="40" t="s">
        <v>11404</v>
      </c>
      <c r="F24589" s="40" t="s">
        <v>11404</v>
      </c>
      <c r="G24589" s="40" t="s">
        <v>11404</v>
      </c>
      <c r="H24589" s="40" t="s">
        <v>11404</v>
      </c>
    </row>
    <row r="24590">
      <c r="A24590" s="39"/>
      <c r="E24590" s="40" t="s">
        <v>11404</v>
      </c>
      <c r="F24590" s="40" t="s">
        <v>11404</v>
      </c>
      <c r="G24590" s="40" t="s">
        <v>11404</v>
      </c>
      <c r="H24590" s="40" t="s">
        <v>11404</v>
      </c>
    </row>
    <row r="24591">
      <c r="A24591" s="39"/>
      <c r="E24591" s="40" t="s">
        <v>11404</v>
      </c>
      <c r="F24591" s="40" t="s">
        <v>11404</v>
      </c>
      <c r="G24591" s="40" t="s">
        <v>11404</v>
      </c>
      <c r="H24591" s="40" t="s">
        <v>11404</v>
      </c>
    </row>
    <row r="24592">
      <c r="A24592" s="39"/>
      <c r="E24592" s="40" t="s">
        <v>11404</v>
      </c>
      <c r="F24592" s="40" t="s">
        <v>11404</v>
      </c>
      <c r="G24592" s="40" t="s">
        <v>11404</v>
      </c>
      <c r="H24592" s="40" t="s">
        <v>11404</v>
      </c>
    </row>
    <row r="24593">
      <c r="A24593" s="39"/>
      <c r="E24593" s="40" t="s">
        <v>11404</v>
      </c>
      <c r="F24593" s="40" t="s">
        <v>11404</v>
      </c>
      <c r="G24593" s="40" t="s">
        <v>11404</v>
      </c>
      <c r="H24593" s="40" t="s">
        <v>11404</v>
      </c>
    </row>
    <row r="24594">
      <c r="A24594" s="39"/>
      <c r="E24594" s="40" t="s">
        <v>11404</v>
      </c>
      <c r="F24594" s="40" t="s">
        <v>11404</v>
      </c>
      <c r="G24594" s="40" t="s">
        <v>11404</v>
      </c>
      <c r="H24594" s="40" t="s">
        <v>11404</v>
      </c>
    </row>
    <row r="24595">
      <c r="A24595" s="39"/>
      <c r="E24595" s="40" t="s">
        <v>11404</v>
      </c>
      <c r="F24595" s="40" t="s">
        <v>11404</v>
      </c>
      <c r="G24595" s="40" t="s">
        <v>11404</v>
      </c>
      <c r="H24595" s="40" t="s">
        <v>11404</v>
      </c>
    </row>
    <row r="24596">
      <c r="A24596" s="39"/>
      <c r="E24596" s="40" t="s">
        <v>11404</v>
      </c>
      <c r="F24596" s="40" t="s">
        <v>11404</v>
      </c>
      <c r="G24596" s="40" t="s">
        <v>11404</v>
      </c>
      <c r="H24596" s="40" t="s">
        <v>11404</v>
      </c>
    </row>
    <row r="24597">
      <c r="A24597" s="39"/>
      <c r="E24597" s="40" t="s">
        <v>11404</v>
      </c>
      <c r="F24597" s="40" t="s">
        <v>11404</v>
      </c>
      <c r="G24597" s="40" t="s">
        <v>11404</v>
      </c>
      <c r="H24597" s="40" t="s">
        <v>11404</v>
      </c>
    </row>
    <row r="24598">
      <c r="A24598" s="39"/>
      <c r="E24598" s="40" t="s">
        <v>11404</v>
      </c>
      <c r="F24598" s="40" t="s">
        <v>11404</v>
      </c>
      <c r="G24598" s="40" t="s">
        <v>11404</v>
      </c>
      <c r="H24598" s="40" t="s">
        <v>11404</v>
      </c>
    </row>
    <row r="24599">
      <c r="A24599" s="39"/>
      <c r="E24599" s="40" t="s">
        <v>11404</v>
      </c>
      <c r="F24599" s="40" t="s">
        <v>11404</v>
      </c>
      <c r="G24599" s="40" t="s">
        <v>11404</v>
      </c>
      <c r="H24599" s="40" t="s">
        <v>11404</v>
      </c>
    </row>
    <row r="24600">
      <c r="A24600" s="39"/>
      <c r="E24600" s="40" t="s">
        <v>11404</v>
      </c>
      <c r="F24600" s="40" t="s">
        <v>11404</v>
      </c>
      <c r="G24600" s="40" t="s">
        <v>11404</v>
      </c>
      <c r="H24600" s="40" t="s">
        <v>11404</v>
      </c>
    </row>
    <row r="24601">
      <c r="A24601" s="39"/>
      <c r="E24601" s="40" t="s">
        <v>11404</v>
      </c>
      <c r="F24601" s="40" t="s">
        <v>11404</v>
      </c>
      <c r="G24601" s="40" t="s">
        <v>11404</v>
      </c>
      <c r="H24601" s="40" t="s">
        <v>11404</v>
      </c>
    </row>
    <row r="24602">
      <c r="A24602" s="39"/>
      <c r="E24602" s="40" t="s">
        <v>11404</v>
      </c>
      <c r="F24602" s="40" t="s">
        <v>11404</v>
      </c>
      <c r="G24602" s="40" t="s">
        <v>11404</v>
      </c>
      <c r="H24602" s="40" t="s">
        <v>11404</v>
      </c>
    </row>
    <row r="24603">
      <c r="A24603" s="39"/>
      <c r="E24603" s="40" t="s">
        <v>11404</v>
      </c>
      <c r="F24603" s="40" t="s">
        <v>11404</v>
      </c>
      <c r="G24603" s="40" t="s">
        <v>11404</v>
      </c>
      <c r="H24603" s="40" t="s">
        <v>11404</v>
      </c>
    </row>
    <row r="24604">
      <c r="A24604" s="39"/>
      <c r="E24604" s="40" t="s">
        <v>11404</v>
      </c>
      <c r="F24604" s="40" t="s">
        <v>11404</v>
      </c>
      <c r="G24604" s="40" t="s">
        <v>11404</v>
      </c>
      <c r="H24604" s="40" t="s">
        <v>11404</v>
      </c>
    </row>
    <row r="24605">
      <c r="A24605" s="39"/>
      <c r="E24605" s="40" t="s">
        <v>11404</v>
      </c>
      <c r="F24605" s="40" t="s">
        <v>11404</v>
      </c>
      <c r="G24605" s="40" t="s">
        <v>11404</v>
      </c>
      <c r="H24605" s="40" t="s">
        <v>11404</v>
      </c>
    </row>
    <row r="24606">
      <c r="A24606" s="39"/>
      <c r="E24606" s="40" t="s">
        <v>11404</v>
      </c>
      <c r="F24606" s="40" t="s">
        <v>11404</v>
      </c>
      <c r="G24606" s="40" t="s">
        <v>11404</v>
      </c>
      <c r="H24606" s="40" t="s">
        <v>11404</v>
      </c>
    </row>
    <row r="24607">
      <c r="A24607" s="39"/>
      <c r="E24607" s="40" t="s">
        <v>11404</v>
      </c>
      <c r="F24607" s="40" t="s">
        <v>11404</v>
      </c>
      <c r="G24607" s="40" t="s">
        <v>11404</v>
      </c>
      <c r="H24607" s="40" t="s">
        <v>11404</v>
      </c>
    </row>
    <row r="24608">
      <c r="A24608" s="39"/>
      <c r="E24608" s="40" t="s">
        <v>11404</v>
      </c>
      <c r="F24608" s="40" t="s">
        <v>11404</v>
      </c>
      <c r="G24608" s="40" t="s">
        <v>11404</v>
      </c>
      <c r="H24608" s="40" t="s">
        <v>11404</v>
      </c>
    </row>
    <row r="24609">
      <c r="A24609" s="39"/>
      <c r="E24609" s="40" t="s">
        <v>11404</v>
      </c>
      <c r="F24609" s="40" t="s">
        <v>11404</v>
      </c>
      <c r="G24609" s="40" t="s">
        <v>11404</v>
      </c>
      <c r="H24609" s="40" t="s">
        <v>11404</v>
      </c>
    </row>
    <row r="24610">
      <c r="A24610" s="39"/>
      <c r="E24610" s="40" t="s">
        <v>11404</v>
      </c>
      <c r="F24610" s="40" t="s">
        <v>11404</v>
      </c>
      <c r="G24610" s="40" t="s">
        <v>11404</v>
      </c>
      <c r="H24610" s="40" t="s">
        <v>11404</v>
      </c>
    </row>
    <row r="24611">
      <c r="A24611" s="39"/>
      <c r="E24611" s="40" t="s">
        <v>11404</v>
      </c>
      <c r="F24611" s="40" t="s">
        <v>11404</v>
      </c>
      <c r="G24611" s="40" t="s">
        <v>11404</v>
      </c>
      <c r="H24611" s="40" t="s">
        <v>11404</v>
      </c>
    </row>
    <row r="24612">
      <c r="A24612" s="39"/>
      <c r="E24612" s="40" t="s">
        <v>11404</v>
      </c>
      <c r="F24612" s="40" t="s">
        <v>11404</v>
      </c>
      <c r="G24612" s="40" t="s">
        <v>11404</v>
      </c>
      <c r="H24612" s="40" t="s">
        <v>11404</v>
      </c>
    </row>
    <row r="24613">
      <c r="A24613" s="39"/>
      <c r="E24613" s="40" t="s">
        <v>11404</v>
      </c>
      <c r="F24613" s="40" t="s">
        <v>11404</v>
      </c>
      <c r="G24613" s="40" t="s">
        <v>11404</v>
      </c>
      <c r="H24613" s="40" t="s">
        <v>11404</v>
      </c>
    </row>
    <row r="24614">
      <c r="A24614" s="39"/>
      <c r="E24614" s="40" t="s">
        <v>11404</v>
      </c>
      <c r="F24614" s="40" t="s">
        <v>11404</v>
      </c>
      <c r="G24614" s="40" t="s">
        <v>11404</v>
      </c>
      <c r="H24614" s="40" t="s">
        <v>11404</v>
      </c>
    </row>
    <row r="24615">
      <c r="A24615" s="39"/>
      <c r="E24615" s="40" t="s">
        <v>11404</v>
      </c>
      <c r="F24615" s="40" t="s">
        <v>11404</v>
      </c>
      <c r="G24615" s="40" t="s">
        <v>11404</v>
      </c>
      <c r="H24615" s="40" t="s">
        <v>11404</v>
      </c>
    </row>
    <row r="24616">
      <c r="A24616" s="39"/>
      <c r="E24616" s="40" t="s">
        <v>11404</v>
      </c>
      <c r="F24616" s="40" t="s">
        <v>11404</v>
      </c>
      <c r="G24616" s="40" t="s">
        <v>11404</v>
      </c>
      <c r="H24616" s="40" t="s">
        <v>11404</v>
      </c>
    </row>
    <row r="24617">
      <c r="A24617" s="39"/>
      <c r="E24617" s="40" t="s">
        <v>11404</v>
      </c>
      <c r="F24617" s="40" t="s">
        <v>11404</v>
      </c>
      <c r="G24617" s="40" t="s">
        <v>11404</v>
      </c>
      <c r="H24617" s="40" t="s">
        <v>11404</v>
      </c>
    </row>
    <row r="24618">
      <c r="A24618" s="39"/>
      <c r="E24618" s="40" t="s">
        <v>11404</v>
      </c>
      <c r="F24618" s="40" t="s">
        <v>11404</v>
      </c>
      <c r="G24618" s="40" t="s">
        <v>11404</v>
      </c>
      <c r="H24618" s="40" t="s">
        <v>11404</v>
      </c>
    </row>
    <row r="24619">
      <c r="A24619" s="39"/>
      <c r="E24619" s="40" t="s">
        <v>11404</v>
      </c>
      <c r="F24619" s="40" t="s">
        <v>11404</v>
      </c>
      <c r="G24619" s="40" t="s">
        <v>11404</v>
      </c>
      <c r="H24619" s="40" t="s">
        <v>11404</v>
      </c>
    </row>
    <row r="24620">
      <c r="A24620" s="39"/>
      <c r="E24620" s="40" t="s">
        <v>11404</v>
      </c>
      <c r="F24620" s="40" t="s">
        <v>11404</v>
      </c>
      <c r="G24620" s="40" t="s">
        <v>11404</v>
      </c>
      <c r="H24620" s="40" t="s">
        <v>11404</v>
      </c>
    </row>
    <row r="24621">
      <c r="A24621" s="39"/>
      <c r="E24621" s="40" t="s">
        <v>11404</v>
      </c>
      <c r="F24621" s="40" t="s">
        <v>11404</v>
      </c>
      <c r="G24621" s="40" t="s">
        <v>11404</v>
      </c>
      <c r="H24621" s="40" t="s">
        <v>11404</v>
      </c>
    </row>
    <row r="24622">
      <c r="A24622" s="39"/>
      <c r="E24622" s="40" t="s">
        <v>11404</v>
      </c>
      <c r="F24622" s="40" t="s">
        <v>11404</v>
      </c>
      <c r="G24622" s="40" t="s">
        <v>11404</v>
      </c>
      <c r="H24622" s="40" t="s">
        <v>11404</v>
      </c>
    </row>
    <row r="24623">
      <c r="A24623" s="39"/>
      <c r="E24623" s="40" t="s">
        <v>11404</v>
      </c>
      <c r="F24623" s="40" t="s">
        <v>11404</v>
      </c>
      <c r="G24623" s="40" t="s">
        <v>11404</v>
      </c>
      <c r="H24623" s="40" t="s">
        <v>11404</v>
      </c>
    </row>
    <row r="24624">
      <c r="A24624" s="39"/>
      <c r="E24624" s="40" t="s">
        <v>11404</v>
      </c>
      <c r="F24624" s="40" t="s">
        <v>11404</v>
      </c>
      <c r="G24624" s="40" t="s">
        <v>11404</v>
      </c>
      <c r="H24624" s="40" t="s">
        <v>11404</v>
      </c>
    </row>
    <row r="24625">
      <c r="A24625" s="39"/>
      <c r="E24625" s="40" t="s">
        <v>11404</v>
      </c>
      <c r="F24625" s="40" t="s">
        <v>11404</v>
      </c>
      <c r="G24625" s="40" t="s">
        <v>11404</v>
      </c>
      <c r="H24625" s="40" t="s">
        <v>11404</v>
      </c>
    </row>
    <row r="24626">
      <c r="A24626" s="39"/>
      <c r="E24626" s="40" t="s">
        <v>11404</v>
      </c>
      <c r="F24626" s="40" t="s">
        <v>11404</v>
      </c>
      <c r="G24626" s="40" t="s">
        <v>11404</v>
      </c>
      <c r="H24626" s="40" t="s">
        <v>11404</v>
      </c>
    </row>
    <row r="24627">
      <c r="A24627" s="39"/>
      <c r="E24627" s="40" t="s">
        <v>11404</v>
      </c>
      <c r="F24627" s="40" t="s">
        <v>11404</v>
      </c>
      <c r="G24627" s="40" t="s">
        <v>11404</v>
      </c>
      <c r="H24627" s="40" t="s">
        <v>11404</v>
      </c>
    </row>
    <row r="24628">
      <c r="A24628" s="39"/>
      <c r="E24628" s="40" t="s">
        <v>11404</v>
      </c>
      <c r="F24628" s="40" t="s">
        <v>11404</v>
      </c>
      <c r="G24628" s="40" t="s">
        <v>11404</v>
      </c>
      <c r="H24628" s="40" t="s">
        <v>11404</v>
      </c>
    </row>
    <row r="24629">
      <c r="A24629" s="39"/>
      <c r="E24629" s="40" t="s">
        <v>11404</v>
      </c>
      <c r="F24629" s="40" t="s">
        <v>11404</v>
      </c>
      <c r="G24629" s="40" t="s">
        <v>11404</v>
      </c>
      <c r="H24629" s="40" t="s">
        <v>11404</v>
      </c>
    </row>
    <row r="24630">
      <c r="A24630" s="39"/>
      <c r="E24630" s="40" t="s">
        <v>11404</v>
      </c>
      <c r="F24630" s="40" t="s">
        <v>11404</v>
      </c>
      <c r="G24630" s="40" t="s">
        <v>11404</v>
      </c>
      <c r="H24630" s="40" t="s">
        <v>11404</v>
      </c>
    </row>
    <row r="24631">
      <c r="A24631" s="39"/>
      <c r="E24631" s="40" t="s">
        <v>11404</v>
      </c>
      <c r="F24631" s="40" t="s">
        <v>11404</v>
      </c>
      <c r="G24631" s="40" t="s">
        <v>11404</v>
      </c>
      <c r="H24631" s="40" t="s">
        <v>11404</v>
      </c>
    </row>
    <row r="24632">
      <c r="A24632" s="39"/>
      <c r="E24632" s="40" t="s">
        <v>11404</v>
      </c>
      <c r="F24632" s="40" t="s">
        <v>11404</v>
      </c>
      <c r="G24632" s="40" t="s">
        <v>11404</v>
      </c>
      <c r="H24632" s="40" t="s">
        <v>11404</v>
      </c>
    </row>
    <row r="24633">
      <c r="A24633" s="39"/>
      <c r="E24633" s="40" t="s">
        <v>11404</v>
      </c>
      <c r="F24633" s="40" t="s">
        <v>11404</v>
      </c>
      <c r="G24633" s="40" t="s">
        <v>11404</v>
      </c>
      <c r="H24633" s="40" t="s">
        <v>11404</v>
      </c>
    </row>
    <row r="24634">
      <c r="A24634" s="39"/>
      <c r="E24634" s="40" t="s">
        <v>11404</v>
      </c>
      <c r="F24634" s="40" t="s">
        <v>11404</v>
      </c>
      <c r="G24634" s="40" t="s">
        <v>11404</v>
      </c>
      <c r="H24634" s="40" t="s">
        <v>11404</v>
      </c>
    </row>
    <row r="24635">
      <c r="A24635" s="39"/>
      <c r="E24635" s="40" t="s">
        <v>11404</v>
      </c>
      <c r="F24635" s="40" t="s">
        <v>11404</v>
      </c>
      <c r="G24635" s="40" t="s">
        <v>11404</v>
      </c>
      <c r="H24635" s="40" t="s">
        <v>11404</v>
      </c>
    </row>
    <row r="24636">
      <c r="A24636" s="39"/>
      <c r="E24636" s="40" t="s">
        <v>11404</v>
      </c>
      <c r="F24636" s="40" t="s">
        <v>11404</v>
      </c>
      <c r="G24636" s="40" t="s">
        <v>11404</v>
      </c>
      <c r="H24636" s="40" t="s">
        <v>11404</v>
      </c>
    </row>
    <row r="24637">
      <c r="A24637" s="39"/>
      <c r="E24637" s="40" t="s">
        <v>11404</v>
      </c>
      <c r="F24637" s="40" t="s">
        <v>11404</v>
      </c>
      <c r="G24637" s="40" t="s">
        <v>11404</v>
      </c>
      <c r="H24637" s="40" t="s">
        <v>11404</v>
      </c>
    </row>
    <row r="24638">
      <c r="A24638" s="39"/>
      <c r="E24638" s="40" t="s">
        <v>11404</v>
      </c>
      <c r="F24638" s="40" t="s">
        <v>11404</v>
      </c>
      <c r="G24638" s="40" t="s">
        <v>11404</v>
      </c>
      <c r="H24638" s="40" t="s">
        <v>11404</v>
      </c>
    </row>
    <row r="24639">
      <c r="A24639" s="39"/>
      <c r="E24639" s="40" t="s">
        <v>11404</v>
      </c>
      <c r="F24639" s="40" t="s">
        <v>11404</v>
      </c>
      <c r="G24639" s="40" t="s">
        <v>11404</v>
      </c>
      <c r="H24639" s="40" t="s">
        <v>11404</v>
      </c>
    </row>
    <row r="24640">
      <c r="A24640" s="39"/>
      <c r="E24640" s="40" t="s">
        <v>11404</v>
      </c>
      <c r="F24640" s="40" t="s">
        <v>11404</v>
      </c>
      <c r="G24640" s="40" t="s">
        <v>11404</v>
      </c>
      <c r="H24640" s="40" t="s">
        <v>11404</v>
      </c>
    </row>
    <row r="24641">
      <c r="A24641" s="39"/>
      <c r="E24641" s="40" t="s">
        <v>11404</v>
      </c>
      <c r="F24641" s="40" t="s">
        <v>11404</v>
      </c>
      <c r="G24641" s="40" t="s">
        <v>11404</v>
      </c>
      <c r="H24641" s="40" t="s">
        <v>11404</v>
      </c>
    </row>
    <row r="24642">
      <c r="A24642" s="39"/>
      <c r="E24642" s="40" t="s">
        <v>11404</v>
      </c>
      <c r="F24642" s="40" t="s">
        <v>11404</v>
      </c>
      <c r="G24642" s="40" t="s">
        <v>11404</v>
      </c>
      <c r="H24642" s="40" t="s">
        <v>11404</v>
      </c>
    </row>
    <row r="24643">
      <c r="A24643" s="39"/>
      <c r="E24643" s="40" t="s">
        <v>11404</v>
      </c>
      <c r="F24643" s="40" t="s">
        <v>11404</v>
      </c>
      <c r="G24643" s="40" t="s">
        <v>11404</v>
      </c>
      <c r="H24643" s="40" t="s">
        <v>11404</v>
      </c>
    </row>
    <row r="24644">
      <c r="A24644" s="39"/>
      <c r="E24644" s="40" t="s">
        <v>11404</v>
      </c>
      <c r="F24644" s="40" t="s">
        <v>11404</v>
      </c>
      <c r="G24644" s="40" t="s">
        <v>11404</v>
      </c>
      <c r="H24644" s="40" t="s">
        <v>11404</v>
      </c>
    </row>
    <row r="24645">
      <c r="A24645" s="39"/>
      <c r="E24645" s="40" t="s">
        <v>11404</v>
      </c>
      <c r="F24645" s="40" t="s">
        <v>11404</v>
      </c>
      <c r="G24645" s="40" t="s">
        <v>11404</v>
      </c>
      <c r="H24645" s="40" t="s">
        <v>11404</v>
      </c>
    </row>
    <row r="24646">
      <c r="A24646" s="39"/>
      <c r="E24646" s="40" t="s">
        <v>11404</v>
      </c>
      <c r="F24646" s="40" t="s">
        <v>11404</v>
      </c>
      <c r="G24646" s="40" t="s">
        <v>11404</v>
      </c>
      <c r="H24646" s="40" t="s">
        <v>11404</v>
      </c>
    </row>
    <row r="24647">
      <c r="A24647" s="39"/>
      <c r="E24647" s="40" t="s">
        <v>11404</v>
      </c>
      <c r="F24647" s="40" t="s">
        <v>11404</v>
      </c>
      <c r="G24647" s="40" t="s">
        <v>11404</v>
      </c>
      <c r="H24647" s="40" t="s">
        <v>11404</v>
      </c>
    </row>
    <row r="24648">
      <c r="A24648" s="39"/>
      <c r="E24648" s="40" t="s">
        <v>11404</v>
      </c>
      <c r="F24648" s="40" t="s">
        <v>11404</v>
      </c>
      <c r="G24648" s="40" t="s">
        <v>11404</v>
      </c>
      <c r="H24648" s="40" t="s">
        <v>11404</v>
      </c>
    </row>
    <row r="24649">
      <c r="A24649" s="39"/>
      <c r="E24649" s="40" t="s">
        <v>11404</v>
      </c>
      <c r="F24649" s="40" t="s">
        <v>11404</v>
      </c>
      <c r="G24649" s="40" t="s">
        <v>11404</v>
      </c>
      <c r="H24649" s="40" t="s">
        <v>11404</v>
      </c>
    </row>
    <row r="24650">
      <c r="A24650" s="39"/>
      <c r="E24650" s="40" t="s">
        <v>11404</v>
      </c>
      <c r="F24650" s="40" t="s">
        <v>11404</v>
      </c>
      <c r="G24650" s="40" t="s">
        <v>11404</v>
      </c>
      <c r="H24650" s="40" t="s">
        <v>11404</v>
      </c>
    </row>
    <row r="24651">
      <c r="A24651" s="39"/>
      <c r="E24651" s="40" t="s">
        <v>11404</v>
      </c>
      <c r="F24651" s="40" t="s">
        <v>11404</v>
      </c>
      <c r="G24651" s="40" t="s">
        <v>11404</v>
      </c>
      <c r="H24651" s="40" t="s">
        <v>11404</v>
      </c>
    </row>
    <row r="24652">
      <c r="A24652" s="39"/>
      <c r="E24652" s="40" t="s">
        <v>11404</v>
      </c>
      <c r="F24652" s="40" t="s">
        <v>11404</v>
      </c>
      <c r="G24652" s="40" t="s">
        <v>11404</v>
      </c>
      <c r="H24652" s="40" t="s">
        <v>11404</v>
      </c>
    </row>
    <row r="24653">
      <c r="A24653" s="39"/>
      <c r="E24653" s="40" t="s">
        <v>11404</v>
      </c>
      <c r="F24653" s="40" t="s">
        <v>11404</v>
      </c>
      <c r="G24653" s="40" t="s">
        <v>11404</v>
      </c>
      <c r="H24653" s="40" t="s">
        <v>11404</v>
      </c>
    </row>
    <row r="24654">
      <c r="A24654" s="39"/>
      <c r="E24654" s="40" t="s">
        <v>11404</v>
      </c>
      <c r="F24654" s="40" t="s">
        <v>11404</v>
      </c>
      <c r="G24654" s="40" t="s">
        <v>11404</v>
      </c>
      <c r="H24654" s="40" t="s">
        <v>11404</v>
      </c>
    </row>
    <row r="24655">
      <c r="A24655" s="39"/>
      <c r="E24655" s="40" t="s">
        <v>11404</v>
      </c>
      <c r="F24655" s="40" t="s">
        <v>11404</v>
      </c>
      <c r="G24655" s="40" t="s">
        <v>11404</v>
      </c>
      <c r="H24655" s="40" t="s">
        <v>11404</v>
      </c>
    </row>
    <row r="24656">
      <c r="A24656" s="39"/>
      <c r="E24656" s="40" t="s">
        <v>11404</v>
      </c>
      <c r="F24656" s="40" t="s">
        <v>11404</v>
      </c>
      <c r="G24656" s="40" t="s">
        <v>11404</v>
      </c>
      <c r="H24656" s="40" t="s">
        <v>11404</v>
      </c>
    </row>
    <row r="24657">
      <c r="A24657" s="39"/>
      <c r="E24657" s="40" t="s">
        <v>11404</v>
      </c>
      <c r="F24657" s="40" t="s">
        <v>11404</v>
      </c>
      <c r="G24657" s="40" t="s">
        <v>11404</v>
      </c>
      <c r="H24657" s="40" t="s">
        <v>11404</v>
      </c>
    </row>
    <row r="24658">
      <c r="A24658" s="39"/>
      <c r="E24658" s="40" t="s">
        <v>11404</v>
      </c>
      <c r="F24658" s="40" t="s">
        <v>11404</v>
      </c>
      <c r="G24658" s="40" t="s">
        <v>11404</v>
      </c>
      <c r="H24658" s="40" t="s">
        <v>11404</v>
      </c>
    </row>
    <row r="24659">
      <c r="A24659" s="39"/>
      <c r="E24659" s="40" t="s">
        <v>11404</v>
      </c>
      <c r="F24659" s="40" t="s">
        <v>11404</v>
      </c>
      <c r="G24659" s="40" t="s">
        <v>11404</v>
      </c>
      <c r="H24659" s="40" t="s">
        <v>11404</v>
      </c>
    </row>
    <row r="24660">
      <c r="A24660" s="39"/>
      <c r="E24660" s="40" t="s">
        <v>11404</v>
      </c>
      <c r="F24660" s="40" t="s">
        <v>11404</v>
      </c>
      <c r="G24660" s="40" t="s">
        <v>11404</v>
      </c>
      <c r="H24660" s="40" t="s">
        <v>11404</v>
      </c>
    </row>
    <row r="24661">
      <c r="A24661" s="39"/>
      <c r="E24661" s="40" t="s">
        <v>11404</v>
      </c>
      <c r="F24661" s="40" t="s">
        <v>11404</v>
      </c>
      <c r="G24661" s="40" t="s">
        <v>11404</v>
      </c>
      <c r="H24661" s="40" t="s">
        <v>11404</v>
      </c>
    </row>
    <row r="24662">
      <c r="A24662" s="39"/>
      <c r="E24662" s="40" t="s">
        <v>11404</v>
      </c>
      <c r="F24662" s="40" t="s">
        <v>11404</v>
      </c>
      <c r="G24662" s="40" t="s">
        <v>11404</v>
      </c>
      <c r="H24662" s="40" t="s">
        <v>11404</v>
      </c>
    </row>
    <row r="24663">
      <c r="A24663" s="39"/>
      <c r="E24663" s="40" t="s">
        <v>11404</v>
      </c>
      <c r="F24663" s="40" t="s">
        <v>11404</v>
      </c>
      <c r="G24663" s="40" t="s">
        <v>11404</v>
      </c>
      <c r="H24663" s="40" t="s">
        <v>11404</v>
      </c>
    </row>
    <row r="24664">
      <c r="A24664" s="39"/>
      <c r="E24664" s="40" t="s">
        <v>11404</v>
      </c>
      <c r="F24664" s="40" t="s">
        <v>11404</v>
      </c>
      <c r="G24664" s="40" t="s">
        <v>11404</v>
      </c>
      <c r="H24664" s="40" t="s">
        <v>11404</v>
      </c>
    </row>
    <row r="24665">
      <c r="A24665" s="39"/>
      <c r="E24665" s="40" t="s">
        <v>11404</v>
      </c>
      <c r="F24665" s="40" t="s">
        <v>11404</v>
      </c>
      <c r="G24665" s="40" t="s">
        <v>11404</v>
      </c>
      <c r="H24665" s="40" t="s">
        <v>11404</v>
      </c>
    </row>
    <row r="24666">
      <c r="A24666" s="39"/>
      <c r="E24666" s="40" t="s">
        <v>11404</v>
      </c>
      <c r="F24666" s="40" t="s">
        <v>11404</v>
      </c>
      <c r="G24666" s="40" t="s">
        <v>11404</v>
      </c>
      <c r="H24666" s="40" t="s">
        <v>11404</v>
      </c>
    </row>
    <row r="24667">
      <c r="A24667" s="39"/>
      <c r="E24667" s="40" t="s">
        <v>11404</v>
      </c>
      <c r="F24667" s="40" t="s">
        <v>11404</v>
      </c>
      <c r="G24667" s="40" t="s">
        <v>11404</v>
      </c>
      <c r="H24667" s="40" t="s">
        <v>11404</v>
      </c>
    </row>
    <row r="24668">
      <c r="A24668" s="39"/>
      <c r="E24668" s="40" t="s">
        <v>11404</v>
      </c>
      <c r="F24668" s="40" t="s">
        <v>11404</v>
      </c>
      <c r="G24668" s="40" t="s">
        <v>11404</v>
      </c>
      <c r="H24668" s="40" t="s">
        <v>11404</v>
      </c>
    </row>
    <row r="24669">
      <c r="A24669" s="39"/>
      <c r="E24669" s="40" t="s">
        <v>11404</v>
      </c>
      <c r="F24669" s="40" t="s">
        <v>11404</v>
      </c>
      <c r="G24669" s="40" t="s">
        <v>11404</v>
      </c>
      <c r="H24669" s="40" t="s">
        <v>11404</v>
      </c>
    </row>
    <row r="24670">
      <c r="A24670" s="39"/>
      <c r="E24670" s="40" t="s">
        <v>11404</v>
      </c>
      <c r="F24670" s="40" t="s">
        <v>11404</v>
      </c>
      <c r="G24670" s="40" t="s">
        <v>11404</v>
      </c>
      <c r="H24670" s="40" t="s">
        <v>11404</v>
      </c>
    </row>
    <row r="24671">
      <c r="A24671" s="39"/>
      <c r="E24671" s="40" t="s">
        <v>11404</v>
      </c>
      <c r="F24671" s="40" t="s">
        <v>11404</v>
      </c>
      <c r="G24671" s="40" t="s">
        <v>11404</v>
      </c>
      <c r="H24671" s="40" t="s">
        <v>11404</v>
      </c>
    </row>
    <row r="24672">
      <c r="A24672" s="39"/>
      <c r="E24672" s="40" t="s">
        <v>11404</v>
      </c>
      <c r="F24672" s="40" t="s">
        <v>11404</v>
      </c>
      <c r="G24672" s="40" t="s">
        <v>11404</v>
      </c>
      <c r="H24672" s="40" t="s">
        <v>11404</v>
      </c>
    </row>
    <row r="24673">
      <c r="A24673" s="39"/>
      <c r="E24673" s="40" t="s">
        <v>11404</v>
      </c>
      <c r="F24673" s="40" t="s">
        <v>11404</v>
      </c>
      <c r="G24673" s="40" t="s">
        <v>11404</v>
      </c>
      <c r="H24673" s="40" t="s">
        <v>11404</v>
      </c>
    </row>
    <row r="24674">
      <c r="A24674" s="39"/>
      <c r="E24674" s="40" t="s">
        <v>11404</v>
      </c>
      <c r="F24674" s="40" t="s">
        <v>11404</v>
      </c>
      <c r="G24674" s="40" t="s">
        <v>11404</v>
      </c>
      <c r="H24674" s="40" t="s">
        <v>11404</v>
      </c>
    </row>
    <row r="24675">
      <c r="A24675" s="39"/>
      <c r="E24675" s="40" t="s">
        <v>11404</v>
      </c>
      <c r="F24675" s="40" t="s">
        <v>11404</v>
      </c>
      <c r="G24675" s="40" t="s">
        <v>11404</v>
      </c>
      <c r="H24675" s="40" t="s">
        <v>11404</v>
      </c>
    </row>
    <row r="24676">
      <c r="A24676" s="39"/>
      <c r="E24676" s="40" t="s">
        <v>11404</v>
      </c>
      <c r="F24676" s="40" t="s">
        <v>11404</v>
      </c>
      <c r="G24676" s="40" t="s">
        <v>11404</v>
      </c>
      <c r="H24676" s="40" t="s">
        <v>11404</v>
      </c>
    </row>
    <row r="24677">
      <c r="A24677" s="39"/>
      <c r="E24677" s="40" t="s">
        <v>11404</v>
      </c>
      <c r="F24677" s="40" t="s">
        <v>11404</v>
      </c>
      <c r="G24677" s="40" t="s">
        <v>11404</v>
      </c>
      <c r="H24677" s="40" t="s">
        <v>11404</v>
      </c>
    </row>
    <row r="24678">
      <c r="A24678" s="39"/>
      <c r="E24678" s="40" t="s">
        <v>11404</v>
      </c>
      <c r="F24678" s="40" t="s">
        <v>11404</v>
      </c>
      <c r="G24678" s="40" t="s">
        <v>11404</v>
      </c>
      <c r="H24678" s="40" t="s">
        <v>11404</v>
      </c>
    </row>
    <row r="24679">
      <c r="A24679" s="39"/>
      <c r="E24679" s="40" t="s">
        <v>11404</v>
      </c>
      <c r="F24679" s="40" t="s">
        <v>11404</v>
      </c>
      <c r="G24679" s="40" t="s">
        <v>11404</v>
      </c>
      <c r="H24679" s="40" t="s">
        <v>11404</v>
      </c>
    </row>
    <row r="24680">
      <c r="A24680" s="39"/>
      <c r="E24680" s="40" t="s">
        <v>11404</v>
      </c>
      <c r="F24680" s="40" t="s">
        <v>11404</v>
      </c>
      <c r="G24680" s="40" t="s">
        <v>11404</v>
      </c>
      <c r="H24680" s="40" t="s">
        <v>11404</v>
      </c>
    </row>
    <row r="24681">
      <c r="A24681" s="39"/>
      <c r="E24681" s="40" t="s">
        <v>11404</v>
      </c>
      <c r="F24681" s="40" t="s">
        <v>11404</v>
      </c>
      <c r="G24681" s="40" t="s">
        <v>11404</v>
      </c>
      <c r="H24681" s="40" t="s">
        <v>11404</v>
      </c>
    </row>
    <row r="24682">
      <c r="A24682" s="39"/>
      <c r="E24682" s="40" t="s">
        <v>11404</v>
      </c>
      <c r="F24682" s="40" t="s">
        <v>11404</v>
      </c>
      <c r="G24682" s="40" t="s">
        <v>11404</v>
      </c>
      <c r="H24682" s="40" t="s">
        <v>11404</v>
      </c>
    </row>
    <row r="24683">
      <c r="A24683" s="39"/>
      <c r="E24683" s="40" t="s">
        <v>11404</v>
      </c>
      <c r="F24683" s="40" t="s">
        <v>11404</v>
      </c>
      <c r="G24683" s="40" t="s">
        <v>11404</v>
      </c>
      <c r="H24683" s="40" t="s">
        <v>11404</v>
      </c>
    </row>
    <row r="24684">
      <c r="A24684" s="39"/>
      <c r="E24684" s="40" t="s">
        <v>11404</v>
      </c>
      <c r="F24684" s="40" t="s">
        <v>11404</v>
      </c>
      <c r="G24684" s="40" t="s">
        <v>11404</v>
      </c>
      <c r="H24684" s="40" t="s">
        <v>11404</v>
      </c>
    </row>
    <row r="24685">
      <c r="A24685" s="39"/>
      <c r="E24685" s="40" t="s">
        <v>11404</v>
      </c>
      <c r="F24685" s="40" t="s">
        <v>11404</v>
      </c>
      <c r="G24685" s="40" t="s">
        <v>11404</v>
      </c>
      <c r="H24685" s="40" t="s">
        <v>11404</v>
      </c>
    </row>
    <row r="24686">
      <c r="A24686" s="39"/>
      <c r="E24686" s="40" t="s">
        <v>11404</v>
      </c>
      <c r="F24686" s="40" t="s">
        <v>11404</v>
      </c>
      <c r="G24686" s="40" t="s">
        <v>11404</v>
      </c>
      <c r="H24686" s="40" t="s">
        <v>11404</v>
      </c>
    </row>
    <row r="24687">
      <c r="A24687" s="39"/>
      <c r="E24687" s="40" t="s">
        <v>11404</v>
      </c>
      <c r="F24687" s="40" t="s">
        <v>11404</v>
      </c>
      <c r="G24687" s="40" t="s">
        <v>11404</v>
      </c>
      <c r="H24687" s="40" t="s">
        <v>11404</v>
      </c>
    </row>
    <row r="24688">
      <c r="A24688" s="39"/>
      <c r="E24688" s="40" t="s">
        <v>11404</v>
      </c>
      <c r="F24688" s="40" t="s">
        <v>11404</v>
      </c>
      <c r="G24688" s="40" t="s">
        <v>11404</v>
      </c>
      <c r="H24688" s="40" t="s">
        <v>11404</v>
      </c>
    </row>
    <row r="24689">
      <c r="A24689" s="39"/>
      <c r="E24689" s="40" t="s">
        <v>11404</v>
      </c>
      <c r="F24689" s="40" t="s">
        <v>11404</v>
      </c>
      <c r="G24689" s="40" t="s">
        <v>11404</v>
      </c>
      <c r="H24689" s="40" t="s">
        <v>11404</v>
      </c>
    </row>
    <row r="24690">
      <c r="A24690" s="39"/>
      <c r="E24690" s="40" t="s">
        <v>11404</v>
      </c>
      <c r="F24690" s="40" t="s">
        <v>11404</v>
      </c>
      <c r="G24690" s="40" t="s">
        <v>11404</v>
      </c>
      <c r="H24690" s="40" t="s">
        <v>11404</v>
      </c>
    </row>
    <row r="24691">
      <c r="A24691" s="39"/>
      <c r="E24691" s="40" t="s">
        <v>11404</v>
      </c>
      <c r="F24691" s="40" t="s">
        <v>11404</v>
      </c>
      <c r="G24691" s="40" t="s">
        <v>11404</v>
      </c>
      <c r="H24691" s="40" t="s">
        <v>11404</v>
      </c>
    </row>
    <row r="24692">
      <c r="A24692" s="39"/>
      <c r="E24692" s="40" t="s">
        <v>11404</v>
      </c>
      <c r="F24692" s="40" t="s">
        <v>11404</v>
      </c>
      <c r="G24692" s="40" t="s">
        <v>11404</v>
      </c>
      <c r="H24692" s="40" t="s">
        <v>11404</v>
      </c>
    </row>
    <row r="24693">
      <c r="A24693" s="39"/>
      <c r="E24693" s="40" t="s">
        <v>11404</v>
      </c>
      <c r="F24693" s="40" t="s">
        <v>11404</v>
      </c>
      <c r="G24693" s="40" t="s">
        <v>11404</v>
      </c>
      <c r="H24693" s="40" t="s">
        <v>11404</v>
      </c>
    </row>
    <row r="24694">
      <c r="A24694" s="39"/>
      <c r="E24694" s="40" t="s">
        <v>11404</v>
      </c>
      <c r="F24694" s="40" t="s">
        <v>11404</v>
      </c>
      <c r="G24694" s="40" t="s">
        <v>11404</v>
      </c>
      <c r="H24694" s="40" t="s">
        <v>11404</v>
      </c>
    </row>
    <row r="24695">
      <c r="A24695" s="39"/>
      <c r="E24695" s="40" t="s">
        <v>11404</v>
      </c>
      <c r="F24695" s="40" t="s">
        <v>11404</v>
      </c>
      <c r="G24695" s="40" t="s">
        <v>11404</v>
      </c>
      <c r="H24695" s="40" t="s">
        <v>11404</v>
      </c>
    </row>
    <row r="24696">
      <c r="A24696" s="39"/>
      <c r="E24696" s="40" t="s">
        <v>11404</v>
      </c>
      <c r="F24696" s="40" t="s">
        <v>11404</v>
      </c>
      <c r="G24696" s="40" t="s">
        <v>11404</v>
      </c>
      <c r="H24696" s="40" t="s">
        <v>11404</v>
      </c>
    </row>
    <row r="24697">
      <c r="A24697" s="39"/>
      <c r="E24697" s="40" t="s">
        <v>11404</v>
      </c>
      <c r="F24697" s="40" t="s">
        <v>11404</v>
      </c>
      <c r="G24697" s="40" t="s">
        <v>11404</v>
      </c>
      <c r="H24697" s="40" t="s">
        <v>11404</v>
      </c>
    </row>
    <row r="24698">
      <c r="A24698" s="39"/>
      <c r="E24698" s="40" t="s">
        <v>11404</v>
      </c>
      <c r="F24698" s="40" t="s">
        <v>11404</v>
      </c>
      <c r="G24698" s="40" t="s">
        <v>11404</v>
      </c>
      <c r="H24698" s="40" t="s">
        <v>11404</v>
      </c>
    </row>
    <row r="24699">
      <c r="A24699" s="39"/>
      <c r="E24699" s="40" t="s">
        <v>11404</v>
      </c>
      <c r="F24699" s="40" t="s">
        <v>11404</v>
      </c>
      <c r="G24699" s="40" t="s">
        <v>11404</v>
      </c>
      <c r="H24699" s="40" t="s">
        <v>11404</v>
      </c>
    </row>
    <row r="24700">
      <c r="A24700" s="39"/>
      <c r="E24700" s="40" t="s">
        <v>11404</v>
      </c>
      <c r="F24700" s="40" t="s">
        <v>11404</v>
      </c>
      <c r="G24700" s="40" t="s">
        <v>11404</v>
      </c>
      <c r="H24700" s="40" t="s">
        <v>11404</v>
      </c>
    </row>
    <row r="24701">
      <c r="A24701" s="39"/>
      <c r="E24701" s="40" t="s">
        <v>11404</v>
      </c>
      <c r="F24701" s="40" t="s">
        <v>11404</v>
      </c>
      <c r="G24701" s="40" t="s">
        <v>11404</v>
      </c>
      <c r="H24701" s="40" t="s">
        <v>11404</v>
      </c>
    </row>
    <row r="24702">
      <c r="A24702" s="39"/>
      <c r="E24702" s="40" t="s">
        <v>11404</v>
      </c>
      <c r="F24702" s="40" t="s">
        <v>11404</v>
      </c>
      <c r="G24702" s="40" t="s">
        <v>11404</v>
      </c>
      <c r="H24702" s="40" t="s">
        <v>11404</v>
      </c>
    </row>
    <row r="24703">
      <c r="A24703" s="39"/>
      <c r="E24703" s="40" t="s">
        <v>11404</v>
      </c>
      <c r="F24703" s="40" t="s">
        <v>11404</v>
      </c>
      <c r="G24703" s="40" t="s">
        <v>11404</v>
      </c>
      <c r="H24703" s="40" t="s">
        <v>11404</v>
      </c>
    </row>
    <row r="24704">
      <c r="A24704" s="39"/>
      <c r="E24704" s="40" t="s">
        <v>11404</v>
      </c>
      <c r="F24704" s="40" t="s">
        <v>11404</v>
      </c>
      <c r="G24704" s="40" t="s">
        <v>11404</v>
      </c>
      <c r="H24704" s="40" t="s">
        <v>11404</v>
      </c>
    </row>
    <row r="24705">
      <c r="A24705" s="39"/>
      <c r="E24705" s="40" t="s">
        <v>11404</v>
      </c>
      <c r="F24705" s="40" t="s">
        <v>11404</v>
      </c>
      <c r="G24705" s="40" t="s">
        <v>11404</v>
      </c>
      <c r="H24705" s="40" t="s">
        <v>11404</v>
      </c>
    </row>
    <row r="24706">
      <c r="A24706" s="39"/>
      <c r="E24706" s="40" t="s">
        <v>11404</v>
      </c>
      <c r="F24706" s="40" t="s">
        <v>11404</v>
      </c>
      <c r="G24706" s="40" t="s">
        <v>11404</v>
      </c>
      <c r="H24706" s="40" t="s">
        <v>11404</v>
      </c>
    </row>
    <row r="24707">
      <c r="A24707" s="39"/>
      <c r="E24707" s="40" t="s">
        <v>11404</v>
      </c>
      <c r="F24707" s="40" t="s">
        <v>11404</v>
      </c>
      <c r="G24707" s="40" t="s">
        <v>11404</v>
      </c>
      <c r="H24707" s="40" t="s">
        <v>11404</v>
      </c>
    </row>
    <row r="24708">
      <c r="A24708" s="39"/>
      <c r="E24708" s="40" t="s">
        <v>11404</v>
      </c>
      <c r="F24708" s="40" t="s">
        <v>11404</v>
      </c>
      <c r="G24708" s="40" t="s">
        <v>11404</v>
      </c>
      <c r="H24708" s="40" t="s">
        <v>11404</v>
      </c>
    </row>
    <row r="24709">
      <c r="A24709" s="39"/>
      <c r="E24709" s="40" t="s">
        <v>11404</v>
      </c>
      <c r="F24709" s="40" t="s">
        <v>11404</v>
      </c>
      <c r="G24709" s="40" t="s">
        <v>11404</v>
      </c>
      <c r="H24709" s="40" t="s">
        <v>11404</v>
      </c>
    </row>
    <row r="24710">
      <c r="A24710" s="39"/>
      <c r="E24710" s="40" t="s">
        <v>11404</v>
      </c>
      <c r="F24710" s="40" t="s">
        <v>11404</v>
      </c>
      <c r="G24710" s="40" t="s">
        <v>11404</v>
      </c>
      <c r="H24710" s="40" t="s">
        <v>11404</v>
      </c>
    </row>
    <row r="24711">
      <c r="A24711" s="39"/>
      <c r="E24711" s="40" t="s">
        <v>11404</v>
      </c>
      <c r="F24711" s="40" t="s">
        <v>11404</v>
      </c>
      <c r="G24711" s="40" t="s">
        <v>11404</v>
      </c>
      <c r="H24711" s="40" t="s">
        <v>11404</v>
      </c>
    </row>
    <row r="24712">
      <c r="A24712" s="39"/>
      <c r="E24712" s="40" t="s">
        <v>11404</v>
      </c>
      <c r="F24712" s="40" t="s">
        <v>11404</v>
      </c>
      <c r="G24712" s="40" t="s">
        <v>11404</v>
      </c>
      <c r="H24712" s="40" t="s">
        <v>11404</v>
      </c>
    </row>
    <row r="24713">
      <c r="A24713" s="39"/>
      <c r="E24713" s="40" t="s">
        <v>11404</v>
      </c>
      <c r="F24713" s="40" t="s">
        <v>11404</v>
      </c>
      <c r="G24713" s="40" t="s">
        <v>11404</v>
      </c>
      <c r="H24713" s="40" t="s">
        <v>11404</v>
      </c>
    </row>
    <row r="24714">
      <c r="A24714" s="39"/>
      <c r="E24714" s="40" t="s">
        <v>11404</v>
      </c>
      <c r="F24714" s="40" t="s">
        <v>11404</v>
      </c>
      <c r="G24714" s="40" t="s">
        <v>11404</v>
      </c>
      <c r="H24714" s="40" t="s">
        <v>11404</v>
      </c>
    </row>
    <row r="24715">
      <c r="A24715" s="39"/>
      <c r="E24715" s="40" t="s">
        <v>11404</v>
      </c>
      <c r="F24715" s="40" t="s">
        <v>11404</v>
      </c>
      <c r="G24715" s="40" t="s">
        <v>11404</v>
      </c>
      <c r="H24715" s="40" t="s">
        <v>11404</v>
      </c>
    </row>
    <row r="24716">
      <c r="A24716" s="39"/>
      <c r="E24716" s="40" t="s">
        <v>11404</v>
      </c>
      <c r="F24716" s="40" t="s">
        <v>11404</v>
      </c>
      <c r="G24716" s="40" t="s">
        <v>11404</v>
      </c>
      <c r="H24716" s="40" t="s">
        <v>11404</v>
      </c>
    </row>
    <row r="24717">
      <c r="A24717" s="39"/>
      <c r="E24717" s="40" t="s">
        <v>11404</v>
      </c>
      <c r="F24717" s="40" t="s">
        <v>11404</v>
      </c>
      <c r="G24717" s="40" t="s">
        <v>11404</v>
      </c>
      <c r="H24717" s="40" t="s">
        <v>11404</v>
      </c>
    </row>
    <row r="24718">
      <c r="A24718" s="39"/>
      <c r="E24718" s="40" t="s">
        <v>11404</v>
      </c>
      <c r="F24718" s="40" t="s">
        <v>11404</v>
      </c>
      <c r="G24718" s="40" t="s">
        <v>11404</v>
      </c>
      <c r="H24718" s="40" t="s">
        <v>11404</v>
      </c>
    </row>
    <row r="24719">
      <c r="A24719" s="39"/>
      <c r="E24719" s="40" t="s">
        <v>11404</v>
      </c>
      <c r="F24719" s="40" t="s">
        <v>11404</v>
      </c>
      <c r="G24719" s="40" t="s">
        <v>11404</v>
      </c>
      <c r="H24719" s="40" t="s">
        <v>11404</v>
      </c>
    </row>
    <row r="24720">
      <c r="A24720" s="39"/>
      <c r="E24720" s="40" t="s">
        <v>11404</v>
      </c>
      <c r="F24720" s="40" t="s">
        <v>11404</v>
      </c>
      <c r="G24720" s="40" t="s">
        <v>11404</v>
      </c>
      <c r="H24720" s="40" t="s">
        <v>11404</v>
      </c>
    </row>
    <row r="24721">
      <c r="A24721" s="39"/>
      <c r="E24721" s="40" t="s">
        <v>11404</v>
      </c>
      <c r="F24721" s="40" t="s">
        <v>11404</v>
      </c>
      <c r="G24721" s="40" t="s">
        <v>11404</v>
      </c>
      <c r="H24721" s="40" t="s">
        <v>11404</v>
      </c>
    </row>
    <row r="24722">
      <c r="A24722" s="39"/>
      <c r="E24722" s="40" t="s">
        <v>11404</v>
      </c>
      <c r="F24722" s="40" t="s">
        <v>11404</v>
      </c>
      <c r="G24722" s="40" t="s">
        <v>11404</v>
      </c>
      <c r="H24722" s="40" t="s">
        <v>11404</v>
      </c>
    </row>
    <row r="24723">
      <c r="A24723" s="39"/>
      <c r="E24723" s="40" t="s">
        <v>11404</v>
      </c>
      <c r="F24723" s="40" t="s">
        <v>11404</v>
      </c>
      <c r="G24723" s="40" t="s">
        <v>11404</v>
      </c>
      <c r="H24723" s="40" t="s">
        <v>11404</v>
      </c>
    </row>
    <row r="24724">
      <c r="A24724" s="39"/>
      <c r="E24724" s="40" t="s">
        <v>11404</v>
      </c>
      <c r="F24724" s="40" t="s">
        <v>11404</v>
      </c>
      <c r="G24724" s="40" t="s">
        <v>11404</v>
      </c>
      <c r="H24724" s="40" t="s">
        <v>11404</v>
      </c>
    </row>
    <row r="24725">
      <c r="A24725" s="39"/>
      <c r="E24725" s="40" t="s">
        <v>11404</v>
      </c>
      <c r="F24725" s="40" t="s">
        <v>11404</v>
      </c>
      <c r="G24725" s="40" t="s">
        <v>11404</v>
      </c>
      <c r="H24725" s="40" t="s">
        <v>11404</v>
      </c>
    </row>
    <row r="24726">
      <c r="A24726" s="39"/>
      <c r="E24726" s="40" t="s">
        <v>11404</v>
      </c>
      <c r="F24726" s="40" t="s">
        <v>11404</v>
      </c>
      <c r="G24726" s="40" t="s">
        <v>11404</v>
      </c>
      <c r="H24726" s="40" t="s">
        <v>11404</v>
      </c>
    </row>
    <row r="24727">
      <c r="A24727" s="39"/>
      <c r="E24727" s="40" t="s">
        <v>11404</v>
      </c>
      <c r="F24727" s="40" t="s">
        <v>11404</v>
      </c>
      <c r="G24727" s="40" t="s">
        <v>11404</v>
      </c>
      <c r="H24727" s="40" t="s">
        <v>11404</v>
      </c>
    </row>
    <row r="24728">
      <c r="A24728" s="39"/>
      <c r="E24728" s="40" t="s">
        <v>11404</v>
      </c>
      <c r="F24728" s="40" t="s">
        <v>11404</v>
      </c>
      <c r="G24728" s="40" t="s">
        <v>11404</v>
      </c>
      <c r="H24728" s="40" t="s">
        <v>11404</v>
      </c>
    </row>
    <row r="24729">
      <c r="A24729" s="39"/>
      <c r="E24729" s="40" t="s">
        <v>11404</v>
      </c>
      <c r="F24729" s="40" t="s">
        <v>11404</v>
      </c>
      <c r="G24729" s="40" t="s">
        <v>11404</v>
      </c>
      <c r="H24729" s="40" t="s">
        <v>11404</v>
      </c>
    </row>
    <row r="24730">
      <c r="A24730" s="39"/>
      <c r="E24730" s="40" t="s">
        <v>11404</v>
      </c>
      <c r="F24730" s="40" t="s">
        <v>11404</v>
      </c>
      <c r="G24730" s="40" t="s">
        <v>11404</v>
      </c>
      <c r="H24730" s="40" t="s">
        <v>11404</v>
      </c>
    </row>
    <row r="24731">
      <c r="A24731" s="39"/>
      <c r="E24731" s="40" t="s">
        <v>11404</v>
      </c>
      <c r="F24731" s="40" t="s">
        <v>11404</v>
      </c>
      <c r="G24731" s="40" t="s">
        <v>11404</v>
      </c>
      <c r="H24731" s="40" t="s">
        <v>11404</v>
      </c>
    </row>
    <row r="24732">
      <c r="A24732" s="39"/>
      <c r="E24732" s="40" t="s">
        <v>11404</v>
      </c>
      <c r="F24732" s="40" t="s">
        <v>11404</v>
      </c>
      <c r="G24732" s="40" t="s">
        <v>11404</v>
      </c>
      <c r="H24732" s="40" t="s">
        <v>11404</v>
      </c>
    </row>
    <row r="24733">
      <c r="A24733" s="39"/>
      <c r="E24733" s="40" t="s">
        <v>11404</v>
      </c>
      <c r="F24733" s="40" t="s">
        <v>11404</v>
      </c>
      <c r="G24733" s="40" t="s">
        <v>11404</v>
      </c>
      <c r="H24733" s="40" t="s">
        <v>11404</v>
      </c>
    </row>
    <row r="24734">
      <c r="A24734" s="39"/>
      <c r="E24734" s="40" t="s">
        <v>11404</v>
      </c>
      <c r="F24734" s="40" t="s">
        <v>11404</v>
      </c>
      <c r="G24734" s="40" t="s">
        <v>11404</v>
      </c>
      <c r="H24734" s="40" t="s">
        <v>11404</v>
      </c>
    </row>
    <row r="24735">
      <c r="A24735" s="39"/>
      <c r="E24735" s="40" t="s">
        <v>11404</v>
      </c>
      <c r="F24735" s="40" t="s">
        <v>11404</v>
      </c>
      <c r="G24735" s="40" t="s">
        <v>11404</v>
      </c>
      <c r="H24735" s="40" t="s">
        <v>11404</v>
      </c>
    </row>
    <row r="24736">
      <c r="A24736" s="39"/>
      <c r="E24736" s="40" t="s">
        <v>11404</v>
      </c>
      <c r="F24736" s="40" t="s">
        <v>11404</v>
      </c>
      <c r="G24736" s="40" t="s">
        <v>11404</v>
      </c>
      <c r="H24736" s="40" t="s">
        <v>11404</v>
      </c>
    </row>
    <row r="24737">
      <c r="A24737" s="39"/>
      <c r="E24737" s="40" t="s">
        <v>11404</v>
      </c>
      <c r="F24737" s="40" t="s">
        <v>11404</v>
      </c>
      <c r="G24737" s="40" t="s">
        <v>11404</v>
      </c>
      <c r="H24737" s="40" t="s">
        <v>11404</v>
      </c>
    </row>
    <row r="24738">
      <c r="A24738" s="39"/>
      <c r="E24738" s="40" t="s">
        <v>11404</v>
      </c>
      <c r="F24738" s="40" t="s">
        <v>11404</v>
      </c>
      <c r="G24738" s="40" t="s">
        <v>11404</v>
      </c>
      <c r="H24738" s="40" t="s">
        <v>11404</v>
      </c>
    </row>
    <row r="24739">
      <c r="A24739" s="39"/>
      <c r="E24739" s="40" t="s">
        <v>11404</v>
      </c>
      <c r="F24739" s="40" t="s">
        <v>11404</v>
      </c>
      <c r="G24739" s="40" t="s">
        <v>11404</v>
      </c>
      <c r="H24739" s="40" t="s">
        <v>11404</v>
      </c>
    </row>
    <row r="24740">
      <c r="A24740" s="39"/>
      <c r="E24740" s="40" t="s">
        <v>11404</v>
      </c>
      <c r="F24740" s="40" t="s">
        <v>11404</v>
      </c>
      <c r="G24740" s="40" t="s">
        <v>11404</v>
      </c>
      <c r="H24740" s="40" t="s">
        <v>11404</v>
      </c>
    </row>
    <row r="24741">
      <c r="A24741" s="39"/>
      <c r="E24741" s="40" t="s">
        <v>11404</v>
      </c>
      <c r="F24741" s="40" t="s">
        <v>11404</v>
      </c>
      <c r="G24741" s="40" t="s">
        <v>11404</v>
      </c>
      <c r="H24741" s="40" t="s">
        <v>11404</v>
      </c>
    </row>
    <row r="24742">
      <c r="A24742" s="39"/>
      <c r="E24742" s="40" t="s">
        <v>11404</v>
      </c>
      <c r="F24742" s="40" t="s">
        <v>11404</v>
      </c>
      <c r="G24742" s="40" t="s">
        <v>11404</v>
      </c>
      <c r="H24742" s="40" t="s">
        <v>11404</v>
      </c>
    </row>
    <row r="24743">
      <c r="A24743" s="39"/>
      <c r="E24743" s="40" t="s">
        <v>11404</v>
      </c>
      <c r="F24743" s="40" t="s">
        <v>11404</v>
      </c>
      <c r="G24743" s="40" t="s">
        <v>11404</v>
      </c>
      <c r="H24743" s="40" t="s">
        <v>11404</v>
      </c>
    </row>
    <row r="24744">
      <c r="A24744" s="39"/>
      <c r="E24744" s="40" t="s">
        <v>11404</v>
      </c>
      <c r="F24744" s="40" t="s">
        <v>11404</v>
      </c>
      <c r="G24744" s="40" t="s">
        <v>11404</v>
      </c>
      <c r="H24744" s="40" t="s">
        <v>11404</v>
      </c>
    </row>
    <row r="24745">
      <c r="A24745" s="39"/>
      <c r="E24745" s="40" t="s">
        <v>11404</v>
      </c>
      <c r="F24745" s="40" t="s">
        <v>11404</v>
      </c>
      <c r="G24745" s="40" t="s">
        <v>11404</v>
      </c>
      <c r="H24745" s="40" t="s">
        <v>11404</v>
      </c>
    </row>
    <row r="24746">
      <c r="A24746" s="39"/>
      <c r="E24746" s="40" t="s">
        <v>11404</v>
      </c>
      <c r="F24746" s="40" t="s">
        <v>11404</v>
      </c>
      <c r="G24746" s="40" t="s">
        <v>11404</v>
      </c>
      <c r="H24746" s="40" t="s">
        <v>11404</v>
      </c>
    </row>
    <row r="24747">
      <c r="A24747" s="39"/>
      <c r="E24747" s="40" t="s">
        <v>11404</v>
      </c>
      <c r="F24747" s="40" t="s">
        <v>11404</v>
      </c>
      <c r="G24747" s="40" t="s">
        <v>11404</v>
      </c>
      <c r="H24747" s="40" t="s">
        <v>11404</v>
      </c>
    </row>
    <row r="24748">
      <c r="A24748" s="39"/>
      <c r="E24748" s="40" t="s">
        <v>11404</v>
      </c>
      <c r="F24748" s="40" t="s">
        <v>11404</v>
      </c>
      <c r="G24748" s="40" t="s">
        <v>11404</v>
      </c>
      <c r="H24748" s="40" t="s">
        <v>11404</v>
      </c>
    </row>
    <row r="24749">
      <c r="A24749" s="39"/>
      <c r="E24749" s="40" t="s">
        <v>11404</v>
      </c>
      <c r="F24749" s="40" t="s">
        <v>11404</v>
      </c>
      <c r="G24749" s="40" t="s">
        <v>11404</v>
      </c>
      <c r="H24749" s="40" t="s">
        <v>11404</v>
      </c>
    </row>
    <row r="24750">
      <c r="A24750" s="39"/>
      <c r="E24750" s="40" t="s">
        <v>11404</v>
      </c>
      <c r="F24750" s="40" t="s">
        <v>11404</v>
      </c>
      <c r="G24750" s="40" t="s">
        <v>11404</v>
      </c>
      <c r="H24750" s="40" t="s">
        <v>11404</v>
      </c>
    </row>
    <row r="24751">
      <c r="A24751" s="39"/>
      <c r="E24751" s="40" t="s">
        <v>11404</v>
      </c>
      <c r="F24751" s="40" t="s">
        <v>11404</v>
      </c>
      <c r="G24751" s="40" t="s">
        <v>11404</v>
      </c>
      <c r="H24751" s="40" t="s">
        <v>11404</v>
      </c>
    </row>
    <row r="24752">
      <c r="A24752" s="39"/>
      <c r="E24752" s="40" t="s">
        <v>11404</v>
      </c>
      <c r="F24752" s="40" t="s">
        <v>11404</v>
      </c>
      <c r="G24752" s="40" t="s">
        <v>11404</v>
      </c>
      <c r="H24752" s="40" t="s">
        <v>11404</v>
      </c>
    </row>
    <row r="24753">
      <c r="A24753" s="39"/>
      <c r="E24753" s="40" t="s">
        <v>11404</v>
      </c>
      <c r="F24753" s="40" t="s">
        <v>11404</v>
      </c>
      <c r="G24753" s="40" t="s">
        <v>11404</v>
      </c>
      <c r="H24753" s="40" t="s">
        <v>11404</v>
      </c>
    </row>
    <row r="24754">
      <c r="A24754" s="39"/>
      <c r="E24754" s="40" t="s">
        <v>11404</v>
      </c>
      <c r="F24754" s="40" t="s">
        <v>11404</v>
      </c>
      <c r="G24754" s="40" t="s">
        <v>11404</v>
      </c>
      <c r="H24754" s="40" t="s">
        <v>11404</v>
      </c>
    </row>
    <row r="24755">
      <c r="A24755" s="39"/>
      <c r="E24755" s="40" t="s">
        <v>11404</v>
      </c>
      <c r="F24755" s="40" t="s">
        <v>11404</v>
      </c>
      <c r="G24755" s="40" t="s">
        <v>11404</v>
      </c>
      <c r="H24755" s="40" t="s">
        <v>11404</v>
      </c>
    </row>
    <row r="24756">
      <c r="A24756" s="39"/>
      <c r="E24756" s="40" t="s">
        <v>11404</v>
      </c>
      <c r="F24756" s="40" t="s">
        <v>11404</v>
      </c>
      <c r="G24756" s="40" t="s">
        <v>11404</v>
      </c>
      <c r="H24756" s="40" t="s">
        <v>11404</v>
      </c>
    </row>
    <row r="24757">
      <c r="A24757" s="39"/>
      <c r="E24757" s="40" t="s">
        <v>11404</v>
      </c>
      <c r="F24757" s="40" t="s">
        <v>11404</v>
      </c>
      <c r="G24757" s="40" t="s">
        <v>11404</v>
      </c>
      <c r="H24757" s="40" t="s">
        <v>11404</v>
      </c>
    </row>
    <row r="24758">
      <c r="A24758" s="39"/>
      <c r="E24758" s="40" t="s">
        <v>11404</v>
      </c>
      <c r="F24758" s="40" t="s">
        <v>11404</v>
      </c>
      <c r="G24758" s="40" t="s">
        <v>11404</v>
      </c>
      <c r="H24758" s="40" t="s">
        <v>11404</v>
      </c>
    </row>
    <row r="24759">
      <c r="A24759" s="39"/>
      <c r="E24759" s="40" t="s">
        <v>11404</v>
      </c>
      <c r="F24759" s="40" t="s">
        <v>11404</v>
      </c>
      <c r="G24759" s="40" t="s">
        <v>11404</v>
      </c>
      <c r="H24759" s="40" t="s">
        <v>11404</v>
      </c>
    </row>
    <row r="24760">
      <c r="A24760" s="39"/>
      <c r="E24760" s="40" t="s">
        <v>11404</v>
      </c>
      <c r="F24760" s="40" t="s">
        <v>11404</v>
      </c>
      <c r="G24760" s="40" t="s">
        <v>11404</v>
      </c>
      <c r="H24760" s="40" t="s">
        <v>11404</v>
      </c>
    </row>
    <row r="24761">
      <c r="A24761" s="39"/>
      <c r="E24761" s="40" t="s">
        <v>11404</v>
      </c>
      <c r="F24761" s="40" t="s">
        <v>11404</v>
      </c>
      <c r="G24761" s="40" t="s">
        <v>11404</v>
      </c>
      <c r="H24761" s="40" t="s">
        <v>11404</v>
      </c>
    </row>
    <row r="24762">
      <c r="A24762" s="39"/>
      <c r="E24762" s="40" t="s">
        <v>11404</v>
      </c>
      <c r="F24762" s="40" t="s">
        <v>11404</v>
      </c>
      <c r="G24762" s="40" t="s">
        <v>11404</v>
      </c>
      <c r="H24762" s="40" t="s">
        <v>11404</v>
      </c>
    </row>
    <row r="24763">
      <c r="A24763" s="39"/>
      <c r="E24763" s="40" t="s">
        <v>11404</v>
      </c>
      <c r="F24763" s="40" t="s">
        <v>11404</v>
      </c>
      <c r="G24763" s="40" t="s">
        <v>11404</v>
      </c>
      <c r="H24763" s="40" t="s">
        <v>11404</v>
      </c>
    </row>
    <row r="24764">
      <c r="A24764" s="39"/>
      <c r="E24764" s="40" t="s">
        <v>11404</v>
      </c>
      <c r="F24764" s="40" t="s">
        <v>11404</v>
      </c>
      <c r="G24764" s="40" t="s">
        <v>11404</v>
      </c>
      <c r="H24764" s="40" t="s">
        <v>11404</v>
      </c>
    </row>
    <row r="24765">
      <c r="A24765" s="39"/>
      <c r="E24765" s="40" t="s">
        <v>11404</v>
      </c>
      <c r="F24765" s="40" t="s">
        <v>11404</v>
      </c>
      <c r="G24765" s="40" t="s">
        <v>11404</v>
      </c>
      <c r="H24765" s="40" t="s">
        <v>11404</v>
      </c>
    </row>
    <row r="24766">
      <c r="A24766" s="39"/>
      <c r="E24766" s="40" t="s">
        <v>11404</v>
      </c>
      <c r="F24766" s="40" t="s">
        <v>11404</v>
      </c>
      <c r="G24766" s="40" t="s">
        <v>11404</v>
      </c>
      <c r="H24766" s="40" t="s">
        <v>11404</v>
      </c>
    </row>
    <row r="24767">
      <c r="A24767" s="39"/>
      <c r="E24767" s="40" t="s">
        <v>11404</v>
      </c>
      <c r="F24767" s="40" t="s">
        <v>11404</v>
      </c>
      <c r="G24767" s="40" t="s">
        <v>11404</v>
      </c>
      <c r="H24767" s="40" t="s">
        <v>11404</v>
      </c>
    </row>
    <row r="24768">
      <c r="A24768" s="39"/>
      <c r="E24768" s="40" t="s">
        <v>11404</v>
      </c>
      <c r="F24768" s="40" t="s">
        <v>11404</v>
      </c>
      <c r="G24768" s="40" t="s">
        <v>11404</v>
      </c>
      <c r="H24768" s="40" t="s">
        <v>11404</v>
      </c>
    </row>
    <row r="24769">
      <c r="A24769" s="39"/>
      <c r="E24769" s="40" t="s">
        <v>11404</v>
      </c>
      <c r="F24769" s="40" t="s">
        <v>11404</v>
      </c>
      <c r="G24769" s="40" t="s">
        <v>11404</v>
      </c>
      <c r="H24769" s="40" t="s">
        <v>11404</v>
      </c>
    </row>
    <row r="24770">
      <c r="A24770" s="39"/>
      <c r="E24770" s="40" t="s">
        <v>11404</v>
      </c>
      <c r="F24770" s="40" t="s">
        <v>11404</v>
      </c>
      <c r="G24770" s="40" t="s">
        <v>11404</v>
      </c>
      <c r="H24770" s="40" t="s">
        <v>11404</v>
      </c>
    </row>
    <row r="24771">
      <c r="A24771" s="39"/>
      <c r="E24771" s="40" t="s">
        <v>11404</v>
      </c>
      <c r="F24771" s="40" t="s">
        <v>11404</v>
      </c>
      <c r="G24771" s="40" t="s">
        <v>11404</v>
      </c>
      <c r="H24771" s="40" t="s">
        <v>11404</v>
      </c>
    </row>
    <row r="24772">
      <c r="A24772" s="39"/>
      <c r="E24772" s="40" t="s">
        <v>11404</v>
      </c>
      <c r="F24772" s="40" t="s">
        <v>11404</v>
      </c>
      <c r="G24772" s="40" t="s">
        <v>11404</v>
      </c>
      <c r="H24772" s="40" t="s">
        <v>11404</v>
      </c>
    </row>
    <row r="24773">
      <c r="A24773" s="39"/>
      <c r="E24773" s="40" t="s">
        <v>11404</v>
      </c>
      <c r="F24773" s="40" t="s">
        <v>11404</v>
      </c>
      <c r="G24773" s="40" t="s">
        <v>11404</v>
      </c>
      <c r="H24773" s="40" t="s">
        <v>11404</v>
      </c>
    </row>
    <row r="24774">
      <c r="A24774" s="39"/>
      <c r="E24774" s="40" t="s">
        <v>11404</v>
      </c>
      <c r="F24774" s="40" t="s">
        <v>11404</v>
      </c>
      <c r="G24774" s="40" t="s">
        <v>11404</v>
      </c>
      <c r="H24774" s="40" t="s">
        <v>11404</v>
      </c>
    </row>
    <row r="24775">
      <c r="A24775" s="39"/>
      <c r="E24775" s="40" t="s">
        <v>11404</v>
      </c>
      <c r="F24775" s="40" t="s">
        <v>11404</v>
      </c>
      <c r="G24775" s="40" t="s">
        <v>11404</v>
      </c>
      <c r="H24775" s="40" t="s">
        <v>11404</v>
      </c>
    </row>
    <row r="24776">
      <c r="A24776" s="39"/>
      <c r="E24776" s="40" t="s">
        <v>11404</v>
      </c>
      <c r="F24776" s="40" t="s">
        <v>11404</v>
      </c>
      <c r="G24776" s="40" t="s">
        <v>11404</v>
      </c>
      <c r="H24776" s="40" t="s">
        <v>11404</v>
      </c>
    </row>
    <row r="24777">
      <c r="A24777" s="39"/>
      <c r="E24777" s="40" t="s">
        <v>11404</v>
      </c>
      <c r="F24777" s="40" t="s">
        <v>11404</v>
      </c>
      <c r="G24777" s="40" t="s">
        <v>11404</v>
      </c>
      <c r="H24777" s="40" t="s">
        <v>11404</v>
      </c>
    </row>
    <row r="24778">
      <c r="A24778" s="39"/>
      <c r="E24778" s="40" t="s">
        <v>11404</v>
      </c>
      <c r="F24778" s="40" t="s">
        <v>11404</v>
      </c>
      <c r="G24778" s="40" t="s">
        <v>11404</v>
      </c>
      <c r="H24778" s="40" t="s">
        <v>11404</v>
      </c>
    </row>
    <row r="24779">
      <c r="A24779" s="39"/>
      <c r="E24779" s="40" t="s">
        <v>11404</v>
      </c>
      <c r="F24779" s="40" t="s">
        <v>11404</v>
      </c>
      <c r="G24779" s="40" t="s">
        <v>11404</v>
      </c>
      <c r="H24779" s="40" t="s">
        <v>11404</v>
      </c>
    </row>
    <row r="24780">
      <c r="A24780" s="39"/>
      <c r="E24780" s="40" t="s">
        <v>11404</v>
      </c>
      <c r="F24780" s="40" t="s">
        <v>11404</v>
      </c>
      <c r="G24780" s="40" t="s">
        <v>11404</v>
      </c>
      <c r="H24780" s="40" t="s">
        <v>11404</v>
      </c>
    </row>
    <row r="24781">
      <c r="A24781" s="39"/>
      <c r="E24781" s="40" t="s">
        <v>11404</v>
      </c>
      <c r="F24781" s="40" t="s">
        <v>11404</v>
      </c>
      <c r="G24781" s="40" t="s">
        <v>11404</v>
      </c>
      <c r="H24781" s="40" t="s">
        <v>11404</v>
      </c>
    </row>
    <row r="24782">
      <c r="A24782" s="39"/>
      <c r="E24782" s="40" t="s">
        <v>11404</v>
      </c>
      <c r="F24782" s="40" t="s">
        <v>11404</v>
      </c>
      <c r="G24782" s="40" t="s">
        <v>11404</v>
      </c>
      <c r="H24782" s="40" t="s">
        <v>11404</v>
      </c>
    </row>
    <row r="24783">
      <c r="A24783" s="39"/>
      <c r="E24783" s="40" t="s">
        <v>11404</v>
      </c>
      <c r="F24783" s="40" t="s">
        <v>11404</v>
      </c>
      <c r="G24783" s="40" t="s">
        <v>11404</v>
      </c>
      <c r="H24783" s="40" t="s">
        <v>11404</v>
      </c>
    </row>
    <row r="24784">
      <c r="A24784" s="39"/>
      <c r="E24784" s="40" t="s">
        <v>11404</v>
      </c>
      <c r="F24784" s="40" t="s">
        <v>11404</v>
      </c>
      <c r="G24784" s="40" t="s">
        <v>11404</v>
      </c>
      <c r="H24784" s="40" t="s">
        <v>11404</v>
      </c>
    </row>
    <row r="24785">
      <c r="A24785" s="39"/>
      <c r="E24785" s="40" t="s">
        <v>11404</v>
      </c>
      <c r="F24785" s="40" t="s">
        <v>11404</v>
      </c>
      <c r="G24785" s="40" t="s">
        <v>11404</v>
      </c>
      <c r="H24785" s="40" t="s">
        <v>11404</v>
      </c>
    </row>
    <row r="24786">
      <c r="A24786" s="39"/>
      <c r="E24786" s="40" t="s">
        <v>11404</v>
      </c>
      <c r="F24786" s="40" t="s">
        <v>11404</v>
      </c>
      <c r="G24786" s="40" t="s">
        <v>11404</v>
      </c>
      <c r="H24786" s="40" t="s">
        <v>11404</v>
      </c>
    </row>
    <row r="24787">
      <c r="A24787" s="39"/>
      <c r="E24787" s="40" t="s">
        <v>11404</v>
      </c>
      <c r="F24787" s="40" t="s">
        <v>11404</v>
      </c>
      <c r="G24787" s="40" t="s">
        <v>11404</v>
      </c>
      <c r="H24787" s="40" t="s">
        <v>11404</v>
      </c>
    </row>
    <row r="24788">
      <c r="A24788" s="39"/>
      <c r="E24788" s="40" t="s">
        <v>11404</v>
      </c>
      <c r="F24788" s="40" t="s">
        <v>11404</v>
      </c>
      <c r="G24788" s="40" t="s">
        <v>11404</v>
      </c>
      <c r="H24788" s="40" t="s">
        <v>11404</v>
      </c>
    </row>
    <row r="24789">
      <c r="A24789" s="39"/>
      <c r="E24789" s="40" t="s">
        <v>11404</v>
      </c>
      <c r="F24789" s="40" t="s">
        <v>11404</v>
      </c>
      <c r="G24789" s="40" t="s">
        <v>11404</v>
      </c>
      <c r="H24789" s="40" t="s">
        <v>11404</v>
      </c>
    </row>
    <row r="24790">
      <c r="A24790" s="39"/>
      <c r="E24790" s="40" t="s">
        <v>11404</v>
      </c>
      <c r="F24790" s="40" t="s">
        <v>11404</v>
      </c>
      <c r="G24790" s="40" t="s">
        <v>11404</v>
      </c>
      <c r="H24790" s="40" t="s">
        <v>11404</v>
      </c>
    </row>
    <row r="24791">
      <c r="A24791" s="39"/>
      <c r="E24791" s="40" t="s">
        <v>11404</v>
      </c>
      <c r="F24791" s="40" t="s">
        <v>11404</v>
      </c>
      <c r="G24791" s="40" t="s">
        <v>11404</v>
      </c>
      <c r="H24791" s="40" t="s">
        <v>11404</v>
      </c>
    </row>
    <row r="24792">
      <c r="A24792" s="39"/>
      <c r="E24792" s="40" t="s">
        <v>11404</v>
      </c>
      <c r="F24792" s="40" t="s">
        <v>11404</v>
      </c>
      <c r="G24792" s="40" t="s">
        <v>11404</v>
      </c>
      <c r="H24792" s="40" t="s">
        <v>11404</v>
      </c>
    </row>
    <row r="24793">
      <c r="A24793" s="39"/>
      <c r="E24793" s="40" t="s">
        <v>11404</v>
      </c>
      <c r="F24793" s="40" t="s">
        <v>11404</v>
      </c>
      <c r="G24793" s="40" t="s">
        <v>11404</v>
      </c>
      <c r="H24793" s="40" t="s">
        <v>11404</v>
      </c>
    </row>
    <row r="24794">
      <c r="A24794" s="39"/>
      <c r="E24794" s="40" t="s">
        <v>11404</v>
      </c>
      <c r="F24794" s="40" t="s">
        <v>11404</v>
      </c>
      <c r="G24794" s="40" t="s">
        <v>11404</v>
      </c>
      <c r="H24794" s="40" t="s">
        <v>11404</v>
      </c>
    </row>
    <row r="24795">
      <c r="A24795" s="39"/>
      <c r="E24795" s="40" t="s">
        <v>11404</v>
      </c>
      <c r="F24795" s="40" t="s">
        <v>11404</v>
      </c>
      <c r="G24795" s="40" t="s">
        <v>11404</v>
      </c>
      <c r="H24795" s="40" t="s">
        <v>11404</v>
      </c>
    </row>
    <row r="24796">
      <c r="A24796" s="39"/>
      <c r="E24796" s="40" t="s">
        <v>11404</v>
      </c>
      <c r="F24796" s="40" t="s">
        <v>11404</v>
      </c>
      <c r="G24796" s="40" t="s">
        <v>11404</v>
      </c>
      <c r="H24796" s="40" t="s">
        <v>11404</v>
      </c>
    </row>
    <row r="24797">
      <c r="A24797" s="39"/>
      <c r="E24797" s="40" t="s">
        <v>11404</v>
      </c>
      <c r="F24797" s="40" t="s">
        <v>11404</v>
      </c>
      <c r="G24797" s="40" t="s">
        <v>11404</v>
      </c>
      <c r="H24797" s="40" t="s">
        <v>11404</v>
      </c>
    </row>
    <row r="24798">
      <c r="A24798" s="39"/>
      <c r="E24798" s="40" t="s">
        <v>11404</v>
      </c>
      <c r="F24798" s="40" t="s">
        <v>11404</v>
      </c>
      <c r="G24798" s="40" t="s">
        <v>11404</v>
      </c>
      <c r="H24798" s="40" t="s">
        <v>11404</v>
      </c>
    </row>
    <row r="24799">
      <c r="A24799" s="39"/>
      <c r="E24799" s="40" t="s">
        <v>11404</v>
      </c>
      <c r="F24799" s="40" t="s">
        <v>11404</v>
      </c>
      <c r="G24799" s="40" t="s">
        <v>11404</v>
      </c>
      <c r="H24799" s="40" t="s">
        <v>11404</v>
      </c>
    </row>
    <row r="24800">
      <c r="A24800" s="39"/>
      <c r="E24800" s="40" t="s">
        <v>11404</v>
      </c>
      <c r="F24800" s="40" t="s">
        <v>11404</v>
      </c>
      <c r="G24800" s="40" t="s">
        <v>11404</v>
      </c>
      <c r="H24800" s="40" t="s">
        <v>11404</v>
      </c>
    </row>
    <row r="24801">
      <c r="A24801" s="39"/>
      <c r="E24801" s="40" t="s">
        <v>11404</v>
      </c>
      <c r="F24801" s="40" t="s">
        <v>11404</v>
      </c>
      <c r="G24801" s="40" t="s">
        <v>11404</v>
      </c>
      <c r="H24801" s="40" t="s">
        <v>11404</v>
      </c>
    </row>
    <row r="24802">
      <c r="A24802" s="39"/>
      <c r="E24802" s="40" t="s">
        <v>11404</v>
      </c>
      <c r="F24802" s="40" t="s">
        <v>11404</v>
      </c>
      <c r="G24802" s="40" t="s">
        <v>11404</v>
      </c>
      <c r="H24802" s="40" t="s">
        <v>11404</v>
      </c>
    </row>
    <row r="24803">
      <c r="A24803" s="39"/>
      <c r="E24803" s="40" t="s">
        <v>11404</v>
      </c>
      <c r="F24803" s="40" t="s">
        <v>11404</v>
      </c>
      <c r="G24803" s="40" t="s">
        <v>11404</v>
      </c>
      <c r="H24803" s="40" t="s">
        <v>11404</v>
      </c>
    </row>
    <row r="24804">
      <c r="A24804" s="39"/>
      <c r="E24804" s="40" t="s">
        <v>11404</v>
      </c>
      <c r="F24804" s="40" t="s">
        <v>11404</v>
      </c>
      <c r="G24804" s="40" t="s">
        <v>11404</v>
      </c>
      <c r="H24804" s="40" t="s">
        <v>11404</v>
      </c>
    </row>
    <row r="24805">
      <c r="A24805" s="39"/>
      <c r="E24805" s="40" t="s">
        <v>11404</v>
      </c>
      <c r="F24805" s="40" t="s">
        <v>11404</v>
      </c>
      <c r="G24805" s="40" t="s">
        <v>11404</v>
      </c>
      <c r="H24805" s="40" t="s">
        <v>11404</v>
      </c>
    </row>
    <row r="24806">
      <c r="A24806" s="39"/>
      <c r="E24806" s="40" t="s">
        <v>11404</v>
      </c>
      <c r="F24806" s="40" t="s">
        <v>11404</v>
      </c>
      <c r="G24806" s="40" t="s">
        <v>11404</v>
      </c>
      <c r="H24806" s="40" t="s">
        <v>11404</v>
      </c>
    </row>
    <row r="24807">
      <c r="A24807" s="39"/>
      <c r="E24807" s="40" t="s">
        <v>11404</v>
      </c>
      <c r="F24807" s="40" t="s">
        <v>11404</v>
      </c>
      <c r="G24807" s="40" t="s">
        <v>11404</v>
      </c>
      <c r="H24807" s="40" t="s">
        <v>11404</v>
      </c>
    </row>
    <row r="24808">
      <c r="A24808" s="39"/>
      <c r="E24808" s="40" t="s">
        <v>11404</v>
      </c>
      <c r="F24808" s="40" t="s">
        <v>11404</v>
      </c>
      <c r="G24808" s="40" t="s">
        <v>11404</v>
      </c>
      <c r="H24808" s="40" t="s">
        <v>11404</v>
      </c>
    </row>
    <row r="24809">
      <c r="A24809" s="39"/>
      <c r="E24809" s="40" t="s">
        <v>11404</v>
      </c>
      <c r="F24809" s="40" t="s">
        <v>11404</v>
      </c>
      <c r="G24809" s="40" t="s">
        <v>11404</v>
      </c>
      <c r="H24809" s="40" t="s">
        <v>11404</v>
      </c>
    </row>
    <row r="24810">
      <c r="A24810" s="39"/>
      <c r="E24810" s="40" t="s">
        <v>11404</v>
      </c>
      <c r="F24810" s="40" t="s">
        <v>11404</v>
      </c>
      <c r="G24810" s="40" t="s">
        <v>11404</v>
      </c>
      <c r="H24810" s="40" t="s">
        <v>11404</v>
      </c>
    </row>
    <row r="24811">
      <c r="A24811" s="39"/>
      <c r="E24811" s="40" t="s">
        <v>11404</v>
      </c>
      <c r="F24811" s="40" t="s">
        <v>11404</v>
      </c>
      <c r="G24811" s="40" t="s">
        <v>11404</v>
      </c>
      <c r="H24811" s="40" t="s">
        <v>11404</v>
      </c>
    </row>
    <row r="24812">
      <c r="A24812" s="39"/>
      <c r="E24812" s="40" t="s">
        <v>11404</v>
      </c>
      <c r="F24812" s="40" t="s">
        <v>11404</v>
      </c>
      <c r="G24812" s="40" t="s">
        <v>11404</v>
      </c>
      <c r="H24812" s="40" t="s">
        <v>11404</v>
      </c>
    </row>
    <row r="24813">
      <c r="A24813" s="39"/>
      <c r="E24813" s="40" t="s">
        <v>11404</v>
      </c>
      <c r="F24813" s="40" t="s">
        <v>11404</v>
      </c>
      <c r="G24813" s="40" t="s">
        <v>11404</v>
      </c>
      <c r="H24813" s="40" t="s">
        <v>11404</v>
      </c>
    </row>
    <row r="24814">
      <c r="A24814" s="39"/>
      <c r="E24814" s="40" t="s">
        <v>11404</v>
      </c>
      <c r="F24814" s="40" t="s">
        <v>11404</v>
      </c>
      <c r="G24814" s="40" t="s">
        <v>11404</v>
      </c>
      <c r="H24814" s="40" t="s">
        <v>11404</v>
      </c>
    </row>
    <row r="24815">
      <c r="A24815" s="39"/>
      <c r="E24815" s="40" t="s">
        <v>11404</v>
      </c>
      <c r="F24815" s="40" t="s">
        <v>11404</v>
      </c>
      <c r="G24815" s="40" t="s">
        <v>11404</v>
      </c>
      <c r="H24815" s="40" t="s">
        <v>11404</v>
      </c>
    </row>
    <row r="24816">
      <c r="A24816" s="39"/>
      <c r="E24816" s="40" t="s">
        <v>11404</v>
      </c>
      <c r="F24816" s="40" t="s">
        <v>11404</v>
      </c>
      <c r="G24816" s="40" t="s">
        <v>11404</v>
      </c>
      <c r="H24816" s="40" t="s">
        <v>11404</v>
      </c>
    </row>
    <row r="24817">
      <c r="A24817" s="39"/>
      <c r="E24817" s="40" t="s">
        <v>11404</v>
      </c>
      <c r="F24817" s="40" t="s">
        <v>11404</v>
      </c>
      <c r="G24817" s="40" t="s">
        <v>11404</v>
      </c>
      <c r="H24817" s="40" t="s">
        <v>11404</v>
      </c>
    </row>
    <row r="24818">
      <c r="A24818" s="39"/>
      <c r="E24818" s="40" t="s">
        <v>11404</v>
      </c>
      <c r="F24818" s="40" t="s">
        <v>11404</v>
      </c>
      <c r="G24818" s="40" t="s">
        <v>11404</v>
      </c>
      <c r="H24818" s="40" t="s">
        <v>11404</v>
      </c>
    </row>
    <row r="24819">
      <c r="A24819" s="39"/>
      <c r="E24819" s="40" t="s">
        <v>11404</v>
      </c>
      <c r="F24819" s="40" t="s">
        <v>11404</v>
      </c>
      <c r="G24819" s="40" t="s">
        <v>11404</v>
      </c>
      <c r="H24819" s="40" t="s">
        <v>11404</v>
      </c>
    </row>
    <row r="24820">
      <c r="A24820" s="39"/>
      <c r="E24820" s="40" t="s">
        <v>11404</v>
      </c>
      <c r="F24820" s="40" t="s">
        <v>11404</v>
      </c>
      <c r="G24820" s="40" t="s">
        <v>11404</v>
      </c>
      <c r="H24820" s="40" t="s">
        <v>11404</v>
      </c>
    </row>
    <row r="24821">
      <c r="A24821" s="39"/>
      <c r="E24821" s="40" t="s">
        <v>11404</v>
      </c>
      <c r="F24821" s="40" t="s">
        <v>11404</v>
      </c>
      <c r="G24821" s="40" t="s">
        <v>11404</v>
      </c>
      <c r="H24821" s="40" t="s">
        <v>11404</v>
      </c>
    </row>
    <row r="24822">
      <c r="A24822" s="39"/>
      <c r="E24822" s="40" t="s">
        <v>11404</v>
      </c>
      <c r="F24822" s="40" t="s">
        <v>11404</v>
      </c>
      <c r="G24822" s="40" t="s">
        <v>11404</v>
      </c>
      <c r="H24822" s="40" t="s">
        <v>11404</v>
      </c>
    </row>
    <row r="24823">
      <c r="A24823" s="39"/>
      <c r="E24823" s="40" t="s">
        <v>11404</v>
      </c>
      <c r="F24823" s="40" t="s">
        <v>11404</v>
      </c>
      <c r="G24823" s="40" t="s">
        <v>11404</v>
      </c>
      <c r="H24823" s="40" t="s">
        <v>11404</v>
      </c>
    </row>
    <row r="24824">
      <c r="A24824" s="39"/>
      <c r="E24824" s="40" t="s">
        <v>11404</v>
      </c>
      <c r="F24824" s="40" t="s">
        <v>11404</v>
      </c>
      <c r="G24824" s="40" t="s">
        <v>11404</v>
      </c>
      <c r="H24824" s="40" t="s">
        <v>11404</v>
      </c>
    </row>
    <row r="24825">
      <c r="A24825" s="39"/>
      <c r="E24825" s="40" t="s">
        <v>11404</v>
      </c>
      <c r="F24825" s="40" t="s">
        <v>11404</v>
      </c>
      <c r="G24825" s="40" t="s">
        <v>11404</v>
      </c>
      <c r="H24825" s="40" t="s">
        <v>11404</v>
      </c>
    </row>
    <row r="24826">
      <c r="A24826" s="39"/>
      <c r="E24826" s="40" t="s">
        <v>11404</v>
      </c>
      <c r="F24826" s="40" t="s">
        <v>11404</v>
      </c>
      <c r="G24826" s="40" t="s">
        <v>11404</v>
      </c>
      <c r="H24826" s="40" t="s">
        <v>11404</v>
      </c>
    </row>
    <row r="24827">
      <c r="A24827" s="39"/>
      <c r="E24827" s="40" t="s">
        <v>11404</v>
      </c>
      <c r="F24827" s="40" t="s">
        <v>11404</v>
      </c>
      <c r="G24827" s="40" t="s">
        <v>11404</v>
      </c>
      <c r="H24827" s="40" t="s">
        <v>11404</v>
      </c>
    </row>
    <row r="24828">
      <c r="A24828" s="39"/>
      <c r="E24828" s="40" t="s">
        <v>11404</v>
      </c>
      <c r="F24828" s="40" t="s">
        <v>11404</v>
      </c>
      <c r="G24828" s="40" t="s">
        <v>11404</v>
      </c>
      <c r="H24828" s="40" t="s">
        <v>11404</v>
      </c>
    </row>
    <row r="24829">
      <c r="A24829" s="39"/>
      <c r="E24829" s="40" t="s">
        <v>11404</v>
      </c>
      <c r="F24829" s="40" t="s">
        <v>11404</v>
      </c>
      <c r="G24829" s="40" t="s">
        <v>11404</v>
      </c>
      <c r="H24829" s="40" t="s">
        <v>11404</v>
      </c>
    </row>
    <row r="24830">
      <c r="A24830" s="39"/>
      <c r="E24830" s="40" t="s">
        <v>11404</v>
      </c>
      <c r="F24830" s="40" t="s">
        <v>11404</v>
      </c>
      <c r="G24830" s="40" t="s">
        <v>11404</v>
      </c>
      <c r="H24830" s="40" t="s">
        <v>11404</v>
      </c>
    </row>
    <row r="24831">
      <c r="A24831" s="39"/>
      <c r="E24831" s="40" t="s">
        <v>11404</v>
      </c>
      <c r="F24831" s="40" t="s">
        <v>11404</v>
      </c>
      <c r="G24831" s="40" t="s">
        <v>11404</v>
      </c>
      <c r="H24831" s="40" t="s">
        <v>11404</v>
      </c>
    </row>
    <row r="24832">
      <c r="A24832" s="39"/>
      <c r="E24832" s="40" t="s">
        <v>11404</v>
      </c>
      <c r="F24832" s="40" t="s">
        <v>11404</v>
      </c>
      <c r="G24832" s="40" t="s">
        <v>11404</v>
      </c>
      <c r="H24832" s="40" t="s">
        <v>11404</v>
      </c>
    </row>
    <row r="24833">
      <c r="A24833" s="39"/>
      <c r="E24833" s="40" t="s">
        <v>11404</v>
      </c>
      <c r="F24833" s="40" t="s">
        <v>11404</v>
      </c>
      <c r="G24833" s="40" t="s">
        <v>11404</v>
      </c>
      <c r="H24833" s="40" t="s">
        <v>11404</v>
      </c>
    </row>
    <row r="24834">
      <c r="A24834" s="39"/>
      <c r="E24834" s="40" t="s">
        <v>11404</v>
      </c>
      <c r="F24834" s="40" t="s">
        <v>11404</v>
      </c>
      <c r="G24834" s="40" t="s">
        <v>11404</v>
      </c>
      <c r="H24834" s="40" t="s">
        <v>11404</v>
      </c>
    </row>
    <row r="24835">
      <c r="A24835" s="39"/>
      <c r="E24835" s="40" t="s">
        <v>11404</v>
      </c>
      <c r="F24835" s="40" t="s">
        <v>11404</v>
      </c>
      <c r="G24835" s="40" t="s">
        <v>11404</v>
      </c>
      <c r="H24835" s="40" t="s">
        <v>11404</v>
      </c>
    </row>
    <row r="24836">
      <c r="A24836" s="39"/>
      <c r="E24836" s="40" t="s">
        <v>11404</v>
      </c>
      <c r="F24836" s="40" t="s">
        <v>11404</v>
      </c>
      <c r="G24836" s="40" t="s">
        <v>11404</v>
      </c>
      <c r="H24836" s="40" t="s">
        <v>11404</v>
      </c>
    </row>
    <row r="24837">
      <c r="A24837" s="39"/>
      <c r="E24837" s="40" t="s">
        <v>11404</v>
      </c>
      <c r="F24837" s="40" t="s">
        <v>11404</v>
      </c>
      <c r="G24837" s="40" t="s">
        <v>11404</v>
      </c>
      <c r="H24837" s="40" t="s">
        <v>11404</v>
      </c>
    </row>
    <row r="24838">
      <c r="A24838" s="39"/>
      <c r="E24838" s="40" t="s">
        <v>11404</v>
      </c>
      <c r="F24838" s="40" t="s">
        <v>11404</v>
      </c>
      <c r="G24838" s="40" t="s">
        <v>11404</v>
      </c>
      <c r="H24838" s="40" t="s">
        <v>11404</v>
      </c>
    </row>
    <row r="24839">
      <c r="A24839" s="39"/>
      <c r="E24839" s="40" t="s">
        <v>11404</v>
      </c>
      <c r="F24839" s="40" t="s">
        <v>11404</v>
      </c>
      <c r="G24839" s="40" t="s">
        <v>11404</v>
      </c>
      <c r="H24839" s="40" t="s">
        <v>11404</v>
      </c>
    </row>
    <row r="24840">
      <c r="A24840" s="39"/>
      <c r="E24840" s="40" t="s">
        <v>11404</v>
      </c>
      <c r="F24840" s="40" t="s">
        <v>11404</v>
      </c>
      <c r="G24840" s="40" t="s">
        <v>11404</v>
      </c>
      <c r="H24840" s="40" t="s">
        <v>11404</v>
      </c>
    </row>
    <row r="24841">
      <c r="A24841" s="39"/>
      <c r="E24841" s="40" t="s">
        <v>11404</v>
      </c>
      <c r="F24841" s="40" t="s">
        <v>11404</v>
      </c>
      <c r="G24841" s="40" t="s">
        <v>11404</v>
      </c>
      <c r="H24841" s="40" t="s">
        <v>11404</v>
      </c>
    </row>
    <row r="24842">
      <c r="A24842" s="39"/>
      <c r="E24842" s="40" t="s">
        <v>11404</v>
      </c>
      <c r="F24842" s="40" t="s">
        <v>11404</v>
      </c>
      <c r="G24842" s="40" t="s">
        <v>11404</v>
      </c>
      <c r="H24842" s="40" t="s">
        <v>11404</v>
      </c>
    </row>
    <row r="24843">
      <c r="A24843" s="39"/>
      <c r="E24843" s="40" t="s">
        <v>11404</v>
      </c>
      <c r="F24843" s="40" t="s">
        <v>11404</v>
      </c>
      <c r="G24843" s="40" t="s">
        <v>11404</v>
      </c>
      <c r="H24843" s="40" t="s">
        <v>11404</v>
      </c>
    </row>
    <row r="24844">
      <c r="A24844" s="39"/>
      <c r="E24844" s="40" t="s">
        <v>11404</v>
      </c>
      <c r="F24844" s="40" t="s">
        <v>11404</v>
      </c>
      <c r="G24844" s="40" t="s">
        <v>11404</v>
      </c>
      <c r="H24844" s="40" t="s">
        <v>11404</v>
      </c>
    </row>
    <row r="24845">
      <c r="A24845" s="39"/>
      <c r="E24845" s="40" t="s">
        <v>11404</v>
      </c>
      <c r="F24845" s="40" t="s">
        <v>11404</v>
      </c>
      <c r="G24845" s="40" t="s">
        <v>11404</v>
      </c>
      <c r="H24845" s="40" t="s">
        <v>11404</v>
      </c>
    </row>
    <row r="24846">
      <c r="A24846" s="39"/>
      <c r="E24846" s="40" t="s">
        <v>11404</v>
      </c>
      <c r="F24846" s="40" t="s">
        <v>11404</v>
      </c>
      <c r="G24846" s="40" t="s">
        <v>11404</v>
      </c>
      <c r="H24846" s="40" t="s">
        <v>11404</v>
      </c>
    </row>
    <row r="24847">
      <c r="A24847" s="39"/>
      <c r="E24847" s="40" t="s">
        <v>11404</v>
      </c>
      <c r="F24847" s="40" t="s">
        <v>11404</v>
      </c>
      <c r="G24847" s="40" t="s">
        <v>11404</v>
      </c>
      <c r="H24847" s="40" t="s">
        <v>11404</v>
      </c>
    </row>
    <row r="24848">
      <c r="A24848" s="39"/>
      <c r="E24848" s="40" t="s">
        <v>11404</v>
      </c>
      <c r="F24848" s="40" t="s">
        <v>11404</v>
      </c>
      <c r="G24848" s="40" t="s">
        <v>11404</v>
      </c>
      <c r="H24848" s="40" t="s">
        <v>11404</v>
      </c>
    </row>
    <row r="24849">
      <c r="A24849" s="39"/>
      <c r="E24849" s="40" t="s">
        <v>11404</v>
      </c>
      <c r="F24849" s="40" t="s">
        <v>11404</v>
      </c>
      <c r="G24849" s="40" t="s">
        <v>11404</v>
      </c>
      <c r="H24849" s="40" t="s">
        <v>11404</v>
      </c>
    </row>
    <row r="24850">
      <c r="A24850" s="39"/>
      <c r="E24850" s="40" t="s">
        <v>11404</v>
      </c>
      <c r="F24850" s="40" t="s">
        <v>11404</v>
      </c>
      <c r="G24850" s="40" t="s">
        <v>11404</v>
      </c>
      <c r="H24850" s="40" t="s">
        <v>11404</v>
      </c>
    </row>
    <row r="24851">
      <c r="A24851" s="39"/>
      <c r="E24851" s="40" t="s">
        <v>11404</v>
      </c>
      <c r="F24851" s="40" t="s">
        <v>11404</v>
      </c>
      <c r="G24851" s="40" t="s">
        <v>11404</v>
      </c>
      <c r="H24851" s="40" t="s">
        <v>11404</v>
      </c>
    </row>
    <row r="24852">
      <c r="A24852" s="39"/>
      <c r="E24852" s="40" t="s">
        <v>11404</v>
      </c>
      <c r="F24852" s="40" t="s">
        <v>11404</v>
      </c>
      <c r="G24852" s="40" t="s">
        <v>11404</v>
      </c>
      <c r="H24852" s="40" t="s">
        <v>11404</v>
      </c>
    </row>
    <row r="24853">
      <c r="A24853" s="39"/>
      <c r="E24853" s="40" t="s">
        <v>11404</v>
      </c>
      <c r="F24853" s="40" t="s">
        <v>11404</v>
      </c>
      <c r="G24853" s="40" t="s">
        <v>11404</v>
      </c>
      <c r="H24853" s="40" t="s">
        <v>11404</v>
      </c>
    </row>
    <row r="24854">
      <c r="A24854" s="39"/>
      <c r="E24854" s="40" t="s">
        <v>11404</v>
      </c>
      <c r="F24854" s="40" t="s">
        <v>11404</v>
      </c>
      <c r="G24854" s="40" t="s">
        <v>11404</v>
      </c>
      <c r="H24854" s="40" t="s">
        <v>11404</v>
      </c>
    </row>
    <row r="24855">
      <c r="A24855" s="39"/>
      <c r="E24855" s="40" t="s">
        <v>11404</v>
      </c>
      <c r="F24855" s="40" t="s">
        <v>11404</v>
      </c>
      <c r="G24855" s="40" t="s">
        <v>11404</v>
      </c>
      <c r="H24855" s="40" t="s">
        <v>11404</v>
      </c>
    </row>
    <row r="24856">
      <c r="A24856" s="39"/>
      <c r="E24856" s="40" t="s">
        <v>11404</v>
      </c>
      <c r="F24856" s="40" t="s">
        <v>11404</v>
      </c>
      <c r="G24856" s="40" t="s">
        <v>11404</v>
      </c>
      <c r="H24856" s="40" t="s">
        <v>11404</v>
      </c>
    </row>
    <row r="24857">
      <c r="A24857" s="39"/>
      <c r="E24857" s="40" t="s">
        <v>11404</v>
      </c>
      <c r="F24857" s="40" t="s">
        <v>11404</v>
      </c>
      <c r="G24857" s="40" t="s">
        <v>11404</v>
      </c>
      <c r="H24857" s="40" t="s">
        <v>11404</v>
      </c>
    </row>
    <row r="24858">
      <c r="A24858" s="39"/>
      <c r="E24858" s="40" t="s">
        <v>11404</v>
      </c>
      <c r="F24858" s="40" t="s">
        <v>11404</v>
      </c>
      <c r="G24858" s="40" t="s">
        <v>11404</v>
      </c>
      <c r="H24858" s="40" t="s">
        <v>11404</v>
      </c>
    </row>
    <row r="24859">
      <c r="A24859" s="39"/>
      <c r="E24859" s="40" t="s">
        <v>11404</v>
      </c>
      <c r="F24859" s="40" t="s">
        <v>11404</v>
      </c>
      <c r="G24859" s="40" t="s">
        <v>11404</v>
      </c>
      <c r="H24859" s="40" t="s">
        <v>11404</v>
      </c>
    </row>
    <row r="24860">
      <c r="A24860" s="39"/>
      <c r="E24860" s="40" t="s">
        <v>11404</v>
      </c>
      <c r="F24860" s="40" t="s">
        <v>11404</v>
      </c>
      <c r="G24860" s="40" t="s">
        <v>11404</v>
      </c>
      <c r="H24860" s="40" t="s">
        <v>11404</v>
      </c>
    </row>
    <row r="24861">
      <c r="A24861" s="39"/>
      <c r="E24861" s="40" t="s">
        <v>11404</v>
      </c>
      <c r="F24861" s="40" t="s">
        <v>11404</v>
      </c>
      <c r="G24861" s="40" t="s">
        <v>11404</v>
      </c>
      <c r="H24861" s="40" t="s">
        <v>11404</v>
      </c>
    </row>
    <row r="24862">
      <c r="A24862" s="39"/>
      <c r="E24862" s="40" t="s">
        <v>11404</v>
      </c>
      <c r="F24862" s="40" t="s">
        <v>11404</v>
      </c>
      <c r="G24862" s="40" t="s">
        <v>11404</v>
      </c>
      <c r="H24862" s="40" t="s">
        <v>11404</v>
      </c>
    </row>
    <row r="24863">
      <c r="A24863" s="39"/>
      <c r="E24863" s="40" t="s">
        <v>11404</v>
      </c>
      <c r="F24863" s="40" t="s">
        <v>11404</v>
      </c>
      <c r="G24863" s="40" t="s">
        <v>11404</v>
      </c>
      <c r="H24863" s="40" t="s">
        <v>11404</v>
      </c>
    </row>
    <row r="24864">
      <c r="A24864" s="39"/>
      <c r="E24864" s="40" t="s">
        <v>11404</v>
      </c>
      <c r="F24864" s="40" t="s">
        <v>11404</v>
      </c>
      <c r="G24864" s="40" t="s">
        <v>11404</v>
      </c>
      <c r="H24864" s="40" t="s">
        <v>11404</v>
      </c>
    </row>
    <row r="24865">
      <c r="A24865" s="39"/>
      <c r="E24865" s="40" t="s">
        <v>11404</v>
      </c>
      <c r="F24865" s="40" t="s">
        <v>11404</v>
      </c>
      <c r="G24865" s="40" t="s">
        <v>11404</v>
      </c>
      <c r="H24865" s="40" t="s">
        <v>11404</v>
      </c>
    </row>
    <row r="24866">
      <c r="A24866" s="39"/>
      <c r="E24866" s="40" t="s">
        <v>11404</v>
      </c>
      <c r="F24866" s="40" t="s">
        <v>11404</v>
      </c>
      <c r="G24866" s="40" t="s">
        <v>11404</v>
      </c>
      <c r="H24866" s="40" t="s">
        <v>11404</v>
      </c>
    </row>
    <row r="24867">
      <c r="A24867" s="39"/>
      <c r="E24867" s="40" t="s">
        <v>11404</v>
      </c>
      <c r="F24867" s="40" t="s">
        <v>11404</v>
      </c>
      <c r="G24867" s="40" t="s">
        <v>11404</v>
      </c>
      <c r="H24867" s="40" t="s">
        <v>11404</v>
      </c>
    </row>
    <row r="24868">
      <c r="A24868" s="39"/>
      <c r="E24868" s="40" t="s">
        <v>11404</v>
      </c>
      <c r="F24868" s="40" t="s">
        <v>11404</v>
      </c>
      <c r="G24868" s="40" t="s">
        <v>11404</v>
      </c>
      <c r="H24868" s="40" t="s">
        <v>11404</v>
      </c>
    </row>
    <row r="24869">
      <c r="A24869" s="39"/>
      <c r="E24869" s="40" t="s">
        <v>11404</v>
      </c>
      <c r="F24869" s="40" t="s">
        <v>11404</v>
      </c>
      <c r="G24869" s="40" t="s">
        <v>11404</v>
      </c>
      <c r="H24869" s="40" t="s">
        <v>11404</v>
      </c>
    </row>
    <row r="24870">
      <c r="A24870" s="39"/>
      <c r="E24870" s="40" t="s">
        <v>11404</v>
      </c>
      <c r="F24870" s="40" t="s">
        <v>11404</v>
      </c>
      <c r="G24870" s="40" t="s">
        <v>11404</v>
      </c>
      <c r="H24870" s="40" t="s">
        <v>11404</v>
      </c>
    </row>
    <row r="24871">
      <c r="A24871" s="39"/>
      <c r="E24871" s="40" t="s">
        <v>11404</v>
      </c>
      <c r="F24871" s="40" t="s">
        <v>11404</v>
      </c>
      <c r="G24871" s="40" t="s">
        <v>11404</v>
      </c>
      <c r="H24871" s="40" t="s">
        <v>11404</v>
      </c>
    </row>
    <row r="24872">
      <c r="A24872" s="39"/>
      <c r="E24872" s="40" t="s">
        <v>11404</v>
      </c>
      <c r="F24872" s="40" t="s">
        <v>11404</v>
      </c>
      <c r="G24872" s="40" t="s">
        <v>11404</v>
      </c>
      <c r="H24872" s="40" t="s">
        <v>11404</v>
      </c>
    </row>
    <row r="24873">
      <c r="A24873" s="39"/>
      <c r="E24873" s="40" t="s">
        <v>11404</v>
      </c>
      <c r="F24873" s="40" t="s">
        <v>11404</v>
      </c>
      <c r="G24873" s="40" t="s">
        <v>11404</v>
      </c>
      <c r="H24873" s="40" t="s">
        <v>11404</v>
      </c>
    </row>
    <row r="24874">
      <c r="A24874" s="39"/>
      <c r="E24874" s="40" t="s">
        <v>11404</v>
      </c>
      <c r="F24874" s="40" t="s">
        <v>11404</v>
      </c>
      <c r="G24874" s="40" t="s">
        <v>11404</v>
      </c>
      <c r="H24874" s="40" t="s">
        <v>11404</v>
      </c>
    </row>
    <row r="24875">
      <c r="A24875" s="39"/>
      <c r="E24875" s="40" t="s">
        <v>11404</v>
      </c>
      <c r="F24875" s="40" t="s">
        <v>11404</v>
      </c>
      <c r="G24875" s="40" t="s">
        <v>11404</v>
      </c>
      <c r="H24875" s="40" t="s">
        <v>11404</v>
      </c>
    </row>
    <row r="24876">
      <c r="A24876" s="39"/>
      <c r="E24876" s="40" t="s">
        <v>11404</v>
      </c>
      <c r="F24876" s="40" t="s">
        <v>11404</v>
      </c>
      <c r="G24876" s="40" t="s">
        <v>11404</v>
      </c>
      <c r="H24876" s="40" t="s">
        <v>11404</v>
      </c>
    </row>
    <row r="24877">
      <c r="A24877" s="39"/>
      <c r="E24877" s="40" t="s">
        <v>11404</v>
      </c>
      <c r="F24877" s="40" t="s">
        <v>11404</v>
      </c>
      <c r="G24877" s="40" t="s">
        <v>11404</v>
      </c>
      <c r="H24877" s="40" t="s">
        <v>11404</v>
      </c>
    </row>
    <row r="24878">
      <c r="A24878" s="39"/>
      <c r="E24878" s="40" t="s">
        <v>11404</v>
      </c>
      <c r="F24878" s="40" t="s">
        <v>11404</v>
      </c>
      <c r="G24878" s="40" t="s">
        <v>11404</v>
      </c>
      <c r="H24878" s="40" t="s">
        <v>11404</v>
      </c>
    </row>
    <row r="24879">
      <c r="A24879" s="39"/>
      <c r="E24879" s="40" t="s">
        <v>11404</v>
      </c>
      <c r="F24879" s="40" t="s">
        <v>11404</v>
      </c>
      <c r="G24879" s="40" t="s">
        <v>11404</v>
      </c>
      <c r="H24879" s="40" t="s">
        <v>11404</v>
      </c>
    </row>
    <row r="24880">
      <c r="A24880" s="39"/>
      <c r="E24880" s="40" t="s">
        <v>11404</v>
      </c>
      <c r="F24880" s="40" t="s">
        <v>11404</v>
      </c>
      <c r="G24880" s="40" t="s">
        <v>11404</v>
      </c>
      <c r="H24880" s="40" t="s">
        <v>11404</v>
      </c>
    </row>
    <row r="24881">
      <c r="A24881" s="39"/>
      <c r="E24881" s="40" t="s">
        <v>11404</v>
      </c>
      <c r="F24881" s="40" t="s">
        <v>11404</v>
      </c>
      <c r="G24881" s="40" t="s">
        <v>11404</v>
      </c>
      <c r="H24881" s="40" t="s">
        <v>11404</v>
      </c>
    </row>
    <row r="24882">
      <c r="A24882" s="39"/>
      <c r="E24882" s="40" t="s">
        <v>11404</v>
      </c>
      <c r="F24882" s="40" t="s">
        <v>11404</v>
      </c>
      <c r="G24882" s="40" t="s">
        <v>11404</v>
      </c>
      <c r="H24882" s="40" t="s">
        <v>11404</v>
      </c>
    </row>
    <row r="24883">
      <c r="A24883" s="39"/>
      <c r="E24883" s="40" t="s">
        <v>11404</v>
      </c>
      <c r="F24883" s="40" t="s">
        <v>11404</v>
      </c>
      <c r="G24883" s="40" t="s">
        <v>11404</v>
      </c>
      <c r="H24883" s="40" t="s">
        <v>11404</v>
      </c>
    </row>
    <row r="24884">
      <c r="A24884" s="39"/>
      <c r="E24884" s="40" t="s">
        <v>11404</v>
      </c>
      <c r="F24884" s="40" t="s">
        <v>11404</v>
      </c>
      <c r="G24884" s="40" t="s">
        <v>11404</v>
      </c>
      <c r="H24884" s="40" t="s">
        <v>11404</v>
      </c>
    </row>
    <row r="24885">
      <c r="A24885" s="39"/>
      <c r="E24885" s="40" t="s">
        <v>11404</v>
      </c>
      <c r="F24885" s="40" t="s">
        <v>11404</v>
      </c>
      <c r="G24885" s="40" t="s">
        <v>11404</v>
      </c>
      <c r="H24885" s="40" t="s">
        <v>11404</v>
      </c>
    </row>
    <row r="24886">
      <c r="A24886" s="39"/>
      <c r="E24886" s="40" t="s">
        <v>11404</v>
      </c>
      <c r="F24886" s="40" t="s">
        <v>11404</v>
      </c>
      <c r="G24886" s="40" t="s">
        <v>11404</v>
      </c>
      <c r="H24886" s="40" t="s">
        <v>11404</v>
      </c>
    </row>
    <row r="24887">
      <c r="A24887" s="39"/>
      <c r="E24887" s="40" t="s">
        <v>11404</v>
      </c>
      <c r="F24887" s="40" t="s">
        <v>11404</v>
      </c>
      <c r="G24887" s="40" t="s">
        <v>11404</v>
      </c>
      <c r="H24887" s="40" t="s">
        <v>11404</v>
      </c>
    </row>
    <row r="24888">
      <c r="A24888" s="39"/>
      <c r="E24888" s="40" t="s">
        <v>11404</v>
      </c>
      <c r="F24888" s="40" t="s">
        <v>11404</v>
      </c>
      <c r="G24888" s="40" t="s">
        <v>11404</v>
      </c>
      <c r="H24888" s="40" t="s">
        <v>11404</v>
      </c>
    </row>
    <row r="24889">
      <c r="A24889" s="39"/>
      <c r="E24889" s="40" t="s">
        <v>11404</v>
      </c>
      <c r="F24889" s="40" t="s">
        <v>11404</v>
      </c>
      <c r="G24889" s="40" t="s">
        <v>11404</v>
      </c>
      <c r="H24889" s="40" t="s">
        <v>11404</v>
      </c>
    </row>
    <row r="24890">
      <c r="A24890" s="39"/>
      <c r="E24890" s="40" t="s">
        <v>11404</v>
      </c>
      <c r="F24890" s="40" t="s">
        <v>11404</v>
      </c>
      <c r="G24890" s="40" t="s">
        <v>11404</v>
      </c>
      <c r="H24890" s="40" t="s">
        <v>11404</v>
      </c>
    </row>
    <row r="24891">
      <c r="A24891" s="39"/>
      <c r="E24891" s="40" t="s">
        <v>11404</v>
      </c>
      <c r="F24891" s="40" t="s">
        <v>11404</v>
      </c>
      <c r="G24891" s="40" t="s">
        <v>11404</v>
      </c>
      <c r="H24891" s="40" t="s">
        <v>11404</v>
      </c>
    </row>
    <row r="24892">
      <c r="A24892" s="39"/>
      <c r="E24892" s="40" t="s">
        <v>11404</v>
      </c>
      <c r="F24892" s="40" t="s">
        <v>11404</v>
      </c>
      <c r="G24892" s="40" t="s">
        <v>11404</v>
      </c>
      <c r="H24892" s="40" t="s">
        <v>11404</v>
      </c>
    </row>
    <row r="24893">
      <c r="A24893" s="39"/>
      <c r="E24893" s="40" t="s">
        <v>11404</v>
      </c>
      <c r="F24893" s="40" t="s">
        <v>11404</v>
      </c>
      <c r="G24893" s="40" t="s">
        <v>11404</v>
      </c>
      <c r="H24893" s="40" t="s">
        <v>11404</v>
      </c>
    </row>
    <row r="24894">
      <c r="A24894" s="39"/>
      <c r="E24894" s="40" t="s">
        <v>11404</v>
      </c>
      <c r="F24894" s="40" t="s">
        <v>11404</v>
      </c>
      <c r="G24894" s="40" t="s">
        <v>11404</v>
      </c>
      <c r="H24894" s="40" t="s">
        <v>11404</v>
      </c>
    </row>
    <row r="24895">
      <c r="A24895" s="39"/>
      <c r="E24895" s="40" t="s">
        <v>11404</v>
      </c>
      <c r="F24895" s="40" t="s">
        <v>11404</v>
      </c>
      <c r="G24895" s="40" t="s">
        <v>11404</v>
      </c>
      <c r="H24895" s="40" t="s">
        <v>11404</v>
      </c>
    </row>
    <row r="24896">
      <c r="A24896" s="39"/>
      <c r="E24896" s="40" t="s">
        <v>11404</v>
      </c>
      <c r="F24896" s="40" t="s">
        <v>11404</v>
      </c>
      <c r="G24896" s="40" t="s">
        <v>11404</v>
      </c>
      <c r="H24896" s="40" t="s">
        <v>11404</v>
      </c>
    </row>
    <row r="24897">
      <c r="A24897" s="39"/>
      <c r="E24897" s="40" t="s">
        <v>11404</v>
      </c>
      <c r="F24897" s="40" t="s">
        <v>11404</v>
      </c>
      <c r="G24897" s="40" t="s">
        <v>11404</v>
      </c>
      <c r="H24897" s="40" t="s">
        <v>11404</v>
      </c>
    </row>
    <row r="24898">
      <c r="A24898" s="39"/>
      <c r="E24898" s="40" t="s">
        <v>11404</v>
      </c>
      <c r="F24898" s="40" t="s">
        <v>11404</v>
      </c>
      <c r="G24898" s="40" t="s">
        <v>11404</v>
      </c>
      <c r="H24898" s="40" t="s">
        <v>11404</v>
      </c>
    </row>
    <row r="24899">
      <c r="A24899" s="39"/>
      <c r="E24899" s="40" t="s">
        <v>11404</v>
      </c>
      <c r="F24899" s="40" t="s">
        <v>11404</v>
      </c>
      <c r="G24899" s="40" t="s">
        <v>11404</v>
      </c>
      <c r="H24899" s="40" t="s">
        <v>11404</v>
      </c>
    </row>
    <row r="24900">
      <c r="A24900" s="39"/>
      <c r="E24900" s="40" t="s">
        <v>11404</v>
      </c>
      <c r="F24900" s="40" t="s">
        <v>11404</v>
      </c>
      <c r="G24900" s="40" t="s">
        <v>11404</v>
      </c>
      <c r="H24900" s="40" t="s">
        <v>11404</v>
      </c>
    </row>
    <row r="24901">
      <c r="A24901" s="39"/>
      <c r="E24901" s="40" t="s">
        <v>11404</v>
      </c>
      <c r="F24901" s="40" t="s">
        <v>11404</v>
      </c>
      <c r="G24901" s="40" t="s">
        <v>11404</v>
      </c>
      <c r="H24901" s="40" t="s">
        <v>11404</v>
      </c>
    </row>
    <row r="24902">
      <c r="A24902" s="39"/>
      <c r="E24902" s="40" t="s">
        <v>11404</v>
      </c>
      <c r="F24902" s="40" t="s">
        <v>11404</v>
      </c>
      <c r="G24902" s="40" t="s">
        <v>11404</v>
      </c>
      <c r="H24902" s="40" t="s">
        <v>11404</v>
      </c>
    </row>
    <row r="24903">
      <c r="A24903" s="39"/>
      <c r="E24903" s="40" t="s">
        <v>11404</v>
      </c>
      <c r="F24903" s="40" t="s">
        <v>11404</v>
      </c>
      <c r="G24903" s="40" t="s">
        <v>11404</v>
      </c>
      <c r="H24903" s="40" t="s">
        <v>11404</v>
      </c>
    </row>
    <row r="24904">
      <c r="A24904" s="39"/>
      <c r="E24904" s="40" t="s">
        <v>11404</v>
      </c>
      <c r="F24904" s="40" t="s">
        <v>11404</v>
      </c>
      <c r="G24904" s="40" t="s">
        <v>11404</v>
      </c>
      <c r="H24904" s="40" t="s">
        <v>11404</v>
      </c>
    </row>
    <row r="24905">
      <c r="A24905" s="39"/>
      <c r="E24905" s="40" t="s">
        <v>11404</v>
      </c>
      <c r="F24905" s="40" t="s">
        <v>11404</v>
      </c>
      <c r="G24905" s="40" t="s">
        <v>11404</v>
      </c>
      <c r="H24905" s="40" t="s">
        <v>11404</v>
      </c>
    </row>
    <row r="24906">
      <c r="A24906" s="39"/>
      <c r="E24906" s="40" t="s">
        <v>11404</v>
      </c>
      <c r="F24906" s="40" t="s">
        <v>11404</v>
      </c>
      <c r="G24906" s="40" t="s">
        <v>11404</v>
      </c>
      <c r="H24906" s="40" t="s">
        <v>11404</v>
      </c>
    </row>
    <row r="24907">
      <c r="A24907" s="39"/>
      <c r="E24907" s="40" t="s">
        <v>11404</v>
      </c>
      <c r="F24907" s="40" t="s">
        <v>11404</v>
      </c>
      <c r="G24907" s="40" t="s">
        <v>11404</v>
      </c>
      <c r="H24907" s="40" t="s">
        <v>11404</v>
      </c>
    </row>
    <row r="24908">
      <c r="A24908" s="39"/>
      <c r="E24908" s="40" t="s">
        <v>11404</v>
      </c>
      <c r="F24908" s="40" t="s">
        <v>11404</v>
      </c>
      <c r="G24908" s="40" t="s">
        <v>11404</v>
      </c>
      <c r="H24908" s="40" t="s">
        <v>11404</v>
      </c>
    </row>
    <row r="24909">
      <c r="A24909" s="39"/>
      <c r="E24909" s="40" t="s">
        <v>11404</v>
      </c>
      <c r="F24909" s="40" t="s">
        <v>11404</v>
      </c>
      <c r="G24909" s="40" t="s">
        <v>11404</v>
      </c>
      <c r="H24909" s="40" t="s">
        <v>11404</v>
      </c>
    </row>
    <row r="24910">
      <c r="A24910" s="39"/>
      <c r="E24910" s="40" t="s">
        <v>11404</v>
      </c>
      <c r="F24910" s="40" t="s">
        <v>11404</v>
      </c>
      <c r="G24910" s="40" t="s">
        <v>11404</v>
      </c>
      <c r="H24910" s="40" t="s">
        <v>11404</v>
      </c>
    </row>
    <row r="24911">
      <c r="A24911" s="39"/>
      <c r="E24911" s="40" t="s">
        <v>11404</v>
      </c>
      <c r="F24911" s="40" t="s">
        <v>11404</v>
      </c>
      <c r="G24911" s="40" t="s">
        <v>11404</v>
      </c>
      <c r="H24911" s="40" t="s">
        <v>11404</v>
      </c>
    </row>
    <row r="24912">
      <c r="A24912" s="39"/>
      <c r="E24912" s="40" t="s">
        <v>11404</v>
      </c>
      <c r="F24912" s="40" t="s">
        <v>11404</v>
      </c>
      <c r="G24912" s="40" t="s">
        <v>11404</v>
      </c>
      <c r="H24912" s="40" t="s">
        <v>11404</v>
      </c>
    </row>
    <row r="24913">
      <c r="A24913" s="39"/>
      <c r="E24913" s="40" t="s">
        <v>11404</v>
      </c>
      <c r="F24913" s="40" t="s">
        <v>11404</v>
      </c>
      <c r="G24913" s="40" t="s">
        <v>11404</v>
      </c>
      <c r="H24913" s="40" t="s">
        <v>11404</v>
      </c>
    </row>
    <row r="24914">
      <c r="A24914" s="39"/>
      <c r="E24914" s="40" t="s">
        <v>11404</v>
      </c>
      <c r="F24914" s="40" t="s">
        <v>11404</v>
      </c>
      <c r="G24914" s="40" t="s">
        <v>11404</v>
      </c>
      <c r="H24914" s="40" t="s">
        <v>11404</v>
      </c>
    </row>
    <row r="24915">
      <c r="A24915" s="39"/>
      <c r="E24915" s="40" t="s">
        <v>11404</v>
      </c>
      <c r="F24915" s="40" t="s">
        <v>11404</v>
      </c>
      <c r="G24915" s="40" t="s">
        <v>11404</v>
      </c>
      <c r="H24915" s="40" t="s">
        <v>11404</v>
      </c>
    </row>
    <row r="24916">
      <c r="A24916" s="39"/>
      <c r="E24916" s="40" t="s">
        <v>11404</v>
      </c>
      <c r="F24916" s="40" t="s">
        <v>11404</v>
      </c>
      <c r="G24916" s="40" t="s">
        <v>11404</v>
      </c>
      <c r="H24916" s="40" t="s">
        <v>11404</v>
      </c>
    </row>
    <row r="24917">
      <c r="A24917" s="39"/>
      <c r="E24917" s="40" t="s">
        <v>11404</v>
      </c>
      <c r="F24917" s="40" t="s">
        <v>11404</v>
      </c>
      <c r="G24917" s="40" t="s">
        <v>11404</v>
      </c>
      <c r="H24917" s="40" t="s">
        <v>11404</v>
      </c>
    </row>
    <row r="24918">
      <c r="A24918" s="39"/>
      <c r="E24918" s="40" t="s">
        <v>11404</v>
      </c>
      <c r="F24918" s="40" t="s">
        <v>11404</v>
      </c>
      <c r="G24918" s="40" t="s">
        <v>11404</v>
      </c>
      <c r="H24918" s="40" t="s">
        <v>11404</v>
      </c>
    </row>
    <row r="24919">
      <c r="A24919" s="39"/>
      <c r="E24919" s="40" t="s">
        <v>11404</v>
      </c>
      <c r="F24919" s="40" t="s">
        <v>11404</v>
      </c>
      <c r="G24919" s="40" t="s">
        <v>11404</v>
      </c>
      <c r="H24919" s="40" t="s">
        <v>11404</v>
      </c>
    </row>
    <row r="24920">
      <c r="A24920" s="39"/>
      <c r="E24920" s="40" t="s">
        <v>11404</v>
      </c>
      <c r="F24920" s="40" t="s">
        <v>11404</v>
      </c>
      <c r="G24920" s="40" t="s">
        <v>11404</v>
      </c>
      <c r="H24920" s="40" t="s">
        <v>11404</v>
      </c>
    </row>
    <row r="24921">
      <c r="A24921" s="39"/>
      <c r="E24921" s="40" t="s">
        <v>11404</v>
      </c>
      <c r="F24921" s="40" t="s">
        <v>11404</v>
      </c>
      <c r="G24921" s="40" t="s">
        <v>11404</v>
      </c>
      <c r="H24921" s="40" t="s">
        <v>11404</v>
      </c>
    </row>
    <row r="24922">
      <c r="A24922" s="39"/>
      <c r="E24922" s="40" t="s">
        <v>11404</v>
      </c>
      <c r="F24922" s="40" t="s">
        <v>11404</v>
      </c>
      <c r="G24922" s="40" t="s">
        <v>11404</v>
      </c>
      <c r="H24922" s="40" t="s">
        <v>11404</v>
      </c>
    </row>
    <row r="24923">
      <c r="A24923" s="39"/>
      <c r="E24923" s="40" t="s">
        <v>11404</v>
      </c>
      <c r="F24923" s="40" t="s">
        <v>11404</v>
      </c>
      <c r="G24923" s="40" t="s">
        <v>11404</v>
      </c>
      <c r="H24923" s="40" t="s">
        <v>11404</v>
      </c>
    </row>
    <row r="24924">
      <c r="A24924" s="39"/>
      <c r="E24924" s="40" t="s">
        <v>11404</v>
      </c>
      <c r="F24924" s="40" t="s">
        <v>11404</v>
      </c>
      <c r="G24924" s="40" t="s">
        <v>11404</v>
      </c>
      <c r="H24924" s="40" t="s">
        <v>11404</v>
      </c>
    </row>
    <row r="24925">
      <c r="A24925" s="39"/>
      <c r="E24925" s="40" t="s">
        <v>11404</v>
      </c>
      <c r="F24925" s="40" t="s">
        <v>11404</v>
      </c>
      <c r="G24925" s="40" t="s">
        <v>11404</v>
      </c>
      <c r="H24925" s="40" t="s">
        <v>11404</v>
      </c>
    </row>
    <row r="24926">
      <c r="A24926" s="39"/>
      <c r="E24926" s="40" t="s">
        <v>11404</v>
      </c>
      <c r="F24926" s="40" t="s">
        <v>11404</v>
      </c>
      <c r="G24926" s="40" t="s">
        <v>11404</v>
      </c>
      <c r="H24926" s="40" t="s">
        <v>11404</v>
      </c>
    </row>
    <row r="24927">
      <c r="A24927" s="39"/>
      <c r="E24927" s="40" t="s">
        <v>11404</v>
      </c>
      <c r="F24927" s="40" t="s">
        <v>11404</v>
      </c>
      <c r="G24927" s="40" t="s">
        <v>11404</v>
      </c>
      <c r="H24927" s="40" t="s">
        <v>11404</v>
      </c>
    </row>
    <row r="24928">
      <c r="A24928" s="39"/>
      <c r="E24928" s="40" t="s">
        <v>11404</v>
      </c>
      <c r="F24928" s="40" t="s">
        <v>11404</v>
      </c>
      <c r="G24928" s="40" t="s">
        <v>11404</v>
      </c>
      <c r="H24928" s="40" t="s">
        <v>11404</v>
      </c>
    </row>
    <row r="24929">
      <c r="A24929" s="39"/>
      <c r="E24929" s="40" t="s">
        <v>11404</v>
      </c>
      <c r="F24929" s="40" t="s">
        <v>11404</v>
      </c>
      <c r="G24929" s="40" t="s">
        <v>11404</v>
      </c>
      <c r="H24929" s="40" t="s">
        <v>11404</v>
      </c>
    </row>
    <row r="24930">
      <c r="A24930" s="39"/>
      <c r="E24930" s="40" t="s">
        <v>11404</v>
      </c>
      <c r="F24930" s="40" t="s">
        <v>11404</v>
      </c>
      <c r="G24930" s="40" t="s">
        <v>11404</v>
      </c>
      <c r="H24930" s="40" t="s">
        <v>11404</v>
      </c>
    </row>
    <row r="24931">
      <c r="A24931" s="39"/>
      <c r="E24931" s="40" t="s">
        <v>11404</v>
      </c>
      <c r="F24931" s="40" t="s">
        <v>11404</v>
      </c>
      <c r="G24931" s="40" t="s">
        <v>11404</v>
      </c>
      <c r="H24931" s="40" t="s">
        <v>11404</v>
      </c>
    </row>
    <row r="24932">
      <c r="A24932" s="39"/>
      <c r="E24932" s="40" t="s">
        <v>11404</v>
      </c>
      <c r="F24932" s="40" t="s">
        <v>11404</v>
      </c>
      <c r="G24932" s="40" t="s">
        <v>11404</v>
      </c>
      <c r="H24932" s="40" t="s">
        <v>11404</v>
      </c>
    </row>
    <row r="24933">
      <c r="A24933" s="39"/>
      <c r="E24933" s="40" t="s">
        <v>11404</v>
      </c>
      <c r="F24933" s="40" t="s">
        <v>11404</v>
      </c>
      <c r="G24933" s="40" t="s">
        <v>11404</v>
      </c>
      <c r="H24933" s="40" t="s">
        <v>11404</v>
      </c>
    </row>
    <row r="24934">
      <c r="A24934" s="39"/>
      <c r="E24934" s="40" t="s">
        <v>11404</v>
      </c>
      <c r="F24934" s="40" t="s">
        <v>11404</v>
      </c>
      <c r="G24934" s="40" t="s">
        <v>11404</v>
      </c>
      <c r="H24934" s="40" t="s">
        <v>11404</v>
      </c>
    </row>
    <row r="24935">
      <c r="A24935" s="39"/>
      <c r="E24935" s="40" t="s">
        <v>11404</v>
      </c>
      <c r="F24935" s="40" t="s">
        <v>11404</v>
      </c>
      <c r="G24935" s="40" t="s">
        <v>11404</v>
      </c>
      <c r="H24935" s="40" t="s">
        <v>11404</v>
      </c>
    </row>
    <row r="24936">
      <c r="A24936" s="39"/>
      <c r="E24936" s="40" t="s">
        <v>11404</v>
      </c>
      <c r="F24936" s="40" t="s">
        <v>11404</v>
      </c>
      <c r="G24936" s="40" t="s">
        <v>11404</v>
      </c>
      <c r="H24936" s="40" t="s">
        <v>11404</v>
      </c>
    </row>
    <row r="24937">
      <c r="A24937" s="39"/>
      <c r="E24937" s="40" t="s">
        <v>11404</v>
      </c>
      <c r="F24937" s="40" t="s">
        <v>11404</v>
      </c>
      <c r="G24937" s="40" t="s">
        <v>11404</v>
      </c>
      <c r="H24937" s="40" t="s">
        <v>11404</v>
      </c>
    </row>
    <row r="24938">
      <c r="A24938" s="39"/>
      <c r="E24938" s="40" t="s">
        <v>11404</v>
      </c>
      <c r="F24938" s="40" t="s">
        <v>11404</v>
      </c>
      <c r="G24938" s="40" t="s">
        <v>11404</v>
      </c>
      <c r="H24938" s="40" t="s">
        <v>11404</v>
      </c>
    </row>
    <row r="24939">
      <c r="A24939" s="39"/>
      <c r="E24939" s="40" t="s">
        <v>11404</v>
      </c>
      <c r="F24939" s="40" t="s">
        <v>11404</v>
      </c>
      <c r="G24939" s="40" t="s">
        <v>11404</v>
      </c>
      <c r="H24939" s="40" t="s">
        <v>11404</v>
      </c>
    </row>
    <row r="24940">
      <c r="A24940" s="39"/>
      <c r="E24940" s="40" t="s">
        <v>11404</v>
      </c>
      <c r="F24940" s="40" t="s">
        <v>11404</v>
      </c>
      <c r="G24940" s="40" t="s">
        <v>11404</v>
      </c>
      <c r="H24940" s="40" t="s">
        <v>11404</v>
      </c>
    </row>
    <row r="24941">
      <c r="A24941" s="39"/>
      <c r="E24941" s="40" t="s">
        <v>11404</v>
      </c>
      <c r="F24941" s="40" t="s">
        <v>11404</v>
      </c>
      <c r="G24941" s="40" t="s">
        <v>11404</v>
      </c>
      <c r="H24941" s="40" t="s">
        <v>11404</v>
      </c>
    </row>
    <row r="24942">
      <c r="A24942" s="39"/>
      <c r="E24942" s="40" t="s">
        <v>11404</v>
      </c>
      <c r="F24942" s="40" t="s">
        <v>11404</v>
      </c>
      <c r="G24942" s="40" t="s">
        <v>11404</v>
      </c>
      <c r="H24942" s="40" t="s">
        <v>11404</v>
      </c>
    </row>
    <row r="24943">
      <c r="A24943" s="39"/>
      <c r="E24943" s="40" t="s">
        <v>11404</v>
      </c>
      <c r="F24943" s="40" t="s">
        <v>11404</v>
      </c>
      <c r="G24943" s="40" t="s">
        <v>11404</v>
      </c>
      <c r="H24943" s="40" t="s">
        <v>11404</v>
      </c>
    </row>
    <row r="24944">
      <c r="A24944" s="39"/>
      <c r="E24944" s="40" t="s">
        <v>11404</v>
      </c>
      <c r="F24944" s="40" t="s">
        <v>11404</v>
      </c>
      <c r="G24944" s="40" t="s">
        <v>11404</v>
      </c>
      <c r="H24944" s="40" t="s">
        <v>11404</v>
      </c>
    </row>
    <row r="24945">
      <c r="A24945" s="39"/>
      <c r="E24945" s="40" t="s">
        <v>11404</v>
      </c>
      <c r="F24945" s="40" t="s">
        <v>11404</v>
      </c>
      <c r="G24945" s="40" t="s">
        <v>11404</v>
      </c>
      <c r="H24945" s="40" t="s">
        <v>11404</v>
      </c>
    </row>
    <row r="24946">
      <c r="A24946" s="39"/>
      <c r="E24946" s="40" t="s">
        <v>11404</v>
      </c>
      <c r="F24946" s="40" t="s">
        <v>11404</v>
      </c>
      <c r="G24946" s="40" t="s">
        <v>11404</v>
      </c>
      <c r="H24946" s="40" t="s">
        <v>11404</v>
      </c>
    </row>
    <row r="24947">
      <c r="A24947" s="39"/>
      <c r="E24947" s="40" t="s">
        <v>11404</v>
      </c>
      <c r="F24947" s="40" t="s">
        <v>11404</v>
      </c>
      <c r="G24947" s="40" t="s">
        <v>11404</v>
      </c>
      <c r="H24947" s="40" t="s">
        <v>11404</v>
      </c>
    </row>
    <row r="24948">
      <c r="A24948" s="39"/>
      <c r="E24948" s="40" t="s">
        <v>11404</v>
      </c>
      <c r="F24948" s="40" t="s">
        <v>11404</v>
      </c>
      <c r="G24948" s="40" t="s">
        <v>11404</v>
      </c>
      <c r="H24948" s="40" t="s">
        <v>11404</v>
      </c>
    </row>
    <row r="24949">
      <c r="A24949" s="39"/>
      <c r="E24949" s="40" t="s">
        <v>11404</v>
      </c>
      <c r="F24949" s="40" t="s">
        <v>11404</v>
      </c>
      <c r="G24949" s="40" t="s">
        <v>11404</v>
      </c>
      <c r="H24949" s="40" t="s">
        <v>11404</v>
      </c>
    </row>
    <row r="24950">
      <c r="A24950" s="39"/>
      <c r="E24950" s="40" t="s">
        <v>11404</v>
      </c>
      <c r="F24950" s="40" t="s">
        <v>11404</v>
      </c>
      <c r="G24950" s="40" t="s">
        <v>11404</v>
      </c>
      <c r="H24950" s="40" t="s">
        <v>11404</v>
      </c>
    </row>
    <row r="24951">
      <c r="A24951" s="39"/>
      <c r="E24951" s="40" t="s">
        <v>11404</v>
      </c>
      <c r="F24951" s="40" t="s">
        <v>11404</v>
      </c>
      <c r="G24951" s="40" t="s">
        <v>11404</v>
      </c>
      <c r="H24951" s="40" t="s">
        <v>11404</v>
      </c>
    </row>
    <row r="24952">
      <c r="A24952" s="39"/>
      <c r="E24952" s="40" t="s">
        <v>11404</v>
      </c>
      <c r="F24952" s="40" t="s">
        <v>11404</v>
      </c>
      <c r="G24952" s="40" t="s">
        <v>11404</v>
      </c>
      <c r="H24952" s="40" t="s">
        <v>11404</v>
      </c>
    </row>
    <row r="24953">
      <c r="A24953" s="39"/>
      <c r="E24953" s="40" t="s">
        <v>11404</v>
      </c>
      <c r="F24953" s="40" t="s">
        <v>11404</v>
      </c>
      <c r="G24953" s="40" t="s">
        <v>11404</v>
      </c>
      <c r="H24953" s="40" t="s">
        <v>11404</v>
      </c>
    </row>
    <row r="24954">
      <c r="A24954" s="39"/>
      <c r="E24954" s="40" t="s">
        <v>11404</v>
      </c>
      <c r="F24954" s="40" t="s">
        <v>11404</v>
      </c>
      <c r="G24954" s="40" t="s">
        <v>11404</v>
      </c>
      <c r="H24954" s="40" t="s">
        <v>11404</v>
      </c>
    </row>
    <row r="24955">
      <c r="A24955" s="39"/>
      <c r="E24955" s="40" t="s">
        <v>11404</v>
      </c>
      <c r="F24955" s="40" t="s">
        <v>11404</v>
      </c>
      <c r="G24955" s="40" t="s">
        <v>11404</v>
      </c>
      <c r="H24955" s="40" t="s">
        <v>11404</v>
      </c>
    </row>
    <row r="24956">
      <c r="A24956" s="39"/>
      <c r="E24956" s="40" t="s">
        <v>11404</v>
      </c>
      <c r="F24956" s="40" t="s">
        <v>11404</v>
      </c>
      <c r="G24956" s="40" t="s">
        <v>11404</v>
      </c>
      <c r="H24956" s="40" t="s">
        <v>11404</v>
      </c>
    </row>
    <row r="24957">
      <c r="A24957" s="39"/>
      <c r="E24957" s="40" t="s">
        <v>11404</v>
      </c>
      <c r="F24957" s="40" t="s">
        <v>11404</v>
      </c>
      <c r="G24957" s="40" t="s">
        <v>11404</v>
      </c>
      <c r="H24957" s="40" t="s">
        <v>11404</v>
      </c>
    </row>
    <row r="24958">
      <c r="A24958" s="39"/>
      <c r="E24958" s="40" t="s">
        <v>11404</v>
      </c>
      <c r="F24958" s="40" t="s">
        <v>11404</v>
      </c>
      <c r="G24958" s="40" t="s">
        <v>11404</v>
      </c>
      <c r="H24958" s="40" t="s">
        <v>11404</v>
      </c>
    </row>
    <row r="24959">
      <c r="A24959" s="39"/>
      <c r="E24959" s="40" t="s">
        <v>11404</v>
      </c>
      <c r="F24959" s="40" t="s">
        <v>11404</v>
      </c>
      <c r="G24959" s="40" t="s">
        <v>11404</v>
      </c>
      <c r="H24959" s="40" t="s">
        <v>11404</v>
      </c>
    </row>
    <row r="24960">
      <c r="A24960" s="39"/>
      <c r="E24960" s="40" t="s">
        <v>11404</v>
      </c>
      <c r="F24960" s="40" t="s">
        <v>11404</v>
      </c>
      <c r="G24960" s="40" t="s">
        <v>11404</v>
      </c>
      <c r="H24960" s="40" t="s">
        <v>11404</v>
      </c>
    </row>
    <row r="24961">
      <c r="A24961" s="39"/>
      <c r="E24961" s="40" t="s">
        <v>11404</v>
      </c>
      <c r="F24961" s="40" t="s">
        <v>11404</v>
      </c>
      <c r="G24961" s="40" t="s">
        <v>11404</v>
      </c>
      <c r="H24961" s="40" t="s">
        <v>11404</v>
      </c>
    </row>
    <row r="24962">
      <c r="A24962" s="39"/>
      <c r="E24962" s="40" t="s">
        <v>11404</v>
      </c>
      <c r="F24962" s="40" t="s">
        <v>11404</v>
      </c>
      <c r="G24962" s="40" t="s">
        <v>11404</v>
      </c>
      <c r="H24962" s="40" t="s">
        <v>11404</v>
      </c>
    </row>
    <row r="24963">
      <c r="A24963" s="39"/>
      <c r="E24963" s="40" t="s">
        <v>11404</v>
      </c>
      <c r="F24963" s="40" t="s">
        <v>11404</v>
      </c>
      <c r="G24963" s="40" t="s">
        <v>11404</v>
      </c>
      <c r="H24963" s="40" t="s">
        <v>11404</v>
      </c>
    </row>
    <row r="24964">
      <c r="A24964" s="39"/>
      <c r="E24964" s="40" t="s">
        <v>11404</v>
      </c>
      <c r="F24964" s="40" t="s">
        <v>11404</v>
      </c>
      <c r="G24964" s="40" t="s">
        <v>11404</v>
      </c>
      <c r="H24964" s="40" t="s">
        <v>11404</v>
      </c>
    </row>
    <row r="24965">
      <c r="A24965" s="39"/>
      <c r="E24965" s="40" t="s">
        <v>11404</v>
      </c>
      <c r="F24965" s="40" t="s">
        <v>11404</v>
      </c>
      <c r="G24965" s="40" t="s">
        <v>11404</v>
      </c>
      <c r="H24965" s="40" t="s">
        <v>11404</v>
      </c>
    </row>
    <row r="24966">
      <c r="A24966" s="39"/>
      <c r="E24966" s="40" t="s">
        <v>11404</v>
      </c>
      <c r="F24966" s="40" t="s">
        <v>11404</v>
      </c>
      <c r="G24966" s="40" t="s">
        <v>11404</v>
      </c>
      <c r="H24966" s="40" t="s">
        <v>11404</v>
      </c>
    </row>
    <row r="24967">
      <c r="A24967" s="39"/>
      <c r="E24967" s="40" t="s">
        <v>11404</v>
      </c>
      <c r="F24967" s="40" t="s">
        <v>11404</v>
      </c>
      <c r="G24967" s="40" t="s">
        <v>11404</v>
      </c>
      <c r="H24967" s="40" t="s">
        <v>11404</v>
      </c>
    </row>
    <row r="24968">
      <c r="A24968" s="39"/>
      <c r="E24968" s="40" t="s">
        <v>11404</v>
      </c>
      <c r="F24968" s="40" t="s">
        <v>11404</v>
      </c>
      <c r="G24968" s="40" t="s">
        <v>11404</v>
      </c>
      <c r="H24968" s="40" t="s">
        <v>11404</v>
      </c>
    </row>
    <row r="24969">
      <c r="A24969" s="39"/>
      <c r="E24969" s="40" t="s">
        <v>11404</v>
      </c>
      <c r="F24969" s="40" t="s">
        <v>11404</v>
      </c>
      <c r="G24969" s="40" t="s">
        <v>11404</v>
      </c>
      <c r="H24969" s="40" t="s">
        <v>11404</v>
      </c>
    </row>
    <row r="24970">
      <c r="A24970" s="39"/>
      <c r="E24970" s="40" t="s">
        <v>11404</v>
      </c>
      <c r="F24970" s="40" t="s">
        <v>11404</v>
      </c>
      <c r="G24970" s="40" t="s">
        <v>11404</v>
      </c>
      <c r="H24970" s="40" t="s">
        <v>11404</v>
      </c>
    </row>
    <row r="24971">
      <c r="A24971" s="39"/>
      <c r="E24971" s="40" t="s">
        <v>11404</v>
      </c>
      <c r="F24971" s="40" t="s">
        <v>11404</v>
      </c>
      <c r="G24971" s="40" t="s">
        <v>11404</v>
      </c>
      <c r="H24971" s="40" t="s">
        <v>11404</v>
      </c>
    </row>
    <row r="24972">
      <c r="A24972" s="39"/>
      <c r="E24972" s="40" t="s">
        <v>11404</v>
      </c>
      <c r="F24972" s="40" t="s">
        <v>11404</v>
      </c>
      <c r="G24972" s="40" t="s">
        <v>11404</v>
      </c>
      <c r="H24972" s="40" t="s">
        <v>11404</v>
      </c>
    </row>
    <row r="24973">
      <c r="A24973" s="39"/>
      <c r="E24973" s="40" t="s">
        <v>11404</v>
      </c>
      <c r="F24973" s="40" t="s">
        <v>11404</v>
      </c>
      <c r="G24973" s="40" t="s">
        <v>11404</v>
      </c>
      <c r="H24973" s="40" t="s">
        <v>11404</v>
      </c>
    </row>
    <row r="24974">
      <c r="A24974" s="39"/>
      <c r="E24974" s="40" t="s">
        <v>11404</v>
      </c>
      <c r="F24974" s="40" t="s">
        <v>11404</v>
      </c>
      <c r="G24974" s="40" t="s">
        <v>11404</v>
      </c>
      <c r="H24974" s="40" t="s">
        <v>11404</v>
      </c>
    </row>
    <row r="24975">
      <c r="A24975" s="39"/>
      <c r="E24975" s="40" t="s">
        <v>11404</v>
      </c>
      <c r="F24975" s="40" t="s">
        <v>11404</v>
      </c>
      <c r="G24975" s="40" t="s">
        <v>11404</v>
      </c>
      <c r="H24975" s="40" t="s">
        <v>11404</v>
      </c>
    </row>
    <row r="24976">
      <c r="A24976" s="39"/>
      <c r="E24976" s="40" t="s">
        <v>11404</v>
      </c>
      <c r="F24976" s="40" t="s">
        <v>11404</v>
      </c>
      <c r="G24976" s="40" t="s">
        <v>11404</v>
      </c>
      <c r="H24976" s="40" t="s">
        <v>11404</v>
      </c>
    </row>
    <row r="24977">
      <c r="A24977" s="39"/>
      <c r="E24977" s="40" t="s">
        <v>11404</v>
      </c>
      <c r="F24977" s="40" t="s">
        <v>11404</v>
      </c>
      <c r="G24977" s="40" t="s">
        <v>11404</v>
      </c>
      <c r="H24977" s="40" t="s">
        <v>11404</v>
      </c>
    </row>
    <row r="24978">
      <c r="A24978" s="39"/>
      <c r="E24978" s="40" t="s">
        <v>11404</v>
      </c>
      <c r="F24978" s="40" t="s">
        <v>11404</v>
      </c>
      <c r="G24978" s="40" t="s">
        <v>11404</v>
      </c>
      <c r="H24978" s="40" t="s">
        <v>11404</v>
      </c>
    </row>
    <row r="24979">
      <c r="A24979" s="39"/>
      <c r="E24979" s="40" t="s">
        <v>11404</v>
      </c>
      <c r="F24979" s="40" t="s">
        <v>11404</v>
      </c>
      <c r="G24979" s="40" t="s">
        <v>11404</v>
      </c>
      <c r="H24979" s="40" t="s">
        <v>11404</v>
      </c>
    </row>
    <row r="24980">
      <c r="A24980" s="39"/>
      <c r="E24980" s="40" t="s">
        <v>11404</v>
      </c>
      <c r="F24980" s="40" t="s">
        <v>11404</v>
      </c>
      <c r="G24980" s="40" t="s">
        <v>11404</v>
      </c>
      <c r="H24980" s="40" t="s">
        <v>11404</v>
      </c>
    </row>
    <row r="24981">
      <c r="A24981" s="39"/>
      <c r="E24981" s="40" t="s">
        <v>11404</v>
      </c>
      <c r="F24981" s="40" t="s">
        <v>11404</v>
      </c>
      <c r="G24981" s="40" t="s">
        <v>11404</v>
      </c>
      <c r="H24981" s="40" t="s">
        <v>11404</v>
      </c>
    </row>
    <row r="24982">
      <c r="A24982" s="39"/>
      <c r="E24982" s="40" t="s">
        <v>11404</v>
      </c>
      <c r="F24982" s="40" t="s">
        <v>11404</v>
      </c>
      <c r="G24982" s="40" t="s">
        <v>11404</v>
      </c>
      <c r="H24982" s="40" t="s">
        <v>11404</v>
      </c>
    </row>
    <row r="24983">
      <c r="A24983" s="39"/>
      <c r="E24983" s="40" t="s">
        <v>11404</v>
      </c>
      <c r="F24983" s="40" t="s">
        <v>11404</v>
      </c>
      <c r="G24983" s="40" t="s">
        <v>11404</v>
      </c>
      <c r="H24983" s="40" t="s">
        <v>11404</v>
      </c>
    </row>
    <row r="24984">
      <c r="A24984" s="39"/>
      <c r="E24984" s="40" t="s">
        <v>11404</v>
      </c>
      <c r="F24984" s="40" t="s">
        <v>11404</v>
      </c>
      <c r="G24984" s="40" t="s">
        <v>11404</v>
      </c>
      <c r="H24984" s="40" t="s">
        <v>11404</v>
      </c>
    </row>
    <row r="24985">
      <c r="A24985" s="39"/>
      <c r="E24985" s="40" t="s">
        <v>11404</v>
      </c>
      <c r="F24985" s="40" t="s">
        <v>11404</v>
      </c>
      <c r="G24985" s="40" t="s">
        <v>11404</v>
      </c>
      <c r="H24985" s="40" t="s">
        <v>11404</v>
      </c>
    </row>
    <row r="24986">
      <c r="A24986" s="39"/>
      <c r="E24986" s="40" t="s">
        <v>11404</v>
      </c>
      <c r="F24986" s="40" t="s">
        <v>11404</v>
      </c>
      <c r="G24986" s="40" t="s">
        <v>11404</v>
      </c>
      <c r="H24986" s="40" t="s">
        <v>11404</v>
      </c>
    </row>
    <row r="24987">
      <c r="A24987" s="39"/>
      <c r="E24987" s="40" t="s">
        <v>11404</v>
      </c>
      <c r="F24987" s="40" t="s">
        <v>11404</v>
      </c>
      <c r="G24987" s="40" t="s">
        <v>11404</v>
      </c>
      <c r="H24987" s="40" t="s">
        <v>11404</v>
      </c>
    </row>
    <row r="24988">
      <c r="A24988" s="39"/>
      <c r="E24988" s="40" t="s">
        <v>11404</v>
      </c>
      <c r="F24988" s="40" t="s">
        <v>11404</v>
      </c>
      <c r="G24988" s="40" t="s">
        <v>11404</v>
      </c>
      <c r="H24988" s="40" t="s">
        <v>11404</v>
      </c>
    </row>
    <row r="24989">
      <c r="A24989" s="39"/>
      <c r="E24989" s="40" t="s">
        <v>11404</v>
      </c>
      <c r="F24989" s="40" t="s">
        <v>11404</v>
      </c>
      <c r="G24989" s="40" t="s">
        <v>11404</v>
      </c>
      <c r="H24989" s="40" t="s">
        <v>11404</v>
      </c>
    </row>
    <row r="24990">
      <c r="A24990" s="39"/>
      <c r="E24990" s="40" t="s">
        <v>11404</v>
      </c>
      <c r="F24990" s="40" t="s">
        <v>11404</v>
      </c>
      <c r="G24990" s="40" t="s">
        <v>11404</v>
      </c>
      <c r="H24990" s="40" t="s">
        <v>11404</v>
      </c>
    </row>
    <row r="24991">
      <c r="A24991" s="39"/>
      <c r="E24991" s="40" t="s">
        <v>11404</v>
      </c>
      <c r="F24991" s="40" t="s">
        <v>11404</v>
      </c>
      <c r="G24991" s="40" t="s">
        <v>11404</v>
      </c>
      <c r="H24991" s="40" t="s">
        <v>11404</v>
      </c>
    </row>
    <row r="24992">
      <c r="A24992" s="39"/>
      <c r="E24992" s="40" t="s">
        <v>11404</v>
      </c>
      <c r="F24992" s="40" t="s">
        <v>11404</v>
      </c>
      <c r="G24992" s="40" t="s">
        <v>11404</v>
      </c>
      <c r="H24992" s="40" t="s">
        <v>11404</v>
      </c>
    </row>
    <row r="24993">
      <c r="A24993" s="39"/>
      <c r="E24993" s="40" t="s">
        <v>11404</v>
      </c>
      <c r="F24993" s="40" t="s">
        <v>11404</v>
      </c>
      <c r="G24993" s="40" t="s">
        <v>11404</v>
      </c>
      <c r="H24993" s="40" t="s">
        <v>11404</v>
      </c>
    </row>
    <row r="24994">
      <c r="A24994" s="39"/>
      <c r="E24994" s="40" t="s">
        <v>11404</v>
      </c>
      <c r="F24994" s="40" t="s">
        <v>11404</v>
      </c>
      <c r="G24994" s="40" t="s">
        <v>11404</v>
      </c>
      <c r="H24994" s="40" t="s">
        <v>11404</v>
      </c>
    </row>
    <row r="24995">
      <c r="A24995" s="39"/>
      <c r="E24995" s="40" t="s">
        <v>11404</v>
      </c>
      <c r="F24995" s="40" t="s">
        <v>11404</v>
      </c>
      <c r="G24995" s="40" t="s">
        <v>11404</v>
      </c>
      <c r="H24995" s="40" t="s">
        <v>11404</v>
      </c>
    </row>
    <row r="24996">
      <c r="A24996" s="39"/>
      <c r="E24996" s="40" t="s">
        <v>11404</v>
      </c>
      <c r="F24996" s="40" t="s">
        <v>11404</v>
      </c>
      <c r="G24996" s="40" t="s">
        <v>11404</v>
      </c>
      <c r="H24996" s="40" t="s">
        <v>11404</v>
      </c>
    </row>
    <row r="24997">
      <c r="A24997" s="39"/>
      <c r="E24997" s="40" t="s">
        <v>11404</v>
      </c>
      <c r="F24997" s="40" t="s">
        <v>11404</v>
      </c>
      <c r="G24997" s="40" t="s">
        <v>11404</v>
      </c>
      <c r="H24997" s="40" t="s">
        <v>11404</v>
      </c>
    </row>
    <row r="24998">
      <c r="A24998" s="39"/>
      <c r="E24998" s="40" t="s">
        <v>11404</v>
      </c>
      <c r="F24998" s="40" t="s">
        <v>11404</v>
      </c>
      <c r="G24998" s="40" t="s">
        <v>11404</v>
      </c>
      <c r="H24998" s="40" t="s">
        <v>11404</v>
      </c>
    </row>
    <row r="24999">
      <c r="A24999" s="39"/>
      <c r="E24999" s="40" t="s">
        <v>11404</v>
      </c>
      <c r="F24999" s="40" t="s">
        <v>11404</v>
      </c>
      <c r="G24999" s="40" t="s">
        <v>11404</v>
      </c>
      <c r="H24999" s="40" t="s">
        <v>11404</v>
      </c>
    </row>
    <row r="25000">
      <c r="A25000" s="39"/>
      <c r="E25000" s="40" t="s">
        <v>11404</v>
      </c>
      <c r="F25000" s="40" t="s">
        <v>11404</v>
      </c>
      <c r="G25000" s="40" t="s">
        <v>11404</v>
      </c>
      <c r="H25000" s="40" t="s">
        <v>11404</v>
      </c>
    </row>
    <row r="25001">
      <c r="A25001" s="39"/>
      <c r="E25001" s="40" t="s">
        <v>11404</v>
      </c>
      <c r="F25001" s="40" t="s">
        <v>11404</v>
      </c>
      <c r="G25001" s="40" t="s">
        <v>11404</v>
      </c>
      <c r="H25001" s="40" t="s">
        <v>11404</v>
      </c>
    </row>
    <row r="25002">
      <c r="A25002" s="39"/>
      <c r="E25002" s="40" t="s">
        <v>11404</v>
      </c>
      <c r="F25002" s="40" t="s">
        <v>11404</v>
      </c>
      <c r="G25002" s="40" t="s">
        <v>11404</v>
      </c>
      <c r="H25002" s="40" t="s">
        <v>11404</v>
      </c>
    </row>
    <row r="25003">
      <c r="A25003" s="39"/>
      <c r="E25003" s="40" t="s">
        <v>11404</v>
      </c>
      <c r="F25003" s="40" t="s">
        <v>11404</v>
      </c>
      <c r="G25003" s="40" t="s">
        <v>11404</v>
      </c>
      <c r="H25003" s="40" t="s">
        <v>11404</v>
      </c>
    </row>
    <row r="25004">
      <c r="A25004" s="39"/>
      <c r="E25004" s="40" t="s">
        <v>11404</v>
      </c>
      <c r="F25004" s="40" t="s">
        <v>11404</v>
      </c>
      <c r="G25004" s="40" t="s">
        <v>11404</v>
      </c>
      <c r="H25004" s="40" t="s">
        <v>11404</v>
      </c>
    </row>
    <row r="25005">
      <c r="A25005" s="39"/>
      <c r="E25005" s="40" t="s">
        <v>11404</v>
      </c>
      <c r="F25005" s="40" t="s">
        <v>11404</v>
      </c>
      <c r="G25005" s="40" t="s">
        <v>11404</v>
      </c>
      <c r="H25005" s="40" t="s">
        <v>11404</v>
      </c>
    </row>
    <row r="25006">
      <c r="A25006" s="39"/>
      <c r="E25006" s="40" t="s">
        <v>11404</v>
      </c>
      <c r="F25006" s="40" t="s">
        <v>11404</v>
      </c>
      <c r="G25006" s="40" t="s">
        <v>11404</v>
      </c>
      <c r="H25006" s="40" t="s">
        <v>11404</v>
      </c>
    </row>
    <row r="25007">
      <c r="A25007" s="39"/>
      <c r="E25007" s="40" t="s">
        <v>11404</v>
      </c>
      <c r="F25007" s="40" t="s">
        <v>11404</v>
      </c>
      <c r="G25007" s="40" t="s">
        <v>11404</v>
      </c>
      <c r="H25007" s="40" t="s">
        <v>11404</v>
      </c>
    </row>
    <row r="25008">
      <c r="A25008" s="39"/>
      <c r="E25008" s="40" t="s">
        <v>11404</v>
      </c>
      <c r="F25008" s="40" t="s">
        <v>11404</v>
      </c>
      <c r="G25008" s="40" t="s">
        <v>11404</v>
      </c>
      <c r="H25008" s="40" t="s">
        <v>11404</v>
      </c>
    </row>
    <row r="25009">
      <c r="A25009" s="39"/>
      <c r="E25009" s="40" t="s">
        <v>11404</v>
      </c>
      <c r="F25009" s="40" t="s">
        <v>11404</v>
      </c>
      <c r="G25009" s="40" t="s">
        <v>11404</v>
      </c>
      <c r="H25009" s="40" t="s">
        <v>11404</v>
      </c>
    </row>
    <row r="25010">
      <c r="A25010" s="39"/>
      <c r="E25010" s="40" t="s">
        <v>11404</v>
      </c>
      <c r="F25010" s="40" t="s">
        <v>11404</v>
      </c>
      <c r="G25010" s="40" t="s">
        <v>11404</v>
      </c>
      <c r="H25010" s="40" t="s">
        <v>11404</v>
      </c>
    </row>
    <row r="25011">
      <c r="A25011" s="39"/>
      <c r="E25011" s="40" t="s">
        <v>11404</v>
      </c>
      <c r="F25011" s="40" t="s">
        <v>11404</v>
      </c>
      <c r="G25011" s="40" t="s">
        <v>11404</v>
      </c>
      <c r="H25011" s="40" t="s">
        <v>11404</v>
      </c>
    </row>
    <row r="25012">
      <c r="A25012" s="39"/>
      <c r="E25012" s="40" t="s">
        <v>11404</v>
      </c>
      <c r="F25012" s="40" t="s">
        <v>11404</v>
      </c>
      <c r="G25012" s="40" t="s">
        <v>11404</v>
      </c>
      <c r="H25012" s="40" t="s">
        <v>11404</v>
      </c>
    </row>
    <row r="25013">
      <c r="A25013" s="39"/>
      <c r="E25013" s="40" t="s">
        <v>11404</v>
      </c>
      <c r="F25013" s="40" t="s">
        <v>11404</v>
      </c>
      <c r="G25013" s="40" t="s">
        <v>11404</v>
      </c>
      <c r="H25013" s="40" t="s">
        <v>11404</v>
      </c>
    </row>
    <row r="25014">
      <c r="A25014" s="39"/>
      <c r="E25014" s="40" t="s">
        <v>11404</v>
      </c>
      <c r="F25014" s="40" t="s">
        <v>11404</v>
      </c>
      <c r="G25014" s="40" t="s">
        <v>11404</v>
      </c>
      <c r="H25014" s="40" t="s">
        <v>11404</v>
      </c>
    </row>
    <row r="25015">
      <c r="A25015" s="39"/>
      <c r="E25015" s="40" t="s">
        <v>11404</v>
      </c>
      <c r="F25015" s="40" t="s">
        <v>11404</v>
      </c>
      <c r="G25015" s="40" t="s">
        <v>11404</v>
      </c>
      <c r="H25015" s="40" t="s">
        <v>11404</v>
      </c>
    </row>
    <row r="25016">
      <c r="A25016" s="39"/>
      <c r="E25016" s="40" t="s">
        <v>11404</v>
      </c>
      <c r="F25016" s="40" t="s">
        <v>11404</v>
      </c>
      <c r="G25016" s="40" t="s">
        <v>11404</v>
      </c>
      <c r="H25016" s="40" t="s">
        <v>11404</v>
      </c>
    </row>
    <row r="25017">
      <c r="A25017" s="39"/>
      <c r="E25017" s="40" t="s">
        <v>11404</v>
      </c>
      <c r="F25017" s="40" t="s">
        <v>11404</v>
      </c>
      <c r="G25017" s="40" t="s">
        <v>11404</v>
      </c>
      <c r="H25017" s="40" t="s">
        <v>11404</v>
      </c>
    </row>
    <row r="25018">
      <c r="A25018" s="39"/>
      <c r="E25018" s="40" t="s">
        <v>11404</v>
      </c>
      <c r="F25018" s="40" t="s">
        <v>11404</v>
      </c>
      <c r="G25018" s="40" t="s">
        <v>11404</v>
      </c>
      <c r="H25018" s="40" t="s">
        <v>11404</v>
      </c>
    </row>
    <row r="25019">
      <c r="A25019" s="39"/>
      <c r="E25019" s="40" t="s">
        <v>11404</v>
      </c>
      <c r="F25019" s="40" t="s">
        <v>11404</v>
      </c>
      <c r="G25019" s="40" t="s">
        <v>11404</v>
      </c>
      <c r="H25019" s="40" t="s">
        <v>11404</v>
      </c>
    </row>
    <row r="25020">
      <c r="A25020" s="39"/>
      <c r="E25020" s="40" t="s">
        <v>11404</v>
      </c>
      <c r="F25020" s="40" t="s">
        <v>11404</v>
      </c>
      <c r="G25020" s="40" t="s">
        <v>11404</v>
      </c>
      <c r="H25020" s="40" t="s">
        <v>11404</v>
      </c>
    </row>
    <row r="25021">
      <c r="A25021" s="39"/>
      <c r="E25021" s="40" t="s">
        <v>11404</v>
      </c>
      <c r="F25021" s="40" t="s">
        <v>11404</v>
      </c>
      <c r="G25021" s="40" t="s">
        <v>11404</v>
      </c>
      <c r="H25021" s="40" t="s">
        <v>11404</v>
      </c>
    </row>
    <row r="25022">
      <c r="A25022" s="39"/>
      <c r="E25022" s="40" t="s">
        <v>11404</v>
      </c>
      <c r="F25022" s="40" t="s">
        <v>11404</v>
      </c>
      <c r="G25022" s="40" t="s">
        <v>11404</v>
      </c>
      <c r="H25022" s="40" t="s">
        <v>11404</v>
      </c>
    </row>
    <row r="25023">
      <c r="A25023" s="39"/>
      <c r="E25023" s="40" t="s">
        <v>11404</v>
      </c>
      <c r="F25023" s="40" t="s">
        <v>11404</v>
      </c>
      <c r="G25023" s="40" t="s">
        <v>11404</v>
      </c>
      <c r="H25023" s="40" t="s">
        <v>11404</v>
      </c>
    </row>
    <row r="25024">
      <c r="A25024" s="39"/>
      <c r="E25024" s="40" t="s">
        <v>11404</v>
      </c>
      <c r="F25024" s="40" t="s">
        <v>11404</v>
      </c>
      <c r="G25024" s="40" t="s">
        <v>11404</v>
      </c>
      <c r="H25024" s="40" t="s">
        <v>11404</v>
      </c>
    </row>
    <row r="25025">
      <c r="A25025" s="39"/>
      <c r="E25025" s="40" t="s">
        <v>11404</v>
      </c>
      <c r="F25025" s="40" t="s">
        <v>11404</v>
      </c>
      <c r="G25025" s="40" t="s">
        <v>11404</v>
      </c>
      <c r="H25025" s="40" t="s">
        <v>11404</v>
      </c>
    </row>
    <row r="25026">
      <c r="A25026" s="39"/>
      <c r="E25026" s="40" t="s">
        <v>11404</v>
      </c>
      <c r="F25026" s="40" t="s">
        <v>11404</v>
      </c>
      <c r="G25026" s="40" t="s">
        <v>11404</v>
      </c>
      <c r="H25026" s="40" t="s">
        <v>11404</v>
      </c>
    </row>
    <row r="25027">
      <c r="A25027" s="39"/>
      <c r="E25027" s="40" t="s">
        <v>11404</v>
      </c>
      <c r="F25027" s="40" t="s">
        <v>11404</v>
      </c>
      <c r="G25027" s="40" t="s">
        <v>11404</v>
      </c>
      <c r="H25027" s="40" t="s">
        <v>11404</v>
      </c>
    </row>
    <row r="25028">
      <c r="A25028" s="39"/>
      <c r="E25028" s="40" t="s">
        <v>11404</v>
      </c>
      <c r="F25028" s="40" t="s">
        <v>11404</v>
      </c>
      <c r="G25028" s="40" t="s">
        <v>11404</v>
      </c>
      <c r="H25028" s="40" t="s">
        <v>11404</v>
      </c>
    </row>
    <row r="25029">
      <c r="A25029" s="39"/>
      <c r="E25029" s="40" t="s">
        <v>11404</v>
      </c>
      <c r="F25029" s="40" t="s">
        <v>11404</v>
      </c>
      <c r="G25029" s="40" t="s">
        <v>11404</v>
      </c>
      <c r="H25029" s="40" t="s">
        <v>11404</v>
      </c>
    </row>
    <row r="25030">
      <c r="A25030" s="39"/>
      <c r="E25030" s="40" t="s">
        <v>11404</v>
      </c>
      <c r="F25030" s="40" t="s">
        <v>11404</v>
      </c>
      <c r="G25030" s="40" t="s">
        <v>11404</v>
      </c>
      <c r="H25030" s="40" t="s">
        <v>11404</v>
      </c>
    </row>
    <row r="25031">
      <c r="A25031" s="39"/>
      <c r="E25031" s="40" t="s">
        <v>11404</v>
      </c>
      <c r="F25031" s="40" t="s">
        <v>11404</v>
      </c>
      <c r="G25031" s="40" t="s">
        <v>11404</v>
      </c>
      <c r="H25031" s="40" t="s">
        <v>11404</v>
      </c>
    </row>
    <row r="25032">
      <c r="A25032" s="39"/>
      <c r="E25032" s="40" t="s">
        <v>11404</v>
      </c>
      <c r="F25032" s="40" t="s">
        <v>11404</v>
      </c>
      <c r="G25032" s="40" t="s">
        <v>11404</v>
      </c>
      <c r="H25032" s="40" t="s">
        <v>11404</v>
      </c>
    </row>
    <row r="25033">
      <c r="A25033" s="39"/>
      <c r="E25033" s="40" t="s">
        <v>11404</v>
      </c>
      <c r="F25033" s="40" t="s">
        <v>11404</v>
      </c>
      <c r="G25033" s="40" t="s">
        <v>11404</v>
      </c>
      <c r="H25033" s="40" t="s">
        <v>11404</v>
      </c>
    </row>
    <row r="25034">
      <c r="A25034" s="39"/>
      <c r="E25034" s="40" t="s">
        <v>11404</v>
      </c>
      <c r="F25034" s="40" t="s">
        <v>11404</v>
      </c>
      <c r="G25034" s="40" t="s">
        <v>11404</v>
      </c>
      <c r="H25034" s="40" t="s">
        <v>11404</v>
      </c>
    </row>
    <row r="25035">
      <c r="A25035" s="39"/>
      <c r="E25035" s="40" t="s">
        <v>11404</v>
      </c>
      <c r="F25035" s="40" t="s">
        <v>11404</v>
      </c>
      <c r="G25035" s="40" t="s">
        <v>11404</v>
      </c>
      <c r="H25035" s="40" t="s">
        <v>11404</v>
      </c>
    </row>
    <row r="25036">
      <c r="A25036" s="39"/>
      <c r="E25036" s="40" t="s">
        <v>11404</v>
      </c>
      <c r="F25036" s="40" t="s">
        <v>11404</v>
      </c>
      <c r="G25036" s="40" t="s">
        <v>11404</v>
      </c>
      <c r="H25036" s="40" t="s">
        <v>11404</v>
      </c>
    </row>
    <row r="25037">
      <c r="A25037" s="39"/>
      <c r="E25037" s="40" t="s">
        <v>11404</v>
      </c>
      <c r="F25037" s="40" t="s">
        <v>11404</v>
      </c>
      <c r="G25037" s="40" t="s">
        <v>11404</v>
      </c>
      <c r="H25037" s="40" t="s">
        <v>11404</v>
      </c>
    </row>
    <row r="25038">
      <c r="A25038" s="39"/>
      <c r="E25038" s="40" t="s">
        <v>11404</v>
      </c>
      <c r="F25038" s="40" t="s">
        <v>11404</v>
      </c>
      <c r="G25038" s="40" t="s">
        <v>11404</v>
      </c>
      <c r="H25038" s="40" t="s">
        <v>11404</v>
      </c>
    </row>
    <row r="25039">
      <c r="A25039" s="39"/>
      <c r="E25039" s="40" t="s">
        <v>11404</v>
      </c>
      <c r="F25039" s="40" t="s">
        <v>11404</v>
      </c>
      <c r="G25039" s="40" t="s">
        <v>11404</v>
      </c>
      <c r="H25039" s="40" t="s">
        <v>11404</v>
      </c>
    </row>
    <row r="25040">
      <c r="A25040" s="39"/>
      <c r="E25040" s="40" t="s">
        <v>11404</v>
      </c>
      <c r="F25040" s="40" t="s">
        <v>11404</v>
      </c>
      <c r="G25040" s="40" t="s">
        <v>11404</v>
      </c>
      <c r="H25040" s="40" t="s">
        <v>11404</v>
      </c>
    </row>
    <row r="25041">
      <c r="A25041" s="39"/>
      <c r="E25041" s="40" t="s">
        <v>11404</v>
      </c>
      <c r="F25041" s="40" t="s">
        <v>11404</v>
      </c>
      <c r="G25041" s="40" t="s">
        <v>11404</v>
      </c>
      <c r="H25041" s="40" t="s">
        <v>11404</v>
      </c>
    </row>
    <row r="25042">
      <c r="A25042" s="39"/>
      <c r="E25042" s="40" t="s">
        <v>11404</v>
      </c>
      <c r="F25042" s="40" t="s">
        <v>11404</v>
      </c>
      <c r="G25042" s="40" t="s">
        <v>11404</v>
      </c>
      <c r="H25042" s="40" t="s">
        <v>11404</v>
      </c>
    </row>
    <row r="25043">
      <c r="A25043" s="39"/>
      <c r="E25043" s="40" t="s">
        <v>11404</v>
      </c>
      <c r="F25043" s="40" t="s">
        <v>11404</v>
      </c>
      <c r="G25043" s="40" t="s">
        <v>11404</v>
      </c>
      <c r="H25043" s="40" t="s">
        <v>11404</v>
      </c>
    </row>
    <row r="25044">
      <c r="A25044" s="39"/>
      <c r="E25044" s="40" t="s">
        <v>11404</v>
      </c>
      <c r="F25044" s="40" t="s">
        <v>11404</v>
      </c>
      <c r="G25044" s="40" t="s">
        <v>11404</v>
      </c>
      <c r="H25044" s="40" t="s">
        <v>11404</v>
      </c>
    </row>
    <row r="25045">
      <c r="A25045" s="39"/>
      <c r="E25045" s="40" t="s">
        <v>11404</v>
      </c>
      <c r="F25045" s="40" t="s">
        <v>11404</v>
      </c>
      <c r="G25045" s="40" t="s">
        <v>11404</v>
      </c>
      <c r="H25045" s="40" t="s">
        <v>11404</v>
      </c>
    </row>
    <row r="25046">
      <c r="A25046" s="39"/>
      <c r="E25046" s="40" t="s">
        <v>11404</v>
      </c>
      <c r="F25046" s="40" t="s">
        <v>11404</v>
      </c>
      <c r="G25046" s="40" t="s">
        <v>11404</v>
      </c>
      <c r="H25046" s="40" t="s">
        <v>11404</v>
      </c>
    </row>
    <row r="25047">
      <c r="A25047" s="39"/>
      <c r="E25047" s="40" t="s">
        <v>11404</v>
      </c>
      <c r="F25047" s="40" t="s">
        <v>11404</v>
      </c>
      <c r="G25047" s="40" t="s">
        <v>11404</v>
      </c>
      <c r="H25047" s="40" t="s">
        <v>11404</v>
      </c>
    </row>
    <row r="25048">
      <c r="A25048" s="39"/>
      <c r="E25048" s="40" t="s">
        <v>11404</v>
      </c>
      <c r="F25048" s="40" t="s">
        <v>11404</v>
      </c>
      <c r="G25048" s="40" t="s">
        <v>11404</v>
      </c>
      <c r="H25048" s="40" t="s">
        <v>11404</v>
      </c>
    </row>
    <row r="25049">
      <c r="A25049" s="39"/>
      <c r="E25049" s="40" t="s">
        <v>11404</v>
      </c>
      <c r="F25049" s="40" t="s">
        <v>11404</v>
      </c>
      <c r="G25049" s="40" t="s">
        <v>11404</v>
      </c>
      <c r="H25049" s="40" t="s">
        <v>11404</v>
      </c>
    </row>
    <row r="25050">
      <c r="A25050" s="39"/>
      <c r="E25050" s="40" t="s">
        <v>11404</v>
      </c>
      <c r="F25050" s="40" t="s">
        <v>11404</v>
      </c>
      <c r="G25050" s="40" t="s">
        <v>11404</v>
      </c>
      <c r="H25050" s="40" t="s">
        <v>11404</v>
      </c>
    </row>
    <row r="25051">
      <c r="A25051" s="39"/>
      <c r="E25051" s="40" t="s">
        <v>11404</v>
      </c>
      <c r="F25051" s="40" t="s">
        <v>11404</v>
      </c>
      <c r="G25051" s="40" t="s">
        <v>11404</v>
      </c>
      <c r="H25051" s="40" t="s">
        <v>11404</v>
      </c>
    </row>
    <row r="25052">
      <c r="A25052" s="39"/>
      <c r="E25052" s="40" t="s">
        <v>11404</v>
      </c>
      <c r="F25052" s="40" t="s">
        <v>11404</v>
      </c>
      <c r="G25052" s="40" t="s">
        <v>11404</v>
      </c>
      <c r="H25052" s="40" t="s">
        <v>11404</v>
      </c>
    </row>
    <row r="25053">
      <c r="A25053" s="39"/>
      <c r="E25053" s="40" t="s">
        <v>11404</v>
      </c>
      <c r="F25053" s="40" t="s">
        <v>11404</v>
      </c>
      <c r="G25053" s="40" t="s">
        <v>11404</v>
      </c>
      <c r="H25053" s="40" t="s">
        <v>11404</v>
      </c>
    </row>
    <row r="25054">
      <c r="A25054" s="39"/>
      <c r="E25054" s="40" t="s">
        <v>11404</v>
      </c>
      <c r="F25054" s="40" t="s">
        <v>11404</v>
      </c>
      <c r="G25054" s="40" t="s">
        <v>11404</v>
      </c>
      <c r="H25054" s="40" t="s">
        <v>11404</v>
      </c>
    </row>
    <row r="25055">
      <c r="A25055" s="39"/>
      <c r="E25055" s="40" t="s">
        <v>11404</v>
      </c>
      <c r="F25055" s="40" t="s">
        <v>11404</v>
      </c>
      <c r="G25055" s="40" t="s">
        <v>11404</v>
      </c>
      <c r="H25055" s="40" t="s">
        <v>11404</v>
      </c>
    </row>
    <row r="25056">
      <c r="A25056" s="39"/>
      <c r="E25056" s="40" t="s">
        <v>11404</v>
      </c>
      <c r="F25056" s="40" t="s">
        <v>11404</v>
      </c>
      <c r="G25056" s="40" t="s">
        <v>11404</v>
      </c>
      <c r="H25056" s="40" t="s">
        <v>11404</v>
      </c>
    </row>
    <row r="25057">
      <c r="A25057" s="39"/>
      <c r="E25057" s="40" t="s">
        <v>11404</v>
      </c>
      <c r="F25057" s="40" t="s">
        <v>11404</v>
      </c>
      <c r="G25057" s="40" t="s">
        <v>11404</v>
      </c>
      <c r="H25057" s="40" t="s">
        <v>11404</v>
      </c>
    </row>
    <row r="25058">
      <c r="A25058" s="39"/>
      <c r="E25058" s="40" t="s">
        <v>11404</v>
      </c>
      <c r="F25058" s="40" t="s">
        <v>11404</v>
      </c>
      <c r="G25058" s="40" t="s">
        <v>11404</v>
      </c>
      <c r="H25058" s="40" t="s">
        <v>11404</v>
      </c>
    </row>
    <row r="25059">
      <c r="A25059" s="39"/>
      <c r="E25059" s="40" t="s">
        <v>11404</v>
      </c>
      <c r="F25059" s="40" t="s">
        <v>11404</v>
      </c>
      <c r="G25059" s="40" t="s">
        <v>11404</v>
      </c>
      <c r="H25059" s="40" t="s">
        <v>11404</v>
      </c>
    </row>
    <row r="25060">
      <c r="A25060" s="39"/>
      <c r="E25060" s="40" t="s">
        <v>11404</v>
      </c>
      <c r="F25060" s="40" t="s">
        <v>11404</v>
      </c>
      <c r="G25060" s="40" t="s">
        <v>11404</v>
      </c>
      <c r="H25060" s="40" t="s">
        <v>11404</v>
      </c>
    </row>
    <row r="25061">
      <c r="A25061" s="39"/>
      <c r="E25061" s="40" t="s">
        <v>11404</v>
      </c>
      <c r="F25061" s="40" t="s">
        <v>11404</v>
      </c>
      <c r="G25061" s="40" t="s">
        <v>11404</v>
      </c>
      <c r="H25061" s="40" t="s">
        <v>11404</v>
      </c>
    </row>
    <row r="25062">
      <c r="A25062" s="39"/>
      <c r="E25062" s="40" t="s">
        <v>11404</v>
      </c>
      <c r="F25062" s="40" t="s">
        <v>11404</v>
      </c>
      <c r="G25062" s="40" t="s">
        <v>11404</v>
      </c>
      <c r="H25062" s="40" t="s">
        <v>11404</v>
      </c>
    </row>
    <row r="25063">
      <c r="A25063" s="39"/>
      <c r="E25063" s="40" t="s">
        <v>11404</v>
      </c>
      <c r="F25063" s="40" t="s">
        <v>11404</v>
      </c>
      <c r="G25063" s="40" t="s">
        <v>11404</v>
      </c>
      <c r="H25063" s="40" t="s">
        <v>11404</v>
      </c>
    </row>
    <row r="25064">
      <c r="A25064" s="39"/>
      <c r="E25064" s="40" t="s">
        <v>11404</v>
      </c>
      <c r="F25064" s="40" t="s">
        <v>11404</v>
      </c>
      <c r="G25064" s="40" t="s">
        <v>11404</v>
      </c>
      <c r="H25064" s="40" t="s">
        <v>11404</v>
      </c>
    </row>
    <row r="25065">
      <c r="A25065" s="39"/>
      <c r="E25065" s="40" t="s">
        <v>11404</v>
      </c>
      <c r="F25065" s="40" t="s">
        <v>11404</v>
      </c>
      <c r="G25065" s="40" t="s">
        <v>11404</v>
      </c>
      <c r="H25065" s="40" t="s">
        <v>11404</v>
      </c>
    </row>
    <row r="25066">
      <c r="A25066" s="39"/>
      <c r="E25066" s="40" t="s">
        <v>11404</v>
      </c>
      <c r="F25066" s="40" t="s">
        <v>11404</v>
      </c>
      <c r="G25066" s="40" t="s">
        <v>11404</v>
      </c>
      <c r="H25066" s="40" t="s">
        <v>11404</v>
      </c>
    </row>
    <row r="25067">
      <c r="A25067" s="39"/>
      <c r="E25067" s="40" t="s">
        <v>11404</v>
      </c>
      <c r="F25067" s="40" t="s">
        <v>11404</v>
      </c>
      <c r="G25067" s="40" t="s">
        <v>11404</v>
      </c>
      <c r="H25067" s="40" t="s">
        <v>11404</v>
      </c>
    </row>
    <row r="25068">
      <c r="A25068" s="39"/>
      <c r="E25068" s="40" t="s">
        <v>11404</v>
      </c>
      <c r="F25068" s="40" t="s">
        <v>11404</v>
      </c>
      <c r="G25068" s="40" t="s">
        <v>11404</v>
      </c>
      <c r="H25068" s="40" t="s">
        <v>11404</v>
      </c>
    </row>
    <row r="25069">
      <c r="A25069" s="39"/>
      <c r="E25069" s="40" t="s">
        <v>11404</v>
      </c>
      <c r="F25069" s="40" t="s">
        <v>11404</v>
      </c>
      <c r="G25069" s="40" t="s">
        <v>11404</v>
      </c>
      <c r="H25069" s="40" t="s">
        <v>11404</v>
      </c>
    </row>
    <row r="25070">
      <c r="A25070" s="39"/>
      <c r="E25070" s="40" t="s">
        <v>11404</v>
      </c>
      <c r="F25070" s="40" t="s">
        <v>11404</v>
      </c>
      <c r="G25070" s="40" t="s">
        <v>11404</v>
      </c>
      <c r="H25070" s="40" t="s">
        <v>11404</v>
      </c>
    </row>
    <row r="25071">
      <c r="A25071" s="39"/>
      <c r="E25071" s="40" t="s">
        <v>11404</v>
      </c>
      <c r="F25071" s="40" t="s">
        <v>11404</v>
      </c>
      <c r="G25071" s="40" t="s">
        <v>11404</v>
      </c>
      <c r="H25071" s="40" t="s">
        <v>11404</v>
      </c>
    </row>
    <row r="25072">
      <c r="A25072" s="39"/>
      <c r="E25072" s="40" t="s">
        <v>11404</v>
      </c>
      <c r="F25072" s="40" t="s">
        <v>11404</v>
      </c>
      <c r="G25072" s="40" t="s">
        <v>11404</v>
      </c>
      <c r="H25072" s="40" t="s">
        <v>11404</v>
      </c>
    </row>
    <row r="25073">
      <c r="A25073" s="39"/>
      <c r="E25073" s="40" t="s">
        <v>11404</v>
      </c>
      <c r="F25073" s="40" t="s">
        <v>11404</v>
      </c>
      <c r="G25073" s="40" t="s">
        <v>11404</v>
      </c>
      <c r="H25073" s="40" t="s">
        <v>11404</v>
      </c>
    </row>
    <row r="25074">
      <c r="A25074" s="39"/>
      <c r="E25074" s="40" t="s">
        <v>11404</v>
      </c>
      <c r="F25074" s="40" t="s">
        <v>11404</v>
      </c>
      <c r="G25074" s="40" t="s">
        <v>11404</v>
      </c>
      <c r="H25074" s="40" t="s">
        <v>11404</v>
      </c>
    </row>
    <row r="25075">
      <c r="A25075" s="39"/>
      <c r="E25075" s="40" t="s">
        <v>11404</v>
      </c>
      <c r="F25075" s="40" t="s">
        <v>11404</v>
      </c>
      <c r="G25075" s="40" t="s">
        <v>11404</v>
      </c>
      <c r="H25075" s="40" t="s">
        <v>11404</v>
      </c>
    </row>
    <row r="25076">
      <c r="A25076" s="39"/>
      <c r="E25076" s="40" t="s">
        <v>11404</v>
      </c>
      <c r="F25076" s="40" t="s">
        <v>11404</v>
      </c>
      <c r="G25076" s="40" t="s">
        <v>11404</v>
      </c>
      <c r="H25076" s="40" t="s">
        <v>11404</v>
      </c>
    </row>
    <row r="25077">
      <c r="A25077" s="39"/>
      <c r="E25077" s="40" t="s">
        <v>11404</v>
      </c>
      <c r="F25077" s="40" t="s">
        <v>11404</v>
      </c>
      <c r="G25077" s="40" t="s">
        <v>11404</v>
      </c>
      <c r="H25077" s="40" t="s">
        <v>11404</v>
      </c>
    </row>
    <row r="25078">
      <c r="A25078" s="39"/>
      <c r="E25078" s="40" t="s">
        <v>11404</v>
      </c>
      <c r="F25078" s="40" t="s">
        <v>11404</v>
      </c>
      <c r="G25078" s="40" t="s">
        <v>11404</v>
      </c>
      <c r="H25078" s="40" t="s">
        <v>11404</v>
      </c>
    </row>
    <row r="25079">
      <c r="A25079" s="39"/>
      <c r="E25079" s="40" t="s">
        <v>11404</v>
      </c>
      <c r="F25079" s="40" t="s">
        <v>11404</v>
      </c>
      <c r="G25079" s="40" t="s">
        <v>11404</v>
      </c>
      <c r="H25079" s="40" t="s">
        <v>11404</v>
      </c>
    </row>
    <row r="25080">
      <c r="A25080" s="39"/>
      <c r="E25080" s="40" t="s">
        <v>11404</v>
      </c>
      <c r="F25080" s="40" t="s">
        <v>11404</v>
      </c>
      <c r="G25080" s="40" t="s">
        <v>11404</v>
      </c>
      <c r="H25080" s="40" t="s">
        <v>11404</v>
      </c>
    </row>
    <row r="25081">
      <c r="A25081" s="39"/>
      <c r="E25081" s="40" t="s">
        <v>11404</v>
      </c>
      <c r="F25081" s="40" t="s">
        <v>11404</v>
      </c>
      <c r="G25081" s="40" t="s">
        <v>11404</v>
      </c>
      <c r="H25081" s="40" t="s">
        <v>11404</v>
      </c>
    </row>
    <row r="25082">
      <c r="A25082" s="39"/>
      <c r="E25082" s="40" t="s">
        <v>11404</v>
      </c>
      <c r="F25082" s="40" t="s">
        <v>11404</v>
      </c>
      <c r="G25082" s="40" t="s">
        <v>11404</v>
      </c>
      <c r="H25082" s="40" t="s">
        <v>11404</v>
      </c>
    </row>
    <row r="25083">
      <c r="A25083" s="39"/>
      <c r="E25083" s="40" t="s">
        <v>11404</v>
      </c>
      <c r="F25083" s="40" t="s">
        <v>11404</v>
      </c>
      <c r="G25083" s="40" t="s">
        <v>11404</v>
      </c>
      <c r="H25083" s="40" t="s">
        <v>11404</v>
      </c>
    </row>
    <row r="25084">
      <c r="A25084" s="39"/>
      <c r="E25084" s="40" t="s">
        <v>11404</v>
      </c>
      <c r="F25084" s="40" t="s">
        <v>11404</v>
      </c>
      <c r="G25084" s="40" t="s">
        <v>11404</v>
      </c>
      <c r="H25084" s="40" t="s">
        <v>11404</v>
      </c>
    </row>
    <row r="25085">
      <c r="A25085" s="39"/>
      <c r="E25085" s="40" t="s">
        <v>11404</v>
      </c>
      <c r="F25085" s="40" t="s">
        <v>11404</v>
      </c>
      <c r="G25085" s="40" t="s">
        <v>11404</v>
      </c>
      <c r="H25085" s="40" t="s">
        <v>11404</v>
      </c>
    </row>
    <row r="25086">
      <c r="A25086" s="39"/>
      <c r="E25086" s="40" t="s">
        <v>11404</v>
      </c>
      <c r="F25086" s="40" t="s">
        <v>11404</v>
      </c>
      <c r="G25086" s="40" t="s">
        <v>11404</v>
      </c>
      <c r="H25086" s="40" t="s">
        <v>11404</v>
      </c>
    </row>
    <row r="25087">
      <c r="A25087" s="39"/>
      <c r="E25087" s="40" t="s">
        <v>11404</v>
      </c>
      <c r="F25087" s="40" t="s">
        <v>11404</v>
      </c>
      <c r="G25087" s="40" t="s">
        <v>11404</v>
      </c>
      <c r="H25087" s="40" t="s">
        <v>11404</v>
      </c>
    </row>
    <row r="25088">
      <c r="A25088" s="39"/>
      <c r="E25088" s="40" t="s">
        <v>11404</v>
      </c>
      <c r="F25088" s="40" t="s">
        <v>11404</v>
      </c>
      <c r="G25088" s="40" t="s">
        <v>11404</v>
      </c>
      <c r="H25088" s="40" t="s">
        <v>11404</v>
      </c>
    </row>
    <row r="25089">
      <c r="A25089" s="39"/>
      <c r="E25089" s="40" t="s">
        <v>11404</v>
      </c>
      <c r="F25089" s="40" t="s">
        <v>11404</v>
      </c>
      <c r="G25089" s="40" t="s">
        <v>11404</v>
      </c>
      <c r="H25089" s="40" t="s">
        <v>11404</v>
      </c>
    </row>
    <row r="25090">
      <c r="A25090" s="39"/>
      <c r="E25090" s="40" t="s">
        <v>11404</v>
      </c>
      <c r="F25090" s="40" t="s">
        <v>11404</v>
      </c>
      <c r="G25090" s="40" t="s">
        <v>11404</v>
      </c>
      <c r="H25090" s="40" t="s">
        <v>11404</v>
      </c>
    </row>
    <row r="25091">
      <c r="A25091" s="39"/>
      <c r="E25091" s="40" t="s">
        <v>11404</v>
      </c>
      <c r="F25091" s="40" t="s">
        <v>11404</v>
      </c>
      <c r="G25091" s="40" t="s">
        <v>11404</v>
      </c>
      <c r="H25091" s="40" t="s">
        <v>11404</v>
      </c>
    </row>
    <row r="25092">
      <c r="A25092" s="39"/>
      <c r="E25092" s="40" t="s">
        <v>11404</v>
      </c>
      <c r="F25092" s="40" t="s">
        <v>11404</v>
      </c>
      <c r="G25092" s="40" t="s">
        <v>11404</v>
      </c>
      <c r="H25092" s="40" t="s">
        <v>11404</v>
      </c>
    </row>
    <row r="25093">
      <c r="A25093" s="39"/>
      <c r="E25093" s="40" t="s">
        <v>11404</v>
      </c>
      <c r="F25093" s="40" t="s">
        <v>11404</v>
      </c>
      <c r="G25093" s="40" t="s">
        <v>11404</v>
      </c>
      <c r="H25093" s="40" t="s">
        <v>11404</v>
      </c>
    </row>
    <row r="25094">
      <c r="A25094" s="39"/>
      <c r="E25094" s="40" t="s">
        <v>11404</v>
      </c>
      <c r="F25094" s="40" t="s">
        <v>11404</v>
      </c>
      <c r="G25094" s="40" t="s">
        <v>11404</v>
      </c>
      <c r="H25094" s="40" t="s">
        <v>11404</v>
      </c>
    </row>
    <row r="25095">
      <c r="A25095" s="39"/>
      <c r="E25095" s="40" t="s">
        <v>11404</v>
      </c>
      <c r="F25095" s="40" t="s">
        <v>11404</v>
      </c>
      <c r="G25095" s="40" t="s">
        <v>11404</v>
      </c>
      <c r="H25095" s="40" t="s">
        <v>11404</v>
      </c>
    </row>
    <row r="25096">
      <c r="A25096" s="39"/>
      <c r="E25096" s="40" t="s">
        <v>11404</v>
      </c>
      <c r="F25096" s="40" t="s">
        <v>11404</v>
      </c>
      <c r="G25096" s="40" t="s">
        <v>11404</v>
      </c>
      <c r="H25096" s="40" t="s">
        <v>11404</v>
      </c>
    </row>
    <row r="25097">
      <c r="A25097" s="39"/>
      <c r="E25097" s="40" t="s">
        <v>11404</v>
      </c>
      <c r="F25097" s="40" t="s">
        <v>11404</v>
      </c>
      <c r="G25097" s="40" t="s">
        <v>11404</v>
      </c>
      <c r="H25097" s="40" t="s">
        <v>11404</v>
      </c>
    </row>
    <row r="25098">
      <c r="A25098" s="39"/>
      <c r="E25098" s="40" t="s">
        <v>11404</v>
      </c>
      <c r="F25098" s="40" t="s">
        <v>11404</v>
      </c>
      <c r="G25098" s="40" t="s">
        <v>11404</v>
      </c>
      <c r="H25098" s="40" t="s">
        <v>11404</v>
      </c>
    </row>
    <row r="25099">
      <c r="A25099" s="39"/>
      <c r="E25099" s="40" t="s">
        <v>11404</v>
      </c>
      <c r="F25099" s="40" t="s">
        <v>11404</v>
      </c>
      <c r="G25099" s="40" t="s">
        <v>11404</v>
      </c>
      <c r="H25099" s="40" t="s">
        <v>11404</v>
      </c>
    </row>
    <row r="25100">
      <c r="A25100" s="39"/>
      <c r="E25100" s="40" t="s">
        <v>11404</v>
      </c>
      <c r="F25100" s="40" t="s">
        <v>11404</v>
      </c>
      <c r="G25100" s="40" t="s">
        <v>11404</v>
      </c>
      <c r="H25100" s="40" t="s">
        <v>11404</v>
      </c>
    </row>
    <row r="25101">
      <c r="A25101" s="39"/>
      <c r="E25101" s="40" t="s">
        <v>11404</v>
      </c>
      <c r="F25101" s="40" t="s">
        <v>11404</v>
      </c>
      <c r="G25101" s="40" t="s">
        <v>11404</v>
      </c>
      <c r="H25101" s="40" t="s">
        <v>11404</v>
      </c>
    </row>
    <row r="25102">
      <c r="A25102" s="39"/>
      <c r="E25102" s="40" t="s">
        <v>11404</v>
      </c>
      <c r="F25102" s="40" t="s">
        <v>11404</v>
      </c>
      <c r="G25102" s="40" t="s">
        <v>11404</v>
      </c>
      <c r="H25102" s="40" t="s">
        <v>11404</v>
      </c>
    </row>
    <row r="25103">
      <c r="A25103" s="39"/>
      <c r="E25103" s="40" t="s">
        <v>11404</v>
      </c>
      <c r="F25103" s="40" t="s">
        <v>11404</v>
      </c>
      <c r="G25103" s="40" t="s">
        <v>11404</v>
      </c>
      <c r="H25103" s="40" t="s">
        <v>11404</v>
      </c>
    </row>
    <row r="25104">
      <c r="A25104" s="39"/>
      <c r="E25104" s="40" t="s">
        <v>11404</v>
      </c>
      <c r="F25104" s="40" t="s">
        <v>11404</v>
      </c>
      <c r="G25104" s="40" t="s">
        <v>11404</v>
      </c>
      <c r="H25104" s="40" t="s">
        <v>11404</v>
      </c>
    </row>
    <row r="25105">
      <c r="A25105" s="39"/>
      <c r="E25105" s="40" t="s">
        <v>11404</v>
      </c>
      <c r="F25105" s="40" t="s">
        <v>11404</v>
      </c>
      <c r="G25105" s="40" t="s">
        <v>11404</v>
      </c>
      <c r="H25105" s="40" t="s">
        <v>11404</v>
      </c>
    </row>
    <row r="25106">
      <c r="A25106" s="39"/>
      <c r="E25106" s="40" t="s">
        <v>11404</v>
      </c>
      <c r="F25106" s="40" t="s">
        <v>11404</v>
      </c>
      <c r="G25106" s="40" t="s">
        <v>11404</v>
      </c>
      <c r="H25106" s="40" t="s">
        <v>11404</v>
      </c>
    </row>
    <row r="25107">
      <c r="A25107" s="39"/>
      <c r="E25107" s="40" t="s">
        <v>11404</v>
      </c>
      <c r="F25107" s="40" t="s">
        <v>11404</v>
      </c>
      <c r="G25107" s="40" t="s">
        <v>11404</v>
      </c>
      <c r="H25107" s="40" t="s">
        <v>11404</v>
      </c>
    </row>
    <row r="25108">
      <c r="A25108" s="39"/>
      <c r="E25108" s="40" t="s">
        <v>11404</v>
      </c>
      <c r="F25108" s="40" t="s">
        <v>11404</v>
      </c>
      <c r="G25108" s="40" t="s">
        <v>11404</v>
      </c>
      <c r="H25108" s="40" t="s">
        <v>11404</v>
      </c>
    </row>
    <row r="25109">
      <c r="A25109" s="39"/>
      <c r="E25109" s="40" t="s">
        <v>11404</v>
      </c>
      <c r="F25109" s="40" t="s">
        <v>11404</v>
      </c>
      <c r="G25109" s="40" t="s">
        <v>11404</v>
      </c>
      <c r="H25109" s="40" t="s">
        <v>11404</v>
      </c>
    </row>
    <row r="25110">
      <c r="A25110" s="39"/>
      <c r="E25110" s="40" t="s">
        <v>11404</v>
      </c>
      <c r="F25110" s="40" t="s">
        <v>11404</v>
      </c>
      <c r="G25110" s="40" t="s">
        <v>11404</v>
      </c>
      <c r="H25110" s="40" t="s">
        <v>11404</v>
      </c>
    </row>
    <row r="25111">
      <c r="A25111" s="39"/>
      <c r="E25111" s="40" t="s">
        <v>11404</v>
      </c>
      <c r="F25111" s="40" t="s">
        <v>11404</v>
      </c>
      <c r="G25111" s="40" t="s">
        <v>11404</v>
      </c>
      <c r="H25111" s="40" t="s">
        <v>11404</v>
      </c>
    </row>
    <row r="25112">
      <c r="A25112" s="39"/>
      <c r="E25112" s="40" t="s">
        <v>11404</v>
      </c>
      <c r="F25112" s="40" t="s">
        <v>11404</v>
      </c>
      <c r="G25112" s="40" t="s">
        <v>11404</v>
      </c>
      <c r="H25112" s="40" t="s">
        <v>11404</v>
      </c>
    </row>
    <row r="25113">
      <c r="A25113" s="39"/>
      <c r="E25113" s="40" t="s">
        <v>11404</v>
      </c>
      <c r="F25113" s="40" t="s">
        <v>11404</v>
      </c>
      <c r="G25113" s="40" t="s">
        <v>11404</v>
      </c>
      <c r="H25113" s="40" t="s">
        <v>11404</v>
      </c>
    </row>
    <row r="25114">
      <c r="A25114" s="39"/>
      <c r="E25114" s="40" t="s">
        <v>11404</v>
      </c>
      <c r="F25114" s="40" t="s">
        <v>11404</v>
      </c>
      <c r="G25114" s="40" t="s">
        <v>11404</v>
      </c>
      <c r="H25114" s="40" t="s">
        <v>11404</v>
      </c>
    </row>
    <row r="25115">
      <c r="A25115" s="39"/>
      <c r="E25115" s="40" t="s">
        <v>11404</v>
      </c>
      <c r="F25115" s="40" t="s">
        <v>11404</v>
      </c>
      <c r="G25115" s="40" t="s">
        <v>11404</v>
      </c>
      <c r="H25115" s="40" t="s">
        <v>11404</v>
      </c>
    </row>
    <row r="25116">
      <c r="A25116" s="39"/>
      <c r="E25116" s="40" t="s">
        <v>11404</v>
      </c>
      <c r="F25116" s="40" t="s">
        <v>11404</v>
      </c>
      <c r="G25116" s="40" t="s">
        <v>11404</v>
      </c>
      <c r="H25116" s="40" t="s">
        <v>11404</v>
      </c>
    </row>
    <row r="25117">
      <c r="A25117" s="39"/>
      <c r="E25117" s="40" t="s">
        <v>11404</v>
      </c>
      <c r="F25117" s="40" t="s">
        <v>11404</v>
      </c>
      <c r="G25117" s="40" t="s">
        <v>11404</v>
      </c>
      <c r="H25117" s="40" t="s">
        <v>11404</v>
      </c>
    </row>
    <row r="25118">
      <c r="A25118" s="39"/>
      <c r="E25118" s="40" t="s">
        <v>11404</v>
      </c>
      <c r="F25118" s="40" t="s">
        <v>11404</v>
      </c>
      <c r="G25118" s="40" t="s">
        <v>11404</v>
      </c>
      <c r="H25118" s="40" t="s">
        <v>11404</v>
      </c>
    </row>
    <row r="25119">
      <c r="A25119" s="39"/>
      <c r="E25119" s="40" t="s">
        <v>11404</v>
      </c>
      <c r="F25119" s="40" t="s">
        <v>11404</v>
      </c>
      <c r="G25119" s="40" t="s">
        <v>11404</v>
      </c>
      <c r="H25119" s="40" t="s">
        <v>11404</v>
      </c>
    </row>
    <row r="25120">
      <c r="A25120" s="39"/>
      <c r="E25120" s="40" t="s">
        <v>11404</v>
      </c>
      <c r="F25120" s="40" t="s">
        <v>11404</v>
      </c>
      <c r="G25120" s="40" t="s">
        <v>11404</v>
      </c>
      <c r="H25120" s="40" t="s">
        <v>11404</v>
      </c>
    </row>
    <row r="25121">
      <c r="A25121" s="39"/>
      <c r="E25121" s="40" t="s">
        <v>11404</v>
      </c>
      <c r="F25121" s="40" t="s">
        <v>11404</v>
      </c>
      <c r="G25121" s="40" t="s">
        <v>11404</v>
      </c>
      <c r="H25121" s="40" t="s">
        <v>11404</v>
      </c>
    </row>
    <row r="25122">
      <c r="A25122" s="39"/>
      <c r="E25122" s="40" t="s">
        <v>11404</v>
      </c>
      <c r="F25122" s="40" t="s">
        <v>11404</v>
      </c>
      <c r="G25122" s="40" t="s">
        <v>11404</v>
      </c>
      <c r="H25122" s="40" t="s">
        <v>11404</v>
      </c>
    </row>
    <row r="25123">
      <c r="A25123" s="39"/>
      <c r="E25123" s="40" t="s">
        <v>11404</v>
      </c>
      <c r="F25123" s="40" t="s">
        <v>11404</v>
      </c>
      <c r="G25123" s="40" t="s">
        <v>11404</v>
      </c>
      <c r="H25123" s="40" t="s">
        <v>11404</v>
      </c>
    </row>
    <row r="25124">
      <c r="A25124" s="39"/>
      <c r="E25124" s="40" t="s">
        <v>11404</v>
      </c>
      <c r="F25124" s="40" t="s">
        <v>11404</v>
      </c>
      <c r="G25124" s="40" t="s">
        <v>11404</v>
      </c>
      <c r="H25124" s="40" t="s">
        <v>11404</v>
      </c>
    </row>
    <row r="25125">
      <c r="A25125" s="39"/>
      <c r="E25125" s="40" t="s">
        <v>11404</v>
      </c>
      <c r="F25125" s="40" t="s">
        <v>11404</v>
      </c>
      <c r="G25125" s="40" t="s">
        <v>11404</v>
      </c>
      <c r="H25125" s="40" t="s">
        <v>11404</v>
      </c>
    </row>
    <row r="25126">
      <c r="A25126" s="39"/>
      <c r="E25126" s="40" t="s">
        <v>11404</v>
      </c>
      <c r="F25126" s="40" t="s">
        <v>11404</v>
      </c>
      <c r="G25126" s="40" t="s">
        <v>11404</v>
      </c>
      <c r="H25126" s="40" t="s">
        <v>11404</v>
      </c>
    </row>
    <row r="25127">
      <c r="A25127" s="39"/>
      <c r="E25127" s="40" t="s">
        <v>11404</v>
      </c>
      <c r="F25127" s="40" t="s">
        <v>11404</v>
      </c>
      <c r="G25127" s="40" t="s">
        <v>11404</v>
      </c>
      <c r="H25127" s="40" t="s">
        <v>11404</v>
      </c>
    </row>
    <row r="25128">
      <c r="A25128" s="39"/>
      <c r="E25128" s="40" t="s">
        <v>11404</v>
      </c>
      <c r="F25128" s="40" t="s">
        <v>11404</v>
      </c>
      <c r="G25128" s="40" t="s">
        <v>11404</v>
      </c>
      <c r="H25128" s="40" t="s">
        <v>11404</v>
      </c>
    </row>
    <row r="25129">
      <c r="A25129" s="39"/>
      <c r="E25129" s="40" t="s">
        <v>11404</v>
      </c>
      <c r="F25129" s="40" t="s">
        <v>11404</v>
      </c>
      <c r="G25129" s="40" t="s">
        <v>11404</v>
      </c>
      <c r="H25129" s="40" t="s">
        <v>11404</v>
      </c>
    </row>
    <row r="25130">
      <c r="A25130" s="39"/>
      <c r="E25130" s="40" t="s">
        <v>11404</v>
      </c>
      <c r="F25130" s="40" t="s">
        <v>11404</v>
      </c>
      <c r="G25130" s="40" t="s">
        <v>11404</v>
      </c>
      <c r="H25130" s="40" t="s">
        <v>11404</v>
      </c>
    </row>
    <row r="25131">
      <c r="A25131" s="39"/>
      <c r="E25131" s="40" t="s">
        <v>11404</v>
      </c>
      <c r="F25131" s="40" t="s">
        <v>11404</v>
      </c>
      <c r="G25131" s="40" t="s">
        <v>11404</v>
      </c>
      <c r="H25131" s="40" t="s">
        <v>11404</v>
      </c>
    </row>
    <row r="25132">
      <c r="A25132" s="39"/>
      <c r="E25132" s="40" t="s">
        <v>11404</v>
      </c>
      <c r="F25132" s="40" t="s">
        <v>11404</v>
      </c>
      <c r="G25132" s="40" t="s">
        <v>11404</v>
      </c>
      <c r="H25132" s="40" t="s">
        <v>11404</v>
      </c>
    </row>
    <row r="25133">
      <c r="A25133" s="39"/>
      <c r="E25133" s="40" t="s">
        <v>11404</v>
      </c>
      <c r="F25133" s="40" t="s">
        <v>11404</v>
      </c>
      <c r="G25133" s="40" t="s">
        <v>11404</v>
      </c>
      <c r="H25133" s="40" t="s">
        <v>11404</v>
      </c>
    </row>
    <row r="25134">
      <c r="A25134" s="39"/>
      <c r="E25134" s="40" t="s">
        <v>11404</v>
      </c>
      <c r="F25134" s="40" t="s">
        <v>11404</v>
      </c>
      <c r="G25134" s="40" t="s">
        <v>11404</v>
      </c>
      <c r="H25134" s="40" t="s">
        <v>11404</v>
      </c>
    </row>
    <row r="25135">
      <c r="A25135" s="39"/>
      <c r="E25135" s="40" t="s">
        <v>11404</v>
      </c>
      <c r="F25135" s="40" t="s">
        <v>11404</v>
      </c>
      <c r="G25135" s="40" t="s">
        <v>11404</v>
      </c>
      <c r="H25135" s="40" t="s">
        <v>11404</v>
      </c>
    </row>
    <row r="25136">
      <c r="A25136" s="39"/>
      <c r="E25136" s="40" t="s">
        <v>11404</v>
      </c>
      <c r="F25136" s="40" t="s">
        <v>11404</v>
      </c>
      <c r="G25136" s="40" t="s">
        <v>11404</v>
      </c>
      <c r="H25136" s="40" t="s">
        <v>11404</v>
      </c>
    </row>
    <row r="25137">
      <c r="A25137" s="39"/>
      <c r="E25137" s="40" t="s">
        <v>11404</v>
      </c>
      <c r="F25137" s="40" t="s">
        <v>11404</v>
      </c>
      <c r="G25137" s="40" t="s">
        <v>11404</v>
      </c>
      <c r="H25137" s="40" t="s">
        <v>11404</v>
      </c>
    </row>
    <row r="25138">
      <c r="A25138" s="39"/>
      <c r="E25138" s="40" t="s">
        <v>11404</v>
      </c>
      <c r="F25138" s="40" t="s">
        <v>11404</v>
      </c>
      <c r="G25138" s="40" t="s">
        <v>11404</v>
      </c>
      <c r="H25138" s="40" t="s">
        <v>11404</v>
      </c>
    </row>
    <row r="25139">
      <c r="A25139" s="39"/>
      <c r="E25139" s="40" t="s">
        <v>11404</v>
      </c>
      <c r="F25139" s="40" t="s">
        <v>11404</v>
      </c>
      <c r="G25139" s="40" t="s">
        <v>11404</v>
      </c>
      <c r="H25139" s="40" t="s">
        <v>11404</v>
      </c>
    </row>
    <row r="25140">
      <c r="A25140" s="39"/>
      <c r="E25140" s="40" t="s">
        <v>11404</v>
      </c>
      <c r="F25140" s="40" t="s">
        <v>11404</v>
      </c>
      <c r="G25140" s="40" t="s">
        <v>11404</v>
      </c>
      <c r="H25140" s="40" t="s">
        <v>11404</v>
      </c>
    </row>
    <row r="25141">
      <c r="A25141" s="39"/>
      <c r="E25141" s="40" t="s">
        <v>11404</v>
      </c>
      <c r="F25141" s="40" t="s">
        <v>11404</v>
      </c>
      <c r="G25141" s="40" t="s">
        <v>11404</v>
      </c>
      <c r="H25141" s="40" t="s">
        <v>11404</v>
      </c>
    </row>
    <row r="25142">
      <c r="A25142" s="39"/>
      <c r="E25142" s="40" t="s">
        <v>11404</v>
      </c>
      <c r="F25142" s="40" t="s">
        <v>11404</v>
      </c>
      <c r="G25142" s="40" t="s">
        <v>11404</v>
      </c>
      <c r="H25142" s="40" t="s">
        <v>11404</v>
      </c>
    </row>
    <row r="25143">
      <c r="A25143" s="39"/>
      <c r="E25143" s="40" t="s">
        <v>11404</v>
      </c>
      <c r="F25143" s="40" t="s">
        <v>11404</v>
      </c>
      <c r="G25143" s="40" t="s">
        <v>11404</v>
      </c>
      <c r="H25143" s="40" t="s">
        <v>11404</v>
      </c>
    </row>
    <row r="25144">
      <c r="A25144" s="39"/>
      <c r="E25144" s="40" t="s">
        <v>11404</v>
      </c>
      <c r="F25144" s="40" t="s">
        <v>11404</v>
      </c>
      <c r="G25144" s="40" t="s">
        <v>11404</v>
      </c>
      <c r="H25144" s="40" t="s">
        <v>11404</v>
      </c>
    </row>
    <row r="25145">
      <c r="A25145" s="39"/>
      <c r="E25145" s="40" t="s">
        <v>11404</v>
      </c>
      <c r="F25145" s="40" t="s">
        <v>11404</v>
      </c>
      <c r="G25145" s="40" t="s">
        <v>11404</v>
      </c>
      <c r="H25145" s="40" t="s">
        <v>11404</v>
      </c>
    </row>
    <row r="25146">
      <c r="A25146" s="39"/>
      <c r="E25146" s="40" t="s">
        <v>11404</v>
      </c>
      <c r="F25146" s="40" t="s">
        <v>11404</v>
      </c>
      <c r="G25146" s="40" t="s">
        <v>11404</v>
      </c>
      <c r="H25146" s="40" t="s">
        <v>11404</v>
      </c>
    </row>
    <row r="25147">
      <c r="A25147" s="39"/>
      <c r="E25147" s="40" t="s">
        <v>11404</v>
      </c>
      <c r="F25147" s="40" t="s">
        <v>11404</v>
      </c>
      <c r="G25147" s="40" t="s">
        <v>11404</v>
      </c>
      <c r="H25147" s="40" t="s">
        <v>11404</v>
      </c>
    </row>
    <row r="25148">
      <c r="A25148" s="39"/>
      <c r="E25148" s="40" t="s">
        <v>11404</v>
      </c>
      <c r="F25148" s="40" t="s">
        <v>11404</v>
      </c>
      <c r="G25148" s="40" t="s">
        <v>11404</v>
      </c>
      <c r="H25148" s="40" t="s">
        <v>11404</v>
      </c>
    </row>
    <row r="25149">
      <c r="A25149" s="39"/>
      <c r="E25149" s="40" t="s">
        <v>11404</v>
      </c>
      <c r="F25149" s="40" t="s">
        <v>11404</v>
      </c>
      <c r="G25149" s="40" t="s">
        <v>11404</v>
      </c>
      <c r="H25149" s="40" t="s">
        <v>11404</v>
      </c>
    </row>
    <row r="25150">
      <c r="A25150" s="39"/>
      <c r="E25150" s="40" t="s">
        <v>11404</v>
      </c>
      <c r="F25150" s="40" t="s">
        <v>11404</v>
      </c>
      <c r="G25150" s="40" t="s">
        <v>11404</v>
      </c>
      <c r="H25150" s="40" t="s">
        <v>11404</v>
      </c>
    </row>
    <row r="25151">
      <c r="A25151" s="39"/>
      <c r="E25151" s="40" t="s">
        <v>11404</v>
      </c>
      <c r="F25151" s="40" t="s">
        <v>11404</v>
      </c>
      <c r="G25151" s="40" t="s">
        <v>11404</v>
      </c>
      <c r="H25151" s="40" t="s">
        <v>11404</v>
      </c>
    </row>
    <row r="25152">
      <c r="A25152" s="39"/>
      <c r="E25152" s="40" t="s">
        <v>11404</v>
      </c>
      <c r="F25152" s="40" t="s">
        <v>11404</v>
      </c>
      <c r="G25152" s="40" t="s">
        <v>11404</v>
      </c>
      <c r="H25152" s="40" t="s">
        <v>11404</v>
      </c>
    </row>
    <row r="25153">
      <c r="A25153" s="39"/>
      <c r="E25153" s="40" t="s">
        <v>11404</v>
      </c>
      <c r="F25153" s="40" t="s">
        <v>11404</v>
      </c>
      <c r="G25153" s="40" t="s">
        <v>11404</v>
      </c>
      <c r="H25153" s="40" t="s">
        <v>11404</v>
      </c>
    </row>
    <row r="25154">
      <c r="A25154" s="39"/>
      <c r="E25154" s="40" t="s">
        <v>11404</v>
      </c>
      <c r="F25154" s="40" t="s">
        <v>11404</v>
      </c>
      <c r="G25154" s="40" t="s">
        <v>11404</v>
      </c>
      <c r="H25154" s="40" t="s">
        <v>11404</v>
      </c>
    </row>
    <row r="25155">
      <c r="A25155" s="39"/>
      <c r="E25155" s="40" t="s">
        <v>11404</v>
      </c>
      <c r="F25155" s="40" t="s">
        <v>11404</v>
      </c>
      <c r="G25155" s="40" t="s">
        <v>11404</v>
      </c>
      <c r="H25155" s="40" t="s">
        <v>11404</v>
      </c>
    </row>
    <row r="25156">
      <c r="A25156" s="39"/>
      <c r="E25156" s="40" t="s">
        <v>11404</v>
      </c>
      <c r="F25156" s="40" t="s">
        <v>11404</v>
      </c>
      <c r="G25156" s="40" t="s">
        <v>11404</v>
      </c>
      <c r="H25156" s="40" t="s">
        <v>11404</v>
      </c>
    </row>
    <row r="25157">
      <c r="A25157" s="39"/>
      <c r="E25157" s="40" t="s">
        <v>11404</v>
      </c>
      <c r="F25157" s="40" t="s">
        <v>11404</v>
      </c>
      <c r="G25157" s="40" t="s">
        <v>11404</v>
      </c>
      <c r="H25157" s="40" t="s">
        <v>11404</v>
      </c>
    </row>
    <row r="25158">
      <c r="A25158" s="39"/>
      <c r="E25158" s="40" t="s">
        <v>11404</v>
      </c>
      <c r="F25158" s="40" t="s">
        <v>11404</v>
      </c>
      <c r="G25158" s="40" t="s">
        <v>11404</v>
      </c>
      <c r="H25158" s="40" t="s">
        <v>11404</v>
      </c>
    </row>
    <row r="25159">
      <c r="A25159" s="39"/>
      <c r="E25159" s="40" t="s">
        <v>11404</v>
      </c>
      <c r="F25159" s="40" t="s">
        <v>11404</v>
      </c>
      <c r="G25159" s="40" t="s">
        <v>11404</v>
      </c>
      <c r="H25159" s="40" t="s">
        <v>11404</v>
      </c>
    </row>
    <row r="25160">
      <c r="A25160" s="39"/>
      <c r="E25160" s="40" t="s">
        <v>11404</v>
      </c>
      <c r="F25160" s="40" t="s">
        <v>11404</v>
      </c>
      <c r="G25160" s="40" t="s">
        <v>11404</v>
      </c>
      <c r="H25160" s="40" t="s">
        <v>11404</v>
      </c>
    </row>
    <row r="25161">
      <c r="A25161" s="39"/>
      <c r="E25161" s="40" t="s">
        <v>11404</v>
      </c>
      <c r="F25161" s="40" t="s">
        <v>11404</v>
      </c>
      <c r="G25161" s="40" t="s">
        <v>11404</v>
      </c>
      <c r="H25161" s="40" t="s">
        <v>11404</v>
      </c>
    </row>
    <row r="25162">
      <c r="A25162" s="39"/>
      <c r="E25162" s="40" t="s">
        <v>11404</v>
      </c>
      <c r="F25162" s="40" t="s">
        <v>11404</v>
      </c>
      <c r="G25162" s="40" t="s">
        <v>11404</v>
      </c>
      <c r="H25162" s="40" t="s">
        <v>11404</v>
      </c>
    </row>
    <row r="25163">
      <c r="A25163" s="39"/>
      <c r="E25163" s="40" t="s">
        <v>11404</v>
      </c>
      <c r="F25163" s="40" t="s">
        <v>11404</v>
      </c>
      <c r="G25163" s="40" t="s">
        <v>11404</v>
      </c>
      <c r="H25163" s="40" t="s">
        <v>11404</v>
      </c>
    </row>
    <row r="25164">
      <c r="A25164" s="39"/>
      <c r="E25164" s="40" t="s">
        <v>11404</v>
      </c>
      <c r="F25164" s="40" t="s">
        <v>11404</v>
      </c>
      <c r="G25164" s="40" t="s">
        <v>11404</v>
      </c>
      <c r="H25164" s="40" t="s">
        <v>11404</v>
      </c>
    </row>
    <row r="25165">
      <c r="A25165" s="39"/>
      <c r="E25165" s="40" t="s">
        <v>11404</v>
      </c>
      <c r="F25165" s="40" t="s">
        <v>11404</v>
      </c>
      <c r="G25165" s="40" t="s">
        <v>11404</v>
      </c>
      <c r="H25165" s="40" t="s">
        <v>11404</v>
      </c>
    </row>
    <row r="25166">
      <c r="A25166" s="39"/>
      <c r="E25166" s="40" t="s">
        <v>11404</v>
      </c>
      <c r="F25166" s="40" t="s">
        <v>11404</v>
      </c>
      <c r="G25166" s="40" t="s">
        <v>11404</v>
      </c>
      <c r="H25166" s="40" t="s">
        <v>11404</v>
      </c>
    </row>
    <row r="25167">
      <c r="A25167" s="39"/>
      <c r="E25167" s="40" t="s">
        <v>11404</v>
      </c>
      <c r="F25167" s="40" t="s">
        <v>11404</v>
      </c>
      <c r="G25167" s="40" t="s">
        <v>11404</v>
      </c>
      <c r="H25167" s="40" t="s">
        <v>11404</v>
      </c>
    </row>
    <row r="25168">
      <c r="A25168" s="39"/>
      <c r="E25168" s="40" t="s">
        <v>11404</v>
      </c>
      <c r="F25168" s="40" t="s">
        <v>11404</v>
      </c>
      <c r="G25168" s="40" t="s">
        <v>11404</v>
      </c>
      <c r="H25168" s="40" t="s">
        <v>11404</v>
      </c>
    </row>
    <row r="25169">
      <c r="A25169" s="39"/>
      <c r="E25169" s="40" t="s">
        <v>11404</v>
      </c>
      <c r="F25169" s="40" t="s">
        <v>11404</v>
      </c>
      <c r="G25169" s="40" t="s">
        <v>11404</v>
      </c>
      <c r="H25169" s="40" t="s">
        <v>11404</v>
      </c>
    </row>
    <row r="25170">
      <c r="A25170" s="39"/>
      <c r="E25170" s="40" t="s">
        <v>11404</v>
      </c>
      <c r="F25170" s="40" t="s">
        <v>11404</v>
      </c>
      <c r="G25170" s="40" t="s">
        <v>11404</v>
      </c>
      <c r="H25170" s="40" t="s">
        <v>11404</v>
      </c>
    </row>
    <row r="25171">
      <c r="A25171" s="39"/>
      <c r="E25171" s="40" t="s">
        <v>11404</v>
      </c>
      <c r="F25171" s="40" t="s">
        <v>11404</v>
      </c>
      <c r="G25171" s="40" t="s">
        <v>11404</v>
      </c>
      <c r="H25171" s="40" t="s">
        <v>11404</v>
      </c>
    </row>
    <row r="25172">
      <c r="A25172" s="39"/>
      <c r="E25172" s="40" t="s">
        <v>11404</v>
      </c>
      <c r="F25172" s="40" t="s">
        <v>11404</v>
      </c>
      <c r="G25172" s="40" t="s">
        <v>11404</v>
      </c>
      <c r="H25172" s="40" t="s">
        <v>11404</v>
      </c>
    </row>
    <row r="25173">
      <c r="A25173" s="39"/>
      <c r="E25173" s="40" t="s">
        <v>11404</v>
      </c>
      <c r="F25173" s="40" t="s">
        <v>11404</v>
      </c>
      <c r="G25173" s="40" t="s">
        <v>11404</v>
      </c>
      <c r="H25173" s="40" t="s">
        <v>11404</v>
      </c>
    </row>
    <row r="25174">
      <c r="A25174" s="39"/>
      <c r="E25174" s="40" t="s">
        <v>11404</v>
      </c>
      <c r="F25174" s="40" t="s">
        <v>11404</v>
      </c>
      <c r="G25174" s="40" t="s">
        <v>11404</v>
      </c>
      <c r="H25174" s="40" t="s">
        <v>11404</v>
      </c>
    </row>
    <row r="25175">
      <c r="A25175" s="39"/>
      <c r="E25175" s="40" t="s">
        <v>11404</v>
      </c>
      <c r="F25175" s="40" t="s">
        <v>11404</v>
      </c>
      <c r="G25175" s="40" t="s">
        <v>11404</v>
      </c>
      <c r="H25175" s="40" t="s">
        <v>11404</v>
      </c>
    </row>
    <row r="25176">
      <c r="A25176" s="39"/>
      <c r="E25176" s="40" t="s">
        <v>11404</v>
      </c>
      <c r="F25176" s="40" t="s">
        <v>11404</v>
      </c>
      <c r="G25176" s="40" t="s">
        <v>11404</v>
      </c>
      <c r="H25176" s="40" t="s">
        <v>11404</v>
      </c>
    </row>
    <row r="25177">
      <c r="A25177" s="39"/>
      <c r="E25177" s="40" t="s">
        <v>11404</v>
      </c>
      <c r="F25177" s="40" t="s">
        <v>11404</v>
      </c>
      <c r="G25177" s="40" t="s">
        <v>11404</v>
      </c>
      <c r="H25177" s="40" t="s">
        <v>11404</v>
      </c>
    </row>
    <row r="25178">
      <c r="A25178" s="39"/>
      <c r="E25178" s="40" t="s">
        <v>11404</v>
      </c>
      <c r="F25178" s="40" t="s">
        <v>11404</v>
      </c>
      <c r="G25178" s="40" t="s">
        <v>11404</v>
      </c>
      <c r="H25178" s="40" t="s">
        <v>11404</v>
      </c>
    </row>
    <row r="25179">
      <c r="A25179" s="39"/>
      <c r="E25179" s="40" t="s">
        <v>11404</v>
      </c>
      <c r="F25179" s="40" t="s">
        <v>11404</v>
      </c>
      <c r="G25179" s="40" t="s">
        <v>11404</v>
      </c>
      <c r="H25179" s="40" t="s">
        <v>11404</v>
      </c>
    </row>
    <row r="25180">
      <c r="A25180" s="39"/>
      <c r="E25180" s="40" t="s">
        <v>11404</v>
      </c>
      <c r="F25180" s="40" t="s">
        <v>11404</v>
      </c>
      <c r="G25180" s="40" t="s">
        <v>11404</v>
      </c>
      <c r="H25180" s="40" t="s">
        <v>11404</v>
      </c>
    </row>
    <row r="25181">
      <c r="A25181" s="39"/>
      <c r="E25181" s="40" t="s">
        <v>11404</v>
      </c>
      <c r="F25181" s="40" t="s">
        <v>11404</v>
      </c>
      <c r="G25181" s="40" t="s">
        <v>11404</v>
      </c>
      <c r="H25181" s="40" t="s">
        <v>11404</v>
      </c>
    </row>
    <row r="25182">
      <c r="A25182" s="39"/>
      <c r="E25182" s="40" t="s">
        <v>11404</v>
      </c>
      <c r="F25182" s="40" t="s">
        <v>11404</v>
      </c>
      <c r="G25182" s="40" t="s">
        <v>11404</v>
      </c>
      <c r="H25182" s="40" t="s">
        <v>11404</v>
      </c>
    </row>
    <row r="25183">
      <c r="A25183" s="39"/>
      <c r="E25183" s="40" t="s">
        <v>11404</v>
      </c>
      <c r="F25183" s="40" t="s">
        <v>11404</v>
      </c>
      <c r="G25183" s="40" t="s">
        <v>11404</v>
      </c>
      <c r="H25183" s="40" t="s">
        <v>11404</v>
      </c>
    </row>
    <row r="25184">
      <c r="A25184" s="39"/>
      <c r="E25184" s="40" t="s">
        <v>11404</v>
      </c>
      <c r="F25184" s="40" t="s">
        <v>11404</v>
      </c>
      <c r="G25184" s="40" t="s">
        <v>11404</v>
      </c>
      <c r="H25184" s="40" t="s">
        <v>11404</v>
      </c>
    </row>
    <row r="25185">
      <c r="A25185" s="39"/>
      <c r="E25185" s="40" t="s">
        <v>11404</v>
      </c>
      <c r="F25185" s="40" t="s">
        <v>11404</v>
      </c>
      <c r="G25185" s="40" t="s">
        <v>11404</v>
      </c>
      <c r="H25185" s="40" t="s">
        <v>11404</v>
      </c>
    </row>
    <row r="25186">
      <c r="A25186" s="39"/>
      <c r="E25186" s="40" t="s">
        <v>11404</v>
      </c>
      <c r="F25186" s="40" t="s">
        <v>11404</v>
      </c>
      <c r="G25186" s="40" t="s">
        <v>11404</v>
      </c>
      <c r="H25186" s="40" t="s">
        <v>11404</v>
      </c>
    </row>
    <row r="25187">
      <c r="A25187" s="39"/>
      <c r="E25187" s="40" t="s">
        <v>11404</v>
      </c>
      <c r="F25187" s="40" t="s">
        <v>11404</v>
      </c>
      <c r="G25187" s="40" t="s">
        <v>11404</v>
      </c>
      <c r="H25187" s="40" t="s">
        <v>11404</v>
      </c>
    </row>
    <row r="25188">
      <c r="A25188" s="39"/>
      <c r="E25188" s="40" t="s">
        <v>11404</v>
      </c>
      <c r="F25188" s="40" t="s">
        <v>11404</v>
      </c>
      <c r="G25188" s="40" t="s">
        <v>11404</v>
      </c>
      <c r="H25188" s="40" t="s">
        <v>11404</v>
      </c>
    </row>
    <row r="25189">
      <c r="A25189" s="39"/>
      <c r="E25189" s="40" t="s">
        <v>11404</v>
      </c>
      <c r="F25189" s="40" t="s">
        <v>11404</v>
      </c>
      <c r="G25189" s="40" t="s">
        <v>11404</v>
      </c>
      <c r="H25189" s="40" t="s">
        <v>11404</v>
      </c>
    </row>
    <row r="25190">
      <c r="A25190" s="39"/>
      <c r="E25190" s="40" t="s">
        <v>11404</v>
      </c>
      <c r="F25190" s="40" t="s">
        <v>11404</v>
      </c>
      <c r="G25190" s="40" t="s">
        <v>11404</v>
      </c>
      <c r="H25190" s="40" t="s">
        <v>11404</v>
      </c>
    </row>
    <row r="25191">
      <c r="A25191" s="39"/>
      <c r="E25191" s="40" t="s">
        <v>11404</v>
      </c>
      <c r="F25191" s="40" t="s">
        <v>11404</v>
      </c>
      <c r="G25191" s="40" t="s">
        <v>11404</v>
      </c>
      <c r="H25191" s="40" t="s">
        <v>11404</v>
      </c>
    </row>
    <row r="25192">
      <c r="A25192" s="39"/>
      <c r="E25192" s="40" t="s">
        <v>11404</v>
      </c>
      <c r="F25192" s="40" t="s">
        <v>11404</v>
      </c>
      <c r="G25192" s="40" t="s">
        <v>11404</v>
      </c>
      <c r="H25192" s="40" t="s">
        <v>11404</v>
      </c>
    </row>
    <row r="25193">
      <c r="A25193" s="39"/>
      <c r="E25193" s="40" t="s">
        <v>11404</v>
      </c>
      <c r="F25193" s="40" t="s">
        <v>11404</v>
      </c>
      <c r="G25193" s="40" t="s">
        <v>11404</v>
      </c>
      <c r="H25193" s="40" t="s">
        <v>11404</v>
      </c>
    </row>
    <row r="25194">
      <c r="A25194" s="39"/>
      <c r="E25194" s="40" t="s">
        <v>11404</v>
      </c>
      <c r="F25194" s="40" t="s">
        <v>11404</v>
      </c>
      <c r="G25194" s="40" t="s">
        <v>11404</v>
      </c>
      <c r="H25194" s="40" t="s">
        <v>11404</v>
      </c>
    </row>
    <row r="25195">
      <c r="A25195" s="39"/>
      <c r="E25195" s="40" t="s">
        <v>11404</v>
      </c>
      <c r="F25195" s="40" t="s">
        <v>11404</v>
      </c>
      <c r="G25195" s="40" t="s">
        <v>11404</v>
      </c>
      <c r="H25195" s="40" t="s">
        <v>11404</v>
      </c>
    </row>
    <row r="25196">
      <c r="A25196" s="39"/>
      <c r="E25196" s="40" t="s">
        <v>11404</v>
      </c>
      <c r="F25196" s="40" t="s">
        <v>11404</v>
      </c>
      <c r="G25196" s="40" t="s">
        <v>11404</v>
      </c>
      <c r="H25196" s="40" t="s">
        <v>11404</v>
      </c>
    </row>
    <row r="25197">
      <c r="A25197" s="39"/>
      <c r="E25197" s="40" t="s">
        <v>11404</v>
      </c>
      <c r="F25197" s="40" t="s">
        <v>11404</v>
      </c>
      <c r="G25197" s="40" t="s">
        <v>11404</v>
      </c>
      <c r="H25197" s="40" t="s">
        <v>11404</v>
      </c>
    </row>
    <row r="25198">
      <c r="A25198" s="39"/>
      <c r="E25198" s="40" t="s">
        <v>11404</v>
      </c>
      <c r="F25198" s="40" t="s">
        <v>11404</v>
      </c>
      <c r="G25198" s="40" t="s">
        <v>11404</v>
      </c>
      <c r="H25198" s="40" t="s">
        <v>11404</v>
      </c>
    </row>
    <row r="25199">
      <c r="A25199" s="39"/>
      <c r="E25199" s="40" t="s">
        <v>11404</v>
      </c>
      <c r="F25199" s="40" t="s">
        <v>11404</v>
      </c>
      <c r="G25199" s="40" t="s">
        <v>11404</v>
      </c>
      <c r="H25199" s="40" t="s">
        <v>11404</v>
      </c>
    </row>
    <row r="25200">
      <c r="A25200" s="39"/>
      <c r="E25200" s="40" t="s">
        <v>11404</v>
      </c>
      <c r="F25200" s="40" t="s">
        <v>11404</v>
      </c>
      <c r="G25200" s="40" t="s">
        <v>11404</v>
      </c>
      <c r="H25200" s="40" t="s">
        <v>11404</v>
      </c>
    </row>
    <row r="25201">
      <c r="A25201" s="39"/>
      <c r="E25201" s="40" t="s">
        <v>11404</v>
      </c>
      <c r="F25201" s="40" t="s">
        <v>11404</v>
      </c>
      <c r="G25201" s="40" t="s">
        <v>11404</v>
      </c>
      <c r="H25201" s="40" t="s">
        <v>11404</v>
      </c>
    </row>
    <row r="25202">
      <c r="A25202" s="39"/>
      <c r="E25202" s="40" t="s">
        <v>11404</v>
      </c>
      <c r="F25202" s="40" t="s">
        <v>11404</v>
      </c>
      <c r="G25202" s="40" t="s">
        <v>11404</v>
      </c>
      <c r="H25202" s="40" t="s">
        <v>11404</v>
      </c>
    </row>
    <row r="25203">
      <c r="A25203" s="39"/>
      <c r="E25203" s="40" t="s">
        <v>11404</v>
      </c>
      <c r="F25203" s="40" t="s">
        <v>11404</v>
      </c>
      <c r="G25203" s="40" t="s">
        <v>11404</v>
      </c>
      <c r="H25203" s="40" t="s">
        <v>11404</v>
      </c>
    </row>
    <row r="25204">
      <c r="A25204" s="39"/>
      <c r="E25204" s="40" t="s">
        <v>11404</v>
      </c>
      <c r="F25204" s="40" t="s">
        <v>11404</v>
      </c>
      <c r="G25204" s="40" t="s">
        <v>11404</v>
      </c>
      <c r="H25204" s="40" t="s">
        <v>11404</v>
      </c>
    </row>
    <row r="25205">
      <c r="A25205" s="39"/>
      <c r="E25205" s="40" t="s">
        <v>11404</v>
      </c>
      <c r="F25205" s="40" t="s">
        <v>11404</v>
      </c>
      <c r="G25205" s="40" t="s">
        <v>11404</v>
      </c>
      <c r="H25205" s="40" t="s">
        <v>11404</v>
      </c>
    </row>
    <row r="25206">
      <c r="A25206" s="39"/>
      <c r="E25206" s="40" t="s">
        <v>11404</v>
      </c>
      <c r="F25206" s="40" t="s">
        <v>11404</v>
      </c>
      <c r="G25206" s="40" t="s">
        <v>11404</v>
      </c>
      <c r="H25206" s="40" t="s">
        <v>11404</v>
      </c>
    </row>
    <row r="25207">
      <c r="A25207" s="39"/>
      <c r="E25207" s="40" t="s">
        <v>11404</v>
      </c>
      <c r="F25207" s="40" t="s">
        <v>11404</v>
      </c>
      <c r="G25207" s="40" t="s">
        <v>11404</v>
      </c>
      <c r="H25207" s="40" t="s">
        <v>11404</v>
      </c>
    </row>
    <row r="25208">
      <c r="A25208" s="39"/>
      <c r="E25208" s="40" t="s">
        <v>11404</v>
      </c>
      <c r="F25208" s="40" t="s">
        <v>11404</v>
      </c>
      <c r="G25208" s="40" t="s">
        <v>11404</v>
      </c>
      <c r="H25208" s="40" t="s">
        <v>11404</v>
      </c>
    </row>
    <row r="25209">
      <c r="A25209" s="39"/>
      <c r="E25209" s="40" t="s">
        <v>11404</v>
      </c>
      <c r="F25209" s="40" t="s">
        <v>11404</v>
      </c>
      <c r="G25209" s="40" t="s">
        <v>11404</v>
      </c>
      <c r="H25209" s="40" t="s">
        <v>11404</v>
      </c>
    </row>
    <row r="25210">
      <c r="A25210" s="39"/>
      <c r="E25210" s="40" t="s">
        <v>11404</v>
      </c>
      <c r="F25210" s="40" t="s">
        <v>11404</v>
      </c>
      <c r="G25210" s="40" t="s">
        <v>11404</v>
      </c>
      <c r="H25210" s="40" t="s">
        <v>11404</v>
      </c>
    </row>
    <row r="25211">
      <c r="A25211" s="39"/>
      <c r="E25211" s="40" t="s">
        <v>11404</v>
      </c>
      <c r="F25211" s="40" t="s">
        <v>11404</v>
      </c>
      <c r="G25211" s="40" t="s">
        <v>11404</v>
      </c>
      <c r="H25211" s="40" t="s">
        <v>11404</v>
      </c>
    </row>
    <row r="25212">
      <c r="A25212" s="39"/>
      <c r="E25212" s="40" t="s">
        <v>11404</v>
      </c>
      <c r="F25212" s="40" t="s">
        <v>11404</v>
      </c>
      <c r="G25212" s="40" t="s">
        <v>11404</v>
      </c>
      <c r="H25212" s="40" t="s">
        <v>11404</v>
      </c>
    </row>
    <row r="25213">
      <c r="A25213" s="39"/>
      <c r="E25213" s="40" t="s">
        <v>11404</v>
      </c>
      <c r="F25213" s="40" t="s">
        <v>11404</v>
      </c>
      <c r="G25213" s="40" t="s">
        <v>11404</v>
      </c>
      <c r="H25213" s="40" t="s">
        <v>11404</v>
      </c>
    </row>
    <row r="25214">
      <c r="A25214" s="39"/>
      <c r="E25214" s="40" t="s">
        <v>11404</v>
      </c>
      <c r="F25214" s="40" t="s">
        <v>11404</v>
      </c>
      <c r="G25214" s="40" t="s">
        <v>11404</v>
      </c>
      <c r="H25214" s="40" t="s">
        <v>11404</v>
      </c>
    </row>
    <row r="25215">
      <c r="A25215" s="39"/>
      <c r="E25215" s="40" t="s">
        <v>11404</v>
      </c>
      <c r="F25215" s="40" t="s">
        <v>11404</v>
      </c>
      <c r="G25215" s="40" t="s">
        <v>11404</v>
      </c>
      <c r="H25215" s="40" t="s">
        <v>11404</v>
      </c>
    </row>
    <row r="25216">
      <c r="A25216" s="39"/>
      <c r="E25216" s="40" t="s">
        <v>11404</v>
      </c>
      <c r="F25216" s="40" t="s">
        <v>11404</v>
      </c>
      <c r="G25216" s="40" t="s">
        <v>11404</v>
      </c>
      <c r="H25216" s="40" t="s">
        <v>11404</v>
      </c>
    </row>
    <row r="25217">
      <c r="A25217" s="39"/>
      <c r="E25217" s="40" t="s">
        <v>11404</v>
      </c>
      <c r="F25217" s="40" t="s">
        <v>11404</v>
      </c>
      <c r="G25217" s="40" t="s">
        <v>11404</v>
      </c>
      <c r="H25217" s="40" t="s">
        <v>11404</v>
      </c>
    </row>
    <row r="25218">
      <c r="A25218" s="39"/>
      <c r="E25218" s="40" t="s">
        <v>11404</v>
      </c>
      <c r="F25218" s="40" t="s">
        <v>11404</v>
      </c>
      <c r="G25218" s="40" t="s">
        <v>11404</v>
      </c>
      <c r="H25218" s="40" t="s">
        <v>11404</v>
      </c>
    </row>
    <row r="25219">
      <c r="A25219" s="39"/>
      <c r="E25219" s="40" t="s">
        <v>11404</v>
      </c>
      <c r="F25219" s="40" t="s">
        <v>11404</v>
      </c>
      <c r="G25219" s="40" t="s">
        <v>11404</v>
      </c>
      <c r="H25219" s="40" t="s">
        <v>11404</v>
      </c>
    </row>
    <row r="25220">
      <c r="A25220" s="39"/>
      <c r="E25220" s="40" t="s">
        <v>11404</v>
      </c>
      <c r="F25220" s="40" t="s">
        <v>11404</v>
      </c>
      <c r="G25220" s="40" t="s">
        <v>11404</v>
      </c>
      <c r="H25220" s="40" t="s">
        <v>11404</v>
      </c>
    </row>
    <row r="25221">
      <c r="A25221" s="39"/>
      <c r="E25221" s="40" t="s">
        <v>11404</v>
      </c>
      <c r="F25221" s="40" t="s">
        <v>11404</v>
      </c>
      <c r="G25221" s="40" t="s">
        <v>11404</v>
      </c>
      <c r="H25221" s="40" t="s">
        <v>11404</v>
      </c>
    </row>
    <row r="25222">
      <c r="A25222" s="39"/>
      <c r="E25222" s="40" t="s">
        <v>11404</v>
      </c>
      <c r="F25222" s="40" t="s">
        <v>11404</v>
      </c>
      <c r="G25222" s="40" t="s">
        <v>11404</v>
      </c>
      <c r="H25222" s="40" t="s">
        <v>11404</v>
      </c>
    </row>
    <row r="25223">
      <c r="A25223" s="39"/>
      <c r="E25223" s="40" t="s">
        <v>11404</v>
      </c>
      <c r="F25223" s="40" t="s">
        <v>11404</v>
      </c>
      <c r="G25223" s="40" t="s">
        <v>11404</v>
      </c>
      <c r="H25223" s="40" t="s">
        <v>11404</v>
      </c>
    </row>
    <row r="25224">
      <c r="A25224" s="39"/>
      <c r="E25224" s="40" t="s">
        <v>11404</v>
      </c>
      <c r="F25224" s="40" t="s">
        <v>11404</v>
      </c>
      <c r="G25224" s="40" t="s">
        <v>11404</v>
      </c>
      <c r="H25224" s="40" t="s">
        <v>11404</v>
      </c>
    </row>
    <row r="25225">
      <c r="A25225" s="39"/>
      <c r="E25225" s="40" t="s">
        <v>11404</v>
      </c>
      <c r="F25225" s="40" t="s">
        <v>11404</v>
      </c>
      <c r="G25225" s="40" t="s">
        <v>11404</v>
      </c>
      <c r="H25225" s="40" t="s">
        <v>11404</v>
      </c>
    </row>
    <row r="25226">
      <c r="A25226" s="39"/>
      <c r="E25226" s="40" t="s">
        <v>11404</v>
      </c>
      <c r="F25226" s="40" t="s">
        <v>11404</v>
      </c>
      <c r="G25226" s="40" t="s">
        <v>11404</v>
      </c>
      <c r="H25226" s="40" t="s">
        <v>11404</v>
      </c>
    </row>
    <row r="25227">
      <c r="A25227" s="39"/>
      <c r="E25227" s="40" t="s">
        <v>11404</v>
      </c>
      <c r="F25227" s="40" t="s">
        <v>11404</v>
      </c>
      <c r="G25227" s="40" t="s">
        <v>11404</v>
      </c>
      <c r="H25227" s="40" t="s">
        <v>11404</v>
      </c>
    </row>
    <row r="25228">
      <c r="A25228" s="39"/>
      <c r="E25228" s="40" t="s">
        <v>11404</v>
      </c>
      <c r="F25228" s="40" t="s">
        <v>11404</v>
      </c>
      <c r="G25228" s="40" t="s">
        <v>11404</v>
      </c>
      <c r="H25228" s="40" t="s">
        <v>11404</v>
      </c>
    </row>
    <row r="25229">
      <c r="A25229" s="39"/>
      <c r="E25229" s="40" t="s">
        <v>11404</v>
      </c>
      <c r="F25229" s="40" t="s">
        <v>11404</v>
      </c>
      <c r="G25229" s="40" t="s">
        <v>11404</v>
      </c>
      <c r="H25229" s="40" t="s">
        <v>11404</v>
      </c>
    </row>
    <row r="25230">
      <c r="A25230" s="39"/>
      <c r="E25230" s="40" t="s">
        <v>11404</v>
      </c>
      <c r="F25230" s="40" t="s">
        <v>11404</v>
      </c>
      <c r="G25230" s="40" t="s">
        <v>11404</v>
      </c>
      <c r="H25230" s="40" t="s">
        <v>11404</v>
      </c>
    </row>
    <row r="25231">
      <c r="A25231" s="39"/>
      <c r="E25231" s="40" t="s">
        <v>11404</v>
      </c>
      <c r="F25231" s="40" t="s">
        <v>11404</v>
      </c>
      <c r="G25231" s="40" t="s">
        <v>11404</v>
      </c>
      <c r="H25231" s="40" t="s">
        <v>11404</v>
      </c>
    </row>
    <row r="25232">
      <c r="A25232" s="39"/>
      <c r="E25232" s="40" t="s">
        <v>11404</v>
      </c>
      <c r="F25232" s="40" t="s">
        <v>11404</v>
      </c>
      <c r="G25232" s="40" t="s">
        <v>11404</v>
      </c>
      <c r="H25232" s="40" t="s">
        <v>11404</v>
      </c>
    </row>
    <row r="25233">
      <c r="A25233" s="39"/>
      <c r="E25233" s="40" t="s">
        <v>11404</v>
      </c>
      <c r="F25233" s="40" t="s">
        <v>11404</v>
      </c>
      <c r="G25233" s="40" t="s">
        <v>11404</v>
      </c>
      <c r="H25233" s="40" t="s">
        <v>11404</v>
      </c>
    </row>
    <row r="25234">
      <c r="A25234" s="39"/>
      <c r="E25234" s="40" t="s">
        <v>11404</v>
      </c>
      <c r="F25234" s="40" t="s">
        <v>11404</v>
      </c>
      <c r="G25234" s="40" t="s">
        <v>11404</v>
      </c>
      <c r="H25234" s="40" t="s">
        <v>11404</v>
      </c>
    </row>
    <row r="25235">
      <c r="A25235" s="39"/>
      <c r="E25235" s="40" t="s">
        <v>11404</v>
      </c>
      <c r="F25235" s="40" t="s">
        <v>11404</v>
      </c>
      <c r="G25235" s="40" t="s">
        <v>11404</v>
      </c>
      <c r="H25235" s="40" t="s">
        <v>11404</v>
      </c>
    </row>
    <row r="25236">
      <c r="A25236" s="39"/>
      <c r="E25236" s="40" t="s">
        <v>11404</v>
      </c>
      <c r="F25236" s="40" t="s">
        <v>11404</v>
      </c>
      <c r="G25236" s="40" t="s">
        <v>11404</v>
      </c>
      <c r="H25236" s="40" t="s">
        <v>11404</v>
      </c>
    </row>
    <row r="25237">
      <c r="A25237" s="39"/>
      <c r="E25237" s="40" t="s">
        <v>11404</v>
      </c>
      <c r="F25237" s="40" t="s">
        <v>11404</v>
      </c>
      <c r="G25237" s="40" t="s">
        <v>11404</v>
      </c>
      <c r="H25237" s="40" t="s">
        <v>11404</v>
      </c>
    </row>
    <row r="25238">
      <c r="A25238" s="39"/>
      <c r="E25238" s="40" t="s">
        <v>11404</v>
      </c>
      <c r="F25238" s="40" t="s">
        <v>11404</v>
      </c>
      <c r="G25238" s="40" t="s">
        <v>11404</v>
      </c>
      <c r="H25238" s="40" t="s">
        <v>11404</v>
      </c>
    </row>
    <row r="25239">
      <c r="A25239" s="39"/>
      <c r="E25239" s="40" t="s">
        <v>11404</v>
      </c>
      <c r="F25239" s="40" t="s">
        <v>11404</v>
      </c>
      <c r="G25239" s="40" t="s">
        <v>11404</v>
      </c>
      <c r="H25239" s="40" t="s">
        <v>11404</v>
      </c>
    </row>
    <row r="25240">
      <c r="A25240" s="39"/>
      <c r="E25240" s="40" t="s">
        <v>11404</v>
      </c>
      <c r="F25240" s="40" t="s">
        <v>11404</v>
      </c>
      <c r="G25240" s="40" t="s">
        <v>11404</v>
      </c>
      <c r="H25240" s="40" t="s">
        <v>11404</v>
      </c>
    </row>
    <row r="25241">
      <c r="A25241" s="39"/>
      <c r="E25241" s="40" t="s">
        <v>11404</v>
      </c>
      <c r="F25241" s="40" t="s">
        <v>11404</v>
      </c>
      <c r="G25241" s="40" t="s">
        <v>11404</v>
      </c>
      <c r="H25241" s="40" t="s">
        <v>11404</v>
      </c>
    </row>
    <row r="25242">
      <c r="A25242" s="39"/>
      <c r="E25242" s="40" t="s">
        <v>11404</v>
      </c>
      <c r="F25242" s="40" t="s">
        <v>11404</v>
      </c>
      <c r="G25242" s="40" t="s">
        <v>11404</v>
      </c>
      <c r="H25242" s="40" t="s">
        <v>11404</v>
      </c>
    </row>
    <row r="25243">
      <c r="A25243" s="39"/>
      <c r="E25243" s="40" t="s">
        <v>11404</v>
      </c>
      <c r="F25243" s="40" t="s">
        <v>11404</v>
      </c>
      <c r="G25243" s="40" t="s">
        <v>11404</v>
      </c>
      <c r="H25243" s="40" t="s">
        <v>11404</v>
      </c>
    </row>
    <row r="25244">
      <c r="A25244" s="39"/>
      <c r="E25244" s="40" t="s">
        <v>11404</v>
      </c>
      <c r="F25244" s="40" t="s">
        <v>11404</v>
      </c>
      <c r="G25244" s="40" t="s">
        <v>11404</v>
      </c>
      <c r="H25244" s="40" t="s">
        <v>11404</v>
      </c>
    </row>
    <row r="25245">
      <c r="A25245" s="39"/>
      <c r="E25245" s="40" t="s">
        <v>11404</v>
      </c>
      <c r="F25245" s="40" t="s">
        <v>11404</v>
      </c>
      <c r="G25245" s="40" t="s">
        <v>11404</v>
      </c>
      <c r="H25245" s="40" t="s">
        <v>11404</v>
      </c>
    </row>
    <row r="25246">
      <c r="A25246" s="39"/>
      <c r="E25246" s="40" t="s">
        <v>11404</v>
      </c>
      <c r="F25246" s="40" t="s">
        <v>11404</v>
      </c>
      <c r="G25246" s="40" t="s">
        <v>11404</v>
      </c>
      <c r="H25246" s="40" t="s">
        <v>11404</v>
      </c>
    </row>
    <row r="25247">
      <c r="A25247" s="39"/>
      <c r="E25247" s="40" t="s">
        <v>11404</v>
      </c>
      <c r="F25247" s="40" t="s">
        <v>11404</v>
      </c>
      <c r="G25247" s="40" t="s">
        <v>11404</v>
      </c>
      <c r="H25247" s="40" t="s">
        <v>11404</v>
      </c>
    </row>
    <row r="25248">
      <c r="A25248" s="39"/>
      <c r="E25248" s="40" t="s">
        <v>11404</v>
      </c>
      <c r="F25248" s="40" t="s">
        <v>11404</v>
      </c>
      <c r="G25248" s="40" t="s">
        <v>11404</v>
      </c>
      <c r="H25248" s="40" t="s">
        <v>11404</v>
      </c>
    </row>
    <row r="25249">
      <c r="A25249" s="39"/>
      <c r="E25249" s="40" t="s">
        <v>11404</v>
      </c>
      <c r="F25249" s="40" t="s">
        <v>11404</v>
      </c>
      <c r="G25249" s="40" t="s">
        <v>11404</v>
      </c>
      <c r="H25249" s="40" t="s">
        <v>11404</v>
      </c>
    </row>
    <row r="25250">
      <c r="A25250" s="39"/>
      <c r="E25250" s="40" t="s">
        <v>11404</v>
      </c>
      <c r="F25250" s="40" t="s">
        <v>11404</v>
      </c>
      <c r="G25250" s="40" t="s">
        <v>11404</v>
      </c>
      <c r="H25250" s="40" t="s">
        <v>11404</v>
      </c>
    </row>
    <row r="25251">
      <c r="A25251" s="39"/>
      <c r="E25251" s="40" t="s">
        <v>11404</v>
      </c>
      <c r="F25251" s="40" t="s">
        <v>11404</v>
      </c>
      <c r="G25251" s="40" t="s">
        <v>11404</v>
      </c>
      <c r="H25251" s="40" t="s">
        <v>11404</v>
      </c>
    </row>
    <row r="25252">
      <c r="A25252" s="39"/>
      <c r="E25252" s="40" t="s">
        <v>11404</v>
      </c>
      <c r="F25252" s="40" t="s">
        <v>11404</v>
      </c>
      <c r="G25252" s="40" t="s">
        <v>11404</v>
      </c>
      <c r="H25252" s="40" t="s">
        <v>11404</v>
      </c>
    </row>
    <row r="25253">
      <c r="A25253" s="39"/>
      <c r="E25253" s="40" t="s">
        <v>11404</v>
      </c>
      <c r="F25253" s="40" t="s">
        <v>11404</v>
      </c>
      <c r="G25253" s="40" t="s">
        <v>11404</v>
      </c>
      <c r="H25253" s="40" t="s">
        <v>11404</v>
      </c>
    </row>
    <row r="25254">
      <c r="A25254" s="39"/>
      <c r="E25254" s="40" t="s">
        <v>11404</v>
      </c>
      <c r="F25254" s="40" t="s">
        <v>11404</v>
      </c>
      <c r="G25254" s="40" t="s">
        <v>11404</v>
      </c>
      <c r="H25254" s="40" t="s">
        <v>11404</v>
      </c>
    </row>
    <row r="25255">
      <c r="A25255" s="39"/>
      <c r="E25255" s="40" t="s">
        <v>11404</v>
      </c>
      <c r="F25255" s="40" t="s">
        <v>11404</v>
      </c>
      <c r="G25255" s="40" t="s">
        <v>11404</v>
      </c>
      <c r="H25255" s="40" t="s">
        <v>11404</v>
      </c>
    </row>
    <row r="25256">
      <c r="A25256" s="39"/>
      <c r="E25256" s="40" t="s">
        <v>11404</v>
      </c>
      <c r="F25256" s="40" t="s">
        <v>11404</v>
      </c>
      <c r="G25256" s="40" t="s">
        <v>11404</v>
      </c>
      <c r="H25256" s="40" t="s">
        <v>11404</v>
      </c>
    </row>
    <row r="25257">
      <c r="A25257" s="39"/>
      <c r="E25257" s="40" t="s">
        <v>11404</v>
      </c>
      <c r="F25257" s="40" t="s">
        <v>11404</v>
      </c>
      <c r="G25257" s="40" t="s">
        <v>11404</v>
      </c>
      <c r="H25257" s="40" t="s">
        <v>11404</v>
      </c>
    </row>
    <row r="25258">
      <c r="A25258" s="39"/>
      <c r="E25258" s="40" t="s">
        <v>11404</v>
      </c>
      <c r="F25258" s="40" t="s">
        <v>11404</v>
      </c>
      <c r="G25258" s="40" t="s">
        <v>11404</v>
      </c>
      <c r="H25258" s="40" t="s">
        <v>11404</v>
      </c>
    </row>
    <row r="25259">
      <c r="A25259" s="39"/>
      <c r="E25259" s="40" t="s">
        <v>11404</v>
      </c>
      <c r="F25259" s="40" t="s">
        <v>11404</v>
      </c>
      <c r="G25259" s="40" t="s">
        <v>11404</v>
      </c>
      <c r="H25259" s="40" t="s">
        <v>11404</v>
      </c>
    </row>
    <row r="25260">
      <c r="A25260" s="39"/>
      <c r="E25260" s="40" t="s">
        <v>11404</v>
      </c>
      <c r="F25260" s="40" t="s">
        <v>11404</v>
      </c>
      <c r="G25260" s="40" t="s">
        <v>11404</v>
      </c>
      <c r="H25260" s="40" t="s">
        <v>11404</v>
      </c>
    </row>
    <row r="25261">
      <c r="A25261" s="39"/>
      <c r="E25261" s="40" t="s">
        <v>11404</v>
      </c>
      <c r="F25261" s="40" t="s">
        <v>11404</v>
      </c>
      <c r="G25261" s="40" t="s">
        <v>11404</v>
      </c>
      <c r="H25261" s="40" t="s">
        <v>11404</v>
      </c>
    </row>
    <row r="25262">
      <c r="A25262" s="39"/>
      <c r="E25262" s="40" t="s">
        <v>11404</v>
      </c>
      <c r="F25262" s="40" t="s">
        <v>11404</v>
      </c>
      <c r="G25262" s="40" t="s">
        <v>11404</v>
      </c>
      <c r="H25262" s="40" t="s">
        <v>11404</v>
      </c>
    </row>
    <row r="25263">
      <c r="A25263" s="39"/>
      <c r="E25263" s="40" t="s">
        <v>11404</v>
      </c>
      <c r="F25263" s="40" t="s">
        <v>11404</v>
      </c>
      <c r="G25263" s="40" t="s">
        <v>11404</v>
      </c>
      <c r="H25263" s="40" t="s">
        <v>11404</v>
      </c>
    </row>
    <row r="25264">
      <c r="A25264" s="39"/>
      <c r="E25264" s="40" t="s">
        <v>11404</v>
      </c>
      <c r="F25264" s="40" t="s">
        <v>11404</v>
      </c>
      <c r="G25264" s="40" t="s">
        <v>11404</v>
      </c>
      <c r="H25264" s="40" t="s">
        <v>11404</v>
      </c>
    </row>
    <row r="25265">
      <c r="A25265" s="39"/>
      <c r="E25265" s="40" t="s">
        <v>11404</v>
      </c>
      <c r="F25265" s="40" t="s">
        <v>11404</v>
      </c>
      <c r="G25265" s="40" t="s">
        <v>11404</v>
      </c>
      <c r="H25265" s="40" t="s">
        <v>11404</v>
      </c>
    </row>
    <row r="25266">
      <c r="A25266" s="39"/>
      <c r="E25266" s="40" t="s">
        <v>11404</v>
      </c>
      <c r="F25266" s="40" t="s">
        <v>11404</v>
      </c>
      <c r="G25266" s="40" t="s">
        <v>11404</v>
      </c>
      <c r="H25266" s="40" t="s">
        <v>11404</v>
      </c>
    </row>
    <row r="25267">
      <c r="A25267" s="39"/>
      <c r="E25267" s="40" t="s">
        <v>11404</v>
      </c>
      <c r="F25267" s="40" t="s">
        <v>11404</v>
      </c>
      <c r="G25267" s="40" t="s">
        <v>11404</v>
      </c>
      <c r="H25267" s="40" t="s">
        <v>11404</v>
      </c>
    </row>
    <row r="25268">
      <c r="A25268" s="39"/>
      <c r="E25268" s="40" t="s">
        <v>11404</v>
      </c>
      <c r="F25268" s="40" t="s">
        <v>11404</v>
      </c>
      <c r="G25268" s="40" t="s">
        <v>11404</v>
      </c>
      <c r="H25268" s="40" t="s">
        <v>11404</v>
      </c>
    </row>
    <row r="25269">
      <c r="A25269" s="39"/>
      <c r="E25269" s="40" t="s">
        <v>11404</v>
      </c>
      <c r="F25269" s="40" t="s">
        <v>11404</v>
      </c>
      <c r="G25269" s="40" t="s">
        <v>11404</v>
      </c>
      <c r="H25269" s="40" t="s">
        <v>11404</v>
      </c>
    </row>
    <row r="25270">
      <c r="A25270" s="39"/>
      <c r="E25270" s="40" t="s">
        <v>11404</v>
      </c>
      <c r="F25270" s="40" t="s">
        <v>11404</v>
      </c>
      <c r="G25270" s="40" t="s">
        <v>11404</v>
      </c>
      <c r="H25270" s="40" t="s">
        <v>11404</v>
      </c>
    </row>
    <row r="25271">
      <c r="A25271" s="39"/>
      <c r="E25271" s="40" t="s">
        <v>11404</v>
      </c>
      <c r="F25271" s="40" t="s">
        <v>11404</v>
      </c>
      <c r="G25271" s="40" t="s">
        <v>11404</v>
      </c>
      <c r="H25271" s="40" t="s">
        <v>11404</v>
      </c>
    </row>
    <row r="25272">
      <c r="A25272" s="39"/>
      <c r="E25272" s="40" t="s">
        <v>11404</v>
      </c>
      <c r="F25272" s="40" t="s">
        <v>11404</v>
      </c>
      <c r="G25272" s="40" t="s">
        <v>11404</v>
      </c>
      <c r="H25272" s="40" t="s">
        <v>11404</v>
      </c>
    </row>
    <row r="25273">
      <c r="A25273" s="39"/>
      <c r="E25273" s="40" t="s">
        <v>11404</v>
      </c>
      <c r="F25273" s="40" t="s">
        <v>11404</v>
      </c>
      <c r="G25273" s="40" t="s">
        <v>11404</v>
      </c>
      <c r="H25273" s="40" t="s">
        <v>11404</v>
      </c>
    </row>
    <row r="25274">
      <c r="A25274" s="39"/>
      <c r="E25274" s="40" t="s">
        <v>11404</v>
      </c>
      <c r="F25274" s="40" t="s">
        <v>11404</v>
      </c>
      <c r="G25274" s="40" t="s">
        <v>11404</v>
      </c>
      <c r="H25274" s="40" t="s">
        <v>11404</v>
      </c>
    </row>
    <row r="25275">
      <c r="A25275" s="39"/>
      <c r="E25275" s="40" t="s">
        <v>11404</v>
      </c>
      <c r="F25275" s="40" t="s">
        <v>11404</v>
      </c>
      <c r="G25275" s="40" t="s">
        <v>11404</v>
      </c>
      <c r="H25275" s="40" t="s">
        <v>11404</v>
      </c>
    </row>
    <row r="25276">
      <c r="A25276" s="39"/>
      <c r="E25276" s="40" t="s">
        <v>11404</v>
      </c>
      <c r="F25276" s="40" t="s">
        <v>11404</v>
      </c>
      <c r="G25276" s="40" t="s">
        <v>11404</v>
      </c>
      <c r="H25276" s="40" t="s">
        <v>11404</v>
      </c>
    </row>
    <row r="25277">
      <c r="A25277" s="39"/>
      <c r="E25277" s="40" t="s">
        <v>11404</v>
      </c>
      <c r="F25277" s="40" t="s">
        <v>11404</v>
      </c>
      <c r="G25277" s="40" t="s">
        <v>11404</v>
      </c>
      <c r="H25277" s="40" t="s">
        <v>11404</v>
      </c>
    </row>
    <row r="25278">
      <c r="A25278" s="39"/>
      <c r="E25278" s="40" t="s">
        <v>11404</v>
      </c>
      <c r="F25278" s="40" t="s">
        <v>11404</v>
      </c>
      <c r="G25278" s="40" t="s">
        <v>11404</v>
      </c>
      <c r="H25278" s="40" t="s">
        <v>11404</v>
      </c>
    </row>
    <row r="25279">
      <c r="A25279" s="39"/>
      <c r="E25279" s="40" t="s">
        <v>11404</v>
      </c>
      <c r="F25279" s="40" t="s">
        <v>11404</v>
      </c>
      <c r="G25279" s="40" t="s">
        <v>11404</v>
      </c>
      <c r="H25279" s="40" t="s">
        <v>11404</v>
      </c>
    </row>
    <row r="25280">
      <c r="A25280" s="39"/>
      <c r="E25280" s="40" t="s">
        <v>11404</v>
      </c>
      <c r="F25280" s="40" t="s">
        <v>11404</v>
      </c>
      <c r="G25280" s="40" t="s">
        <v>11404</v>
      </c>
      <c r="H25280" s="40" t="s">
        <v>11404</v>
      </c>
    </row>
    <row r="25281">
      <c r="A25281" s="39"/>
      <c r="E25281" s="40" t="s">
        <v>11404</v>
      </c>
      <c r="F25281" s="40" t="s">
        <v>11404</v>
      </c>
      <c r="G25281" s="40" t="s">
        <v>11404</v>
      </c>
      <c r="H25281" s="40" t="s">
        <v>11404</v>
      </c>
    </row>
    <row r="25282">
      <c r="A25282" s="39"/>
      <c r="E25282" s="40" t="s">
        <v>11404</v>
      </c>
      <c r="F25282" s="40" t="s">
        <v>11404</v>
      </c>
      <c r="G25282" s="40" t="s">
        <v>11404</v>
      </c>
      <c r="H25282" s="40" t="s">
        <v>11404</v>
      </c>
    </row>
    <row r="25283">
      <c r="A25283" s="39"/>
      <c r="E25283" s="40" t="s">
        <v>11404</v>
      </c>
      <c r="F25283" s="40" t="s">
        <v>11404</v>
      </c>
      <c r="G25283" s="40" t="s">
        <v>11404</v>
      </c>
      <c r="H25283" s="40" t="s">
        <v>11404</v>
      </c>
    </row>
    <row r="25284">
      <c r="A25284" s="39"/>
      <c r="E25284" s="40" t="s">
        <v>11404</v>
      </c>
      <c r="F25284" s="40" t="s">
        <v>11404</v>
      </c>
      <c r="G25284" s="40" t="s">
        <v>11404</v>
      </c>
      <c r="H25284" s="40" t="s">
        <v>11404</v>
      </c>
    </row>
    <row r="25285">
      <c r="A25285" s="39"/>
      <c r="E25285" s="40" t="s">
        <v>11404</v>
      </c>
      <c r="F25285" s="40" t="s">
        <v>11404</v>
      </c>
      <c r="G25285" s="40" t="s">
        <v>11404</v>
      </c>
      <c r="H25285" s="40" t="s">
        <v>11404</v>
      </c>
    </row>
    <row r="25286">
      <c r="A25286" s="39"/>
      <c r="E25286" s="40" t="s">
        <v>11404</v>
      </c>
      <c r="F25286" s="40" t="s">
        <v>11404</v>
      </c>
      <c r="G25286" s="40" t="s">
        <v>11404</v>
      </c>
      <c r="H25286" s="40" t="s">
        <v>11404</v>
      </c>
    </row>
    <row r="25287">
      <c r="A25287" s="39"/>
      <c r="E25287" s="40" t="s">
        <v>11404</v>
      </c>
      <c r="F25287" s="40" t="s">
        <v>11404</v>
      </c>
      <c r="G25287" s="40" t="s">
        <v>11404</v>
      </c>
      <c r="H25287" s="40" t="s">
        <v>11404</v>
      </c>
    </row>
    <row r="25288">
      <c r="A25288" s="39"/>
      <c r="E25288" s="40" t="s">
        <v>11404</v>
      </c>
      <c r="F25288" s="40" t="s">
        <v>11404</v>
      </c>
      <c r="G25288" s="40" t="s">
        <v>11404</v>
      </c>
      <c r="H25288" s="40" t="s">
        <v>11404</v>
      </c>
    </row>
    <row r="25289">
      <c r="A25289" s="39"/>
      <c r="E25289" s="40" t="s">
        <v>11404</v>
      </c>
      <c r="F25289" s="40" t="s">
        <v>11404</v>
      </c>
      <c r="G25289" s="40" t="s">
        <v>11404</v>
      </c>
      <c r="H25289" s="40" t="s">
        <v>11404</v>
      </c>
    </row>
    <row r="25290">
      <c r="A25290" s="39"/>
      <c r="E25290" s="40" t="s">
        <v>11404</v>
      </c>
      <c r="F25290" s="40" t="s">
        <v>11404</v>
      </c>
      <c r="G25290" s="40" t="s">
        <v>11404</v>
      </c>
      <c r="H25290" s="40" t="s">
        <v>11404</v>
      </c>
    </row>
    <row r="25291">
      <c r="A25291" s="39"/>
      <c r="E25291" s="40" t="s">
        <v>11404</v>
      </c>
      <c r="F25291" s="40" t="s">
        <v>11404</v>
      </c>
      <c r="G25291" s="40" t="s">
        <v>11404</v>
      </c>
      <c r="H25291" s="40" t="s">
        <v>11404</v>
      </c>
    </row>
    <row r="25292">
      <c r="A25292" s="39"/>
      <c r="E25292" s="40" t="s">
        <v>11404</v>
      </c>
      <c r="F25292" s="40" t="s">
        <v>11404</v>
      </c>
      <c r="G25292" s="40" t="s">
        <v>11404</v>
      </c>
      <c r="H25292" s="40" t="s">
        <v>11404</v>
      </c>
    </row>
    <row r="25293">
      <c r="A25293" s="39"/>
      <c r="E25293" s="40" t="s">
        <v>11404</v>
      </c>
      <c r="F25293" s="40" t="s">
        <v>11404</v>
      </c>
      <c r="G25293" s="40" t="s">
        <v>11404</v>
      </c>
      <c r="H25293" s="40" t="s">
        <v>11404</v>
      </c>
    </row>
    <row r="25294">
      <c r="A25294" s="39"/>
      <c r="E25294" s="40" t="s">
        <v>11404</v>
      </c>
      <c r="F25294" s="40" t="s">
        <v>11404</v>
      </c>
      <c r="G25294" s="40" t="s">
        <v>11404</v>
      </c>
      <c r="H25294" s="40" t="s">
        <v>11404</v>
      </c>
    </row>
    <row r="25295">
      <c r="A25295" s="39"/>
      <c r="E25295" s="40" t="s">
        <v>11404</v>
      </c>
      <c r="F25295" s="40" t="s">
        <v>11404</v>
      </c>
      <c r="G25295" s="40" t="s">
        <v>11404</v>
      </c>
      <c r="H25295" s="40" t="s">
        <v>11404</v>
      </c>
    </row>
    <row r="25296">
      <c r="A25296" s="39"/>
      <c r="E25296" s="40" t="s">
        <v>11404</v>
      </c>
      <c r="F25296" s="40" t="s">
        <v>11404</v>
      </c>
      <c r="G25296" s="40" t="s">
        <v>11404</v>
      </c>
      <c r="H25296" s="40" t="s">
        <v>11404</v>
      </c>
    </row>
    <row r="25297">
      <c r="A25297" s="39"/>
      <c r="E25297" s="40" t="s">
        <v>11404</v>
      </c>
      <c r="F25297" s="40" t="s">
        <v>11404</v>
      </c>
      <c r="G25297" s="40" t="s">
        <v>11404</v>
      </c>
      <c r="H25297" s="40" t="s">
        <v>11404</v>
      </c>
    </row>
    <row r="25298">
      <c r="A25298" s="39"/>
      <c r="E25298" s="40" t="s">
        <v>11404</v>
      </c>
      <c r="F25298" s="40" t="s">
        <v>11404</v>
      </c>
      <c r="G25298" s="40" t="s">
        <v>11404</v>
      </c>
      <c r="H25298" s="40" t="s">
        <v>11404</v>
      </c>
    </row>
    <row r="25299">
      <c r="A25299" s="39"/>
      <c r="E25299" s="40" t="s">
        <v>11404</v>
      </c>
      <c r="F25299" s="40" t="s">
        <v>11404</v>
      </c>
      <c r="G25299" s="40" t="s">
        <v>11404</v>
      </c>
      <c r="H25299" s="40" t="s">
        <v>11404</v>
      </c>
    </row>
    <row r="25300">
      <c r="A25300" s="39"/>
      <c r="E25300" s="40" t="s">
        <v>11404</v>
      </c>
      <c r="F25300" s="40" t="s">
        <v>11404</v>
      </c>
      <c r="G25300" s="40" t="s">
        <v>11404</v>
      </c>
      <c r="H25300" s="40" t="s">
        <v>11404</v>
      </c>
    </row>
    <row r="25301">
      <c r="A25301" s="39"/>
      <c r="E25301" s="40" t="s">
        <v>11404</v>
      </c>
      <c r="F25301" s="40" t="s">
        <v>11404</v>
      </c>
      <c r="G25301" s="40" t="s">
        <v>11404</v>
      </c>
      <c r="H25301" s="40" t="s">
        <v>11404</v>
      </c>
    </row>
    <row r="25302">
      <c r="A25302" s="39"/>
      <c r="E25302" s="40" t="s">
        <v>11404</v>
      </c>
      <c r="F25302" s="40" t="s">
        <v>11404</v>
      </c>
      <c r="G25302" s="40" t="s">
        <v>11404</v>
      </c>
      <c r="H25302" s="40" t="s">
        <v>11404</v>
      </c>
    </row>
    <row r="25303">
      <c r="A25303" s="39"/>
      <c r="E25303" s="40" t="s">
        <v>11404</v>
      </c>
      <c r="F25303" s="40" t="s">
        <v>11404</v>
      </c>
      <c r="G25303" s="40" t="s">
        <v>11404</v>
      </c>
      <c r="H25303" s="40" t="s">
        <v>11404</v>
      </c>
    </row>
    <row r="25304">
      <c r="A25304" s="39"/>
      <c r="E25304" s="40" t="s">
        <v>11404</v>
      </c>
      <c r="F25304" s="40" t="s">
        <v>11404</v>
      </c>
      <c r="G25304" s="40" t="s">
        <v>11404</v>
      </c>
      <c r="H25304" s="40" t="s">
        <v>11404</v>
      </c>
    </row>
    <row r="25305">
      <c r="A25305" s="39"/>
      <c r="E25305" s="40" t="s">
        <v>11404</v>
      </c>
      <c r="F25305" s="40" t="s">
        <v>11404</v>
      </c>
      <c r="G25305" s="40" t="s">
        <v>11404</v>
      </c>
      <c r="H25305" s="40" t="s">
        <v>11404</v>
      </c>
    </row>
    <row r="25306">
      <c r="A25306" s="39"/>
      <c r="E25306" s="40" t="s">
        <v>11404</v>
      </c>
      <c r="F25306" s="40" t="s">
        <v>11404</v>
      </c>
      <c r="G25306" s="40" t="s">
        <v>11404</v>
      </c>
      <c r="H25306" s="40" t="s">
        <v>11404</v>
      </c>
    </row>
    <row r="25307">
      <c r="A25307" s="39"/>
      <c r="E25307" s="40" t="s">
        <v>11404</v>
      </c>
      <c r="F25307" s="40" t="s">
        <v>11404</v>
      </c>
      <c r="G25307" s="40" t="s">
        <v>11404</v>
      </c>
      <c r="H25307" s="40" t="s">
        <v>11404</v>
      </c>
    </row>
    <row r="25308">
      <c r="A25308" s="39"/>
      <c r="E25308" s="40" t="s">
        <v>11404</v>
      </c>
      <c r="F25308" s="40" t="s">
        <v>11404</v>
      </c>
      <c r="G25308" s="40" t="s">
        <v>11404</v>
      </c>
      <c r="H25308" s="40" t="s">
        <v>11404</v>
      </c>
    </row>
    <row r="25309">
      <c r="A25309" s="39"/>
      <c r="E25309" s="40" t="s">
        <v>11404</v>
      </c>
      <c r="F25309" s="40" t="s">
        <v>11404</v>
      </c>
      <c r="G25309" s="40" t="s">
        <v>11404</v>
      </c>
      <c r="H25309" s="40" t="s">
        <v>11404</v>
      </c>
    </row>
    <row r="25310">
      <c r="A25310" s="39"/>
      <c r="E25310" s="40" t="s">
        <v>11404</v>
      </c>
      <c r="F25310" s="40" t="s">
        <v>11404</v>
      </c>
      <c r="G25310" s="40" t="s">
        <v>11404</v>
      </c>
      <c r="H25310" s="40" t="s">
        <v>11404</v>
      </c>
    </row>
    <row r="25311">
      <c r="A25311" s="39"/>
      <c r="E25311" s="40" t="s">
        <v>11404</v>
      </c>
      <c r="F25311" s="40" t="s">
        <v>11404</v>
      </c>
      <c r="G25311" s="40" t="s">
        <v>11404</v>
      </c>
      <c r="H25311" s="40" t="s">
        <v>11404</v>
      </c>
    </row>
    <row r="25312">
      <c r="A25312" s="39"/>
      <c r="E25312" s="40" t="s">
        <v>11404</v>
      </c>
      <c r="F25312" s="40" t="s">
        <v>11404</v>
      </c>
      <c r="G25312" s="40" t="s">
        <v>11404</v>
      </c>
      <c r="H25312" s="40" t="s">
        <v>11404</v>
      </c>
    </row>
    <row r="25313">
      <c r="A25313" s="39"/>
      <c r="E25313" s="40" t="s">
        <v>11404</v>
      </c>
      <c r="F25313" s="40" t="s">
        <v>11404</v>
      </c>
      <c r="G25313" s="40" t="s">
        <v>11404</v>
      </c>
      <c r="H25313" s="40" t="s">
        <v>11404</v>
      </c>
    </row>
    <row r="25314">
      <c r="A25314" s="39"/>
      <c r="E25314" s="40" t="s">
        <v>11404</v>
      </c>
      <c r="F25314" s="40" t="s">
        <v>11404</v>
      </c>
      <c r="G25314" s="40" t="s">
        <v>11404</v>
      </c>
      <c r="H25314" s="40" t="s">
        <v>11404</v>
      </c>
    </row>
    <row r="25315">
      <c r="A25315" s="39"/>
      <c r="E25315" s="40" t="s">
        <v>11404</v>
      </c>
      <c r="F25315" s="40" t="s">
        <v>11404</v>
      </c>
      <c r="G25315" s="40" t="s">
        <v>11404</v>
      </c>
      <c r="H25315" s="40" t="s">
        <v>11404</v>
      </c>
    </row>
    <row r="25316">
      <c r="A25316" s="39"/>
      <c r="E25316" s="40" t="s">
        <v>11404</v>
      </c>
      <c r="F25316" s="40" t="s">
        <v>11404</v>
      </c>
      <c r="G25316" s="40" t="s">
        <v>11404</v>
      </c>
      <c r="H25316" s="40" t="s">
        <v>11404</v>
      </c>
    </row>
    <row r="25317">
      <c r="A25317" s="39"/>
      <c r="E25317" s="40" t="s">
        <v>11404</v>
      </c>
      <c r="F25317" s="40" t="s">
        <v>11404</v>
      </c>
      <c r="G25317" s="40" t="s">
        <v>11404</v>
      </c>
      <c r="H25317" s="40" t="s">
        <v>11404</v>
      </c>
    </row>
    <row r="25318">
      <c r="A25318" s="39"/>
      <c r="E25318" s="40" t="s">
        <v>11404</v>
      </c>
      <c r="F25318" s="40" t="s">
        <v>11404</v>
      </c>
      <c r="G25318" s="40" t="s">
        <v>11404</v>
      </c>
      <c r="H25318" s="40" t="s">
        <v>11404</v>
      </c>
    </row>
    <row r="25319">
      <c r="A25319" s="39"/>
      <c r="E25319" s="40" t="s">
        <v>11404</v>
      </c>
      <c r="F25319" s="40" t="s">
        <v>11404</v>
      </c>
      <c r="G25319" s="40" t="s">
        <v>11404</v>
      </c>
      <c r="H25319" s="40" t="s">
        <v>11404</v>
      </c>
    </row>
    <row r="25320">
      <c r="A25320" s="39"/>
      <c r="E25320" s="40" t="s">
        <v>11404</v>
      </c>
      <c r="F25320" s="40" t="s">
        <v>11404</v>
      </c>
      <c r="G25320" s="40" t="s">
        <v>11404</v>
      </c>
      <c r="H25320" s="40" t="s">
        <v>11404</v>
      </c>
    </row>
    <row r="25321">
      <c r="A25321" s="39"/>
      <c r="E25321" s="40" t="s">
        <v>11404</v>
      </c>
      <c r="F25321" s="40" t="s">
        <v>11404</v>
      </c>
      <c r="G25321" s="40" t="s">
        <v>11404</v>
      </c>
      <c r="H25321" s="40" t="s">
        <v>11404</v>
      </c>
    </row>
    <row r="25322">
      <c r="A25322" s="39"/>
      <c r="E25322" s="40" t="s">
        <v>11404</v>
      </c>
      <c r="F25322" s="40" t="s">
        <v>11404</v>
      </c>
      <c r="G25322" s="40" t="s">
        <v>11404</v>
      </c>
      <c r="H25322" s="40" t="s">
        <v>11404</v>
      </c>
    </row>
    <row r="25323">
      <c r="A25323" s="39"/>
      <c r="E25323" s="40" t="s">
        <v>11404</v>
      </c>
      <c r="F25323" s="40" t="s">
        <v>11404</v>
      </c>
      <c r="G25323" s="40" t="s">
        <v>11404</v>
      </c>
      <c r="H25323" s="40" t="s">
        <v>11404</v>
      </c>
    </row>
    <row r="25324">
      <c r="A25324" s="39"/>
      <c r="E25324" s="40" t="s">
        <v>11404</v>
      </c>
      <c r="F25324" s="40" t="s">
        <v>11404</v>
      </c>
      <c r="G25324" s="40" t="s">
        <v>11404</v>
      </c>
      <c r="H25324" s="40" t="s">
        <v>11404</v>
      </c>
    </row>
    <row r="25325">
      <c r="A25325" s="39"/>
      <c r="E25325" s="40" t="s">
        <v>11404</v>
      </c>
      <c r="F25325" s="40" t="s">
        <v>11404</v>
      </c>
      <c r="G25325" s="40" t="s">
        <v>11404</v>
      </c>
      <c r="H25325" s="40" t="s">
        <v>11404</v>
      </c>
    </row>
    <row r="25326">
      <c r="A25326" s="39"/>
      <c r="E25326" s="40" t="s">
        <v>11404</v>
      </c>
      <c r="F25326" s="40" t="s">
        <v>11404</v>
      </c>
      <c r="G25326" s="40" t="s">
        <v>11404</v>
      </c>
      <c r="H25326" s="40" t="s">
        <v>11404</v>
      </c>
    </row>
    <row r="25327">
      <c r="A25327" s="39"/>
      <c r="E25327" s="40" t="s">
        <v>11404</v>
      </c>
      <c r="F25327" s="40" t="s">
        <v>11404</v>
      </c>
      <c r="G25327" s="40" t="s">
        <v>11404</v>
      </c>
      <c r="H25327" s="40" t="s">
        <v>11404</v>
      </c>
    </row>
    <row r="25328">
      <c r="A25328" s="39"/>
      <c r="E25328" s="40" t="s">
        <v>11404</v>
      </c>
      <c r="F25328" s="40" t="s">
        <v>11404</v>
      </c>
      <c r="G25328" s="40" t="s">
        <v>11404</v>
      </c>
      <c r="H25328" s="40" t="s">
        <v>11404</v>
      </c>
    </row>
    <row r="25329">
      <c r="A25329" s="39"/>
      <c r="E25329" s="40" t="s">
        <v>11404</v>
      </c>
      <c r="F25329" s="40" t="s">
        <v>11404</v>
      </c>
      <c r="G25329" s="40" t="s">
        <v>11404</v>
      </c>
      <c r="H25329" s="40" t="s">
        <v>11404</v>
      </c>
    </row>
    <row r="25330">
      <c r="A25330" s="39"/>
      <c r="E25330" s="40" t="s">
        <v>11404</v>
      </c>
      <c r="F25330" s="40" t="s">
        <v>11404</v>
      </c>
      <c r="G25330" s="40" t="s">
        <v>11404</v>
      </c>
      <c r="H25330" s="40" t="s">
        <v>11404</v>
      </c>
    </row>
    <row r="25331">
      <c r="A25331" s="39"/>
      <c r="E25331" s="40" t="s">
        <v>11404</v>
      </c>
      <c r="F25331" s="40" t="s">
        <v>11404</v>
      </c>
      <c r="G25331" s="40" t="s">
        <v>11404</v>
      </c>
      <c r="H25331" s="40" t="s">
        <v>11404</v>
      </c>
    </row>
    <row r="25332">
      <c r="A25332" s="39"/>
      <c r="E25332" s="40" t="s">
        <v>11404</v>
      </c>
      <c r="F25332" s="40" t="s">
        <v>11404</v>
      </c>
      <c r="G25332" s="40" t="s">
        <v>11404</v>
      </c>
      <c r="H25332" s="40" t="s">
        <v>11404</v>
      </c>
    </row>
    <row r="25333">
      <c r="A25333" s="39"/>
      <c r="E25333" s="40" t="s">
        <v>11404</v>
      </c>
      <c r="F25333" s="40" t="s">
        <v>11404</v>
      </c>
      <c r="G25333" s="40" t="s">
        <v>11404</v>
      </c>
      <c r="H25333" s="40" t="s">
        <v>11404</v>
      </c>
    </row>
    <row r="25334">
      <c r="A25334" s="39"/>
      <c r="E25334" s="40" t="s">
        <v>11404</v>
      </c>
      <c r="F25334" s="40" t="s">
        <v>11404</v>
      </c>
      <c r="G25334" s="40" t="s">
        <v>11404</v>
      </c>
      <c r="H25334" s="40" t="s">
        <v>11404</v>
      </c>
    </row>
    <row r="25335">
      <c r="A25335" s="39"/>
      <c r="E25335" s="40" t="s">
        <v>11404</v>
      </c>
      <c r="F25335" s="40" t="s">
        <v>11404</v>
      </c>
      <c r="G25335" s="40" t="s">
        <v>11404</v>
      </c>
      <c r="H25335" s="40" t="s">
        <v>11404</v>
      </c>
    </row>
    <row r="25336">
      <c r="A25336" s="39"/>
      <c r="E25336" s="40" t="s">
        <v>11404</v>
      </c>
      <c r="F25336" s="40" t="s">
        <v>11404</v>
      </c>
      <c r="G25336" s="40" t="s">
        <v>11404</v>
      </c>
      <c r="H25336" s="40" t="s">
        <v>11404</v>
      </c>
    </row>
    <row r="25337">
      <c r="A25337" s="39"/>
      <c r="E25337" s="40" t="s">
        <v>11404</v>
      </c>
      <c r="F25337" s="40" t="s">
        <v>11404</v>
      </c>
      <c r="G25337" s="40" t="s">
        <v>11404</v>
      </c>
      <c r="H25337" s="40" t="s">
        <v>11404</v>
      </c>
    </row>
    <row r="25338">
      <c r="A25338" s="39"/>
      <c r="E25338" s="40" t="s">
        <v>11404</v>
      </c>
      <c r="F25338" s="40" t="s">
        <v>11404</v>
      </c>
      <c r="G25338" s="40" t="s">
        <v>11404</v>
      </c>
      <c r="H25338" s="40" t="s">
        <v>11404</v>
      </c>
    </row>
    <row r="25339">
      <c r="A25339" s="39"/>
      <c r="E25339" s="40" t="s">
        <v>11404</v>
      </c>
      <c r="F25339" s="40" t="s">
        <v>11404</v>
      </c>
      <c r="G25339" s="40" t="s">
        <v>11404</v>
      </c>
      <c r="H25339" s="40" t="s">
        <v>11404</v>
      </c>
    </row>
    <row r="25340">
      <c r="A25340" s="39"/>
      <c r="E25340" s="40" t="s">
        <v>11404</v>
      </c>
      <c r="F25340" s="40" t="s">
        <v>11404</v>
      </c>
      <c r="G25340" s="40" t="s">
        <v>11404</v>
      </c>
      <c r="H25340" s="40" t="s">
        <v>11404</v>
      </c>
    </row>
    <row r="25341">
      <c r="A25341" s="39"/>
      <c r="E25341" s="40" t="s">
        <v>11404</v>
      </c>
      <c r="F25341" s="40" t="s">
        <v>11404</v>
      </c>
      <c r="G25341" s="40" t="s">
        <v>11404</v>
      </c>
      <c r="H25341" s="40" t="s">
        <v>11404</v>
      </c>
    </row>
    <row r="25342">
      <c r="A25342" s="39"/>
      <c r="E25342" s="40" t="s">
        <v>11404</v>
      </c>
      <c r="F25342" s="40" t="s">
        <v>11404</v>
      </c>
      <c r="G25342" s="40" t="s">
        <v>11404</v>
      </c>
      <c r="H25342" s="40" t="s">
        <v>11404</v>
      </c>
    </row>
    <row r="25343">
      <c r="A25343" s="39"/>
      <c r="E25343" s="40" t="s">
        <v>11404</v>
      </c>
      <c r="F25343" s="40" t="s">
        <v>11404</v>
      </c>
      <c r="G25343" s="40" t="s">
        <v>11404</v>
      </c>
      <c r="H25343" s="40" t="s">
        <v>11404</v>
      </c>
    </row>
    <row r="25344">
      <c r="A25344" s="39"/>
      <c r="E25344" s="40" t="s">
        <v>11404</v>
      </c>
      <c r="F25344" s="40" t="s">
        <v>11404</v>
      </c>
      <c r="G25344" s="40" t="s">
        <v>11404</v>
      </c>
      <c r="H25344" s="40" t="s">
        <v>11404</v>
      </c>
    </row>
    <row r="25345">
      <c r="A25345" s="39"/>
      <c r="E25345" s="40" t="s">
        <v>11404</v>
      </c>
      <c r="F25345" s="40" t="s">
        <v>11404</v>
      </c>
      <c r="G25345" s="40" t="s">
        <v>11404</v>
      </c>
      <c r="H25345" s="40" t="s">
        <v>11404</v>
      </c>
    </row>
    <row r="25346">
      <c r="A25346" s="39"/>
      <c r="E25346" s="40" t="s">
        <v>11404</v>
      </c>
      <c r="F25346" s="40" t="s">
        <v>11404</v>
      </c>
      <c r="G25346" s="40" t="s">
        <v>11404</v>
      </c>
      <c r="H25346" s="40" t="s">
        <v>11404</v>
      </c>
    </row>
    <row r="25347">
      <c r="A25347" s="39"/>
      <c r="E25347" s="40" t="s">
        <v>11404</v>
      </c>
      <c r="F25347" s="40" t="s">
        <v>11404</v>
      </c>
      <c r="G25347" s="40" t="s">
        <v>11404</v>
      </c>
      <c r="H25347" s="40" t="s">
        <v>11404</v>
      </c>
    </row>
    <row r="25348">
      <c r="A25348" s="39"/>
      <c r="E25348" s="40" t="s">
        <v>11404</v>
      </c>
      <c r="F25348" s="40" t="s">
        <v>11404</v>
      </c>
      <c r="G25348" s="40" t="s">
        <v>11404</v>
      </c>
      <c r="H25348" s="40" t="s">
        <v>11404</v>
      </c>
    </row>
    <row r="25349">
      <c r="A25349" s="39"/>
      <c r="E25349" s="40" t="s">
        <v>11404</v>
      </c>
      <c r="F25349" s="40" t="s">
        <v>11404</v>
      </c>
      <c r="G25349" s="40" t="s">
        <v>11404</v>
      </c>
      <c r="H25349" s="40" t="s">
        <v>11404</v>
      </c>
    </row>
    <row r="25350">
      <c r="A25350" s="39"/>
      <c r="E25350" s="40" t="s">
        <v>11404</v>
      </c>
      <c r="F25350" s="40" t="s">
        <v>11404</v>
      </c>
      <c r="G25350" s="40" t="s">
        <v>11404</v>
      </c>
      <c r="H25350" s="40" t="s">
        <v>11404</v>
      </c>
    </row>
    <row r="25351">
      <c r="A25351" s="39"/>
      <c r="E25351" s="40" t="s">
        <v>11404</v>
      </c>
      <c r="F25351" s="40" t="s">
        <v>11404</v>
      </c>
      <c r="G25351" s="40" t="s">
        <v>11404</v>
      </c>
      <c r="H25351" s="40" t="s">
        <v>11404</v>
      </c>
    </row>
    <row r="25352">
      <c r="A25352" s="39"/>
      <c r="E25352" s="40" t="s">
        <v>11404</v>
      </c>
      <c r="F25352" s="40" t="s">
        <v>11404</v>
      </c>
      <c r="G25352" s="40" t="s">
        <v>11404</v>
      </c>
      <c r="H25352" s="40" t="s">
        <v>11404</v>
      </c>
    </row>
    <row r="25353">
      <c r="A25353" s="39"/>
      <c r="E25353" s="40" t="s">
        <v>11404</v>
      </c>
      <c r="F25353" s="40" t="s">
        <v>11404</v>
      </c>
      <c r="G25353" s="40" t="s">
        <v>11404</v>
      </c>
      <c r="H25353" s="40" t="s">
        <v>11404</v>
      </c>
    </row>
    <row r="25354">
      <c r="A25354" s="39"/>
      <c r="E25354" s="40" t="s">
        <v>11404</v>
      </c>
      <c r="F25354" s="40" t="s">
        <v>11404</v>
      </c>
      <c r="G25354" s="40" t="s">
        <v>11404</v>
      </c>
      <c r="H25354" s="40" t="s">
        <v>11404</v>
      </c>
    </row>
    <row r="25355">
      <c r="A25355" s="39"/>
      <c r="E25355" s="40" t="s">
        <v>11404</v>
      </c>
      <c r="F25355" s="40" t="s">
        <v>11404</v>
      </c>
      <c r="G25355" s="40" t="s">
        <v>11404</v>
      </c>
      <c r="H25355" s="40" t="s">
        <v>11404</v>
      </c>
    </row>
    <row r="25356">
      <c r="A25356" s="39"/>
      <c r="E25356" s="40" t="s">
        <v>11404</v>
      </c>
      <c r="F25356" s="40" t="s">
        <v>11404</v>
      </c>
      <c r="G25356" s="40" t="s">
        <v>11404</v>
      </c>
      <c r="H25356" s="40" t="s">
        <v>11404</v>
      </c>
    </row>
    <row r="25357">
      <c r="A25357" s="39"/>
      <c r="E25357" s="40" t="s">
        <v>11404</v>
      </c>
      <c r="F25357" s="40" t="s">
        <v>11404</v>
      </c>
      <c r="G25357" s="40" t="s">
        <v>11404</v>
      </c>
      <c r="H25357" s="40" t="s">
        <v>11404</v>
      </c>
    </row>
    <row r="25358">
      <c r="A25358" s="39"/>
      <c r="E25358" s="40" t="s">
        <v>11404</v>
      </c>
      <c r="F25358" s="40" t="s">
        <v>11404</v>
      </c>
      <c r="G25358" s="40" t="s">
        <v>11404</v>
      </c>
      <c r="H25358" s="40" t="s">
        <v>11404</v>
      </c>
    </row>
    <row r="25359">
      <c r="A25359" s="39"/>
      <c r="E25359" s="40" t="s">
        <v>11404</v>
      </c>
      <c r="F25359" s="40" t="s">
        <v>11404</v>
      </c>
      <c r="G25359" s="40" t="s">
        <v>11404</v>
      </c>
      <c r="H25359" s="40" t="s">
        <v>11404</v>
      </c>
    </row>
    <row r="25360">
      <c r="A25360" s="39"/>
      <c r="E25360" s="40" t="s">
        <v>11404</v>
      </c>
      <c r="F25360" s="40" t="s">
        <v>11404</v>
      </c>
      <c r="G25360" s="40" t="s">
        <v>11404</v>
      </c>
      <c r="H25360" s="40" t="s">
        <v>11404</v>
      </c>
    </row>
    <row r="25361">
      <c r="A25361" s="39"/>
      <c r="E25361" s="40" t="s">
        <v>11404</v>
      </c>
      <c r="F25361" s="40" t="s">
        <v>11404</v>
      </c>
      <c r="G25361" s="40" t="s">
        <v>11404</v>
      </c>
      <c r="H25361" s="40" t="s">
        <v>11404</v>
      </c>
    </row>
    <row r="25362">
      <c r="A25362" s="39"/>
      <c r="E25362" s="40" t="s">
        <v>11404</v>
      </c>
      <c r="F25362" s="40" t="s">
        <v>11404</v>
      </c>
      <c r="G25362" s="40" t="s">
        <v>11404</v>
      </c>
      <c r="H25362" s="40" t="s">
        <v>11404</v>
      </c>
    </row>
    <row r="25363">
      <c r="A25363" s="39"/>
      <c r="E25363" s="40" t="s">
        <v>11404</v>
      </c>
      <c r="F25363" s="40" t="s">
        <v>11404</v>
      </c>
      <c r="G25363" s="40" t="s">
        <v>11404</v>
      </c>
      <c r="H25363" s="40" t="s">
        <v>11404</v>
      </c>
    </row>
    <row r="25364">
      <c r="A25364" s="39"/>
      <c r="E25364" s="40" t="s">
        <v>11404</v>
      </c>
      <c r="F25364" s="40" t="s">
        <v>11404</v>
      </c>
      <c r="G25364" s="40" t="s">
        <v>11404</v>
      </c>
      <c r="H25364" s="40" t="s">
        <v>11404</v>
      </c>
    </row>
    <row r="25365">
      <c r="A25365" s="39"/>
      <c r="E25365" s="40" t="s">
        <v>11404</v>
      </c>
      <c r="F25365" s="40" t="s">
        <v>11404</v>
      </c>
      <c r="G25365" s="40" t="s">
        <v>11404</v>
      </c>
      <c r="H25365" s="40" t="s">
        <v>11404</v>
      </c>
    </row>
    <row r="25366">
      <c r="A25366" s="39"/>
      <c r="E25366" s="40" t="s">
        <v>11404</v>
      </c>
      <c r="F25366" s="40" t="s">
        <v>11404</v>
      </c>
      <c r="G25366" s="40" t="s">
        <v>11404</v>
      </c>
      <c r="H25366" s="40" t="s">
        <v>11404</v>
      </c>
    </row>
    <row r="25367">
      <c r="A25367" s="39"/>
      <c r="E25367" s="40" t="s">
        <v>11404</v>
      </c>
      <c r="F25367" s="40" t="s">
        <v>11404</v>
      </c>
      <c r="G25367" s="40" t="s">
        <v>11404</v>
      </c>
      <c r="H25367" s="40" t="s">
        <v>11404</v>
      </c>
    </row>
    <row r="25368">
      <c r="A25368" s="39"/>
      <c r="E25368" s="40" t="s">
        <v>11404</v>
      </c>
      <c r="F25368" s="40" t="s">
        <v>11404</v>
      </c>
      <c r="G25368" s="40" t="s">
        <v>11404</v>
      </c>
      <c r="H25368" s="40" t="s">
        <v>11404</v>
      </c>
    </row>
    <row r="25369">
      <c r="A25369" s="39"/>
      <c r="E25369" s="40" t="s">
        <v>11404</v>
      </c>
      <c r="F25369" s="40" t="s">
        <v>11404</v>
      </c>
      <c r="G25369" s="40" t="s">
        <v>11404</v>
      </c>
      <c r="H25369" s="40" t="s">
        <v>11404</v>
      </c>
    </row>
    <row r="25370">
      <c r="A25370" s="39"/>
      <c r="E25370" s="40" t="s">
        <v>11404</v>
      </c>
      <c r="F25370" s="40" t="s">
        <v>11404</v>
      </c>
      <c r="G25370" s="40" t="s">
        <v>11404</v>
      </c>
      <c r="H25370" s="40" t="s">
        <v>11404</v>
      </c>
    </row>
    <row r="25371">
      <c r="A25371" s="39"/>
      <c r="E25371" s="40" t="s">
        <v>11404</v>
      </c>
      <c r="F25371" s="40" t="s">
        <v>11404</v>
      </c>
      <c r="G25371" s="40" t="s">
        <v>11404</v>
      </c>
      <c r="H25371" s="40" t="s">
        <v>11404</v>
      </c>
    </row>
    <row r="25372">
      <c r="A25372" s="39"/>
      <c r="E25372" s="40" t="s">
        <v>11404</v>
      </c>
      <c r="F25372" s="40" t="s">
        <v>11404</v>
      </c>
      <c r="G25372" s="40" t="s">
        <v>11404</v>
      </c>
      <c r="H25372" s="40" t="s">
        <v>11404</v>
      </c>
    </row>
    <row r="25373">
      <c r="A25373" s="39"/>
      <c r="E25373" s="40" t="s">
        <v>11404</v>
      </c>
      <c r="F25373" s="40" t="s">
        <v>11404</v>
      </c>
      <c r="G25373" s="40" t="s">
        <v>11404</v>
      </c>
      <c r="H25373" s="40" t="s">
        <v>11404</v>
      </c>
    </row>
    <row r="25374">
      <c r="A25374" s="39"/>
      <c r="E25374" s="40" t="s">
        <v>11404</v>
      </c>
      <c r="F25374" s="40" t="s">
        <v>11404</v>
      </c>
      <c r="G25374" s="40" t="s">
        <v>11404</v>
      </c>
      <c r="H25374" s="40" t="s">
        <v>11404</v>
      </c>
    </row>
    <row r="25375">
      <c r="A25375" s="39"/>
      <c r="E25375" s="40" t="s">
        <v>11404</v>
      </c>
      <c r="F25375" s="40" t="s">
        <v>11404</v>
      </c>
      <c r="G25375" s="40" t="s">
        <v>11404</v>
      </c>
      <c r="H25375" s="40" t="s">
        <v>11404</v>
      </c>
    </row>
    <row r="25376">
      <c r="A25376" s="39"/>
      <c r="E25376" s="40" t="s">
        <v>11404</v>
      </c>
      <c r="F25376" s="40" t="s">
        <v>11404</v>
      </c>
      <c r="G25376" s="40" t="s">
        <v>11404</v>
      </c>
      <c r="H25376" s="40" t="s">
        <v>11404</v>
      </c>
    </row>
    <row r="25377">
      <c r="A25377" s="39"/>
      <c r="E25377" s="40" t="s">
        <v>11404</v>
      </c>
      <c r="F25377" s="40" t="s">
        <v>11404</v>
      </c>
      <c r="G25377" s="40" t="s">
        <v>11404</v>
      </c>
      <c r="H25377" s="40" t="s">
        <v>11404</v>
      </c>
    </row>
    <row r="25378">
      <c r="A25378" s="39"/>
      <c r="E25378" s="40" t="s">
        <v>11404</v>
      </c>
      <c r="F25378" s="40" t="s">
        <v>11404</v>
      </c>
      <c r="G25378" s="40" t="s">
        <v>11404</v>
      </c>
      <c r="H25378" s="40" t="s">
        <v>11404</v>
      </c>
    </row>
    <row r="25379">
      <c r="A25379" s="39"/>
      <c r="E25379" s="40" t="s">
        <v>11404</v>
      </c>
      <c r="F25379" s="40" t="s">
        <v>11404</v>
      </c>
      <c r="G25379" s="40" t="s">
        <v>11404</v>
      </c>
      <c r="H25379" s="40" t="s">
        <v>11404</v>
      </c>
    </row>
    <row r="25380">
      <c r="A25380" s="39"/>
      <c r="E25380" s="40" t="s">
        <v>11404</v>
      </c>
      <c r="F25380" s="40" t="s">
        <v>11404</v>
      </c>
      <c r="G25380" s="40" t="s">
        <v>11404</v>
      </c>
      <c r="H25380" s="40" t="s">
        <v>11404</v>
      </c>
    </row>
    <row r="25381">
      <c r="A25381" s="39"/>
      <c r="E25381" s="40" t="s">
        <v>11404</v>
      </c>
      <c r="F25381" s="40" t="s">
        <v>11404</v>
      </c>
      <c r="G25381" s="40" t="s">
        <v>11404</v>
      </c>
      <c r="H25381" s="40" t="s">
        <v>11404</v>
      </c>
    </row>
    <row r="25382">
      <c r="A25382" s="39"/>
      <c r="E25382" s="40" t="s">
        <v>11404</v>
      </c>
      <c r="F25382" s="40" t="s">
        <v>11404</v>
      </c>
      <c r="G25382" s="40" t="s">
        <v>11404</v>
      </c>
      <c r="H25382" s="40" t="s">
        <v>11404</v>
      </c>
    </row>
    <row r="25383">
      <c r="A25383" s="39"/>
      <c r="E25383" s="40" t="s">
        <v>11404</v>
      </c>
      <c r="F25383" s="40" t="s">
        <v>11404</v>
      </c>
      <c r="G25383" s="40" t="s">
        <v>11404</v>
      </c>
      <c r="H25383" s="40" t="s">
        <v>11404</v>
      </c>
    </row>
    <row r="25384">
      <c r="A25384" s="39"/>
      <c r="E25384" s="40" t="s">
        <v>11404</v>
      </c>
      <c r="F25384" s="40" t="s">
        <v>11404</v>
      </c>
      <c r="G25384" s="40" t="s">
        <v>11404</v>
      </c>
      <c r="H25384" s="40" t="s">
        <v>11404</v>
      </c>
    </row>
    <row r="25385">
      <c r="A25385" s="39"/>
      <c r="E25385" s="40" t="s">
        <v>11404</v>
      </c>
      <c r="F25385" s="40" t="s">
        <v>11404</v>
      </c>
      <c r="G25385" s="40" t="s">
        <v>11404</v>
      </c>
      <c r="H25385" s="40" t="s">
        <v>11404</v>
      </c>
    </row>
    <row r="25386">
      <c r="A25386" s="39"/>
      <c r="E25386" s="40" t="s">
        <v>11404</v>
      </c>
      <c r="F25386" s="40" t="s">
        <v>11404</v>
      </c>
      <c r="G25386" s="40" t="s">
        <v>11404</v>
      </c>
      <c r="H25386" s="40" t="s">
        <v>11404</v>
      </c>
    </row>
    <row r="25387">
      <c r="A25387" s="39"/>
      <c r="E25387" s="40" t="s">
        <v>11404</v>
      </c>
      <c r="F25387" s="40" t="s">
        <v>11404</v>
      </c>
      <c r="G25387" s="40" t="s">
        <v>11404</v>
      </c>
      <c r="H25387" s="40" t="s">
        <v>11404</v>
      </c>
    </row>
    <row r="25388">
      <c r="A25388" s="39"/>
      <c r="E25388" s="40" t="s">
        <v>11404</v>
      </c>
      <c r="F25388" s="40" t="s">
        <v>11404</v>
      </c>
      <c r="G25388" s="40" t="s">
        <v>11404</v>
      </c>
      <c r="H25388" s="40" t="s">
        <v>11404</v>
      </c>
    </row>
    <row r="25389">
      <c r="A25389" s="39"/>
      <c r="E25389" s="40" t="s">
        <v>11404</v>
      </c>
      <c r="F25389" s="40" t="s">
        <v>11404</v>
      </c>
      <c r="G25389" s="40" t="s">
        <v>11404</v>
      </c>
      <c r="H25389" s="40" t="s">
        <v>11404</v>
      </c>
    </row>
    <row r="25390">
      <c r="A25390" s="39"/>
      <c r="E25390" s="40" t="s">
        <v>11404</v>
      </c>
      <c r="F25390" s="40" t="s">
        <v>11404</v>
      </c>
      <c r="G25390" s="40" t="s">
        <v>11404</v>
      </c>
      <c r="H25390" s="40" t="s">
        <v>11404</v>
      </c>
    </row>
    <row r="25391">
      <c r="A25391" s="39"/>
      <c r="E25391" s="40" t="s">
        <v>11404</v>
      </c>
      <c r="F25391" s="40" t="s">
        <v>11404</v>
      </c>
      <c r="G25391" s="40" t="s">
        <v>11404</v>
      </c>
      <c r="H25391" s="40" t="s">
        <v>11404</v>
      </c>
    </row>
    <row r="25392">
      <c r="A25392" s="39"/>
      <c r="E25392" s="40" t="s">
        <v>11404</v>
      </c>
      <c r="F25392" s="40" t="s">
        <v>11404</v>
      </c>
      <c r="G25392" s="40" t="s">
        <v>11404</v>
      </c>
      <c r="H25392" s="40" t="s">
        <v>11404</v>
      </c>
    </row>
    <row r="25393">
      <c r="A25393" s="39"/>
      <c r="E25393" s="40" t="s">
        <v>11404</v>
      </c>
      <c r="F25393" s="40" t="s">
        <v>11404</v>
      </c>
      <c r="G25393" s="40" t="s">
        <v>11404</v>
      </c>
      <c r="H25393" s="40" t="s">
        <v>11404</v>
      </c>
    </row>
    <row r="25394">
      <c r="A25394" s="39"/>
      <c r="E25394" s="40" t="s">
        <v>11404</v>
      </c>
      <c r="F25394" s="40" t="s">
        <v>11404</v>
      </c>
      <c r="G25394" s="40" t="s">
        <v>11404</v>
      </c>
      <c r="H25394" s="40" t="s">
        <v>11404</v>
      </c>
    </row>
    <row r="25395">
      <c r="A25395" s="39"/>
      <c r="E25395" s="40" t="s">
        <v>11404</v>
      </c>
      <c r="F25395" s="40" t="s">
        <v>11404</v>
      </c>
      <c r="G25395" s="40" t="s">
        <v>11404</v>
      </c>
      <c r="H25395" s="40" t="s">
        <v>11404</v>
      </c>
    </row>
    <row r="25396">
      <c r="A25396" s="39"/>
      <c r="E25396" s="40" t="s">
        <v>11404</v>
      </c>
      <c r="F25396" s="40" t="s">
        <v>11404</v>
      </c>
      <c r="G25396" s="40" t="s">
        <v>11404</v>
      </c>
      <c r="H25396" s="40" t="s">
        <v>11404</v>
      </c>
    </row>
    <row r="25397">
      <c r="A25397" s="39"/>
      <c r="E25397" s="40" t="s">
        <v>11404</v>
      </c>
      <c r="F25397" s="40" t="s">
        <v>11404</v>
      </c>
      <c r="G25397" s="40" t="s">
        <v>11404</v>
      </c>
      <c r="H25397" s="40" t="s">
        <v>11404</v>
      </c>
    </row>
    <row r="25398">
      <c r="A25398" s="39"/>
      <c r="E25398" s="40" t="s">
        <v>11404</v>
      </c>
      <c r="F25398" s="40" t="s">
        <v>11404</v>
      </c>
      <c r="G25398" s="40" t="s">
        <v>11404</v>
      </c>
      <c r="H25398" s="40" t="s">
        <v>11404</v>
      </c>
    </row>
    <row r="25399">
      <c r="A25399" s="39"/>
      <c r="E25399" s="40" t="s">
        <v>11404</v>
      </c>
      <c r="F25399" s="40" t="s">
        <v>11404</v>
      </c>
      <c r="G25399" s="40" t="s">
        <v>11404</v>
      </c>
      <c r="H25399" s="40" t="s">
        <v>11404</v>
      </c>
    </row>
    <row r="25400">
      <c r="A25400" s="39"/>
      <c r="E25400" s="40" t="s">
        <v>11404</v>
      </c>
      <c r="F25400" s="40" t="s">
        <v>11404</v>
      </c>
      <c r="G25400" s="40" t="s">
        <v>11404</v>
      </c>
      <c r="H25400" s="40" t="s">
        <v>11404</v>
      </c>
    </row>
    <row r="25401">
      <c r="A25401" s="39"/>
      <c r="E25401" s="40" t="s">
        <v>11404</v>
      </c>
      <c r="F25401" s="40" t="s">
        <v>11404</v>
      </c>
      <c r="G25401" s="40" t="s">
        <v>11404</v>
      </c>
      <c r="H25401" s="40" t="s">
        <v>11404</v>
      </c>
    </row>
    <row r="25402">
      <c r="A25402" s="39"/>
      <c r="E25402" s="40" t="s">
        <v>11404</v>
      </c>
      <c r="F25402" s="40" t="s">
        <v>11404</v>
      </c>
      <c r="G25402" s="40" t="s">
        <v>11404</v>
      </c>
      <c r="H25402" s="40" t="s">
        <v>11404</v>
      </c>
    </row>
    <row r="25403">
      <c r="A25403" s="39"/>
      <c r="E25403" s="40" t="s">
        <v>11404</v>
      </c>
      <c r="F25403" s="40" t="s">
        <v>11404</v>
      </c>
      <c r="G25403" s="40" t="s">
        <v>11404</v>
      </c>
      <c r="H25403" s="40" t="s">
        <v>11404</v>
      </c>
    </row>
    <row r="25404">
      <c r="A25404" s="39"/>
      <c r="E25404" s="40" t="s">
        <v>11404</v>
      </c>
      <c r="F25404" s="40" t="s">
        <v>11404</v>
      </c>
      <c r="G25404" s="40" t="s">
        <v>11404</v>
      </c>
      <c r="H25404" s="40" t="s">
        <v>11404</v>
      </c>
    </row>
    <row r="25405">
      <c r="A25405" s="39"/>
      <c r="E25405" s="40" t="s">
        <v>11404</v>
      </c>
      <c r="F25405" s="40" t="s">
        <v>11404</v>
      </c>
      <c r="G25405" s="40" t="s">
        <v>11404</v>
      </c>
      <c r="H25405" s="40" t="s">
        <v>11404</v>
      </c>
    </row>
    <row r="25406">
      <c r="A25406" s="39"/>
      <c r="E25406" s="40" t="s">
        <v>11404</v>
      </c>
      <c r="F25406" s="40" t="s">
        <v>11404</v>
      </c>
      <c r="G25406" s="40" t="s">
        <v>11404</v>
      </c>
      <c r="H25406" s="40" t="s">
        <v>11404</v>
      </c>
    </row>
    <row r="25407">
      <c r="A25407" s="39"/>
      <c r="E25407" s="40" t="s">
        <v>11404</v>
      </c>
      <c r="F25407" s="40" t="s">
        <v>11404</v>
      </c>
      <c r="G25407" s="40" t="s">
        <v>11404</v>
      </c>
      <c r="H25407" s="40" t="s">
        <v>11404</v>
      </c>
    </row>
    <row r="25408">
      <c r="A25408" s="39"/>
      <c r="E25408" s="40" t="s">
        <v>11404</v>
      </c>
      <c r="F25408" s="40" t="s">
        <v>11404</v>
      </c>
      <c r="G25408" s="40" t="s">
        <v>11404</v>
      </c>
      <c r="H25408" s="40" t="s">
        <v>11404</v>
      </c>
    </row>
    <row r="25409">
      <c r="A25409" s="39"/>
      <c r="E25409" s="40" t="s">
        <v>11404</v>
      </c>
      <c r="F25409" s="40" t="s">
        <v>11404</v>
      </c>
      <c r="G25409" s="40" t="s">
        <v>11404</v>
      </c>
      <c r="H25409" s="40" t="s">
        <v>11404</v>
      </c>
    </row>
    <row r="25410">
      <c r="A25410" s="39"/>
      <c r="E25410" s="40" t="s">
        <v>11404</v>
      </c>
      <c r="F25410" s="40" t="s">
        <v>11404</v>
      </c>
      <c r="G25410" s="40" t="s">
        <v>11404</v>
      </c>
      <c r="H25410" s="40" t="s">
        <v>11404</v>
      </c>
    </row>
    <row r="25411">
      <c r="A25411" s="39"/>
      <c r="E25411" s="40" t="s">
        <v>11404</v>
      </c>
      <c r="F25411" s="40" t="s">
        <v>11404</v>
      </c>
      <c r="G25411" s="40" t="s">
        <v>11404</v>
      </c>
      <c r="H25411" s="40" t="s">
        <v>11404</v>
      </c>
    </row>
    <row r="25412">
      <c r="A25412" s="39"/>
      <c r="E25412" s="40" t="s">
        <v>11404</v>
      </c>
      <c r="F25412" s="40" t="s">
        <v>11404</v>
      </c>
      <c r="G25412" s="40" t="s">
        <v>11404</v>
      </c>
      <c r="H25412" s="40" t="s">
        <v>11404</v>
      </c>
    </row>
    <row r="25413">
      <c r="A25413" s="39"/>
      <c r="E25413" s="40" t="s">
        <v>11404</v>
      </c>
      <c r="F25413" s="40" t="s">
        <v>11404</v>
      </c>
      <c r="G25413" s="40" t="s">
        <v>11404</v>
      </c>
      <c r="H25413" s="40" t="s">
        <v>11404</v>
      </c>
    </row>
    <row r="25414">
      <c r="A25414" s="39"/>
      <c r="E25414" s="40" t="s">
        <v>11404</v>
      </c>
      <c r="F25414" s="40" t="s">
        <v>11404</v>
      </c>
      <c r="G25414" s="40" t="s">
        <v>11404</v>
      </c>
      <c r="H25414" s="40" t="s">
        <v>11404</v>
      </c>
    </row>
    <row r="25415">
      <c r="A25415" s="39"/>
      <c r="E25415" s="40" t="s">
        <v>11404</v>
      </c>
      <c r="F25415" s="40" t="s">
        <v>11404</v>
      </c>
      <c r="G25415" s="40" t="s">
        <v>11404</v>
      </c>
      <c r="H25415" s="40" t="s">
        <v>11404</v>
      </c>
    </row>
    <row r="25416">
      <c r="A25416" s="39"/>
      <c r="E25416" s="40" t="s">
        <v>11404</v>
      </c>
      <c r="F25416" s="40" t="s">
        <v>11404</v>
      </c>
      <c r="G25416" s="40" t="s">
        <v>11404</v>
      </c>
      <c r="H25416" s="40" t="s">
        <v>11404</v>
      </c>
    </row>
    <row r="25417">
      <c r="A25417" s="39"/>
      <c r="E25417" s="40" t="s">
        <v>11404</v>
      </c>
      <c r="F25417" s="40" t="s">
        <v>11404</v>
      </c>
      <c r="G25417" s="40" t="s">
        <v>11404</v>
      </c>
      <c r="H25417" s="40" t="s">
        <v>11404</v>
      </c>
    </row>
    <row r="25418">
      <c r="A25418" s="39"/>
      <c r="E25418" s="40" t="s">
        <v>11404</v>
      </c>
      <c r="F25418" s="40" t="s">
        <v>11404</v>
      </c>
      <c r="G25418" s="40" t="s">
        <v>11404</v>
      </c>
      <c r="H25418" s="40" t="s">
        <v>11404</v>
      </c>
    </row>
    <row r="25419">
      <c r="A25419" s="39"/>
      <c r="E25419" s="40" t="s">
        <v>11404</v>
      </c>
      <c r="F25419" s="40" t="s">
        <v>11404</v>
      </c>
      <c r="G25419" s="40" t="s">
        <v>11404</v>
      </c>
      <c r="H25419" s="40" t="s">
        <v>11404</v>
      </c>
    </row>
    <row r="25420">
      <c r="A25420" s="39"/>
      <c r="E25420" s="40" t="s">
        <v>11404</v>
      </c>
      <c r="F25420" s="40" t="s">
        <v>11404</v>
      </c>
      <c r="G25420" s="40" t="s">
        <v>11404</v>
      </c>
      <c r="H25420" s="40" t="s">
        <v>11404</v>
      </c>
    </row>
    <row r="25421">
      <c r="A25421" s="39"/>
      <c r="E25421" s="40" t="s">
        <v>11404</v>
      </c>
      <c r="F25421" s="40" t="s">
        <v>11404</v>
      </c>
      <c r="G25421" s="40" t="s">
        <v>11404</v>
      </c>
      <c r="H25421" s="40" t="s">
        <v>11404</v>
      </c>
    </row>
    <row r="25422">
      <c r="A25422" s="39"/>
      <c r="E25422" s="40" t="s">
        <v>11404</v>
      </c>
      <c r="F25422" s="40" t="s">
        <v>11404</v>
      </c>
      <c r="G25422" s="40" t="s">
        <v>11404</v>
      </c>
      <c r="H25422" s="40" t="s">
        <v>11404</v>
      </c>
    </row>
    <row r="25423">
      <c r="A25423" s="39"/>
      <c r="E25423" s="40" t="s">
        <v>11404</v>
      </c>
      <c r="F25423" s="40" t="s">
        <v>11404</v>
      </c>
      <c r="G25423" s="40" t="s">
        <v>11404</v>
      </c>
      <c r="H25423" s="40" t="s">
        <v>11404</v>
      </c>
    </row>
    <row r="25424">
      <c r="A25424" s="39"/>
      <c r="E25424" s="40" t="s">
        <v>11404</v>
      </c>
      <c r="F25424" s="40" t="s">
        <v>11404</v>
      </c>
      <c r="G25424" s="40" t="s">
        <v>11404</v>
      </c>
      <c r="H25424" s="40" t="s">
        <v>11404</v>
      </c>
    </row>
    <row r="25425">
      <c r="A25425" s="39"/>
      <c r="E25425" s="40" t="s">
        <v>11404</v>
      </c>
      <c r="F25425" s="40" t="s">
        <v>11404</v>
      </c>
      <c r="G25425" s="40" t="s">
        <v>11404</v>
      </c>
      <c r="H25425" s="40" t="s">
        <v>11404</v>
      </c>
    </row>
    <row r="25426">
      <c r="A25426" s="39"/>
      <c r="E25426" s="40" t="s">
        <v>11404</v>
      </c>
      <c r="F25426" s="40" t="s">
        <v>11404</v>
      </c>
      <c r="G25426" s="40" t="s">
        <v>11404</v>
      </c>
      <c r="H25426" s="40" t="s">
        <v>11404</v>
      </c>
    </row>
    <row r="25427">
      <c r="A25427" s="39"/>
      <c r="E25427" s="40" t="s">
        <v>11404</v>
      </c>
      <c r="F25427" s="40" t="s">
        <v>11404</v>
      </c>
      <c r="G25427" s="40" t="s">
        <v>11404</v>
      </c>
      <c r="H25427" s="40" t="s">
        <v>11404</v>
      </c>
    </row>
    <row r="25428">
      <c r="A25428" s="39"/>
      <c r="E25428" s="40" t="s">
        <v>11404</v>
      </c>
      <c r="F25428" s="40" t="s">
        <v>11404</v>
      </c>
      <c r="G25428" s="40" t="s">
        <v>11404</v>
      </c>
      <c r="H25428" s="40" t="s">
        <v>11404</v>
      </c>
    </row>
    <row r="25429">
      <c r="A25429" s="39"/>
      <c r="E25429" s="40" t="s">
        <v>11404</v>
      </c>
      <c r="F25429" s="40" t="s">
        <v>11404</v>
      </c>
      <c r="G25429" s="40" t="s">
        <v>11404</v>
      </c>
      <c r="H25429" s="40" t="s">
        <v>11404</v>
      </c>
    </row>
    <row r="25430">
      <c r="A25430" s="39"/>
      <c r="E25430" s="40" t="s">
        <v>11404</v>
      </c>
      <c r="F25430" s="40" t="s">
        <v>11404</v>
      </c>
      <c r="G25430" s="40" t="s">
        <v>11404</v>
      </c>
      <c r="H25430" s="40" t="s">
        <v>11404</v>
      </c>
    </row>
    <row r="25431">
      <c r="A25431" s="39"/>
      <c r="E25431" s="40" t="s">
        <v>11404</v>
      </c>
      <c r="F25431" s="40" t="s">
        <v>11404</v>
      </c>
      <c r="G25431" s="40" t="s">
        <v>11404</v>
      </c>
      <c r="H25431" s="40" t="s">
        <v>11404</v>
      </c>
    </row>
    <row r="25432">
      <c r="A25432" s="39"/>
      <c r="E25432" s="40" t="s">
        <v>11404</v>
      </c>
      <c r="F25432" s="40" t="s">
        <v>11404</v>
      </c>
      <c r="G25432" s="40" t="s">
        <v>11404</v>
      </c>
      <c r="H25432" s="40" t="s">
        <v>11404</v>
      </c>
    </row>
    <row r="25433">
      <c r="A25433" s="39"/>
      <c r="E25433" s="40" t="s">
        <v>11404</v>
      </c>
      <c r="F25433" s="40" t="s">
        <v>11404</v>
      </c>
      <c r="G25433" s="40" t="s">
        <v>11404</v>
      </c>
      <c r="H25433" s="40" t="s">
        <v>11404</v>
      </c>
    </row>
    <row r="25434">
      <c r="A25434" s="39"/>
      <c r="E25434" s="40" t="s">
        <v>11404</v>
      </c>
      <c r="F25434" s="40" t="s">
        <v>11404</v>
      </c>
      <c r="G25434" s="40" t="s">
        <v>11404</v>
      </c>
      <c r="H25434" s="40" t="s">
        <v>11404</v>
      </c>
    </row>
    <row r="25435">
      <c r="A25435" s="39"/>
      <c r="E25435" s="40" t="s">
        <v>11404</v>
      </c>
      <c r="F25435" s="40" t="s">
        <v>11404</v>
      </c>
      <c r="G25435" s="40" t="s">
        <v>11404</v>
      </c>
      <c r="H25435" s="40" t="s">
        <v>11404</v>
      </c>
    </row>
    <row r="25436">
      <c r="A25436" s="39"/>
      <c r="E25436" s="40" t="s">
        <v>11404</v>
      </c>
      <c r="F25436" s="40" t="s">
        <v>11404</v>
      </c>
      <c r="G25436" s="40" t="s">
        <v>11404</v>
      </c>
      <c r="H25436" s="40" t="s">
        <v>11404</v>
      </c>
    </row>
    <row r="25437">
      <c r="A25437" s="39"/>
      <c r="E25437" s="40" t="s">
        <v>11404</v>
      </c>
      <c r="F25437" s="40" t="s">
        <v>11404</v>
      </c>
      <c r="G25437" s="40" t="s">
        <v>11404</v>
      </c>
      <c r="H25437" s="40" t="s">
        <v>11404</v>
      </c>
    </row>
    <row r="25438">
      <c r="A25438" s="39"/>
      <c r="E25438" s="40" t="s">
        <v>11404</v>
      </c>
      <c r="F25438" s="40" t="s">
        <v>11404</v>
      </c>
      <c r="G25438" s="40" t="s">
        <v>11404</v>
      </c>
      <c r="H25438" s="40" t="s">
        <v>11404</v>
      </c>
    </row>
    <row r="25439">
      <c r="A25439" s="39"/>
      <c r="E25439" s="40" t="s">
        <v>11404</v>
      </c>
      <c r="F25439" s="40" t="s">
        <v>11404</v>
      </c>
      <c r="G25439" s="40" t="s">
        <v>11404</v>
      </c>
      <c r="H25439" s="40" t="s">
        <v>11404</v>
      </c>
    </row>
    <row r="25440">
      <c r="A25440" s="39"/>
      <c r="E25440" s="40" t="s">
        <v>11404</v>
      </c>
      <c r="F25440" s="40" t="s">
        <v>11404</v>
      </c>
      <c r="G25440" s="40" t="s">
        <v>11404</v>
      </c>
      <c r="H25440" s="40" t="s">
        <v>11404</v>
      </c>
    </row>
    <row r="25441">
      <c r="A25441" s="39"/>
      <c r="E25441" s="40" t="s">
        <v>11404</v>
      </c>
      <c r="F25441" s="40" t="s">
        <v>11404</v>
      </c>
      <c r="G25441" s="40" t="s">
        <v>11404</v>
      </c>
      <c r="H25441" s="40" t="s">
        <v>11404</v>
      </c>
    </row>
    <row r="25442">
      <c r="A25442" s="39"/>
      <c r="E25442" s="40" t="s">
        <v>11404</v>
      </c>
      <c r="F25442" s="40" t="s">
        <v>11404</v>
      </c>
      <c r="G25442" s="40" t="s">
        <v>11404</v>
      </c>
      <c r="H25442" s="40" t="s">
        <v>11404</v>
      </c>
    </row>
    <row r="25443">
      <c r="A25443" s="39"/>
      <c r="E25443" s="40" t="s">
        <v>11404</v>
      </c>
      <c r="F25443" s="40" t="s">
        <v>11404</v>
      </c>
      <c r="G25443" s="40" t="s">
        <v>11404</v>
      </c>
      <c r="H25443" s="40" t="s">
        <v>11404</v>
      </c>
    </row>
    <row r="25444">
      <c r="A25444" s="39"/>
      <c r="E25444" s="40" t="s">
        <v>11404</v>
      </c>
      <c r="F25444" s="40" t="s">
        <v>11404</v>
      </c>
      <c r="G25444" s="40" t="s">
        <v>11404</v>
      </c>
      <c r="H25444" s="40" t="s">
        <v>11404</v>
      </c>
    </row>
    <row r="25445">
      <c r="A25445" s="39"/>
      <c r="E25445" s="40" t="s">
        <v>11404</v>
      </c>
      <c r="F25445" s="40" t="s">
        <v>11404</v>
      </c>
      <c r="G25445" s="40" t="s">
        <v>11404</v>
      </c>
      <c r="H25445" s="40" t="s">
        <v>11404</v>
      </c>
    </row>
    <row r="25446">
      <c r="A25446" s="39"/>
      <c r="E25446" s="40" t="s">
        <v>11404</v>
      </c>
      <c r="F25446" s="40" t="s">
        <v>11404</v>
      </c>
      <c r="G25446" s="40" t="s">
        <v>11404</v>
      </c>
      <c r="H25446" s="40" t="s">
        <v>11404</v>
      </c>
    </row>
    <row r="25447">
      <c r="A25447" s="39"/>
      <c r="E25447" s="40" t="s">
        <v>11404</v>
      </c>
      <c r="F25447" s="40" t="s">
        <v>11404</v>
      </c>
      <c r="G25447" s="40" t="s">
        <v>11404</v>
      </c>
      <c r="H25447" s="40" t="s">
        <v>11404</v>
      </c>
    </row>
    <row r="25448">
      <c r="A25448" s="39"/>
      <c r="E25448" s="40" t="s">
        <v>11404</v>
      </c>
      <c r="F25448" s="40" t="s">
        <v>11404</v>
      </c>
      <c r="G25448" s="40" t="s">
        <v>11404</v>
      </c>
      <c r="H25448" s="40" t="s">
        <v>11404</v>
      </c>
    </row>
    <row r="25449">
      <c r="A25449" s="39"/>
      <c r="E25449" s="40" t="s">
        <v>11404</v>
      </c>
      <c r="F25449" s="40" t="s">
        <v>11404</v>
      </c>
      <c r="G25449" s="40" t="s">
        <v>11404</v>
      </c>
      <c r="H25449" s="40" t="s">
        <v>11404</v>
      </c>
    </row>
    <row r="25450">
      <c r="A25450" s="39"/>
      <c r="E25450" s="40" t="s">
        <v>11404</v>
      </c>
      <c r="F25450" s="40" t="s">
        <v>11404</v>
      </c>
      <c r="G25450" s="40" t="s">
        <v>11404</v>
      </c>
      <c r="H25450" s="40" t="s">
        <v>11404</v>
      </c>
    </row>
    <row r="25451">
      <c r="A25451" s="39"/>
      <c r="E25451" s="40" t="s">
        <v>11404</v>
      </c>
      <c r="F25451" s="40" t="s">
        <v>11404</v>
      </c>
      <c r="G25451" s="40" t="s">
        <v>11404</v>
      </c>
      <c r="H25451" s="40" t="s">
        <v>11404</v>
      </c>
    </row>
    <row r="25452">
      <c r="A25452" s="39"/>
      <c r="E25452" s="40" t="s">
        <v>11404</v>
      </c>
      <c r="F25452" s="40" t="s">
        <v>11404</v>
      </c>
      <c r="G25452" s="40" t="s">
        <v>11404</v>
      </c>
      <c r="H25452" s="40" t="s">
        <v>11404</v>
      </c>
    </row>
    <row r="25453">
      <c r="A25453" s="39"/>
      <c r="E25453" s="40" t="s">
        <v>11404</v>
      </c>
      <c r="F25453" s="40" t="s">
        <v>11404</v>
      </c>
      <c r="G25453" s="40" t="s">
        <v>11404</v>
      </c>
      <c r="H25453" s="40" t="s">
        <v>11404</v>
      </c>
    </row>
    <row r="25454">
      <c r="A25454" s="39"/>
      <c r="E25454" s="40" t="s">
        <v>11404</v>
      </c>
      <c r="F25454" s="40" t="s">
        <v>11404</v>
      </c>
      <c r="G25454" s="40" t="s">
        <v>11404</v>
      </c>
      <c r="H25454" s="40" t="s">
        <v>11404</v>
      </c>
    </row>
    <row r="25455">
      <c r="A25455" s="39"/>
      <c r="E25455" s="40" t="s">
        <v>11404</v>
      </c>
      <c r="F25455" s="40" t="s">
        <v>11404</v>
      </c>
      <c r="G25455" s="40" t="s">
        <v>11404</v>
      </c>
      <c r="H25455" s="40" t="s">
        <v>11404</v>
      </c>
    </row>
    <row r="25456">
      <c r="A25456" s="39"/>
      <c r="E25456" s="40" t="s">
        <v>11404</v>
      </c>
      <c r="F25456" s="40" t="s">
        <v>11404</v>
      </c>
      <c r="G25456" s="40" t="s">
        <v>11404</v>
      </c>
      <c r="H25456" s="40" t="s">
        <v>11404</v>
      </c>
    </row>
    <row r="25457">
      <c r="A25457" s="39"/>
      <c r="E25457" s="40" t="s">
        <v>11404</v>
      </c>
      <c r="F25457" s="40" t="s">
        <v>11404</v>
      </c>
      <c r="G25457" s="40" t="s">
        <v>11404</v>
      </c>
      <c r="H25457" s="40" t="s">
        <v>11404</v>
      </c>
    </row>
    <row r="25458">
      <c r="A25458" s="39"/>
      <c r="E25458" s="40" t="s">
        <v>11404</v>
      </c>
      <c r="F25458" s="40" t="s">
        <v>11404</v>
      </c>
      <c r="G25458" s="40" t="s">
        <v>11404</v>
      </c>
      <c r="H25458" s="40" t="s">
        <v>11404</v>
      </c>
    </row>
    <row r="25459">
      <c r="A25459" s="39"/>
      <c r="E25459" s="40" t="s">
        <v>11404</v>
      </c>
      <c r="F25459" s="40" t="s">
        <v>11404</v>
      </c>
      <c r="G25459" s="40" t="s">
        <v>11404</v>
      </c>
      <c r="H25459" s="40" t="s">
        <v>11404</v>
      </c>
    </row>
    <row r="25460">
      <c r="A25460" s="39"/>
      <c r="E25460" s="40" t="s">
        <v>11404</v>
      </c>
      <c r="F25460" s="40" t="s">
        <v>11404</v>
      </c>
      <c r="G25460" s="40" t="s">
        <v>11404</v>
      </c>
      <c r="H25460" s="40" t="s">
        <v>11404</v>
      </c>
    </row>
    <row r="25461">
      <c r="A25461" s="39"/>
      <c r="E25461" s="40" t="s">
        <v>11404</v>
      </c>
      <c r="F25461" s="40" t="s">
        <v>11404</v>
      </c>
      <c r="G25461" s="40" t="s">
        <v>11404</v>
      </c>
      <c r="H25461" s="40" t="s">
        <v>11404</v>
      </c>
    </row>
    <row r="25462">
      <c r="A25462" s="39"/>
      <c r="E25462" s="40" t="s">
        <v>11404</v>
      </c>
      <c r="F25462" s="40" t="s">
        <v>11404</v>
      </c>
      <c r="G25462" s="40" t="s">
        <v>11404</v>
      </c>
      <c r="H25462" s="40" t="s">
        <v>11404</v>
      </c>
    </row>
    <row r="25463">
      <c r="A25463" s="39"/>
      <c r="E25463" s="40" t="s">
        <v>11404</v>
      </c>
      <c r="F25463" s="40" t="s">
        <v>11404</v>
      </c>
      <c r="G25463" s="40" t="s">
        <v>11404</v>
      </c>
      <c r="H25463" s="40" t="s">
        <v>11404</v>
      </c>
    </row>
    <row r="25464">
      <c r="A25464" s="39"/>
      <c r="E25464" s="40" t="s">
        <v>11404</v>
      </c>
      <c r="F25464" s="40" t="s">
        <v>11404</v>
      </c>
      <c r="G25464" s="40" t="s">
        <v>11404</v>
      </c>
      <c r="H25464" s="40" t="s">
        <v>11404</v>
      </c>
    </row>
    <row r="25465">
      <c r="A25465" s="39"/>
      <c r="E25465" s="40" t="s">
        <v>11404</v>
      </c>
      <c r="F25465" s="40" t="s">
        <v>11404</v>
      </c>
      <c r="G25465" s="40" t="s">
        <v>11404</v>
      </c>
      <c r="H25465" s="40" t="s">
        <v>11404</v>
      </c>
    </row>
    <row r="25466">
      <c r="A25466" s="39"/>
      <c r="E25466" s="40" t="s">
        <v>11404</v>
      </c>
      <c r="F25466" s="40" t="s">
        <v>11404</v>
      </c>
      <c r="G25466" s="40" t="s">
        <v>11404</v>
      </c>
      <c r="H25466" s="40" t="s">
        <v>11404</v>
      </c>
    </row>
    <row r="25467">
      <c r="A25467" s="39"/>
      <c r="E25467" s="40" t="s">
        <v>11404</v>
      </c>
      <c r="F25467" s="40" t="s">
        <v>11404</v>
      </c>
      <c r="G25467" s="40" t="s">
        <v>11404</v>
      </c>
      <c r="H25467" s="40" t="s">
        <v>11404</v>
      </c>
    </row>
    <row r="25468">
      <c r="A25468" s="39"/>
      <c r="E25468" s="40" t="s">
        <v>11404</v>
      </c>
      <c r="F25468" s="40" t="s">
        <v>11404</v>
      </c>
      <c r="G25468" s="40" t="s">
        <v>11404</v>
      </c>
      <c r="H25468" s="40" t="s">
        <v>11404</v>
      </c>
    </row>
    <row r="25469">
      <c r="A25469" s="39"/>
      <c r="E25469" s="40" t="s">
        <v>11404</v>
      </c>
      <c r="F25469" s="40" t="s">
        <v>11404</v>
      </c>
      <c r="G25469" s="40" t="s">
        <v>11404</v>
      </c>
      <c r="H25469" s="40" t="s">
        <v>11404</v>
      </c>
    </row>
    <row r="25470">
      <c r="A25470" s="39"/>
      <c r="E25470" s="40" t="s">
        <v>11404</v>
      </c>
      <c r="F25470" s="40" t="s">
        <v>11404</v>
      </c>
      <c r="G25470" s="40" t="s">
        <v>11404</v>
      </c>
      <c r="H25470" s="40" t="s">
        <v>11404</v>
      </c>
    </row>
    <row r="25471">
      <c r="A25471" s="39"/>
      <c r="E25471" s="40" t="s">
        <v>11404</v>
      </c>
      <c r="F25471" s="40" t="s">
        <v>11404</v>
      </c>
      <c r="G25471" s="40" t="s">
        <v>11404</v>
      </c>
      <c r="H25471" s="40" t="s">
        <v>11404</v>
      </c>
    </row>
    <row r="25472">
      <c r="A25472" s="39"/>
      <c r="E25472" s="40" t="s">
        <v>11404</v>
      </c>
      <c r="F25472" s="40" t="s">
        <v>11404</v>
      </c>
      <c r="G25472" s="40" t="s">
        <v>11404</v>
      </c>
      <c r="H25472" s="40" t="s">
        <v>11404</v>
      </c>
    </row>
    <row r="25473">
      <c r="A25473" s="39"/>
      <c r="E25473" s="40" t="s">
        <v>11404</v>
      </c>
      <c r="F25473" s="40" t="s">
        <v>11404</v>
      </c>
      <c r="G25473" s="40" t="s">
        <v>11404</v>
      </c>
      <c r="H25473" s="40" t="s">
        <v>11404</v>
      </c>
    </row>
    <row r="25474">
      <c r="A25474" s="39"/>
      <c r="E25474" s="40" t="s">
        <v>11404</v>
      </c>
      <c r="F25474" s="40" t="s">
        <v>11404</v>
      </c>
      <c r="G25474" s="40" t="s">
        <v>11404</v>
      </c>
      <c r="H25474" s="40" t="s">
        <v>11404</v>
      </c>
    </row>
    <row r="25475">
      <c r="A25475" s="39"/>
      <c r="E25475" s="40" t="s">
        <v>11404</v>
      </c>
      <c r="F25475" s="40" t="s">
        <v>11404</v>
      </c>
      <c r="G25475" s="40" t="s">
        <v>11404</v>
      </c>
      <c r="H25475" s="40" t="s">
        <v>11404</v>
      </c>
    </row>
    <row r="25476">
      <c r="A25476" s="39"/>
      <c r="E25476" s="40" t="s">
        <v>11404</v>
      </c>
      <c r="F25476" s="40" t="s">
        <v>11404</v>
      </c>
      <c r="G25476" s="40" t="s">
        <v>11404</v>
      </c>
      <c r="H25476" s="40" t="s">
        <v>11404</v>
      </c>
    </row>
    <row r="25477">
      <c r="A25477" s="39"/>
      <c r="E25477" s="40" t="s">
        <v>11404</v>
      </c>
      <c r="F25477" s="40" t="s">
        <v>11404</v>
      </c>
      <c r="G25477" s="40" t="s">
        <v>11404</v>
      </c>
      <c r="H25477" s="40" t="s">
        <v>11404</v>
      </c>
    </row>
    <row r="25478">
      <c r="A25478" s="39"/>
      <c r="E25478" s="40" t="s">
        <v>11404</v>
      </c>
      <c r="F25478" s="40" t="s">
        <v>11404</v>
      </c>
      <c r="G25478" s="40" t="s">
        <v>11404</v>
      </c>
      <c r="H25478" s="40" t="s">
        <v>11404</v>
      </c>
    </row>
    <row r="25479">
      <c r="A25479" s="39"/>
      <c r="E25479" s="40" t="s">
        <v>11404</v>
      </c>
      <c r="F25479" s="40" t="s">
        <v>11404</v>
      </c>
      <c r="G25479" s="40" t="s">
        <v>11404</v>
      </c>
      <c r="H25479" s="40" t="s">
        <v>11404</v>
      </c>
    </row>
    <row r="25480">
      <c r="A25480" s="39"/>
      <c r="E25480" s="40" t="s">
        <v>11404</v>
      </c>
      <c r="F25480" s="40" t="s">
        <v>11404</v>
      </c>
      <c r="G25480" s="40" t="s">
        <v>11404</v>
      </c>
      <c r="H25480" s="40" t="s">
        <v>11404</v>
      </c>
    </row>
    <row r="25481">
      <c r="A25481" s="39"/>
      <c r="E25481" s="40" t="s">
        <v>11404</v>
      </c>
      <c r="F25481" s="40" t="s">
        <v>11404</v>
      </c>
      <c r="G25481" s="40" t="s">
        <v>11404</v>
      </c>
      <c r="H25481" s="40" t="s">
        <v>11404</v>
      </c>
    </row>
    <row r="25482">
      <c r="A25482" s="39"/>
      <c r="E25482" s="40" t="s">
        <v>11404</v>
      </c>
      <c r="F25482" s="40" t="s">
        <v>11404</v>
      </c>
      <c r="G25482" s="40" t="s">
        <v>11404</v>
      </c>
      <c r="H25482" s="40" t="s">
        <v>11404</v>
      </c>
    </row>
    <row r="25483">
      <c r="A25483" s="39"/>
      <c r="E25483" s="40" t="s">
        <v>11404</v>
      </c>
      <c r="F25483" s="40" t="s">
        <v>11404</v>
      </c>
      <c r="G25483" s="40" t="s">
        <v>11404</v>
      </c>
      <c r="H25483" s="40" t="s">
        <v>11404</v>
      </c>
    </row>
    <row r="25484">
      <c r="A25484" s="39"/>
      <c r="E25484" s="40" t="s">
        <v>11404</v>
      </c>
      <c r="F25484" s="40" t="s">
        <v>11404</v>
      </c>
      <c r="G25484" s="40" t="s">
        <v>11404</v>
      </c>
      <c r="H25484" s="40" t="s">
        <v>11404</v>
      </c>
    </row>
    <row r="25485">
      <c r="A25485" s="39"/>
      <c r="E25485" s="40" t="s">
        <v>11404</v>
      </c>
      <c r="F25485" s="40" t="s">
        <v>11404</v>
      </c>
      <c r="G25485" s="40" t="s">
        <v>11404</v>
      </c>
      <c r="H25485" s="40" t="s">
        <v>11404</v>
      </c>
    </row>
    <row r="25486">
      <c r="A25486" s="39"/>
      <c r="E25486" s="40" t="s">
        <v>11404</v>
      </c>
      <c r="F25486" s="40" t="s">
        <v>11404</v>
      </c>
      <c r="G25486" s="40" t="s">
        <v>11404</v>
      </c>
      <c r="H25486" s="40" t="s">
        <v>11404</v>
      </c>
    </row>
    <row r="25487">
      <c r="A25487" s="39"/>
      <c r="E25487" s="40" t="s">
        <v>11404</v>
      </c>
      <c r="F25487" s="40" t="s">
        <v>11404</v>
      </c>
      <c r="G25487" s="40" t="s">
        <v>11404</v>
      </c>
      <c r="H25487" s="40" t="s">
        <v>11404</v>
      </c>
    </row>
    <row r="25488">
      <c r="A25488" s="39"/>
      <c r="E25488" s="40" t="s">
        <v>11404</v>
      </c>
      <c r="F25488" s="40" t="s">
        <v>11404</v>
      </c>
      <c r="G25488" s="40" t="s">
        <v>11404</v>
      </c>
      <c r="H25488" s="40" t="s">
        <v>11404</v>
      </c>
    </row>
    <row r="25489">
      <c r="A25489" s="39"/>
      <c r="E25489" s="40" t="s">
        <v>11404</v>
      </c>
      <c r="F25489" s="40" t="s">
        <v>11404</v>
      </c>
      <c r="G25489" s="40" t="s">
        <v>11404</v>
      </c>
      <c r="H25489" s="40" t="s">
        <v>11404</v>
      </c>
    </row>
    <row r="25490">
      <c r="A25490" s="39"/>
      <c r="E25490" s="40" t="s">
        <v>11404</v>
      </c>
      <c r="F25490" s="40" t="s">
        <v>11404</v>
      </c>
      <c r="G25490" s="40" t="s">
        <v>11404</v>
      </c>
      <c r="H25490" s="40" t="s">
        <v>11404</v>
      </c>
    </row>
    <row r="25491">
      <c r="A25491" s="39"/>
      <c r="E25491" s="40" t="s">
        <v>11404</v>
      </c>
      <c r="F25491" s="40" t="s">
        <v>11404</v>
      </c>
      <c r="G25491" s="40" t="s">
        <v>11404</v>
      </c>
      <c r="H25491" s="40" t="s">
        <v>11404</v>
      </c>
    </row>
    <row r="25492">
      <c r="A25492" s="39"/>
      <c r="E25492" s="40" t="s">
        <v>11404</v>
      </c>
      <c r="F25492" s="40" t="s">
        <v>11404</v>
      </c>
      <c r="G25492" s="40" t="s">
        <v>11404</v>
      </c>
      <c r="H25492" s="40" t="s">
        <v>11404</v>
      </c>
    </row>
    <row r="25493">
      <c r="A25493" s="39"/>
      <c r="E25493" s="40" t="s">
        <v>11404</v>
      </c>
      <c r="F25493" s="40" t="s">
        <v>11404</v>
      </c>
      <c r="G25493" s="40" t="s">
        <v>11404</v>
      </c>
      <c r="H25493" s="40" t="s">
        <v>11404</v>
      </c>
    </row>
    <row r="25494">
      <c r="A25494" s="39"/>
      <c r="E25494" s="40" t="s">
        <v>11404</v>
      </c>
      <c r="F25494" s="40" t="s">
        <v>11404</v>
      </c>
      <c r="G25494" s="40" t="s">
        <v>11404</v>
      </c>
      <c r="H25494" s="40" t="s">
        <v>11404</v>
      </c>
    </row>
    <row r="25495">
      <c r="A25495" s="39"/>
      <c r="E25495" s="40" t="s">
        <v>11404</v>
      </c>
      <c r="F25495" s="40" t="s">
        <v>11404</v>
      </c>
      <c r="G25495" s="40" t="s">
        <v>11404</v>
      </c>
      <c r="H25495" s="40" t="s">
        <v>11404</v>
      </c>
    </row>
    <row r="25496">
      <c r="A25496" s="39"/>
      <c r="E25496" s="40" t="s">
        <v>11404</v>
      </c>
      <c r="F25496" s="40" t="s">
        <v>11404</v>
      </c>
      <c r="G25496" s="40" t="s">
        <v>11404</v>
      </c>
      <c r="H25496" s="40" t="s">
        <v>11404</v>
      </c>
    </row>
    <row r="25497">
      <c r="A25497" s="39"/>
      <c r="E25497" s="40" t="s">
        <v>11404</v>
      </c>
      <c r="F25497" s="40" t="s">
        <v>11404</v>
      </c>
      <c r="G25497" s="40" t="s">
        <v>11404</v>
      </c>
      <c r="H25497" s="40" t="s">
        <v>11404</v>
      </c>
    </row>
    <row r="25498">
      <c r="A25498" s="39"/>
      <c r="E25498" s="40" t="s">
        <v>11404</v>
      </c>
      <c r="F25498" s="40" t="s">
        <v>11404</v>
      </c>
      <c r="G25498" s="40" t="s">
        <v>11404</v>
      </c>
      <c r="H25498" s="40" t="s">
        <v>11404</v>
      </c>
    </row>
    <row r="25499">
      <c r="A25499" s="39"/>
      <c r="E25499" s="40" t="s">
        <v>11404</v>
      </c>
      <c r="F25499" s="40" t="s">
        <v>11404</v>
      </c>
      <c r="G25499" s="40" t="s">
        <v>11404</v>
      </c>
      <c r="H25499" s="40" t="s">
        <v>11404</v>
      </c>
    </row>
    <row r="25500">
      <c r="A25500" s="39"/>
      <c r="E25500" s="40" t="s">
        <v>11404</v>
      </c>
      <c r="F25500" s="40" t="s">
        <v>11404</v>
      </c>
      <c r="G25500" s="40" t="s">
        <v>11404</v>
      </c>
      <c r="H25500" s="40" t="s">
        <v>11404</v>
      </c>
    </row>
    <row r="25501">
      <c r="A25501" s="39"/>
      <c r="E25501" s="40" t="s">
        <v>11404</v>
      </c>
      <c r="F25501" s="40" t="s">
        <v>11404</v>
      </c>
      <c r="G25501" s="40" t="s">
        <v>11404</v>
      </c>
      <c r="H25501" s="40" t="s">
        <v>11404</v>
      </c>
    </row>
    <row r="25502">
      <c r="A25502" s="39"/>
      <c r="E25502" s="40" t="s">
        <v>11404</v>
      </c>
      <c r="F25502" s="40" t="s">
        <v>11404</v>
      </c>
      <c r="G25502" s="40" t="s">
        <v>11404</v>
      </c>
      <c r="H25502" s="40" t="s">
        <v>11404</v>
      </c>
    </row>
    <row r="25503">
      <c r="A25503" s="39"/>
      <c r="E25503" s="40" t="s">
        <v>11404</v>
      </c>
      <c r="F25503" s="40" t="s">
        <v>11404</v>
      </c>
      <c r="G25503" s="40" t="s">
        <v>11404</v>
      </c>
      <c r="H25503" s="40" t="s">
        <v>11404</v>
      </c>
    </row>
    <row r="25504">
      <c r="A25504" s="39"/>
      <c r="E25504" s="40" t="s">
        <v>11404</v>
      </c>
      <c r="F25504" s="40" t="s">
        <v>11404</v>
      </c>
      <c r="G25504" s="40" t="s">
        <v>11404</v>
      </c>
      <c r="H25504" s="40" t="s">
        <v>11404</v>
      </c>
    </row>
    <row r="25505">
      <c r="A25505" s="39"/>
      <c r="E25505" s="40" t="s">
        <v>11404</v>
      </c>
      <c r="F25505" s="40" t="s">
        <v>11404</v>
      </c>
      <c r="G25505" s="40" t="s">
        <v>11404</v>
      </c>
      <c r="H25505" s="40" t="s">
        <v>11404</v>
      </c>
    </row>
    <row r="25506">
      <c r="A25506" s="39"/>
      <c r="E25506" s="40" t="s">
        <v>11404</v>
      </c>
      <c r="F25506" s="40" t="s">
        <v>11404</v>
      </c>
      <c r="G25506" s="40" t="s">
        <v>11404</v>
      </c>
      <c r="H25506" s="40" t="s">
        <v>11404</v>
      </c>
    </row>
    <row r="25507">
      <c r="A25507" s="39"/>
      <c r="E25507" s="40" t="s">
        <v>11404</v>
      </c>
      <c r="F25507" s="40" t="s">
        <v>11404</v>
      </c>
      <c r="G25507" s="40" t="s">
        <v>11404</v>
      </c>
      <c r="H25507" s="40" t="s">
        <v>11404</v>
      </c>
    </row>
    <row r="25508">
      <c r="A25508" s="39"/>
      <c r="E25508" s="40" t="s">
        <v>11404</v>
      </c>
      <c r="F25508" s="40" t="s">
        <v>11404</v>
      </c>
      <c r="G25508" s="40" t="s">
        <v>11404</v>
      </c>
      <c r="H25508" s="40" t="s">
        <v>11404</v>
      </c>
    </row>
    <row r="25509">
      <c r="A25509" s="39"/>
      <c r="E25509" s="40" t="s">
        <v>11404</v>
      </c>
      <c r="F25509" s="40" t="s">
        <v>11404</v>
      </c>
      <c r="G25509" s="40" t="s">
        <v>11404</v>
      </c>
      <c r="H25509" s="40" t="s">
        <v>11404</v>
      </c>
    </row>
    <row r="25510">
      <c r="A25510" s="39"/>
      <c r="E25510" s="40" t="s">
        <v>11404</v>
      </c>
      <c r="F25510" s="40" t="s">
        <v>11404</v>
      </c>
      <c r="G25510" s="40" t="s">
        <v>11404</v>
      </c>
      <c r="H25510" s="40" t="s">
        <v>11404</v>
      </c>
    </row>
    <row r="25511">
      <c r="A25511" s="39"/>
      <c r="E25511" s="40" t="s">
        <v>11404</v>
      </c>
      <c r="F25511" s="40" t="s">
        <v>11404</v>
      </c>
      <c r="G25511" s="40" t="s">
        <v>11404</v>
      </c>
      <c r="H25511" s="40" t="s">
        <v>11404</v>
      </c>
    </row>
    <row r="25512">
      <c r="A25512" s="39"/>
      <c r="E25512" s="40" t="s">
        <v>11404</v>
      </c>
      <c r="F25512" s="40" t="s">
        <v>11404</v>
      </c>
      <c r="G25512" s="40" t="s">
        <v>11404</v>
      </c>
      <c r="H25512" s="40" t="s">
        <v>11404</v>
      </c>
    </row>
    <row r="25513">
      <c r="A25513" s="39"/>
      <c r="E25513" s="40" t="s">
        <v>11404</v>
      </c>
      <c r="F25513" s="40" t="s">
        <v>11404</v>
      </c>
      <c r="G25513" s="40" t="s">
        <v>11404</v>
      </c>
      <c r="H25513" s="40" t="s">
        <v>11404</v>
      </c>
    </row>
    <row r="25514">
      <c r="A25514" s="39"/>
      <c r="E25514" s="40" t="s">
        <v>11404</v>
      </c>
      <c r="F25514" s="40" t="s">
        <v>11404</v>
      </c>
      <c r="G25514" s="40" t="s">
        <v>11404</v>
      </c>
      <c r="H25514" s="40" t="s">
        <v>11404</v>
      </c>
    </row>
    <row r="25515">
      <c r="A25515" s="39"/>
      <c r="E25515" s="40" t="s">
        <v>11404</v>
      </c>
      <c r="F25515" s="40" t="s">
        <v>11404</v>
      </c>
      <c r="G25515" s="40" t="s">
        <v>11404</v>
      </c>
      <c r="H25515" s="40" t="s">
        <v>11404</v>
      </c>
    </row>
    <row r="25516">
      <c r="A25516" s="39"/>
      <c r="E25516" s="40" t="s">
        <v>11404</v>
      </c>
      <c r="F25516" s="40" t="s">
        <v>11404</v>
      </c>
      <c r="G25516" s="40" t="s">
        <v>11404</v>
      </c>
      <c r="H25516" s="40" t="s">
        <v>11404</v>
      </c>
    </row>
    <row r="25517">
      <c r="A25517" s="39"/>
      <c r="E25517" s="40" t="s">
        <v>11404</v>
      </c>
      <c r="F25517" s="40" t="s">
        <v>11404</v>
      </c>
      <c r="G25517" s="40" t="s">
        <v>11404</v>
      </c>
      <c r="H25517" s="40" t="s">
        <v>11404</v>
      </c>
    </row>
    <row r="25518">
      <c r="A25518" s="39"/>
      <c r="E25518" s="40" t="s">
        <v>11404</v>
      </c>
      <c r="F25518" s="40" t="s">
        <v>11404</v>
      </c>
      <c r="G25518" s="40" t="s">
        <v>11404</v>
      </c>
      <c r="H25518" s="40" t="s">
        <v>11404</v>
      </c>
    </row>
    <row r="25519">
      <c r="A25519" s="39"/>
      <c r="E25519" s="40" t="s">
        <v>11404</v>
      </c>
      <c r="F25519" s="40" t="s">
        <v>11404</v>
      </c>
      <c r="G25519" s="40" t="s">
        <v>11404</v>
      </c>
      <c r="H25519" s="40" t="s">
        <v>11404</v>
      </c>
    </row>
    <row r="25520">
      <c r="A25520" s="39"/>
      <c r="E25520" s="40" t="s">
        <v>11404</v>
      </c>
      <c r="F25520" s="40" t="s">
        <v>11404</v>
      </c>
      <c r="G25520" s="40" t="s">
        <v>11404</v>
      </c>
      <c r="H25520" s="40" t="s">
        <v>11404</v>
      </c>
    </row>
    <row r="25521">
      <c r="A25521" s="39"/>
      <c r="E25521" s="40" t="s">
        <v>11404</v>
      </c>
      <c r="F25521" s="40" t="s">
        <v>11404</v>
      </c>
      <c r="G25521" s="40" t="s">
        <v>11404</v>
      </c>
      <c r="H25521" s="40" t="s">
        <v>11404</v>
      </c>
    </row>
    <row r="25522">
      <c r="A25522" s="39"/>
      <c r="E25522" s="40" t="s">
        <v>11404</v>
      </c>
      <c r="F25522" s="40" t="s">
        <v>11404</v>
      </c>
      <c r="G25522" s="40" t="s">
        <v>11404</v>
      </c>
      <c r="H25522" s="40" t="s">
        <v>11404</v>
      </c>
    </row>
    <row r="25523">
      <c r="A25523" s="39"/>
      <c r="E25523" s="40" t="s">
        <v>11404</v>
      </c>
      <c r="F25523" s="40" t="s">
        <v>11404</v>
      </c>
      <c r="G25523" s="40" t="s">
        <v>11404</v>
      </c>
      <c r="H25523" s="40" t="s">
        <v>11404</v>
      </c>
    </row>
    <row r="25524">
      <c r="A25524" s="39"/>
      <c r="E25524" s="40" t="s">
        <v>11404</v>
      </c>
      <c r="F25524" s="40" t="s">
        <v>11404</v>
      </c>
      <c r="G25524" s="40" t="s">
        <v>11404</v>
      </c>
      <c r="H25524" s="40" t="s">
        <v>11404</v>
      </c>
    </row>
    <row r="25525">
      <c r="A25525" s="39"/>
      <c r="E25525" s="40" t="s">
        <v>11404</v>
      </c>
      <c r="F25525" s="40" t="s">
        <v>11404</v>
      </c>
      <c r="G25525" s="40" t="s">
        <v>11404</v>
      </c>
      <c r="H25525" s="40" t="s">
        <v>11404</v>
      </c>
    </row>
    <row r="25526">
      <c r="A25526" s="39"/>
      <c r="E25526" s="40" t="s">
        <v>11404</v>
      </c>
      <c r="F25526" s="40" t="s">
        <v>11404</v>
      </c>
      <c r="G25526" s="40" t="s">
        <v>11404</v>
      </c>
      <c r="H25526" s="40" t="s">
        <v>11404</v>
      </c>
    </row>
    <row r="25527">
      <c r="A25527" s="39"/>
      <c r="E25527" s="40" t="s">
        <v>11404</v>
      </c>
      <c r="F25527" s="40" t="s">
        <v>11404</v>
      </c>
      <c r="G25527" s="40" t="s">
        <v>11404</v>
      </c>
      <c r="H25527" s="40" t="s">
        <v>11404</v>
      </c>
    </row>
    <row r="25528">
      <c r="A25528" s="39"/>
      <c r="E25528" s="40" t="s">
        <v>11404</v>
      </c>
      <c r="F25528" s="40" t="s">
        <v>11404</v>
      </c>
      <c r="G25528" s="40" t="s">
        <v>11404</v>
      </c>
      <c r="H25528" s="40" t="s">
        <v>11404</v>
      </c>
    </row>
    <row r="25529">
      <c r="A25529" s="39"/>
      <c r="E25529" s="40" t="s">
        <v>11404</v>
      </c>
      <c r="F25529" s="40" t="s">
        <v>11404</v>
      </c>
      <c r="G25529" s="40" t="s">
        <v>11404</v>
      </c>
      <c r="H25529" s="40" t="s">
        <v>11404</v>
      </c>
    </row>
    <row r="25530">
      <c r="A25530" s="39"/>
      <c r="E25530" s="40" t="s">
        <v>11404</v>
      </c>
      <c r="F25530" s="40" t="s">
        <v>11404</v>
      </c>
      <c r="G25530" s="40" t="s">
        <v>11404</v>
      </c>
      <c r="H25530" s="40" t="s">
        <v>11404</v>
      </c>
    </row>
    <row r="25531">
      <c r="A25531" s="39"/>
      <c r="E25531" s="40" t="s">
        <v>11404</v>
      </c>
      <c r="F25531" s="40" t="s">
        <v>11404</v>
      </c>
      <c r="G25531" s="40" t="s">
        <v>11404</v>
      </c>
      <c r="H25531" s="40" t="s">
        <v>11404</v>
      </c>
    </row>
    <row r="25532">
      <c r="A25532" s="39"/>
      <c r="E25532" s="40" t="s">
        <v>11404</v>
      </c>
      <c r="F25532" s="40" t="s">
        <v>11404</v>
      </c>
      <c r="G25532" s="40" t="s">
        <v>11404</v>
      </c>
      <c r="H25532" s="40" t="s">
        <v>11404</v>
      </c>
    </row>
    <row r="25533">
      <c r="A25533" s="39"/>
      <c r="E25533" s="40" t="s">
        <v>11404</v>
      </c>
      <c r="F25533" s="40" t="s">
        <v>11404</v>
      </c>
      <c r="G25533" s="40" t="s">
        <v>11404</v>
      </c>
      <c r="H25533" s="40" t="s">
        <v>11404</v>
      </c>
    </row>
    <row r="25534">
      <c r="A25534" s="39"/>
      <c r="E25534" s="40" t="s">
        <v>11404</v>
      </c>
      <c r="F25534" s="40" t="s">
        <v>11404</v>
      </c>
      <c r="G25534" s="40" t="s">
        <v>11404</v>
      </c>
      <c r="H25534" s="40" t="s">
        <v>11404</v>
      </c>
    </row>
    <row r="25535">
      <c r="A25535" s="39"/>
      <c r="E25535" s="40" t="s">
        <v>11404</v>
      </c>
      <c r="F25535" s="40" t="s">
        <v>11404</v>
      </c>
      <c r="G25535" s="40" t="s">
        <v>11404</v>
      </c>
      <c r="H25535" s="40" t="s">
        <v>11404</v>
      </c>
    </row>
    <row r="25536">
      <c r="A25536" s="39"/>
      <c r="E25536" s="40" t="s">
        <v>11404</v>
      </c>
      <c r="F25536" s="40" t="s">
        <v>11404</v>
      </c>
      <c r="G25536" s="40" t="s">
        <v>11404</v>
      </c>
      <c r="H25536" s="40" t="s">
        <v>11404</v>
      </c>
    </row>
    <row r="25537">
      <c r="A25537" s="39"/>
      <c r="E25537" s="40" t="s">
        <v>11404</v>
      </c>
      <c r="F25537" s="40" t="s">
        <v>11404</v>
      </c>
      <c r="G25537" s="40" t="s">
        <v>11404</v>
      </c>
      <c r="H25537" s="40" t="s">
        <v>11404</v>
      </c>
    </row>
    <row r="25538">
      <c r="A25538" s="39"/>
      <c r="E25538" s="40" t="s">
        <v>11404</v>
      </c>
      <c r="F25538" s="40" t="s">
        <v>11404</v>
      </c>
      <c r="G25538" s="40" t="s">
        <v>11404</v>
      </c>
      <c r="H25538" s="40" t="s">
        <v>11404</v>
      </c>
    </row>
    <row r="25539">
      <c r="A25539" s="39"/>
      <c r="E25539" s="40" t="s">
        <v>11404</v>
      </c>
      <c r="F25539" s="40" t="s">
        <v>11404</v>
      </c>
      <c r="G25539" s="40" t="s">
        <v>11404</v>
      </c>
      <c r="H25539" s="40" t="s">
        <v>11404</v>
      </c>
    </row>
    <row r="25540">
      <c r="A25540" s="39"/>
      <c r="E25540" s="40" t="s">
        <v>11404</v>
      </c>
      <c r="F25540" s="40" t="s">
        <v>11404</v>
      </c>
      <c r="G25540" s="40" t="s">
        <v>11404</v>
      </c>
      <c r="H25540" s="40" t="s">
        <v>11404</v>
      </c>
    </row>
    <row r="25541">
      <c r="A25541" s="39"/>
      <c r="E25541" s="40" t="s">
        <v>11404</v>
      </c>
      <c r="F25541" s="40" t="s">
        <v>11404</v>
      </c>
      <c r="G25541" s="40" t="s">
        <v>11404</v>
      </c>
      <c r="H25541" s="40" t="s">
        <v>11404</v>
      </c>
    </row>
    <row r="25542">
      <c r="A25542" s="39"/>
      <c r="E25542" s="40" t="s">
        <v>11404</v>
      </c>
      <c r="F25542" s="40" t="s">
        <v>11404</v>
      </c>
      <c r="G25542" s="40" t="s">
        <v>11404</v>
      </c>
      <c r="H25542" s="40" t="s">
        <v>11404</v>
      </c>
    </row>
    <row r="25543">
      <c r="A25543" s="39"/>
      <c r="E25543" s="40" t="s">
        <v>11404</v>
      </c>
      <c r="F25543" s="40" t="s">
        <v>11404</v>
      </c>
      <c r="G25543" s="40" t="s">
        <v>11404</v>
      </c>
      <c r="H25543" s="40" t="s">
        <v>11404</v>
      </c>
    </row>
    <row r="25544">
      <c r="A25544" s="39"/>
      <c r="E25544" s="40" t="s">
        <v>11404</v>
      </c>
      <c r="F25544" s="40" t="s">
        <v>11404</v>
      </c>
      <c r="G25544" s="40" t="s">
        <v>11404</v>
      </c>
      <c r="H25544" s="40" t="s">
        <v>11404</v>
      </c>
    </row>
    <row r="25545">
      <c r="A25545" s="39"/>
      <c r="E25545" s="40" t="s">
        <v>11404</v>
      </c>
      <c r="F25545" s="40" t="s">
        <v>11404</v>
      </c>
      <c r="G25545" s="40" t="s">
        <v>11404</v>
      </c>
      <c r="H25545" s="40" t="s">
        <v>11404</v>
      </c>
    </row>
    <row r="25546">
      <c r="A25546" s="39"/>
      <c r="E25546" s="40" t="s">
        <v>11404</v>
      </c>
      <c r="F25546" s="40" t="s">
        <v>11404</v>
      </c>
      <c r="G25546" s="40" t="s">
        <v>11404</v>
      </c>
      <c r="H25546" s="40" t="s">
        <v>11404</v>
      </c>
    </row>
    <row r="25547">
      <c r="A25547" s="39"/>
      <c r="E25547" s="40" t="s">
        <v>11404</v>
      </c>
      <c r="F25547" s="40" t="s">
        <v>11404</v>
      </c>
      <c r="G25547" s="40" t="s">
        <v>11404</v>
      </c>
      <c r="H25547" s="40" t="s">
        <v>11404</v>
      </c>
    </row>
    <row r="25548">
      <c r="A25548" s="39"/>
      <c r="E25548" s="40" t="s">
        <v>11404</v>
      </c>
      <c r="F25548" s="40" t="s">
        <v>11404</v>
      </c>
      <c r="G25548" s="40" t="s">
        <v>11404</v>
      </c>
      <c r="H25548" s="40" t="s">
        <v>11404</v>
      </c>
    </row>
    <row r="25549">
      <c r="A25549" s="39"/>
      <c r="E25549" s="40" t="s">
        <v>11404</v>
      </c>
      <c r="F25549" s="40" t="s">
        <v>11404</v>
      </c>
      <c r="G25549" s="40" t="s">
        <v>11404</v>
      </c>
      <c r="H25549" s="40" t="s">
        <v>11404</v>
      </c>
    </row>
    <row r="25550">
      <c r="A25550" s="39"/>
      <c r="E25550" s="40" t="s">
        <v>11404</v>
      </c>
      <c r="F25550" s="40" t="s">
        <v>11404</v>
      </c>
      <c r="G25550" s="40" t="s">
        <v>11404</v>
      </c>
      <c r="H25550" s="40" t="s">
        <v>11404</v>
      </c>
    </row>
    <row r="25551">
      <c r="A25551" s="39"/>
      <c r="E25551" s="40" t="s">
        <v>11404</v>
      </c>
      <c r="F25551" s="40" t="s">
        <v>11404</v>
      </c>
      <c r="G25551" s="40" t="s">
        <v>11404</v>
      </c>
      <c r="H25551" s="40" t="s">
        <v>11404</v>
      </c>
    </row>
    <row r="25552">
      <c r="A25552" s="39"/>
      <c r="E25552" s="40" t="s">
        <v>11404</v>
      </c>
      <c r="F25552" s="40" t="s">
        <v>11404</v>
      </c>
      <c r="G25552" s="40" t="s">
        <v>11404</v>
      </c>
      <c r="H25552" s="40" t="s">
        <v>11404</v>
      </c>
    </row>
    <row r="25553">
      <c r="A25553" s="39"/>
      <c r="E25553" s="40" t="s">
        <v>11404</v>
      </c>
      <c r="F25553" s="40" t="s">
        <v>11404</v>
      </c>
      <c r="G25553" s="40" t="s">
        <v>11404</v>
      </c>
      <c r="H25553" s="40" t="s">
        <v>11404</v>
      </c>
    </row>
    <row r="25554">
      <c r="A25554" s="39"/>
      <c r="E25554" s="40" t="s">
        <v>11404</v>
      </c>
      <c r="F25554" s="40" t="s">
        <v>11404</v>
      </c>
      <c r="G25554" s="40" t="s">
        <v>11404</v>
      </c>
      <c r="H25554" s="40" t="s">
        <v>11404</v>
      </c>
    </row>
    <row r="25555">
      <c r="A25555" s="39"/>
      <c r="E25555" s="40" t="s">
        <v>11404</v>
      </c>
      <c r="F25555" s="40" t="s">
        <v>11404</v>
      </c>
      <c r="G25555" s="40" t="s">
        <v>11404</v>
      </c>
      <c r="H25555" s="40" t="s">
        <v>11404</v>
      </c>
    </row>
    <row r="25556">
      <c r="A25556" s="39"/>
      <c r="E25556" s="40" t="s">
        <v>11404</v>
      </c>
      <c r="F25556" s="40" t="s">
        <v>11404</v>
      </c>
      <c r="G25556" s="40" t="s">
        <v>11404</v>
      </c>
      <c r="H25556" s="40" t="s">
        <v>11404</v>
      </c>
    </row>
    <row r="25557">
      <c r="A25557" s="39"/>
      <c r="E25557" s="40" t="s">
        <v>11404</v>
      </c>
      <c r="F25557" s="40" t="s">
        <v>11404</v>
      </c>
      <c r="G25557" s="40" t="s">
        <v>11404</v>
      </c>
      <c r="H25557" s="40" t="s">
        <v>11404</v>
      </c>
    </row>
    <row r="25558">
      <c r="A25558" s="39"/>
      <c r="E25558" s="40" t="s">
        <v>11404</v>
      </c>
      <c r="F25558" s="40" t="s">
        <v>11404</v>
      </c>
      <c r="G25558" s="40" t="s">
        <v>11404</v>
      </c>
      <c r="H25558" s="40" t="s">
        <v>11404</v>
      </c>
    </row>
    <row r="25559">
      <c r="A25559" s="39"/>
      <c r="E25559" s="40" t="s">
        <v>11404</v>
      </c>
      <c r="F25559" s="40" t="s">
        <v>11404</v>
      </c>
      <c r="G25559" s="40" t="s">
        <v>11404</v>
      </c>
      <c r="H25559" s="40" t="s">
        <v>11404</v>
      </c>
    </row>
    <row r="25560">
      <c r="A25560" s="39"/>
      <c r="E25560" s="40" t="s">
        <v>11404</v>
      </c>
      <c r="F25560" s="40" t="s">
        <v>11404</v>
      </c>
      <c r="G25560" s="40" t="s">
        <v>11404</v>
      </c>
      <c r="H25560" s="40" t="s">
        <v>11404</v>
      </c>
    </row>
    <row r="25561">
      <c r="A25561" s="39"/>
      <c r="E25561" s="40" t="s">
        <v>11404</v>
      </c>
      <c r="F25561" s="40" t="s">
        <v>11404</v>
      </c>
      <c r="G25561" s="40" t="s">
        <v>11404</v>
      </c>
      <c r="H25561" s="40" t="s">
        <v>11404</v>
      </c>
    </row>
    <row r="25562">
      <c r="A25562" s="39"/>
      <c r="E25562" s="40" t="s">
        <v>11404</v>
      </c>
      <c r="F25562" s="40" t="s">
        <v>11404</v>
      </c>
      <c r="G25562" s="40" t="s">
        <v>11404</v>
      </c>
      <c r="H25562" s="40" t="s">
        <v>11404</v>
      </c>
    </row>
    <row r="25563">
      <c r="A25563" s="39"/>
      <c r="E25563" s="40" t="s">
        <v>11404</v>
      </c>
      <c r="F25563" s="40" t="s">
        <v>11404</v>
      </c>
      <c r="G25563" s="40" t="s">
        <v>11404</v>
      </c>
      <c r="H25563" s="40" t="s">
        <v>11404</v>
      </c>
    </row>
    <row r="25564">
      <c r="A25564" s="39"/>
      <c r="E25564" s="40" t="s">
        <v>11404</v>
      </c>
      <c r="F25564" s="40" t="s">
        <v>11404</v>
      </c>
      <c r="G25564" s="40" t="s">
        <v>11404</v>
      </c>
      <c r="H25564" s="40" t="s">
        <v>11404</v>
      </c>
    </row>
    <row r="25565">
      <c r="A25565" s="39"/>
      <c r="E25565" s="40" t="s">
        <v>11404</v>
      </c>
      <c r="F25565" s="40" t="s">
        <v>11404</v>
      </c>
      <c r="G25565" s="40" t="s">
        <v>11404</v>
      </c>
      <c r="H25565" s="40" t="s">
        <v>11404</v>
      </c>
    </row>
    <row r="25566">
      <c r="A25566" s="39"/>
      <c r="E25566" s="40" t="s">
        <v>11404</v>
      </c>
      <c r="F25566" s="40" t="s">
        <v>11404</v>
      </c>
      <c r="G25566" s="40" t="s">
        <v>11404</v>
      </c>
      <c r="H25566" s="40" t="s">
        <v>11404</v>
      </c>
    </row>
    <row r="25567">
      <c r="A25567" s="39"/>
      <c r="E25567" s="40" t="s">
        <v>11404</v>
      </c>
      <c r="F25567" s="40" t="s">
        <v>11404</v>
      </c>
      <c r="G25567" s="40" t="s">
        <v>11404</v>
      </c>
      <c r="H25567" s="40" t="s">
        <v>11404</v>
      </c>
    </row>
    <row r="25568">
      <c r="A25568" s="39"/>
      <c r="E25568" s="40" t="s">
        <v>11404</v>
      </c>
      <c r="F25568" s="40" t="s">
        <v>11404</v>
      </c>
      <c r="G25568" s="40" t="s">
        <v>11404</v>
      </c>
      <c r="H25568" s="40" t="s">
        <v>11404</v>
      </c>
    </row>
    <row r="25569">
      <c r="A25569" s="39"/>
      <c r="E25569" s="40" t="s">
        <v>11404</v>
      </c>
      <c r="F25569" s="40" t="s">
        <v>11404</v>
      </c>
      <c r="G25569" s="40" t="s">
        <v>11404</v>
      </c>
      <c r="H25569" s="40" t="s">
        <v>11404</v>
      </c>
    </row>
    <row r="25570">
      <c r="A25570" s="39"/>
      <c r="E25570" s="40" t="s">
        <v>11404</v>
      </c>
      <c r="F25570" s="40" t="s">
        <v>11404</v>
      </c>
      <c r="G25570" s="40" t="s">
        <v>11404</v>
      </c>
      <c r="H25570" s="40" t="s">
        <v>11404</v>
      </c>
    </row>
    <row r="25571">
      <c r="A25571" s="39"/>
      <c r="E25571" s="40" t="s">
        <v>11404</v>
      </c>
      <c r="F25571" s="40" t="s">
        <v>11404</v>
      </c>
      <c r="G25571" s="40" t="s">
        <v>11404</v>
      </c>
      <c r="H25571" s="40" t="s">
        <v>11404</v>
      </c>
    </row>
    <row r="25572">
      <c r="A25572" s="39"/>
      <c r="E25572" s="40" t="s">
        <v>11404</v>
      </c>
      <c r="F25572" s="40" t="s">
        <v>11404</v>
      </c>
      <c r="G25572" s="40" t="s">
        <v>11404</v>
      </c>
      <c r="H25572" s="40" t="s">
        <v>11404</v>
      </c>
    </row>
    <row r="25573">
      <c r="A25573" s="39"/>
      <c r="E25573" s="40" t="s">
        <v>11404</v>
      </c>
      <c r="F25573" s="40" t="s">
        <v>11404</v>
      </c>
      <c r="G25573" s="40" t="s">
        <v>11404</v>
      </c>
      <c r="H25573" s="40" t="s">
        <v>11404</v>
      </c>
    </row>
    <row r="25574">
      <c r="A25574" s="39"/>
      <c r="E25574" s="40" t="s">
        <v>11404</v>
      </c>
      <c r="F25574" s="40" t="s">
        <v>11404</v>
      </c>
      <c r="G25574" s="40" t="s">
        <v>11404</v>
      </c>
      <c r="H25574" s="40" t="s">
        <v>11404</v>
      </c>
    </row>
    <row r="25575">
      <c r="A25575" s="39"/>
      <c r="E25575" s="40" t="s">
        <v>11404</v>
      </c>
      <c r="F25575" s="40" t="s">
        <v>11404</v>
      </c>
      <c r="G25575" s="40" t="s">
        <v>11404</v>
      </c>
      <c r="H25575" s="40" t="s">
        <v>11404</v>
      </c>
    </row>
    <row r="25576">
      <c r="A25576" s="39"/>
      <c r="E25576" s="40" t="s">
        <v>11404</v>
      </c>
      <c r="F25576" s="40" t="s">
        <v>11404</v>
      </c>
      <c r="G25576" s="40" t="s">
        <v>11404</v>
      </c>
      <c r="H25576" s="40" t="s">
        <v>11404</v>
      </c>
    </row>
    <row r="25577">
      <c r="A25577" s="39"/>
      <c r="E25577" s="40" t="s">
        <v>11404</v>
      </c>
      <c r="F25577" s="40" t="s">
        <v>11404</v>
      </c>
      <c r="G25577" s="40" t="s">
        <v>11404</v>
      </c>
      <c r="H25577" s="40" t="s">
        <v>11404</v>
      </c>
    </row>
    <row r="25578">
      <c r="A25578" s="39"/>
      <c r="E25578" s="40" t="s">
        <v>11404</v>
      </c>
      <c r="F25578" s="40" t="s">
        <v>11404</v>
      </c>
      <c r="G25578" s="40" t="s">
        <v>11404</v>
      </c>
      <c r="H25578" s="40" t="s">
        <v>11404</v>
      </c>
    </row>
    <row r="25579">
      <c r="A25579" s="39"/>
      <c r="E25579" s="40" t="s">
        <v>11404</v>
      </c>
      <c r="F25579" s="40" t="s">
        <v>11404</v>
      </c>
      <c r="G25579" s="40" t="s">
        <v>11404</v>
      </c>
      <c r="H25579" s="40" t="s">
        <v>11404</v>
      </c>
    </row>
    <row r="25580">
      <c r="A25580" s="39"/>
      <c r="E25580" s="40" t="s">
        <v>11404</v>
      </c>
      <c r="F25580" s="40" t="s">
        <v>11404</v>
      </c>
      <c r="G25580" s="40" t="s">
        <v>11404</v>
      </c>
      <c r="H25580" s="40" t="s">
        <v>11404</v>
      </c>
    </row>
    <row r="25581">
      <c r="A25581" s="39"/>
      <c r="E25581" s="40" t="s">
        <v>11404</v>
      </c>
      <c r="F25581" s="40" t="s">
        <v>11404</v>
      </c>
      <c r="G25581" s="40" t="s">
        <v>11404</v>
      </c>
      <c r="H25581" s="40" t="s">
        <v>11404</v>
      </c>
    </row>
    <row r="25582">
      <c r="A25582" s="39"/>
      <c r="E25582" s="40" t="s">
        <v>11404</v>
      </c>
      <c r="F25582" s="40" t="s">
        <v>11404</v>
      </c>
      <c r="G25582" s="40" t="s">
        <v>11404</v>
      </c>
      <c r="H25582" s="40" t="s">
        <v>11404</v>
      </c>
    </row>
    <row r="25583">
      <c r="A25583" s="39"/>
      <c r="E25583" s="40" t="s">
        <v>11404</v>
      </c>
      <c r="F25583" s="40" t="s">
        <v>11404</v>
      </c>
      <c r="G25583" s="40" t="s">
        <v>11404</v>
      </c>
      <c r="H25583" s="40" t="s">
        <v>11404</v>
      </c>
    </row>
    <row r="25584">
      <c r="A25584" s="39"/>
      <c r="E25584" s="40" t="s">
        <v>11404</v>
      </c>
      <c r="F25584" s="40" t="s">
        <v>11404</v>
      </c>
      <c r="G25584" s="40" t="s">
        <v>11404</v>
      </c>
      <c r="H25584" s="40" t="s">
        <v>11404</v>
      </c>
    </row>
    <row r="25585">
      <c r="A25585" s="39"/>
      <c r="E25585" s="40" t="s">
        <v>11404</v>
      </c>
      <c r="F25585" s="40" t="s">
        <v>11404</v>
      </c>
      <c r="G25585" s="40" t="s">
        <v>11404</v>
      </c>
      <c r="H25585" s="40" t="s">
        <v>11404</v>
      </c>
    </row>
    <row r="25586">
      <c r="A25586" s="39"/>
      <c r="E25586" s="40" t="s">
        <v>11404</v>
      </c>
      <c r="F25586" s="40" t="s">
        <v>11404</v>
      </c>
      <c r="G25586" s="40" t="s">
        <v>11404</v>
      </c>
      <c r="H25586" s="40" t="s">
        <v>11404</v>
      </c>
    </row>
    <row r="25587">
      <c r="A25587" s="39"/>
      <c r="E25587" s="40" t="s">
        <v>11404</v>
      </c>
      <c r="F25587" s="40" t="s">
        <v>11404</v>
      </c>
      <c r="G25587" s="40" t="s">
        <v>11404</v>
      </c>
      <c r="H25587" s="40" t="s">
        <v>11404</v>
      </c>
    </row>
    <row r="25588">
      <c r="A25588" s="39"/>
      <c r="E25588" s="40" t="s">
        <v>11404</v>
      </c>
      <c r="F25588" s="40" t="s">
        <v>11404</v>
      </c>
      <c r="G25588" s="40" t="s">
        <v>11404</v>
      </c>
      <c r="H25588" s="40" t="s">
        <v>11404</v>
      </c>
    </row>
    <row r="25589">
      <c r="A25589" s="39"/>
      <c r="E25589" s="40" t="s">
        <v>11404</v>
      </c>
      <c r="F25589" s="40" t="s">
        <v>11404</v>
      </c>
      <c r="G25589" s="40" t="s">
        <v>11404</v>
      </c>
      <c r="H25589" s="40" t="s">
        <v>11404</v>
      </c>
    </row>
    <row r="25590">
      <c r="A25590" s="39"/>
      <c r="E25590" s="40" t="s">
        <v>11404</v>
      </c>
      <c r="F25590" s="40" t="s">
        <v>11404</v>
      </c>
      <c r="G25590" s="40" t="s">
        <v>11404</v>
      </c>
      <c r="H25590" s="40" t="s">
        <v>11404</v>
      </c>
    </row>
    <row r="25591">
      <c r="A25591" s="39"/>
      <c r="E25591" s="40" t="s">
        <v>11404</v>
      </c>
      <c r="F25591" s="40" t="s">
        <v>11404</v>
      </c>
      <c r="G25591" s="40" t="s">
        <v>11404</v>
      </c>
      <c r="H25591" s="40" t="s">
        <v>11404</v>
      </c>
    </row>
    <row r="25592">
      <c r="A25592" s="39"/>
      <c r="E25592" s="40" t="s">
        <v>11404</v>
      </c>
      <c r="F25592" s="40" t="s">
        <v>11404</v>
      </c>
      <c r="G25592" s="40" t="s">
        <v>11404</v>
      </c>
      <c r="H25592" s="40" t="s">
        <v>11404</v>
      </c>
    </row>
    <row r="25593">
      <c r="A25593" s="39"/>
      <c r="E25593" s="40" t="s">
        <v>11404</v>
      </c>
      <c r="F25593" s="40" t="s">
        <v>11404</v>
      </c>
      <c r="G25593" s="40" t="s">
        <v>11404</v>
      </c>
      <c r="H25593" s="40" t="s">
        <v>11404</v>
      </c>
    </row>
    <row r="25594">
      <c r="A25594" s="39"/>
      <c r="E25594" s="40" t="s">
        <v>11404</v>
      </c>
      <c r="F25594" s="40" t="s">
        <v>11404</v>
      </c>
      <c r="G25594" s="40" t="s">
        <v>11404</v>
      </c>
      <c r="H25594" s="40" t="s">
        <v>11404</v>
      </c>
    </row>
    <row r="25595">
      <c r="A25595" s="39"/>
      <c r="E25595" s="40" t="s">
        <v>11404</v>
      </c>
      <c r="F25595" s="40" t="s">
        <v>11404</v>
      </c>
      <c r="G25595" s="40" t="s">
        <v>11404</v>
      </c>
      <c r="H25595" s="40" t="s">
        <v>11404</v>
      </c>
    </row>
    <row r="25596">
      <c r="A25596" s="39"/>
      <c r="E25596" s="40" t="s">
        <v>11404</v>
      </c>
      <c r="F25596" s="40" t="s">
        <v>11404</v>
      </c>
      <c r="G25596" s="40" t="s">
        <v>11404</v>
      </c>
      <c r="H25596" s="40" t="s">
        <v>11404</v>
      </c>
    </row>
    <row r="25597">
      <c r="A25597" s="39"/>
      <c r="E25597" s="40" t="s">
        <v>11404</v>
      </c>
      <c r="F25597" s="40" t="s">
        <v>11404</v>
      </c>
      <c r="G25597" s="40" t="s">
        <v>11404</v>
      </c>
      <c r="H25597" s="40" t="s">
        <v>11404</v>
      </c>
    </row>
    <row r="25598">
      <c r="A25598" s="39"/>
      <c r="E25598" s="40" t="s">
        <v>11404</v>
      </c>
      <c r="F25598" s="40" t="s">
        <v>11404</v>
      </c>
      <c r="G25598" s="40" t="s">
        <v>11404</v>
      </c>
      <c r="H25598" s="40" t="s">
        <v>11404</v>
      </c>
    </row>
    <row r="25599">
      <c r="A25599" s="39"/>
      <c r="E25599" s="40" t="s">
        <v>11404</v>
      </c>
      <c r="F25599" s="40" t="s">
        <v>11404</v>
      </c>
      <c r="G25599" s="40" t="s">
        <v>11404</v>
      </c>
      <c r="H25599" s="40" t="s">
        <v>11404</v>
      </c>
    </row>
    <row r="25600">
      <c r="A25600" s="39"/>
      <c r="E25600" s="40" t="s">
        <v>11404</v>
      </c>
      <c r="F25600" s="40" t="s">
        <v>11404</v>
      </c>
      <c r="G25600" s="40" t="s">
        <v>11404</v>
      </c>
      <c r="H25600" s="40" t="s">
        <v>11404</v>
      </c>
    </row>
    <row r="25601">
      <c r="A25601" s="39"/>
      <c r="E25601" s="40" t="s">
        <v>11404</v>
      </c>
      <c r="F25601" s="40" t="s">
        <v>11404</v>
      </c>
      <c r="G25601" s="40" t="s">
        <v>11404</v>
      </c>
      <c r="H25601" s="40" t="s">
        <v>11404</v>
      </c>
    </row>
    <row r="25602">
      <c r="A25602" s="39"/>
      <c r="E25602" s="40" t="s">
        <v>11404</v>
      </c>
      <c r="F25602" s="40" t="s">
        <v>11404</v>
      </c>
      <c r="G25602" s="40" t="s">
        <v>11404</v>
      </c>
      <c r="H25602" s="40" t="s">
        <v>11404</v>
      </c>
    </row>
    <row r="25603">
      <c r="A25603" s="39"/>
      <c r="E25603" s="40" t="s">
        <v>11404</v>
      </c>
      <c r="F25603" s="40" t="s">
        <v>11404</v>
      </c>
      <c r="G25603" s="40" t="s">
        <v>11404</v>
      </c>
      <c r="H25603" s="40" t="s">
        <v>11404</v>
      </c>
    </row>
    <row r="25604">
      <c r="A25604" s="39"/>
      <c r="E25604" s="40" t="s">
        <v>11404</v>
      </c>
      <c r="F25604" s="40" t="s">
        <v>11404</v>
      </c>
      <c r="G25604" s="40" t="s">
        <v>11404</v>
      </c>
      <c r="H25604" s="40" t="s">
        <v>11404</v>
      </c>
    </row>
    <row r="25605">
      <c r="A25605" s="39"/>
      <c r="E25605" s="40" t="s">
        <v>11404</v>
      </c>
      <c r="F25605" s="40" t="s">
        <v>11404</v>
      </c>
      <c r="G25605" s="40" t="s">
        <v>11404</v>
      </c>
      <c r="H25605" s="40" t="s">
        <v>11404</v>
      </c>
    </row>
    <row r="25606">
      <c r="A25606" s="39"/>
      <c r="E25606" s="40" t="s">
        <v>11404</v>
      </c>
      <c r="F25606" s="40" t="s">
        <v>11404</v>
      </c>
      <c r="G25606" s="40" t="s">
        <v>11404</v>
      </c>
      <c r="H25606" s="40" t="s">
        <v>11404</v>
      </c>
    </row>
    <row r="25607">
      <c r="A25607" s="39"/>
      <c r="E25607" s="40" t="s">
        <v>11404</v>
      </c>
      <c r="F25607" s="40" t="s">
        <v>11404</v>
      </c>
      <c r="G25607" s="40" t="s">
        <v>11404</v>
      </c>
      <c r="H25607" s="40" t="s">
        <v>11404</v>
      </c>
    </row>
    <row r="25608">
      <c r="A25608" s="39"/>
      <c r="E25608" s="40" t="s">
        <v>11404</v>
      </c>
      <c r="F25608" s="40" t="s">
        <v>11404</v>
      </c>
      <c r="G25608" s="40" t="s">
        <v>11404</v>
      </c>
      <c r="H25608" s="40" t="s">
        <v>11404</v>
      </c>
    </row>
    <row r="25609">
      <c r="A25609" s="39"/>
      <c r="E25609" s="40" t="s">
        <v>11404</v>
      </c>
      <c r="F25609" s="40" t="s">
        <v>11404</v>
      </c>
      <c r="G25609" s="40" t="s">
        <v>11404</v>
      </c>
      <c r="H25609" s="40" t="s">
        <v>11404</v>
      </c>
    </row>
    <row r="25610">
      <c r="A25610" s="39"/>
      <c r="E25610" s="40" t="s">
        <v>11404</v>
      </c>
      <c r="F25610" s="40" t="s">
        <v>11404</v>
      </c>
      <c r="G25610" s="40" t="s">
        <v>11404</v>
      </c>
      <c r="H25610" s="40" t="s">
        <v>11404</v>
      </c>
    </row>
    <row r="25611">
      <c r="A25611" s="39"/>
      <c r="E25611" s="40" t="s">
        <v>11404</v>
      </c>
      <c r="F25611" s="40" t="s">
        <v>11404</v>
      </c>
      <c r="G25611" s="40" t="s">
        <v>11404</v>
      </c>
      <c r="H25611" s="40" t="s">
        <v>11404</v>
      </c>
    </row>
    <row r="25612">
      <c r="A25612" s="39"/>
      <c r="E25612" s="40" t="s">
        <v>11404</v>
      </c>
      <c r="F25612" s="40" t="s">
        <v>11404</v>
      </c>
      <c r="G25612" s="40" t="s">
        <v>11404</v>
      </c>
      <c r="H25612" s="40" t="s">
        <v>11404</v>
      </c>
    </row>
    <row r="25613">
      <c r="A25613" s="39"/>
      <c r="E25613" s="40" t="s">
        <v>11404</v>
      </c>
      <c r="F25613" s="40" t="s">
        <v>11404</v>
      </c>
      <c r="G25613" s="40" t="s">
        <v>11404</v>
      </c>
      <c r="H25613" s="40" t="s">
        <v>11404</v>
      </c>
    </row>
    <row r="25614">
      <c r="A25614" s="39"/>
      <c r="E25614" s="40" t="s">
        <v>11404</v>
      </c>
      <c r="F25614" s="40" t="s">
        <v>11404</v>
      </c>
      <c r="G25614" s="40" t="s">
        <v>11404</v>
      </c>
      <c r="H25614" s="40" t="s">
        <v>11404</v>
      </c>
    </row>
    <row r="25615">
      <c r="A25615" s="39"/>
      <c r="E25615" s="40" t="s">
        <v>11404</v>
      </c>
      <c r="F25615" s="40" t="s">
        <v>11404</v>
      </c>
      <c r="G25615" s="40" t="s">
        <v>11404</v>
      </c>
      <c r="H25615" s="40" t="s">
        <v>11404</v>
      </c>
    </row>
    <row r="25616">
      <c r="A25616" s="39"/>
      <c r="E25616" s="40" t="s">
        <v>11404</v>
      </c>
      <c r="F25616" s="40" t="s">
        <v>11404</v>
      </c>
      <c r="G25616" s="40" t="s">
        <v>11404</v>
      </c>
      <c r="H25616" s="40" t="s">
        <v>11404</v>
      </c>
    </row>
    <row r="25617">
      <c r="A25617" s="39"/>
      <c r="E25617" s="40" t="s">
        <v>11404</v>
      </c>
      <c r="F25617" s="40" t="s">
        <v>11404</v>
      </c>
      <c r="G25617" s="40" t="s">
        <v>11404</v>
      </c>
      <c r="H25617" s="40" t="s">
        <v>11404</v>
      </c>
    </row>
    <row r="25618">
      <c r="A25618" s="39"/>
      <c r="E25618" s="40" t="s">
        <v>11404</v>
      </c>
      <c r="F25618" s="40" t="s">
        <v>11404</v>
      </c>
      <c r="G25618" s="40" t="s">
        <v>11404</v>
      </c>
      <c r="H25618" s="40" t="s">
        <v>11404</v>
      </c>
    </row>
    <row r="25619">
      <c r="A25619" s="39"/>
      <c r="E25619" s="40" t="s">
        <v>11404</v>
      </c>
      <c r="F25619" s="40" t="s">
        <v>11404</v>
      </c>
      <c r="G25619" s="40" t="s">
        <v>11404</v>
      </c>
      <c r="H25619" s="40" t="s">
        <v>11404</v>
      </c>
    </row>
    <row r="25620">
      <c r="A25620" s="39"/>
      <c r="E25620" s="40" t="s">
        <v>11404</v>
      </c>
      <c r="F25620" s="40" t="s">
        <v>11404</v>
      </c>
      <c r="G25620" s="40" t="s">
        <v>11404</v>
      </c>
      <c r="H25620" s="40" t="s">
        <v>11404</v>
      </c>
    </row>
    <row r="25621">
      <c r="A25621" s="39"/>
      <c r="E25621" s="40" t="s">
        <v>11404</v>
      </c>
      <c r="F25621" s="40" t="s">
        <v>11404</v>
      </c>
      <c r="G25621" s="40" t="s">
        <v>11404</v>
      </c>
      <c r="H25621" s="40" t="s">
        <v>11404</v>
      </c>
    </row>
    <row r="25622">
      <c r="A25622" s="39"/>
      <c r="E25622" s="40" t="s">
        <v>11404</v>
      </c>
      <c r="F25622" s="40" t="s">
        <v>11404</v>
      </c>
      <c r="G25622" s="40" t="s">
        <v>11404</v>
      </c>
      <c r="H25622" s="40" t="s">
        <v>11404</v>
      </c>
    </row>
    <row r="25623">
      <c r="A25623" s="39"/>
      <c r="E25623" s="40" t="s">
        <v>11404</v>
      </c>
      <c r="F25623" s="40" t="s">
        <v>11404</v>
      </c>
      <c r="G25623" s="40" t="s">
        <v>11404</v>
      </c>
      <c r="H25623" s="40" t="s">
        <v>11404</v>
      </c>
    </row>
    <row r="25624">
      <c r="A25624" s="39"/>
      <c r="E25624" s="40" t="s">
        <v>11404</v>
      </c>
      <c r="F25624" s="40" t="s">
        <v>11404</v>
      </c>
      <c r="G25624" s="40" t="s">
        <v>11404</v>
      </c>
      <c r="H25624" s="40" t="s">
        <v>11404</v>
      </c>
    </row>
    <row r="25625">
      <c r="A25625" s="39"/>
      <c r="E25625" s="40" t="s">
        <v>11404</v>
      </c>
      <c r="F25625" s="40" t="s">
        <v>11404</v>
      </c>
      <c r="G25625" s="40" t="s">
        <v>11404</v>
      </c>
      <c r="H25625" s="40" t="s">
        <v>11404</v>
      </c>
    </row>
    <row r="25626">
      <c r="A25626" s="39"/>
      <c r="E25626" s="40" t="s">
        <v>11404</v>
      </c>
      <c r="F25626" s="40" t="s">
        <v>11404</v>
      </c>
      <c r="G25626" s="40" t="s">
        <v>11404</v>
      </c>
      <c r="H25626" s="40" t="s">
        <v>11404</v>
      </c>
    </row>
    <row r="25627">
      <c r="A25627" s="39"/>
      <c r="E25627" s="40" t="s">
        <v>11404</v>
      </c>
      <c r="F25627" s="40" t="s">
        <v>11404</v>
      </c>
      <c r="G25627" s="40" t="s">
        <v>11404</v>
      </c>
      <c r="H25627" s="40" t="s">
        <v>11404</v>
      </c>
    </row>
    <row r="25628">
      <c r="A25628" s="39"/>
      <c r="E25628" s="40" t="s">
        <v>11404</v>
      </c>
      <c r="F25628" s="40" t="s">
        <v>11404</v>
      </c>
      <c r="G25628" s="40" t="s">
        <v>11404</v>
      </c>
      <c r="H25628" s="40" t="s">
        <v>11404</v>
      </c>
    </row>
    <row r="25629">
      <c r="A25629" s="39"/>
      <c r="E25629" s="40" t="s">
        <v>11404</v>
      </c>
      <c r="F25629" s="40" t="s">
        <v>11404</v>
      </c>
      <c r="G25629" s="40" t="s">
        <v>11404</v>
      </c>
      <c r="H25629" s="40" t="s">
        <v>11404</v>
      </c>
    </row>
    <row r="25630">
      <c r="A25630" s="39"/>
      <c r="E25630" s="40" t="s">
        <v>11404</v>
      </c>
      <c r="F25630" s="40" t="s">
        <v>11404</v>
      </c>
      <c r="G25630" s="40" t="s">
        <v>11404</v>
      </c>
      <c r="H25630" s="40" t="s">
        <v>11404</v>
      </c>
    </row>
    <row r="25631">
      <c r="A25631" s="39"/>
      <c r="E25631" s="40" t="s">
        <v>11404</v>
      </c>
      <c r="F25631" s="40" t="s">
        <v>11404</v>
      </c>
      <c r="G25631" s="40" t="s">
        <v>11404</v>
      </c>
      <c r="H25631" s="40" t="s">
        <v>11404</v>
      </c>
    </row>
    <row r="25632">
      <c r="A25632" s="39"/>
      <c r="E25632" s="40" t="s">
        <v>11404</v>
      </c>
      <c r="F25632" s="40" t="s">
        <v>11404</v>
      </c>
      <c r="G25632" s="40" t="s">
        <v>11404</v>
      </c>
      <c r="H25632" s="40" t="s">
        <v>11404</v>
      </c>
    </row>
    <row r="25633">
      <c r="A25633" s="39"/>
      <c r="E25633" s="40" t="s">
        <v>11404</v>
      </c>
      <c r="F25633" s="40" t="s">
        <v>11404</v>
      </c>
      <c r="G25633" s="40" t="s">
        <v>11404</v>
      </c>
      <c r="H25633" s="40" t="s">
        <v>11404</v>
      </c>
    </row>
    <row r="25634">
      <c r="A25634" s="39"/>
      <c r="E25634" s="40" t="s">
        <v>11404</v>
      </c>
      <c r="F25634" s="40" t="s">
        <v>11404</v>
      </c>
      <c r="G25634" s="40" t="s">
        <v>11404</v>
      </c>
      <c r="H25634" s="40" t="s">
        <v>11404</v>
      </c>
    </row>
    <row r="25635">
      <c r="A25635" s="39"/>
      <c r="E25635" s="40" t="s">
        <v>11404</v>
      </c>
      <c r="F25635" s="40" t="s">
        <v>11404</v>
      </c>
      <c r="G25635" s="40" t="s">
        <v>11404</v>
      </c>
      <c r="H25635" s="40" t="s">
        <v>11404</v>
      </c>
    </row>
    <row r="25636">
      <c r="A25636" s="39"/>
      <c r="E25636" s="40" t="s">
        <v>11404</v>
      </c>
      <c r="F25636" s="40" t="s">
        <v>11404</v>
      </c>
      <c r="G25636" s="40" t="s">
        <v>11404</v>
      </c>
      <c r="H25636" s="40" t="s">
        <v>11404</v>
      </c>
    </row>
    <row r="25637">
      <c r="A25637" s="39"/>
      <c r="E25637" s="40" t="s">
        <v>11404</v>
      </c>
      <c r="F25637" s="40" t="s">
        <v>11404</v>
      </c>
      <c r="G25637" s="40" t="s">
        <v>11404</v>
      </c>
      <c r="H25637" s="40" t="s">
        <v>11404</v>
      </c>
    </row>
    <row r="25638">
      <c r="A25638" s="39"/>
      <c r="E25638" s="40" t="s">
        <v>11404</v>
      </c>
      <c r="F25638" s="40" t="s">
        <v>11404</v>
      </c>
      <c r="G25638" s="40" t="s">
        <v>11404</v>
      </c>
      <c r="H25638" s="40" t="s">
        <v>11404</v>
      </c>
    </row>
    <row r="25639">
      <c r="A25639" s="39"/>
      <c r="E25639" s="40" t="s">
        <v>11404</v>
      </c>
      <c r="F25639" s="40" t="s">
        <v>11404</v>
      </c>
      <c r="G25639" s="40" t="s">
        <v>11404</v>
      </c>
      <c r="H25639" s="40" t="s">
        <v>11404</v>
      </c>
    </row>
    <row r="25640">
      <c r="A25640" s="39"/>
      <c r="E25640" s="40" t="s">
        <v>11404</v>
      </c>
      <c r="F25640" s="40" t="s">
        <v>11404</v>
      </c>
      <c r="G25640" s="40" t="s">
        <v>11404</v>
      </c>
      <c r="H25640" s="40" t="s">
        <v>11404</v>
      </c>
    </row>
    <row r="25641">
      <c r="A25641" s="39"/>
      <c r="E25641" s="40" t="s">
        <v>11404</v>
      </c>
      <c r="F25641" s="40" t="s">
        <v>11404</v>
      </c>
      <c r="G25641" s="40" t="s">
        <v>11404</v>
      </c>
      <c r="H25641" s="40" t="s">
        <v>11404</v>
      </c>
    </row>
    <row r="25642">
      <c r="A25642" s="39"/>
      <c r="E25642" s="40" t="s">
        <v>11404</v>
      </c>
      <c r="F25642" s="40" t="s">
        <v>11404</v>
      </c>
      <c r="G25642" s="40" t="s">
        <v>11404</v>
      </c>
      <c r="H25642" s="40" t="s">
        <v>11404</v>
      </c>
    </row>
    <row r="25643">
      <c r="A25643" s="39"/>
      <c r="E25643" s="40" t="s">
        <v>11404</v>
      </c>
      <c r="F25643" s="40" t="s">
        <v>11404</v>
      </c>
      <c r="G25643" s="40" t="s">
        <v>11404</v>
      </c>
      <c r="H25643" s="40" t="s">
        <v>11404</v>
      </c>
    </row>
    <row r="25644">
      <c r="A25644" s="39"/>
      <c r="E25644" s="40" t="s">
        <v>11404</v>
      </c>
      <c r="F25644" s="40" t="s">
        <v>11404</v>
      </c>
      <c r="G25644" s="40" t="s">
        <v>11404</v>
      </c>
      <c r="H25644" s="40" t="s">
        <v>11404</v>
      </c>
    </row>
    <row r="25645">
      <c r="A25645" s="39"/>
      <c r="E25645" s="40" t="s">
        <v>11404</v>
      </c>
      <c r="F25645" s="40" t="s">
        <v>11404</v>
      </c>
      <c r="G25645" s="40" t="s">
        <v>11404</v>
      </c>
      <c r="H25645" s="40" t="s">
        <v>11404</v>
      </c>
    </row>
    <row r="25646">
      <c r="A25646" s="39"/>
      <c r="E25646" s="40" t="s">
        <v>11404</v>
      </c>
      <c r="F25646" s="40" t="s">
        <v>11404</v>
      </c>
      <c r="G25646" s="40" t="s">
        <v>11404</v>
      </c>
      <c r="H25646" s="40" t="s">
        <v>11404</v>
      </c>
    </row>
    <row r="25647">
      <c r="A25647" s="39"/>
      <c r="E25647" s="40" t="s">
        <v>11404</v>
      </c>
      <c r="F25647" s="40" t="s">
        <v>11404</v>
      </c>
      <c r="G25647" s="40" t="s">
        <v>11404</v>
      </c>
      <c r="H25647" s="40" t="s">
        <v>11404</v>
      </c>
    </row>
    <row r="25648">
      <c r="A25648" s="39"/>
      <c r="E25648" s="40" t="s">
        <v>11404</v>
      </c>
      <c r="F25648" s="40" t="s">
        <v>11404</v>
      </c>
      <c r="G25648" s="40" t="s">
        <v>11404</v>
      </c>
      <c r="H25648" s="40" t="s">
        <v>11404</v>
      </c>
    </row>
    <row r="25649">
      <c r="A25649" s="39"/>
      <c r="E25649" s="40" t="s">
        <v>11404</v>
      </c>
      <c r="F25649" s="40" t="s">
        <v>11404</v>
      </c>
      <c r="G25649" s="40" t="s">
        <v>11404</v>
      </c>
      <c r="H25649" s="40" t="s">
        <v>11404</v>
      </c>
    </row>
    <row r="25650">
      <c r="A25650" s="39"/>
      <c r="E25650" s="40" t="s">
        <v>11404</v>
      </c>
      <c r="F25650" s="40" t="s">
        <v>11404</v>
      </c>
      <c r="G25650" s="40" t="s">
        <v>11404</v>
      </c>
      <c r="H25650" s="40" t="s">
        <v>11404</v>
      </c>
    </row>
    <row r="25651">
      <c r="A25651" s="39"/>
      <c r="E25651" s="40" t="s">
        <v>11404</v>
      </c>
      <c r="F25651" s="40" t="s">
        <v>11404</v>
      </c>
      <c r="G25651" s="40" t="s">
        <v>11404</v>
      </c>
      <c r="H25651" s="40" t="s">
        <v>11404</v>
      </c>
    </row>
    <row r="25652">
      <c r="A25652" s="39"/>
      <c r="E25652" s="40" t="s">
        <v>11404</v>
      </c>
      <c r="F25652" s="40" t="s">
        <v>11404</v>
      </c>
      <c r="G25652" s="40" t="s">
        <v>11404</v>
      </c>
      <c r="H25652" s="40" t="s">
        <v>11404</v>
      </c>
    </row>
    <row r="25653">
      <c r="A25653" s="39"/>
      <c r="E25653" s="40" t="s">
        <v>11404</v>
      </c>
      <c r="F25653" s="40" t="s">
        <v>11404</v>
      </c>
      <c r="G25653" s="40" t="s">
        <v>11404</v>
      </c>
      <c r="H25653" s="40" t="s">
        <v>11404</v>
      </c>
    </row>
    <row r="25654">
      <c r="A25654" s="39"/>
      <c r="E25654" s="40" t="s">
        <v>11404</v>
      </c>
      <c r="F25654" s="40" t="s">
        <v>11404</v>
      </c>
      <c r="G25654" s="40" t="s">
        <v>11404</v>
      </c>
      <c r="H25654" s="40" t="s">
        <v>11404</v>
      </c>
    </row>
    <row r="25655">
      <c r="A25655" s="39"/>
      <c r="E25655" s="40" t="s">
        <v>11404</v>
      </c>
      <c r="F25655" s="40" t="s">
        <v>11404</v>
      </c>
      <c r="G25655" s="40" t="s">
        <v>11404</v>
      </c>
      <c r="H25655" s="40" t="s">
        <v>11404</v>
      </c>
    </row>
    <row r="25656">
      <c r="A25656" s="39"/>
      <c r="E25656" s="40" t="s">
        <v>11404</v>
      </c>
      <c r="F25656" s="40" t="s">
        <v>11404</v>
      </c>
      <c r="G25656" s="40" t="s">
        <v>11404</v>
      </c>
      <c r="H25656" s="40" t="s">
        <v>11404</v>
      </c>
    </row>
    <row r="25657">
      <c r="A25657" s="39"/>
      <c r="E25657" s="40" t="s">
        <v>11404</v>
      </c>
      <c r="F25657" s="40" t="s">
        <v>11404</v>
      </c>
      <c r="G25657" s="40" t="s">
        <v>11404</v>
      </c>
      <c r="H25657" s="40" t="s">
        <v>11404</v>
      </c>
    </row>
    <row r="25658">
      <c r="A25658" s="39"/>
      <c r="E25658" s="40" t="s">
        <v>11404</v>
      </c>
      <c r="F25658" s="40" t="s">
        <v>11404</v>
      </c>
      <c r="G25658" s="40" t="s">
        <v>11404</v>
      </c>
      <c r="H25658" s="40" t="s">
        <v>11404</v>
      </c>
    </row>
    <row r="25659">
      <c r="A25659" s="39"/>
      <c r="E25659" s="40" t="s">
        <v>11404</v>
      </c>
      <c r="F25659" s="40" t="s">
        <v>11404</v>
      </c>
      <c r="G25659" s="40" t="s">
        <v>11404</v>
      </c>
      <c r="H25659" s="40" t="s">
        <v>11404</v>
      </c>
    </row>
    <row r="25660">
      <c r="A25660" s="39"/>
      <c r="E25660" s="40" t="s">
        <v>11404</v>
      </c>
      <c r="F25660" s="40" t="s">
        <v>11404</v>
      </c>
      <c r="G25660" s="40" t="s">
        <v>11404</v>
      </c>
      <c r="H25660" s="40" t="s">
        <v>11404</v>
      </c>
    </row>
    <row r="25661">
      <c r="A25661" s="39"/>
      <c r="E25661" s="40" t="s">
        <v>11404</v>
      </c>
      <c r="F25661" s="40" t="s">
        <v>11404</v>
      </c>
      <c r="G25661" s="40" t="s">
        <v>11404</v>
      </c>
      <c r="H25661" s="40" t="s">
        <v>11404</v>
      </c>
    </row>
    <row r="25662">
      <c r="A25662" s="39"/>
      <c r="E25662" s="40" t="s">
        <v>11404</v>
      </c>
      <c r="F25662" s="40" t="s">
        <v>11404</v>
      </c>
      <c r="G25662" s="40" t="s">
        <v>11404</v>
      </c>
      <c r="H25662" s="40" t="s">
        <v>11404</v>
      </c>
    </row>
    <row r="25663">
      <c r="A25663" s="39"/>
      <c r="E25663" s="40" t="s">
        <v>11404</v>
      </c>
      <c r="F25663" s="40" t="s">
        <v>11404</v>
      </c>
      <c r="G25663" s="40" t="s">
        <v>11404</v>
      </c>
      <c r="H25663" s="40" t="s">
        <v>11404</v>
      </c>
    </row>
    <row r="25664">
      <c r="A25664" s="39"/>
      <c r="E25664" s="40" t="s">
        <v>11404</v>
      </c>
      <c r="F25664" s="40" t="s">
        <v>11404</v>
      </c>
      <c r="G25664" s="40" t="s">
        <v>11404</v>
      </c>
      <c r="H25664" s="40" t="s">
        <v>11404</v>
      </c>
    </row>
    <row r="25665">
      <c r="A25665" s="39"/>
      <c r="E25665" s="40" t="s">
        <v>11404</v>
      </c>
      <c r="F25665" s="40" t="s">
        <v>11404</v>
      </c>
      <c r="G25665" s="40" t="s">
        <v>11404</v>
      </c>
      <c r="H25665" s="40" t="s">
        <v>11404</v>
      </c>
    </row>
    <row r="25666">
      <c r="A25666" s="39"/>
      <c r="E25666" s="40" t="s">
        <v>11404</v>
      </c>
      <c r="F25666" s="40" t="s">
        <v>11404</v>
      </c>
      <c r="G25666" s="40" t="s">
        <v>11404</v>
      </c>
      <c r="H25666" s="40" t="s">
        <v>11404</v>
      </c>
    </row>
    <row r="25667">
      <c r="A25667" s="39"/>
      <c r="E25667" s="40" t="s">
        <v>11404</v>
      </c>
      <c r="F25667" s="40" t="s">
        <v>11404</v>
      </c>
      <c r="G25667" s="40" t="s">
        <v>11404</v>
      </c>
      <c r="H25667" s="40" t="s">
        <v>11404</v>
      </c>
    </row>
    <row r="25668">
      <c r="A25668" s="39"/>
      <c r="E25668" s="40" t="s">
        <v>11404</v>
      </c>
      <c r="F25668" s="40" t="s">
        <v>11404</v>
      </c>
      <c r="G25668" s="40" t="s">
        <v>11404</v>
      </c>
      <c r="H25668" s="40" t="s">
        <v>11404</v>
      </c>
    </row>
    <row r="25669">
      <c r="A25669" s="39"/>
      <c r="E25669" s="40" t="s">
        <v>11404</v>
      </c>
      <c r="F25669" s="40" t="s">
        <v>11404</v>
      </c>
      <c r="G25669" s="40" t="s">
        <v>11404</v>
      </c>
      <c r="H25669" s="40" t="s">
        <v>11404</v>
      </c>
    </row>
    <row r="25670">
      <c r="A25670" s="39"/>
      <c r="E25670" s="40" t="s">
        <v>11404</v>
      </c>
      <c r="F25670" s="40" t="s">
        <v>11404</v>
      </c>
      <c r="G25670" s="40" t="s">
        <v>11404</v>
      </c>
      <c r="H25670" s="40" t="s">
        <v>11404</v>
      </c>
    </row>
    <row r="25671">
      <c r="A25671" s="39"/>
      <c r="E25671" s="40" t="s">
        <v>11404</v>
      </c>
      <c r="F25671" s="40" t="s">
        <v>11404</v>
      </c>
      <c r="G25671" s="40" t="s">
        <v>11404</v>
      </c>
      <c r="H25671" s="40" t="s">
        <v>11404</v>
      </c>
    </row>
    <row r="25672">
      <c r="A25672" s="39"/>
      <c r="E25672" s="40" t="s">
        <v>11404</v>
      </c>
      <c r="F25672" s="40" t="s">
        <v>11404</v>
      </c>
      <c r="G25672" s="40" t="s">
        <v>11404</v>
      </c>
      <c r="H25672" s="40" t="s">
        <v>11404</v>
      </c>
    </row>
    <row r="25673">
      <c r="A25673" s="39"/>
      <c r="E25673" s="40" t="s">
        <v>11404</v>
      </c>
      <c r="F25673" s="40" t="s">
        <v>11404</v>
      </c>
      <c r="G25673" s="40" t="s">
        <v>11404</v>
      </c>
      <c r="H25673" s="40" t="s">
        <v>11404</v>
      </c>
    </row>
    <row r="25674">
      <c r="A25674" s="39"/>
      <c r="E25674" s="40" t="s">
        <v>11404</v>
      </c>
      <c r="F25674" s="40" t="s">
        <v>11404</v>
      </c>
      <c r="G25674" s="40" t="s">
        <v>11404</v>
      </c>
      <c r="H25674" s="40" t="s">
        <v>11404</v>
      </c>
    </row>
    <row r="25675">
      <c r="A25675" s="39"/>
      <c r="E25675" s="40" t="s">
        <v>11404</v>
      </c>
      <c r="F25675" s="40" t="s">
        <v>11404</v>
      </c>
      <c r="G25675" s="40" t="s">
        <v>11404</v>
      </c>
      <c r="H25675" s="40" t="s">
        <v>11404</v>
      </c>
    </row>
    <row r="25676">
      <c r="A25676" s="39"/>
      <c r="E25676" s="40" t="s">
        <v>11404</v>
      </c>
      <c r="F25676" s="40" t="s">
        <v>11404</v>
      </c>
      <c r="G25676" s="40" t="s">
        <v>11404</v>
      </c>
      <c r="H25676" s="40" t="s">
        <v>11404</v>
      </c>
    </row>
    <row r="25677">
      <c r="A25677" s="39"/>
      <c r="E25677" s="40" t="s">
        <v>11404</v>
      </c>
      <c r="F25677" s="40" t="s">
        <v>11404</v>
      </c>
      <c r="G25677" s="40" t="s">
        <v>11404</v>
      </c>
      <c r="H25677" s="40" t="s">
        <v>11404</v>
      </c>
    </row>
    <row r="25678">
      <c r="A25678" s="39"/>
      <c r="E25678" s="40" t="s">
        <v>11404</v>
      </c>
      <c r="F25678" s="40" t="s">
        <v>11404</v>
      </c>
      <c r="G25678" s="40" t="s">
        <v>11404</v>
      </c>
      <c r="H25678" s="40" t="s">
        <v>11404</v>
      </c>
    </row>
    <row r="25679">
      <c r="A25679" s="39"/>
      <c r="E25679" s="40" t="s">
        <v>11404</v>
      </c>
      <c r="F25679" s="40" t="s">
        <v>11404</v>
      </c>
      <c r="G25679" s="40" t="s">
        <v>11404</v>
      </c>
      <c r="H25679" s="40" t="s">
        <v>11404</v>
      </c>
    </row>
    <row r="25680">
      <c r="A25680" s="39"/>
      <c r="E25680" s="40" t="s">
        <v>11404</v>
      </c>
      <c r="F25680" s="40" t="s">
        <v>11404</v>
      </c>
      <c r="G25680" s="40" t="s">
        <v>11404</v>
      </c>
      <c r="H25680" s="40" t="s">
        <v>11404</v>
      </c>
    </row>
    <row r="25681">
      <c r="A25681" s="39"/>
      <c r="E25681" s="40" t="s">
        <v>11404</v>
      </c>
      <c r="F25681" s="40" t="s">
        <v>11404</v>
      </c>
      <c r="G25681" s="40" t="s">
        <v>11404</v>
      </c>
      <c r="H25681" s="40" t="s">
        <v>11404</v>
      </c>
    </row>
    <row r="25682">
      <c r="A25682" s="39"/>
      <c r="E25682" s="40" t="s">
        <v>11404</v>
      </c>
      <c r="F25682" s="40" t="s">
        <v>11404</v>
      </c>
      <c r="G25682" s="40" t="s">
        <v>11404</v>
      </c>
      <c r="H25682" s="40" t="s">
        <v>11404</v>
      </c>
    </row>
    <row r="25683">
      <c r="A25683" s="39"/>
      <c r="E25683" s="40" t="s">
        <v>11404</v>
      </c>
      <c r="F25683" s="40" t="s">
        <v>11404</v>
      </c>
      <c r="G25683" s="40" t="s">
        <v>11404</v>
      </c>
      <c r="H25683" s="40" t="s">
        <v>11404</v>
      </c>
    </row>
    <row r="25684">
      <c r="A25684" s="39"/>
      <c r="E25684" s="40" t="s">
        <v>11404</v>
      </c>
      <c r="F25684" s="40" t="s">
        <v>11404</v>
      </c>
      <c r="G25684" s="40" t="s">
        <v>11404</v>
      </c>
      <c r="H25684" s="40" t="s">
        <v>11404</v>
      </c>
    </row>
    <row r="25685">
      <c r="A25685" s="39"/>
      <c r="E25685" s="40" t="s">
        <v>11404</v>
      </c>
      <c r="F25685" s="40" t="s">
        <v>11404</v>
      </c>
      <c r="G25685" s="40" t="s">
        <v>11404</v>
      </c>
      <c r="H25685" s="40" t="s">
        <v>11404</v>
      </c>
    </row>
    <row r="25686">
      <c r="A25686" s="39"/>
      <c r="E25686" s="40" t="s">
        <v>11404</v>
      </c>
      <c r="F25686" s="40" t="s">
        <v>11404</v>
      </c>
      <c r="G25686" s="40" t="s">
        <v>11404</v>
      </c>
      <c r="H25686" s="40" t="s">
        <v>11404</v>
      </c>
    </row>
    <row r="25687">
      <c r="A25687" s="39"/>
      <c r="E25687" s="40" t="s">
        <v>11404</v>
      </c>
      <c r="F25687" s="40" t="s">
        <v>11404</v>
      </c>
      <c r="G25687" s="40" t="s">
        <v>11404</v>
      </c>
      <c r="H25687" s="40" t="s">
        <v>11404</v>
      </c>
    </row>
    <row r="25688">
      <c r="A25688" s="39"/>
      <c r="E25688" s="40" t="s">
        <v>11404</v>
      </c>
      <c r="F25688" s="40" t="s">
        <v>11404</v>
      </c>
      <c r="G25688" s="40" t="s">
        <v>11404</v>
      </c>
      <c r="H25688" s="40" t="s">
        <v>11404</v>
      </c>
    </row>
    <row r="25689">
      <c r="A25689" s="39"/>
      <c r="E25689" s="40" t="s">
        <v>11404</v>
      </c>
      <c r="F25689" s="40" t="s">
        <v>11404</v>
      </c>
      <c r="G25689" s="40" t="s">
        <v>11404</v>
      </c>
      <c r="H25689" s="40" t="s">
        <v>11404</v>
      </c>
    </row>
    <row r="25690">
      <c r="A25690" s="39"/>
      <c r="E25690" s="40" t="s">
        <v>11404</v>
      </c>
      <c r="F25690" s="40" t="s">
        <v>11404</v>
      </c>
      <c r="G25690" s="40" t="s">
        <v>11404</v>
      </c>
      <c r="H25690" s="40" t="s">
        <v>11404</v>
      </c>
    </row>
    <row r="25691">
      <c r="A25691" s="39"/>
      <c r="E25691" s="40" t="s">
        <v>11404</v>
      </c>
      <c r="F25691" s="40" t="s">
        <v>11404</v>
      </c>
      <c r="G25691" s="40" t="s">
        <v>11404</v>
      </c>
      <c r="H25691" s="40" t="s">
        <v>11404</v>
      </c>
    </row>
    <row r="25692">
      <c r="A25692" s="39"/>
      <c r="E25692" s="40" t="s">
        <v>11404</v>
      </c>
      <c r="F25692" s="40" t="s">
        <v>11404</v>
      </c>
      <c r="G25692" s="40" t="s">
        <v>11404</v>
      </c>
      <c r="H25692" s="40" t="s">
        <v>11404</v>
      </c>
    </row>
    <row r="25693">
      <c r="A25693" s="39"/>
      <c r="E25693" s="40" t="s">
        <v>11404</v>
      </c>
      <c r="F25693" s="40" t="s">
        <v>11404</v>
      </c>
      <c r="G25693" s="40" t="s">
        <v>11404</v>
      </c>
      <c r="H25693" s="40" t="s">
        <v>11404</v>
      </c>
    </row>
    <row r="25694">
      <c r="A25694" s="39"/>
      <c r="E25694" s="40" t="s">
        <v>11404</v>
      </c>
      <c r="F25694" s="40" t="s">
        <v>11404</v>
      </c>
      <c r="G25694" s="40" t="s">
        <v>11404</v>
      </c>
      <c r="H25694" s="40" t="s">
        <v>11404</v>
      </c>
    </row>
    <row r="25695">
      <c r="A25695" s="39"/>
      <c r="E25695" s="40" t="s">
        <v>11404</v>
      </c>
      <c r="F25695" s="40" t="s">
        <v>11404</v>
      </c>
      <c r="G25695" s="40" t="s">
        <v>11404</v>
      </c>
      <c r="H25695" s="40" t="s">
        <v>11404</v>
      </c>
    </row>
    <row r="25696">
      <c r="A25696" s="39"/>
      <c r="E25696" s="40" t="s">
        <v>11404</v>
      </c>
      <c r="F25696" s="40" t="s">
        <v>11404</v>
      </c>
      <c r="G25696" s="40" t="s">
        <v>11404</v>
      </c>
      <c r="H25696" s="40" t="s">
        <v>11404</v>
      </c>
    </row>
    <row r="25697">
      <c r="A25697" s="39"/>
      <c r="E25697" s="40" t="s">
        <v>11404</v>
      </c>
      <c r="F25697" s="40" t="s">
        <v>11404</v>
      </c>
      <c r="G25697" s="40" t="s">
        <v>11404</v>
      </c>
      <c r="H25697" s="40" t="s">
        <v>11404</v>
      </c>
    </row>
    <row r="25698">
      <c r="A25698" s="39"/>
      <c r="E25698" s="40" t="s">
        <v>11404</v>
      </c>
      <c r="F25698" s="40" t="s">
        <v>11404</v>
      </c>
      <c r="G25698" s="40" t="s">
        <v>11404</v>
      </c>
      <c r="H25698" s="40" t="s">
        <v>11404</v>
      </c>
    </row>
    <row r="25699">
      <c r="A25699" s="39"/>
      <c r="E25699" s="40" t="s">
        <v>11404</v>
      </c>
      <c r="F25699" s="40" t="s">
        <v>11404</v>
      </c>
      <c r="G25699" s="40" t="s">
        <v>11404</v>
      </c>
      <c r="H25699" s="40" t="s">
        <v>11404</v>
      </c>
    </row>
    <row r="25700">
      <c r="A25700" s="39"/>
      <c r="E25700" s="40" t="s">
        <v>11404</v>
      </c>
      <c r="F25700" s="40" t="s">
        <v>11404</v>
      </c>
      <c r="G25700" s="40" t="s">
        <v>11404</v>
      </c>
      <c r="H25700" s="40" t="s">
        <v>11404</v>
      </c>
    </row>
    <row r="25701">
      <c r="A25701" s="39"/>
      <c r="E25701" s="40" t="s">
        <v>11404</v>
      </c>
      <c r="F25701" s="40" t="s">
        <v>11404</v>
      </c>
      <c r="G25701" s="40" t="s">
        <v>11404</v>
      </c>
      <c r="H25701" s="40" t="s">
        <v>11404</v>
      </c>
    </row>
    <row r="25702">
      <c r="A25702" s="39"/>
      <c r="E25702" s="40" t="s">
        <v>11404</v>
      </c>
      <c r="F25702" s="40" t="s">
        <v>11404</v>
      </c>
      <c r="G25702" s="40" t="s">
        <v>11404</v>
      </c>
      <c r="H25702" s="40" t="s">
        <v>11404</v>
      </c>
    </row>
    <row r="25703">
      <c r="A25703" s="39"/>
      <c r="E25703" s="40" t="s">
        <v>11404</v>
      </c>
      <c r="F25703" s="40" t="s">
        <v>11404</v>
      </c>
      <c r="G25703" s="40" t="s">
        <v>11404</v>
      </c>
      <c r="H25703" s="40" t="s">
        <v>11404</v>
      </c>
    </row>
    <row r="25704">
      <c r="A25704" s="39"/>
      <c r="E25704" s="40" t="s">
        <v>11404</v>
      </c>
      <c r="F25704" s="40" t="s">
        <v>11404</v>
      </c>
      <c r="G25704" s="40" t="s">
        <v>11404</v>
      </c>
      <c r="H25704" s="40" t="s">
        <v>11404</v>
      </c>
    </row>
    <row r="25705">
      <c r="A25705" s="39"/>
      <c r="E25705" s="40" t="s">
        <v>11404</v>
      </c>
      <c r="F25705" s="40" t="s">
        <v>11404</v>
      </c>
      <c r="G25705" s="40" t="s">
        <v>11404</v>
      </c>
      <c r="H25705" s="40" t="s">
        <v>11404</v>
      </c>
    </row>
    <row r="25706">
      <c r="A25706" s="39"/>
      <c r="E25706" s="40" t="s">
        <v>11404</v>
      </c>
      <c r="F25706" s="40" t="s">
        <v>11404</v>
      </c>
      <c r="G25706" s="40" t="s">
        <v>11404</v>
      </c>
      <c r="H25706" s="40" t="s">
        <v>11404</v>
      </c>
    </row>
    <row r="25707">
      <c r="A25707" s="39"/>
      <c r="E25707" s="40" t="s">
        <v>11404</v>
      </c>
      <c r="F25707" s="40" t="s">
        <v>11404</v>
      </c>
      <c r="G25707" s="40" t="s">
        <v>11404</v>
      </c>
      <c r="H25707" s="40" t="s">
        <v>11404</v>
      </c>
    </row>
    <row r="25708">
      <c r="A25708" s="39"/>
      <c r="E25708" s="40" t="s">
        <v>11404</v>
      </c>
      <c r="F25708" s="40" t="s">
        <v>11404</v>
      </c>
      <c r="G25708" s="40" t="s">
        <v>11404</v>
      </c>
      <c r="H25708" s="40" t="s">
        <v>11404</v>
      </c>
    </row>
    <row r="25709">
      <c r="A25709" s="39"/>
      <c r="E25709" s="40" t="s">
        <v>11404</v>
      </c>
      <c r="F25709" s="40" t="s">
        <v>11404</v>
      </c>
      <c r="G25709" s="40" t="s">
        <v>11404</v>
      </c>
      <c r="H25709" s="40" t="s">
        <v>11404</v>
      </c>
    </row>
    <row r="25710">
      <c r="A25710" s="39"/>
      <c r="E25710" s="40" t="s">
        <v>11404</v>
      </c>
      <c r="F25710" s="40" t="s">
        <v>11404</v>
      </c>
      <c r="G25710" s="40" t="s">
        <v>11404</v>
      </c>
      <c r="H25710" s="40" t="s">
        <v>11404</v>
      </c>
    </row>
    <row r="25711">
      <c r="A25711" s="39"/>
      <c r="E25711" s="40" t="s">
        <v>11404</v>
      </c>
      <c r="F25711" s="40" t="s">
        <v>11404</v>
      </c>
      <c r="G25711" s="40" t="s">
        <v>11404</v>
      </c>
      <c r="H25711" s="40" t="s">
        <v>11404</v>
      </c>
    </row>
    <row r="25712">
      <c r="A25712" s="39"/>
      <c r="E25712" s="40" t="s">
        <v>11404</v>
      </c>
      <c r="F25712" s="40" t="s">
        <v>11404</v>
      </c>
      <c r="G25712" s="40" t="s">
        <v>11404</v>
      </c>
      <c r="H25712" s="40" t="s">
        <v>11404</v>
      </c>
    </row>
    <row r="25713">
      <c r="A25713" s="39"/>
      <c r="E25713" s="40" t="s">
        <v>11404</v>
      </c>
      <c r="F25713" s="40" t="s">
        <v>11404</v>
      </c>
      <c r="G25713" s="40" t="s">
        <v>11404</v>
      </c>
      <c r="H25713" s="40" t="s">
        <v>11404</v>
      </c>
    </row>
    <row r="25714">
      <c r="A25714" s="39"/>
      <c r="E25714" s="40" t="s">
        <v>11404</v>
      </c>
      <c r="F25714" s="40" t="s">
        <v>11404</v>
      </c>
      <c r="G25714" s="40" t="s">
        <v>11404</v>
      </c>
      <c r="H25714" s="40" t="s">
        <v>11404</v>
      </c>
    </row>
    <row r="25715">
      <c r="A25715" s="39"/>
      <c r="E25715" s="40" t="s">
        <v>11404</v>
      </c>
      <c r="F25715" s="40" t="s">
        <v>11404</v>
      </c>
      <c r="G25715" s="40" t="s">
        <v>11404</v>
      </c>
      <c r="H25715" s="40" t="s">
        <v>11404</v>
      </c>
    </row>
    <row r="25716">
      <c r="A25716" s="39"/>
      <c r="E25716" s="40" t="s">
        <v>11404</v>
      </c>
      <c r="F25716" s="40" t="s">
        <v>11404</v>
      </c>
      <c r="G25716" s="40" t="s">
        <v>11404</v>
      </c>
      <c r="H25716" s="40" t="s">
        <v>11404</v>
      </c>
    </row>
    <row r="25717">
      <c r="A25717" s="39"/>
      <c r="E25717" s="40" t="s">
        <v>11404</v>
      </c>
      <c r="F25717" s="40" t="s">
        <v>11404</v>
      </c>
      <c r="G25717" s="40" t="s">
        <v>11404</v>
      </c>
      <c r="H25717" s="40" t="s">
        <v>11404</v>
      </c>
    </row>
    <row r="25718">
      <c r="A25718" s="39"/>
      <c r="E25718" s="40" t="s">
        <v>11404</v>
      </c>
      <c r="F25718" s="40" t="s">
        <v>11404</v>
      </c>
      <c r="G25718" s="40" t="s">
        <v>11404</v>
      </c>
      <c r="H25718" s="40" t="s">
        <v>11404</v>
      </c>
    </row>
    <row r="25719">
      <c r="A25719" s="39"/>
      <c r="E25719" s="40" t="s">
        <v>11404</v>
      </c>
      <c r="F25719" s="40" t="s">
        <v>11404</v>
      </c>
      <c r="G25719" s="40" t="s">
        <v>11404</v>
      </c>
      <c r="H25719" s="40" t="s">
        <v>11404</v>
      </c>
    </row>
    <row r="25720">
      <c r="A25720" s="39"/>
      <c r="E25720" s="40" t="s">
        <v>11404</v>
      </c>
      <c r="F25720" s="40" t="s">
        <v>11404</v>
      </c>
      <c r="G25720" s="40" t="s">
        <v>11404</v>
      </c>
      <c r="H25720" s="40" t="s">
        <v>11404</v>
      </c>
    </row>
    <row r="25721">
      <c r="A25721" s="39"/>
      <c r="E25721" s="40" t="s">
        <v>11404</v>
      </c>
      <c r="F25721" s="40" t="s">
        <v>11404</v>
      </c>
      <c r="G25721" s="40" t="s">
        <v>11404</v>
      </c>
      <c r="H25721" s="40" t="s">
        <v>11404</v>
      </c>
    </row>
    <row r="25722">
      <c r="A25722" s="39"/>
      <c r="E25722" s="40" t="s">
        <v>11404</v>
      </c>
      <c r="F25722" s="40" t="s">
        <v>11404</v>
      </c>
      <c r="G25722" s="40" t="s">
        <v>11404</v>
      </c>
      <c r="H25722" s="40" t="s">
        <v>11404</v>
      </c>
    </row>
    <row r="25723">
      <c r="A25723" s="39"/>
      <c r="E25723" s="40" t="s">
        <v>11404</v>
      </c>
      <c r="F25723" s="40" t="s">
        <v>11404</v>
      </c>
      <c r="G25723" s="40" t="s">
        <v>11404</v>
      </c>
      <c r="H25723" s="40" t="s">
        <v>11404</v>
      </c>
    </row>
    <row r="25724">
      <c r="A25724" s="39"/>
      <c r="E25724" s="40" t="s">
        <v>11404</v>
      </c>
      <c r="F25724" s="40" t="s">
        <v>11404</v>
      </c>
      <c r="G25724" s="40" t="s">
        <v>11404</v>
      </c>
      <c r="H25724" s="40" t="s">
        <v>11404</v>
      </c>
    </row>
    <row r="25725">
      <c r="A25725" s="39"/>
      <c r="E25725" s="40" t="s">
        <v>11404</v>
      </c>
      <c r="F25725" s="40" t="s">
        <v>11404</v>
      </c>
      <c r="G25725" s="40" t="s">
        <v>11404</v>
      </c>
      <c r="H25725" s="40" t="s">
        <v>11404</v>
      </c>
    </row>
    <row r="25726">
      <c r="A25726" s="39"/>
      <c r="E25726" s="40" t="s">
        <v>11404</v>
      </c>
      <c r="F25726" s="40" t="s">
        <v>11404</v>
      </c>
      <c r="G25726" s="40" t="s">
        <v>11404</v>
      </c>
      <c r="H25726" s="40" t="s">
        <v>11404</v>
      </c>
    </row>
    <row r="25727">
      <c r="A25727" s="39"/>
      <c r="E25727" s="40" t="s">
        <v>11404</v>
      </c>
      <c r="F25727" s="40" t="s">
        <v>11404</v>
      </c>
      <c r="G25727" s="40" t="s">
        <v>11404</v>
      </c>
      <c r="H25727" s="40" t="s">
        <v>11404</v>
      </c>
    </row>
    <row r="25728">
      <c r="A25728" s="39"/>
      <c r="E25728" s="40" t="s">
        <v>11404</v>
      </c>
      <c r="F25728" s="40" t="s">
        <v>11404</v>
      </c>
      <c r="G25728" s="40" t="s">
        <v>11404</v>
      </c>
      <c r="H25728" s="40" t="s">
        <v>11404</v>
      </c>
    </row>
    <row r="25729">
      <c r="A25729" s="39"/>
      <c r="E25729" s="40" t="s">
        <v>11404</v>
      </c>
      <c r="F25729" s="40" t="s">
        <v>11404</v>
      </c>
      <c r="G25729" s="40" t="s">
        <v>11404</v>
      </c>
      <c r="H25729" s="40" t="s">
        <v>11404</v>
      </c>
    </row>
    <row r="25730">
      <c r="A25730" s="39"/>
      <c r="E25730" s="40" t="s">
        <v>11404</v>
      </c>
      <c r="F25730" s="40" t="s">
        <v>11404</v>
      </c>
      <c r="G25730" s="40" t="s">
        <v>11404</v>
      </c>
      <c r="H25730" s="40" t="s">
        <v>11404</v>
      </c>
    </row>
    <row r="25731">
      <c r="A25731" s="39"/>
      <c r="E25731" s="40" t="s">
        <v>11404</v>
      </c>
      <c r="F25731" s="40" t="s">
        <v>11404</v>
      </c>
      <c r="G25731" s="40" t="s">
        <v>11404</v>
      </c>
      <c r="H25731" s="40" t="s">
        <v>11404</v>
      </c>
    </row>
    <row r="25732">
      <c r="A25732" s="39"/>
      <c r="E25732" s="40" t="s">
        <v>11404</v>
      </c>
      <c r="F25732" s="40" t="s">
        <v>11404</v>
      </c>
      <c r="G25732" s="40" t="s">
        <v>11404</v>
      </c>
      <c r="H25732" s="40" t="s">
        <v>11404</v>
      </c>
    </row>
    <row r="25733">
      <c r="A25733" s="39"/>
      <c r="E25733" s="40" t="s">
        <v>11404</v>
      </c>
      <c r="F25733" s="40" t="s">
        <v>11404</v>
      </c>
      <c r="G25733" s="40" t="s">
        <v>11404</v>
      </c>
      <c r="H25733" s="40" t="s">
        <v>11404</v>
      </c>
    </row>
    <row r="25734">
      <c r="A25734" s="39"/>
      <c r="E25734" s="40" t="s">
        <v>11404</v>
      </c>
      <c r="F25734" s="40" t="s">
        <v>11404</v>
      </c>
      <c r="G25734" s="40" t="s">
        <v>11404</v>
      </c>
      <c r="H25734" s="40" t="s">
        <v>11404</v>
      </c>
    </row>
    <row r="25735">
      <c r="A25735" s="39"/>
      <c r="E25735" s="40" t="s">
        <v>11404</v>
      </c>
      <c r="F25735" s="40" t="s">
        <v>11404</v>
      </c>
      <c r="G25735" s="40" t="s">
        <v>11404</v>
      </c>
      <c r="H25735" s="40" t="s">
        <v>11404</v>
      </c>
    </row>
    <row r="25736">
      <c r="A25736" s="39"/>
      <c r="E25736" s="40" t="s">
        <v>11404</v>
      </c>
      <c r="F25736" s="40" t="s">
        <v>11404</v>
      </c>
      <c r="G25736" s="40" t="s">
        <v>11404</v>
      </c>
      <c r="H25736" s="40" t="s">
        <v>11404</v>
      </c>
    </row>
    <row r="25737">
      <c r="A25737" s="39"/>
      <c r="E25737" s="40" t="s">
        <v>11404</v>
      </c>
      <c r="F25737" s="40" t="s">
        <v>11404</v>
      </c>
      <c r="G25737" s="40" t="s">
        <v>11404</v>
      </c>
      <c r="H25737" s="40" t="s">
        <v>11404</v>
      </c>
    </row>
    <row r="25738">
      <c r="A25738" s="39"/>
      <c r="E25738" s="40" t="s">
        <v>11404</v>
      </c>
      <c r="F25738" s="40" t="s">
        <v>11404</v>
      </c>
      <c r="G25738" s="40" t="s">
        <v>11404</v>
      </c>
      <c r="H25738" s="40" t="s">
        <v>11404</v>
      </c>
    </row>
    <row r="25739">
      <c r="A25739" s="39"/>
      <c r="E25739" s="40" t="s">
        <v>11404</v>
      </c>
      <c r="F25739" s="40" t="s">
        <v>11404</v>
      </c>
      <c r="G25739" s="40" t="s">
        <v>11404</v>
      </c>
      <c r="H25739" s="40" t="s">
        <v>11404</v>
      </c>
    </row>
    <row r="25740">
      <c r="A25740" s="39"/>
      <c r="E25740" s="40" t="s">
        <v>11404</v>
      </c>
      <c r="F25740" s="40" t="s">
        <v>11404</v>
      </c>
      <c r="G25740" s="40" t="s">
        <v>11404</v>
      </c>
      <c r="H25740" s="40" t="s">
        <v>11404</v>
      </c>
    </row>
    <row r="25741">
      <c r="A25741" s="39"/>
      <c r="E25741" s="40" t="s">
        <v>11404</v>
      </c>
      <c r="F25741" s="40" t="s">
        <v>11404</v>
      </c>
      <c r="G25741" s="40" t="s">
        <v>11404</v>
      </c>
      <c r="H25741" s="40" t="s">
        <v>11404</v>
      </c>
    </row>
    <row r="25742">
      <c r="A25742" s="39"/>
      <c r="E25742" s="40" t="s">
        <v>11404</v>
      </c>
      <c r="F25742" s="40" t="s">
        <v>11404</v>
      </c>
      <c r="G25742" s="40" t="s">
        <v>11404</v>
      </c>
      <c r="H25742" s="40" t="s">
        <v>11404</v>
      </c>
    </row>
    <row r="25743">
      <c r="A25743" s="39"/>
      <c r="E25743" s="40" t="s">
        <v>11404</v>
      </c>
      <c r="F25743" s="40" t="s">
        <v>11404</v>
      </c>
      <c r="G25743" s="40" t="s">
        <v>11404</v>
      </c>
      <c r="H25743" s="40" t="s">
        <v>11404</v>
      </c>
    </row>
    <row r="25744">
      <c r="A25744" s="39"/>
      <c r="E25744" s="40" t="s">
        <v>11404</v>
      </c>
      <c r="F25744" s="40" t="s">
        <v>11404</v>
      </c>
      <c r="G25744" s="40" t="s">
        <v>11404</v>
      </c>
      <c r="H25744" s="40" t="s">
        <v>11404</v>
      </c>
    </row>
    <row r="25745">
      <c r="A25745" s="39"/>
      <c r="E25745" s="40" t="s">
        <v>11404</v>
      </c>
      <c r="F25745" s="40" t="s">
        <v>11404</v>
      </c>
      <c r="G25745" s="40" t="s">
        <v>11404</v>
      </c>
      <c r="H25745" s="40" t="s">
        <v>11404</v>
      </c>
    </row>
    <row r="25746">
      <c r="A25746" s="39"/>
      <c r="E25746" s="40" t="s">
        <v>11404</v>
      </c>
      <c r="F25746" s="40" t="s">
        <v>11404</v>
      </c>
      <c r="G25746" s="40" t="s">
        <v>11404</v>
      </c>
      <c r="H25746" s="40" t="s">
        <v>11404</v>
      </c>
    </row>
    <row r="25747">
      <c r="A25747" s="39"/>
      <c r="E25747" s="40" t="s">
        <v>11404</v>
      </c>
      <c r="F25747" s="40" t="s">
        <v>11404</v>
      </c>
      <c r="G25747" s="40" t="s">
        <v>11404</v>
      </c>
      <c r="H25747" s="40" t="s">
        <v>11404</v>
      </c>
    </row>
    <row r="25748">
      <c r="A25748" s="39"/>
      <c r="E25748" s="40" t="s">
        <v>11404</v>
      </c>
      <c r="F25748" s="40" t="s">
        <v>11404</v>
      </c>
      <c r="G25748" s="40" t="s">
        <v>11404</v>
      </c>
      <c r="H25748" s="40" t="s">
        <v>11404</v>
      </c>
    </row>
    <row r="25749">
      <c r="A25749" s="39"/>
      <c r="E25749" s="40" t="s">
        <v>11404</v>
      </c>
      <c r="F25749" s="40" t="s">
        <v>11404</v>
      </c>
      <c r="G25749" s="40" t="s">
        <v>11404</v>
      </c>
      <c r="H25749" s="40" t="s">
        <v>11404</v>
      </c>
    </row>
    <row r="25750">
      <c r="A25750" s="39"/>
      <c r="E25750" s="40" t="s">
        <v>11404</v>
      </c>
      <c r="F25750" s="40" t="s">
        <v>11404</v>
      </c>
      <c r="G25750" s="40" t="s">
        <v>11404</v>
      </c>
      <c r="H25750" s="40" t="s">
        <v>11404</v>
      </c>
    </row>
    <row r="25751">
      <c r="A25751" s="39"/>
      <c r="E25751" s="40" t="s">
        <v>11404</v>
      </c>
      <c r="F25751" s="40" t="s">
        <v>11404</v>
      </c>
      <c r="G25751" s="40" t="s">
        <v>11404</v>
      </c>
      <c r="H25751" s="40" t="s">
        <v>11404</v>
      </c>
    </row>
    <row r="25752">
      <c r="A25752" s="39"/>
      <c r="E25752" s="40" t="s">
        <v>11404</v>
      </c>
      <c r="F25752" s="40" t="s">
        <v>11404</v>
      </c>
      <c r="G25752" s="40" t="s">
        <v>11404</v>
      </c>
      <c r="H25752" s="40" t="s">
        <v>11404</v>
      </c>
    </row>
    <row r="25753">
      <c r="A25753" s="39"/>
      <c r="E25753" s="40" t="s">
        <v>11404</v>
      </c>
      <c r="F25753" s="40" t="s">
        <v>11404</v>
      </c>
      <c r="G25753" s="40" t="s">
        <v>11404</v>
      </c>
      <c r="H25753" s="40" t="s">
        <v>11404</v>
      </c>
    </row>
    <row r="25754">
      <c r="A25754" s="39"/>
      <c r="E25754" s="40" t="s">
        <v>11404</v>
      </c>
      <c r="F25754" s="40" t="s">
        <v>11404</v>
      </c>
      <c r="G25754" s="40" t="s">
        <v>11404</v>
      </c>
      <c r="H25754" s="40" t="s">
        <v>11404</v>
      </c>
    </row>
    <row r="25755">
      <c r="A25755" s="39"/>
      <c r="E25755" s="40" t="s">
        <v>11404</v>
      </c>
      <c r="F25755" s="40" t="s">
        <v>11404</v>
      </c>
      <c r="G25755" s="40" t="s">
        <v>11404</v>
      </c>
      <c r="H25755" s="40" t="s">
        <v>11404</v>
      </c>
    </row>
    <row r="25756">
      <c r="A25756" s="39"/>
      <c r="E25756" s="40" t="s">
        <v>11404</v>
      </c>
      <c r="F25756" s="40" t="s">
        <v>11404</v>
      </c>
      <c r="G25756" s="40" t="s">
        <v>11404</v>
      </c>
      <c r="H25756" s="40" t="s">
        <v>11404</v>
      </c>
    </row>
    <row r="25757">
      <c r="A25757" s="39"/>
      <c r="E25757" s="40" t="s">
        <v>11404</v>
      </c>
      <c r="F25757" s="40" t="s">
        <v>11404</v>
      </c>
      <c r="G25757" s="40" t="s">
        <v>11404</v>
      </c>
      <c r="H25757" s="40" t="s">
        <v>11404</v>
      </c>
    </row>
    <row r="25758">
      <c r="A25758" s="39"/>
      <c r="E25758" s="40" t="s">
        <v>11404</v>
      </c>
      <c r="F25758" s="40" t="s">
        <v>11404</v>
      </c>
      <c r="G25758" s="40" t="s">
        <v>11404</v>
      </c>
      <c r="H25758" s="40" t="s">
        <v>11404</v>
      </c>
    </row>
    <row r="25759">
      <c r="A25759" s="39"/>
      <c r="E25759" s="40" t="s">
        <v>11404</v>
      </c>
      <c r="F25759" s="40" t="s">
        <v>11404</v>
      </c>
      <c r="G25759" s="40" t="s">
        <v>11404</v>
      </c>
      <c r="H25759" s="40" t="s">
        <v>11404</v>
      </c>
    </row>
    <row r="25760">
      <c r="A25760" s="39"/>
      <c r="E25760" s="40" t="s">
        <v>11404</v>
      </c>
      <c r="F25760" s="40" t="s">
        <v>11404</v>
      </c>
      <c r="G25760" s="40" t="s">
        <v>11404</v>
      </c>
      <c r="H25760" s="40" t="s">
        <v>11404</v>
      </c>
    </row>
    <row r="25761">
      <c r="A25761" s="39"/>
      <c r="E25761" s="40" t="s">
        <v>11404</v>
      </c>
      <c r="F25761" s="40" t="s">
        <v>11404</v>
      </c>
      <c r="G25761" s="40" t="s">
        <v>11404</v>
      </c>
      <c r="H25761" s="40" t="s">
        <v>11404</v>
      </c>
    </row>
    <row r="25762">
      <c r="A25762" s="39"/>
      <c r="E25762" s="40" t="s">
        <v>11404</v>
      </c>
      <c r="F25762" s="40" t="s">
        <v>11404</v>
      </c>
      <c r="G25762" s="40" t="s">
        <v>11404</v>
      </c>
      <c r="H25762" s="40" t="s">
        <v>11404</v>
      </c>
    </row>
    <row r="25763">
      <c r="A25763" s="39"/>
      <c r="E25763" s="40" t="s">
        <v>11404</v>
      </c>
      <c r="F25763" s="40" t="s">
        <v>11404</v>
      </c>
      <c r="G25763" s="40" t="s">
        <v>11404</v>
      </c>
      <c r="H25763" s="40" t="s">
        <v>11404</v>
      </c>
    </row>
    <row r="25764">
      <c r="A25764" s="39"/>
      <c r="E25764" s="40" t="s">
        <v>11404</v>
      </c>
      <c r="F25764" s="40" t="s">
        <v>11404</v>
      </c>
      <c r="G25764" s="40" t="s">
        <v>11404</v>
      </c>
      <c r="H25764" s="40" t="s">
        <v>11404</v>
      </c>
    </row>
    <row r="25765">
      <c r="A25765" s="39"/>
      <c r="E25765" s="40" t="s">
        <v>11404</v>
      </c>
      <c r="F25765" s="40" t="s">
        <v>11404</v>
      </c>
      <c r="G25765" s="40" t="s">
        <v>11404</v>
      </c>
      <c r="H25765" s="40" t="s">
        <v>11404</v>
      </c>
    </row>
    <row r="25766">
      <c r="A25766" s="39"/>
      <c r="E25766" s="40" t="s">
        <v>11404</v>
      </c>
      <c r="F25766" s="40" t="s">
        <v>11404</v>
      </c>
      <c r="G25766" s="40" t="s">
        <v>11404</v>
      </c>
      <c r="H25766" s="40" t="s">
        <v>11404</v>
      </c>
    </row>
    <row r="25767">
      <c r="A25767" s="39"/>
      <c r="E25767" s="40" t="s">
        <v>11404</v>
      </c>
      <c r="F25767" s="40" t="s">
        <v>11404</v>
      </c>
      <c r="G25767" s="40" t="s">
        <v>11404</v>
      </c>
      <c r="H25767" s="40" t="s">
        <v>11404</v>
      </c>
    </row>
    <row r="25768">
      <c r="A25768" s="39"/>
      <c r="E25768" s="40" t="s">
        <v>11404</v>
      </c>
      <c r="F25768" s="40" t="s">
        <v>11404</v>
      </c>
      <c r="G25768" s="40" t="s">
        <v>11404</v>
      </c>
      <c r="H25768" s="40" t="s">
        <v>11404</v>
      </c>
    </row>
    <row r="25769">
      <c r="A25769" s="39"/>
      <c r="E25769" s="40" t="s">
        <v>11404</v>
      </c>
      <c r="F25769" s="40" t="s">
        <v>11404</v>
      </c>
      <c r="G25769" s="40" t="s">
        <v>11404</v>
      </c>
      <c r="H25769" s="40" t="s">
        <v>11404</v>
      </c>
    </row>
    <row r="25770">
      <c r="A25770" s="39"/>
      <c r="E25770" s="40" t="s">
        <v>11404</v>
      </c>
      <c r="F25770" s="40" t="s">
        <v>11404</v>
      </c>
      <c r="G25770" s="40" t="s">
        <v>11404</v>
      </c>
      <c r="H25770" s="40" t="s">
        <v>11404</v>
      </c>
    </row>
    <row r="25771">
      <c r="A25771" s="39"/>
      <c r="E25771" s="40" t="s">
        <v>11404</v>
      </c>
      <c r="F25771" s="40" t="s">
        <v>11404</v>
      </c>
      <c r="G25771" s="40" t="s">
        <v>11404</v>
      </c>
      <c r="H25771" s="40" t="s">
        <v>11404</v>
      </c>
    </row>
    <row r="25772">
      <c r="A25772" s="39"/>
      <c r="E25772" s="40" t="s">
        <v>11404</v>
      </c>
      <c r="F25772" s="40" t="s">
        <v>11404</v>
      </c>
      <c r="G25772" s="40" t="s">
        <v>11404</v>
      </c>
      <c r="H25772" s="40" t="s">
        <v>11404</v>
      </c>
    </row>
    <row r="25773">
      <c r="A25773" s="39"/>
      <c r="E25773" s="40" t="s">
        <v>11404</v>
      </c>
      <c r="F25773" s="40" t="s">
        <v>11404</v>
      </c>
      <c r="G25773" s="40" t="s">
        <v>11404</v>
      </c>
      <c r="H25773" s="40" t="s">
        <v>11404</v>
      </c>
    </row>
    <row r="25774">
      <c r="A25774" s="39"/>
      <c r="E25774" s="40" t="s">
        <v>11404</v>
      </c>
      <c r="F25774" s="40" t="s">
        <v>11404</v>
      </c>
      <c r="G25774" s="40" t="s">
        <v>11404</v>
      </c>
      <c r="H25774" s="40" t="s">
        <v>11404</v>
      </c>
    </row>
    <row r="25775">
      <c r="A25775" s="39"/>
      <c r="E25775" s="40" t="s">
        <v>11404</v>
      </c>
      <c r="F25775" s="40" t="s">
        <v>11404</v>
      </c>
      <c r="G25775" s="40" t="s">
        <v>11404</v>
      </c>
      <c r="H25775" s="40" t="s">
        <v>11404</v>
      </c>
    </row>
    <row r="25776">
      <c r="A25776" s="39"/>
      <c r="E25776" s="40" t="s">
        <v>11404</v>
      </c>
      <c r="F25776" s="40" t="s">
        <v>11404</v>
      </c>
      <c r="G25776" s="40" t="s">
        <v>11404</v>
      </c>
      <c r="H25776" s="40" t="s">
        <v>11404</v>
      </c>
    </row>
    <row r="25777">
      <c r="A25777" s="39"/>
      <c r="E25777" s="40" t="s">
        <v>11404</v>
      </c>
      <c r="F25777" s="40" t="s">
        <v>11404</v>
      </c>
      <c r="G25777" s="40" t="s">
        <v>11404</v>
      </c>
      <c r="H25777" s="40" t="s">
        <v>11404</v>
      </c>
    </row>
    <row r="25778">
      <c r="A25778" s="39"/>
      <c r="E25778" s="40" t="s">
        <v>11404</v>
      </c>
      <c r="F25778" s="40" t="s">
        <v>11404</v>
      </c>
      <c r="G25778" s="40" t="s">
        <v>11404</v>
      </c>
      <c r="H25778" s="40" t="s">
        <v>11404</v>
      </c>
    </row>
    <row r="25779">
      <c r="A25779" s="39"/>
      <c r="E25779" s="40" t="s">
        <v>11404</v>
      </c>
      <c r="F25779" s="40" t="s">
        <v>11404</v>
      </c>
      <c r="G25779" s="40" t="s">
        <v>11404</v>
      </c>
      <c r="H25779" s="40" t="s">
        <v>11404</v>
      </c>
    </row>
    <row r="25780">
      <c r="A25780" s="39"/>
      <c r="E25780" s="40" t="s">
        <v>11404</v>
      </c>
      <c r="F25780" s="40" t="s">
        <v>11404</v>
      </c>
      <c r="G25780" s="40" t="s">
        <v>11404</v>
      </c>
      <c r="H25780" s="40" t="s">
        <v>11404</v>
      </c>
    </row>
    <row r="25781">
      <c r="A25781" s="39"/>
      <c r="E25781" s="40" t="s">
        <v>11404</v>
      </c>
      <c r="F25781" s="40" t="s">
        <v>11404</v>
      </c>
      <c r="G25781" s="40" t="s">
        <v>11404</v>
      </c>
      <c r="H25781" s="40" t="s">
        <v>11404</v>
      </c>
    </row>
    <row r="25782">
      <c r="A25782" s="39"/>
      <c r="E25782" s="40" t="s">
        <v>11404</v>
      </c>
      <c r="F25782" s="40" t="s">
        <v>11404</v>
      </c>
      <c r="G25782" s="40" t="s">
        <v>11404</v>
      </c>
      <c r="H25782" s="40" t="s">
        <v>11404</v>
      </c>
    </row>
    <row r="25783">
      <c r="A25783" s="39"/>
      <c r="E25783" s="40" t="s">
        <v>11404</v>
      </c>
      <c r="F25783" s="40" t="s">
        <v>11404</v>
      </c>
      <c r="G25783" s="40" t="s">
        <v>11404</v>
      </c>
      <c r="H25783" s="40" t="s">
        <v>11404</v>
      </c>
    </row>
    <row r="25784">
      <c r="A25784" s="39"/>
      <c r="E25784" s="40" t="s">
        <v>11404</v>
      </c>
      <c r="F25784" s="40" t="s">
        <v>11404</v>
      </c>
      <c r="G25784" s="40" t="s">
        <v>11404</v>
      </c>
      <c r="H25784" s="40" t="s">
        <v>11404</v>
      </c>
    </row>
    <row r="25785">
      <c r="A25785" s="39"/>
      <c r="E25785" s="40" t="s">
        <v>11404</v>
      </c>
      <c r="F25785" s="40" t="s">
        <v>11404</v>
      </c>
      <c r="G25785" s="40" t="s">
        <v>11404</v>
      </c>
      <c r="H25785" s="40" t="s">
        <v>11404</v>
      </c>
    </row>
    <row r="25786">
      <c r="A25786" s="39"/>
      <c r="E25786" s="40" t="s">
        <v>11404</v>
      </c>
      <c r="F25786" s="40" t="s">
        <v>11404</v>
      </c>
      <c r="G25786" s="40" t="s">
        <v>11404</v>
      </c>
      <c r="H25786" s="40" t="s">
        <v>11404</v>
      </c>
    </row>
    <row r="25787">
      <c r="A25787" s="39"/>
      <c r="E25787" s="40" t="s">
        <v>11404</v>
      </c>
      <c r="F25787" s="40" t="s">
        <v>11404</v>
      </c>
      <c r="G25787" s="40" t="s">
        <v>11404</v>
      </c>
      <c r="H25787" s="40" t="s">
        <v>11404</v>
      </c>
    </row>
    <row r="25788">
      <c r="A25788" s="39"/>
      <c r="E25788" s="40" t="s">
        <v>11404</v>
      </c>
      <c r="F25788" s="40" t="s">
        <v>11404</v>
      </c>
      <c r="G25788" s="40" t="s">
        <v>11404</v>
      </c>
      <c r="H25788" s="40" t="s">
        <v>11404</v>
      </c>
    </row>
    <row r="25789">
      <c r="A25789" s="39"/>
      <c r="E25789" s="40" t="s">
        <v>11404</v>
      </c>
      <c r="F25789" s="40" t="s">
        <v>11404</v>
      </c>
      <c r="G25789" s="40" t="s">
        <v>11404</v>
      </c>
      <c r="H25789" s="40" t="s">
        <v>11404</v>
      </c>
    </row>
    <row r="25790">
      <c r="A25790" s="39"/>
      <c r="E25790" s="40" t="s">
        <v>11404</v>
      </c>
      <c r="F25790" s="40" t="s">
        <v>11404</v>
      </c>
      <c r="G25790" s="40" t="s">
        <v>11404</v>
      </c>
      <c r="H25790" s="40" t="s">
        <v>11404</v>
      </c>
    </row>
    <row r="25791">
      <c r="A25791" s="39"/>
      <c r="E25791" s="40" t="s">
        <v>11404</v>
      </c>
      <c r="F25791" s="40" t="s">
        <v>11404</v>
      </c>
      <c r="G25791" s="40" t="s">
        <v>11404</v>
      </c>
      <c r="H25791" s="40" t="s">
        <v>11404</v>
      </c>
    </row>
    <row r="25792">
      <c r="A25792" s="39"/>
      <c r="E25792" s="40" t="s">
        <v>11404</v>
      </c>
      <c r="F25792" s="40" t="s">
        <v>11404</v>
      </c>
      <c r="G25792" s="40" t="s">
        <v>11404</v>
      </c>
      <c r="H25792" s="40" t="s">
        <v>11404</v>
      </c>
    </row>
    <row r="25793">
      <c r="A25793" s="39"/>
      <c r="E25793" s="40" t="s">
        <v>11404</v>
      </c>
      <c r="F25793" s="40" t="s">
        <v>11404</v>
      </c>
      <c r="G25793" s="40" t="s">
        <v>11404</v>
      </c>
      <c r="H25793" s="40" t="s">
        <v>11404</v>
      </c>
    </row>
    <row r="25794">
      <c r="A25794" s="39"/>
      <c r="E25794" s="40" t="s">
        <v>11404</v>
      </c>
      <c r="F25794" s="40" t="s">
        <v>11404</v>
      </c>
      <c r="G25794" s="40" t="s">
        <v>11404</v>
      </c>
      <c r="H25794" s="40" t="s">
        <v>11404</v>
      </c>
    </row>
    <row r="25795">
      <c r="A25795" s="39"/>
      <c r="E25795" s="40" t="s">
        <v>11404</v>
      </c>
      <c r="F25795" s="40" t="s">
        <v>11404</v>
      </c>
      <c r="G25795" s="40" t="s">
        <v>11404</v>
      </c>
      <c r="H25795" s="40" t="s">
        <v>11404</v>
      </c>
    </row>
    <row r="25796">
      <c r="A25796" s="39"/>
      <c r="E25796" s="40" t="s">
        <v>11404</v>
      </c>
      <c r="F25796" s="40" t="s">
        <v>11404</v>
      </c>
      <c r="G25796" s="40" t="s">
        <v>11404</v>
      </c>
      <c r="H25796" s="40" t="s">
        <v>11404</v>
      </c>
    </row>
    <row r="25797">
      <c r="A25797" s="39"/>
      <c r="E25797" s="40" t="s">
        <v>11404</v>
      </c>
      <c r="F25797" s="40" t="s">
        <v>11404</v>
      </c>
      <c r="G25797" s="40" t="s">
        <v>11404</v>
      </c>
      <c r="H25797" s="40" t="s">
        <v>11404</v>
      </c>
    </row>
    <row r="25798">
      <c r="A25798" s="39"/>
      <c r="E25798" s="40" t="s">
        <v>11404</v>
      </c>
      <c r="F25798" s="40" t="s">
        <v>11404</v>
      </c>
      <c r="G25798" s="40" t="s">
        <v>11404</v>
      </c>
      <c r="H25798" s="40" t="s">
        <v>11404</v>
      </c>
    </row>
    <row r="25799">
      <c r="A25799" s="39"/>
      <c r="E25799" s="40" t="s">
        <v>11404</v>
      </c>
      <c r="F25799" s="40" t="s">
        <v>11404</v>
      </c>
      <c r="G25799" s="40" t="s">
        <v>11404</v>
      </c>
      <c r="H25799" s="40" t="s">
        <v>11404</v>
      </c>
    </row>
    <row r="25800">
      <c r="A25800" s="39"/>
      <c r="E25800" s="40" t="s">
        <v>11404</v>
      </c>
      <c r="F25800" s="40" t="s">
        <v>11404</v>
      </c>
      <c r="G25800" s="40" t="s">
        <v>11404</v>
      </c>
      <c r="H25800" s="40" t="s">
        <v>11404</v>
      </c>
    </row>
    <row r="25801">
      <c r="A25801" s="39"/>
      <c r="E25801" s="40" t="s">
        <v>11404</v>
      </c>
      <c r="F25801" s="40" t="s">
        <v>11404</v>
      </c>
      <c r="G25801" s="40" t="s">
        <v>11404</v>
      </c>
      <c r="H25801" s="40" t="s">
        <v>11404</v>
      </c>
    </row>
    <row r="25802">
      <c r="A25802" s="39"/>
      <c r="E25802" s="40" t="s">
        <v>11404</v>
      </c>
      <c r="F25802" s="40" t="s">
        <v>11404</v>
      </c>
      <c r="G25802" s="40" t="s">
        <v>11404</v>
      </c>
      <c r="H25802" s="40" t="s">
        <v>11404</v>
      </c>
    </row>
    <row r="25803">
      <c r="A25803" s="39"/>
      <c r="E25803" s="40" t="s">
        <v>11404</v>
      </c>
      <c r="F25803" s="40" t="s">
        <v>11404</v>
      </c>
      <c r="G25803" s="40" t="s">
        <v>11404</v>
      </c>
      <c r="H25803" s="40" t="s">
        <v>11404</v>
      </c>
    </row>
    <row r="25804">
      <c r="A25804" s="39"/>
      <c r="E25804" s="40" t="s">
        <v>11404</v>
      </c>
      <c r="F25804" s="40" t="s">
        <v>11404</v>
      </c>
      <c r="G25804" s="40" t="s">
        <v>11404</v>
      </c>
      <c r="H25804" s="40" t="s">
        <v>11404</v>
      </c>
    </row>
    <row r="25805">
      <c r="A25805" s="39"/>
      <c r="E25805" s="40" t="s">
        <v>11404</v>
      </c>
      <c r="F25805" s="40" t="s">
        <v>11404</v>
      </c>
      <c r="G25805" s="40" t="s">
        <v>11404</v>
      </c>
      <c r="H25805" s="40" t="s">
        <v>11404</v>
      </c>
    </row>
    <row r="25806">
      <c r="A25806" s="39"/>
      <c r="E25806" s="40" t="s">
        <v>11404</v>
      </c>
      <c r="F25806" s="40" t="s">
        <v>11404</v>
      </c>
      <c r="G25806" s="40" t="s">
        <v>11404</v>
      </c>
      <c r="H25806" s="40" t="s">
        <v>11404</v>
      </c>
    </row>
    <row r="25807">
      <c r="A25807" s="39"/>
      <c r="E25807" s="40" t="s">
        <v>11404</v>
      </c>
      <c r="F25807" s="40" t="s">
        <v>11404</v>
      </c>
      <c r="G25807" s="40" t="s">
        <v>11404</v>
      </c>
      <c r="H25807" s="40" t="s">
        <v>11404</v>
      </c>
    </row>
    <row r="25808">
      <c r="A25808" s="39"/>
      <c r="E25808" s="40" t="s">
        <v>11404</v>
      </c>
      <c r="F25808" s="40" t="s">
        <v>11404</v>
      </c>
      <c r="G25808" s="40" t="s">
        <v>11404</v>
      </c>
      <c r="H25808" s="40" t="s">
        <v>11404</v>
      </c>
    </row>
    <row r="25809">
      <c r="A25809" s="39"/>
      <c r="E25809" s="40" t="s">
        <v>11404</v>
      </c>
      <c r="F25809" s="40" t="s">
        <v>11404</v>
      </c>
      <c r="G25809" s="40" t="s">
        <v>11404</v>
      </c>
      <c r="H25809" s="40" t="s">
        <v>11404</v>
      </c>
    </row>
    <row r="25810">
      <c r="A25810" s="39"/>
      <c r="E25810" s="40" t="s">
        <v>11404</v>
      </c>
      <c r="F25810" s="40" t="s">
        <v>11404</v>
      </c>
      <c r="G25810" s="40" t="s">
        <v>11404</v>
      </c>
      <c r="H25810" s="40" t="s">
        <v>11404</v>
      </c>
    </row>
    <row r="25811">
      <c r="A25811" s="39"/>
      <c r="E25811" s="40" t="s">
        <v>11404</v>
      </c>
      <c r="F25811" s="40" t="s">
        <v>11404</v>
      </c>
      <c r="G25811" s="40" t="s">
        <v>11404</v>
      </c>
      <c r="H25811" s="40" t="s">
        <v>11404</v>
      </c>
    </row>
    <row r="25812">
      <c r="A25812" s="39"/>
      <c r="E25812" s="40" t="s">
        <v>11404</v>
      </c>
      <c r="F25812" s="40" t="s">
        <v>11404</v>
      </c>
      <c r="G25812" s="40" t="s">
        <v>11404</v>
      </c>
      <c r="H25812" s="40" t="s">
        <v>11404</v>
      </c>
    </row>
    <row r="25813">
      <c r="A25813" s="39"/>
      <c r="E25813" s="40" t="s">
        <v>11404</v>
      </c>
      <c r="F25813" s="40" t="s">
        <v>11404</v>
      </c>
      <c r="G25813" s="40" t="s">
        <v>11404</v>
      </c>
      <c r="H25813" s="40" t="s">
        <v>11404</v>
      </c>
    </row>
    <row r="25814">
      <c r="A25814" s="39"/>
      <c r="E25814" s="40" t="s">
        <v>11404</v>
      </c>
      <c r="F25814" s="40" t="s">
        <v>11404</v>
      </c>
      <c r="G25814" s="40" t="s">
        <v>11404</v>
      </c>
      <c r="H25814" s="40" t="s">
        <v>11404</v>
      </c>
    </row>
    <row r="25815">
      <c r="A25815" s="39"/>
      <c r="E25815" s="40" t="s">
        <v>11404</v>
      </c>
      <c r="F25815" s="40" t="s">
        <v>11404</v>
      </c>
      <c r="G25815" s="40" t="s">
        <v>11404</v>
      </c>
      <c r="H25815" s="40" t="s">
        <v>11404</v>
      </c>
    </row>
    <row r="25816">
      <c r="A25816" s="39"/>
      <c r="E25816" s="40" t="s">
        <v>11404</v>
      </c>
      <c r="F25816" s="40" t="s">
        <v>11404</v>
      </c>
      <c r="G25816" s="40" t="s">
        <v>11404</v>
      </c>
      <c r="H25816" s="40" t="s">
        <v>11404</v>
      </c>
    </row>
    <row r="25817">
      <c r="A25817" s="39"/>
      <c r="E25817" s="40" t="s">
        <v>11404</v>
      </c>
      <c r="F25817" s="40" t="s">
        <v>11404</v>
      </c>
      <c r="G25817" s="40" t="s">
        <v>11404</v>
      </c>
      <c r="H25817" s="40" t="s">
        <v>11404</v>
      </c>
    </row>
    <row r="25818">
      <c r="A25818" s="39"/>
      <c r="E25818" s="40" t="s">
        <v>11404</v>
      </c>
      <c r="F25818" s="40" t="s">
        <v>11404</v>
      </c>
      <c r="G25818" s="40" t="s">
        <v>11404</v>
      </c>
      <c r="H25818" s="40" t="s">
        <v>11404</v>
      </c>
    </row>
    <row r="25819">
      <c r="A25819" s="39"/>
      <c r="E25819" s="40" t="s">
        <v>11404</v>
      </c>
      <c r="F25819" s="40" t="s">
        <v>11404</v>
      </c>
      <c r="G25819" s="40" t="s">
        <v>11404</v>
      </c>
      <c r="H25819" s="40" t="s">
        <v>11404</v>
      </c>
    </row>
    <row r="25820">
      <c r="A25820" s="39"/>
      <c r="E25820" s="40" t="s">
        <v>11404</v>
      </c>
      <c r="F25820" s="40" t="s">
        <v>11404</v>
      </c>
      <c r="G25820" s="40" t="s">
        <v>11404</v>
      </c>
      <c r="H25820" s="40" t="s">
        <v>11404</v>
      </c>
    </row>
    <row r="25821">
      <c r="A25821" s="39"/>
      <c r="E25821" s="40" t="s">
        <v>11404</v>
      </c>
      <c r="F25821" s="40" t="s">
        <v>11404</v>
      </c>
      <c r="G25821" s="40" t="s">
        <v>11404</v>
      </c>
      <c r="H25821" s="40" t="s">
        <v>11404</v>
      </c>
    </row>
    <row r="25822">
      <c r="A25822" s="39"/>
      <c r="E25822" s="40" t="s">
        <v>11404</v>
      </c>
      <c r="F25822" s="40" t="s">
        <v>11404</v>
      </c>
      <c r="G25822" s="40" t="s">
        <v>11404</v>
      </c>
      <c r="H25822" s="40" t="s">
        <v>11404</v>
      </c>
    </row>
    <row r="25823">
      <c r="A25823" s="39"/>
      <c r="E25823" s="40" t="s">
        <v>11404</v>
      </c>
      <c r="F25823" s="40" t="s">
        <v>11404</v>
      </c>
      <c r="G25823" s="40" t="s">
        <v>11404</v>
      </c>
      <c r="H25823" s="40" t="s">
        <v>11404</v>
      </c>
    </row>
    <row r="25824">
      <c r="A25824" s="39"/>
      <c r="E25824" s="40" t="s">
        <v>11404</v>
      </c>
      <c r="F25824" s="40" t="s">
        <v>11404</v>
      </c>
      <c r="G25824" s="40" t="s">
        <v>11404</v>
      </c>
      <c r="H25824" s="40" t="s">
        <v>11404</v>
      </c>
    </row>
    <row r="25825">
      <c r="A25825" s="39"/>
      <c r="E25825" s="40" t="s">
        <v>11404</v>
      </c>
      <c r="F25825" s="40" t="s">
        <v>11404</v>
      </c>
      <c r="G25825" s="40" t="s">
        <v>11404</v>
      </c>
      <c r="H25825" s="40" t="s">
        <v>11404</v>
      </c>
    </row>
    <row r="25826">
      <c r="A25826" s="39"/>
      <c r="E25826" s="40" t="s">
        <v>11404</v>
      </c>
      <c r="F25826" s="40" t="s">
        <v>11404</v>
      </c>
      <c r="G25826" s="40" t="s">
        <v>11404</v>
      </c>
      <c r="H25826" s="40" t="s">
        <v>11404</v>
      </c>
    </row>
    <row r="25827">
      <c r="A25827" s="39"/>
      <c r="E25827" s="40" t="s">
        <v>11404</v>
      </c>
      <c r="F25827" s="40" t="s">
        <v>11404</v>
      </c>
      <c r="G25827" s="40" t="s">
        <v>11404</v>
      </c>
      <c r="H25827" s="40" t="s">
        <v>11404</v>
      </c>
    </row>
    <row r="25828">
      <c r="A25828" s="39"/>
      <c r="E25828" s="40" t="s">
        <v>11404</v>
      </c>
      <c r="F25828" s="40" t="s">
        <v>11404</v>
      </c>
      <c r="G25828" s="40" t="s">
        <v>11404</v>
      </c>
      <c r="H25828" s="40" t="s">
        <v>11404</v>
      </c>
    </row>
    <row r="25829">
      <c r="A25829" s="39"/>
      <c r="E25829" s="40" t="s">
        <v>11404</v>
      </c>
      <c r="F25829" s="40" t="s">
        <v>11404</v>
      </c>
      <c r="G25829" s="40" t="s">
        <v>11404</v>
      </c>
      <c r="H25829" s="40" t="s">
        <v>11404</v>
      </c>
    </row>
    <row r="25830">
      <c r="A25830" s="39"/>
      <c r="E25830" s="40" t="s">
        <v>11404</v>
      </c>
      <c r="F25830" s="40" t="s">
        <v>11404</v>
      </c>
      <c r="G25830" s="40" t="s">
        <v>11404</v>
      </c>
      <c r="H25830" s="40" t="s">
        <v>11404</v>
      </c>
    </row>
    <row r="25831">
      <c r="A25831" s="39"/>
      <c r="E25831" s="40" t="s">
        <v>11404</v>
      </c>
      <c r="F25831" s="40" t="s">
        <v>11404</v>
      </c>
      <c r="G25831" s="40" t="s">
        <v>11404</v>
      </c>
      <c r="H25831" s="40" t="s">
        <v>11404</v>
      </c>
    </row>
    <row r="25832">
      <c r="A25832" s="39"/>
      <c r="E25832" s="40" t="s">
        <v>11404</v>
      </c>
      <c r="F25832" s="40" t="s">
        <v>11404</v>
      </c>
      <c r="G25832" s="40" t="s">
        <v>11404</v>
      </c>
      <c r="H25832" s="40" t="s">
        <v>11404</v>
      </c>
    </row>
    <row r="25833">
      <c r="A25833" s="39"/>
      <c r="E25833" s="40" t="s">
        <v>11404</v>
      </c>
      <c r="F25833" s="40" t="s">
        <v>11404</v>
      </c>
      <c r="G25833" s="40" t="s">
        <v>11404</v>
      </c>
      <c r="H25833" s="40" t="s">
        <v>11404</v>
      </c>
    </row>
    <row r="25834">
      <c r="A25834" s="39"/>
      <c r="E25834" s="40" t="s">
        <v>11404</v>
      </c>
      <c r="F25834" s="40" t="s">
        <v>11404</v>
      </c>
      <c r="G25834" s="40" t="s">
        <v>11404</v>
      </c>
      <c r="H25834" s="40" t="s">
        <v>11404</v>
      </c>
    </row>
    <row r="25835">
      <c r="A25835" s="39"/>
      <c r="E25835" s="40" t="s">
        <v>11404</v>
      </c>
      <c r="F25835" s="40" t="s">
        <v>11404</v>
      </c>
      <c r="G25835" s="40" t="s">
        <v>11404</v>
      </c>
      <c r="H25835" s="40" t="s">
        <v>11404</v>
      </c>
    </row>
    <row r="25836">
      <c r="A25836" s="39"/>
      <c r="E25836" s="40" t="s">
        <v>11404</v>
      </c>
      <c r="F25836" s="40" t="s">
        <v>11404</v>
      </c>
      <c r="G25836" s="40" t="s">
        <v>11404</v>
      </c>
      <c r="H25836" s="40" t="s">
        <v>11404</v>
      </c>
    </row>
    <row r="25837">
      <c r="A25837" s="39"/>
      <c r="E25837" s="40" t="s">
        <v>11404</v>
      </c>
      <c r="F25837" s="40" t="s">
        <v>11404</v>
      </c>
      <c r="G25837" s="40" t="s">
        <v>11404</v>
      </c>
      <c r="H25837" s="40" t="s">
        <v>11404</v>
      </c>
    </row>
    <row r="25838">
      <c r="A25838" s="39"/>
      <c r="E25838" s="40" t="s">
        <v>11404</v>
      </c>
      <c r="F25838" s="40" t="s">
        <v>11404</v>
      </c>
      <c r="G25838" s="40" t="s">
        <v>11404</v>
      </c>
      <c r="H25838" s="40" t="s">
        <v>11404</v>
      </c>
    </row>
    <row r="25839">
      <c r="A25839" s="39"/>
      <c r="E25839" s="40" t="s">
        <v>11404</v>
      </c>
      <c r="F25839" s="40" t="s">
        <v>11404</v>
      </c>
      <c r="G25839" s="40" t="s">
        <v>11404</v>
      </c>
      <c r="H25839" s="40" t="s">
        <v>11404</v>
      </c>
    </row>
    <row r="25840">
      <c r="A25840" s="39"/>
      <c r="E25840" s="40" t="s">
        <v>11404</v>
      </c>
      <c r="F25840" s="40" t="s">
        <v>11404</v>
      </c>
      <c r="G25840" s="40" t="s">
        <v>11404</v>
      </c>
      <c r="H25840" s="40" t="s">
        <v>11404</v>
      </c>
    </row>
    <row r="25841">
      <c r="A25841" s="39"/>
      <c r="E25841" s="40" t="s">
        <v>11404</v>
      </c>
      <c r="F25841" s="40" t="s">
        <v>11404</v>
      </c>
      <c r="G25841" s="40" t="s">
        <v>11404</v>
      </c>
      <c r="H25841" s="40" t="s">
        <v>11404</v>
      </c>
    </row>
    <row r="25842">
      <c r="A25842" s="39"/>
      <c r="E25842" s="40" t="s">
        <v>11404</v>
      </c>
      <c r="F25842" s="40" t="s">
        <v>11404</v>
      </c>
      <c r="G25842" s="40" t="s">
        <v>11404</v>
      </c>
      <c r="H25842" s="40" t="s">
        <v>11404</v>
      </c>
    </row>
    <row r="25843">
      <c r="A25843" s="39"/>
      <c r="E25843" s="40" t="s">
        <v>11404</v>
      </c>
      <c r="F25843" s="40" t="s">
        <v>11404</v>
      </c>
      <c r="G25843" s="40" t="s">
        <v>11404</v>
      </c>
      <c r="H25843" s="40" t="s">
        <v>11404</v>
      </c>
    </row>
    <row r="25844">
      <c r="A25844" s="39"/>
      <c r="E25844" s="40" t="s">
        <v>11404</v>
      </c>
      <c r="F25844" s="40" t="s">
        <v>11404</v>
      </c>
      <c r="G25844" s="40" t="s">
        <v>11404</v>
      </c>
      <c r="H25844" s="40" t="s">
        <v>11404</v>
      </c>
    </row>
    <row r="25845">
      <c r="A25845" s="39"/>
      <c r="E25845" s="40" t="s">
        <v>11404</v>
      </c>
      <c r="F25845" s="40" t="s">
        <v>11404</v>
      </c>
      <c r="G25845" s="40" t="s">
        <v>11404</v>
      </c>
      <c r="H25845" s="40" t="s">
        <v>11404</v>
      </c>
    </row>
    <row r="25846">
      <c r="A25846" s="39"/>
      <c r="E25846" s="40" t="s">
        <v>11404</v>
      </c>
      <c r="F25846" s="40" t="s">
        <v>11404</v>
      </c>
      <c r="G25846" s="40" t="s">
        <v>11404</v>
      </c>
      <c r="H25846" s="40" t="s">
        <v>11404</v>
      </c>
    </row>
    <row r="25847">
      <c r="A25847" s="39"/>
      <c r="E25847" s="40" t="s">
        <v>11404</v>
      </c>
      <c r="F25847" s="40" t="s">
        <v>11404</v>
      </c>
      <c r="G25847" s="40" t="s">
        <v>11404</v>
      </c>
      <c r="H25847" s="40" t="s">
        <v>11404</v>
      </c>
    </row>
    <row r="25848">
      <c r="A25848" s="39"/>
      <c r="E25848" s="40" t="s">
        <v>11404</v>
      </c>
      <c r="F25848" s="40" t="s">
        <v>11404</v>
      </c>
      <c r="G25848" s="40" t="s">
        <v>11404</v>
      </c>
      <c r="H25848" s="40" t="s">
        <v>11404</v>
      </c>
    </row>
    <row r="25849">
      <c r="A25849" s="39"/>
      <c r="E25849" s="40" t="s">
        <v>11404</v>
      </c>
      <c r="F25849" s="40" t="s">
        <v>11404</v>
      </c>
      <c r="G25849" s="40" t="s">
        <v>11404</v>
      </c>
      <c r="H25849" s="40" t="s">
        <v>11404</v>
      </c>
    </row>
    <row r="25850">
      <c r="A25850" s="39"/>
      <c r="E25850" s="40" t="s">
        <v>11404</v>
      </c>
      <c r="F25850" s="40" t="s">
        <v>11404</v>
      </c>
      <c r="G25850" s="40" t="s">
        <v>11404</v>
      </c>
      <c r="H25850" s="40" t="s">
        <v>11404</v>
      </c>
    </row>
    <row r="25851">
      <c r="A25851" s="39"/>
      <c r="E25851" s="40" t="s">
        <v>11404</v>
      </c>
      <c r="F25851" s="40" t="s">
        <v>11404</v>
      </c>
      <c r="G25851" s="40" t="s">
        <v>11404</v>
      </c>
      <c r="H25851" s="40" t="s">
        <v>11404</v>
      </c>
    </row>
    <row r="25852">
      <c r="A25852" s="39"/>
      <c r="E25852" s="40" t="s">
        <v>11404</v>
      </c>
      <c r="F25852" s="40" t="s">
        <v>11404</v>
      </c>
      <c r="G25852" s="40" t="s">
        <v>11404</v>
      </c>
      <c r="H25852" s="40" t="s">
        <v>11404</v>
      </c>
    </row>
    <row r="25853">
      <c r="A25853" s="39"/>
      <c r="E25853" s="40" t="s">
        <v>11404</v>
      </c>
      <c r="F25853" s="40" t="s">
        <v>11404</v>
      </c>
      <c r="G25853" s="40" t="s">
        <v>11404</v>
      </c>
      <c r="H25853" s="40" t="s">
        <v>11404</v>
      </c>
    </row>
    <row r="25854">
      <c r="A25854" s="39"/>
      <c r="E25854" s="40" t="s">
        <v>11404</v>
      </c>
      <c r="F25854" s="40" t="s">
        <v>11404</v>
      </c>
      <c r="G25854" s="40" t="s">
        <v>11404</v>
      </c>
      <c r="H25854" s="40" t="s">
        <v>11404</v>
      </c>
    </row>
    <row r="25855">
      <c r="A25855" s="39"/>
      <c r="E25855" s="40" t="s">
        <v>11404</v>
      </c>
      <c r="F25855" s="40" t="s">
        <v>11404</v>
      </c>
      <c r="G25855" s="40" t="s">
        <v>11404</v>
      </c>
      <c r="H25855" s="40" t="s">
        <v>11404</v>
      </c>
    </row>
    <row r="25856">
      <c r="A25856" s="39"/>
      <c r="E25856" s="40" t="s">
        <v>11404</v>
      </c>
      <c r="F25856" s="40" t="s">
        <v>11404</v>
      </c>
      <c r="G25856" s="40" t="s">
        <v>11404</v>
      </c>
      <c r="H25856" s="40" t="s">
        <v>11404</v>
      </c>
    </row>
    <row r="25857">
      <c r="A25857" s="39"/>
      <c r="E25857" s="40" t="s">
        <v>11404</v>
      </c>
      <c r="F25857" s="40" t="s">
        <v>11404</v>
      </c>
      <c r="G25857" s="40" t="s">
        <v>11404</v>
      </c>
      <c r="H25857" s="40" t="s">
        <v>11404</v>
      </c>
    </row>
    <row r="25858">
      <c r="A25858" s="39"/>
      <c r="E25858" s="40" t="s">
        <v>11404</v>
      </c>
      <c r="F25858" s="40" t="s">
        <v>11404</v>
      </c>
      <c r="G25858" s="40" t="s">
        <v>11404</v>
      </c>
      <c r="H25858" s="40" t="s">
        <v>11404</v>
      </c>
    </row>
    <row r="25859">
      <c r="A25859" s="39"/>
      <c r="E25859" s="40" t="s">
        <v>11404</v>
      </c>
      <c r="F25859" s="40" t="s">
        <v>11404</v>
      </c>
      <c r="G25859" s="40" t="s">
        <v>11404</v>
      </c>
      <c r="H25859" s="40" t="s">
        <v>11404</v>
      </c>
    </row>
    <row r="25860">
      <c r="A25860" s="39"/>
      <c r="E25860" s="40" t="s">
        <v>11404</v>
      </c>
      <c r="F25860" s="40" t="s">
        <v>11404</v>
      </c>
      <c r="G25860" s="40" t="s">
        <v>11404</v>
      </c>
      <c r="H25860" s="40" t="s">
        <v>11404</v>
      </c>
    </row>
    <row r="25861">
      <c r="A25861" s="39"/>
      <c r="E25861" s="40" t="s">
        <v>11404</v>
      </c>
      <c r="F25861" s="40" t="s">
        <v>11404</v>
      </c>
      <c r="G25861" s="40" t="s">
        <v>11404</v>
      </c>
      <c r="H25861" s="40" t="s">
        <v>11404</v>
      </c>
    </row>
    <row r="25862">
      <c r="A25862" s="39"/>
      <c r="E25862" s="40" t="s">
        <v>11404</v>
      </c>
      <c r="F25862" s="40" t="s">
        <v>11404</v>
      </c>
      <c r="G25862" s="40" t="s">
        <v>11404</v>
      </c>
      <c r="H25862" s="40" t="s">
        <v>11404</v>
      </c>
    </row>
    <row r="25863">
      <c r="A25863" s="39"/>
      <c r="E25863" s="40" t="s">
        <v>11404</v>
      </c>
      <c r="F25863" s="40" t="s">
        <v>11404</v>
      </c>
      <c r="G25863" s="40" t="s">
        <v>11404</v>
      </c>
      <c r="H25863" s="40" t="s">
        <v>11404</v>
      </c>
    </row>
    <row r="25864">
      <c r="A25864" s="39"/>
      <c r="E25864" s="40" t="s">
        <v>11404</v>
      </c>
      <c r="F25864" s="40" t="s">
        <v>11404</v>
      </c>
      <c r="G25864" s="40" t="s">
        <v>11404</v>
      </c>
      <c r="H25864" s="40" t="s">
        <v>11404</v>
      </c>
    </row>
    <row r="25865">
      <c r="A25865" s="39"/>
      <c r="E25865" s="40" t="s">
        <v>11404</v>
      </c>
      <c r="F25865" s="40" t="s">
        <v>11404</v>
      </c>
      <c r="G25865" s="40" t="s">
        <v>11404</v>
      </c>
      <c r="H25865" s="40" t="s">
        <v>11404</v>
      </c>
    </row>
    <row r="25866">
      <c r="A25866" s="39"/>
      <c r="E25866" s="40" t="s">
        <v>11404</v>
      </c>
      <c r="F25866" s="40" t="s">
        <v>11404</v>
      </c>
      <c r="G25866" s="40" t="s">
        <v>11404</v>
      </c>
      <c r="H25866" s="40" t="s">
        <v>11404</v>
      </c>
    </row>
    <row r="25867">
      <c r="A25867" s="39"/>
      <c r="E25867" s="40" t="s">
        <v>11404</v>
      </c>
      <c r="F25867" s="40" t="s">
        <v>11404</v>
      </c>
      <c r="G25867" s="40" t="s">
        <v>11404</v>
      </c>
      <c r="H25867" s="40" t="s">
        <v>11404</v>
      </c>
    </row>
    <row r="25868">
      <c r="A25868" s="39"/>
      <c r="E25868" s="40" t="s">
        <v>11404</v>
      </c>
      <c r="F25868" s="40" t="s">
        <v>11404</v>
      </c>
      <c r="G25868" s="40" t="s">
        <v>11404</v>
      </c>
      <c r="H25868" s="40" t="s">
        <v>11404</v>
      </c>
    </row>
    <row r="25869">
      <c r="A25869" s="39"/>
      <c r="E25869" s="40" t="s">
        <v>11404</v>
      </c>
      <c r="F25869" s="40" t="s">
        <v>11404</v>
      </c>
      <c r="G25869" s="40" t="s">
        <v>11404</v>
      </c>
      <c r="H25869" s="40" t="s">
        <v>11404</v>
      </c>
    </row>
    <row r="25870">
      <c r="A25870" s="39"/>
      <c r="E25870" s="40" t="s">
        <v>11404</v>
      </c>
      <c r="F25870" s="40" t="s">
        <v>11404</v>
      </c>
      <c r="G25870" s="40" t="s">
        <v>11404</v>
      </c>
      <c r="H25870" s="40" t="s">
        <v>11404</v>
      </c>
    </row>
    <row r="25871">
      <c r="A25871" s="39"/>
      <c r="E25871" s="40" t="s">
        <v>11404</v>
      </c>
      <c r="F25871" s="40" t="s">
        <v>11404</v>
      </c>
      <c r="G25871" s="40" t="s">
        <v>11404</v>
      </c>
      <c r="H25871" s="40" t="s">
        <v>11404</v>
      </c>
    </row>
    <row r="25872">
      <c r="A25872" s="39"/>
      <c r="E25872" s="40" t="s">
        <v>11404</v>
      </c>
      <c r="F25872" s="40" t="s">
        <v>11404</v>
      </c>
      <c r="G25872" s="40" t="s">
        <v>11404</v>
      </c>
      <c r="H25872" s="40" t="s">
        <v>11404</v>
      </c>
    </row>
    <row r="25873">
      <c r="A25873" s="39"/>
      <c r="E25873" s="40" t="s">
        <v>11404</v>
      </c>
      <c r="F25873" s="40" t="s">
        <v>11404</v>
      </c>
      <c r="G25873" s="40" t="s">
        <v>11404</v>
      </c>
      <c r="H25873" s="40" t="s">
        <v>11404</v>
      </c>
    </row>
    <row r="25874">
      <c r="A25874" s="39"/>
      <c r="E25874" s="40" t="s">
        <v>11404</v>
      </c>
      <c r="F25874" s="40" t="s">
        <v>11404</v>
      </c>
      <c r="G25874" s="40" t="s">
        <v>11404</v>
      </c>
      <c r="H25874" s="40" t="s">
        <v>11404</v>
      </c>
    </row>
    <row r="25875">
      <c r="A25875" s="39"/>
      <c r="E25875" s="40" t="s">
        <v>11404</v>
      </c>
      <c r="F25875" s="40" t="s">
        <v>11404</v>
      </c>
      <c r="G25875" s="40" t="s">
        <v>11404</v>
      </c>
      <c r="H25875" s="40" t="s">
        <v>11404</v>
      </c>
    </row>
    <row r="25876">
      <c r="A25876" s="39"/>
      <c r="E25876" s="40" t="s">
        <v>11404</v>
      </c>
      <c r="F25876" s="40" t="s">
        <v>11404</v>
      </c>
      <c r="G25876" s="40" t="s">
        <v>11404</v>
      </c>
      <c r="H25876" s="40" t="s">
        <v>11404</v>
      </c>
    </row>
    <row r="25877">
      <c r="A25877" s="39"/>
      <c r="E25877" s="40" t="s">
        <v>11404</v>
      </c>
      <c r="F25877" s="40" t="s">
        <v>11404</v>
      </c>
      <c r="G25877" s="40" t="s">
        <v>11404</v>
      </c>
      <c r="H25877" s="40" t="s">
        <v>11404</v>
      </c>
    </row>
    <row r="25878">
      <c r="A25878" s="39"/>
      <c r="E25878" s="40" t="s">
        <v>11404</v>
      </c>
      <c r="F25878" s="40" t="s">
        <v>11404</v>
      </c>
      <c r="G25878" s="40" t="s">
        <v>11404</v>
      </c>
      <c r="H25878" s="40" t="s">
        <v>11404</v>
      </c>
    </row>
    <row r="25879">
      <c r="A25879" s="39"/>
      <c r="E25879" s="40" t="s">
        <v>11404</v>
      </c>
      <c r="F25879" s="40" t="s">
        <v>11404</v>
      </c>
      <c r="G25879" s="40" t="s">
        <v>11404</v>
      </c>
      <c r="H25879" s="40" t="s">
        <v>11404</v>
      </c>
    </row>
    <row r="25880">
      <c r="A25880" s="39"/>
      <c r="E25880" s="40" t="s">
        <v>11404</v>
      </c>
      <c r="F25880" s="40" t="s">
        <v>11404</v>
      </c>
      <c r="G25880" s="40" t="s">
        <v>11404</v>
      </c>
      <c r="H25880" s="40" t="s">
        <v>11404</v>
      </c>
    </row>
    <row r="25881">
      <c r="A25881" s="39"/>
      <c r="E25881" s="40" t="s">
        <v>11404</v>
      </c>
      <c r="F25881" s="40" t="s">
        <v>11404</v>
      </c>
      <c r="G25881" s="40" t="s">
        <v>11404</v>
      </c>
      <c r="H25881" s="40" t="s">
        <v>11404</v>
      </c>
    </row>
    <row r="25882">
      <c r="A25882" s="39"/>
      <c r="E25882" s="40" t="s">
        <v>11404</v>
      </c>
      <c r="F25882" s="40" t="s">
        <v>11404</v>
      </c>
      <c r="G25882" s="40" t="s">
        <v>11404</v>
      </c>
      <c r="H25882" s="40" t="s">
        <v>11404</v>
      </c>
    </row>
    <row r="25883">
      <c r="A25883" s="39"/>
      <c r="E25883" s="40" t="s">
        <v>11404</v>
      </c>
      <c r="F25883" s="40" t="s">
        <v>11404</v>
      </c>
      <c r="G25883" s="40" t="s">
        <v>11404</v>
      </c>
      <c r="H25883" s="40" t="s">
        <v>11404</v>
      </c>
    </row>
    <row r="25884">
      <c r="A25884" s="39"/>
      <c r="E25884" s="40" t="s">
        <v>11404</v>
      </c>
      <c r="F25884" s="40" t="s">
        <v>11404</v>
      </c>
      <c r="G25884" s="40" t="s">
        <v>11404</v>
      </c>
      <c r="H25884" s="40" t="s">
        <v>11404</v>
      </c>
    </row>
    <row r="25885">
      <c r="A25885" s="39"/>
      <c r="E25885" s="40" t="s">
        <v>11404</v>
      </c>
      <c r="F25885" s="40" t="s">
        <v>11404</v>
      </c>
      <c r="G25885" s="40" t="s">
        <v>11404</v>
      </c>
      <c r="H25885" s="40" t="s">
        <v>11404</v>
      </c>
    </row>
    <row r="25886">
      <c r="A25886" s="39"/>
      <c r="E25886" s="40" t="s">
        <v>11404</v>
      </c>
      <c r="F25886" s="40" t="s">
        <v>11404</v>
      </c>
      <c r="G25886" s="40" t="s">
        <v>11404</v>
      </c>
      <c r="H25886" s="40" t="s">
        <v>11404</v>
      </c>
    </row>
    <row r="25887">
      <c r="A25887" s="39"/>
      <c r="E25887" s="40" t="s">
        <v>11404</v>
      </c>
      <c r="F25887" s="40" t="s">
        <v>11404</v>
      </c>
      <c r="G25887" s="40" t="s">
        <v>11404</v>
      </c>
      <c r="H25887" s="40" t="s">
        <v>11404</v>
      </c>
    </row>
    <row r="25888">
      <c r="A25888" s="39"/>
      <c r="E25888" s="40" t="s">
        <v>11404</v>
      </c>
      <c r="F25888" s="40" t="s">
        <v>11404</v>
      </c>
      <c r="G25888" s="40" t="s">
        <v>11404</v>
      </c>
      <c r="H25888" s="40" t="s">
        <v>11404</v>
      </c>
    </row>
    <row r="25889">
      <c r="A25889" s="39"/>
      <c r="E25889" s="40" t="s">
        <v>11404</v>
      </c>
      <c r="F25889" s="40" t="s">
        <v>11404</v>
      </c>
      <c r="G25889" s="40" t="s">
        <v>11404</v>
      </c>
      <c r="H25889" s="40" t="s">
        <v>11404</v>
      </c>
    </row>
    <row r="25890">
      <c r="A25890" s="39"/>
      <c r="E25890" s="40" t="s">
        <v>11404</v>
      </c>
      <c r="F25890" s="40" t="s">
        <v>11404</v>
      </c>
      <c r="G25890" s="40" t="s">
        <v>11404</v>
      </c>
      <c r="H25890" s="40" t="s">
        <v>11404</v>
      </c>
    </row>
    <row r="25891">
      <c r="A25891" s="39"/>
      <c r="E25891" s="40" t="s">
        <v>11404</v>
      </c>
      <c r="F25891" s="40" t="s">
        <v>11404</v>
      </c>
      <c r="G25891" s="40" t="s">
        <v>11404</v>
      </c>
      <c r="H25891" s="40" t="s">
        <v>11404</v>
      </c>
    </row>
    <row r="25892">
      <c r="A25892" s="39"/>
      <c r="E25892" s="40" t="s">
        <v>11404</v>
      </c>
      <c r="F25892" s="40" t="s">
        <v>11404</v>
      </c>
      <c r="G25892" s="40" t="s">
        <v>11404</v>
      </c>
      <c r="H25892" s="40" t="s">
        <v>11404</v>
      </c>
    </row>
    <row r="25893">
      <c r="A25893" s="39"/>
      <c r="E25893" s="40" t="s">
        <v>11404</v>
      </c>
      <c r="F25893" s="40" t="s">
        <v>11404</v>
      </c>
      <c r="G25893" s="40" t="s">
        <v>11404</v>
      </c>
      <c r="H25893" s="40" t="s">
        <v>11404</v>
      </c>
    </row>
    <row r="25894">
      <c r="A25894" s="39"/>
      <c r="E25894" s="40" t="s">
        <v>11404</v>
      </c>
      <c r="F25894" s="40" t="s">
        <v>11404</v>
      </c>
      <c r="G25894" s="40" t="s">
        <v>11404</v>
      </c>
      <c r="H25894" s="40" t="s">
        <v>11404</v>
      </c>
    </row>
    <row r="25895">
      <c r="A25895" s="39"/>
      <c r="E25895" s="40" t="s">
        <v>11404</v>
      </c>
      <c r="F25895" s="40" t="s">
        <v>11404</v>
      </c>
      <c r="G25895" s="40" t="s">
        <v>11404</v>
      </c>
      <c r="H25895" s="40" t="s">
        <v>11404</v>
      </c>
    </row>
    <row r="25896">
      <c r="A25896" s="39"/>
      <c r="E25896" s="40" t="s">
        <v>11404</v>
      </c>
      <c r="F25896" s="40" t="s">
        <v>11404</v>
      </c>
      <c r="G25896" s="40" t="s">
        <v>11404</v>
      </c>
      <c r="H25896" s="40" t="s">
        <v>11404</v>
      </c>
    </row>
    <row r="25897">
      <c r="A25897" s="39"/>
      <c r="E25897" s="40" t="s">
        <v>11404</v>
      </c>
      <c r="F25897" s="40" t="s">
        <v>11404</v>
      </c>
      <c r="G25897" s="40" t="s">
        <v>11404</v>
      </c>
      <c r="H25897" s="40" t="s">
        <v>11404</v>
      </c>
    </row>
    <row r="25898">
      <c r="A25898" s="39"/>
      <c r="E25898" s="40" t="s">
        <v>11404</v>
      </c>
      <c r="F25898" s="40" t="s">
        <v>11404</v>
      </c>
      <c r="G25898" s="40" t="s">
        <v>11404</v>
      </c>
      <c r="H25898" s="40" t="s">
        <v>11404</v>
      </c>
    </row>
    <row r="25899">
      <c r="A25899" s="39"/>
      <c r="E25899" s="40" t="s">
        <v>11404</v>
      </c>
      <c r="F25899" s="40" t="s">
        <v>11404</v>
      </c>
      <c r="G25899" s="40" t="s">
        <v>11404</v>
      </c>
      <c r="H25899" s="40" t="s">
        <v>11404</v>
      </c>
    </row>
    <row r="25900">
      <c r="A25900" s="39"/>
      <c r="E25900" s="40" t="s">
        <v>11404</v>
      </c>
      <c r="F25900" s="40" t="s">
        <v>11404</v>
      </c>
      <c r="G25900" s="40" t="s">
        <v>11404</v>
      </c>
      <c r="H25900" s="40" t="s">
        <v>11404</v>
      </c>
    </row>
    <row r="25901">
      <c r="A25901" s="39"/>
      <c r="E25901" s="40" t="s">
        <v>11404</v>
      </c>
      <c r="F25901" s="40" t="s">
        <v>11404</v>
      </c>
      <c r="G25901" s="40" t="s">
        <v>11404</v>
      </c>
      <c r="H25901" s="40" t="s">
        <v>11404</v>
      </c>
    </row>
    <row r="25902">
      <c r="A25902" s="39"/>
      <c r="E25902" s="40" t="s">
        <v>11404</v>
      </c>
      <c r="F25902" s="40" t="s">
        <v>11404</v>
      </c>
      <c r="G25902" s="40" t="s">
        <v>11404</v>
      </c>
      <c r="H25902" s="40" t="s">
        <v>11404</v>
      </c>
    </row>
    <row r="25903">
      <c r="A25903" s="39"/>
      <c r="E25903" s="40" t="s">
        <v>11404</v>
      </c>
      <c r="F25903" s="40" t="s">
        <v>11404</v>
      </c>
      <c r="G25903" s="40" t="s">
        <v>11404</v>
      </c>
      <c r="H25903" s="40" t="s">
        <v>11404</v>
      </c>
    </row>
    <row r="25904">
      <c r="A25904" s="39"/>
      <c r="E25904" s="40" t="s">
        <v>11404</v>
      </c>
      <c r="F25904" s="40" t="s">
        <v>11404</v>
      </c>
      <c r="G25904" s="40" t="s">
        <v>11404</v>
      </c>
      <c r="H25904" s="40" t="s">
        <v>11404</v>
      </c>
    </row>
    <row r="25905">
      <c r="A25905" s="39"/>
      <c r="E25905" s="40" t="s">
        <v>11404</v>
      </c>
      <c r="F25905" s="40" t="s">
        <v>11404</v>
      </c>
      <c r="G25905" s="40" t="s">
        <v>11404</v>
      </c>
      <c r="H25905" s="40" t="s">
        <v>11404</v>
      </c>
    </row>
    <row r="25906">
      <c r="A25906" s="39"/>
      <c r="E25906" s="40" t="s">
        <v>11404</v>
      </c>
      <c r="F25906" s="40" t="s">
        <v>11404</v>
      </c>
      <c r="G25906" s="40" t="s">
        <v>11404</v>
      </c>
      <c r="H25906" s="40" t="s">
        <v>11404</v>
      </c>
    </row>
    <row r="25907">
      <c r="A25907" s="39"/>
      <c r="E25907" s="40" t="s">
        <v>11404</v>
      </c>
      <c r="F25907" s="40" t="s">
        <v>11404</v>
      </c>
      <c r="G25907" s="40" t="s">
        <v>11404</v>
      </c>
      <c r="H25907" s="40" t="s">
        <v>11404</v>
      </c>
    </row>
    <row r="25908">
      <c r="A25908" s="39"/>
      <c r="E25908" s="40" t="s">
        <v>11404</v>
      </c>
      <c r="F25908" s="40" t="s">
        <v>11404</v>
      </c>
      <c r="G25908" s="40" t="s">
        <v>11404</v>
      </c>
      <c r="H25908" s="40" t="s">
        <v>11404</v>
      </c>
    </row>
    <row r="25909">
      <c r="A25909" s="39"/>
      <c r="E25909" s="40" t="s">
        <v>11404</v>
      </c>
      <c r="F25909" s="40" t="s">
        <v>11404</v>
      </c>
      <c r="G25909" s="40" t="s">
        <v>11404</v>
      </c>
      <c r="H25909" s="40" t="s">
        <v>11404</v>
      </c>
    </row>
    <row r="25910">
      <c r="A25910" s="39"/>
      <c r="E25910" s="40" t="s">
        <v>11404</v>
      </c>
      <c r="F25910" s="40" t="s">
        <v>11404</v>
      </c>
      <c r="G25910" s="40" t="s">
        <v>11404</v>
      </c>
      <c r="H25910" s="40" t="s">
        <v>11404</v>
      </c>
    </row>
    <row r="25911">
      <c r="A25911" s="39"/>
      <c r="E25911" s="40" t="s">
        <v>11404</v>
      </c>
      <c r="F25911" s="40" t="s">
        <v>11404</v>
      </c>
      <c r="G25911" s="40" t="s">
        <v>11404</v>
      </c>
      <c r="H25911" s="40" t="s">
        <v>11404</v>
      </c>
    </row>
    <row r="25912">
      <c r="A25912" s="39"/>
      <c r="E25912" s="40" t="s">
        <v>11404</v>
      </c>
      <c r="F25912" s="40" t="s">
        <v>11404</v>
      </c>
      <c r="G25912" s="40" t="s">
        <v>11404</v>
      </c>
      <c r="H25912" s="40" t="s">
        <v>11404</v>
      </c>
    </row>
    <row r="25913">
      <c r="A25913" s="39"/>
      <c r="E25913" s="40" t="s">
        <v>11404</v>
      </c>
      <c r="F25913" s="40" t="s">
        <v>11404</v>
      </c>
      <c r="G25913" s="40" t="s">
        <v>11404</v>
      </c>
      <c r="H25913" s="40" t="s">
        <v>11404</v>
      </c>
    </row>
    <row r="25914">
      <c r="A25914" s="39"/>
      <c r="E25914" s="40" t="s">
        <v>11404</v>
      </c>
      <c r="F25914" s="40" t="s">
        <v>11404</v>
      </c>
      <c r="G25914" s="40" t="s">
        <v>11404</v>
      </c>
      <c r="H25914" s="40" t="s">
        <v>11404</v>
      </c>
    </row>
    <row r="25915">
      <c r="A25915" s="39"/>
      <c r="E25915" s="40" t="s">
        <v>11404</v>
      </c>
      <c r="F25915" s="40" t="s">
        <v>11404</v>
      </c>
      <c r="G25915" s="40" t="s">
        <v>11404</v>
      </c>
      <c r="H25915" s="40" t="s">
        <v>11404</v>
      </c>
    </row>
    <row r="25916">
      <c r="A25916" s="39"/>
      <c r="E25916" s="40" t="s">
        <v>11404</v>
      </c>
      <c r="F25916" s="40" t="s">
        <v>11404</v>
      </c>
      <c r="G25916" s="40" t="s">
        <v>11404</v>
      </c>
      <c r="H25916" s="40" t="s">
        <v>11404</v>
      </c>
    </row>
    <row r="25917">
      <c r="A25917" s="39"/>
      <c r="E25917" s="40" t="s">
        <v>11404</v>
      </c>
      <c r="F25917" s="40" t="s">
        <v>11404</v>
      </c>
      <c r="G25917" s="40" t="s">
        <v>11404</v>
      </c>
      <c r="H25917" s="40" t="s">
        <v>11404</v>
      </c>
    </row>
    <row r="25918">
      <c r="A25918" s="39"/>
      <c r="E25918" s="40" t="s">
        <v>11404</v>
      </c>
      <c r="F25918" s="40" t="s">
        <v>11404</v>
      </c>
      <c r="G25918" s="40" t="s">
        <v>11404</v>
      </c>
      <c r="H25918" s="40" t="s">
        <v>11404</v>
      </c>
    </row>
    <row r="25919">
      <c r="A25919" s="39"/>
      <c r="E25919" s="40" t="s">
        <v>11404</v>
      </c>
      <c r="F25919" s="40" t="s">
        <v>11404</v>
      </c>
      <c r="G25919" s="40" t="s">
        <v>11404</v>
      </c>
      <c r="H25919" s="40" t="s">
        <v>11404</v>
      </c>
    </row>
    <row r="25920">
      <c r="A25920" s="39"/>
      <c r="E25920" s="40" t="s">
        <v>11404</v>
      </c>
      <c r="F25920" s="40" t="s">
        <v>11404</v>
      </c>
      <c r="G25920" s="40" t="s">
        <v>11404</v>
      </c>
      <c r="H25920" s="40" t="s">
        <v>11404</v>
      </c>
    </row>
    <row r="25921">
      <c r="A25921" s="39"/>
      <c r="E25921" s="40" t="s">
        <v>11404</v>
      </c>
      <c r="F25921" s="40" t="s">
        <v>11404</v>
      </c>
      <c r="G25921" s="40" t="s">
        <v>11404</v>
      </c>
      <c r="H25921" s="40" t="s">
        <v>11404</v>
      </c>
    </row>
    <row r="25922">
      <c r="A25922" s="39"/>
      <c r="E25922" s="40" t="s">
        <v>11404</v>
      </c>
      <c r="F25922" s="40" t="s">
        <v>11404</v>
      </c>
      <c r="G25922" s="40" t="s">
        <v>11404</v>
      </c>
      <c r="H25922" s="40" t="s">
        <v>11404</v>
      </c>
    </row>
    <row r="25923">
      <c r="A25923" s="39"/>
      <c r="E25923" s="40" t="s">
        <v>11404</v>
      </c>
      <c r="F25923" s="40" t="s">
        <v>11404</v>
      </c>
      <c r="G25923" s="40" t="s">
        <v>11404</v>
      </c>
      <c r="H25923" s="40" t="s">
        <v>11404</v>
      </c>
    </row>
    <row r="25924">
      <c r="A25924" s="39"/>
      <c r="E25924" s="40" t="s">
        <v>11404</v>
      </c>
      <c r="F25924" s="40" t="s">
        <v>11404</v>
      </c>
      <c r="G25924" s="40" t="s">
        <v>11404</v>
      </c>
      <c r="H25924" s="40" t="s">
        <v>11404</v>
      </c>
    </row>
    <row r="25925">
      <c r="A25925" s="39"/>
      <c r="E25925" s="40" t="s">
        <v>11404</v>
      </c>
      <c r="F25925" s="40" t="s">
        <v>11404</v>
      </c>
      <c r="G25925" s="40" t="s">
        <v>11404</v>
      </c>
      <c r="H25925" s="40" t="s">
        <v>11404</v>
      </c>
    </row>
    <row r="25926">
      <c r="A25926" s="39"/>
      <c r="E25926" s="40" t="s">
        <v>11404</v>
      </c>
      <c r="F25926" s="40" t="s">
        <v>11404</v>
      </c>
      <c r="G25926" s="40" t="s">
        <v>11404</v>
      </c>
      <c r="H25926" s="40" t="s">
        <v>11404</v>
      </c>
    </row>
    <row r="25927">
      <c r="A25927" s="39"/>
      <c r="E25927" s="40" t="s">
        <v>11404</v>
      </c>
      <c r="F25927" s="40" t="s">
        <v>11404</v>
      </c>
      <c r="G25927" s="40" t="s">
        <v>11404</v>
      </c>
      <c r="H25927" s="40" t="s">
        <v>11404</v>
      </c>
    </row>
    <row r="25928">
      <c r="A25928" s="39"/>
      <c r="E25928" s="40" t="s">
        <v>11404</v>
      </c>
      <c r="F25928" s="40" t="s">
        <v>11404</v>
      </c>
      <c r="G25928" s="40" t="s">
        <v>11404</v>
      </c>
      <c r="H25928" s="40" t="s">
        <v>11404</v>
      </c>
    </row>
    <row r="25929">
      <c r="A25929" s="39"/>
      <c r="E25929" s="40" t="s">
        <v>11404</v>
      </c>
      <c r="F25929" s="40" t="s">
        <v>11404</v>
      </c>
      <c r="G25929" s="40" t="s">
        <v>11404</v>
      </c>
      <c r="H25929" s="40" t="s">
        <v>11404</v>
      </c>
    </row>
    <row r="25930">
      <c r="A25930" s="39"/>
      <c r="E25930" s="40" t="s">
        <v>11404</v>
      </c>
      <c r="F25930" s="40" t="s">
        <v>11404</v>
      </c>
      <c r="G25930" s="40" t="s">
        <v>11404</v>
      </c>
      <c r="H25930" s="40" t="s">
        <v>11404</v>
      </c>
    </row>
    <row r="25931">
      <c r="A25931" s="39"/>
      <c r="E25931" s="40" t="s">
        <v>11404</v>
      </c>
      <c r="F25931" s="40" t="s">
        <v>11404</v>
      </c>
      <c r="G25931" s="40" t="s">
        <v>11404</v>
      </c>
      <c r="H25931" s="40" t="s">
        <v>11404</v>
      </c>
    </row>
    <row r="25932">
      <c r="A25932" s="39"/>
      <c r="E25932" s="40" t="s">
        <v>11404</v>
      </c>
      <c r="F25932" s="40" t="s">
        <v>11404</v>
      </c>
      <c r="G25932" s="40" t="s">
        <v>11404</v>
      </c>
      <c r="H25932" s="40" t="s">
        <v>11404</v>
      </c>
    </row>
    <row r="25933">
      <c r="A25933" s="39"/>
      <c r="E25933" s="40" t="s">
        <v>11404</v>
      </c>
      <c r="F25933" s="40" t="s">
        <v>11404</v>
      </c>
      <c r="G25933" s="40" t="s">
        <v>11404</v>
      </c>
      <c r="H25933" s="40" t="s">
        <v>11404</v>
      </c>
    </row>
    <row r="25934">
      <c r="A25934" s="39"/>
      <c r="E25934" s="40" t="s">
        <v>11404</v>
      </c>
      <c r="F25934" s="40" t="s">
        <v>11404</v>
      </c>
      <c r="G25934" s="40" t="s">
        <v>11404</v>
      </c>
      <c r="H25934" s="40" t="s">
        <v>11404</v>
      </c>
    </row>
    <row r="25935">
      <c r="A25935" s="39"/>
      <c r="E25935" s="40" t="s">
        <v>11404</v>
      </c>
      <c r="F25935" s="40" t="s">
        <v>11404</v>
      </c>
      <c r="G25935" s="40" t="s">
        <v>11404</v>
      </c>
      <c r="H25935" s="40" t="s">
        <v>11404</v>
      </c>
    </row>
    <row r="25936">
      <c r="A25936" s="39"/>
      <c r="E25936" s="40" t="s">
        <v>11404</v>
      </c>
      <c r="F25936" s="40" t="s">
        <v>11404</v>
      </c>
      <c r="G25936" s="40" t="s">
        <v>11404</v>
      </c>
      <c r="H25936" s="40" t="s">
        <v>11404</v>
      </c>
    </row>
    <row r="25937">
      <c r="A25937" s="39"/>
      <c r="E25937" s="40" t="s">
        <v>11404</v>
      </c>
      <c r="F25937" s="40" t="s">
        <v>11404</v>
      </c>
      <c r="G25937" s="40" t="s">
        <v>11404</v>
      </c>
      <c r="H25937" s="40" t="s">
        <v>11404</v>
      </c>
    </row>
    <row r="25938">
      <c r="A25938" s="39"/>
      <c r="E25938" s="40" t="s">
        <v>11404</v>
      </c>
      <c r="F25938" s="40" t="s">
        <v>11404</v>
      </c>
      <c r="G25938" s="40" t="s">
        <v>11404</v>
      </c>
      <c r="H25938" s="40" t="s">
        <v>11404</v>
      </c>
    </row>
    <row r="25939">
      <c r="A25939" s="39"/>
      <c r="E25939" s="40" t="s">
        <v>11404</v>
      </c>
      <c r="F25939" s="40" t="s">
        <v>11404</v>
      </c>
      <c r="G25939" s="40" t="s">
        <v>11404</v>
      </c>
      <c r="H25939" s="40" t="s">
        <v>11404</v>
      </c>
    </row>
    <row r="25940">
      <c r="A25940" s="39"/>
      <c r="E25940" s="40" t="s">
        <v>11404</v>
      </c>
      <c r="F25940" s="40" t="s">
        <v>11404</v>
      </c>
      <c r="G25940" s="40" t="s">
        <v>11404</v>
      </c>
      <c r="H25940" s="40" t="s">
        <v>11404</v>
      </c>
    </row>
    <row r="25941">
      <c r="A25941" s="39"/>
      <c r="E25941" s="40" t="s">
        <v>11404</v>
      </c>
      <c r="F25941" s="40" t="s">
        <v>11404</v>
      </c>
      <c r="G25941" s="40" t="s">
        <v>11404</v>
      </c>
      <c r="H25941" s="40" t="s">
        <v>11404</v>
      </c>
    </row>
    <row r="25942">
      <c r="A25942" s="39"/>
      <c r="E25942" s="40" t="s">
        <v>11404</v>
      </c>
      <c r="F25942" s="40" t="s">
        <v>11404</v>
      </c>
      <c r="G25942" s="40" t="s">
        <v>11404</v>
      </c>
      <c r="H25942" s="40" t="s">
        <v>11404</v>
      </c>
    </row>
    <row r="25943">
      <c r="A25943" s="39"/>
      <c r="E25943" s="40" t="s">
        <v>11404</v>
      </c>
      <c r="F25943" s="40" t="s">
        <v>11404</v>
      </c>
      <c r="G25943" s="40" t="s">
        <v>11404</v>
      </c>
      <c r="H25943" s="40" t="s">
        <v>11404</v>
      </c>
    </row>
    <row r="25944">
      <c r="A25944" s="39"/>
      <c r="E25944" s="40" t="s">
        <v>11404</v>
      </c>
      <c r="F25944" s="40" t="s">
        <v>11404</v>
      </c>
      <c r="G25944" s="40" t="s">
        <v>11404</v>
      </c>
      <c r="H25944" s="40" t="s">
        <v>11404</v>
      </c>
    </row>
    <row r="25945">
      <c r="A25945" s="39"/>
      <c r="E25945" s="40" t="s">
        <v>11404</v>
      </c>
      <c r="F25945" s="40" t="s">
        <v>11404</v>
      </c>
      <c r="G25945" s="40" t="s">
        <v>11404</v>
      </c>
      <c r="H25945" s="40" t="s">
        <v>11404</v>
      </c>
    </row>
    <row r="25946">
      <c r="A25946" s="39"/>
      <c r="E25946" s="40" t="s">
        <v>11404</v>
      </c>
      <c r="F25946" s="40" t="s">
        <v>11404</v>
      </c>
      <c r="G25946" s="40" t="s">
        <v>11404</v>
      </c>
      <c r="H25946" s="40" t="s">
        <v>11404</v>
      </c>
    </row>
    <row r="25947">
      <c r="A25947" s="39"/>
      <c r="E25947" s="40" t="s">
        <v>11404</v>
      </c>
      <c r="F25947" s="40" t="s">
        <v>11404</v>
      </c>
      <c r="G25947" s="40" t="s">
        <v>11404</v>
      </c>
      <c r="H25947" s="40" t="s">
        <v>11404</v>
      </c>
    </row>
    <row r="25948">
      <c r="A25948" s="39"/>
      <c r="E25948" s="40" t="s">
        <v>11404</v>
      </c>
      <c r="F25948" s="40" t="s">
        <v>11404</v>
      </c>
      <c r="G25948" s="40" t="s">
        <v>11404</v>
      </c>
      <c r="H25948" s="40" t="s">
        <v>11404</v>
      </c>
    </row>
    <row r="25949">
      <c r="A25949" s="39"/>
      <c r="E25949" s="40" t="s">
        <v>11404</v>
      </c>
      <c r="F25949" s="40" t="s">
        <v>11404</v>
      </c>
      <c r="G25949" s="40" t="s">
        <v>11404</v>
      </c>
      <c r="H25949" s="40" t="s">
        <v>11404</v>
      </c>
    </row>
    <row r="25950">
      <c r="A25950" s="39"/>
      <c r="E25950" s="40" t="s">
        <v>11404</v>
      </c>
      <c r="F25950" s="40" t="s">
        <v>11404</v>
      </c>
      <c r="G25950" s="40" t="s">
        <v>11404</v>
      </c>
      <c r="H25950" s="40" t="s">
        <v>11404</v>
      </c>
    </row>
    <row r="25951">
      <c r="A25951" s="39"/>
      <c r="E25951" s="40" t="s">
        <v>11404</v>
      </c>
      <c r="F25951" s="40" t="s">
        <v>11404</v>
      </c>
      <c r="G25951" s="40" t="s">
        <v>11404</v>
      </c>
      <c r="H25951" s="40" t="s">
        <v>11404</v>
      </c>
    </row>
    <row r="25952">
      <c r="A25952" s="39"/>
      <c r="E25952" s="40" t="s">
        <v>11404</v>
      </c>
      <c r="F25952" s="40" t="s">
        <v>11404</v>
      </c>
      <c r="G25952" s="40" t="s">
        <v>11404</v>
      </c>
      <c r="H25952" s="40" t="s">
        <v>11404</v>
      </c>
    </row>
    <row r="25953">
      <c r="A25953" s="39"/>
      <c r="E25953" s="40" t="s">
        <v>11404</v>
      </c>
      <c r="F25953" s="40" t="s">
        <v>11404</v>
      </c>
      <c r="G25953" s="40" t="s">
        <v>11404</v>
      </c>
      <c r="H25953" s="40" t="s">
        <v>11404</v>
      </c>
    </row>
    <row r="25954">
      <c r="A25954" s="39"/>
      <c r="E25954" s="40" t="s">
        <v>11404</v>
      </c>
      <c r="F25954" s="40" t="s">
        <v>11404</v>
      </c>
      <c r="G25954" s="40" t="s">
        <v>11404</v>
      </c>
      <c r="H25954" s="40" t="s">
        <v>11404</v>
      </c>
    </row>
    <row r="25955">
      <c r="A25955" s="39"/>
      <c r="E25955" s="40" t="s">
        <v>11404</v>
      </c>
      <c r="F25955" s="40" t="s">
        <v>11404</v>
      </c>
      <c r="G25955" s="40" t="s">
        <v>11404</v>
      </c>
      <c r="H25955" s="40" t="s">
        <v>11404</v>
      </c>
    </row>
    <row r="25956">
      <c r="A25956" s="39"/>
      <c r="E25956" s="40" t="s">
        <v>11404</v>
      </c>
      <c r="F25956" s="40" t="s">
        <v>11404</v>
      </c>
      <c r="G25956" s="40" t="s">
        <v>11404</v>
      </c>
      <c r="H25956" s="40" t="s">
        <v>11404</v>
      </c>
    </row>
    <row r="25957">
      <c r="A25957" s="39"/>
      <c r="E25957" s="40" t="s">
        <v>11404</v>
      </c>
      <c r="F25957" s="40" t="s">
        <v>11404</v>
      </c>
      <c r="G25957" s="40" t="s">
        <v>11404</v>
      </c>
      <c r="H25957" s="40" t="s">
        <v>11404</v>
      </c>
    </row>
    <row r="25958">
      <c r="A25958" s="39"/>
      <c r="E25958" s="40" t="s">
        <v>11404</v>
      </c>
      <c r="F25958" s="40" t="s">
        <v>11404</v>
      </c>
      <c r="G25958" s="40" t="s">
        <v>11404</v>
      </c>
      <c r="H25958" s="40" t="s">
        <v>11404</v>
      </c>
    </row>
    <row r="25959">
      <c r="A25959" s="39"/>
      <c r="E25959" s="40" t="s">
        <v>11404</v>
      </c>
      <c r="F25959" s="40" t="s">
        <v>11404</v>
      </c>
      <c r="G25959" s="40" t="s">
        <v>11404</v>
      </c>
      <c r="H25959" s="40" t="s">
        <v>11404</v>
      </c>
    </row>
    <row r="25960">
      <c r="A25960" s="39"/>
      <c r="E25960" s="40" t="s">
        <v>11404</v>
      </c>
      <c r="F25960" s="40" t="s">
        <v>11404</v>
      </c>
      <c r="G25960" s="40" t="s">
        <v>11404</v>
      </c>
      <c r="H25960" s="40" t="s">
        <v>11404</v>
      </c>
    </row>
    <row r="25961">
      <c r="A25961" s="39"/>
      <c r="E25961" s="40" t="s">
        <v>11404</v>
      </c>
      <c r="F25961" s="40" t="s">
        <v>11404</v>
      </c>
      <c r="G25961" s="40" t="s">
        <v>11404</v>
      </c>
      <c r="H25961" s="40" t="s">
        <v>11404</v>
      </c>
    </row>
    <row r="25962">
      <c r="A25962" s="39"/>
      <c r="E25962" s="40" t="s">
        <v>11404</v>
      </c>
      <c r="F25962" s="40" t="s">
        <v>11404</v>
      </c>
      <c r="G25962" s="40" t="s">
        <v>11404</v>
      </c>
      <c r="H25962" s="40" t="s">
        <v>11404</v>
      </c>
    </row>
    <row r="25963">
      <c r="A25963" s="39"/>
      <c r="E25963" s="40" t="s">
        <v>11404</v>
      </c>
      <c r="F25963" s="40" t="s">
        <v>11404</v>
      </c>
      <c r="G25963" s="40" t="s">
        <v>11404</v>
      </c>
      <c r="H25963" s="40" t="s">
        <v>11404</v>
      </c>
    </row>
    <row r="25964">
      <c r="A25964" s="39"/>
      <c r="E25964" s="40" t="s">
        <v>11404</v>
      </c>
      <c r="F25964" s="40" t="s">
        <v>11404</v>
      </c>
      <c r="G25964" s="40" t="s">
        <v>11404</v>
      </c>
      <c r="H25964" s="40" t="s">
        <v>11404</v>
      </c>
    </row>
    <row r="25965">
      <c r="A25965" s="39"/>
      <c r="E25965" s="40" t="s">
        <v>11404</v>
      </c>
      <c r="F25965" s="40" t="s">
        <v>11404</v>
      </c>
      <c r="G25965" s="40" t="s">
        <v>11404</v>
      </c>
      <c r="H25965" s="40" t="s">
        <v>11404</v>
      </c>
    </row>
    <row r="25966">
      <c r="A25966" s="39"/>
      <c r="E25966" s="40" t="s">
        <v>11404</v>
      </c>
      <c r="F25966" s="40" t="s">
        <v>11404</v>
      </c>
      <c r="G25966" s="40" t="s">
        <v>11404</v>
      </c>
      <c r="H25966" s="40" t="s">
        <v>11404</v>
      </c>
    </row>
    <row r="25967">
      <c r="A25967" s="39"/>
      <c r="E25967" s="40" t="s">
        <v>11404</v>
      </c>
      <c r="F25967" s="40" t="s">
        <v>11404</v>
      </c>
      <c r="G25967" s="40" t="s">
        <v>11404</v>
      </c>
      <c r="H25967" s="40" t="s">
        <v>11404</v>
      </c>
    </row>
    <row r="25968">
      <c r="A25968" s="39"/>
      <c r="E25968" s="40" t="s">
        <v>11404</v>
      </c>
      <c r="F25968" s="40" t="s">
        <v>11404</v>
      </c>
      <c r="G25968" s="40" t="s">
        <v>11404</v>
      </c>
      <c r="H25968" s="40" t="s">
        <v>11404</v>
      </c>
    </row>
    <row r="25969">
      <c r="A25969" s="39"/>
      <c r="E25969" s="40" t="s">
        <v>11404</v>
      </c>
      <c r="F25969" s="40" t="s">
        <v>11404</v>
      </c>
      <c r="G25969" s="40" t="s">
        <v>11404</v>
      </c>
      <c r="H25969" s="40" t="s">
        <v>11404</v>
      </c>
    </row>
    <row r="25970">
      <c r="A25970" s="39"/>
      <c r="E25970" s="40" t="s">
        <v>11404</v>
      </c>
      <c r="F25970" s="40" t="s">
        <v>11404</v>
      </c>
      <c r="G25970" s="40" t="s">
        <v>11404</v>
      </c>
      <c r="H25970" s="40" t="s">
        <v>11404</v>
      </c>
    </row>
    <row r="25971">
      <c r="A25971" s="39"/>
      <c r="E25971" s="40" t="s">
        <v>11404</v>
      </c>
      <c r="F25971" s="40" t="s">
        <v>11404</v>
      </c>
      <c r="G25971" s="40" t="s">
        <v>11404</v>
      </c>
      <c r="H25971" s="40" t="s">
        <v>11404</v>
      </c>
    </row>
    <row r="25972">
      <c r="A25972" s="39"/>
      <c r="E25972" s="40" t="s">
        <v>11404</v>
      </c>
      <c r="F25972" s="40" t="s">
        <v>11404</v>
      </c>
      <c r="G25972" s="40" t="s">
        <v>11404</v>
      </c>
      <c r="H25972" s="40" t="s">
        <v>11404</v>
      </c>
    </row>
    <row r="25973">
      <c r="A25973" s="39"/>
      <c r="E25973" s="40" t="s">
        <v>11404</v>
      </c>
      <c r="F25973" s="40" t="s">
        <v>11404</v>
      </c>
      <c r="G25973" s="40" t="s">
        <v>11404</v>
      </c>
      <c r="H25973" s="40" t="s">
        <v>11404</v>
      </c>
    </row>
    <row r="25974">
      <c r="A25974" s="39"/>
      <c r="E25974" s="40" t="s">
        <v>11404</v>
      </c>
      <c r="F25974" s="40" t="s">
        <v>11404</v>
      </c>
      <c r="G25974" s="40" t="s">
        <v>11404</v>
      </c>
      <c r="H25974" s="40" t="s">
        <v>11404</v>
      </c>
    </row>
    <row r="25975">
      <c r="A25975" s="39"/>
      <c r="E25975" s="40" t="s">
        <v>11404</v>
      </c>
      <c r="F25975" s="40" t="s">
        <v>11404</v>
      </c>
      <c r="G25975" s="40" t="s">
        <v>11404</v>
      </c>
      <c r="H25975" s="40" t="s">
        <v>11404</v>
      </c>
    </row>
    <row r="25976">
      <c r="A25976" s="39"/>
      <c r="E25976" s="40" t="s">
        <v>11404</v>
      </c>
      <c r="F25976" s="40" t="s">
        <v>11404</v>
      </c>
      <c r="G25976" s="40" t="s">
        <v>11404</v>
      </c>
      <c r="H25976" s="40" t="s">
        <v>11404</v>
      </c>
    </row>
    <row r="25977">
      <c r="A25977" s="39"/>
      <c r="E25977" s="40" t="s">
        <v>11404</v>
      </c>
      <c r="F25977" s="40" t="s">
        <v>11404</v>
      </c>
      <c r="G25977" s="40" t="s">
        <v>11404</v>
      </c>
      <c r="H25977" s="40" t="s">
        <v>11404</v>
      </c>
    </row>
    <row r="25978">
      <c r="A25978" s="39"/>
      <c r="E25978" s="40" t="s">
        <v>11404</v>
      </c>
      <c r="F25978" s="40" t="s">
        <v>11404</v>
      </c>
      <c r="G25978" s="40" t="s">
        <v>11404</v>
      </c>
      <c r="H25978" s="40" t="s">
        <v>11404</v>
      </c>
    </row>
    <row r="25979">
      <c r="A25979" s="39"/>
      <c r="E25979" s="40" t="s">
        <v>11404</v>
      </c>
      <c r="F25979" s="40" t="s">
        <v>11404</v>
      </c>
      <c r="G25979" s="40" t="s">
        <v>11404</v>
      </c>
      <c r="H25979" s="40" t="s">
        <v>11404</v>
      </c>
    </row>
    <row r="25980">
      <c r="A25980" s="39"/>
      <c r="E25980" s="40" t="s">
        <v>11404</v>
      </c>
      <c r="F25980" s="40" t="s">
        <v>11404</v>
      </c>
      <c r="G25980" s="40" t="s">
        <v>11404</v>
      </c>
      <c r="H25980" s="40" t="s">
        <v>11404</v>
      </c>
    </row>
    <row r="25981">
      <c r="A25981" s="39"/>
      <c r="E25981" s="40" t="s">
        <v>11404</v>
      </c>
      <c r="F25981" s="40" t="s">
        <v>11404</v>
      </c>
      <c r="G25981" s="40" t="s">
        <v>11404</v>
      </c>
      <c r="H25981" s="40" t="s">
        <v>11404</v>
      </c>
    </row>
    <row r="25982">
      <c r="A25982" s="39"/>
      <c r="E25982" s="40" t="s">
        <v>11404</v>
      </c>
      <c r="F25982" s="40" t="s">
        <v>11404</v>
      </c>
      <c r="G25982" s="40" t="s">
        <v>11404</v>
      </c>
      <c r="H25982" s="40" t="s">
        <v>11404</v>
      </c>
    </row>
    <row r="25983">
      <c r="A25983" s="39"/>
      <c r="E25983" s="40" t="s">
        <v>11404</v>
      </c>
      <c r="F25983" s="40" t="s">
        <v>11404</v>
      </c>
      <c r="G25983" s="40" t="s">
        <v>11404</v>
      </c>
      <c r="H25983" s="40" t="s">
        <v>11404</v>
      </c>
    </row>
    <row r="25984">
      <c r="A25984" s="39"/>
      <c r="E25984" s="40" t="s">
        <v>11404</v>
      </c>
      <c r="F25984" s="40" t="s">
        <v>11404</v>
      </c>
      <c r="G25984" s="40" t="s">
        <v>11404</v>
      </c>
      <c r="H25984" s="40" t="s">
        <v>11404</v>
      </c>
    </row>
    <row r="25985">
      <c r="A25985" s="39"/>
      <c r="E25985" s="40" t="s">
        <v>11404</v>
      </c>
      <c r="F25985" s="40" t="s">
        <v>11404</v>
      </c>
      <c r="G25985" s="40" t="s">
        <v>11404</v>
      </c>
      <c r="H25985" s="40" t="s">
        <v>11404</v>
      </c>
    </row>
    <row r="25986">
      <c r="A25986" s="39"/>
      <c r="E25986" s="40" t="s">
        <v>11404</v>
      </c>
      <c r="F25986" s="40" t="s">
        <v>11404</v>
      </c>
      <c r="G25986" s="40" t="s">
        <v>11404</v>
      </c>
      <c r="H25986" s="40" t="s">
        <v>11404</v>
      </c>
    </row>
    <row r="25987">
      <c r="A25987" s="39"/>
      <c r="E25987" s="40" t="s">
        <v>11404</v>
      </c>
      <c r="F25987" s="40" t="s">
        <v>11404</v>
      </c>
      <c r="G25987" s="40" t="s">
        <v>11404</v>
      </c>
      <c r="H25987" s="40" t="s">
        <v>11404</v>
      </c>
    </row>
    <row r="25988">
      <c r="A25988" s="39"/>
      <c r="E25988" s="40" t="s">
        <v>11404</v>
      </c>
      <c r="F25988" s="40" t="s">
        <v>11404</v>
      </c>
      <c r="G25988" s="40" t="s">
        <v>11404</v>
      </c>
      <c r="H25988" s="40" t="s">
        <v>11404</v>
      </c>
    </row>
    <row r="25989">
      <c r="A25989" s="39"/>
      <c r="E25989" s="40" t="s">
        <v>11404</v>
      </c>
      <c r="F25989" s="40" t="s">
        <v>11404</v>
      </c>
      <c r="G25989" s="40" t="s">
        <v>11404</v>
      </c>
      <c r="H25989" s="40" t="s">
        <v>11404</v>
      </c>
    </row>
    <row r="25990">
      <c r="A25990" s="39"/>
      <c r="E25990" s="40" t="s">
        <v>11404</v>
      </c>
      <c r="F25990" s="40" t="s">
        <v>11404</v>
      </c>
      <c r="G25990" s="40" t="s">
        <v>11404</v>
      </c>
      <c r="H25990" s="40" t="s">
        <v>11404</v>
      </c>
    </row>
    <row r="25991">
      <c r="A25991" s="39"/>
      <c r="E25991" s="40" t="s">
        <v>11404</v>
      </c>
      <c r="F25991" s="40" t="s">
        <v>11404</v>
      </c>
      <c r="G25991" s="40" t="s">
        <v>11404</v>
      </c>
      <c r="H25991" s="40" t="s">
        <v>11404</v>
      </c>
    </row>
    <row r="25992">
      <c r="A25992" s="39"/>
      <c r="E25992" s="40" t="s">
        <v>11404</v>
      </c>
      <c r="F25992" s="40" t="s">
        <v>11404</v>
      </c>
      <c r="G25992" s="40" t="s">
        <v>11404</v>
      </c>
      <c r="H25992" s="40" t="s">
        <v>11404</v>
      </c>
    </row>
    <row r="25993">
      <c r="A25993" s="39"/>
      <c r="E25993" s="40" t="s">
        <v>11404</v>
      </c>
      <c r="F25993" s="40" t="s">
        <v>11404</v>
      </c>
      <c r="G25993" s="40" t="s">
        <v>11404</v>
      </c>
      <c r="H25993" s="40" t="s">
        <v>11404</v>
      </c>
    </row>
    <row r="25994">
      <c r="A25994" s="39"/>
      <c r="E25994" s="40" t="s">
        <v>11404</v>
      </c>
      <c r="F25994" s="40" t="s">
        <v>11404</v>
      </c>
      <c r="G25994" s="40" t="s">
        <v>11404</v>
      </c>
      <c r="H25994" s="40" t="s">
        <v>11404</v>
      </c>
    </row>
    <row r="25995">
      <c r="A25995" s="39"/>
      <c r="E25995" s="40" t="s">
        <v>11404</v>
      </c>
      <c r="F25995" s="40" t="s">
        <v>11404</v>
      </c>
      <c r="G25995" s="40" t="s">
        <v>11404</v>
      </c>
      <c r="H25995" s="40" t="s">
        <v>11404</v>
      </c>
    </row>
    <row r="25996">
      <c r="A25996" s="39"/>
      <c r="E25996" s="40" t="s">
        <v>11404</v>
      </c>
      <c r="F25996" s="40" t="s">
        <v>11404</v>
      </c>
      <c r="G25996" s="40" t="s">
        <v>11404</v>
      </c>
      <c r="H25996" s="40" t="s">
        <v>11404</v>
      </c>
    </row>
    <row r="25997">
      <c r="A25997" s="39"/>
      <c r="E25997" s="40" t="s">
        <v>11404</v>
      </c>
      <c r="F25997" s="40" t="s">
        <v>11404</v>
      </c>
      <c r="G25997" s="40" t="s">
        <v>11404</v>
      </c>
      <c r="H25997" s="40" t="s">
        <v>11404</v>
      </c>
    </row>
    <row r="25998">
      <c r="A25998" s="39"/>
      <c r="E25998" s="40" t="s">
        <v>11404</v>
      </c>
      <c r="F25998" s="40" t="s">
        <v>11404</v>
      </c>
      <c r="G25998" s="40" t="s">
        <v>11404</v>
      </c>
      <c r="H25998" s="40" t="s">
        <v>11404</v>
      </c>
    </row>
    <row r="25999">
      <c r="A25999" s="39"/>
      <c r="E25999" s="40" t="s">
        <v>11404</v>
      </c>
      <c r="F25999" s="40" t="s">
        <v>11404</v>
      </c>
      <c r="G25999" s="40" t="s">
        <v>11404</v>
      </c>
      <c r="H25999" s="40" t="s">
        <v>11404</v>
      </c>
    </row>
    <row r="26000">
      <c r="A26000" s="39"/>
      <c r="E26000" s="40" t="s">
        <v>11404</v>
      </c>
      <c r="F26000" s="40" t="s">
        <v>11404</v>
      </c>
      <c r="G26000" s="40" t="s">
        <v>11404</v>
      </c>
      <c r="H26000" s="40" t="s">
        <v>11404</v>
      </c>
    </row>
    <row r="26001">
      <c r="A26001" s="39"/>
      <c r="E26001" s="40" t="s">
        <v>11404</v>
      </c>
      <c r="F26001" s="40" t="s">
        <v>11404</v>
      </c>
      <c r="G26001" s="40" t="s">
        <v>11404</v>
      </c>
      <c r="H26001" s="40" t="s">
        <v>11404</v>
      </c>
    </row>
    <row r="26002">
      <c r="A26002" s="39"/>
      <c r="E26002" s="40" t="s">
        <v>11404</v>
      </c>
      <c r="F26002" s="40" t="s">
        <v>11404</v>
      </c>
      <c r="G26002" s="40" t="s">
        <v>11404</v>
      </c>
      <c r="H26002" s="40" t="s">
        <v>11404</v>
      </c>
    </row>
    <row r="26003">
      <c r="A26003" s="39"/>
      <c r="E26003" s="40" t="s">
        <v>11404</v>
      </c>
      <c r="F26003" s="40" t="s">
        <v>11404</v>
      </c>
      <c r="G26003" s="40" t="s">
        <v>11404</v>
      </c>
      <c r="H26003" s="40" t="s">
        <v>11404</v>
      </c>
    </row>
    <row r="26004">
      <c r="A26004" s="39"/>
      <c r="E26004" s="40" t="s">
        <v>11404</v>
      </c>
      <c r="F26004" s="40" t="s">
        <v>11404</v>
      </c>
      <c r="G26004" s="40" t="s">
        <v>11404</v>
      </c>
      <c r="H26004" s="40" t="s">
        <v>11404</v>
      </c>
    </row>
    <row r="26005">
      <c r="A26005" s="39"/>
      <c r="E26005" s="40" t="s">
        <v>11404</v>
      </c>
      <c r="F26005" s="40" t="s">
        <v>11404</v>
      </c>
      <c r="G26005" s="40" t="s">
        <v>11404</v>
      </c>
      <c r="H26005" s="40" t="s">
        <v>11404</v>
      </c>
    </row>
    <row r="26006">
      <c r="A26006" s="39"/>
      <c r="E26006" s="40" t="s">
        <v>11404</v>
      </c>
      <c r="F26006" s="40" t="s">
        <v>11404</v>
      </c>
      <c r="G26006" s="40" t="s">
        <v>11404</v>
      </c>
      <c r="H26006" s="40" t="s">
        <v>11404</v>
      </c>
    </row>
    <row r="26007">
      <c r="A26007" s="39"/>
      <c r="E26007" s="40" t="s">
        <v>11404</v>
      </c>
      <c r="F26007" s="40" t="s">
        <v>11404</v>
      </c>
      <c r="G26007" s="40" t="s">
        <v>11404</v>
      </c>
      <c r="H26007" s="40" t="s">
        <v>11404</v>
      </c>
    </row>
    <row r="26008">
      <c r="A26008" s="39"/>
      <c r="E26008" s="40" t="s">
        <v>11404</v>
      </c>
      <c r="F26008" s="40" t="s">
        <v>11404</v>
      </c>
      <c r="G26008" s="40" t="s">
        <v>11404</v>
      </c>
      <c r="H26008" s="40" t="s">
        <v>11404</v>
      </c>
    </row>
    <row r="26009">
      <c r="A26009" s="39"/>
      <c r="E26009" s="40" t="s">
        <v>11404</v>
      </c>
      <c r="F26009" s="40" t="s">
        <v>11404</v>
      </c>
      <c r="G26009" s="40" t="s">
        <v>11404</v>
      </c>
      <c r="H26009" s="40" t="s">
        <v>11404</v>
      </c>
    </row>
    <row r="26010">
      <c r="A26010" s="39"/>
      <c r="E26010" s="40" t="s">
        <v>11404</v>
      </c>
      <c r="F26010" s="40" t="s">
        <v>11404</v>
      </c>
      <c r="G26010" s="40" t="s">
        <v>11404</v>
      </c>
      <c r="H26010" s="40" t="s">
        <v>11404</v>
      </c>
    </row>
    <row r="26011">
      <c r="A26011" s="39"/>
      <c r="E26011" s="40" t="s">
        <v>11404</v>
      </c>
      <c r="F26011" s="40" t="s">
        <v>11404</v>
      </c>
      <c r="G26011" s="40" t="s">
        <v>11404</v>
      </c>
      <c r="H26011" s="40" t="s">
        <v>11404</v>
      </c>
    </row>
    <row r="26012">
      <c r="A26012" s="39"/>
      <c r="E26012" s="40" t="s">
        <v>11404</v>
      </c>
      <c r="F26012" s="40" t="s">
        <v>11404</v>
      </c>
      <c r="G26012" s="40" t="s">
        <v>11404</v>
      </c>
      <c r="H26012" s="40" t="s">
        <v>11404</v>
      </c>
    </row>
    <row r="26013">
      <c r="A26013" s="39"/>
      <c r="E26013" s="40" t="s">
        <v>11404</v>
      </c>
      <c r="F26013" s="40" t="s">
        <v>11404</v>
      </c>
      <c r="G26013" s="40" t="s">
        <v>11404</v>
      </c>
      <c r="H26013" s="40" t="s">
        <v>11404</v>
      </c>
    </row>
    <row r="26014">
      <c r="A26014" s="39"/>
      <c r="E26014" s="40" t="s">
        <v>11404</v>
      </c>
      <c r="F26014" s="40" t="s">
        <v>11404</v>
      </c>
      <c r="G26014" s="40" t="s">
        <v>11404</v>
      </c>
      <c r="H26014" s="40" t="s">
        <v>11404</v>
      </c>
    </row>
    <row r="26015">
      <c r="A26015" s="39"/>
      <c r="E26015" s="40" t="s">
        <v>11404</v>
      </c>
      <c r="F26015" s="40" t="s">
        <v>11404</v>
      </c>
      <c r="G26015" s="40" t="s">
        <v>11404</v>
      </c>
      <c r="H26015" s="40" t="s">
        <v>11404</v>
      </c>
    </row>
    <row r="26016">
      <c r="A26016" s="39"/>
      <c r="E26016" s="40" t="s">
        <v>11404</v>
      </c>
      <c r="F26016" s="40" t="s">
        <v>11404</v>
      </c>
      <c r="G26016" s="40" t="s">
        <v>11404</v>
      </c>
      <c r="H26016" s="40" t="s">
        <v>11404</v>
      </c>
    </row>
    <row r="26017">
      <c r="A26017" s="39"/>
      <c r="E26017" s="40" t="s">
        <v>11404</v>
      </c>
      <c r="F26017" s="40" t="s">
        <v>11404</v>
      </c>
      <c r="G26017" s="40" t="s">
        <v>11404</v>
      </c>
      <c r="H26017" s="40" t="s">
        <v>11404</v>
      </c>
    </row>
    <row r="26018">
      <c r="A26018" s="39"/>
      <c r="E26018" s="40" t="s">
        <v>11404</v>
      </c>
      <c r="F26018" s="40" t="s">
        <v>11404</v>
      </c>
      <c r="G26018" s="40" t="s">
        <v>11404</v>
      </c>
      <c r="H26018" s="40" t="s">
        <v>11404</v>
      </c>
    </row>
    <row r="26019">
      <c r="A26019" s="39"/>
      <c r="E26019" s="40" t="s">
        <v>11404</v>
      </c>
      <c r="F26019" s="40" t="s">
        <v>11404</v>
      </c>
      <c r="G26019" s="40" t="s">
        <v>11404</v>
      </c>
      <c r="H26019" s="40" t="s">
        <v>11404</v>
      </c>
    </row>
    <row r="26020">
      <c r="A26020" s="39"/>
      <c r="E26020" s="40" t="s">
        <v>11404</v>
      </c>
      <c r="F26020" s="40" t="s">
        <v>11404</v>
      </c>
      <c r="G26020" s="40" t="s">
        <v>11404</v>
      </c>
      <c r="H26020" s="40" t="s">
        <v>11404</v>
      </c>
    </row>
    <row r="26021">
      <c r="A26021" s="39"/>
      <c r="E26021" s="40" t="s">
        <v>11404</v>
      </c>
      <c r="F26021" s="40" t="s">
        <v>11404</v>
      </c>
      <c r="G26021" s="40" t="s">
        <v>11404</v>
      </c>
      <c r="H26021" s="40" t="s">
        <v>11404</v>
      </c>
    </row>
    <row r="26022">
      <c r="A26022" s="39"/>
      <c r="E26022" s="40" t="s">
        <v>11404</v>
      </c>
      <c r="F26022" s="40" t="s">
        <v>11404</v>
      </c>
      <c r="G26022" s="40" t="s">
        <v>11404</v>
      </c>
      <c r="H26022" s="40" t="s">
        <v>11404</v>
      </c>
    </row>
    <row r="26023">
      <c r="A26023" s="39"/>
      <c r="E26023" s="40" t="s">
        <v>11404</v>
      </c>
      <c r="F26023" s="40" t="s">
        <v>11404</v>
      </c>
      <c r="G26023" s="40" t="s">
        <v>11404</v>
      </c>
      <c r="H26023" s="40" t="s">
        <v>11404</v>
      </c>
    </row>
    <row r="26024">
      <c r="A26024" s="39"/>
      <c r="E26024" s="40" t="s">
        <v>11404</v>
      </c>
      <c r="F26024" s="40" t="s">
        <v>11404</v>
      </c>
      <c r="G26024" s="40" t="s">
        <v>11404</v>
      </c>
      <c r="H26024" s="40" t="s">
        <v>11404</v>
      </c>
    </row>
    <row r="26025">
      <c r="A26025" s="39"/>
      <c r="E26025" s="40" t="s">
        <v>11404</v>
      </c>
      <c r="F26025" s="40" t="s">
        <v>11404</v>
      </c>
      <c r="G26025" s="40" t="s">
        <v>11404</v>
      </c>
      <c r="H26025" s="40" t="s">
        <v>11404</v>
      </c>
    </row>
    <row r="26026">
      <c r="A26026" s="39"/>
      <c r="E26026" s="40" t="s">
        <v>11404</v>
      </c>
      <c r="F26026" s="40" t="s">
        <v>11404</v>
      </c>
      <c r="G26026" s="40" t="s">
        <v>11404</v>
      </c>
      <c r="H26026" s="40" t="s">
        <v>11404</v>
      </c>
    </row>
    <row r="26027">
      <c r="A26027" s="39"/>
      <c r="E26027" s="40" t="s">
        <v>11404</v>
      </c>
      <c r="F26027" s="40" t="s">
        <v>11404</v>
      </c>
      <c r="G26027" s="40" t="s">
        <v>11404</v>
      </c>
      <c r="H26027" s="40" t="s">
        <v>11404</v>
      </c>
    </row>
    <row r="26028">
      <c r="A26028" s="39"/>
      <c r="E26028" s="40" t="s">
        <v>11404</v>
      </c>
      <c r="F26028" s="40" t="s">
        <v>11404</v>
      </c>
      <c r="G26028" s="40" t="s">
        <v>11404</v>
      </c>
      <c r="H26028" s="40" t="s">
        <v>11404</v>
      </c>
    </row>
    <row r="26029">
      <c r="A26029" s="39"/>
      <c r="E26029" s="40" t="s">
        <v>11404</v>
      </c>
      <c r="F26029" s="40" t="s">
        <v>11404</v>
      </c>
      <c r="G26029" s="40" t="s">
        <v>11404</v>
      </c>
      <c r="H26029" s="40" t="s">
        <v>11404</v>
      </c>
    </row>
    <row r="26030">
      <c r="A26030" s="39"/>
      <c r="E26030" s="40" t="s">
        <v>11404</v>
      </c>
      <c r="F26030" s="40" t="s">
        <v>11404</v>
      </c>
      <c r="G26030" s="40" t="s">
        <v>11404</v>
      </c>
      <c r="H26030" s="40" t="s">
        <v>11404</v>
      </c>
    </row>
    <row r="26031">
      <c r="A26031" s="39"/>
      <c r="E26031" s="40" t="s">
        <v>11404</v>
      </c>
      <c r="F26031" s="40" t="s">
        <v>11404</v>
      </c>
      <c r="G26031" s="40" t="s">
        <v>11404</v>
      </c>
      <c r="H26031" s="40" t="s">
        <v>11404</v>
      </c>
    </row>
    <row r="26032">
      <c r="A26032" s="39"/>
      <c r="E26032" s="40" t="s">
        <v>11404</v>
      </c>
      <c r="F26032" s="40" t="s">
        <v>11404</v>
      </c>
      <c r="G26032" s="40" t="s">
        <v>11404</v>
      </c>
      <c r="H26032" s="40" t="s">
        <v>11404</v>
      </c>
    </row>
    <row r="26033">
      <c r="A26033" s="39"/>
      <c r="E26033" s="40" t="s">
        <v>11404</v>
      </c>
      <c r="F26033" s="40" t="s">
        <v>11404</v>
      </c>
      <c r="G26033" s="40" t="s">
        <v>11404</v>
      </c>
      <c r="H26033" s="40" t="s">
        <v>11404</v>
      </c>
    </row>
    <row r="26034">
      <c r="A26034" s="39"/>
      <c r="E26034" s="40" t="s">
        <v>11404</v>
      </c>
      <c r="F26034" s="40" t="s">
        <v>11404</v>
      </c>
      <c r="G26034" s="40" t="s">
        <v>11404</v>
      </c>
      <c r="H26034" s="40" t="s">
        <v>11404</v>
      </c>
    </row>
    <row r="26035">
      <c r="A26035" s="39"/>
      <c r="E26035" s="40" t="s">
        <v>11404</v>
      </c>
      <c r="F26035" s="40" t="s">
        <v>11404</v>
      </c>
      <c r="G26035" s="40" t="s">
        <v>11404</v>
      </c>
      <c r="H26035" s="40" t="s">
        <v>11404</v>
      </c>
    </row>
    <row r="26036">
      <c r="A26036" s="39"/>
      <c r="E26036" s="40" t="s">
        <v>11404</v>
      </c>
      <c r="F26036" s="40" t="s">
        <v>11404</v>
      </c>
      <c r="G26036" s="40" t="s">
        <v>11404</v>
      </c>
      <c r="H26036" s="40" t="s">
        <v>11404</v>
      </c>
    </row>
    <row r="26037">
      <c r="A26037" s="39"/>
      <c r="E26037" s="40" t="s">
        <v>11404</v>
      </c>
      <c r="F26037" s="40" t="s">
        <v>11404</v>
      </c>
      <c r="G26037" s="40" t="s">
        <v>11404</v>
      </c>
      <c r="H26037" s="40" t="s">
        <v>11404</v>
      </c>
    </row>
    <row r="26038">
      <c r="A26038" s="39"/>
      <c r="E26038" s="40" t="s">
        <v>11404</v>
      </c>
      <c r="F26038" s="40" t="s">
        <v>11404</v>
      </c>
      <c r="G26038" s="40" t="s">
        <v>11404</v>
      </c>
      <c r="H26038" s="40" t="s">
        <v>11404</v>
      </c>
    </row>
    <row r="26039">
      <c r="A26039" s="39"/>
      <c r="E26039" s="40" t="s">
        <v>11404</v>
      </c>
      <c r="F26039" s="40" t="s">
        <v>11404</v>
      </c>
      <c r="G26039" s="40" t="s">
        <v>11404</v>
      </c>
      <c r="H26039" s="40" t="s">
        <v>11404</v>
      </c>
    </row>
    <row r="26040">
      <c r="A26040" s="39"/>
      <c r="E26040" s="40" t="s">
        <v>11404</v>
      </c>
      <c r="F26040" s="40" t="s">
        <v>11404</v>
      </c>
      <c r="G26040" s="40" t="s">
        <v>11404</v>
      </c>
      <c r="H26040" s="40" t="s">
        <v>11404</v>
      </c>
    </row>
    <row r="26041">
      <c r="A26041" s="39"/>
      <c r="E26041" s="40" t="s">
        <v>11404</v>
      </c>
      <c r="F26041" s="40" t="s">
        <v>11404</v>
      </c>
      <c r="G26041" s="40" t="s">
        <v>11404</v>
      </c>
      <c r="H26041" s="40" t="s">
        <v>11404</v>
      </c>
    </row>
    <row r="26042">
      <c r="A26042" s="39"/>
      <c r="E26042" s="40" t="s">
        <v>11404</v>
      </c>
      <c r="F26042" s="40" t="s">
        <v>11404</v>
      </c>
      <c r="G26042" s="40" t="s">
        <v>11404</v>
      </c>
      <c r="H26042" s="40" t="s">
        <v>11404</v>
      </c>
    </row>
    <row r="26043">
      <c r="A26043" s="39"/>
      <c r="E26043" s="40" t="s">
        <v>11404</v>
      </c>
      <c r="F26043" s="40" t="s">
        <v>11404</v>
      </c>
      <c r="G26043" s="40" t="s">
        <v>11404</v>
      </c>
      <c r="H26043" s="40" t="s">
        <v>11404</v>
      </c>
    </row>
    <row r="26044">
      <c r="A26044" s="39"/>
      <c r="E26044" s="40" t="s">
        <v>11404</v>
      </c>
      <c r="F26044" s="40" t="s">
        <v>11404</v>
      </c>
      <c r="G26044" s="40" t="s">
        <v>11404</v>
      </c>
      <c r="H26044" s="40" t="s">
        <v>11404</v>
      </c>
    </row>
    <row r="26045">
      <c r="A26045" s="39"/>
      <c r="E26045" s="40" t="s">
        <v>11404</v>
      </c>
      <c r="F26045" s="40" t="s">
        <v>11404</v>
      </c>
      <c r="G26045" s="40" t="s">
        <v>11404</v>
      </c>
      <c r="H26045" s="40" t="s">
        <v>11404</v>
      </c>
    </row>
    <row r="26046">
      <c r="A26046" s="39"/>
      <c r="E26046" s="40" t="s">
        <v>11404</v>
      </c>
      <c r="F26046" s="40" t="s">
        <v>11404</v>
      </c>
      <c r="G26046" s="40" t="s">
        <v>11404</v>
      </c>
      <c r="H26046" s="40" t="s">
        <v>11404</v>
      </c>
    </row>
    <row r="26047">
      <c r="A26047" s="39"/>
      <c r="E26047" s="40" t="s">
        <v>11404</v>
      </c>
      <c r="F26047" s="40" t="s">
        <v>11404</v>
      </c>
      <c r="G26047" s="40" t="s">
        <v>11404</v>
      </c>
      <c r="H26047" s="40" t="s">
        <v>11404</v>
      </c>
    </row>
    <row r="26048">
      <c r="A26048" s="39"/>
      <c r="E26048" s="40" t="s">
        <v>11404</v>
      </c>
      <c r="F26048" s="40" t="s">
        <v>11404</v>
      </c>
      <c r="G26048" s="40" t="s">
        <v>11404</v>
      </c>
      <c r="H26048" s="40" t="s">
        <v>11404</v>
      </c>
    </row>
    <row r="26049">
      <c r="A26049" s="39"/>
      <c r="E26049" s="40" t="s">
        <v>11404</v>
      </c>
      <c r="F26049" s="40" t="s">
        <v>11404</v>
      </c>
      <c r="G26049" s="40" t="s">
        <v>11404</v>
      </c>
      <c r="H26049" s="40" t="s">
        <v>11404</v>
      </c>
    </row>
    <row r="26050">
      <c r="A26050" s="39"/>
      <c r="E26050" s="40" t="s">
        <v>11404</v>
      </c>
      <c r="F26050" s="40" t="s">
        <v>11404</v>
      </c>
      <c r="G26050" s="40" t="s">
        <v>11404</v>
      </c>
      <c r="H26050" s="40" t="s">
        <v>11404</v>
      </c>
    </row>
    <row r="26051">
      <c r="A26051" s="39"/>
      <c r="E26051" s="40" t="s">
        <v>11404</v>
      </c>
      <c r="F26051" s="40" t="s">
        <v>11404</v>
      </c>
      <c r="G26051" s="40" t="s">
        <v>11404</v>
      </c>
      <c r="H26051" s="40" t="s">
        <v>11404</v>
      </c>
    </row>
    <row r="26052">
      <c r="A26052" s="39"/>
      <c r="E26052" s="40" t="s">
        <v>11404</v>
      </c>
      <c r="F26052" s="40" t="s">
        <v>11404</v>
      </c>
      <c r="G26052" s="40" t="s">
        <v>11404</v>
      </c>
      <c r="H26052" s="40" t="s">
        <v>11404</v>
      </c>
    </row>
    <row r="26053">
      <c r="A26053" s="39"/>
      <c r="E26053" s="40" t="s">
        <v>11404</v>
      </c>
      <c r="F26053" s="40" t="s">
        <v>11404</v>
      </c>
      <c r="G26053" s="40" t="s">
        <v>11404</v>
      </c>
      <c r="H26053" s="40" t="s">
        <v>11404</v>
      </c>
    </row>
    <row r="26054">
      <c r="A26054" s="39"/>
      <c r="E26054" s="40" t="s">
        <v>11404</v>
      </c>
      <c r="F26054" s="40" t="s">
        <v>11404</v>
      </c>
      <c r="G26054" s="40" t="s">
        <v>11404</v>
      </c>
      <c r="H26054" s="40" t="s">
        <v>11404</v>
      </c>
    </row>
    <row r="26055">
      <c r="A26055" s="39"/>
      <c r="E26055" s="40" t="s">
        <v>11404</v>
      </c>
      <c r="F26055" s="40" t="s">
        <v>11404</v>
      </c>
      <c r="G26055" s="40" t="s">
        <v>11404</v>
      </c>
      <c r="H26055" s="40" t="s">
        <v>11404</v>
      </c>
    </row>
    <row r="26056">
      <c r="A26056" s="39"/>
      <c r="E26056" s="40" t="s">
        <v>11404</v>
      </c>
      <c r="F26056" s="40" t="s">
        <v>11404</v>
      </c>
      <c r="G26056" s="40" t="s">
        <v>11404</v>
      </c>
      <c r="H26056" s="40" t="s">
        <v>11404</v>
      </c>
    </row>
    <row r="26057">
      <c r="A26057" s="39"/>
      <c r="E26057" s="40" t="s">
        <v>11404</v>
      </c>
      <c r="F26057" s="40" t="s">
        <v>11404</v>
      </c>
      <c r="G26057" s="40" t="s">
        <v>11404</v>
      </c>
      <c r="H26057" s="40" t="s">
        <v>11404</v>
      </c>
    </row>
    <row r="26058">
      <c r="A26058" s="39"/>
      <c r="E26058" s="40" t="s">
        <v>11404</v>
      </c>
      <c r="F26058" s="40" t="s">
        <v>11404</v>
      </c>
      <c r="G26058" s="40" t="s">
        <v>11404</v>
      </c>
      <c r="H26058" s="40" t="s">
        <v>11404</v>
      </c>
    </row>
    <row r="26059">
      <c r="A26059" s="39"/>
      <c r="E26059" s="40" t="s">
        <v>11404</v>
      </c>
      <c r="F26059" s="40" t="s">
        <v>11404</v>
      </c>
      <c r="G26059" s="40" t="s">
        <v>11404</v>
      </c>
      <c r="H26059" s="40" t="s">
        <v>11404</v>
      </c>
    </row>
    <row r="26060">
      <c r="A26060" s="39"/>
      <c r="E26060" s="40" t="s">
        <v>11404</v>
      </c>
      <c r="F26060" s="40" t="s">
        <v>11404</v>
      </c>
      <c r="G26060" s="40" t="s">
        <v>11404</v>
      </c>
      <c r="H26060" s="40" t="s">
        <v>11404</v>
      </c>
    </row>
    <row r="26061">
      <c r="A26061" s="39"/>
      <c r="E26061" s="40" t="s">
        <v>11404</v>
      </c>
      <c r="F26061" s="40" t="s">
        <v>11404</v>
      </c>
      <c r="G26061" s="40" t="s">
        <v>11404</v>
      </c>
      <c r="H26061" s="40" t="s">
        <v>11404</v>
      </c>
    </row>
    <row r="26062">
      <c r="A26062" s="39"/>
      <c r="E26062" s="40" t="s">
        <v>11404</v>
      </c>
      <c r="F26062" s="40" t="s">
        <v>11404</v>
      </c>
      <c r="G26062" s="40" t="s">
        <v>11404</v>
      </c>
      <c r="H26062" s="40" t="s">
        <v>11404</v>
      </c>
    </row>
    <row r="26063">
      <c r="A26063" s="39"/>
      <c r="E26063" s="40" t="s">
        <v>11404</v>
      </c>
      <c r="F26063" s="40" t="s">
        <v>11404</v>
      </c>
      <c r="G26063" s="40" t="s">
        <v>11404</v>
      </c>
      <c r="H26063" s="40" t="s">
        <v>11404</v>
      </c>
    </row>
    <row r="26064">
      <c r="A26064" s="39"/>
      <c r="E26064" s="40" t="s">
        <v>11404</v>
      </c>
      <c r="F26064" s="40" t="s">
        <v>11404</v>
      </c>
      <c r="G26064" s="40" t="s">
        <v>11404</v>
      </c>
      <c r="H26064" s="40" t="s">
        <v>11404</v>
      </c>
    </row>
    <row r="26065">
      <c r="A26065" s="39"/>
      <c r="E26065" s="40" t="s">
        <v>11404</v>
      </c>
      <c r="F26065" s="40" t="s">
        <v>11404</v>
      </c>
      <c r="G26065" s="40" t="s">
        <v>11404</v>
      </c>
      <c r="H26065" s="40" t="s">
        <v>11404</v>
      </c>
    </row>
    <row r="26066">
      <c r="A26066" s="39"/>
      <c r="E26066" s="40" t="s">
        <v>11404</v>
      </c>
      <c r="F26066" s="40" t="s">
        <v>11404</v>
      </c>
      <c r="G26066" s="40" t="s">
        <v>11404</v>
      </c>
      <c r="H26066" s="40" t="s">
        <v>11404</v>
      </c>
    </row>
    <row r="26067">
      <c r="A26067" s="39"/>
      <c r="E26067" s="40" t="s">
        <v>11404</v>
      </c>
      <c r="F26067" s="40" t="s">
        <v>11404</v>
      </c>
      <c r="G26067" s="40" t="s">
        <v>11404</v>
      </c>
      <c r="H26067" s="40" t="s">
        <v>11404</v>
      </c>
    </row>
    <row r="26068">
      <c r="A26068" s="39"/>
      <c r="E26068" s="40" t="s">
        <v>11404</v>
      </c>
      <c r="F26068" s="40" t="s">
        <v>11404</v>
      </c>
      <c r="G26068" s="40" t="s">
        <v>11404</v>
      </c>
      <c r="H26068" s="40" t="s">
        <v>11404</v>
      </c>
    </row>
    <row r="26069">
      <c r="A26069" s="39"/>
      <c r="E26069" s="40" t="s">
        <v>11404</v>
      </c>
      <c r="F26069" s="40" t="s">
        <v>11404</v>
      </c>
      <c r="G26069" s="40" t="s">
        <v>11404</v>
      </c>
      <c r="H26069" s="40" t="s">
        <v>11404</v>
      </c>
    </row>
    <row r="26070">
      <c r="A26070" s="39"/>
      <c r="E26070" s="40" t="s">
        <v>11404</v>
      </c>
      <c r="F26070" s="40" t="s">
        <v>11404</v>
      </c>
      <c r="G26070" s="40" t="s">
        <v>11404</v>
      </c>
      <c r="H26070" s="40" t="s">
        <v>11404</v>
      </c>
    </row>
    <row r="26071">
      <c r="A26071" s="39"/>
      <c r="E26071" s="40" t="s">
        <v>11404</v>
      </c>
      <c r="F26071" s="40" t="s">
        <v>11404</v>
      </c>
      <c r="G26071" s="40" t="s">
        <v>11404</v>
      </c>
      <c r="H26071" s="40" t="s">
        <v>11404</v>
      </c>
    </row>
    <row r="26072">
      <c r="A26072" s="39"/>
      <c r="E26072" s="40" t="s">
        <v>11404</v>
      </c>
      <c r="F26072" s="40" t="s">
        <v>11404</v>
      </c>
      <c r="G26072" s="40" t="s">
        <v>11404</v>
      </c>
      <c r="H26072" s="40" t="s">
        <v>11404</v>
      </c>
    </row>
    <row r="26073">
      <c r="A26073" s="39"/>
      <c r="E26073" s="40" t="s">
        <v>11404</v>
      </c>
      <c r="F26073" s="40" t="s">
        <v>11404</v>
      </c>
      <c r="G26073" s="40" t="s">
        <v>11404</v>
      </c>
      <c r="H26073" s="40" t="s">
        <v>11404</v>
      </c>
    </row>
    <row r="26074">
      <c r="A26074" s="39"/>
      <c r="E26074" s="40" t="s">
        <v>11404</v>
      </c>
      <c r="F26074" s="40" t="s">
        <v>11404</v>
      </c>
      <c r="G26074" s="40" t="s">
        <v>11404</v>
      </c>
      <c r="H26074" s="40" t="s">
        <v>11404</v>
      </c>
    </row>
    <row r="26075">
      <c r="A26075" s="39"/>
      <c r="E26075" s="40" t="s">
        <v>11404</v>
      </c>
      <c r="F26075" s="40" t="s">
        <v>11404</v>
      </c>
      <c r="G26075" s="40" t="s">
        <v>11404</v>
      </c>
      <c r="H26075" s="40" t="s">
        <v>11404</v>
      </c>
    </row>
    <row r="26076">
      <c r="A26076" s="39"/>
      <c r="E26076" s="40" t="s">
        <v>11404</v>
      </c>
      <c r="F26076" s="40" t="s">
        <v>11404</v>
      </c>
      <c r="G26076" s="40" t="s">
        <v>11404</v>
      </c>
      <c r="H26076" s="40" t="s">
        <v>11404</v>
      </c>
    </row>
    <row r="26077">
      <c r="A26077" s="39"/>
      <c r="E26077" s="40" t="s">
        <v>11404</v>
      </c>
      <c r="F26077" s="40" t="s">
        <v>11404</v>
      </c>
      <c r="G26077" s="40" t="s">
        <v>11404</v>
      </c>
      <c r="H26077" s="40" t="s">
        <v>11404</v>
      </c>
    </row>
    <row r="26078">
      <c r="A26078" s="39"/>
      <c r="E26078" s="40" t="s">
        <v>11404</v>
      </c>
      <c r="F26078" s="40" t="s">
        <v>11404</v>
      </c>
      <c r="G26078" s="40" t="s">
        <v>11404</v>
      </c>
      <c r="H26078" s="40" t="s">
        <v>11404</v>
      </c>
    </row>
    <row r="26079">
      <c r="A26079" s="39"/>
      <c r="E26079" s="40" t="s">
        <v>11404</v>
      </c>
      <c r="F26079" s="40" t="s">
        <v>11404</v>
      </c>
      <c r="G26079" s="40" t="s">
        <v>11404</v>
      </c>
      <c r="H26079" s="40" t="s">
        <v>11404</v>
      </c>
    </row>
    <row r="26080">
      <c r="A26080" s="39"/>
      <c r="E26080" s="40" t="s">
        <v>11404</v>
      </c>
      <c r="F26080" s="40" t="s">
        <v>11404</v>
      </c>
      <c r="G26080" s="40" t="s">
        <v>11404</v>
      </c>
      <c r="H26080" s="40" t="s">
        <v>11404</v>
      </c>
    </row>
    <row r="26081">
      <c r="A26081" s="39"/>
      <c r="E26081" s="40" t="s">
        <v>11404</v>
      </c>
      <c r="F26081" s="40" t="s">
        <v>11404</v>
      </c>
      <c r="G26081" s="40" t="s">
        <v>11404</v>
      </c>
      <c r="H26081" s="40" t="s">
        <v>11404</v>
      </c>
    </row>
    <row r="26082">
      <c r="A26082" s="39"/>
      <c r="E26082" s="40" t="s">
        <v>11404</v>
      </c>
      <c r="F26082" s="40" t="s">
        <v>11404</v>
      </c>
      <c r="G26082" s="40" t="s">
        <v>11404</v>
      </c>
      <c r="H26082" s="40" t="s">
        <v>11404</v>
      </c>
    </row>
    <row r="26083">
      <c r="A26083" s="39"/>
      <c r="E26083" s="40" t="s">
        <v>11404</v>
      </c>
      <c r="F26083" s="40" t="s">
        <v>11404</v>
      </c>
      <c r="G26083" s="40" t="s">
        <v>11404</v>
      </c>
      <c r="H26083" s="40" t="s">
        <v>11404</v>
      </c>
    </row>
    <row r="26084">
      <c r="A26084" s="39"/>
      <c r="E26084" s="40" t="s">
        <v>11404</v>
      </c>
      <c r="F26084" s="40" t="s">
        <v>11404</v>
      </c>
      <c r="G26084" s="40" t="s">
        <v>11404</v>
      </c>
      <c r="H26084" s="40" t="s">
        <v>11404</v>
      </c>
    </row>
    <row r="26085">
      <c r="A26085" s="39"/>
      <c r="E26085" s="40" t="s">
        <v>11404</v>
      </c>
      <c r="F26085" s="40" t="s">
        <v>11404</v>
      </c>
      <c r="G26085" s="40" t="s">
        <v>11404</v>
      </c>
      <c r="H26085" s="40" t="s">
        <v>11404</v>
      </c>
    </row>
    <row r="26086">
      <c r="A26086" s="39"/>
      <c r="E26086" s="40" t="s">
        <v>11404</v>
      </c>
      <c r="F26086" s="40" t="s">
        <v>11404</v>
      </c>
      <c r="G26086" s="40" t="s">
        <v>11404</v>
      </c>
      <c r="H26086" s="40" t="s">
        <v>11404</v>
      </c>
    </row>
    <row r="26087">
      <c r="A26087" s="39"/>
      <c r="E26087" s="40" t="s">
        <v>11404</v>
      </c>
      <c r="F26087" s="40" t="s">
        <v>11404</v>
      </c>
      <c r="G26087" s="40" t="s">
        <v>11404</v>
      </c>
      <c r="H26087" s="40" t="s">
        <v>11404</v>
      </c>
    </row>
    <row r="26088">
      <c r="A26088" s="39"/>
      <c r="E26088" s="40" t="s">
        <v>11404</v>
      </c>
      <c r="F26088" s="40" t="s">
        <v>11404</v>
      </c>
      <c r="G26088" s="40" t="s">
        <v>11404</v>
      </c>
      <c r="H26088" s="40" t="s">
        <v>11404</v>
      </c>
    </row>
    <row r="26089">
      <c r="A26089" s="39"/>
      <c r="E26089" s="40" t="s">
        <v>11404</v>
      </c>
      <c r="F26089" s="40" t="s">
        <v>11404</v>
      </c>
      <c r="G26089" s="40" t="s">
        <v>11404</v>
      </c>
      <c r="H26089" s="40" t="s">
        <v>11404</v>
      </c>
    </row>
    <row r="26090">
      <c r="A26090" s="39"/>
      <c r="E26090" s="40" t="s">
        <v>11404</v>
      </c>
      <c r="F26090" s="40" t="s">
        <v>11404</v>
      </c>
      <c r="G26090" s="40" t="s">
        <v>11404</v>
      </c>
      <c r="H26090" s="40" t="s">
        <v>11404</v>
      </c>
    </row>
    <row r="26091">
      <c r="A26091" s="39"/>
      <c r="E26091" s="40" t="s">
        <v>11404</v>
      </c>
      <c r="F26091" s="40" t="s">
        <v>11404</v>
      </c>
      <c r="G26091" s="40" t="s">
        <v>11404</v>
      </c>
      <c r="H26091" s="40" t="s">
        <v>11404</v>
      </c>
    </row>
    <row r="26092">
      <c r="A26092" s="39"/>
      <c r="E26092" s="40" t="s">
        <v>11404</v>
      </c>
      <c r="F26092" s="40" t="s">
        <v>11404</v>
      </c>
      <c r="G26092" s="40" t="s">
        <v>11404</v>
      </c>
      <c r="H26092" s="40" t="s">
        <v>11404</v>
      </c>
    </row>
    <row r="26093">
      <c r="A26093" s="39"/>
      <c r="E26093" s="40" t="s">
        <v>11404</v>
      </c>
      <c r="F26093" s="40" t="s">
        <v>11404</v>
      </c>
      <c r="G26093" s="40" t="s">
        <v>11404</v>
      </c>
      <c r="H26093" s="40" t="s">
        <v>11404</v>
      </c>
    </row>
    <row r="26094">
      <c r="A26094" s="39"/>
      <c r="E26094" s="40" t="s">
        <v>11404</v>
      </c>
      <c r="F26094" s="40" t="s">
        <v>11404</v>
      </c>
      <c r="G26094" s="40" t="s">
        <v>11404</v>
      </c>
      <c r="H26094" s="40" t="s">
        <v>11404</v>
      </c>
    </row>
    <row r="26095">
      <c r="A26095" s="39"/>
      <c r="E26095" s="40" t="s">
        <v>11404</v>
      </c>
      <c r="F26095" s="40" t="s">
        <v>11404</v>
      </c>
      <c r="G26095" s="40" t="s">
        <v>11404</v>
      </c>
      <c r="H26095" s="40" t="s">
        <v>11404</v>
      </c>
    </row>
    <row r="26096">
      <c r="A26096" s="39"/>
      <c r="E26096" s="40" t="s">
        <v>11404</v>
      </c>
      <c r="F26096" s="40" t="s">
        <v>11404</v>
      </c>
      <c r="G26096" s="40" t="s">
        <v>11404</v>
      </c>
      <c r="H26096" s="40" t="s">
        <v>11404</v>
      </c>
    </row>
    <row r="26097">
      <c r="A26097" s="39"/>
      <c r="E26097" s="40" t="s">
        <v>11404</v>
      </c>
      <c r="F26097" s="40" t="s">
        <v>11404</v>
      </c>
      <c r="G26097" s="40" t="s">
        <v>11404</v>
      </c>
      <c r="H26097" s="40" t="s">
        <v>11404</v>
      </c>
    </row>
    <row r="26098">
      <c r="A26098" s="39"/>
      <c r="E26098" s="40" t="s">
        <v>11404</v>
      </c>
      <c r="F26098" s="40" t="s">
        <v>11404</v>
      </c>
      <c r="G26098" s="40" t="s">
        <v>11404</v>
      </c>
      <c r="H26098" s="40" t="s">
        <v>11404</v>
      </c>
    </row>
    <row r="26099">
      <c r="A26099" s="39"/>
      <c r="E26099" s="40" t="s">
        <v>11404</v>
      </c>
      <c r="F26099" s="40" t="s">
        <v>11404</v>
      </c>
      <c r="G26099" s="40" t="s">
        <v>11404</v>
      </c>
      <c r="H26099" s="40" t="s">
        <v>11404</v>
      </c>
    </row>
    <row r="26100">
      <c r="A26100" s="39"/>
      <c r="E26100" s="40" t="s">
        <v>11404</v>
      </c>
      <c r="F26100" s="40" t="s">
        <v>11404</v>
      </c>
      <c r="G26100" s="40" t="s">
        <v>11404</v>
      </c>
      <c r="H26100" s="40" t="s">
        <v>11404</v>
      </c>
    </row>
    <row r="26101">
      <c r="A26101" s="39"/>
      <c r="E26101" s="40" t="s">
        <v>11404</v>
      </c>
      <c r="F26101" s="40" t="s">
        <v>11404</v>
      </c>
      <c r="G26101" s="40" t="s">
        <v>11404</v>
      </c>
      <c r="H26101" s="40" t="s">
        <v>11404</v>
      </c>
    </row>
    <row r="26102">
      <c r="A26102" s="39"/>
      <c r="E26102" s="40" t="s">
        <v>11404</v>
      </c>
      <c r="F26102" s="40" t="s">
        <v>11404</v>
      </c>
      <c r="G26102" s="40" t="s">
        <v>11404</v>
      </c>
      <c r="H26102" s="40" t="s">
        <v>11404</v>
      </c>
    </row>
    <row r="26103">
      <c r="A26103" s="39"/>
      <c r="E26103" s="40" t="s">
        <v>11404</v>
      </c>
      <c r="F26103" s="40" t="s">
        <v>11404</v>
      </c>
      <c r="G26103" s="40" t="s">
        <v>11404</v>
      </c>
      <c r="H26103" s="40" t="s">
        <v>11404</v>
      </c>
    </row>
    <row r="26104">
      <c r="A26104" s="39"/>
      <c r="E26104" s="40" t="s">
        <v>11404</v>
      </c>
      <c r="F26104" s="40" t="s">
        <v>11404</v>
      </c>
      <c r="G26104" s="40" t="s">
        <v>11404</v>
      </c>
      <c r="H26104" s="40" t="s">
        <v>11404</v>
      </c>
    </row>
    <row r="26105">
      <c r="A26105" s="39"/>
      <c r="E26105" s="40" t="s">
        <v>11404</v>
      </c>
      <c r="F26105" s="40" t="s">
        <v>11404</v>
      </c>
      <c r="G26105" s="40" t="s">
        <v>11404</v>
      </c>
      <c r="H26105" s="40" t="s">
        <v>11404</v>
      </c>
    </row>
    <row r="26106">
      <c r="A26106" s="39"/>
      <c r="E26106" s="40" t="s">
        <v>11404</v>
      </c>
      <c r="F26106" s="40" t="s">
        <v>11404</v>
      </c>
      <c r="G26106" s="40" t="s">
        <v>11404</v>
      </c>
      <c r="H26106" s="40" t="s">
        <v>11404</v>
      </c>
    </row>
    <row r="26107">
      <c r="A26107" s="39"/>
      <c r="E26107" s="40" t="s">
        <v>11404</v>
      </c>
      <c r="F26107" s="40" t="s">
        <v>11404</v>
      </c>
      <c r="G26107" s="40" t="s">
        <v>11404</v>
      </c>
      <c r="H26107" s="40" t="s">
        <v>11404</v>
      </c>
    </row>
    <row r="26108">
      <c r="A26108" s="39"/>
      <c r="E26108" s="40" t="s">
        <v>11404</v>
      </c>
      <c r="F26108" s="40" t="s">
        <v>11404</v>
      </c>
      <c r="G26108" s="40" t="s">
        <v>11404</v>
      </c>
      <c r="H26108" s="40" t="s">
        <v>11404</v>
      </c>
    </row>
    <row r="26109">
      <c r="A26109" s="39"/>
      <c r="E26109" s="40" t="s">
        <v>11404</v>
      </c>
      <c r="F26109" s="40" t="s">
        <v>11404</v>
      </c>
      <c r="G26109" s="40" t="s">
        <v>11404</v>
      </c>
      <c r="H26109" s="40" t="s">
        <v>11404</v>
      </c>
    </row>
    <row r="26110">
      <c r="A26110" s="39"/>
      <c r="E26110" s="40" t="s">
        <v>11404</v>
      </c>
      <c r="F26110" s="40" t="s">
        <v>11404</v>
      </c>
      <c r="G26110" s="40" t="s">
        <v>11404</v>
      </c>
      <c r="H26110" s="40" t="s">
        <v>11404</v>
      </c>
    </row>
    <row r="26111">
      <c r="A26111" s="39"/>
      <c r="E26111" s="40" t="s">
        <v>11404</v>
      </c>
      <c r="F26111" s="40" t="s">
        <v>11404</v>
      </c>
      <c r="G26111" s="40" t="s">
        <v>11404</v>
      </c>
      <c r="H26111" s="40" t="s">
        <v>11404</v>
      </c>
    </row>
    <row r="26112">
      <c r="A26112" s="39"/>
      <c r="E26112" s="40" t="s">
        <v>11404</v>
      </c>
      <c r="F26112" s="40" t="s">
        <v>11404</v>
      </c>
      <c r="G26112" s="40" t="s">
        <v>11404</v>
      </c>
      <c r="H26112" s="40" t="s">
        <v>11404</v>
      </c>
    </row>
    <row r="26113">
      <c r="A26113" s="39"/>
      <c r="E26113" s="40" t="s">
        <v>11404</v>
      </c>
      <c r="F26113" s="40" t="s">
        <v>11404</v>
      </c>
      <c r="G26113" s="40" t="s">
        <v>11404</v>
      </c>
      <c r="H26113" s="40" t="s">
        <v>11404</v>
      </c>
    </row>
    <row r="26114">
      <c r="A26114" s="39"/>
      <c r="E26114" s="40" t="s">
        <v>11404</v>
      </c>
      <c r="F26114" s="40" t="s">
        <v>11404</v>
      </c>
      <c r="G26114" s="40" t="s">
        <v>11404</v>
      </c>
      <c r="H26114" s="40" t="s">
        <v>11404</v>
      </c>
    </row>
    <row r="26115">
      <c r="A26115" s="39"/>
      <c r="E26115" s="40" t="s">
        <v>11404</v>
      </c>
      <c r="F26115" s="40" t="s">
        <v>11404</v>
      </c>
      <c r="G26115" s="40" t="s">
        <v>11404</v>
      </c>
      <c r="H26115" s="40" t="s">
        <v>11404</v>
      </c>
    </row>
    <row r="26116">
      <c r="A26116" s="39"/>
      <c r="E26116" s="40" t="s">
        <v>11404</v>
      </c>
      <c r="F26116" s="40" t="s">
        <v>11404</v>
      </c>
      <c r="G26116" s="40" t="s">
        <v>11404</v>
      </c>
      <c r="H26116" s="40" t="s">
        <v>11404</v>
      </c>
    </row>
    <row r="26117">
      <c r="A26117" s="39"/>
      <c r="E26117" s="40" t="s">
        <v>11404</v>
      </c>
      <c r="F26117" s="40" t="s">
        <v>11404</v>
      </c>
      <c r="G26117" s="40" t="s">
        <v>11404</v>
      </c>
      <c r="H26117" s="40" t="s">
        <v>11404</v>
      </c>
    </row>
    <row r="26118">
      <c r="A26118" s="39"/>
      <c r="E26118" s="40" t="s">
        <v>11404</v>
      </c>
      <c r="F26118" s="40" t="s">
        <v>11404</v>
      </c>
      <c r="G26118" s="40" t="s">
        <v>11404</v>
      </c>
      <c r="H26118" s="40" t="s">
        <v>11404</v>
      </c>
    </row>
    <row r="26119">
      <c r="A26119" s="39"/>
      <c r="E26119" s="40" t="s">
        <v>11404</v>
      </c>
      <c r="F26119" s="40" t="s">
        <v>11404</v>
      </c>
      <c r="G26119" s="40" t="s">
        <v>11404</v>
      </c>
      <c r="H26119" s="40" t="s">
        <v>11404</v>
      </c>
    </row>
    <row r="26120">
      <c r="A26120" s="39"/>
      <c r="E26120" s="40" t="s">
        <v>11404</v>
      </c>
      <c r="F26120" s="40" t="s">
        <v>11404</v>
      </c>
      <c r="G26120" s="40" t="s">
        <v>11404</v>
      </c>
      <c r="H26120" s="40" t="s">
        <v>11404</v>
      </c>
    </row>
    <row r="26121">
      <c r="A26121" s="39"/>
      <c r="E26121" s="40" t="s">
        <v>11404</v>
      </c>
      <c r="F26121" s="40" t="s">
        <v>11404</v>
      </c>
      <c r="G26121" s="40" t="s">
        <v>11404</v>
      </c>
      <c r="H26121" s="40" t="s">
        <v>11404</v>
      </c>
    </row>
    <row r="26122">
      <c r="A26122" s="39"/>
      <c r="E26122" s="40" t="s">
        <v>11404</v>
      </c>
      <c r="F26122" s="40" t="s">
        <v>11404</v>
      </c>
      <c r="G26122" s="40" t="s">
        <v>11404</v>
      </c>
      <c r="H26122" s="40" t="s">
        <v>11404</v>
      </c>
    </row>
    <row r="26123">
      <c r="A26123" s="39"/>
      <c r="E26123" s="40" t="s">
        <v>11404</v>
      </c>
      <c r="F26123" s="40" t="s">
        <v>11404</v>
      </c>
      <c r="G26123" s="40" t="s">
        <v>11404</v>
      </c>
      <c r="H26123" s="40" t="s">
        <v>11404</v>
      </c>
    </row>
    <row r="26124">
      <c r="A26124" s="39"/>
      <c r="E26124" s="40" t="s">
        <v>11404</v>
      </c>
      <c r="F26124" s="40" t="s">
        <v>11404</v>
      </c>
      <c r="G26124" s="40" t="s">
        <v>11404</v>
      </c>
      <c r="H26124" s="40" t="s">
        <v>11404</v>
      </c>
    </row>
    <row r="26125">
      <c r="A26125" s="39"/>
      <c r="E26125" s="40" t="s">
        <v>11404</v>
      </c>
      <c r="F26125" s="40" t="s">
        <v>11404</v>
      </c>
      <c r="G26125" s="40" t="s">
        <v>11404</v>
      </c>
      <c r="H26125" s="40" t="s">
        <v>11404</v>
      </c>
    </row>
    <row r="26126">
      <c r="A26126" s="39"/>
      <c r="E26126" s="40" t="s">
        <v>11404</v>
      </c>
      <c r="F26126" s="40" t="s">
        <v>11404</v>
      </c>
      <c r="G26126" s="40" t="s">
        <v>11404</v>
      </c>
      <c r="H26126" s="40" t="s">
        <v>11404</v>
      </c>
    </row>
    <row r="26127">
      <c r="A26127" s="39"/>
      <c r="E26127" s="40" t="s">
        <v>11404</v>
      </c>
      <c r="F26127" s="40" t="s">
        <v>11404</v>
      </c>
      <c r="G26127" s="40" t="s">
        <v>11404</v>
      </c>
      <c r="H26127" s="40" t="s">
        <v>11404</v>
      </c>
    </row>
    <row r="26128">
      <c r="A26128" s="39"/>
      <c r="E26128" s="40" t="s">
        <v>11404</v>
      </c>
      <c r="F26128" s="40" t="s">
        <v>11404</v>
      </c>
      <c r="G26128" s="40" t="s">
        <v>11404</v>
      </c>
      <c r="H26128" s="40" t="s">
        <v>11404</v>
      </c>
    </row>
    <row r="26129">
      <c r="A26129" s="39"/>
      <c r="E26129" s="40" t="s">
        <v>11404</v>
      </c>
      <c r="F26129" s="40" t="s">
        <v>11404</v>
      </c>
      <c r="G26129" s="40" t="s">
        <v>11404</v>
      </c>
      <c r="H26129" s="40" t="s">
        <v>11404</v>
      </c>
    </row>
    <row r="26130">
      <c r="A26130" s="39"/>
      <c r="E26130" s="40" t="s">
        <v>11404</v>
      </c>
      <c r="F26130" s="40" t="s">
        <v>11404</v>
      </c>
      <c r="G26130" s="40" t="s">
        <v>11404</v>
      </c>
      <c r="H26130" s="40" t="s">
        <v>11404</v>
      </c>
    </row>
    <row r="26131">
      <c r="A26131" s="39"/>
      <c r="E26131" s="40" t="s">
        <v>11404</v>
      </c>
      <c r="F26131" s="40" t="s">
        <v>11404</v>
      </c>
      <c r="G26131" s="40" t="s">
        <v>11404</v>
      </c>
      <c r="H26131" s="40" t="s">
        <v>11404</v>
      </c>
    </row>
    <row r="26132">
      <c r="A26132" s="39"/>
      <c r="E26132" s="40" t="s">
        <v>11404</v>
      </c>
      <c r="F26132" s="40" t="s">
        <v>11404</v>
      </c>
      <c r="G26132" s="40" t="s">
        <v>11404</v>
      </c>
      <c r="H26132" s="40" t="s">
        <v>11404</v>
      </c>
    </row>
    <row r="26133">
      <c r="A26133" s="39"/>
      <c r="E26133" s="40" t="s">
        <v>11404</v>
      </c>
      <c r="F26133" s="40" t="s">
        <v>11404</v>
      </c>
      <c r="G26133" s="40" t="s">
        <v>11404</v>
      </c>
      <c r="H26133" s="40" t="s">
        <v>11404</v>
      </c>
    </row>
    <row r="26134">
      <c r="A26134" s="39"/>
      <c r="E26134" s="40" t="s">
        <v>11404</v>
      </c>
      <c r="F26134" s="40" t="s">
        <v>11404</v>
      </c>
      <c r="G26134" s="40" t="s">
        <v>11404</v>
      </c>
      <c r="H26134" s="40" t="s">
        <v>11404</v>
      </c>
    </row>
    <row r="26135">
      <c r="A26135" s="39"/>
      <c r="E26135" s="40" t="s">
        <v>11404</v>
      </c>
      <c r="F26135" s="40" t="s">
        <v>11404</v>
      </c>
      <c r="G26135" s="40" t="s">
        <v>11404</v>
      </c>
      <c r="H26135" s="40" t="s">
        <v>11404</v>
      </c>
    </row>
    <row r="26136">
      <c r="A26136" s="39"/>
      <c r="E26136" s="40" t="s">
        <v>11404</v>
      </c>
      <c r="F26136" s="40" t="s">
        <v>11404</v>
      </c>
      <c r="G26136" s="40" t="s">
        <v>11404</v>
      </c>
      <c r="H26136" s="40" t="s">
        <v>11404</v>
      </c>
    </row>
    <row r="26137">
      <c r="A26137" s="39"/>
      <c r="E26137" s="40" t="s">
        <v>11404</v>
      </c>
      <c r="F26137" s="40" t="s">
        <v>11404</v>
      </c>
      <c r="G26137" s="40" t="s">
        <v>11404</v>
      </c>
      <c r="H26137" s="40" t="s">
        <v>11404</v>
      </c>
    </row>
    <row r="26138">
      <c r="A26138" s="39"/>
      <c r="E26138" s="40" t="s">
        <v>11404</v>
      </c>
      <c r="F26138" s="40" t="s">
        <v>11404</v>
      </c>
      <c r="G26138" s="40" t="s">
        <v>11404</v>
      </c>
      <c r="H26138" s="40" t="s">
        <v>11404</v>
      </c>
    </row>
    <row r="26139">
      <c r="A26139" s="39"/>
      <c r="E26139" s="40" t="s">
        <v>11404</v>
      </c>
      <c r="F26139" s="40" t="s">
        <v>11404</v>
      </c>
      <c r="G26139" s="40" t="s">
        <v>11404</v>
      </c>
      <c r="H26139" s="40" t="s">
        <v>11404</v>
      </c>
    </row>
    <row r="26140">
      <c r="A26140" s="39"/>
      <c r="E26140" s="40" t="s">
        <v>11404</v>
      </c>
      <c r="F26140" s="40" t="s">
        <v>11404</v>
      </c>
      <c r="G26140" s="40" t="s">
        <v>11404</v>
      </c>
      <c r="H26140" s="40" t="s">
        <v>11404</v>
      </c>
    </row>
    <row r="26141">
      <c r="A26141" s="39"/>
      <c r="E26141" s="40" t="s">
        <v>11404</v>
      </c>
      <c r="F26141" s="40" t="s">
        <v>11404</v>
      </c>
      <c r="G26141" s="40" t="s">
        <v>11404</v>
      </c>
      <c r="H26141" s="40" t="s">
        <v>11404</v>
      </c>
    </row>
    <row r="26142">
      <c r="A26142" s="39"/>
      <c r="E26142" s="40" t="s">
        <v>11404</v>
      </c>
      <c r="F26142" s="40" t="s">
        <v>11404</v>
      </c>
      <c r="G26142" s="40" t="s">
        <v>11404</v>
      </c>
      <c r="H26142" s="40" t="s">
        <v>11404</v>
      </c>
    </row>
    <row r="26143">
      <c r="A26143" s="39"/>
      <c r="E26143" s="40" t="s">
        <v>11404</v>
      </c>
      <c r="F26143" s="40" t="s">
        <v>11404</v>
      </c>
      <c r="G26143" s="40" t="s">
        <v>11404</v>
      </c>
      <c r="H26143" s="40" t="s">
        <v>11404</v>
      </c>
    </row>
    <row r="26144">
      <c r="A26144" s="39"/>
      <c r="E26144" s="40" t="s">
        <v>11404</v>
      </c>
      <c r="F26144" s="40" t="s">
        <v>11404</v>
      </c>
      <c r="G26144" s="40" t="s">
        <v>11404</v>
      </c>
      <c r="H26144" s="40" t="s">
        <v>11404</v>
      </c>
    </row>
    <row r="26145">
      <c r="A26145" s="39"/>
      <c r="E26145" s="40" t="s">
        <v>11404</v>
      </c>
      <c r="F26145" s="40" t="s">
        <v>11404</v>
      </c>
      <c r="G26145" s="40" t="s">
        <v>11404</v>
      </c>
      <c r="H26145" s="40" t="s">
        <v>11404</v>
      </c>
    </row>
    <row r="26146">
      <c r="A26146" s="39"/>
      <c r="E26146" s="40" t="s">
        <v>11404</v>
      </c>
      <c r="F26146" s="40" t="s">
        <v>11404</v>
      </c>
      <c r="G26146" s="40" t="s">
        <v>11404</v>
      </c>
      <c r="H26146" s="40" t="s">
        <v>11404</v>
      </c>
    </row>
    <row r="26147">
      <c r="A26147" s="39"/>
      <c r="E26147" s="40" t="s">
        <v>11404</v>
      </c>
      <c r="F26147" s="40" t="s">
        <v>11404</v>
      </c>
      <c r="G26147" s="40" t="s">
        <v>11404</v>
      </c>
      <c r="H26147" s="40" t="s">
        <v>11404</v>
      </c>
    </row>
    <row r="26148">
      <c r="A26148" s="39"/>
      <c r="E26148" s="40" t="s">
        <v>11404</v>
      </c>
      <c r="F26148" s="40" t="s">
        <v>11404</v>
      </c>
      <c r="G26148" s="40" t="s">
        <v>11404</v>
      </c>
      <c r="H26148" s="40" t="s">
        <v>11404</v>
      </c>
    </row>
    <row r="26149">
      <c r="A26149" s="39"/>
      <c r="E26149" s="40" t="s">
        <v>11404</v>
      </c>
      <c r="F26149" s="40" t="s">
        <v>11404</v>
      </c>
      <c r="G26149" s="40" t="s">
        <v>11404</v>
      </c>
      <c r="H26149" s="40" t="s">
        <v>11404</v>
      </c>
    </row>
    <row r="26150">
      <c r="A26150" s="39"/>
      <c r="E26150" s="40" t="s">
        <v>11404</v>
      </c>
      <c r="F26150" s="40" t="s">
        <v>11404</v>
      </c>
      <c r="G26150" s="40" t="s">
        <v>11404</v>
      </c>
      <c r="H26150" s="40" t="s">
        <v>11404</v>
      </c>
    </row>
    <row r="26151">
      <c r="A26151" s="39"/>
      <c r="E26151" s="40" t="s">
        <v>11404</v>
      </c>
      <c r="F26151" s="40" t="s">
        <v>11404</v>
      </c>
      <c r="G26151" s="40" t="s">
        <v>11404</v>
      </c>
      <c r="H26151" s="40" t="s">
        <v>11404</v>
      </c>
    </row>
    <row r="26152">
      <c r="A26152" s="39"/>
      <c r="E26152" s="40" t="s">
        <v>11404</v>
      </c>
      <c r="F26152" s="40" t="s">
        <v>11404</v>
      </c>
      <c r="G26152" s="40" t="s">
        <v>11404</v>
      </c>
      <c r="H26152" s="40" t="s">
        <v>11404</v>
      </c>
    </row>
    <row r="26153">
      <c r="A26153" s="39"/>
      <c r="E26153" s="40" t="s">
        <v>11404</v>
      </c>
      <c r="F26153" s="40" t="s">
        <v>11404</v>
      </c>
      <c r="G26153" s="40" t="s">
        <v>11404</v>
      </c>
      <c r="H26153" s="40" t="s">
        <v>11404</v>
      </c>
    </row>
    <row r="26154">
      <c r="A26154" s="39"/>
      <c r="E26154" s="40" t="s">
        <v>11404</v>
      </c>
      <c r="F26154" s="40" t="s">
        <v>11404</v>
      </c>
      <c r="G26154" s="40" t="s">
        <v>11404</v>
      </c>
      <c r="H26154" s="40" t="s">
        <v>11404</v>
      </c>
    </row>
    <row r="26155">
      <c r="A26155" s="39"/>
      <c r="E26155" s="40" t="s">
        <v>11404</v>
      </c>
      <c r="F26155" s="40" t="s">
        <v>11404</v>
      </c>
      <c r="G26155" s="40" t="s">
        <v>11404</v>
      </c>
      <c r="H26155" s="40" t="s">
        <v>11404</v>
      </c>
    </row>
    <row r="26156">
      <c r="A26156" s="39"/>
      <c r="E26156" s="40" t="s">
        <v>11404</v>
      </c>
      <c r="F26156" s="40" t="s">
        <v>11404</v>
      </c>
      <c r="G26156" s="40" t="s">
        <v>11404</v>
      </c>
      <c r="H26156" s="40" t="s">
        <v>11404</v>
      </c>
    </row>
    <row r="26157">
      <c r="A26157" s="39"/>
      <c r="E26157" s="40" t="s">
        <v>11404</v>
      </c>
      <c r="F26157" s="40" t="s">
        <v>11404</v>
      </c>
      <c r="G26157" s="40" t="s">
        <v>11404</v>
      </c>
      <c r="H26157" s="40" t="s">
        <v>11404</v>
      </c>
    </row>
    <row r="26158">
      <c r="A26158" s="39"/>
      <c r="E26158" s="40" t="s">
        <v>11404</v>
      </c>
      <c r="F26158" s="40" t="s">
        <v>11404</v>
      </c>
      <c r="G26158" s="40" t="s">
        <v>11404</v>
      </c>
      <c r="H26158" s="40" t="s">
        <v>11404</v>
      </c>
    </row>
    <row r="26159">
      <c r="A26159" s="39"/>
      <c r="E26159" s="40" t="s">
        <v>11404</v>
      </c>
      <c r="F26159" s="40" t="s">
        <v>11404</v>
      </c>
      <c r="G26159" s="40" t="s">
        <v>11404</v>
      </c>
      <c r="H26159" s="40" t="s">
        <v>11404</v>
      </c>
    </row>
    <row r="26160">
      <c r="A26160" s="39"/>
      <c r="E26160" s="40" t="s">
        <v>11404</v>
      </c>
      <c r="F26160" s="40" t="s">
        <v>11404</v>
      </c>
      <c r="G26160" s="40" t="s">
        <v>11404</v>
      </c>
      <c r="H26160" s="40" t="s">
        <v>11404</v>
      </c>
    </row>
    <row r="26161">
      <c r="A26161" s="39"/>
      <c r="E26161" s="40" t="s">
        <v>11404</v>
      </c>
      <c r="F26161" s="40" t="s">
        <v>11404</v>
      </c>
      <c r="G26161" s="40" t="s">
        <v>11404</v>
      </c>
      <c r="H26161" s="40" t="s">
        <v>11404</v>
      </c>
    </row>
    <row r="26162">
      <c r="A26162" s="39"/>
      <c r="E26162" s="40" t="s">
        <v>11404</v>
      </c>
      <c r="F26162" s="40" t="s">
        <v>11404</v>
      </c>
      <c r="G26162" s="40" t="s">
        <v>11404</v>
      </c>
      <c r="H26162" s="40" t="s">
        <v>11404</v>
      </c>
    </row>
    <row r="26163">
      <c r="A26163" s="39"/>
      <c r="E26163" s="40" t="s">
        <v>11404</v>
      </c>
      <c r="F26163" s="40" t="s">
        <v>11404</v>
      </c>
      <c r="G26163" s="40" t="s">
        <v>11404</v>
      </c>
      <c r="H26163" s="40" t="s">
        <v>11404</v>
      </c>
    </row>
    <row r="26164">
      <c r="A26164" s="39"/>
      <c r="E26164" s="40" t="s">
        <v>11404</v>
      </c>
      <c r="F26164" s="40" t="s">
        <v>11404</v>
      </c>
      <c r="G26164" s="40" t="s">
        <v>11404</v>
      </c>
      <c r="H26164" s="40" t="s">
        <v>11404</v>
      </c>
    </row>
    <row r="26165">
      <c r="A26165" s="39"/>
      <c r="E26165" s="40" t="s">
        <v>11404</v>
      </c>
      <c r="F26165" s="40" t="s">
        <v>11404</v>
      </c>
      <c r="G26165" s="40" t="s">
        <v>11404</v>
      </c>
      <c r="H26165" s="40" t="s">
        <v>11404</v>
      </c>
    </row>
    <row r="26166">
      <c r="A26166" s="39"/>
      <c r="E26166" s="40" t="s">
        <v>11404</v>
      </c>
      <c r="F26166" s="40" t="s">
        <v>11404</v>
      </c>
      <c r="G26166" s="40" t="s">
        <v>11404</v>
      </c>
      <c r="H26166" s="40" t="s">
        <v>11404</v>
      </c>
    </row>
    <row r="26167">
      <c r="A26167" s="39"/>
      <c r="E26167" s="40" t="s">
        <v>11404</v>
      </c>
      <c r="F26167" s="40" t="s">
        <v>11404</v>
      </c>
      <c r="G26167" s="40" t="s">
        <v>11404</v>
      </c>
      <c r="H26167" s="40" t="s">
        <v>11404</v>
      </c>
    </row>
    <row r="26168">
      <c r="A26168" s="39"/>
      <c r="E26168" s="40" t="s">
        <v>11404</v>
      </c>
      <c r="F26168" s="40" t="s">
        <v>11404</v>
      </c>
      <c r="G26168" s="40" t="s">
        <v>11404</v>
      </c>
      <c r="H26168" s="40" t="s">
        <v>11404</v>
      </c>
    </row>
    <row r="26169">
      <c r="A26169" s="39"/>
      <c r="E26169" s="40" t="s">
        <v>11404</v>
      </c>
      <c r="F26169" s="40" t="s">
        <v>11404</v>
      </c>
      <c r="G26169" s="40" t="s">
        <v>11404</v>
      </c>
      <c r="H26169" s="40" t="s">
        <v>11404</v>
      </c>
    </row>
    <row r="26170">
      <c r="A26170" s="39"/>
      <c r="E26170" s="40" t="s">
        <v>11404</v>
      </c>
      <c r="F26170" s="40" t="s">
        <v>11404</v>
      </c>
      <c r="G26170" s="40" t="s">
        <v>11404</v>
      </c>
      <c r="H26170" s="40" t="s">
        <v>11404</v>
      </c>
    </row>
    <row r="26171">
      <c r="A26171" s="39"/>
      <c r="E26171" s="40" t="s">
        <v>11404</v>
      </c>
      <c r="F26171" s="40" t="s">
        <v>11404</v>
      </c>
      <c r="G26171" s="40" t="s">
        <v>11404</v>
      </c>
      <c r="H26171" s="40" t="s">
        <v>11404</v>
      </c>
    </row>
    <row r="26172">
      <c r="A26172" s="39"/>
      <c r="E26172" s="40" t="s">
        <v>11404</v>
      </c>
      <c r="F26172" s="40" t="s">
        <v>11404</v>
      </c>
      <c r="G26172" s="40" t="s">
        <v>11404</v>
      </c>
      <c r="H26172" s="40" t="s">
        <v>11404</v>
      </c>
    </row>
    <row r="26173">
      <c r="A26173" s="39"/>
      <c r="E26173" s="40" t="s">
        <v>11404</v>
      </c>
      <c r="F26173" s="40" t="s">
        <v>11404</v>
      </c>
      <c r="G26173" s="40" t="s">
        <v>11404</v>
      </c>
      <c r="H26173" s="40" t="s">
        <v>11404</v>
      </c>
    </row>
    <row r="26174">
      <c r="A26174" s="39"/>
      <c r="E26174" s="40" t="s">
        <v>11404</v>
      </c>
      <c r="F26174" s="40" t="s">
        <v>11404</v>
      </c>
      <c r="G26174" s="40" t="s">
        <v>11404</v>
      </c>
      <c r="H26174" s="40" t="s">
        <v>11404</v>
      </c>
    </row>
    <row r="26175">
      <c r="A26175" s="39"/>
      <c r="E26175" s="40" t="s">
        <v>11404</v>
      </c>
      <c r="F26175" s="40" t="s">
        <v>11404</v>
      </c>
      <c r="G26175" s="40" t="s">
        <v>11404</v>
      </c>
      <c r="H26175" s="40" t="s">
        <v>11404</v>
      </c>
    </row>
    <row r="26176">
      <c r="A26176" s="39"/>
      <c r="E26176" s="40" t="s">
        <v>11404</v>
      </c>
      <c r="F26176" s="40" t="s">
        <v>11404</v>
      </c>
      <c r="G26176" s="40" t="s">
        <v>11404</v>
      </c>
      <c r="H26176" s="40" t="s">
        <v>11404</v>
      </c>
    </row>
    <row r="26177">
      <c r="A26177" s="39"/>
      <c r="E26177" s="40" t="s">
        <v>11404</v>
      </c>
      <c r="F26177" s="40" t="s">
        <v>11404</v>
      </c>
      <c r="G26177" s="40" t="s">
        <v>11404</v>
      </c>
      <c r="H26177" s="40" t="s">
        <v>11404</v>
      </c>
    </row>
    <row r="26178">
      <c r="A26178" s="39"/>
      <c r="E26178" s="40" t="s">
        <v>11404</v>
      </c>
      <c r="F26178" s="40" t="s">
        <v>11404</v>
      </c>
      <c r="G26178" s="40" t="s">
        <v>11404</v>
      </c>
      <c r="H26178" s="40" t="s">
        <v>11404</v>
      </c>
    </row>
    <row r="26179">
      <c r="A26179" s="39"/>
      <c r="E26179" s="40" t="s">
        <v>11404</v>
      </c>
      <c r="F26179" s="40" t="s">
        <v>11404</v>
      </c>
      <c r="G26179" s="40" t="s">
        <v>11404</v>
      </c>
      <c r="H26179" s="40" t="s">
        <v>11404</v>
      </c>
    </row>
    <row r="26180">
      <c r="A26180" s="39"/>
      <c r="E26180" s="40" t="s">
        <v>11404</v>
      </c>
      <c r="F26180" s="40" t="s">
        <v>11404</v>
      </c>
      <c r="G26180" s="40" t="s">
        <v>11404</v>
      </c>
      <c r="H26180" s="40" t="s">
        <v>11404</v>
      </c>
    </row>
    <row r="26181">
      <c r="A26181" s="39"/>
      <c r="E26181" s="40" t="s">
        <v>11404</v>
      </c>
      <c r="F26181" s="40" t="s">
        <v>11404</v>
      </c>
      <c r="G26181" s="40" t="s">
        <v>11404</v>
      </c>
      <c r="H26181" s="40" t="s">
        <v>11404</v>
      </c>
    </row>
    <row r="26182">
      <c r="A26182" s="39"/>
      <c r="E26182" s="40" t="s">
        <v>11404</v>
      </c>
      <c r="F26182" s="40" t="s">
        <v>11404</v>
      </c>
      <c r="G26182" s="40" t="s">
        <v>11404</v>
      </c>
      <c r="H26182" s="40" t="s">
        <v>11404</v>
      </c>
    </row>
    <row r="26183">
      <c r="A26183" s="39"/>
      <c r="E26183" s="40" t="s">
        <v>11404</v>
      </c>
      <c r="F26183" s="40" t="s">
        <v>11404</v>
      </c>
      <c r="G26183" s="40" t="s">
        <v>11404</v>
      </c>
      <c r="H26183" s="40" t="s">
        <v>11404</v>
      </c>
    </row>
    <row r="26184">
      <c r="A26184" s="39"/>
      <c r="E26184" s="40" t="s">
        <v>11404</v>
      </c>
      <c r="F26184" s="40" t="s">
        <v>11404</v>
      </c>
      <c r="G26184" s="40" t="s">
        <v>11404</v>
      </c>
      <c r="H26184" s="40" t="s">
        <v>11404</v>
      </c>
    </row>
    <row r="26185">
      <c r="A26185" s="39"/>
      <c r="E26185" s="40" t="s">
        <v>11404</v>
      </c>
      <c r="F26185" s="40" t="s">
        <v>11404</v>
      </c>
      <c r="G26185" s="40" t="s">
        <v>11404</v>
      </c>
      <c r="H26185" s="40" t="s">
        <v>11404</v>
      </c>
    </row>
    <row r="26186">
      <c r="A26186" s="39"/>
      <c r="E26186" s="40" t="s">
        <v>11404</v>
      </c>
      <c r="F26186" s="40" t="s">
        <v>11404</v>
      </c>
      <c r="G26186" s="40" t="s">
        <v>11404</v>
      </c>
      <c r="H26186" s="40" t="s">
        <v>11404</v>
      </c>
    </row>
    <row r="26187">
      <c r="A26187" s="39"/>
      <c r="E26187" s="40" t="s">
        <v>11404</v>
      </c>
      <c r="F26187" s="40" t="s">
        <v>11404</v>
      </c>
      <c r="G26187" s="40" t="s">
        <v>11404</v>
      </c>
      <c r="H26187" s="40" t="s">
        <v>11404</v>
      </c>
    </row>
    <row r="26188">
      <c r="A26188" s="39"/>
      <c r="E26188" s="40" t="s">
        <v>11404</v>
      </c>
      <c r="F26188" s="40" t="s">
        <v>11404</v>
      </c>
      <c r="G26188" s="40" t="s">
        <v>11404</v>
      </c>
      <c r="H26188" s="40" t="s">
        <v>11404</v>
      </c>
    </row>
    <row r="26189">
      <c r="A26189" s="39"/>
      <c r="E26189" s="40" t="s">
        <v>11404</v>
      </c>
      <c r="F26189" s="40" t="s">
        <v>11404</v>
      </c>
      <c r="G26189" s="40" t="s">
        <v>11404</v>
      </c>
      <c r="H26189" s="40" t="s">
        <v>11404</v>
      </c>
    </row>
    <row r="26190">
      <c r="A26190" s="39"/>
      <c r="E26190" s="40" t="s">
        <v>11404</v>
      </c>
      <c r="F26190" s="40" t="s">
        <v>11404</v>
      </c>
      <c r="G26190" s="40" t="s">
        <v>11404</v>
      </c>
      <c r="H26190" s="40" t="s">
        <v>11404</v>
      </c>
    </row>
    <row r="26191">
      <c r="A26191" s="39"/>
      <c r="E26191" s="40" t="s">
        <v>11404</v>
      </c>
      <c r="F26191" s="40" t="s">
        <v>11404</v>
      </c>
      <c r="G26191" s="40" t="s">
        <v>11404</v>
      </c>
      <c r="H26191" s="40" t="s">
        <v>11404</v>
      </c>
    </row>
    <row r="26192">
      <c r="A26192" s="39"/>
      <c r="E26192" s="40" t="s">
        <v>11404</v>
      </c>
      <c r="F26192" s="40" t="s">
        <v>11404</v>
      </c>
      <c r="G26192" s="40" t="s">
        <v>11404</v>
      </c>
      <c r="H26192" s="40" t="s">
        <v>11404</v>
      </c>
    </row>
    <row r="26193">
      <c r="A26193" s="39"/>
      <c r="E26193" s="40" t="s">
        <v>11404</v>
      </c>
      <c r="F26193" s="40" t="s">
        <v>11404</v>
      </c>
      <c r="G26193" s="40" t="s">
        <v>11404</v>
      </c>
      <c r="H26193" s="40" t="s">
        <v>11404</v>
      </c>
    </row>
    <row r="26194">
      <c r="A26194" s="39"/>
      <c r="E26194" s="40" t="s">
        <v>11404</v>
      </c>
      <c r="F26194" s="40" t="s">
        <v>11404</v>
      </c>
      <c r="G26194" s="40" t="s">
        <v>11404</v>
      </c>
      <c r="H26194" s="40" t="s">
        <v>11404</v>
      </c>
    </row>
    <row r="26195">
      <c r="A26195" s="39"/>
      <c r="E26195" s="40" t="s">
        <v>11404</v>
      </c>
      <c r="F26195" s="40" t="s">
        <v>11404</v>
      </c>
      <c r="G26195" s="40" t="s">
        <v>11404</v>
      </c>
      <c r="H26195" s="40" t="s">
        <v>11404</v>
      </c>
    </row>
    <row r="26196">
      <c r="A26196" s="39"/>
      <c r="E26196" s="40" t="s">
        <v>11404</v>
      </c>
      <c r="F26196" s="40" t="s">
        <v>11404</v>
      </c>
      <c r="G26196" s="40" t="s">
        <v>11404</v>
      </c>
      <c r="H26196" s="40" t="s">
        <v>11404</v>
      </c>
    </row>
    <row r="26197">
      <c r="A26197" s="39"/>
      <c r="E26197" s="40" t="s">
        <v>11404</v>
      </c>
      <c r="F26197" s="40" t="s">
        <v>11404</v>
      </c>
      <c r="G26197" s="40" t="s">
        <v>11404</v>
      </c>
      <c r="H26197" s="40" t="s">
        <v>11404</v>
      </c>
    </row>
    <row r="26198">
      <c r="A26198" s="39"/>
      <c r="E26198" s="40" t="s">
        <v>11404</v>
      </c>
      <c r="F26198" s="40" t="s">
        <v>11404</v>
      </c>
      <c r="G26198" s="40" t="s">
        <v>11404</v>
      </c>
      <c r="H26198" s="40" t="s">
        <v>11404</v>
      </c>
    </row>
    <row r="26199">
      <c r="A26199" s="39"/>
      <c r="E26199" s="40" t="s">
        <v>11404</v>
      </c>
      <c r="F26199" s="40" t="s">
        <v>11404</v>
      </c>
      <c r="G26199" s="40" t="s">
        <v>11404</v>
      </c>
      <c r="H26199" s="40" t="s">
        <v>11404</v>
      </c>
    </row>
    <row r="26200">
      <c r="A26200" s="39"/>
      <c r="E26200" s="40" t="s">
        <v>11404</v>
      </c>
      <c r="F26200" s="40" t="s">
        <v>11404</v>
      </c>
      <c r="G26200" s="40" t="s">
        <v>11404</v>
      </c>
      <c r="H26200" s="40" t="s">
        <v>11404</v>
      </c>
    </row>
    <row r="26201">
      <c r="A26201" s="39"/>
      <c r="E26201" s="40" t="s">
        <v>11404</v>
      </c>
      <c r="F26201" s="40" t="s">
        <v>11404</v>
      </c>
      <c r="G26201" s="40" t="s">
        <v>11404</v>
      </c>
      <c r="H26201" s="40" t="s">
        <v>11404</v>
      </c>
    </row>
    <row r="26202">
      <c r="A26202" s="39"/>
      <c r="E26202" s="40" t="s">
        <v>11404</v>
      </c>
      <c r="F26202" s="40" t="s">
        <v>11404</v>
      </c>
      <c r="G26202" s="40" t="s">
        <v>11404</v>
      </c>
      <c r="H26202" s="40" t="s">
        <v>11404</v>
      </c>
    </row>
    <row r="26203">
      <c r="A26203" s="39"/>
      <c r="E26203" s="40" t="s">
        <v>11404</v>
      </c>
      <c r="F26203" s="40" t="s">
        <v>11404</v>
      </c>
      <c r="G26203" s="40" t="s">
        <v>11404</v>
      </c>
      <c r="H26203" s="40" t="s">
        <v>11404</v>
      </c>
    </row>
    <row r="26204">
      <c r="A26204" s="39"/>
      <c r="E26204" s="40" t="s">
        <v>11404</v>
      </c>
      <c r="F26204" s="40" t="s">
        <v>11404</v>
      </c>
      <c r="G26204" s="40" t="s">
        <v>11404</v>
      </c>
      <c r="H26204" s="40" t="s">
        <v>11404</v>
      </c>
    </row>
    <row r="26205">
      <c r="A26205" s="39"/>
      <c r="E26205" s="40" t="s">
        <v>11404</v>
      </c>
      <c r="F26205" s="40" t="s">
        <v>11404</v>
      </c>
      <c r="G26205" s="40" t="s">
        <v>11404</v>
      </c>
      <c r="H26205" s="40" t="s">
        <v>11404</v>
      </c>
    </row>
    <row r="26206">
      <c r="A26206" s="39"/>
      <c r="E26206" s="40" t="s">
        <v>11404</v>
      </c>
      <c r="F26206" s="40" t="s">
        <v>11404</v>
      </c>
      <c r="G26206" s="40" t="s">
        <v>11404</v>
      </c>
      <c r="H26206" s="40" t="s">
        <v>11404</v>
      </c>
    </row>
    <row r="26207">
      <c r="A26207" s="39"/>
      <c r="E26207" s="40" t="s">
        <v>11404</v>
      </c>
      <c r="F26207" s="40" t="s">
        <v>11404</v>
      </c>
      <c r="G26207" s="40" t="s">
        <v>11404</v>
      </c>
      <c r="H26207" s="40" t="s">
        <v>11404</v>
      </c>
    </row>
    <row r="26208">
      <c r="A26208" s="39"/>
      <c r="E26208" s="40" t="s">
        <v>11404</v>
      </c>
      <c r="F26208" s="40" t="s">
        <v>11404</v>
      </c>
      <c r="G26208" s="40" t="s">
        <v>11404</v>
      </c>
      <c r="H26208" s="40" t="s">
        <v>11404</v>
      </c>
    </row>
    <row r="26209">
      <c r="A26209" s="39"/>
      <c r="E26209" s="40" t="s">
        <v>11404</v>
      </c>
      <c r="F26209" s="40" t="s">
        <v>11404</v>
      </c>
      <c r="G26209" s="40" t="s">
        <v>11404</v>
      </c>
      <c r="H26209" s="40" t="s">
        <v>11404</v>
      </c>
    </row>
    <row r="26210">
      <c r="A26210" s="39"/>
      <c r="E26210" s="40" t="s">
        <v>11404</v>
      </c>
      <c r="F26210" s="40" t="s">
        <v>11404</v>
      </c>
      <c r="G26210" s="40" t="s">
        <v>11404</v>
      </c>
      <c r="H26210" s="40" t="s">
        <v>11404</v>
      </c>
    </row>
    <row r="26211">
      <c r="A26211" s="39"/>
      <c r="E26211" s="40" t="s">
        <v>11404</v>
      </c>
      <c r="F26211" s="40" t="s">
        <v>11404</v>
      </c>
      <c r="G26211" s="40" t="s">
        <v>11404</v>
      </c>
      <c r="H26211" s="40" t="s">
        <v>11404</v>
      </c>
    </row>
    <row r="26212">
      <c r="A26212" s="39"/>
      <c r="E26212" s="40" t="s">
        <v>11404</v>
      </c>
      <c r="F26212" s="40" t="s">
        <v>11404</v>
      </c>
      <c r="G26212" s="40" t="s">
        <v>11404</v>
      </c>
      <c r="H26212" s="40" t="s">
        <v>11404</v>
      </c>
    </row>
    <row r="26213">
      <c r="A26213" s="39"/>
      <c r="E26213" s="40" t="s">
        <v>11404</v>
      </c>
      <c r="F26213" s="40" t="s">
        <v>11404</v>
      </c>
      <c r="G26213" s="40" t="s">
        <v>11404</v>
      </c>
      <c r="H26213" s="40" t="s">
        <v>11404</v>
      </c>
    </row>
    <row r="26214">
      <c r="A26214" s="39"/>
      <c r="E26214" s="40" t="s">
        <v>11404</v>
      </c>
      <c r="F26214" s="40" t="s">
        <v>11404</v>
      </c>
      <c r="G26214" s="40" t="s">
        <v>11404</v>
      </c>
      <c r="H26214" s="40" t="s">
        <v>11404</v>
      </c>
    </row>
    <row r="26215">
      <c r="A26215" s="39"/>
      <c r="E26215" s="40" t="s">
        <v>11404</v>
      </c>
      <c r="F26215" s="40" t="s">
        <v>11404</v>
      </c>
      <c r="G26215" s="40" t="s">
        <v>11404</v>
      </c>
      <c r="H26215" s="40" t="s">
        <v>11404</v>
      </c>
    </row>
    <row r="26216">
      <c r="A26216" s="39"/>
      <c r="E26216" s="40" t="s">
        <v>11404</v>
      </c>
      <c r="F26216" s="40" t="s">
        <v>11404</v>
      </c>
      <c r="G26216" s="40" t="s">
        <v>11404</v>
      </c>
      <c r="H26216" s="40" t="s">
        <v>11404</v>
      </c>
    </row>
    <row r="26217">
      <c r="A26217" s="39"/>
      <c r="E26217" s="40" t="s">
        <v>11404</v>
      </c>
      <c r="F26217" s="40" t="s">
        <v>11404</v>
      </c>
      <c r="G26217" s="40" t="s">
        <v>11404</v>
      </c>
      <c r="H26217" s="40" t="s">
        <v>11404</v>
      </c>
    </row>
    <row r="26218">
      <c r="A26218" s="39"/>
      <c r="E26218" s="40" t="s">
        <v>11404</v>
      </c>
      <c r="F26218" s="40" t="s">
        <v>11404</v>
      </c>
      <c r="G26218" s="40" t="s">
        <v>11404</v>
      </c>
      <c r="H26218" s="40" t="s">
        <v>11404</v>
      </c>
    </row>
    <row r="26219">
      <c r="A26219" s="39"/>
      <c r="E26219" s="40" t="s">
        <v>11404</v>
      </c>
      <c r="F26219" s="40" t="s">
        <v>11404</v>
      </c>
      <c r="G26219" s="40" t="s">
        <v>11404</v>
      </c>
      <c r="H26219" s="40" t="s">
        <v>11404</v>
      </c>
    </row>
    <row r="26220">
      <c r="A26220" s="39"/>
      <c r="E26220" s="40" t="s">
        <v>11404</v>
      </c>
      <c r="F26220" s="40" t="s">
        <v>11404</v>
      </c>
      <c r="G26220" s="40" t="s">
        <v>11404</v>
      </c>
      <c r="H26220" s="40" t="s">
        <v>11404</v>
      </c>
    </row>
    <row r="26221">
      <c r="A26221" s="39"/>
      <c r="E26221" s="40" t="s">
        <v>11404</v>
      </c>
      <c r="F26221" s="40" t="s">
        <v>11404</v>
      </c>
      <c r="G26221" s="40" t="s">
        <v>11404</v>
      </c>
      <c r="H26221" s="40" t="s">
        <v>11404</v>
      </c>
    </row>
    <row r="26222">
      <c r="A26222" s="39"/>
      <c r="E26222" s="40" t="s">
        <v>11404</v>
      </c>
      <c r="F26222" s="40" t="s">
        <v>11404</v>
      </c>
      <c r="G26222" s="40" t="s">
        <v>11404</v>
      </c>
      <c r="H26222" s="40" t="s">
        <v>11404</v>
      </c>
    </row>
    <row r="26223">
      <c r="A26223" s="39"/>
      <c r="E26223" s="40" t="s">
        <v>11404</v>
      </c>
      <c r="F26223" s="40" t="s">
        <v>11404</v>
      </c>
      <c r="G26223" s="40" t="s">
        <v>11404</v>
      </c>
      <c r="H26223" s="40" t="s">
        <v>11404</v>
      </c>
    </row>
    <row r="26224">
      <c r="A26224" s="39"/>
      <c r="E26224" s="40" t="s">
        <v>11404</v>
      </c>
      <c r="F26224" s="40" t="s">
        <v>11404</v>
      </c>
      <c r="G26224" s="40" t="s">
        <v>11404</v>
      </c>
      <c r="H26224" s="40" t="s">
        <v>11404</v>
      </c>
    </row>
    <row r="26225">
      <c r="A26225" s="39"/>
      <c r="E26225" s="40" t="s">
        <v>11404</v>
      </c>
      <c r="F26225" s="40" t="s">
        <v>11404</v>
      </c>
      <c r="G26225" s="40" t="s">
        <v>11404</v>
      </c>
      <c r="H26225" s="40" t="s">
        <v>11404</v>
      </c>
    </row>
    <row r="26226">
      <c r="A26226" s="39"/>
      <c r="E26226" s="40" t="s">
        <v>11404</v>
      </c>
      <c r="F26226" s="40" t="s">
        <v>11404</v>
      </c>
      <c r="G26226" s="40" t="s">
        <v>11404</v>
      </c>
      <c r="H26226" s="40" t="s">
        <v>11404</v>
      </c>
    </row>
    <row r="26227">
      <c r="A26227" s="39"/>
      <c r="E26227" s="40" t="s">
        <v>11404</v>
      </c>
      <c r="F26227" s="40" t="s">
        <v>11404</v>
      </c>
      <c r="G26227" s="40" t="s">
        <v>11404</v>
      </c>
      <c r="H26227" s="40" t="s">
        <v>11404</v>
      </c>
    </row>
    <row r="26228">
      <c r="A26228" s="39"/>
      <c r="E26228" s="40" t="s">
        <v>11404</v>
      </c>
      <c r="F26228" s="40" t="s">
        <v>11404</v>
      </c>
      <c r="G26228" s="40" t="s">
        <v>11404</v>
      </c>
      <c r="H26228" s="40" t="s">
        <v>11404</v>
      </c>
    </row>
    <row r="26229">
      <c r="A26229" s="39"/>
      <c r="E26229" s="40" t="s">
        <v>11404</v>
      </c>
      <c r="F26229" s="40" t="s">
        <v>11404</v>
      </c>
      <c r="G26229" s="40" t="s">
        <v>11404</v>
      </c>
      <c r="H26229" s="40" t="s">
        <v>11404</v>
      </c>
    </row>
    <row r="26230">
      <c r="A26230" s="39"/>
      <c r="E26230" s="40" t="s">
        <v>11404</v>
      </c>
      <c r="F26230" s="40" t="s">
        <v>11404</v>
      </c>
      <c r="G26230" s="40" t="s">
        <v>11404</v>
      </c>
      <c r="H26230" s="40" t="s">
        <v>11404</v>
      </c>
    </row>
    <row r="26231">
      <c r="A26231" s="39"/>
      <c r="E26231" s="40" t="s">
        <v>11404</v>
      </c>
      <c r="F26231" s="40" t="s">
        <v>11404</v>
      </c>
      <c r="G26231" s="40" t="s">
        <v>11404</v>
      </c>
      <c r="H26231" s="40" t="s">
        <v>11404</v>
      </c>
    </row>
    <row r="26232">
      <c r="A26232" s="39"/>
      <c r="E26232" s="40" t="s">
        <v>11404</v>
      </c>
      <c r="F26232" s="40" t="s">
        <v>11404</v>
      </c>
      <c r="G26232" s="40" t="s">
        <v>11404</v>
      </c>
      <c r="H26232" s="40" t="s">
        <v>11404</v>
      </c>
    </row>
    <row r="26233">
      <c r="A26233" s="39"/>
      <c r="E26233" s="40" t="s">
        <v>11404</v>
      </c>
      <c r="F26233" s="40" t="s">
        <v>11404</v>
      </c>
      <c r="G26233" s="40" t="s">
        <v>11404</v>
      </c>
      <c r="H26233" s="40" t="s">
        <v>11404</v>
      </c>
    </row>
    <row r="26234">
      <c r="A26234" s="39"/>
      <c r="E26234" s="40" t="s">
        <v>11404</v>
      </c>
      <c r="F26234" s="40" t="s">
        <v>11404</v>
      </c>
      <c r="G26234" s="40" t="s">
        <v>11404</v>
      </c>
      <c r="H26234" s="40" t="s">
        <v>11404</v>
      </c>
    </row>
    <row r="26235">
      <c r="A26235" s="39"/>
      <c r="E26235" s="40" t="s">
        <v>11404</v>
      </c>
      <c r="F26235" s="40" t="s">
        <v>11404</v>
      </c>
      <c r="G26235" s="40" t="s">
        <v>11404</v>
      </c>
      <c r="H26235" s="40" t="s">
        <v>11404</v>
      </c>
    </row>
    <row r="26236">
      <c r="A26236" s="39"/>
      <c r="E26236" s="40" t="s">
        <v>11404</v>
      </c>
      <c r="F26236" s="40" t="s">
        <v>11404</v>
      </c>
      <c r="G26236" s="40" t="s">
        <v>11404</v>
      </c>
      <c r="H26236" s="40" t="s">
        <v>11404</v>
      </c>
    </row>
    <row r="26237">
      <c r="A26237" s="39"/>
      <c r="E26237" s="40" t="s">
        <v>11404</v>
      </c>
      <c r="F26237" s="40" t="s">
        <v>11404</v>
      </c>
      <c r="G26237" s="40" t="s">
        <v>11404</v>
      </c>
      <c r="H26237" s="40" t="s">
        <v>11404</v>
      </c>
    </row>
    <row r="26238">
      <c r="A26238" s="39"/>
      <c r="E26238" s="40" t="s">
        <v>11404</v>
      </c>
      <c r="F26238" s="40" t="s">
        <v>11404</v>
      </c>
      <c r="G26238" s="40" t="s">
        <v>11404</v>
      </c>
      <c r="H26238" s="40" t="s">
        <v>11404</v>
      </c>
    </row>
    <row r="26239">
      <c r="A26239" s="39"/>
      <c r="E26239" s="40" t="s">
        <v>11404</v>
      </c>
      <c r="F26239" s="40" t="s">
        <v>11404</v>
      </c>
      <c r="G26239" s="40" t="s">
        <v>11404</v>
      </c>
      <c r="H26239" s="40" t="s">
        <v>11404</v>
      </c>
    </row>
    <row r="26240">
      <c r="A26240" s="39"/>
      <c r="E26240" s="40" t="s">
        <v>11404</v>
      </c>
      <c r="F26240" s="40" t="s">
        <v>11404</v>
      </c>
      <c r="G26240" s="40" t="s">
        <v>11404</v>
      </c>
      <c r="H26240" s="40" t="s">
        <v>11404</v>
      </c>
    </row>
    <row r="26241">
      <c r="A26241" s="39"/>
      <c r="E26241" s="40" t="s">
        <v>11404</v>
      </c>
      <c r="F26241" s="40" t="s">
        <v>11404</v>
      </c>
      <c r="G26241" s="40" t="s">
        <v>11404</v>
      </c>
      <c r="H26241" s="40" t="s">
        <v>11404</v>
      </c>
    </row>
    <row r="26242">
      <c r="A26242" s="39"/>
      <c r="E26242" s="40" t="s">
        <v>11404</v>
      </c>
      <c r="F26242" s="40" t="s">
        <v>11404</v>
      </c>
      <c r="G26242" s="40" t="s">
        <v>11404</v>
      </c>
      <c r="H26242" s="40" t="s">
        <v>11404</v>
      </c>
    </row>
    <row r="26243">
      <c r="A26243" s="39"/>
      <c r="E26243" s="40" t="s">
        <v>11404</v>
      </c>
      <c r="F26243" s="40" t="s">
        <v>11404</v>
      </c>
      <c r="G26243" s="40" t="s">
        <v>11404</v>
      </c>
      <c r="H26243" s="40" t="s">
        <v>11404</v>
      </c>
    </row>
    <row r="26244">
      <c r="A26244" s="39"/>
      <c r="E26244" s="40" t="s">
        <v>11404</v>
      </c>
      <c r="F26244" s="40" t="s">
        <v>11404</v>
      </c>
      <c r="G26244" s="40" t="s">
        <v>11404</v>
      </c>
      <c r="H26244" s="40" t="s">
        <v>11404</v>
      </c>
    </row>
    <row r="26245">
      <c r="A26245" s="39"/>
      <c r="E26245" s="40" t="s">
        <v>11404</v>
      </c>
      <c r="F26245" s="40" t="s">
        <v>11404</v>
      </c>
      <c r="G26245" s="40" t="s">
        <v>11404</v>
      </c>
      <c r="H26245" s="40" t="s">
        <v>11404</v>
      </c>
    </row>
    <row r="26246">
      <c r="A26246" s="39"/>
      <c r="E26246" s="40" t="s">
        <v>11404</v>
      </c>
      <c r="F26246" s="40" t="s">
        <v>11404</v>
      </c>
      <c r="G26246" s="40" t="s">
        <v>11404</v>
      </c>
      <c r="H26246" s="40" t="s">
        <v>11404</v>
      </c>
    </row>
    <row r="26247">
      <c r="A26247" s="39"/>
      <c r="E26247" s="40" t="s">
        <v>11404</v>
      </c>
      <c r="F26247" s="40" t="s">
        <v>11404</v>
      </c>
      <c r="G26247" s="40" t="s">
        <v>11404</v>
      </c>
      <c r="H26247" s="40" t="s">
        <v>11404</v>
      </c>
    </row>
    <row r="26248">
      <c r="A26248" s="39"/>
      <c r="E26248" s="40" t="s">
        <v>11404</v>
      </c>
      <c r="F26248" s="40" t="s">
        <v>11404</v>
      </c>
      <c r="G26248" s="40" t="s">
        <v>11404</v>
      </c>
      <c r="H26248" s="40" t="s">
        <v>11404</v>
      </c>
    </row>
    <row r="26249">
      <c r="A26249" s="39"/>
      <c r="E26249" s="40" t="s">
        <v>11404</v>
      </c>
      <c r="F26249" s="40" t="s">
        <v>11404</v>
      </c>
      <c r="G26249" s="40" t="s">
        <v>11404</v>
      </c>
      <c r="H26249" s="40" t="s">
        <v>11404</v>
      </c>
    </row>
    <row r="26250">
      <c r="A26250" s="39"/>
      <c r="E26250" s="40" t="s">
        <v>11404</v>
      </c>
      <c r="F26250" s="40" t="s">
        <v>11404</v>
      </c>
      <c r="G26250" s="40" t="s">
        <v>11404</v>
      </c>
      <c r="H26250" s="40" t="s">
        <v>11404</v>
      </c>
    </row>
    <row r="26251">
      <c r="A26251" s="39"/>
      <c r="E26251" s="40" t="s">
        <v>11404</v>
      </c>
      <c r="F26251" s="40" t="s">
        <v>11404</v>
      </c>
      <c r="G26251" s="40" t="s">
        <v>11404</v>
      </c>
      <c r="H26251" s="40" t="s">
        <v>11404</v>
      </c>
    </row>
    <row r="26252">
      <c r="A26252" s="39"/>
      <c r="E26252" s="40" t="s">
        <v>11404</v>
      </c>
      <c r="F26252" s="40" t="s">
        <v>11404</v>
      </c>
      <c r="G26252" s="40" t="s">
        <v>11404</v>
      </c>
      <c r="H26252" s="40" t="s">
        <v>11404</v>
      </c>
    </row>
    <row r="26253">
      <c r="A26253" s="39"/>
      <c r="E26253" s="40" t="s">
        <v>11404</v>
      </c>
      <c r="F26253" s="40" t="s">
        <v>11404</v>
      </c>
      <c r="G26253" s="40" t="s">
        <v>11404</v>
      </c>
      <c r="H26253" s="40" t="s">
        <v>11404</v>
      </c>
    </row>
    <row r="26254">
      <c r="A26254" s="39"/>
      <c r="E26254" s="40" t="s">
        <v>11404</v>
      </c>
      <c r="F26254" s="40" t="s">
        <v>11404</v>
      </c>
      <c r="G26254" s="40" t="s">
        <v>11404</v>
      </c>
      <c r="H26254" s="40" t="s">
        <v>11404</v>
      </c>
    </row>
    <row r="26255">
      <c r="A26255" s="39"/>
      <c r="E26255" s="40" t="s">
        <v>11404</v>
      </c>
      <c r="F26255" s="40" t="s">
        <v>11404</v>
      </c>
      <c r="G26255" s="40" t="s">
        <v>11404</v>
      </c>
      <c r="H26255" s="40" t="s">
        <v>11404</v>
      </c>
    </row>
    <row r="26256">
      <c r="A26256" s="39"/>
      <c r="E26256" s="40" t="s">
        <v>11404</v>
      </c>
      <c r="F26256" s="40" t="s">
        <v>11404</v>
      </c>
      <c r="G26256" s="40" t="s">
        <v>11404</v>
      </c>
      <c r="H26256" s="40" t="s">
        <v>11404</v>
      </c>
    </row>
    <row r="26257">
      <c r="A26257" s="39"/>
      <c r="E26257" s="40" t="s">
        <v>11404</v>
      </c>
      <c r="F26257" s="40" t="s">
        <v>11404</v>
      </c>
      <c r="G26257" s="40" t="s">
        <v>11404</v>
      </c>
      <c r="H26257" s="40" t="s">
        <v>11404</v>
      </c>
    </row>
    <row r="26258">
      <c r="A26258" s="39"/>
      <c r="E26258" s="40" t="s">
        <v>11404</v>
      </c>
      <c r="F26258" s="40" t="s">
        <v>11404</v>
      </c>
      <c r="G26258" s="40" t="s">
        <v>11404</v>
      </c>
      <c r="H26258" s="40" t="s">
        <v>11404</v>
      </c>
    </row>
    <row r="26259">
      <c r="A26259" s="39"/>
      <c r="E26259" s="40" t="s">
        <v>11404</v>
      </c>
      <c r="F26259" s="40" t="s">
        <v>11404</v>
      </c>
      <c r="G26259" s="40" t="s">
        <v>11404</v>
      </c>
      <c r="H26259" s="40" t="s">
        <v>11404</v>
      </c>
    </row>
    <row r="26260">
      <c r="A26260" s="39"/>
      <c r="E26260" s="40" t="s">
        <v>11404</v>
      </c>
      <c r="F26260" s="40" t="s">
        <v>11404</v>
      </c>
      <c r="G26260" s="40" t="s">
        <v>11404</v>
      </c>
      <c r="H26260" s="40" t="s">
        <v>11404</v>
      </c>
    </row>
    <row r="26261">
      <c r="A26261" s="39"/>
      <c r="E26261" s="40" t="s">
        <v>11404</v>
      </c>
      <c r="F26261" s="40" t="s">
        <v>11404</v>
      </c>
      <c r="G26261" s="40" t="s">
        <v>11404</v>
      </c>
      <c r="H26261" s="40" t="s">
        <v>11404</v>
      </c>
    </row>
    <row r="26262">
      <c r="A26262" s="39"/>
      <c r="E26262" s="40" t="s">
        <v>11404</v>
      </c>
      <c r="F26262" s="40" t="s">
        <v>11404</v>
      </c>
      <c r="G26262" s="40" t="s">
        <v>11404</v>
      </c>
      <c r="H26262" s="40" t="s">
        <v>11404</v>
      </c>
    </row>
    <row r="26263">
      <c r="A26263" s="39"/>
      <c r="E26263" s="40" t="s">
        <v>11404</v>
      </c>
      <c r="F26263" s="40" t="s">
        <v>11404</v>
      </c>
      <c r="G26263" s="40" t="s">
        <v>11404</v>
      </c>
      <c r="H26263" s="40" t="s">
        <v>11404</v>
      </c>
    </row>
    <row r="26264">
      <c r="A26264" s="39"/>
      <c r="E26264" s="40" t="s">
        <v>11404</v>
      </c>
      <c r="F26264" s="40" t="s">
        <v>11404</v>
      </c>
      <c r="G26264" s="40" t="s">
        <v>11404</v>
      </c>
      <c r="H26264" s="40" t="s">
        <v>11404</v>
      </c>
    </row>
    <row r="26265">
      <c r="A26265" s="39"/>
      <c r="E26265" s="40" t="s">
        <v>11404</v>
      </c>
      <c r="F26265" s="40" t="s">
        <v>11404</v>
      </c>
      <c r="G26265" s="40" t="s">
        <v>11404</v>
      </c>
      <c r="H26265" s="40" t="s">
        <v>11404</v>
      </c>
    </row>
    <row r="26266">
      <c r="A26266" s="39"/>
      <c r="E26266" s="40" t="s">
        <v>11404</v>
      </c>
      <c r="F26266" s="40" t="s">
        <v>11404</v>
      </c>
      <c r="G26266" s="40" t="s">
        <v>11404</v>
      </c>
      <c r="H26266" s="40" t="s">
        <v>11404</v>
      </c>
    </row>
    <row r="26267">
      <c r="A26267" s="39"/>
      <c r="E26267" s="40" t="s">
        <v>11404</v>
      </c>
      <c r="F26267" s="40" t="s">
        <v>11404</v>
      </c>
      <c r="G26267" s="40" t="s">
        <v>11404</v>
      </c>
      <c r="H26267" s="40" t="s">
        <v>11404</v>
      </c>
    </row>
    <row r="26268">
      <c r="A26268" s="39"/>
      <c r="E26268" s="40" t="s">
        <v>11404</v>
      </c>
      <c r="F26268" s="40" t="s">
        <v>11404</v>
      </c>
      <c r="G26268" s="40" t="s">
        <v>11404</v>
      </c>
      <c r="H26268" s="40" t="s">
        <v>11404</v>
      </c>
    </row>
    <row r="26269">
      <c r="A26269" s="39"/>
      <c r="E26269" s="40" t="s">
        <v>11404</v>
      </c>
      <c r="F26269" s="40" t="s">
        <v>11404</v>
      </c>
      <c r="G26269" s="40" t="s">
        <v>11404</v>
      </c>
      <c r="H26269" s="40" t="s">
        <v>11404</v>
      </c>
    </row>
    <row r="26270">
      <c r="A26270" s="39"/>
      <c r="E26270" s="40" t="s">
        <v>11404</v>
      </c>
      <c r="F26270" s="40" t="s">
        <v>11404</v>
      </c>
      <c r="G26270" s="40" t="s">
        <v>11404</v>
      </c>
      <c r="H26270" s="40" t="s">
        <v>11404</v>
      </c>
    </row>
    <row r="26271">
      <c r="A26271" s="39"/>
      <c r="E26271" s="40" t="s">
        <v>11404</v>
      </c>
      <c r="F26271" s="40" t="s">
        <v>11404</v>
      </c>
      <c r="G26271" s="40" t="s">
        <v>11404</v>
      </c>
      <c r="H26271" s="40" t="s">
        <v>11404</v>
      </c>
    </row>
    <row r="26272">
      <c r="A26272" s="39"/>
      <c r="E26272" s="40" t="s">
        <v>11404</v>
      </c>
      <c r="F26272" s="40" t="s">
        <v>11404</v>
      </c>
      <c r="G26272" s="40" t="s">
        <v>11404</v>
      </c>
      <c r="H26272" s="40" t="s">
        <v>11404</v>
      </c>
    </row>
    <row r="26273">
      <c r="A26273" s="39"/>
      <c r="E26273" s="40" t="s">
        <v>11404</v>
      </c>
      <c r="F26273" s="40" t="s">
        <v>11404</v>
      </c>
      <c r="G26273" s="40" t="s">
        <v>11404</v>
      </c>
      <c r="H26273" s="40" t="s">
        <v>11404</v>
      </c>
    </row>
    <row r="26274">
      <c r="A26274" s="39"/>
      <c r="E26274" s="40" t="s">
        <v>11404</v>
      </c>
      <c r="F26274" s="40" t="s">
        <v>11404</v>
      </c>
      <c r="G26274" s="40" t="s">
        <v>11404</v>
      </c>
      <c r="H26274" s="40" t="s">
        <v>11404</v>
      </c>
    </row>
    <row r="26275">
      <c r="A26275" s="39"/>
      <c r="E26275" s="40" t="s">
        <v>11404</v>
      </c>
      <c r="F26275" s="40" t="s">
        <v>11404</v>
      </c>
      <c r="G26275" s="40" t="s">
        <v>11404</v>
      </c>
      <c r="H26275" s="40" t="s">
        <v>11404</v>
      </c>
    </row>
    <row r="26276">
      <c r="A26276" s="39"/>
      <c r="E26276" s="40" t="s">
        <v>11404</v>
      </c>
      <c r="F26276" s="40" t="s">
        <v>11404</v>
      </c>
      <c r="G26276" s="40" t="s">
        <v>11404</v>
      </c>
      <c r="H26276" s="40" t="s">
        <v>11404</v>
      </c>
    </row>
    <row r="26277">
      <c r="A26277" s="39"/>
      <c r="E26277" s="40" t="s">
        <v>11404</v>
      </c>
      <c r="F26277" s="40" t="s">
        <v>11404</v>
      </c>
      <c r="G26277" s="40" t="s">
        <v>11404</v>
      </c>
      <c r="H26277" s="40" t="s">
        <v>11404</v>
      </c>
    </row>
    <row r="26278">
      <c r="A26278" s="39"/>
      <c r="E26278" s="40" t="s">
        <v>11404</v>
      </c>
      <c r="F26278" s="40" t="s">
        <v>11404</v>
      </c>
      <c r="G26278" s="40" t="s">
        <v>11404</v>
      </c>
      <c r="H26278" s="40" t="s">
        <v>11404</v>
      </c>
    </row>
    <row r="26279">
      <c r="A26279" s="39"/>
      <c r="E26279" s="40" t="s">
        <v>11404</v>
      </c>
      <c r="F26279" s="40" t="s">
        <v>11404</v>
      </c>
      <c r="G26279" s="40" t="s">
        <v>11404</v>
      </c>
      <c r="H26279" s="40" t="s">
        <v>11404</v>
      </c>
    </row>
    <row r="26280">
      <c r="A26280" s="39"/>
      <c r="E26280" s="40" t="s">
        <v>11404</v>
      </c>
      <c r="F26280" s="40" t="s">
        <v>11404</v>
      </c>
      <c r="G26280" s="40" t="s">
        <v>11404</v>
      </c>
      <c r="H26280" s="40" t="s">
        <v>11404</v>
      </c>
    </row>
    <row r="26281">
      <c r="A26281" s="39"/>
      <c r="E26281" s="40" t="s">
        <v>11404</v>
      </c>
      <c r="F26281" s="40" t="s">
        <v>11404</v>
      </c>
      <c r="G26281" s="40" t="s">
        <v>11404</v>
      </c>
      <c r="H26281" s="40" t="s">
        <v>11404</v>
      </c>
    </row>
    <row r="26282">
      <c r="A26282" s="39"/>
      <c r="E26282" s="40" t="s">
        <v>11404</v>
      </c>
      <c r="F26282" s="40" t="s">
        <v>11404</v>
      </c>
      <c r="G26282" s="40" t="s">
        <v>11404</v>
      </c>
      <c r="H26282" s="40" t="s">
        <v>11404</v>
      </c>
    </row>
    <row r="26283">
      <c r="A26283" s="39"/>
      <c r="E26283" s="40" t="s">
        <v>11404</v>
      </c>
      <c r="F26283" s="40" t="s">
        <v>11404</v>
      </c>
      <c r="G26283" s="40" t="s">
        <v>11404</v>
      </c>
      <c r="H26283" s="40" t="s">
        <v>11404</v>
      </c>
    </row>
    <row r="26284">
      <c r="A26284" s="39"/>
      <c r="E26284" s="40" t="s">
        <v>11404</v>
      </c>
      <c r="F26284" s="40" t="s">
        <v>11404</v>
      </c>
      <c r="G26284" s="40" t="s">
        <v>11404</v>
      </c>
      <c r="H26284" s="40" t="s">
        <v>11404</v>
      </c>
    </row>
    <row r="26285">
      <c r="A26285" s="39"/>
      <c r="E26285" s="40" t="s">
        <v>11404</v>
      </c>
      <c r="F26285" s="40" t="s">
        <v>11404</v>
      </c>
      <c r="G26285" s="40" t="s">
        <v>11404</v>
      </c>
      <c r="H26285" s="40" t="s">
        <v>11404</v>
      </c>
    </row>
    <row r="26286">
      <c r="A26286" s="39"/>
      <c r="E26286" s="40" t="s">
        <v>11404</v>
      </c>
      <c r="F26286" s="40" t="s">
        <v>11404</v>
      </c>
      <c r="G26286" s="40" t="s">
        <v>11404</v>
      </c>
      <c r="H26286" s="40" t="s">
        <v>11404</v>
      </c>
    </row>
    <row r="26287">
      <c r="A26287" s="39"/>
      <c r="E26287" s="40" t="s">
        <v>11404</v>
      </c>
      <c r="F26287" s="40" t="s">
        <v>11404</v>
      </c>
      <c r="G26287" s="40" t="s">
        <v>11404</v>
      </c>
      <c r="H26287" s="40" t="s">
        <v>11404</v>
      </c>
    </row>
    <row r="26288">
      <c r="A26288" s="39"/>
      <c r="E26288" s="40" t="s">
        <v>11404</v>
      </c>
      <c r="F26288" s="40" t="s">
        <v>11404</v>
      </c>
      <c r="G26288" s="40" t="s">
        <v>11404</v>
      </c>
      <c r="H26288" s="40" t="s">
        <v>11404</v>
      </c>
    </row>
    <row r="26289">
      <c r="A26289" s="39"/>
      <c r="E26289" s="40" t="s">
        <v>11404</v>
      </c>
      <c r="F26289" s="40" t="s">
        <v>11404</v>
      </c>
      <c r="G26289" s="40" t="s">
        <v>11404</v>
      </c>
      <c r="H26289" s="40" t="s">
        <v>11404</v>
      </c>
    </row>
    <row r="26290">
      <c r="A26290" s="39"/>
      <c r="E26290" s="40" t="s">
        <v>11404</v>
      </c>
      <c r="F26290" s="40" t="s">
        <v>11404</v>
      </c>
      <c r="G26290" s="40" t="s">
        <v>11404</v>
      </c>
      <c r="H26290" s="40" t="s">
        <v>11404</v>
      </c>
    </row>
    <row r="26291">
      <c r="A26291" s="39"/>
      <c r="E26291" s="40" t="s">
        <v>11404</v>
      </c>
      <c r="F26291" s="40" t="s">
        <v>11404</v>
      </c>
      <c r="G26291" s="40" t="s">
        <v>11404</v>
      </c>
      <c r="H26291" s="40" t="s">
        <v>11404</v>
      </c>
    </row>
    <row r="26292">
      <c r="A26292" s="39"/>
      <c r="E26292" s="40" t="s">
        <v>11404</v>
      </c>
      <c r="F26292" s="40" t="s">
        <v>11404</v>
      </c>
      <c r="G26292" s="40" t="s">
        <v>11404</v>
      </c>
      <c r="H26292" s="40" t="s">
        <v>11404</v>
      </c>
    </row>
    <row r="26293">
      <c r="A26293" s="39"/>
      <c r="E26293" s="40" t="s">
        <v>11404</v>
      </c>
      <c r="F26293" s="40" t="s">
        <v>11404</v>
      </c>
      <c r="G26293" s="40" t="s">
        <v>11404</v>
      </c>
      <c r="H26293" s="40" t="s">
        <v>11404</v>
      </c>
    </row>
    <row r="26294">
      <c r="A26294" s="39"/>
      <c r="E26294" s="40" t="s">
        <v>11404</v>
      </c>
      <c r="F26294" s="40" t="s">
        <v>11404</v>
      </c>
      <c r="G26294" s="40" t="s">
        <v>11404</v>
      </c>
      <c r="H26294" s="40" t="s">
        <v>11404</v>
      </c>
    </row>
    <row r="26295">
      <c r="A26295" s="39"/>
      <c r="E26295" s="40" t="s">
        <v>11404</v>
      </c>
      <c r="F26295" s="40" t="s">
        <v>11404</v>
      </c>
      <c r="G26295" s="40" t="s">
        <v>11404</v>
      </c>
      <c r="H26295" s="40" t="s">
        <v>11404</v>
      </c>
    </row>
    <row r="26296">
      <c r="A26296" s="39"/>
      <c r="E26296" s="40" t="s">
        <v>11404</v>
      </c>
      <c r="F26296" s="40" t="s">
        <v>11404</v>
      </c>
      <c r="G26296" s="40" t="s">
        <v>11404</v>
      </c>
      <c r="H26296" s="40" t="s">
        <v>11404</v>
      </c>
    </row>
    <row r="26297">
      <c r="A26297" s="39"/>
      <c r="E26297" s="40" t="s">
        <v>11404</v>
      </c>
      <c r="F26297" s="40" t="s">
        <v>11404</v>
      </c>
      <c r="G26297" s="40" t="s">
        <v>11404</v>
      </c>
      <c r="H26297" s="40" t="s">
        <v>11404</v>
      </c>
    </row>
    <row r="26298">
      <c r="A26298" s="39"/>
      <c r="E26298" s="40" t="s">
        <v>11404</v>
      </c>
      <c r="F26298" s="40" t="s">
        <v>11404</v>
      </c>
      <c r="G26298" s="40" t="s">
        <v>11404</v>
      </c>
      <c r="H26298" s="40" t="s">
        <v>11404</v>
      </c>
    </row>
    <row r="26299">
      <c r="A26299" s="39"/>
      <c r="E26299" s="40" t="s">
        <v>11404</v>
      </c>
      <c r="F26299" s="40" t="s">
        <v>11404</v>
      </c>
      <c r="G26299" s="40" t="s">
        <v>11404</v>
      </c>
      <c r="H26299" s="40" t="s">
        <v>11404</v>
      </c>
    </row>
    <row r="26300">
      <c r="A26300" s="39"/>
      <c r="E26300" s="40" t="s">
        <v>11404</v>
      </c>
      <c r="F26300" s="40" t="s">
        <v>11404</v>
      </c>
      <c r="G26300" s="40" t="s">
        <v>11404</v>
      </c>
      <c r="H26300" s="40" t="s">
        <v>11404</v>
      </c>
    </row>
    <row r="26301">
      <c r="A26301" s="39"/>
      <c r="E26301" s="40" t="s">
        <v>11404</v>
      </c>
      <c r="F26301" s="40" t="s">
        <v>11404</v>
      </c>
      <c r="G26301" s="40" t="s">
        <v>11404</v>
      </c>
      <c r="H26301" s="40" t="s">
        <v>11404</v>
      </c>
    </row>
    <row r="26302">
      <c r="A26302" s="39"/>
      <c r="E26302" s="40" t="s">
        <v>11404</v>
      </c>
      <c r="F26302" s="40" t="s">
        <v>11404</v>
      </c>
      <c r="G26302" s="40" t="s">
        <v>11404</v>
      </c>
      <c r="H26302" s="40" t="s">
        <v>11404</v>
      </c>
    </row>
    <row r="26303">
      <c r="A26303" s="39"/>
      <c r="E26303" s="40" t="s">
        <v>11404</v>
      </c>
      <c r="F26303" s="40" t="s">
        <v>11404</v>
      </c>
      <c r="G26303" s="40" t="s">
        <v>11404</v>
      </c>
      <c r="H26303" s="40" t="s">
        <v>11404</v>
      </c>
    </row>
    <row r="26304">
      <c r="A26304" s="39"/>
      <c r="E26304" s="40" t="s">
        <v>11404</v>
      </c>
      <c r="F26304" s="40" t="s">
        <v>11404</v>
      </c>
      <c r="G26304" s="40" t="s">
        <v>11404</v>
      </c>
      <c r="H26304" s="40" t="s">
        <v>11404</v>
      </c>
    </row>
    <row r="26305">
      <c r="A26305" s="39"/>
      <c r="E26305" s="40" t="s">
        <v>11404</v>
      </c>
      <c r="F26305" s="40" t="s">
        <v>11404</v>
      </c>
      <c r="G26305" s="40" t="s">
        <v>11404</v>
      </c>
      <c r="H26305" s="40" t="s">
        <v>11404</v>
      </c>
    </row>
    <row r="26306">
      <c r="A26306" s="39"/>
      <c r="E26306" s="40" t="s">
        <v>11404</v>
      </c>
      <c r="F26306" s="40" t="s">
        <v>11404</v>
      </c>
      <c r="G26306" s="40" t="s">
        <v>11404</v>
      </c>
      <c r="H26306" s="40" t="s">
        <v>11404</v>
      </c>
    </row>
    <row r="26307">
      <c r="A26307" s="39"/>
      <c r="E26307" s="40" t="s">
        <v>11404</v>
      </c>
      <c r="F26307" s="40" t="s">
        <v>11404</v>
      </c>
      <c r="G26307" s="40" t="s">
        <v>11404</v>
      </c>
      <c r="H26307" s="40" t="s">
        <v>11404</v>
      </c>
    </row>
    <row r="26308">
      <c r="A26308" s="39"/>
      <c r="E26308" s="40" t="s">
        <v>11404</v>
      </c>
      <c r="F26308" s="40" t="s">
        <v>11404</v>
      </c>
      <c r="G26308" s="40" t="s">
        <v>11404</v>
      </c>
      <c r="H26308" s="40" t="s">
        <v>11404</v>
      </c>
    </row>
    <row r="26309">
      <c r="A26309" s="39"/>
      <c r="E26309" s="40" t="s">
        <v>11404</v>
      </c>
      <c r="F26309" s="40" t="s">
        <v>11404</v>
      </c>
      <c r="G26309" s="40" t="s">
        <v>11404</v>
      </c>
      <c r="H26309" s="40" t="s">
        <v>11404</v>
      </c>
    </row>
    <row r="26310">
      <c r="A26310" s="39"/>
      <c r="E26310" s="40" t="s">
        <v>11404</v>
      </c>
      <c r="F26310" s="40" t="s">
        <v>11404</v>
      </c>
      <c r="G26310" s="40" t="s">
        <v>11404</v>
      </c>
      <c r="H26310" s="40" t="s">
        <v>11404</v>
      </c>
    </row>
    <row r="26311">
      <c r="A26311" s="39"/>
      <c r="E26311" s="40" t="s">
        <v>11404</v>
      </c>
      <c r="F26311" s="40" t="s">
        <v>11404</v>
      </c>
      <c r="G26311" s="40" t="s">
        <v>11404</v>
      </c>
      <c r="H26311" s="40" t="s">
        <v>11404</v>
      </c>
    </row>
    <row r="26312">
      <c r="A26312" s="39"/>
      <c r="E26312" s="40" t="s">
        <v>11404</v>
      </c>
      <c r="F26312" s="40" t="s">
        <v>11404</v>
      </c>
      <c r="G26312" s="40" t="s">
        <v>11404</v>
      </c>
      <c r="H26312" s="40" t="s">
        <v>11404</v>
      </c>
    </row>
    <row r="26313">
      <c r="A26313" s="39"/>
      <c r="E26313" s="40" t="s">
        <v>11404</v>
      </c>
      <c r="F26313" s="40" t="s">
        <v>11404</v>
      </c>
      <c r="G26313" s="40" t="s">
        <v>11404</v>
      </c>
      <c r="H26313" s="40" t="s">
        <v>11404</v>
      </c>
    </row>
    <row r="26314">
      <c r="A26314" s="39"/>
      <c r="E26314" s="40" t="s">
        <v>11404</v>
      </c>
      <c r="F26314" s="40" t="s">
        <v>11404</v>
      </c>
      <c r="G26314" s="40" t="s">
        <v>11404</v>
      </c>
      <c r="H26314" s="40" t="s">
        <v>11404</v>
      </c>
    </row>
    <row r="26315">
      <c r="A26315" s="39"/>
      <c r="E26315" s="40" t="s">
        <v>11404</v>
      </c>
      <c r="F26315" s="40" t="s">
        <v>11404</v>
      </c>
      <c r="G26315" s="40" t="s">
        <v>11404</v>
      </c>
      <c r="H26315" s="40" t="s">
        <v>11404</v>
      </c>
    </row>
    <row r="26316">
      <c r="A26316" s="39"/>
      <c r="E26316" s="40" t="s">
        <v>11404</v>
      </c>
      <c r="F26316" s="40" t="s">
        <v>11404</v>
      </c>
      <c r="G26316" s="40" t="s">
        <v>11404</v>
      </c>
      <c r="H26316" s="40" t="s">
        <v>11404</v>
      </c>
    </row>
    <row r="26317">
      <c r="A26317" s="39"/>
      <c r="E26317" s="40" t="s">
        <v>11404</v>
      </c>
      <c r="F26317" s="40" t="s">
        <v>11404</v>
      </c>
      <c r="G26317" s="40" t="s">
        <v>11404</v>
      </c>
      <c r="H26317" s="40" t="s">
        <v>11404</v>
      </c>
    </row>
    <row r="26318">
      <c r="A26318" s="39"/>
      <c r="E26318" s="40" t="s">
        <v>11404</v>
      </c>
      <c r="F26318" s="40" t="s">
        <v>11404</v>
      </c>
      <c r="G26318" s="40" t="s">
        <v>11404</v>
      </c>
      <c r="H26318" s="40" t="s">
        <v>11404</v>
      </c>
    </row>
    <row r="26319">
      <c r="A26319" s="39"/>
      <c r="E26319" s="40" t="s">
        <v>11404</v>
      </c>
      <c r="F26319" s="40" t="s">
        <v>11404</v>
      </c>
      <c r="G26319" s="40" t="s">
        <v>11404</v>
      </c>
      <c r="H26319" s="40" t="s">
        <v>11404</v>
      </c>
    </row>
    <row r="26320">
      <c r="A26320" s="39"/>
      <c r="E26320" s="40" t="s">
        <v>11404</v>
      </c>
      <c r="F26320" s="40" t="s">
        <v>11404</v>
      </c>
      <c r="G26320" s="40" t="s">
        <v>11404</v>
      </c>
      <c r="H26320" s="40" t="s">
        <v>11404</v>
      </c>
    </row>
    <row r="26321">
      <c r="A26321" s="39"/>
      <c r="E26321" s="40" t="s">
        <v>11404</v>
      </c>
      <c r="F26321" s="40" t="s">
        <v>11404</v>
      </c>
      <c r="G26321" s="40" t="s">
        <v>11404</v>
      </c>
      <c r="H26321" s="40" t="s">
        <v>11404</v>
      </c>
    </row>
    <row r="26322">
      <c r="A26322" s="39"/>
      <c r="E26322" s="40" t="s">
        <v>11404</v>
      </c>
      <c r="F26322" s="40" t="s">
        <v>11404</v>
      </c>
      <c r="G26322" s="40" t="s">
        <v>11404</v>
      </c>
      <c r="H26322" s="40" t="s">
        <v>11404</v>
      </c>
    </row>
    <row r="26323">
      <c r="A26323" s="39"/>
      <c r="E26323" s="40" t="s">
        <v>11404</v>
      </c>
      <c r="F26323" s="40" t="s">
        <v>11404</v>
      </c>
      <c r="G26323" s="40" t="s">
        <v>11404</v>
      </c>
      <c r="H26323" s="40" t="s">
        <v>11404</v>
      </c>
    </row>
    <row r="26324">
      <c r="A26324" s="39"/>
      <c r="E26324" s="40" t="s">
        <v>11404</v>
      </c>
      <c r="F26324" s="40" t="s">
        <v>11404</v>
      </c>
      <c r="G26324" s="40" t="s">
        <v>11404</v>
      </c>
      <c r="H26324" s="40" t="s">
        <v>11404</v>
      </c>
    </row>
    <row r="26325">
      <c r="A26325" s="39"/>
      <c r="E26325" s="40" t="s">
        <v>11404</v>
      </c>
      <c r="F26325" s="40" t="s">
        <v>11404</v>
      </c>
      <c r="G26325" s="40" t="s">
        <v>11404</v>
      </c>
      <c r="H26325" s="40" t="s">
        <v>11404</v>
      </c>
    </row>
    <row r="26326">
      <c r="A26326" s="39"/>
      <c r="E26326" s="40" t="s">
        <v>11404</v>
      </c>
      <c r="F26326" s="40" t="s">
        <v>11404</v>
      </c>
      <c r="G26326" s="40" t="s">
        <v>11404</v>
      </c>
      <c r="H26326" s="40" t="s">
        <v>11404</v>
      </c>
    </row>
    <row r="26327">
      <c r="A26327" s="39"/>
      <c r="E26327" s="40" t="s">
        <v>11404</v>
      </c>
      <c r="F26327" s="40" t="s">
        <v>11404</v>
      </c>
      <c r="G26327" s="40" t="s">
        <v>11404</v>
      </c>
      <c r="H26327" s="40" t="s">
        <v>11404</v>
      </c>
    </row>
    <row r="26328">
      <c r="A26328" s="39"/>
      <c r="E26328" s="40" t="s">
        <v>11404</v>
      </c>
      <c r="F26328" s="40" t="s">
        <v>11404</v>
      </c>
      <c r="G26328" s="40" t="s">
        <v>11404</v>
      </c>
      <c r="H26328" s="40" t="s">
        <v>11404</v>
      </c>
    </row>
    <row r="26329">
      <c r="A26329" s="39"/>
      <c r="E26329" s="40" t="s">
        <v>11404</v>
      </c>
      <c r="F26329" s="40" t="s">
        <v>11404</v>
      </c>
      <c r="G26329" s="40" t="s">
        <v>11404</v>
      </c>
      <c r="H26329" s="40" t="s">
        <v>11404</v>
      </c>
    </row>
    <row r="26330">
      <c r="A26330" s="39"/>
      <c r="E26330" s="40" t="s">
        <v>11404</v>
      </c>
      <c r="F26330" s="40" t="s">
        <v>11404</v>
      </c>
      <c r="G26330" s="40" t="s">
        <v>11404</v>
      </c>
      <c r="H26330" s="40" t="s">
        <v>11404</v>
      </c>
    </row>
    <row r="26331">
      <c r="A26331" s="39"/>
      <c r="E26331" s="40" t="s">
        <v>11404</v>
      </c>
      <c r="F26331" s="40" t="s">
        <v>11404</v>
      </c>
      <c r="G26331" s="40" t="s">
        <v>11404</v>
      </c>
      <c r="H26331" s="40" t="s">
        <v>11404</v>
      </c>
    </row>
    <row r="26332">
      <c r="A26332" s="39"/>
      <c r="E26332" s="40" t="s">
        <v>11404</v>
      </c>
      <c r="F26332" s="40" t="s">
        <v>11404</v>
      </c>
      <c r="G26332" s="40" t="s">
        <v>11404</v>
      </c>
      <c r="H26332" s="40" t="s">
        <v>11404</v>
      </c>
    </row>
    <row r="26333">
      <c r="A26333" s="39"/>
      <c r="E26333" s="40" t="s">
        <v>11404</v>
      </c>
      <c r="F26333" s="40" t="s">
        <v>11404</v>
      </c>
      <c r="G26333" s="40" t="s">
        <v>11404</v>
      </c>
      <c r="H26333" s="40" t="s">
        <v>11404</v>
      </c>
    </row>
    <row r="26334">
      <c r="A26334" s="39"/>
      <c r="E26334" s="40" t="s">
        <v>11404</v>
      </c>
      <c r="F26334" s="40" t="s">
        <v>11404</v>
      </c>
      <c r="G26334" s="40" t="s">
        <v>11404</v>
      </c>
      <c r="H26334" s="40" t="s">
        <v>11404</v>
      </c>
    </row>
    <row r="26335">
      <c r="A26335" s="39"/>
      <c r="E26335" s="40" t="s">
        <v>11404</v>
      </c>
      <c r="F26335" s="40" t="s">
        <v>11404</v>
      </c>
      <c r="G26335" s="40" t="s">
        <v>11404</v>
      </c>
      <c r="H26335" s="40" t="s">
        <v>11404</v>
      </c>
    </row>
    <row r="26336">
      <c r="A26336" s="39"/>
      <c r="E26336" s="40" t="s">
        <v>11404</v>
      </c>
      <c r="F26336" s="40" t="s">
        <v>11404</v>
      </c>
      <c r="G26336" s="40" t="s">
        <v>11404</v>
      </c>
      <c r="H26336" s="40" t="s">
        <v>11404</v>
      </c>
    </row>
    <row r="26337">
      <c r="A26337" s="39"/>
      <c r="E26337" s="40" t="s">
        <v>11404</v>
      </c>
      <c r="F26337" s="40" t="s">
        <v>11404</v>
      </c>
      <c r="G26337" s="40" t="s">
        <v>11404</v>
      </c>
      <c r="H26337" s="40" t="s">
        <v>11404</v>
      </c>
    </row>
    <row r="26338">
      <c r="A26338" s="39"/>
      <c r="E26338" s="40" t="s">
        <v>11404</v>
      </c>
      <c r="F26338" s="40" t="s">
        <v>11404</v>
      </c>
      <c r="G26338" s="40" t="s">
        <v>11404</v>
      </c>
      <c r="H26338" s="40" t="s">
        <v>11404</v>
      </c>
    </row>
    <row r="26339">
      <c r="A26339" s="39"/>
      <c r="E26339" s="40" t="s">
        <v>11404</v>
      </c>
      <c r="F26339" s="40" t="s">
        <v>11404</v>
      </c>
      <c r="G26339" s="40" t="s">
        <v>11404</v>
      </c>
      <c r="H26339" s="40" t="s">
        <v>11404</v>
      </c>
    </row>
    <row r="26340">
      <c r="A26340" s="39"/>
      <c r="E26340" s="40" t="s">
        <v>11404</v>
      </c>
      <c r="F26340" s="40" t="s">
        <v>11404</v>
      </c>
      <c r="G26340" s="40" t="s">
        <v>11404</v>
      </c>
      <c r="H26340" s="40" t="s">
        <v>11404</v>
      </c>
    </row>
    <row r="26341">
      <c r="A26341" s="39"/>
      <c r="E26341" s="40" t="s">
        <v>11404</v>
      </c>
      <c r="F26341" s="40" t="s">
        <v>11404</v>
      </c>
      <c r="G26341" s="40" t="s">
        <v>11404</v>
      </c>
      <c r="H26341" s="40" t="s">
        <v>11404</v>
      </c>
    </row>
    <row r="26342">
      <c r="A26342" s="39"/>
      <c r="E26342" s="40" t="s">
        <v>11404</v>
      </c>
      <c r="F26342" s="40" t="s">
        <v>11404</v>
      </c>
      <c r="G26342" s="40" t="s">
        <v>11404</v>
      </c>
      <c r="H26342" s="40" t="s">
        <v>11404</v>
      </c>
    </row>
    <row r="26343">
      <c r="A26343" s="39"/>
      <c r="E26343" s="40" t="s">
        <v>11404</v>
      </c>
      <c r="F26343" s="40" t="s">
        <v>11404</v>
      </c>
      <c r="G26343" s="40" t="s">
        <v>11404</v>
      </c>
      <c r="H26343" s="40" t="s">
        <v>11404</v>
      </c>
    </row>
    <row r="26344">
      <c r="A26344" s="39"/>
      <c r="E26344" s="40" t="s">
        <v>11404</v>
      </c>
      <c r="F26344" s="40" t="s">
        <v>11404</v>
      </c>
      <c r="G26344" s="40" t="s">
        <v>11404</v>
      </c>
      <c r="H26344" s="40" t="s">
        <v>11404</v>
      </c>
    </row>
    <row r="26345">
      <c r="A26345" s="39"/>
      <c r="E26345" s="40" t="s">
        <v>11404</v>
      </c>
      <c r="F26345" s="40" t="s">
        <v>11404</v>
      </c>
      <c r="G26345" s="40" t="s">
        <v>11404</v>
      </c>
      <c r="H26345" s="40" t="s">
        <v>11404</v>
      </c>
    </row>
    <row r="26346">
      <c r="A26346" s="39"/>
      <c r="E26346" s="40" t="s">
        <v>11404</v>
      </c>
      <c r="F26346" s="40" t="s">
        <v>11404</v>
      </c>
      <c r="G26346" s="40" t="s">
        <v>11404</v>
      </c>
      <c r="H26346" s="40" t="s">
        <v>11404</v>
      </c>
    </row>
    <row r="26347">
      <c r="A26347" s="39"/>
      <c r="E26347" s="40" t="s">
        <v>11404</v>
      </c>
      <c r="F26347" s="40" t="s">
        <v>11404</v>
      </c>
      <c r="G26347" s="40" t="s">
        <v>11404</v>
      </c>
      <c r="H26347" s="40" t="s">
        <v>11404</v>
      </c>
    </row>
    <row r="26348">
      <c r="A26348" s="39"/>
      <c r="E26348" s="40" t="s">
        <v>11404</v>
      </c>
      <c r="F26348" s="40" t="s">
        <v>11404</v>
      </c>
      <c r="G26348" s="40" t="s">
        <v>11404</v>
      </c>
      <c r="H26348" s="40" t="s">
        <v>11404</v>
      </c>
    </row>
    <row r="26349">
      <c r="A26349" s="39"/>
      <c r="E26349" s="40" t="s">
        <v>11404</v>
      </c>
      <c r="F26349" s="40" t="s">
        <v>11404</v>
      </c>
      <c r="G26349" s="40" t="s">
        <v>11404</v>
      </c>
      <c r="H26349" s="40" t="s">
        <v>11404</v>
      </c>
    </row>
    <row r="26350">
      <c r="A26350" s="39"/>
      <c r="E26350" s="40" t="s">
        <v>11404</v>
      </c>
      <c r="F26350" s="40" t="s">
        <v>11404</v>
      </c>
      <c r="G26350" s="40" t="s">
        <v>11404</v>
      </c>
      <c r="H26350" s="40" t="s">
        <v>11404</v>
      </c>
    </row>
    <row r="26351">
      <c r="A26351" s="39"/>
      <c r="E26351" s="40" t="s">
        <v>11404</v>
      </c>
      <c r="F26351" s="40" t="s">
        <v>11404</v>
      </c>
      <c r="G26351" s="40" t="s">
        <v>11404</v>
      </c>
      <c r="H26351" s="40" t="s">
        <v>11404</v>
      </c>
    </row>
    <row r="26352">
      <c r="A26352" s="39"/>
      <c r="E26352" s="40" t="s">
        <v>11404</v>
      </c>
      <c r="F26352" s="40" t="s">
        <v>11404</v>
      </c>
      <c r="G26352" s="40" t="s">
        <v>11404</v>
      </c>
      <c r="H26352" s="40" t="s">
        <v>11404</v>
      </c>
    </row>
    <row r="26353">
      <c r="A26353" s="39"/>
      <c r="E26353" s="40" t="s">
        <v>11404</v>
      </c>
      <c r="F26353" s="40" t="s">
        <v>11404</v>
      </c>
      <c r="G26353" s="40" t="s">
        <v>11404</v>
      </c>
      <c r="H26353" s="40" t="s">
        <v>11404</v>
      </c>
    </row>
    <row r="26354">
      <c r="A26354" s="39"/>
      <c r="E26354" s="40" t="s">
        <v>11404</v>
      </c>
      <c r="F26354" s="40" t="s">
        <v>11404</v>
      </c>
      <c r="G26354" s="40" t="s">
        <v>11404</v>
      </c>
      <c r="H26354" s="40" t="s">
        <v>11404</v>
      </c>
    </row>
    <row r="26355">
      <c r="A26355" s="39"/>
      <c r="E26355" s="40" t="s">
        <v>11404</v>
      </c>
      <c r="F26355" s="40" t="s">
        <v>11404</v>
      </c>
      <c r="G26355" s="40" t="s">
        <v>11404</v>
      </c>
      <c r="H26355" s="40" t="s">
        <v>11404</v>
      </c>
    </row>
    <row r="26356">
      <c r="A26356" s="39"/>
      <c r="E26356" s="40" t="s">
        <v>11404</v>
      </c>
      <c r="F26356" s="40" t="s">
        <v>11404</v>
      </c>
      <c r="G26356" s="40" t="s">
        <v>11404</v>
      </c>
      <c r="H26356" s="40" t="s">
        <v>11404</v>
      </c>
    </row>
    <row r="26357">
      <c r="A26357" s="39"/>
      <c r="E26357" s="40" t="s">
        <v>11404</v>
      </c>
      <c r="F26357" s="40" t="s">
        <v>11404</v>
      </c>
      <c r="G26357" s="40" t="s">
        <v>11404</v>
      </c>
      <c r="H26357" s="40" t="s">
        <v>11404</v>
      </c>
    </row>
    <row r="26358">
      <c r="A26358" s="39"/>
      <c r="E26358" s="40" t="s">
        <v>11404</v>
      </c>
      <c r="F26358" s="40" t="s">
        <v>11404</v>
      </c>
      <c r="G26358" s="40" t="s">
        <v>11404</v>
      </c>
      <c r="H26358" s="40" t="s">
        <v>11404</v>
      </c>
    </row>
    <row r="26359">
      <c r="A26359" s="39"/>
      <c r="E26359" s="40" t="s">
        <v>11404</v>
      </c>
      <c r="F26359" s="40" t="s">
        <v>11404</v>
      </c>
      <c r="G26359" s="40" t="s">
        <v>11404</v>
      </c>
      <c r="H26359" s="40" t="s">
        <v>11404</v>
      </c>
    </row>
    <row r="26360">
      <c r="A26360" s="39"/>
      <c r="E26360" s="40" t="s">
        <v>11404</v>
      </c>
      <c r="F26360" s="40" t="s">
        <v>11404</v>
      </c>
      <c r="G26360" s="40" t="s">
        <v>11404</v>
      </c>
      <c r="H26360" s="40" t="s">
        <v>11404</v>
      </c>
    </row>
    <row r="26361">
      <c r="A26361" s="39"/>
      <c r="E26361" s="40" t="s">
        <v>11404</v>
      </c>
      <c r="F26361" s="40" t="s">
        <v>11404</v>
      </c>
      <c r="G26361" s="40" t="s">
        <v>11404</v>
      </c>
      <c r="H26361" s="40" t="s">
        <v>11404</v>
      </c>
    </row>
    <row r="26362">
      <c r="A26362" s="39"/>
      <c r="E26362" s="40" t="s">
        <v>11404</v>
      </c>
      <c r="F26362" s="40" t="s">
        <v>11404</v>
      </c>
      <c r="G26362" s="40" t="s">
        <v>11404</v>
      </c>
      <c r="H26362" s="40" t="s">
        <v>11404</v>
      </c>
    </row>
    <row r="26363">
      <c r="A26363" s="39"/>
      <c r="E26363" s="40" t="s">
        <v>11404</v>
      </c>
      <c r="F26363" s="40" t="s">
        <v>11404</v>
      </c>
      <c r="G26363" s="40" t="s">
        <v>11404</v>
      </c>
      <c r="H26363" s="40" t="s">
        <v>11404</v>
      </c>
    </row>
    <row r="26364">
      <c r="A26364" s="39"/>
      <c r="E26364" s="40" t="s">
        <v>11404</v>
      </c>
      <c r="F26364" s="40" t="s">
        <v>11404</v>
      </c>
      <c r="G26364" s="40" t="s">
        <v>11404</v>
      </c>
      <c r="H26364" s="40" t="s">
        <v>11404</v>
      </c>
    </row>
    <row r="26365">
      <c r="A26365" s="39"/>
      <c r="E26365" s="40" t="s">
        <v>11404</v>
      </c>
      <c r="F26365" s="40" t="s">
        <v>11404</v>
      </c>
      <c r="G26365" s="40" t="s">
        <v>11404</v>
      </c>
      <c r="H26365" s="40" t="s">
        <v>11404</v>
      </c>
    </row>
    <row r="26366">
      <c r="A26366" s="39"/>
      <c r="E26366" s="40" t="s">
        <v>11404</v>
      </c>
      <c r="F26366" s="40" t="s">
        <v>11404</v>
      </c>
      <c r="G26366" s="40" t="s">
        <v>11404</v>
      </c>
      <c r="H26366" s="40" t="s">
        <v>11404</v>
      </c>
    </row>
    <row r="26367">
      <c r="A26367" s="39"/>
      <c r="E26367" s="40" t="s">
        <v>11404</v>
      </c>
      <c r="F26367" s="40" t="s">
        <v>11404</v>
      </c>
      <c r="G26367" s="40" t="s">
        <v>11404</v>
      </c>
      <c r="H26367" s="40" t="s">
        <v>11404</v>
      </c>
    </row>
    <row r="26368">
      <c r="A26368" s="39"/>
      <c r="E26368" s="40" t="s">
        <v>11404</v>
      </c>
      <c r="F26368" s="40" t="s">
        <v>11404</v>
      </c>
      <c r="G26368" s="40" t="s">
        <v>11404</v>
      </c>
      <c r="H26368" s="40" t="s">
        <v>11404</v>
      </c>
    </row>
    <row r="26369">
      <c r="A26369" s="39"/>
      <c r="E26369" s="40" t="s">
        <v>11404</v>
      </c>
      <c r="F26369" s="40" t="s">
        <v>11404</v>
      </c>
      <c r="G26369" s="40" t="s">
        <v>11404</v>
      </c>
      <c r="H26369" s="40" t="s">
        <v>11404</v>
      </c>
    </row>
    <row r="26370">
      <c r="A26370" s="39"/>
      <c r="E26370" s="40" t="s">
        <v>11404</v>
      </c>
      <c r="F26370" s="40" t="s">
        <v>11404</v>
      </c>
      <c r="G26370" s="40" t="s">
        <v>11404</v>
      </c>
      <c r="H26370" s="40" t="s">
        <v>11404</v>
      </c>
    </row>
    <row r="26371">
      <c r="A26371" s="39"/>
      <c r="E26371" s="40" t="s">
        <v>11404</v>
      </c>
      <c r="F26371" s="40" t="s">
        <v>11404</v>
      </c>
      <c r="G26371" s="40" t="s">
        <v>11404</v>
      </c>
      <c r="H26371" s="40" t="s">
        <v>11404</v>
      </c>
    </row>
    <row r="26372">
      <c r="A26372" s="39"/>
      <c r="E26372" s="40" t="s">
        <v>11404</v>
      </c>
      <c r="F26372" s="40" t="s">
        <v>11404</v>
      </c>
      <c r="G26372" s="40" t="s">
        <v>11404</v>
      </c>
      <c r="H26372" s="40" t="s">
        <v>11404</v>
      </c>
    </row>
    <row r="26373">
      <c r="A26373" s="39"/>
      <c r="E26373" s="40" t="s">
        <v>11404</v>
      </c>
      <c r="F26373" s="40" t="s">
        <v>11404</v>
      </c>
      <c r="G26373" s="40" t="s">
        <v>11404</v>
      </c>
      <c r="H26373" s="40" t="s">
        <v>11404</v>
      </c>
    </row>
    <row r="26374">
      <c r="A26374" s="39"/>
      <c r="E26374" s="40" t="s">
        <v>11404</v>
      </c>
      <c r="F26374" s="40" t="s">
        <v>11404</v>
      </c>
      <c r="G26374" s="40" t="s">
        <v>11404</v>
      </c>
      <c r="H26374" s="40" t="s">
        <v>11404</v>
      </c>
    </row>
    <row r="26375">
      <c r="A26375" s="39"/>
      <c r="E26375" s="40" t="s">
        <v>11404</v>
      </c>
      <c r="F26375" s="40" t="s">
        <v>11404</v>
      </c>
      <c r="G26375" s="40" t="s">
        <v>11404</v>
      </c>
      <c r="H26375" s="40" t="s">
        <v>11404</v>
      </c>
    </row>
    <row r="26376">
      <c r="A26376" s="39"/>
      <c r="E26376" s="40" t="s">
        <v>11404</v>
      </c>
      <c r="F26376" s="40" t="s">
        <v>11404</v>
      </c>
      <c r="G26376" s="40" t="s">
        <v>11404</v>
      </c>
      <c r="H26376" s="40" t="s">
        <v>11404</v>
      </c>
    </row>
    <row r="26377">
      <c r="A26377" s="39"/>
      <c r="E26377" s="40" t="s">
        <v>11404</v>
      </c>
      <c r="F26377" s="40" t="s">
        <v>11404</v>
      </c>
      <c r="G26377" s="40" t="s">
        <v>11404</v>
      </c>
      <c r="H26377" s="40" t="s">
        <v>11404</v>
      </c>
    </row>
    <row r="26378">
      <c r="A26378" s="39"/>
      <c r="E26378" s="40" t="s">
        <v>11404</v>
      </c>
      <c r="F26378" s="40" t="s">
        <v>11404</v>
      </c>
      <c r="G26378" s="40" t="s">
        <v>11404</v>
      </c>
      <c r="H26378" s="40" t="s">
        <v>11404</v>
      </c>
    </row>
    <row r="26379">
      <c r="A26379" s="39"/>
      <c r="E26379" s="40" t="s">
        <v>11404</v>
      </c>
      <c r="F26379" s="40" t="s">
        <v>11404</v>
      </c>
      <c r="G26379" s="40" t="s">
        <v>11404</v>
      </c>
      <c r="H26379" s="40" t="s">
        <v>11404</v>
      </c>
    </row>
    <row r="26380">
      <c r="A26380" s="39"/>
      <c r="E26380" s="40" t="s">
        <v>11404</v>
      </c>
      <c r="F26380" s="40" t="s">
        <v>11404</v>
      </c>
      <c r="G26380" s="40" t="s">
        <v>11404</v>
      </c>
      <c r="H26380" s="40" t="s">
        <v>11404</v>
      </c>
    </row>
    <row r="26381">
      <c r="A26381" s="39"/>
      <c r="E26381" s="40" t="s">
        <v>11404</v>
      </c>
      <c r="F26381" s="40" t="s">
        <v>11404</v>
      </c>
      <c r="G26381" s="40" t="s">
        <v>11404</v>
      </c>
      <c r="H26381" s="40" t="s">
        <v>11404</v>
      </c>
    </row>
    <row r="26382">
      <c r="A26382" s="39"/>
      <c r="E26382" s="40" t="s">
        <v>11404</v>
      </c>
      <c r="F26382" s="40" t="s">
        <v>11404</v>
      </c>
      <c r="G26382" s="40" t="s">
        <v>11404</v>
      </c>
      <c r="H26382" s="40" t="s">
        <v>11404</v>
      </c>
    </row>
    <row r="26383">
      <c r="A26383" s="39"/>
      <c r="E26383" s="40" t="s">
        <v>11404</v>
      </c>
      <c r="F26383" s="40" t="s">
        <v>11404</v>
      </c>
      <c r="G26383" s="40" t="s">
        <v>11404</v>
      </c>
      <c r="H26383" s="40" t="s">
        <v>11404</v>
      </c>
    </row>
    <row r="26384">
      <c r="A26384" s="39"/>
      <c r="E26384" s="40" t="s">
        <v>11404</v>
      </c>
      <c r="F26384" s="40" t="s">
        <v>11404</v>
      </c>
      <c r="G26384" s="40" t="s">
        <v>11404</v>
      </c>
      <c r="H26384" s="40" t="s">
        <v>11404</v>
      </c>
    </row>
    <row r="26385">
      <c r="A26385" s="39"/>
      <c r="E26385" s="40" t="s">
        <v>11404</v>
      </c>
      <c r="F26385" s="40" t="s">
        <v>11404</v>
      </c>
      <c r="G26385" s="40" t="s">
        <v>11404</v>
      </c>
      <c r="H26385" s="40" t="s">
        <v>11404</v>
      </c>
    </row>
    <row r="26386">
      <c r="A26386" s="39"/>
      <c r="E26386" s="40" t="s">
        <v>11404</v>
      </c>
      <c r="F26386" s="40" t="s">
        <v>11404</v>
      </c>
      <c r="G26386" s="40" t="s">
        <v>11404</v>
      </c>
      <c r="H26386" s="40" t="s">
        <v>11404</v>
      </c>
    </row>
    <row r="26387">
      <c r="A26387" s="39"/>
      <c r="E26387" s="40" t="s">
        <v>11404</v>
      </c>
      <c r="F26387" s="40" t="s">
        <v>11404</v>
      </c>
      <c r="G26387" s="40" t="s">
        <v>11404</v>
      </c>
      <c r="H26387" s="40" t="s">
        <v>11404</v>
      </c>
    </row>
    <row r="26388">
      <c r="A26388" s="39"/>
      <c r="E26388" s="40" t="s">
        <v>11404</v>
      </c>
      <c r="F26388" s="40" t="s">
        <v>11404</v>
      </c>
      <c r="G26388" s="40" t="s">
        <v>11404</v>
      </c>
      <c r="H26388" s="40" t="s">
        <v>11404</v>
      </c>
    </row>
    <row r="26389">
      <c r="A26389" s="39"/>
      <c r="E26389" s="40" t="s">
        <v>11404</v>
      </c>
      <c r="F26389" s="40" t="s">
        <v>11404</v>
      </c>
      <c r="G26389" s="40" t="s">
        <v>11404</v>
      </c>
      <c r="H26389" s="40" t="s">
        <v>11404</v>
      </c>
    </row>
    <row r="26390">
      <c r="A26390" s="39"/>
      <c r="E26390" s="40" t="s">
        <v>11404</v>
      </c>
      <c r="F26390" s="40" t="s">
        <v>11404</v>
      </c>
      <c r="G26390" s="40" t="s">
        <v>11404</v>
      </c>
      <c r="H26390" s="40" t="s">
        <v>11404</v>
      </c>
    </row>
    <row r="26391">
      <c r="A26391" s="39"/>
      <c r="E26391" s="40" t="s">
        <v>11404</v>
      </c>
      <c r="F26391" s="40" t="s">
        <v>11404</v>
      </c>
      <c r="G26391" s="40" t="s">
        <v>11404</v>
      </c>
      <c r="H26391" s="40" t="s">
        <v>11404</v>
      </c>
    </row>
    <row r="26392">
      <c r="A26392" s="39"/>
      <c r="E26392" s="40" t="s">
        <v>11404</v>
      </c>
      <c r="F26392" s="40" t="s">
        <v>11404</v>
      </c>
      <c r="G26392" s="40" t="s">
        <v>11404</v>
      </c>
      <c r="H26392" s="40" t="s">
        <v>11404</v>
      </c>
    </row>
    <row r="26393">
      <c r="A26393" s="39"/>
      <c r="E26393" s="40" t="s">
        <v>11404</v>
      </c>
      <c r="F26393" s="40" t="s">
        <v>11404</v>
      </c>
      <c r="G26393" s="40" t="s">
        <v>11404</v>
      </c>
      <c r="H26393" s="40" t="s">
        <v>11404</v>
      </c>
    </row>
    <row r="26394">
      <c r="A26394" s="39"/>
      <c r="E26394" s="40" t="s">
        <v>11404</v>
      </c>
      <c r="F26394" s="40" t="s">
        <v>11404</v>
      </c>
      <c r="G26394" s="40" t="s">
        <v>11404</v>
      </c>
      <c r="H26394" s="40" t="s">
        <v>11404</v>
      </c>
    </row>
    <row r="26395">
      <c r="A26395" s="39"/>
      <c r="E26395" s="40" t="s">
        <v>11404</v>
      </c>
      <c r="F26395" s="40" t="s">
        <v>11404</v>
      </c>
      <c r="G26395" s="40" t="s">
        <v>11404</v>
      </c>
      <c r="H26395" s="40" t="s">
        <v>11404</v>
      </c>
    </row>
    <row r="26396">
      <c r="A26396" s="39"/>
      <c r="E26396" s="40" t="s">
        <v>11404</v>
      </c>
      <c r="F26396" s="40" t="s">
        <v>11404</v>
      </c>
      <c r="G26396" s="40" t="s">
        <v>11404</v>
      </c>
      <c r="H26396" s="40" t="s">
        <v>11404</v>
      </c>
    </row>
    <row r="26397">
      <c r="A26397" s="39"/>
      <c r="E26397" s="40" t="s">
        <v>11404</v>
      </c>
      <c r="F26397" s="40" t="s">
        <v>11404</v>
      </c>
      <c r="G26397" s="40" t="s">
        <v>11404</v>
      </c>
      <c r="H26397" s="40" t="s">
        <v>11404</v>
      </c>
    </row>
    <row r="26398">
      <c r="A26398" s="39"/>
      <c r="E26398" s="40" t="s">
        <v>11404</v>
      </c>
      <c r="F26398" s="40" t="s">
        <v>11404</v>
      </c>
      <c r="G26398" s="40" t="s">
        <v>11404</v>
      </c>
      <c r="H26398" s="40" t="s">
        <v>11404</v>
      </c>
    </row>
    <row r="26399">
      <c r="A26399" s="39"/>
      <c r="E26399" s="40" t="s">
        <v>11404</v>
      </c>
      <c r="F26399" s="40" t="s">
        <v>11404</v>
      </c>
      <c r="G26399" s="40" t="s">
        <v>11404</v>
      </c>
      <c r="H26399" s="40" t="s">
        <v>11404</v>
      </c>
    </row>
    <row r="26400">
      <c r="A26400" s="39"/>
      <c r="E26400" s="40" t="s">
        <v>11404</v>
      </c>
      <c r="F26400" s="40" t="s">
        <v>11404</v>
      </c>
      <c r="G26400" s="40" t="s">
        <v>11404</v>
      </c>
      <c r="H26400" s="40" t="s">
        <v>11404</v>
      </c>
    </row>
    <row r="26401">
      <c r="A26401" s="39"/>
      <c r="E26401" s="40" t="s">
        <v>11404</v>
      </c>
      <c r="F26401" s="40" t="s">
        <v>11404</v>
      </c>
      <c r="G26401" s="40" t="s">
        <v>11404</v>
      </c>
      <c r="H26401" s="40" t="s">
        <v>11404</v>
      </c>
    </row>
    <row r="26402">
      <c r="A26402" s="39"/>
      <c r="E26402" s="40" t="s">
        <v>11404</v>
      </c>
      <c r="F26402" s="40" t="s">
        <v>11404</v>
      </c>
      <c r="G26402" s="40" t="s">
        <v>11404</v>
      </c>
      <c r="H26402" s="40" t="s">
        <v>11404</v>
      </c>
    </row>
    <row r="26403">
      <c r="A26403" s="39"/>
      <c r="E26403" s="40" t="s">
        <v>11404</v>
      </c>
      <c r="F26403" s="40" t="s">
        <v>11404</v>
      </c>
      <c r="G26403" s="40" t="s">
        <v>11404</v>
      </c>
      <c r="H26403" s="40" t="s">
        <v>11404</v>
      </c>
    </row>
    <row r="26404">
      <c r="A26404" s="39"/>
      <c r="E26404" s="40" t="s">
        <v>11404</v>
      </c>
      <c r="F26404" s="40" t="s">
        <v>11404</v>
      </c>
      <c r="G26404" s="40" t="s">
        <v>11404</v>
      </c>
      <c r="H26404" s="40" t="s">
        <v>11404</v>
      </c>
    </row>
    <row r="26405">
      <c r="A26405" s="39"/>
      <c r="E26405" s="40" t="s">
        <v>11404</v>
      </c>
      <c r="F26405" s="40" t="s">
        <v>11404</v>
      </c>
      <c r="G26405" s="40" t="s">
        <v>11404</v>
      </c>
      <c r="H26405" s="40" t="s">
        <v>11404</v>
      </c>
    </row>
    <row r="26406">
      <c r="A26406" s="39"/>
      <c r="E26406" s="40" t="s">
        <v>11404</v>
      </c>
      <c r="F26406" s="40" t="s">
        <v>11404</v>
      </c>
      <c r="G26406" s="40" t="s">
        <v>11404</v>
      </c>
      <c r="H26406" s="40" t="s">
        <v>11404</v>
      </c>
    </row>
    <row r="26407">
      <c r="A26407" s="39"/>
      <c r="E26407" s="40" t="s">
        <v>11404</v>
      </c>
      <c r="F26407" s="40" t="s">
        <v>11404</v>
      </c>
      <c r="G26407" s="40" t="s">
        <v>11404</v>
      </c>
      <c r="H26407" s="40" t="s">
        <v>11404</v>
      </c>
    </row>
    <row r="26408">
      <c r="A26408" s="39"/>
      <c r="E26408" s="40" t="s">
        <v>11404</v>
      </c>
      <c r="F26408" s="40" t="s">
        <v>11404</v>
      </c>
      <c r="G26408" s="40" t="s">
        <v>11404</v>
      </c>
      <c r="H26408" s="40" t="s">
        <v>11404</v>
      </c>
    </row>
    <row r="26409">
      <c r="A26409" s="39"/>
      <c r="E26409" s="40" t="s">
        <v>11404</v>
      </c>
      <c r="F26409" s="40" t="s">
        <v>11404</v>
      </c>
      <c r="G26409" s="40" t="s">
        <v>11404</v>
      </c>
      <c r="H26409" s="40" t="s">
        <v>11404</v>
      </c>
    </row>
    <row r="26410">
      <c r="A26410" s="39"/>
      <c r="E26410" s="40" t="s">
        <v>11404</v>
      </c>
      <c r="F26410" s="40" t="s">
        <v>11404</v>
      </c>
      <c r="G26410" s="40" t="s">
        <v>11404</v>
      </c>
      <c r="H26410" s="40" t="s">
        <v>11404</v>
      </c>
    </row>
    <row r="26411">
      <c r="A26411" s="39"/>
      <c r="E26411" s="40" t="s">
        <v>11404</v>
      </c>
      <c r="F26411" s="40" t="s">
        <v>11404</v>
      </c>
      <c r="G26411" s="40" t="s">
        <v>11404</v>
      </c>
      <c r="H26411" s="40" t="s">
        <v>11404</v>
      </c>
    </row>
    <row r="26412">
      <c r="A26412" s="39"/>
      <c r="E26412" s="40" t="s">
        <v>11404</v>
      </c>
      <c r="F26412" s="40" t="s">
        <v>11404</v>
      </c>
      <c r="G26412" s="40" t="s">
        <v>11404</v>
      </c>
      <c r="H26412" s="40" t="s">
        <v>11404</v>
      </c>
    </row>
    <row r="26413">
      <c r="A26413" s="39"/>
      <c r="E26413" s="40" t="s">
        <v>11404</v>
      </c>
      <c r="F26413" s="40" t="s">
        <v>11404</v>
      </c>
      <c r="G26413" s="40" t="s">
        <v>11404</v>
      </c>
      <c r="H26413" s="40" t="s">
        <v>11404</v>
      </c>
    </row>
    <row r="26414">
      <c r="A26414" s="39"/>
      <c r="E26414" s="40" t="s">
        <v>11404</v>
      </c>
      <c r="F26414" s="40" t="s">
        <v>11404</v>
      </c>
      <c r="G26414" s="40" t="s">
        <v>11404</v>
      </c>
      <c r="H26414" s="40" t="s">
        <v>11404</v>
      </c>
    </row>
    <row r="26415">
      <c r="A26415" s="39"/>
      <c r="E26415" s="40" t="s">
        <v>11404</v>
      </c>
      <c r="F26415" s="40" t="s">
        <v>11404</v>
      </c>
      <c r="G26415" s="40" t="s">
        <v>11404</v>
      </c>
      <c r="H26415" s="40" t="s">
        <v>11404</v>
      </c>
    </row>
    <row r="26416">
      <c r="A26416" s="39"/>
      <c r="E26416" s="40" t="s">
        <v>11404</v>
      </c>
      <c r="F26416" s="40" t="s">
        <v>11404</v>
      </c>
      <c r="G26416" s="40" t="s">
        <v>11404</v>
      </c>
      <c r="H26416" s="40" t="s">
        <v>11404</v>
      </c>
    </row>
    <row r="26417">
      <c r="A26417" s="39"/>
      <c r="E26417" s="40" t="s">
        <v>11404</v>
      </c>
      <c r="F26417" s="40" t="s">
        <v>11404</v>
      </c>
      <c r="G26417" s="40" t="s">
        <v>11404</v>
      </c>
      <c r="H26417" s="40" t="s">
        <v>11404</v>
      </c>
    </row>
    <row r="26418">
      <c r="A26418" s="39"/>
      <c r="E26418" s="40" t="s">
        <v>11404</v>
      </c>
      <c r="F26418" s="40" t="s">
        <v>11404</v>
      </c>
      <c r="G26418" s="40" t="s">
        <v>11404</v>
      </c>
      <c r="H26418" s="40" t="s">
        <v>11404</v>
      </c>
    </row>
    <row r="26419">
      <c r="A26419" s="39"/>
      <c r="E26419" s="40" t="s">
        <v>11404</v>
      </c>
      <c r="F26419" s="40" t="s">
        <v>11404</v>
      </c>
      <c r="G26419" s="40" t="s">
        <v>11404</v>
      </c>
      <c r="H26419" s="40" t="s">
        <v>11404</v>
      </c>
    </row>
    <row r="26420">
      <c r="A26420" s="39"/>
      <c r="E26420" s="40" t="s">
        <v>11404</v>
      </c>
      <c r="F26420" s="40" t="s">
        <v>11404</v>
      </c>
      <c r="G26420" s="40" t="s">
        <v>11404</v>
      </c>
      <c r="H26420" s="40" t="s">
        <v>11404</v>
      </c>
    </row>
    <row r="26421">
      <c r="A26421" s="39"/>
      <c r="E26421" s="40" t="s">
        <v>11404</v>
      </c>
      <c r="F26421" s="40" t="s">
        <v>11404</v>
      </c>
      <c r="G26421" s="40" t="s">
        <v>11404</v>
      </c>
      <c r="H26421" s="40" t="s">
        <v>11404</v>
      </c>
    </row>
    <row r="26422">
      <c r="A26422" s="39"/>
      <c r="E26422" s="40" t="s">
        <v>11404</v>
      </c>
      <c r="F26422" s="40" t="s">
        <v>11404</v>
      </c>
      <c r="G26422" s="40" t="s">
        <v>11404</v>
      </c>
      <c r="H26422" s="40" t="s">
        <v>11404</v>
      </c>
    </row>
    <row r="26423">
      <c r="A26423" s="39"/>
      <c r="E26423" s="40" t="s">
        <v>11404</v>
      </c>
      <c r="F26423" s="40" t="s">
        <v>11404</v>
      </c>
      <c r="G26423" s="40" t="s">
        <v>11404</v>
      </c>
      <c r="H26423" s="40" t="s">
        <v>11404</v>
      </c>
    </row>
    <row r="26424">
      <c r="A26424" s="39"/>
      <c r="E26424" s="40" t="s">
        <v>11404</v>
      </c>
      <c r="F26424" s="40" t="s">
        <v>11404</v>
      </c>
      <c r="G26424" s="40" t="s">
        <v>11404</v>
      </c>
      <c r="H26424" s="40" t="s">
        <v>11404</v>
      </c>
    </row>
    <row r="26425">
      <c r="A26425" s="39"/>
      <c r="E26425" s="40" t="s">
        <v>11404</v>
      </c>
      <c r="F26425" s="40" t="s">
        <v>11404</v>
      </c>
      <c r="G26425" s="40" t="s">
        <v>11404</v>
      </c>
      <c r="H26425" s="40" t="s">
        <v>11404</v>
      </c>
    </row>
    <row r="26426">
      <c r="A26426" s="39"/>
      <c r="E26426" s="40" t="s">
        <v>11404</v>
      </c>
      <c r="F26426" s="40" t="s">
        <v>11404</v>
      </c>
      <c r="G26426" s="40" t="s">
        <v>11404</v>
      </c>
      <c r="H26426" s="40" t="s">
        <v>11404</v>
      </c>
    </row>
    <row r="26427">
      <c r="A26427" s="39"/>
      <c r="E26427" s="40" t="s">
        <v>11404</v>
      </c>
      <c r="F26427" s="40" t="s">
        <v>11404</v>
      </c>
      <c r="G26427" s="40" t="s">
        <v>11404</v>
      </c>
      <c r="H26427" s="40" t="s">
        <v>11404</v>
      </c>
    </row>
    <row r="26428">
      <c r="A26428" s="39"/>
      <c r="E26428" s="40" t="s">
        <v>11404</v>
      </c>
      <c r="F26428" s="40" t="s">
        <v>11404</v>
      </c>
      <c r="G26428" s="40" t="s">
        <v>11404</v>
      </c>
      <c r="H26428" s="40" t="s">
        <v>11404</v>
      </c>
    </row>
    <row r="26429">
      <c r="A26429" s="39"/>
      <c r="E26429" s="40" t="s">
        <v>11404</v>
      </c>
      <c r="F26429" s="40" t="s">
        <v>11404</v>
      </c>
      <c r="G26429" s="40" t="s">
        <v>11404</v>
      </c>
      <c r="H26429" s="40" t="s">
        <v>11404</v>
      </c>
    </row>
    <row r="26430">
      <c r="A26430" s="39"/>
      <c r="E26430" s="40" t="s">
        <v>11404</v>
      </c>
      <c r="F26430" s="40" t="s">
        <v>11404</v>
      </c>
      <c r="G26430" s="40" t="s">
        <v>11404</v>
      </c>
      <c r="H26430" s="40" t="s">
        <v>11404</v>
      </c>
    </row>
    <row r="26431">
      <c r="A26431" s="39"/>
      <c r="E26431" s="40" t="s">
        <v>11404</v>
      </c>
      <c r="F26431" s="40" t="s">
        <v>11404</v>
      </c>
      <c r="G26431" s="40" t="s">
        <v>11404</v>
      </c>
      <c r="H26431" s="40" t="s">
        <v>11404</v>
      </c>
    </row>
    <row r="26432">
      <c r="A26432" s="39"/>
      <c r="E26432" s="40" t="s">
        <v>11404</v>
      </c>
      <c r="F26432" s="40" t="s">
        <v>11404</v>
      </c>
      <c r="G26432" s="40" t="s">
        <v>11404</v>
      </c>
      <c r="H26432" s="40" t="s">
        <v>11404</v>
      </c>
    </row>
    <row r="26433">
      <c r="A26433" s="39"/>
      <c r="E26433" s="40" t="s">
        <v>11404</v>
      </c>
      <c r="F26433" s="40" t="s">
        <v>11404</v>
      </c>
      <c r="G26433" s="40" t="s">
        <v>11404</v>
      </c>
      <c r="H26433" s="40" t="s">
        <v>11404</v>
      </c>
    </row>
    <row r="26434">
      <c r="A26434" s="39"/>
      <c r="E26434" s="40" t="s">
        <v>11404</v>
      </c>
      <c r="F26434" s="40" t="s">
        <v>11404</v>
      </c>
      <c r="G26434" s="40" t="s">
        <v>11404</v>
      </c>
      <c r="H26434" s="40" t="s">
        <v>11404</v>
      </c>
    </row>
    <row r="26435">
      <c r="A26435" s="39"/>
      <c r="E26435" s="40" t="s">
        <v>11404</v>
      </c>
      <c r="F26435" s="40" t="s">
        <v>11404</v>
      </c>
      <c r="G26435" s="40" t="s">
        <v>11404</v>
      </c>
      <c r="H26435" s="40" t="s">
        <v>11404</v>
      </c>
    </row>
    <row r="26436">
      <c r="A26436" s="39"/>
      <c r="E26436" s="40" t="s">
        <v>11404</v>
      </c>
      <c r="F26436" s="40" t="s">
        <v>11404</v>
      </c>
      <c r="G26436" s="40" t="s">
        <v>11404</v>
      </c>
      <c r="H26436" s="40" t="s">
        <v>11404</v>
      </c>
    </row>
    <row r="26437">
      <c r="A26437" s="39"/>
      <c r="E26437" s="40" t="s">
        <v>11404</v>
      </c>
      <c r="F26437" s="40" t="s">
        <v>11404</v>
      </c>
      <c r="G26437" s="40" t="s">
        <v>11404</v>
      </c>
      <c r="H26437" s="40" t="s">
        <v>11404</v>
      </c>
    </row>
    <row r="26438">
      <c r="A26438" s="39"/>
      <c r="E26438" s="40" t="s">
        <v>11404</v>
      </c>
      <c r="F26438" s="40" t="s">
        <v>11404</v>
      </c>
      <c r="G26438" s="40" t="s">
        <v>11404</v>
      </c>
      <c r="H26438" s="40" t="s">
        <v>11404</v>
      </c>
    </row>
    <row r="26439">
      <c r="A26439" s="39"/>
      <c r="E26439" s="40" t="s">
        <v>11404</v>
      </c>
      <c r="F26439" s="40" t="s">
        <v>11404</v>
      </c>
      <c r="G26439" s="40" t="s">
        <v>11404</v>
      </c>
      <c r="H26439" s="40" t="s">
        <v>11404</v>
      </c>
    </row>
    <row r="26440">
      <c r="A26440" s="39"/>
      <c r="E26440" s="40" t="s">
        <v>11404</v>
      </c>
      <c r="F26440" s="40" t="s">
        <v>11404</v>
      </c>
      <c r="G26440" s="40" t="s">
        <v>11404</v>
      </c>
      <c r="H26440" s="40" t="s">
        <v>11404</v>
      </c>
    </row>
    <row r="26441">
      <c r="A26441" s="39"/>
      <c r="E26441" s="40" t="s">
        <v>11404</v>
      </c>
      <c r="F26441" s="40" t="s">
        <v>11404</v>
      </c>
      <c r="G26441" s="40" t="s">
        <v>11404</v>
      </c>
      <c r="H26441" s="40" t="s">
        <v>11404</v>
      </c>
    </row>
    <row r="26442">
      <c r="A26442" s="39"/>
      <c r="E26442" s="40" t="s">
        <v>11404</v>
      </c>
      <c r="F26442" s="40" t="s">
        <v>11404</v>
      </c>
      <c r="G26442" s="40" t="s">
        <v>11404</v>
      </c>
      <c r="H26442" s="40" t="s">
        <v>11404</v>
      </c>
    </row>
    <row r="26443">
      <c r="A26443" s="39"/>
      <c r="E26443" s="40" t="s">
        <v>11404</v>
      </c>
      <c r="F26443" s="40" t="s">
        <v>11404</v>
      </c>
      <c r="G26443" s="40" t="s">
        <v>11404</v>
      </c>
      <c r="H26443" s="40" t="s">
        <v>11404</v>
      </c>
    </row>
    <row r="26444">
      <c r="A26444" s="39"/>
      <c r="E26444" s="40" t="s">
        <v>11404</v>
      </c>
      <c r="F26444" s="40" t="s">
        <v>11404</v>
      </c>
      <c r="G26444" s="40" t="s">
        <v>11404</v>
      </c>
      <c r="H26444" s="40" t="s">
        <v>11404</v>
      </c>
    </row>
    <row r="26445">
      <c r="A26445" s="39"/>
      <c r="E26445" s="40" t="s">
        <v>11404</v>
      </c>
      <c r="F26445" s="40" t="s">
        <v>11404</v>
      </c>
      <c r="G26445" s="40" t="s">
        <v>11404</v>
      </c>
      <c r="H26445" s="40" t="s">
        <v>11404</v>
      </c>
    </row>
    <row r="26446">
      <c r="A26446" s="39"/>
      <c r="E26446" s="40" t="s">
        <v>11404</v>
      </c>
      <c r="F26446" s="40" t="s">
        <v>11404</v>
      </c>
      <c r="G26446" s="40" t="s">
        <v>11404</v>
      </c>
      <c r="H26446" s="40" t="s">
        <v>11404</v>
      </c>
    </row>
    <row r="26447">
      <c r="A26447" s="39"/>
      <c r="E26447" s="40" t="s">
        <v>11404</v>
      </c>
      <c r="F26447" s="40" t="s">
        <v>11404</v>
      </c>
      <c r="G26447" s="40" t="s">
        <v>11404</v>
      </c>
      <c r="H26447" s="40" t="s">
        <v>11404</v>
      </c>
    </row>
    <row r="26448">
      <c r="A26448" s="39"/>
      <c r="E26448" s="40" t="s">
        <v>11404</v>
      </c>
      <c r="F26448" s="40" t="s">
        <v>11404</v>
      </c>
      <c r="G26448" s="40" t="s">
        <v>11404</v>
      </c>
      <c r="H26448" s="40" t="s">
        <v>11404</v>
      </c>
    </row>
    <row r="26449">
      <c r="A26449" s="39"/>
      <c r="E26449" s="40" t="s">
        <v>11404</v>
      </c>
      <c r="F26449" s="40" t="s">
        <v>11404</v>
      </c>
      <c r="G26449" s="40" t="s">
        <v>11404</v>
      </c>
      <c r="H26449" s="40" t="s">
        <v>11404</v>
      </c>
    </row>
    <row r="26450">
      <c r="A26450" s="39"/>
      <c r="E26450" s="40" t="s">
        <v>11404</v>
      </c>
      <c r="F26450" s="40" t="s">
        <v>11404</v>
      </c>
      <c r="G26450" s="40" t="s">
        <v>11404</v>
      </c>
      <c r="H26450" s="40" t="s">
        <v>11404</v>
      </c>
    </row>
    <row r="26451">
      <c r="A26451" s="39"/>
      <c r="E26451" s="40" t="s">
        <v>11404</v>
      </c>
      <c r="F26451" s="40" t="s">
        <v>11404</v>
      </c>
      <c r="G26451" s="40" t="s">
        <v>11404</v>
      </c>
      <c r="H26451" s="40" t="s">
        <v>11404</v>
      </c>
    </row>
    <row r="26452">
      <c r="A26452" s="39"/>
      <c r="E26452" s="40" t="s">
        <v>11404</v>
      </c>
      <c r="F26452" s="40" t="s">
        <v>11404</v>
      </c>
      <c r="G26452" s="40" t="s">
        <v>11404</v>
      </c>
      <c r="H26452" s="40" t="s">
        <v>11404</v>
      </c>
    </row>
    <row r="26453">
      <c r="A26453" s="39"/>
      <c r="E26453" s="40" t="s">
        <v>11404</v>
      </c>
      <c r="F26453" s="40" t="s">
        <v>11404</v>
      </c>
      <c r="G26453" s="40" t="s">
        <v>11404</v>
      </c>
      <c r="H26453" s="40" t="s">
        <v>11404</v>
      </c>
    </row>
    <row r="26454">
      <c r="A26454" s="39"/>
      <c r="E26454" s="40" t="s">
        <v>11404</v>
      </c>
      <c r="F26454" s="40" t="s">
        <v>11404</v>
      </c>
      <c r="G26454" s="40" t="s">
        <v>11404</v>
      </c>
      <c r="H26454" s="40" t="s">
        <v>11404</v>
      </c>
    </row>
    <row r="26455">
      <c r="A26455" s="39"/>
      <c r="E26455" s="40" t="s">
        <v>11404</v>
      </c>
      <c r="F26455" s="40" t="s">
        <v>11404</v>
      </c>
      <c r="G26455" s="40" t="s">
        <v>11404</v>
      </c>
      <c r="H26455" s="40" t="s">
        <v>11404</v>
      </c>
    </row>
    <row r="26456">
      <c r="A26456" s="39"/>
      <c r="E26456" s="40" t="s">
        <v>11404</v>
      </c>
      <c r="F26456" s="40" t="s">
        <v>11404</v>
      </c>
      <c r="G26456" s="40" t="s">
        <v>11404</v>
      </c>
      <c r="H26456" s="40" t="s">
        <v>11404</v>
      </c>
    </row>
    <row r="26457">
      <c r="A26457" s="39"/>
      <c r="E26457" s="40" t="s">
        <v>11404</v>
      </c>
      <c r="F26457" s="40" t="s">
        <v>11404</v>
      </c>
      <c r="G26457" s="40" t="s">
        <v>11404</v>
      </c>
      <c r="H26457" s="40" t="s">
        <v>11404</v>
      </c>
    </row>
    <row r="26458">
      <c r="A26458" s="39"/>
      <c r="E26458" s="40" t="s">
        <v>11404</v>
      </c>
      <c r="F26458" s="40" t="s">
        <v>11404</v>
      </c>
      <c r="G26458" s="40" t="s">
        <v>11404</v>
      </c>
      <c r="H26458" s="40" t="s">
        <v>11404</v>
      </c>
    </row>
    <row r="26459">
      <c r="A26459" s="39"/>
      <c r="E26459" s="40" t="s">
        <v>11404</v>
      </c>
      <c r="F26459" s="40" t="s">
        <v>11404</v>
      </c>
      <c r="G26459" s="40" t="s">
        <v>11404</v>
      </c>
      <c r="H26459" s="40" t="s">
        <v>11404</v>
      </c>
    </row>
    <row r="26460">
      <c r="A26460" s="39"/>
      <c r="E26460" s="40" t="s">
        <v>11404</v>
      </c>
      <c r="F26460" s="40" t="s">
        <v>11404</v>
      </c>
      <c r="G26460" s="40" t="s">
        <v>11404</v>
      </c>
      <c r="H26460" s="40" t="s">
        <v>11404</v>
      </c>
    </row>
    <row r="26461">
      <c r="A26461" s="39"/>
      <c r="E26461" s="40" t="s">
        <v>11404</v>
      </c>
      <c r="F26461" s="40" t="s">
        <v>11404</v>
      </c>
      <c r="G26461" s="40" t="s">
        <v>11404</v>
      </c>
      <c r="H26461" s="40" t="s">
        <v>11404</v>
      </c>
    </row>
    <row r="26462">
      <c r="A26462" s="39"/>
      <c r="E26462" s="40" t="s">
        <v>11404</v>
      </c>
      <c r="F26462" s="40" t="s">
        <v>11404</v>
      </c>
      <c r="G26462" s="40" t="s">
        <v>11404</v>
      </c>
      <c r="H26462" s="40" t="s">
        <v>11404</v>
      </c>
    </row>
    <row r="26463">
      <c r="A26463" s="39"/>
      <c r="E26463" s="40" t="s">
        <v>11404</v>
      </c>
      <c r="F26463" s="40" t="s">
        <v>11404</v>
      </c>
      <c r="G26463" s="40" t="s">
        <v>11404</v>
      </c>
      <c r="H26463" s="40" t="s">
        <v>11404</v>
      </c>
    </row>
    <row r="26464">
      <c r="A26464" s="39"/>
      <c r="E26464" s="40" t="s">
        <v>11404</v>
      </c>
      <c r="F26464" s="40" t="s">
        <v>11404</v>
      </c>
      <c r="G26464" s="40" t="s">
        <v>11404</v>
      </c>
      <c r="H26464" s="40" t="s">
        <v>11404</v>
      </c>
    </row>
    <row r="26465">
      <c r="A26465" s="39"/>
      <c r="E26465" s="40" t="s">
        <v>11404</v>
      </c>
      <c r="F26465" s="40" t="s">
        <v>11404</v>
      </c>
      <c r="G26465" s="40" t="s">
        <v>11404</v>
      </c>
      <c r="H26465" s="40" t="s">
        <v>11404</v>
      </c>
    </row>
    <row r="26466">
      <c r="A26466" s="39"/>
      <c r="E26466" s="40" t="s">
        <v>11404</v>
      </c>
      <c r="F26466" s="40" t="s">
        <v>11404</v>
      </c>
      <c r="G26466" s="40" t="s">
        <v>11404</v>
      </c>
      <c r="H26466" s="40" t="s">
        <v>11404</v>
      </c>
    </row>
    <row r="26467">
      <c r="A26467" s="39"/>
      <c r="E26467" s="40" t="s">
        <v>11404</v>
      </c>
      <c r="F26467" s="40" t="s">
        <v>11404</v>
      </c>
      <c r="G26467" s="40" t="s">
        <v>11404</v>
      </c>
      <c r="H26467" s="40" t="s">
        <v>11404</v>
      </c>
    </row>
    <row r="26468">
      <c r="A26468" s="39"/>
      <c r="E26468" s="40" t="s">
        <v>11404</v>
      </c>
      <c r="F26468" s="40" t="s">
        <v>11404</v>
      </c>
      <c r="G26468" s="40" t="s">
        <v>11404</v>
      </c>
      <c r="H26468" s="40" t="s">
        <v>11404</v>
      </c>
    </row>
    <row r="26469">
      <c r="A26469" s="39"/>
      <c r="E26469" s="40" t="s">
        <v>11404</v>
      </c>
      <c r="F26469" s="40" t="s">
        <v>11404</v>
      </c>
      <c r="G26469" s="40" t="s">
        <v>11404</v>
      </c>
      <c r="H26469" s="40" t="s">
        <v>11404</v>
      </c>
    </row>
    <row r="26470">
      <c r="A26470" s="39"/>
      <c r="E26470" s="40" t="s">
        <v>11404</v>
      </c>
      <c r="F26470" s="40" t="s">
        <v>11404</v>
      </c>
      <c r="G26470" s="40" t="s">
        <v>11404</v>
      </c>
      <c r="H26470" s="40" t="s">
        <v>11404</v>
      </c>
    </row>
    <row r="26471">
      <c r="A26471" s="39"/>
      <c r="E26471" s="40" t="s">
        <v>11404</v>
      </c>
      <c r="F26471" s="40" t="s">
        <v>11404</v>
      </c>
      <c r="G26471" s="40" t="s">
        <v>11404</v>
      </c>
      <c r="H26471" s="40" t="s">
        <v>11404</v>
      </c>
    </row>
    <row r="26472">
      <c r="A26472" s="39"/>
      <c r="E26472" s="40" t="s">
        <v>11404</v>
      </c>
      <c r="F26472" s="40" t="s">
        <v>11404</v>
      </c>
      <c r="G26472" s="40" t="s">
        <v>11404</v>
      </c>
      <c r="H26472" s="40" t="s">
        <v>11404</v>
      </c>
    </row>
    <row r="26473">
      <c r="A26473" s="39"/>
      <c r="E26473" s="40" t="s">
        <v>11404</v>
      </c>
      <c r="F26473" s="40" t="s">
        <v>11404</v>
      </c>
      <c r="G26473" s="40" t="s">
        <v>11404</v>
      </c>
      <c r="H26473" s="40" t="s">
        <v>11404</v>
      </c>
    </row>
    <row r="26474">
      <c r="A26474" s="39"/>
      <c r="E26474" s="40" t="s">
        <v>11404</v>
      </c>
      <c r="F26474" s="40" t="s">
        <v>11404</v>
      </c>
      <c r="G26474" s="40" t="s">
        <v>11404</v>
      </c>
      <c r="H26474" s="40" t="s">
        <v>11404</v>
      </c>
    </row>
    <row r="26475">
      <c r="A26475" s="39"/>
      <c r="E26475" s="40" t="s">
        <v>11404</v>
      </c>
      <c r="F26475" s="40" t="s">
        <v>11404</v>
      </c>
      <c r="G26475" s="40" t="s">
        <v>11404</v>
      </c>
      <c r="H26475" s="40" t="s">
        <v>11404</v>
      </c>
    </row>
    <row r="26476">
      <c r="A26476" s="39"/>
      <c r="E26476" s="40" t="s">
        <v>11404</v>
      </c>
      <c r="F26476" s="40" t="s">
        <v>11404</v>
      </c>
      <c r="G26476" s="40" t="s">
        <v>11404</v>
      </c>
      <c r="H26476" s="40" t="s">
        <v>11404</v>
      </c>
    </row>
    <row r="26477">
      <c r="A26477" s="39"/>
      <c r="E26477" s="40" t="s">
        <v>11404</v>
      </c>
      <c r="F26477" s="40" t="s">
        <v>11404</v>
      </c>
      <c r="G26477" s="40" t="s">
        <v>11404</v>
      </c>
      <c r="H26477" s="40" t="s">
        <v>11404</v>
      </c>
    </row>
    <row r="26478">
      <c r="A26478" s="39"/>
      <c r="E26478" s="40" t="s">
        <v>11404</v>
      </c>
      <c r="F26478" s="40" t="s">
        <v>11404</v>
      </c>
      <c r="G26478" s="40" t="s">
        <v>11404</v>
      </c>
      <c r="H26478" s="40" t="s">
        <v>11404</v>
      </c>
    </row>
    <row r="26479">
      <c r="A26479" s="39"/>
      <c r="E26479" s="40" t="s">
        <v>11404</v>
      </c>
      <c r="F26479" s="40" t="s">
        <v>11404</v>
      </c>
      <c r="G26479" s="40" t="s">
        <v>11404</v>
      </c>
      <c r="H26479" s="40" t="s">
        <v>11404</v>
      </c>
    </row>
    <row r="26480">
      <c r="A26480" s="39"/>
      <c r="E26480" s="40" t="s">
        <v>11404</v>
      </c>
      <c r="F26480" s="40" t="s">
        <v>11404</v>
      </c>
      <c r="G26480" s="40" t="s">
        <v>11404</v>
      </c>
      <c r="H26480" s="40" t="s">
        <v>11404</v>
      </c>
    </row>
    <row r="26481">
      <c r="A26481" s="39"/>
      <c r="E26481" s="40" t="s">
        <v>11404</v>
      </c>
      <c r="F26481" s="40" t="s">
        <v>11404</v>
      </c>
      <c r="G26481" s="40" t="s">
        <v>11404</v>
      </c>
      <c r="H26481" s="40" t="s">
        <v>11404</v>
      </c>
    </row>
    <row r="26482">
      <c r="A26482" s="39"/>
      <c r="E26482" s="40" t="s">
        <v>11404</v>
      </c>
      <c r="F26482" s="40" t="s">
        <v>11404</v>
      </c>
      <c r="G26482" s="40" t="s">
        <v>11404</v>
      </c>
      <c r="H26482" s="40" t="s">
        <v>11404</v>
      </c>
    </row>
    <row r="26483">
      <c r="A26483" s="39"/>
      <c r="E26483" s="40" t="s">
        <v>11404</v>
      </c>
      <c r="F26483" s="40" t="s">
        <v>11404</v>
      </c>
      <c r="G26483" s="40" t="s">
        <v>11404</v>
      </c>
      <c r="H26483" s="40" t="s">
        <v>11404</v>
      </c>
    </row>
    <row r="26484">
      <c r="A26484" s="39"/>
      <c r="E26484" s="40" t="s">
        <v>11404</v>
      </c>
      <c r="F26484" s="40" t="s">
        <v>11404</v>
      </c>
      <c r="G26484" s="40" t="s">
        <v>11404</v>
      </c>
      <c r="H26484" s="40" t="s">
        <v>11404</v>
      </c>
    </row>
    <row r="26485">
      <c r="A26485" s="39"/>
      <c r="E26485" s="40" t="s">
        <v>11404</v>
      </c>
      <c r="F26485" s="40" t="s">
        <v>11404</v>
      </c>
      <c r="G26485" s="40" t="s">
        <v>11404</v>
      </c>
      <c r="H26485" s="40" t="s">
        <v>11404</v>
      </c>
    </row>
    <row r="26486">
      <c r="A26486" s="39"/>
      <c r="E26486" s="40" t="s">
        <v>11404</v>
      </c>
      <c r="F26486" s="40" t="s">
        <v>11404</v>
      </c>
      <c r="G26486" s="40" t="s">
        <v>11404</v>
      </c>
      <c r="H26486" s="40" t="s">
        <v>11404</v>
      </c>
    </row>
    <row r="26487">
      <c r="A26487" s="39"/>
      <c r="E26487" s="40" t="s">
        <v>11404</v>
      </c>
      <c r="F26487" s="40" t="s">
        <v>11404</v>
      </c>
      <c r="G26487" s="40" t="s">
        <v>11404</v>
      </c>
      <c r="H26487" s="40" t="s">
        <v>11404</v>
      </c>
    </row>
    <row r="26488">
      <c r="A26488" s="39"/>
      <c r="E26488" s="40" t="s">
        <v>11404</v>
      </c>
      <c r="F26488" s="40" t="s">
        <v>11404</v>
      </c>
      <c r="G26488" s="40" t="s">
        <v>11404</v>
      </c>
      <c r="H26488" s="40" t="s">
        <v>11404</v>
      </c>
    </row>
    <row r="26489">
      <c r="A26489" s="39"/>
      <c r="E26489" s="40" t="s">
        <v>11404</v>
      </c>
      <c r="F26489" s="40" t="s">
        <v>11404</v>
      </c>
      <c r="G26489" s="40" t="s">
        <v>11404</v>
      </c>
      <c r="H26489" s="40" t="s">
        <v>11404</v>
      </c>
    </row>
    <row r="26490">
      <c r="A26490" s="39"/>
      <c r="E26490" s="40" t="s">
        <v>11404</v>
      </c>
      <c r="F26490" s="40" t="s">
        <v>11404</v>
      </c>
      <c r="G26490" s="40" t="s">
        <v>11404</v>
      </c>
      <c r="H26490" s="40" t="s">
        <v>11404</v>
      </c>
    </row>
    <row r="26491">
      <c r="A26491" s="39"/>
      <c r="E26491" s="40" t="s">
        <v>11404</v>
      </c>
      <c r="F26491" s="40" t="s">
        <v>11404</v>
      </c>
      <c r="G26491" s="40" t="s">
        <v>11404</v>
      </c>
      <c r="H26491" s="40" t="s">
        <v>11404</v>
      </c>
    </row>
    <row r="26492">
      <c r="A26492" s="39"/>
      <c r="E26492" s="40" t="s">
        <v>11404</v>
      </c>
      <c r="F26492" s="40" t="s">
        <v>11404</v>
      </c>
      <c r="G26492" s="40" t="s">
        <v>11404</v>
      </c>
      <c r="H26492" s="40" t="s">
        <v>11404</v>
      </c>
    </row>
    <row r="26493">
      <c r="A26493" s="39"/>
      <c r="E26493" s="40" t="s">
        <v>11404</v>
      </c>
      <c r="F26493" s="40" t="s">
        <v>11404</v>
      </c>
      <c r="G26493" s="40" t="s">
        <v>11404</v>
      </c>
      <c r="H26493" s="40" t="s">
        <v>11404</v>
      </c>
    </row>
    <row r="26494">
      <c r="A26494" s="39"/>
      <c r="E26494" s="40" t="s">
        <v>11404</v>
      </c>
      <c r="F26494" s="40" t="s">
        <v>11404</v>
      </c>
      <c r="G26494" s="40" t="s">
        <v>11404</v>
      </c>
      <c r="H26494" s="40" t="s">
        <v>11404</v>
      </c>
    </row>
    <row r="26495">
      <c r="A26495" s="39"/>
      <c r="E26495" s="40" t="s">
        <v>11404</v>
      </c>
      <c r="F26495" s="40" t="s">
        <v>11404</v>
      </c>
      <c r="G26495" s="40" t="s">
        <v>11404</v>
      </c>
      <c r="H26495" s="40" t="s">
        <v>11404</v>
      </c>
    </row>
    <row r="26496">
      <c r="A26496" s="39"/>
      <c r="E26496" s="40" t="s">
        <v>11404</v>
      </c>
      <c r="F26496" s="40" t="s">
        <v>11404</v>
      </c>
      <c r="G26496" s="40" t="s">
        <v>11404</v>
      </c>
      <c r="H26496" s="40" t="s">
        <v>11404</v>
      </c>
    </row>
    <row r="26497">
      <c r="A26497" s="39"/>
      <c r="E26497" s="40" t="s">
        <v>11404</v>
      </c>
      <c r="F26497" s="40" t="s">
        <v>11404</v>
      </c>
      <c r="G26497" s="40" t="s">
        <v>11404</v>
      </c>
      <c r="H26497" s="40" t="s">
        <v>11404</v>
      </c>
    </row>
    <row r="26498">
      <c r="A26498" s="39"/>
      <c r="E26498" s="40" t="s">
        <v>11404</v>
      </c>
      <c r="F26498" s="40" t="s">
        <v>11404</v>
      </c>
      <c r="G26498" s="40" t="s">
        <v>11404</v>
      </c>
      <c r="H26498" s="40" t="s">
        <v>11404</v>
      </c>
    </row>
    <row r="26499">
      <c r="A26499" s="39"/>
      <c r="E26499" s="40" t="s">
        <v>11404</v>
      </c>
      <c r="F26499" s="40" t="s">
        <v>11404</v>
      </c>
      <c r="G26499" s="40" t="s">
        <v>11404</v>
      </c>
      <c r="H26499" s="40" t="s">
        <v>11404</v>
      </c>
    </row>
    <row r="26500">
      <c r="A26500" s="39"/>
      <c r="E26500" s="40" t="s">
        <v>11404</v>
      </c>
      <c r="F26500" s="40" t="s">
        <v>11404</v>
      </c>
      <c r="G26500" s="40" t="s">
        <v>11404</v>
      </c>
      <c r="H26500" s="40" t="s">
        <v>11404</v>
      </c>
    </row>
    <row r="26501">
      <c r="A26501" s="39"/>
      <c r="E26501" s="40" t="s">
        <v>11404</v>
      </c>
      <c r="F26501" s="40" t="s">
        <v>11404</v>
      </c>
      <c r="G26501" s="40" t="s">
        <v>11404</v>
      </c>
      <c r="H26501" s="40" t="s">
        <v>11404</v>
      </c>
    </row>
    <row r="26502">
      <c r="A26502" s="39"/>
      <c r="E26502" s="40" t="s">
        <v>11404</v>
      </c>
      <c r="F26502" s="40" t="s">
        <v>11404</v>
      </c>
      <c r="G26502" s="40" t="s">
        <v>11404</v>
      </c>
      <c r="H26502" s="40" t="s">
        <v>11404</v>
      </c>
    </row>
    <row r="26503">
      <c r="A26503" s="39"/>
      <c r="E26503" s="40" t="s">
        <v>11404</v>
      </c>
      <c r="F26503" s="40" t="s">
        <v>11404</v>
      </c>
      <c r="G26503" s="40" t="s">
        <v>11404</v>
      </c>
      <c r="H26503" s="40" t="s">
        <v>11404</v>
      </c>
    </row>
    <row r="26504">
      <c r="A26504" s="39"/>
      <c r="E26504" s="40" t="s">
        <v>11404</v>
      </c>
      <c r="F26504" s="40" t="s">
        <v>11404</v>
      </c>
      <c r="G26504" s="40" t="s">
        <v>11404</v>
      </c>
      <c r="H26504" s="40" t="s">
        <v>11404</v>
      </c>
    </row>
    <row r="26505">
      <c r="A26505" s="39"/>
      <c r="E26505" s="40" t="s">
        <v>11404</v>
      </c>
      <c r="F26505" s="40" t="s">
        <v>11404</v>
      </c>
      <c r="G26505" s="40" t="s">
        <v>11404</v>
      </c>
      <c r="H26505" s="40" t="s">
        <v>11404</v>
      </c>
    </row>
    <row r="26506">
      <c r="A26506" s="39"/>
      <c r="E26506" s="40" t="s">
        <v>11404</v>
      </c>
      <c r="F26506" s="40" t="s">
        <v>11404</v>
      </c>
      <c r="G26506" s="40" t="s">
        <v>11404</v>
      </c>
      <c r="H26506" s="40" t="s">
        <v>11404</v>
      </c>
    </row>
    <row r="26507">
      <c r="A26507" s="39"/>
      <c r="E26507" s="40" t="s">
        <v>11404</v>
      </c>
      <c r="F26507" s="40" t="s">
        <v>11404</v>
      </c>
      <c r="G26507" s="40" t="s">
        <v>11404</v>
      </c>
      <c r="H26507" s="40" t="s">
        <v>11404</v>
      </c>
    </row>
    <row r="26508">
      <c r="A26508" s="39"/>
      <c r="E26508" s="40" t="s">
        <v>11404</v>
      </c>
      <c r="F26508" s="40" t="s">
        <v>11404</v>
      </c>
      <c r="G26508" s="40" t="s">
        <v>11404</v>
      </c>
      <c r="H26508" s="40" t="s">
        <v>11404</v>
      </c>
    </row>
    <row r="26509">
      <c r="A26509" s="39"/>
      <c r="E26509" s="40" t="s">
        <v>11404</v>
      </c>
      <c r="F26509" s="40" t="s">
        <v>11404</v>
      </c>
      <c r="G26509" s="40" t="s">
        <v>11404</v>
      </c>
      <c r="H26509" s="40" t="s">
        <v>11404</v>
      </c>
    </row>
    <row r="26510">
      <c r="A26510" s="39"/>
      <c r="E26510" s="40" t="s">
        <v>11404</v>
      </c>
      <c r="F26510" s="40" t="s">
        <v>11404</v>
      </c>
      <c r="G26510" s="40" t="s">
        <v>11404</v>
      </c>
      <c r="H26510" s="40" t="s">
        <v>11404</v>
      </c>
    </row>
    <row r="26511">
      <c r="A26511" s="39"/>
      <c r="E26511" s="40" t="s">
        <v>11404</v>
      </c>
      <c r="F26511" s="40" t="s">
        <v>11404</v>
      </c>
      <c r="G26511" s="40" t="s">
        <v>11404</v>
      </c>
      <c r="H26511" s="40" t="s">
        <v>11404</v>
      </c>
    </row>
    <row r="26512">
      <c r="A26512" s="39"/>
      <c r="E26512" s="40" t="s">
        <v>11404</v>
      </c>
      <c r="F26512" s="40" t="s">
        <v>11404</v>
      </c>
      <c r="G26512" s="40" t="s">
        <v>11404</v>
      </c>
      <c r="H26512" s="40" t="s">
        <v>11404</v>
      </c>
    </row>
    <row r="26513">
      <c r="A26513" s="39"/>
      <c r="E26513" s="40" t="s">
        <v>11404</v>
      </c>
      <c r="F26513" s="40" t="s">
        <v>11404</v>
      </c>
      <c r="G26513" s="40" t="s">
        <v>11404</v>
      </c>
      <c r="H26513" s="40" t="s">
        <v>11404</v>
      </c>
    </row>
    <row r="26514">
      <c r="A26514" s="39"/>
      <c r="E26514" s="40" t="s">
        <v>11404</v>
      </c>
      <c r="F26514" s="40" t="s">
        <v>11404</v>
      </c>
      <c r="G26514" s="40" t="s">
        <v>11404</v>
      </c>
      <c r="H26514" s="40" t="s">
        <v>11404</v>
      </c>
    </row>
    <row r="26515">
      <c r="A26515" s="39"/>
      <c r="E26515" s="40" t="s">
        <v>11404</v>
      </c>
      <c r="F26515" s="40" t="s">
        <v>11404</v>
      </c>
      <c r="G26515" s="40" t="s">
        <v>11404</v>
      </c>
      <c r="H26515" s="40" t="s">
        <v>11404</v>
      </c>
    </row>
    <row r="26516">
      <c r="A26516" s="39"/>
      <c r="E26516" s="40" t="s">
        <v>11404</v>
      </c>
      <c r="F26516" s="40" t="s">
        <v>11404</v>
      </c>
      <c r="G26516" s="40" t="s">
        <v>11404</v>
      </c>
      <c r="H26516" s="40" t="s">
        <v>11404</v>
      </c>
    </row>
    <row r="26517">
      <c r="A26517" s="39"/>
      <c r="E26517" s="40" t="s">
        <v>11404</v>
      </c>
      <c r="F26517" s="40" t="s">
        <v>11404</v>
      </c>
      <c r="G26517" s="40" t="s">
        <v>11404</v>
      </c>
      <c r="H26517" s="40" t="s">
        <v>11404</v>
      </c>
    </row>
    <row r="26518">
      <c r="A26518" s="39"/>
      <c r="E26518" s="40" t="s">
        <v>11404</v>
      </c>
      <c r="F26518" s="40" t="s">
        <v>11404</v>
      </c>
      <c r="G26518" s="40" t="s">
        <v>11404</v>
      </c>
      <c r="H26518" s="40" t="s">
        <v>11404</v>
      </c>
    </row>
    <row r="26519">
      <c r="A26519" s="39"/>
      <c r="E26519" s="40" t="s">
        <v>11404</v>
      </c>
      <c r="F26519" s="40" t="s">
        <v>11404</v>
      </c>
      <c r="G26519" s="40" t="s">
        <v>11404</v>
      </c>
      <c r="H26519" s="40" t="s">
        <v>11404</v>
      </c>
    </row>
    <row r="26520">
      <c r="A26520" s="39"/>
      <c r="E26520" s="40" t="s">
        <v>11404</v>
      </c>
      <c r="F26520" s="40" t="s">
        <v>11404</v>
      </c>
      <c r="G26520" s="40" t="s">
        <v>11404</v>
      </c>
      <c r="H26520" s="40" t="s">
        <v>11404</v>
      </c>
    </row>
    <row r="26521">
      <c r="A26521" s="39"/>
      <c r="E26521" s="40" t="s">
        <v>11404</v>
      </c>
      <c r="F26521" s="40" t="s">
        <v>11404</v>
      </c>
      <c r="G26521" s="40" t="s">
        <v>11404</v>
      </c>
      <c r="H26521" s="40" t="s">
        <v>11404</v>
      </c>
    </row>
    <row r="26522">
      <c r="A26522" s="39"/>
      <c r="E26522" s="40" t="s">
        <v>11404</v>
      </c>
      <c r="F26522" s="40" t="s">
        <v>11404</v>
      </c>
      <c r="G26522" s="40" t="s">
        <v>11404</v>
      </c>
      <c r="H26522" s="40" t="s">
        <v>11404</v>
      </c>
    </row>
    <row r="26523">
      <c r="A26523" s="39"/>
      <c r="E26523" s="40" t="s">
        <v>11404</v>
      </c>
      <c r="F26523" s="40" t="s">
        <v>11404</v>
      </c>
      <c r="G26523" s="40" t="s">
        <v>11404</v>
      </c>
      <c r="H26523" s="40" t="s">
        <v>11404</v>
      </c>
    </row>
    <row r="26524">
      <c r="A26524" s="39"/>
      <c r="E26524" s="40" t="s">
        <v>11404</v>
      </c>
      <c r="F26524" s="40" t="s">
        <v>11404</v>
      </c>
      <c r="G26524" s="40" t="s">
        <v>11404</v>
      </c>
      <c r="H26524" s="40" t="s">
        <v>11404</v>
      </c>
    </row>
    <row r="26525">
      <c r="A26525" s="39"/>
      <c r="E26525" s="40" t="s">
        <v>11404</v>
      </c>
      <c r="F26525" s="40" t="s">
        <v>11404</v>
      </c>
      <c r="G26525" s="40" t="s">
        <v>11404</v>
      </c>
      <c r="H26525" s="40" t="s">
        <v>11404</v>
      </c>
    </row>
    <row r="26526">
      <c r="A26526" s="39"/>
      <c r="E26526" s="40" t="s">
        <v>11404</v>
      </c>
      <c r="F26526" s="40" t="s">
        <v>11404</v>
      </c>
      <c r="G26526" s="40" t="s">
        <v>11404</v>
      </c>
      <c r="H26526" s="40" t="s">
        <v>11404</v>
      </c>
    </row>
    <row r="26527">
      <c r="A26527" s="39"/>
      <c r="E26527" s="40" t="s">
        <v>11404</v>
      </c>
      <c r="F26527" s="40" t="s">
        <v>11404</v>
      </c>
      <c r="G26527" s="40" t="s">
        <v>11404</v>
      </c>
      <c r="H26527" s="40" t="s">
        <v>11404</v>
      </c>
    </row>
    <row r="26528">
      <c r="A26528" s="39"/>
      <c r="E26528" s="40" t="s">
        <v>11404</v>
      </c>
      <c r="F26528" s="40" t="s">
        <v>11404</v>
      </c>
      <c r="G26528" s="40" t="s">
        <v>11404</v>
      </c>
      <c r="H26528" s="40" t="s">
        <v>11404</v>
      </c>
    </row>
    <row r="26529">
      <c r="A26529" s="39"/>
      <c r="E26529" s="40" t="s">
        <v>11404</v>
      </c>
      <c r="F26529" s="40" t="s">
        <v>11404</v>
      </c>
      <c r="G26529" s="40" t="s">
        <v>11404</v>
      </c>
      <c r="H26529" s="40" t="s">
        <v>11404</v>
      </c>
    </row>
    <row r="26530">
      <c r="A26530" s="39"/>
      <c r="E26530" s="40" t="s">
        <v>11404</v>
      </c>
      <c r="F26530" s="40" t="s">
        <v>11404</v>
      </c>
      <c r="G26530" s="40" t="s">
        <v>11404</v>
      </c>
      <c r="H26530" s="40" t="s">
        <v>11404</v>
      </c>
    </row>
    <row r="26531">
      <c r="A26531" s="39"/>
      <c r="E26531" s="40" t="s">
        <v>11404</v>
      </c>
      <c r="F26531" s="40" t="s">
        <v>11404</v>
      </c>
      <c r="G26531" s="40" t="s">
        <v>11404</v>
      </c>
      <c r="H26531" s="40" t="s">
        <v>11404</v>
      </c>
    </row>
    <row r="26532">
      <c r="A26532" s="39"/>
      <c r="E26532" s="40" t="s">
        <v>11404</v>
      </c>
      <c r="F26532" s="40" t="s">
        <v>11404</v>
      </c>
      <c r="G26532" s="40" t="s">
        <v>11404</v>
      </c>
      <c r="H26532" s="40" t="s">
        <v>11404</v>
      </c>
    </row>
    <row r="26533">
      <c r="A26533" s="39"/>
      <c r="E26533" s="40" t="s">
        <v>11404</v>
      </c>
      <c r="F26533" s="40" t="s">
        <v>11404</v>
      </c>
      <c r="G26533" s="40" t="s">
        <v>11404</v>
      </c>
      <c r="H26533" s="40" t="s">
        <v>11404</v>
      </c>
    </row>
    <row r="26534">
      <c r="A26534" s="39"/>
      <c r="E26534" s="40" t="s">
        <v>11404</v>
      </c>
      <c r="F26534" s="40" t="s">
        <v>11404</v>
      </c>
      <c r="G26534" s="40" t="s">
        <v>11404</v>
      </c>
      <c r="H26534" s="40" t="s">
        <v>11404</v>
      </c>
    </row>
    <row r="26535">
      <c r="A26535" s="39"/>
      <c r="E26535" s="40" t="s">
        <v>11404</v>
      </c>
      <c r="F26535" s="40" t="s">
        <v>11404</v>
      </c>
      <c r="G26535" s="40" t="s">
        <v>11404</v>
      </c>
      <c r="H26535" s="40" t="s">
        <v>11404</v>
      </c>
    </row>
    <row r="26536">
      <c r="A26536" s="39"/>
      <c r="E26536" s="40" t="s">
        <v>11404</v>
      </c>
      <c r="F26536" s="40" t="s">
        <v>11404</v>
      </c>
      <c r="G26536" s="40" t="s">
        <v>11404</v>
      </c>
      <c r="H26536" s="40" t="s">
        <v>11404</v>
      </c>
    </row>
    <row r="26537">
      <c r="A26537" s="39"/>
      <c r="E26537" s="40" t="s">
        <v>11404</v>
      </c>
      <c r="F26537" s="40" t="s">
        <v>11404</v>
      </c>
      <c r="G26537" s="40" t="s">
        <v>11404</v>
      </c>
      <c r="H26537" s="40" t="s">
        <v>11404</v>
      </c>
    </row>
    <row r="26538">
      <c r="A26538" s="39"/>
      <c r="E26538" s="40" t="s">
        <v>11404</v>
      </c>
      <c r="F26538" s="40" t="s">
        <v>11404</v>
      </c>
      <c r="G26538" s="40" t="s">
        <v>11404</v>
      </c>
      <c r="H26538" s="40" t="s">
        <v>11404</v>
      </c>
    </row>
    <row r="26539">
      <c r="A26539" s="39"/>
      <c r="E26539" s="40" t="s">
        <v>11404</v>
      </c>
      <c r="F26539" s="40" t="s">
        <v>11404</v>
      </c>
      <c r="G26539" s="40" t="s">
        <v>11404</v>
      </c>
      <c r="H26539" s="40" t="s">
        <v>11404</v>
      </c>
    </row>
    <row r="26540">
      <c r="A26540" s="39"/>
      <c r="E26540" s="40" t="s">
        <v>11404</v>
      </c>
      <c r="F26540" s="40" t="s">
        <v>11404</v>
      </c>
      <c r="G26540" s="40" t="s">
        <v>11404</v>
      </c>
      <c r="H26540" s="40" t="s">
        <v>11404</v>
      </c>
    </row>
    <row r="26541">
      <c r="A26541" s="39"/>
      <c r="E26541" s="40" t="s">
        <v>11404</v>
      </c>
      <c r="F26541" s="40" t="s">
        <v>11404</v>
      </c>
      <c r="G26541" s="40" t="s">
        <v>11404</v>
      </c>
      <c r="H26541" s="40" t="s">
        <v>11404</v>
      </c>
    </row>
    <row r="26542">
      <c r="A26542" s="39"/>
      <c r="E26542" s="40" t="s">
        <v>11404</v>
      </c>
      <c r="F26542" s="40" t="s">
        <v>11404</v>
      </c>
      <c r="G26542" s="40" t="s">
        <v>11404</v>
      </c>
      <c r="H26542" s="40" t="s">
        <v>11404</v>
      </c>
    </row>
    <row r="26543">
      <c r="A26543" s="39"/>
      <c r="E26543" s="40" t="s">
        <v>11404</v>
      </c>
      <c r="F26543" s="40" t="s">
        <v>11404</v>
      </c>
      <c r="G26543" s="40" t="s">
        <v>11404</v>
      </c>
      <c r="H26543" s="40" t="s">
        <v>11404</v>
      </c>
    </row>
    <row r="26544">
      <c r="A26544" s="39"/>
      <c r="E26544" s="40" t="s">
        <v>11404</v>
      </c>
      <c r="F26544" s="40" t="s">
        <v>11404</v>
      </c>
      <c r="G26544" s="40" t="s">
        <v>11404</v>
      </c>
      <c r="H26544" s="40" t="s">
        <v>11404</v>
      </c>
    </row>
    <row r="26545">
      <c r="A26545" s="39"/>
      <c r="E26545" s="40" t="s">
        <v>11404</v>
      </c>
      <c r="F26545" s="40" t="s">
        <v>11404</v>
      </c>
      <c r="G26545" s="40" t="s">
        <v>11404</v>
      </c>
      <c r="H26545" s="40" t="s">
        <v>11404</v>
      </c>
    </row>
    <row r="26546">
      <c r="A26546" s="39"/>
      <c r="E26546" s="40" t="s">
        <v>11404</v>
      </c>
      <c r="F26546" s="40" t="s">
        <v>11404</v>
      </c>
      <c r="G26546" s="40" t="s">
        <v>11404</v>
      </c>
      <c r="H26546" s="40" t="s">
        <v>11404</v>
      </c>
    </row>
    <row r="26547">
      <c r="A26547" s="39"/>
      <c r="E26547" s="40" t="s">
        <v>11404</v>
      </c>
      <c r="F26547" s="40" t="s">
        <v>11404</v>
      </c>
      <c r="G26547" s="40" t="s">
        <v>11404</v>
      </c>
      <c r="H26547" s="40" t="s">
        <v>11404</v>
      </c>
    </row>
    <row r="26548">
      <c r="A26548" s="39"/>
      <c r="E26548" s="40" t="s">
        <v>11404</v>
      </c>
      <c r="F26548" s="40" t="s">
        <v>11404</v>
      </c>
      <c r="G26548" s="40" t="s">
        <v>11404</v>
      </c>
      <c r="H26548" s="40" t="s">
        <v>11404</v>
      </c>
    </row>
    <row r="26549">
      <c r="A26549" s="39"/>
      <c r="E26549" s="40" t="s">
        <v>11404</v>
      </c>
      <c r="F26549" s="40" t="s">
        <v>11404</v>
      </c>
      <c r="G26549" s="40" t="s">
        <v>11404</v>
      </c>
      <c r="H26549" s="40" t="s">
        <v>11404</v>
      </c>
    </row>
    <row r="26550">
      <c r="A26550" s="39"/>
      <c r="E26550" s="40" t="s">
        <v>11404</v>
      </c>
      <c r="F26550" s="40" t="s">
        <v>11404</v>
      </c>
      <c r="G26550" s="40" t="s">
        <v>11404</v>
      </c>
      <c r="H26550" s="40" t="s">
        <v>11404</v>
      </c>
    </row>
    <row r="26551">
      <c r="A26551" s="39"/>
      <c r="E26551" s="40" t="s">
        <v>11404</v>
      </c>
      <c r="F26551" s="40" t="s">
        <v>11404</v>
      </c>
      <c r="G26551" s="40" t="s">
        <v>11404</v>
      </c>
      <c r="H26551" s="40" t="s">
        <v>11404</v>
      </c>
    </row>
    <row r="26552">
      <c r="A26552" s="39"/>
      <c r="E26552" s="40" t="s">
        <v>11404</v>
      </c>
      <c r="F26552" s="40" t="s">
        <v>11404</v>
      </c>
      <c r="G26552" s="40" t="s">
        <v>11404</v>
      </c>
      <c r="H26552" s="40" t="s">
        <v>11404</v>
      </c>
    </row>
    <row r="26553">
      <c r="A26553" s="39"/>
      <c r="E26553" s="40" t="s">
        <v>11404</v>
      </c>
      <c r="F26553" s="40" t="s">
        <v>11404</v>
      </c>
      <c r="G26553" s="40" t="s">
        <v>11404</v>
      </c>
      <c r="H26553" s="40" t="s">
        <v>11404</v>
      </c>
    </row>
    <row r="26554">
      <c r="A26554" s="39"/>
      <c r="E26554" s="40" t="s">
        <v>11404</v>
      </c>
      <c r="F26554" s="40" t="s">
        <v>11404</v>
      </c>
      <c r="G26554" s="40" t="s">
        <v>11404</v>
      </c>
      <c r="H26554" s="40" t="s">
        <v>11404</v>
      </c>
    </row>
    <row r="26555">
      <c r="A26555" s="39"/>
      <c r="E26555" s="40" t="s">
        <v>11404</v>
      </c>
      <c r="F26555" s="40" t="s">
        <v>11404</v>
      </c>
      <c r="G26555" s="40" t="s">
        <v>11404</v>
      </c>
      <c r="H26555" s="40" t="s">
        <v>11404</v>
      </c>
    </row>
    <row r="26556">
      <c r="A26556" s="39"/>
      <c r="E26556" s="40" t="s">
        <v>11404</v>
      </c>
      <c r="F26556" s="40" t="s">
        <v>11404</v>
      </c>
      <c r="G26556" s="40" t="s">
        <v>11404</v>
      </c>
      <c r="H26556" s="40" t="s">
        <v>11404</v>
      </c>
    </row>
    <row r="26557">
      <c r="A26557" s="39"/>
      <c r="E26557" s="40" t="s">
        <v>11404</v>
      </c>
      <c r="F26557" s="40" t="s">
        <v>11404</v>
      </c>
      <c r="G26557" s="40" t="s">
        <v>11404</v>
      </c>
      <c r="H26557" s="40" t="s">
        <v>11404</v>
      </c>
    </row>
    <row r="26558">
      <c r="A26558" s="39"/>
      <c r="E26558" s="40" t="s">
        <v>11404</v>
      </c>
      <c r="F26558" s="40" t="s">
        <v>11404</v>
      </c>
      <c r="G26558" s="40" t="s">
        <v>11404</v>
      </c>
      <c r="H26558" s="40" t="s">
        <v>11404</v>
      </c>
    </row>
    <row r="26559">
      <c r="A26559" s="39"/>
      <c r="E26559" s="40" t="s">
        <v>11404</v>
      </c>
      <c r="F26559" s="40" t="s">
        <v>11404</v>
      </c>
      <c r="G26559" s="40" t="s">
        <v>11404</v>
      </c>
      <c r="H26559" s="40" t="s">
        <v>11404</v>
      </c>
    </row>
    <row r="26560">
      <c r="A26560" s="39"/>
      <c r="E26560" s="40" t="s">
        <v>11404</v>
      </c>
      <c r="F26560" s="40" t="s">
        <v>11404</v>
      </c>
      <c r="G26560" s="40" t="s">
        <v>11404</v>
      </c>
      <c r="H26560" s="40" t="s">
        <v>11404</v>
      </c>
    </row>
    <row r="26561">
      <c r="A26561" s="39"/>
      <c r="E26561" s="40" t="s">
        <v>11404</v>
      </c>
      <c r="F26561" s="40" t="s">
        <v>11404</v>
      </c>
      <c r="G26561" s="40" t="s">
        <v>11404</v>
      </c>
      <c r="H26561" s="40" t="s">
        <v>11404</v>
      </c>
    </row>
    <row r="26562">
      <c r="A26562" s="39"/>
      <c r="E26562" s="40" t="s">
        <v>11404</v>
      </c>
      <c r="F26562" s="40" t="s">
        <v>11404</v>
      </c>
      <c r="G26562" s="40" t="s">
        <v>11404</v>
      </c>
      <c r="H26562" s="40" t="s">
        <v>11404</v>
      </c>
    </row>
    <row r="26563">
      <c r="A26563" s="39"/>
      <c r="E26563" s="40" t="s">
        <v>11404</v>
      </c>
      <c r="F26563" s="40" t="s">
        <v>11404</v>
      </c>
      <c r="G26563" s="40" t="s">
        <v>11404</v>
      </c>
      <c r="H26563" s="40" t="s">
        <v>11404</v>
      </c>
    </row>
    <row r="26564">
      <c r="A26564" s="39"/>
      <c r="E26564" s="40" t="s">
        <v>11404</v>
      </c>
      <c r="F26564" s="40" t="s">
        <v>11404</v>
      </c>
      <c r="G26564" s="40" t="s">
        <v>11404</v>
      </c>
      <c r="H26564" s="40" t="s">
        <v>11404</v>
      </c>
    </row>
    <row r="26565">
      <c r="A26565" s="39"/>
      <c r="E26565" s="40" t="s">
        <v>11404</v>
      </c>
      <c r="F26565" s="40" t="s">
        <v>11404</v>
      </c>
      <c r="G26565" s="40" t="s">
        <v>11404</v>
      </c>
      <c r="H26565" s="40" t="s">
        <v>11404</v>
      </c>
    </row>
    <row r="26566">
      <c r="A26566" s="39"/>
      <c r="E26566" s="40" t="s">
        <v>11404</v>
      </c>
      <c r="F26566" s="40" t="s">
        <v>11404</v>
      </c>
      <c r="G26566" s="40" t="s">
        <v>11404</v>
      </c>
      <c r="H26566" s="40" t="s">
        <v>11404</v>
      </c>
    </row>
    <row r="26567">
      <c r="A26567" s="39"/>
      <c r="E26567" s="40" t="s">
        <v>11404</v>
      </c>
      <c r="F26567" s="40" t="s">
        <v>11404</v>
      </c>
      <c r="G26567" s="40" t="s">
        <v>11404</v>
      </c>
      <c r="H26567" s="40" t="s">
        <v>11404</v>
      </c>
    </row>
    <row r="26568">
      <c r="A26568" s="39"/>
      <c r="E26568" s="40" t="s">
        <v>11404</v>
      </c>
      <c r="F26568" s="40" t="s">
        <v>11404</v>
      </c>
      <c r="G26568" s="40" t="s">
        <v>11404</v>
      </c>
      <c r="H26568" s="40" t="s">
        <v>11404</v>
      </c>
    </row>
    <row r="26569">
      <c r="A26569" s="39"/>
      <c r="E26569" s="40" t="s">
        <v>11404</v>
      </c>
      <c r="F26569" s="40" t="s">
        <v>11404</v>
      </c>
      <c r="G26569" s="40" t="s">
        <v>11404</v>
      </c>
      <c r="H26569" s="40" t="s">
        <v>11404</v>
      </c>
    </row>
    <row r="26570">
      <c r="A26570" s="39"/>
      <c r="E26570" s="40" t="s">
        <v>11404</v>
      </c>
      <c r="F26570" s="40" t="s">
        <v>11404</v>
      </c>
      <c r="G26570" s="40" t="s">
        <v>11404</v>
      </c>
      <c r="H26570" s="40" t="s">
        <v>11404</v>
      </c>
    </row>
    <row r="26571">
      <c r="A26571" s="39"/>
      <c r="E26571" s="40" t="s">
        <v>11404</v>
      </c>
      <c r="F26571" s="40" t="s">
        <v>11404</v>
      </c>
      <c r="G26571" s="40" t="s">
        <v>11404</v>
      </c>
      <c r="H26571" s="40" t="s">
        <v>11404</v>
      </c>
    </row>
    <row r="26572">
      <c r="A26572" s="39"/>
      <c r="E26572" s="40" t="s">
        <v>11404</v>
      </c>
      <c r="F26572" s="40" t="s">
        <v>11404</v>
      </c>
      <c r="G26572" s="40" t="s">
        <v>11404</v>
      </c>
      <c r="H26572" s="40" t="s">
        <v>11404</v>
      </c>
    </row>
    <row r="26573">
      <c r="A26573" s="39"/>
      <c r="E26573" s="40" t="s">
        <v>11404</v>
      </c>
      <c r="F26573" s="40" t="s">
        <v>11404</v>
      </c>
      <c r="G26573" s="40" t="s">
        <v>11404</v>
      </c>
      <c r="H26573" s="40" t="s">
        <v>11404</v>
      </c>
    </row>
    <row r="26574">
      <c r="A26574" s="39"/>
      <c r="E26574" s="40" t="s">
        <v>11404</v>
      </c>
      <c r="F26574" s="40" t="s">
        <v>11404</v>
      </c>
      <c r="G26574" s="40" t="s">
        <v>11404</v>
      </c>
      <c r="H26574" s="40" t="s">
        <v>11404</v>
      </c>
    </row>
    <row r="26575">
      <c r="A26575" s="39"/>
      <c r="E26575" s="40" t="s">
        <v>11404</v>
      </c>
      <c r="F26575" s="40" t="s">
        <v>11404</v>
      </c>
      <c r="G26575" s="40" t="s">
        <v>11404</v>
      </c>
      <c r="H26575" s="40" t="s">
        <v>11404</v>
      </c>
    </row>
    <row r="26576">
      <c r="A26576" s="39"/>
      <c r="E26576" s="40" t="s">
        <v>11404</v>
      </c>
      <c r="F26576" s="40" t="s">
        <v>11404</v>
      </c>
      <c r="G26576" s="40" t="s">
        <v>11404</v>
      </c>
      <c r="H26576" s="40" t="s">
        <v>11404</v>
      </c>
    </row>
    <row r="26577">
      <c r="A26577" s="39"/>
      <c r="E26577" s="40" t="s">
        <v>11404</v>
      </c>
      <c r="F26577" s="40" t="s">
        <v>11404</v>
      </c>
      <c r="G26577" s="40" t="s">
        <v>11404</v>
      </c>
      <c r="H26577" s="40" t="s">
        <v>11404</v>
      </c>
    </row>
    <row r="26578">
      <c r="A26578" s="39"/>
      <c r="E26578" s="40" t="s">
        <v>11404</v>
      </c>
      <c r="F26578" s="40" t="s">
        <v>11404</v>
      </c>
      <c r="G26578" s="40" t="s">
        <v>11404</v>
      </c>
      <c r="H26578" s="40" t="s">
        <v>11404</v>
      </c>
    </row>
    <row r="26579">
      <c r="A26579" s="39"/>
      <c r="E26579" s="40" t="s">
        <v>11404</v>
      </c>
      <c r="F26579" s="40" t="s">
        <v>11404</v>
      </c>
      <c r="G26579" s="40" t="s">
        <v>11404</v>
      </c>
      <c r="H26579" s="40" t="s">
        <v>11404</v>
      </c>
    </row>
    <row r="26580">
      <c r="A26580" s="39"/>
      <c r="E26580" s="40" t="s">
        <v>11404</v>
      </c>
      <c r="F26580" s="40" t="s">
        <v>11404</v>
      </c>
      <c r="G26580" s="40" t="s">
        <v>11404</v>
      </c>
      <c r="H26580" s="40" t="s">
        <v>11404</v>
      </c>
    </row>
    <row r="26581">
      <c r="A26581" s="39"/>
      <c r="E26581" s="40" t="s">
        <v>11404</v>
      </c>
      <c r="F26581" s="40" t="s">
        <v>11404</v>
      </c>
      <c r="G26581" s="40" t="s">
        <v>11404</v>
      </c>
      <c r="H26581" s="40" t="s">
        <v>11404</v>
      </c>
    </row>
    <row r="26582">
      <c r="A26582" s="39"/>
      <c r="E26582" s="40" t="s">
        <v>11404</v>
      </c>
      <c r="F26582" s="40" t="s">
        <v>11404</v>
      </c>
      <c r="G26582" s="40" t="s">
        <v>11404</v>
      </c>
      <c r="H26582" s="40" t="s">
        <v>11404</v>
      </c>
    </row>
    <row r="26583">
      <c r="A26583" s="39"/>
      <c r="E26583" s="40" t="s">
        <v>11404</v>
      </c>
      <c r="F26583" s="40" t="s">
        <v>11404</v>
      </c>
      <c r="G26583" s="40" t="s">
        <v>11404</v>
      </c>
      <c r="H26583" s="40" t="s">
        <v>11404</v>
      </c>
    </row>
    <row r="26584">
      <c r="A26584" s="39"/>
      <c r="E26584" s="40" t="s">
        <v>11404</v>
      </c>
      <c r="F26584" s="40" t="s">
        <v>11404</v>
      </c>
      <c r="G26584" s="40" t="s">
        <v>11404</v>
      </c>
      <c r="H26584" s="40" t="s">
        <v>11404</v>
      </c>
    </row>
    <row r="26585">
      <c r="A26585" s="39"/>
      <c r="E26585" s="40" t="s">
        <v>11404</v>
      </c>
      <c r="F26585" s="40" t="s">
        <v>11404</v>
      </c>
      <c r="G26585" s="40" t="s">
        <v>11404</v>
      </c>
      <c r="H26585" s="40" t="s">
        <v>11404</v>
      </c>
    </row>
    <row r="26586">
      <c r="A26586" s="39"/>
      <c r="E26586" s="40" t="s">
        <v>11404</v>
      </c>
      <c r="F26586" s="40" t="s">
        <v>11404</v>
      </c>
      <c r="G26586" s="40" t="s">
        <v>11404</v>
      </c>
      <c r="H26586" s="40" t="s">
        <v>11404</v>
      </c>
    </row>
    <row r="26587">
      <c r="A26587" s="39"/>
      <c r="E26587" s="40" t="s">
        <v>11404</v>
      </c>
      <c r="F26587" s="40" t="s">
        <v>11404</v>
      </c>
      <c r="G26587" s="40" t="s">
        <v>11404</v>
      </c>
      <c r="H26587" s="40" t="s">
        <v>11404</v>
      </c>
    </row>
    <row r="26588">
      <c r="A26588" s="39"/>
      <c r="E26588" s="40" t="s">
        <v>11404</v>
      </c>
      <c r="F26588" s="40" t="s">
        <v>11404</v>
      </c>
      <c r="G26588" s="40" t="s">
        <v>11404</v>
      </c>
      <c r="H26588" s="40" t="s">
        <v>11404</v>
      </c>
    </row>
    <row r="26589">
      <c r="A26589" s="39"/>
      <c r="E26589" s="40" t="s">
        <v>11404</v>
      </c>
      <c r="F26589" s="40" t="s">
        <v>11404</v>
      </c>
      <c r="G26589" s="40" t="s">
        <v>11404</v>
      </c>
      <c r="H26589" s="40" t="s">
        <v>11404</v>
      </c>
    </row>
    <row r="26590">
      <c r="A26590" s="39"/>
      <c r="E26590" s="40" t="s">
        <v>11404</v>
      </c>
      <c r="F26590" s="40" t="s">
        <v>11404</v>
      </c>
      <c r="G26590" s="40" t="s">
        <v>11404</v>
      </c>
      <c r="H26590" s="40" t="s">
        <v>11404</v>
      </c>
    </row>
    <row r="26591">
      <c r="A26591" s="39"/>
      <c r="E26591" s="40" t="s">
        <v>11404</v>
      </c>
      <c r="F26591" s="40" t="s">
        <v>11404</v>
      </c>
      <c r="G26591" s="40" t="s">
        <v>11404</v>
      </c>
      <c r="H26591" s="40" t="s">
        <v>11404</v>
      </c>
    </row>
    <row r="26592">
      <c r="A26592" s="39"/>
      <c r="E26592" s="40" t="s">
        <v>11404</v>
      </c>
      <c r="F26592" s="40" t="s">
        <v>11404</v>
      </c>
      <c r="G26592" s="40" t="s">
        <v>11404</v>
      </c>
      <c r="H26592" s="40" t="s">
        <v>11404</v>
      </c>
    </row>
    <row r="26593">
      <c r="A26593" s="39"/>
      <c r="E26593" s="40" t="s">
        <v>11404</v>
      </c>
      <c r="F26593" s="40" t="s">
        <v>11404</v>
      </c>
      <c r="G26593" s="40" t="s">
        <v>11404</v>
      </c>
      <c r="H26593" s="40" t="s">
        <v>11404</v>
      </c>
    </row>
    <row r="26594">
      <c r="A26594" s="39"/>
      <c r="E26594" s="40" t="s">
        <v>11404</v>
      </c>
      <c r="F26594" s="40" t="s">
        <v>11404</v>
      </c>
      <c r="G26594" s="40" t="s">
        <v>11404</v>
      </c>
      <c r="H26594" s="40" t="s">
        <v>11404</v>
      </c>
    </row>
    <row r="26595">
      <c r="A26595" s="39"/>
      <c r="E26595" s="40" t="s">
        <v>11404</v>
      </c>
      <c r="F26595" s="40" t="s">
        <v>11404</v>
      </c>
      <c r="G26595" s="40" t="s">
        <v>11404</v>
      </c>
      <c r="H26595" s="40" t="s">
        <v>11404</v>
      </c>
    </row>
    <row r="26596">
      <c r="A26596" s="39"/>
      <c r="E26596" s="40" t="s">
        <v>11404</v>
      </c>
      <c r="F26596" s="40" t="s">
        <v>11404</v>
      </c>
      <c r="G26596" s="40" t="s">
        <v>11404</v>
      </c>
      <c r="H26596" s="40" t="s">
        <v>11404</v>
      </c>
    </row>
    <row r="26597">
      <c r="A26597" s="39"/>
      <c r="E26597" s="40" t="s">
        <v>11404</v>
      </c>
      <c r="F26597" s="40" t="s">
        <v>11404</v>
      </c>
      <c r="G26597" s="40" t="s">
        <v>11404</v>
      </c>
      <c r="H26597" s="40" t="s">
        <v>11404</v>
      </c>
    </row>
    <row r="26598">
      <c r="A26598" s="39"/>
      <c r="E26598" s="40" t="s">
        <v>11404</v>
      </c>
      <c r="F26598" s="40" t="s">
        <v>11404</v>
      </c>
      <c r="G26598" s="40" t="s">
        <v>11404</v>
      </c>
      <c r="H26598" s="40" t="s">
        <v>11404</v>
      </c>
    </row>
    <row r="26599">
      <c r="A26599" s="39"/>
      <c r="E26599" s="40" t="s">
        <v>11404</v>
      </c>
      <c r="F26599" s="40" t="s">
        <v>11404</v>
      </c>
      <c r="G26599" s="40" t="s">
        <v>11404</v>
      </c>
      <c r="H26599" s="40" t="s">
        <v>11404</v>
      </c>
    </row>
    <row r="26600">
      <c r="A26600" s="39"/>
      <c r="E26600" s="40" t="s">
        <v>11404</v>
      </c>
      <c r="F26600" s="40" t="s">
        <v>11404</v>
      </c>
      <c r="G26600" s="40" t="s">
        <v>11404</v>
      </c>
      <c r="H26600" s="40" t="s">
        <v>11404</v>
      </c>
    </row>
    <row r="26601">
      <c r="A26601" s="39"/>
      <c r="E26601" s="40" t="s">
        <v>11404</v>
      </c>
      <c r="F26601" s="40" t="s">
        <v>11404</v>
      </c>
      <c r="G26601" s="40" t="s">
        <v>11404</v>
      </c>
      <c r="H26601" s="40" t="s">
        <v>11404</v>
      </c>
    </row>
    <row r="26602">
      <c r="A26602" s="39"/>
      <c r="E26602" s="40" t="s">
        <v>11404</v>
      </c>
      <c r="F26602" s="40" t="s">
        <v>11404</v>
      </c>
      <c r="G26602" s="40" t="s">
        <v>11404</v>
      </c>
      <c r="H26602" s="40" t="s">
        <v>11404</v>
      </c>
    </row>
    <row r="26603">
      <c r="A26603" s="39"/>
      <c r="E26603" s="40" t="s">
        <v>11404</v>
      </c>
      <c r="F26603" s="40" t="s">
        <v>11404</v>
      </c>
      <c r="G26603" s="40" t="s">
        <v>11404</v>
      </c>
      <c r="H26603" s="40" t="s">
        <v>11404</v>
      </c>
    </row>
    <row r="26604">
      <c r="A26604" s="39"/>
      <c r="E26604" s="40" t="s">
        <v>11404</v>
      </c>
      <c r="F26604" s="40" t="s">
        <v>11404</v>
      </c>
      <c r="G26604" s="40" t="s">
        <v>11404</v>
      </c>
      <c r="H26604" s="40" t="s">
        <v>11404</v>
      </c>
    </row>
    <row r="26605">
      <c r="A26605" s="39"/>
      <c r="E26605" s="40" t="s">
        <v>11404</v>
      </c>
      <c r="F26605" s="40" t="s">
        <v>11404</v>
      </c>
      <c r="G26605" s="40" t="s">
        <v>11404</v>
      </c>
      <c r="H26605" s="40" t="s">
        <v>11404</v>
      </c>
    </row>
    <row r="26606">
      <c r="A26606" s="39"/>
      <c r="E26606" s="40" t="s">
        <v>11404</v>
      </c>
      <c r="F26606" s="40" t="s">
        <v>11404</v>
      </c>
      <c r="G26606" s="40" t="s">
        <v>11404</v>
      </c>
      <c r="H26606" s="40" t="s">
        <v>11404</v>
      </c>
    </row>
    <row r="26607">
      <c r="A26607" s="39"/>
      <c r="E26607" s="40" t="s">
        <v>11404</v>
      </c>
      <c r="F26607" s="40" t="s">
        <v>11404</v>
      </c>
      <c r="G26607" s="40" t="s">
        <v>11404</v>
      </c>
      <c r="H26607" s="40" t="s">
        <v>11404</v>
      </c>
    </row>
    <row r="26608">
      <c r="A26608" s="39"/>
      <c r="E26608" s="40" t="s">
        <v>11404</v>
      </c>
      <c r="F26608" s="40" t="s">
        <v>11404</v>
      </c>
      <c r="G26608" s="40" t="s">
        <v>11404</v>
      </c>
      <c r="H26608" s="40" t="s">
        <v>11404</v>
      </c>
    </row>
    <row r="26609">
      <c r="A26609" s="39"/>
      <c r="E26609" s="40" t="s">
        <v>11404</v>
      </c>
      <c r="F26609" s="40" t="s">
        <v>11404</v>
      </c>
      <c r="G26609" s="40" t="s">
        <v>11404</v>
      </c>
      <c r="H26609" s="40" t="s">
        <v>11404</v>
      </c>
    </row>
    <row r="26610">
      <c r="A26610" s="39"/>
      <c r="E26610" s="40" t="s">
        <v>11404</v>
      </c>
      <c r="F26610" s="40" t="s">
        <v>11404</v>
      </c>
      <c r="G26610" s="40" t="s">
        <v>11404</v>
      </c>
      <c r="H26610" s="40" t="s">
        <v>11404</v>
      </c>
    </row>
    <row r="26611">
      <c r="A26611" s="39"/>
      <c r="E26611" s="40" t="s">
        <v>11404</v>
      </c>
      <c r="F26611" s="40" t="s">
        <v>11404</v>
      </c>
      <c r="G26611" s="40" t="s">
        <v>11404</v>
      </c>
      <c r="H26611" s="40" t="s">
        <v>11404</v>
      </c>
    </row>
    <row r="26612">
      <c r="A26612" s="39"/>
      <c r="E26612" s="40" t="s">
        <v>11404</v>
      </c>
      <c r="F26612" s="40" t="s">
        <v>11404</v>
      </c>
      <c r="G26612" s="40" t="s">
        <v>11404</v>
      </c>
      <c r="H26612" s="40" t="s">
        <v>11404</v>
      </c>
    </row>
    <row r="26613">
      <c r="A26613" s="39"/>
      <c r="E26613" s="40" t="s">
        <v>11404</v>
      </c>
      <c r="F26613" s="40" t="s">
        <v>11404</v>
      </c>
      <c r="G26613" s="40" t="s">
        <v>11404</v>
      </c>
      <c r="H26613" s="40" t="s">
        <v>11404</v>
      </c>
    </row>
    <row r="26614">
      <c r="A26614" s="39"/>
      <c r="E26614" s="40" t="s">
        <v>11404</v>
      </c>
      <c r="F26614" s="40" t="s">
        <v>11404</v>
      </c>
      <c r="G26614" s="40" t="s">
        <v>11404</v>
      </c>
      <c r="H26614" s="40" t="s">
        <v>11404</v>
      </c>
    </row>
    <row r="26615">
      <c r="A26615" s="39"/>
      <c r="E26615" s="40" t="s">
        <v>11404</v>
      </c>
      <c r="F26615" s="40" t="s">
        <v>11404</v>
      </c>
      <c r="G26615" s="40" t="s">
        <v>11404</v>
      </c>
      <c r="H26615" s="40" t="s">
        <v>11404</v>
      </c>
    </row>
    <row r="26616">
      <c r="A26616" s="39"/>
      <c r="E26616" s="40" t="s">
        <v>11404</v>
      </c>
      <c r="F26616" s="40" t="s">
        <v>11404</v>
      </c>
      <c r="G26616" s="40" t="s">
        <v>11404</v>
      </c>
      <c r="H26616" s="40" t="s">
        <v>11404</v>
      </c>
    </row>
    <row r="26617">
      <c r="A26617" s="39"/>
      <c r="E26617" s="40" t="s">
        <v>11404</v>
      </c>
      <c r="F26617" s="40" t="s">
        <v>11404</v>
      </c>
      <c r="G26617" s="40" t="s">
        <v>11404</v>
      </c>
      <c r="H26617" s="40" t="s">
        <v>11404</v>
      </c>
    </row>
    <row r="26618">
      <c r="A26618" s="39"/>
      <c r="E26618" s="40" t="s">
        <v>11404</v>
      </c>
      <c r="F26618" s="40" t="s">
        <v>11404</v>
      </c>
      <c r="G26618" s="40" t="s">
        <v>11404</v>
      </c>
      <c r="H26618" s="40" t="s">
        <v>11404</v>
      </c>
    </row>
    <row r="26619">
      <c r="A26619" s="39"/>
      <c r="E26619" s="40" t="s">
        <v>11404</v>
      </c>
      <c r="F26619" s="40" t="s">
        <v>11404</v>
      </c>
      <c r="G26619" s="40" t="s">
        <v>11404</v>
      </c>
      <c r="H26619" s="40" t="s">
        <v>11404</v>
      </c>
    </row>
    <row r="26620">
      <c r="A26620" s="39"/>
      <c r="E26620" s="40" t="s">
        <v>11404</v>
      </c>
      <c r="F26620" s="40" t="s">
        <v>11404</v>
      </c>
      <c r="G26620" s="40" t="s">
        <v>11404</v>
      </c>
      <c r="H26620" s="40" t="s">
        <v>11404</v>
      </c>
    </row>
    <row r="26621">
      <c r="A26621" s="39"/>
      <c r="E26621" s="40" t="s">
        <v>11404</v>
      </c>
      <c r="F26621" s="40" t="s">
        <v>11404</v>
      </c>
      <c r="G26621" s="40" t="s">
        <v>11404</v>
      </c>
      <c r="H26621" s="40" t="s">
        <v>11404</v>
      </c>
    </row>
    <row r="26622">
      <c r="A26622" s="39"/>
      <c r="E26622" s="40" t="s">
        <v>11404</v>
      </c>
      <c r="F26622" s="40" t="s">
        <v>11404</v>
      </c>
      <c r="G26622" s="40" t="s">
        <v>11404</v>
      </c>
      <c r="H26622" s="40" t="s">
        <v>11404</v>
      </c>
    </row>
    <row r="26623">
      <c r="A26623" s="39"/>
      <c r="E26623" s="40" t="s">
        <v>11404</v>
      </c>
      <c r="F26623" s="40" t="s">
        <v>11404</v>
      </c>
      <c r="G26623" s="40" t="s">
        <v>11404</v>
      </c>
      <c r="H26623" s="40" t="s">
        <v>11404</v>
      </c>
    </row>
    <row r="26624">
      <c r="A26624" s="39"/>
      <c r="E26624" s="40" t="s">
        <v>11404</v>
      </c>
      <c r="F26624" s="40" t="s">
        <v>11404</v>
      </c>
      <c r="G26624" s="40" t="s">
        <v>11404</v>
      </c>
      <c r="H26624" s="40" t="s">
        <v>11404</v>
      </c>
    </row>
    <row r="26625">
      <c r="A26625" s="39"/>
      <c r="E26625" s="40" t="s">
        <v>11404</v>
      </c>
      <c r="F26625" s="40" t="s">
        <v>11404</v>
      </c>
      <c r="G26625" s="40" t="s">
        <v>11404</v>
      </c>
      <c r="H26625" s="40" t="s">
        <v>11404</v>
      </c>
    </row>
    <row r="26626">
      <c r="A26626" s="39"/>
      <c r="E26626" s="40" t="s">
        <v>11404</v>
      </c>
      <c r="F26626" s="40" t="s">
        <v>11404</v>
      </c>
      <c r="G26626" s="40" t="s">
        <v>11404</v>
      </c>
      <c r="H26626" s="40" t="s">
        <v>11404</v>
      </c>
    </row>
    <row r="26627">
      <c r="A26627" s="39"/>
      <c r="E26627" s="40" t="s">
        <v>11404</v>
      </c>
      <c r="F26627" s="40" t="s">
        <v>11404</v>
      </c>
      <c r="G26627" s="40" t="s">
        <v>11404</v>
      </c>
      <c r="H26627" s="40" t="s">
        <v>11404</v>
      </c>
    </row>
    <row r="26628">
      <c r="A26628" s="39"/>
      <c r="E26628" s="40" t="s">
        <v>11404</v>
      </c>
      <c r="F26628" s="40" t="s">
        <v>11404</v>
      </c>
      <c r="G26628" s="40" t="s">
        <v>11404</v>
      </c>
      <c r="H26628" s="40" t="s">
        <v>11404</v>
      </c>
    </row>
    <row r="26629">
      <c r="A26629" s="39"/>
      <c r="E26629" s="40" t="s">
        <v>11404</v>
      </c>
      <c r="F26629" s="40" t="s">
        <v>11404</v>
      </c>
      <c r="G26629" s="40" t="s">
        <v>11404</v>
      </c>
      <c r="H26629" s="40" t="s">
        <v>11404</v>
      </c>
    </row>
    <row r="26630">
      <c r="A26630" s="39"/>
      <c r="E26630" s="40" t="s">
        <v>11404</v>
      </c>
      <c r="F26630" s="40" t="s">
        <v>11404</v>
      </c>
      <c r="G26630" s="40" t="s">
        <v>11404</v>
      </c>
      <c r="H26630" s="40" t="s">
        <v>11404</v>
      </c>
    </row>
    <row r="26631">
      <c r="A26631" s="39"/>
      <c r="E26631" s="40" t="s">
        <v>11404</v>
      </c>
      <c r="F26631" s="40" t="s">
        <v>11404</v>
      </c>
      <c r="G26631" s="40" t="s">
        <v>11404</v>
      </c>
      <c r="H26631" s="40" t="s">
        <v>11404</v>
      </c>
    </row>
    <row r="26632">
      <c r="A26632" s="39"/>
      <c r="E26632" s="40" t="s">
        <v>11404</v>
      </c>
      <c r="F26632" s="40" t="s">
        <v>11404</v>
      </c>
      <c r="G26632" s="40" t="s">
        <v>11404</v>
      </c>
      <c r="H26632" s="40" t="s">
        <v>11404</v>
      </c>
    </row>
    <row r="26633">
      <c r="A26633" s="39"/>
      <c r="E26633" s="40" t="s">
        <v>11404</v>
      </c>
      <c r="F26633" s="40" t="s">
        <v>11404</v>
      </c>
      <c r="G26633" s="40" t="s">
        <v>11404</v>
      </c>
      <c r="H26633" s="40" t="s">
        <v>11404</v>
      </c>
    </row>
    <row r="26634">
      <c r="A26634" s="39"/>
      <c r="E26634" s="40" t="s">
        <v>11404</v>
      </c>
      <c r="F26634" s="40" t="s">
        <v>11404</v>
      </c>
      <c r="G26634" s="40" t="s">
        <v>11404</v>
      </c>
      <c r="H26634" s="40" t="s">
        <v>11404</v>
      </c>
    </row>
    <row r="26635">
      <c r="A26635" s="39"/>
      <c r="E26635" s="40" t="s">
        <v>11404</v>
      </c>
      <c r="F26635" s="40" t="s">
        <v>11404</v>
      </c>
      <c r="G26635" s="40" t="s">
        <v>11404</v>
      </c>
      <c r="H26635" s="40" t="s">
        <v>11404</v>
      </c>
    </row>
    <row r="26636">
      <c r="A26636" s="39"/>
      <c r="E26636" s="40" t="s">
        <v>11404</v>
      </c>
      <c r="F26636" s="40" t="s">
        <v>11404</v>
      </c>
      <c r="G26636" s="40" t="s">
        <v>11404</v>
      </c>
      <c r="H26636" s="40" t="s">
        <v>11404</v>
      </c>
    </row>
    <row r="26637">
      <c r="A26637" s="39"/>
      <c r="E26637" s="40" t="s">
        <v>11404</v>
      </c>
      <c r="F26637" s="40" t="s">
        <v>11404</v>
      </c>
      <c r="G26637" s="40" t="s">
        <v>11404</v>
      </c>
      <c r="H26637" s="40" t="s">
        <v>11404</v>
      </c>
    </row>
    <row r="26638">
      <c r="A26638" s="39"/>
      <c r="E26638" s="40" t="s">
        <v>11404</v>
      </c>
      <c r="F26638" s="40" t="s">
        <v>11404</v>
      </c>
      <c r="G26638" s="40" t="s">
        <v>11404</v>
      </c>
      <c r="H26638" s="40" t="s">
        <v>11404</v>
      </c>
    </row>
    <row r="26639">
      <c r="A26639" s="39"/>
      <c r="E26639" s="40" t="s">
        <v>11404</v>
      </c>
      <c r="F26639" s="40" t="s">
        <v>11404</v>
      </c>
      <c r="G26639" s="40" t="s">
        <v>11404</v>
      </c>
      <c r="H26639" s="40" t="s">
        <v>11404</v>
      </c>
    </row>
    <row r="26640">
      <c r="A26640" s="39"/>
      <c r="E26640" s="40" t="s">
        <v>11404</v>
      </c>
      <c r="F26640" s="40" t="s">
        <v>11404</v>
      </c>
      <c r="G26640" s="40" t="s">
        <v>11404</v>
      </c>
      <c r="H26640" s="40" t="s">
        <v>11404</v>
      </c>
    </row>
    <row r="26641">
      <c r="A26641" s="39"/>
      <c r="E26641" s="40" t="s">
        <v>11404</v>
      </c>
      <c r="F26641" s="40" t="s">
        <v>11404</v>
      </c>
      <c r="G26641" s="40" t="s">
        <v>11404</v>
      </c>
      <c r="H26641" s="40" t="s">
        <v>11404</v>
      </c>
    </row>
    <row r="26642">
      <c r="A26642" s="39"/>
      <c r="E26642" s="40" t="s">
        <v>11404</v>
      </c>
      <c r="F26642" s="40" t="s">
        <v>11404</v>
      </c>
      <c r="G26642" s="40" t="s">
        <v>11404</v>
      </c>
      <c r="H26642" s="40" t="s">
        <v>11404</v>
      </c>
    </row>
    <row r="26643">
      <c r="A26643" s="39"/>
      <c r="E26643" s="40" t="s">
        <v>11404</v>
      </c>
      <c r="F26643" s="40" t="s">
        <v>11404</v>
      </c>
      <c r="G26643" s="40" t="s">
        <v>11404</v>
      </c>
      <c r="H26643" s="40" t="s">
        <v>11404</v>
      </c>
    </row>
    <row r="26644">
      <c r="A26644" s="39"/>
      <c r="E26644" s="40" t="s">
        <v>11404</v>
      </c>
      <c r="F26644" s="40" t="s">
        <v>11404</v>
      </c>
      <c r="G26644" s="40" t="s">
        <v>11404</v>
      </c>
      <c r="H26644" s="40" t="s">
        <v>11404</v>
      </c>
    </row>
    <row r="26645">
      <c r="A26645" s="39"/>
      <c r="E26645" s="40" t="s">
        <v>11404</v>
      </c>
      <c r="F26645" s="40" t="s">
        <v>11404</v>
      </c>
      <c r="G26645" s="40" t="s">
        <v>11404</v>
      </c>
      <c r="H26645" s="40" t="s">
        <v>11404</v>
      </c>
    </row>
    <row r="26646">
      <c r="A26646" s="39"/>
      <c r="E26646" s="40" t="s">
        <v>11404</v>
      </c>
      <c r="F26646" s="40" t="s">
        <v>11404</v>
      </c>
      <c r="G26646" s="40" t="s">
        <v>11404</v>
      </c>
      <c r="H26646" s="40" t="s">
        <v>11404</v>
      </c>
    </row>
    <row r="26647">
      <c r="A26647" s="39"/>
      <c r="E26647" s="40" t="s">
        <v>11404</v>
      </c>
      <c r="F26647" s="40" t="s">
        <v>11404</v>
      </c>
      <c r="G26647" s="40" t="s">
        <v>11404</v>
      </c>
      <c r="H26647" s="40" t="s">
        <v>11404</v>
      </c>
    </row>
    <row r="26648">
      <c r="A26648" s="39"/>
      <c r="E26648" s="40" t="s">
        <v>11404</v>
      </c>
      <c r="F26648" s="40" t="s">
        <v>11404</v>
      </c>
      <c r="G26648" s="40" t="s">
        <v>11404</v>
      </c>
      <c r="H26648" s="40" t="s">
        <v>11404</v>
      </c>
    </row>
    <row r="26649">
      <c r="A26649" s="39"/>
      <c r="E26649" s="40" t="s">
        <v>11404</v>
      </c>
      <c r="F26649" s="40" t="s">
        <v>11404</v>
      </c>
      <c r="G26649" s="40" t="s">
        <v>11404</v>
      </c>
      <c r="H26649" s="40" t="s">
        <v>11404</v>
      </c>
    </row>
    <row r="26650">
      <c r="A26650" s="39"/>
      <c r="E26650" s="40" t="s">
        <v>11404</v>
      </c>
      <c r="F26650" s="40" t="s">
        <v>11404</v>
      </c>
      <c r="G26650" s="40" t="s">
        <v>11404</v>
      </c>
      <c r="H26650" s="40" t="s">
        <v>11404</v>
      </c>
    </row>
    <row r="26651">
      <c r="A26651" s="39"/>
      <c r="E26651" s="40" t="s">
        <v>11404</v>
      </c>
      <c r="F26651" s="40" t="s">
        <v>11404</v>
      </c>
      <c r="G26651" s="40" t="s">
        <v>11404</v>
      </c>
      <c r="H26651" s="40" t="s">
        <v>11404</v>
      </c>
    </row>
    <row r="26652">
      <c r="A26652" s="39"/>
      <c r="E26652" s="40" t="s">
        <v>11404</v>
      </c>
      <c r="F26652" s="40" t="s">
        <v>11404</v>
      </c>
      <c r="G26652" s="40" t="s">
        <v>11404</v>
      </c>
      <c r="H26652" s="40" t="s">
        <v>11404</v>
      </c>
    </row>
    <row r="26653">
      <c r="A26653" s="39"/>
      <c r="E26653" s="40" t="s">
        <v>11404</v>
      </c>
      <c r="F26653" s="40" t="s">
        <v>11404</v>
      </c>
      <c r="G26653" s="40" t="s">
        <v>11404</v>
      </c>
      <c r="H26653" s="40" t="s">
        <v>11404</v>
      </c>
    </row>
    <row r="26654">
      <c r="A26654" s="39"/>
      <c r="E26654" s="40" t="s">
        <v>11404</v>
      </c>
      <c r="F26654" s="40" t="s">
        <v>11404</v>
      </c>
      <c r="G26654" s="40" t="s">
        <v>11404</v>
      </c>
      <c r="H26654" s="40" t="s">
        <v>11404</v>
      </c>
    </row>
    <row r="26655">
      <c r="A26655" s="39"/>
      <c r="E26655" s="40" t="s">
        <v>11404</v>
      </c>
      <c r="F26655" s="40" t="s">
        <v>11404</v>
      </c>
      <c r="G26655" s="40" t="s">
        <v>11404</v>
      </c>
      <c r="H26655" s="40" t="s">
        <v>11404</v>
      </c>
    </row>
    <row r="26656">
      <c r="A26656" s="39"/>
      <c r="E26656" s="40" t="s">
        <v>11404</v>
      </c>
      <c r="F26656" s="40" t="s">
        <v>11404</v>
      </c>
      <c r="G26656" s="40" t="s">
        <v>11404</v>
      </c>
      <c r="H26656" s="40" t="s">
        <v>11404</v>
      </c>
    </row>
    <row r="26657">
      <c r="A26657" s="39"/>
      <c r="E26657" s="40" t="s">
        <v>11404</v>
      </c>
      <c r="F26657" s="40" t="s">
        <v>11404</v>
      </c>
      <c r="G26657" s="40" t="s">
        <v>11404</v>
      </c>
      <c r="H26657" s="40" t="s">
        <v>11404</v>
      </c>
    </row>
    <row r="26658">
      <c r="A26658" s="39"/>
      <c r="E26658" s="40" t="s">
        <v>11404</v>
      </c>
      <c r="F26658" s="40" t="s">
        <v>11404</v>
      </c>
      <c r="G26658" s="40" t="s">
        <v>11404</v>
      </c>
      <c r="H26658" s="40" t="s">
        <v>11404</v>
      </c>
    </row>
    <row r="26659">
      <c r="A26659" s="39"/>
      <c r="E26659" s="40" t="s">
        <v>11404</v>
      </c>
      <c r="F26659" s="40" t="s">
        <v>11404</v>
      </c>
      <c r="G26659" s="40" t="s">
        <v>11404</v>
      </c>
      <c r="H26659" s="40" t="s">
        <v>11404</v>
      </c>
    </row>
    <row r="26660">
      <c r="A26660" s="39"/>
      <c r="E26660" s="40" t="s">
        <v>11404</v>
      </c>
      <c r="F26660" s="40" t="s">
        <v>11404</v>
      </c>
      <c r="G26660" s="40" t="s">
        <v>11404</v>
      </c>
      <c r="H26660" s="40" t="s">
        <v>11404</v>
      </c>
    </row>
    <row r="26661">
      <c r="A26661" s="39"/>
      <c r="E26661" s="40" t="s">
        <v>11404</v>
      </c>
      <c r="F26661" s="40" t="s">
        <v>11404</v>
      </c>
      <c r="G26661" s="40" t="s">
        <v>11404</v>
      </c>
      <c r="H26661" s="40" t="s">
        <v>11404</v>
      </c>
    </row>
    <row r="26662">
      <c r="A26662" s="39"/>
      <c r="E26662" s="40" t="s">
        <v>11404</v>
      </c>
      <c r="F26662" s="40" t="s">
        <v>11404</v>
      </c>
      <c r="G26662" s="40" t="s">
        <v>11404</v>
      </c>
      <c r="H26662" s="40" t="s">
        <v>11404</v>
      </c>
    </row>
    <row r="26663">
      <c r="A26663" s="39"/>
      <c r="E26663" s="40" t="s">
        <v>11404</v>
      </c>
      <c r="F26663" s="40" t="s">
        <v>11404</v>
      </c>
      <c r="G26663" s="40" t="s">
        <v>11404</v>
      </c>
      <c r="H26663" s="40" t="s">
        <v>11404</v>
      </c>
    </row>
    <row r="26664">
      <c r="A26664" s="39"/>
      <c r="E26664" s="40" t="s">
        <v>11404</v>
      </c>
      <c r="F26664" s="40" t="s">
        <v>11404</v>
      </c>
      <c r="G26664" s="40" t="s">
        <v>11404</v>
      </c>
      <c r="H26664" s="40" t="s">
        <v>11404</v>
      </c>
    </row>
    <row r="26665">
      <c r="A26665" s="39"/>
      <c r="E26665" s="40" t="s">
        <v>11404</v>
      </c>
      <c r="F26665" s="40" t="s">
        <v>11404</v>
      </c>
      <c r="G26665" s="40" t="s">
        <v>11404</v>
      </c>
      <c r="H26665" s="40" t="s">
        <v>11404</v>
      </c>
    </row>
    <row r="26666">
      <c r="A26666" s="39"/>
      <c r="E26666" s="40" t="s">
        <v>11404</v>
      </c>
      <c r="F26666" s="40" t="s">
        <v>11404</v>
      </c>
      <c r="G26666" s="40" t="s">
        <v>11404</v>
      </c>
      <c r="H26666" s="40" t="s">
        <v>11404</v>
      </c>
    </row>
    <row r="26667">
      <c r="A26667" s="39"/>
      <c r="E26667" s="40" t="s">
        <v>11404</v>
      </c>
      <c r="F26667" s="40" t="s">
        <v>11404</v>
      </c>
      <c r="G26667" s="40" t="s">
        <v>11404</v>
      </c>
      <c r="H26667" s="40" t="s">
        <v>11404</v>
      </c>
    </row>
    <row r="26668">
      <c r="A26668" s="39"/>
      <c r="E26668" s="40" t="s">
        <v>11404</v>
      </c>
      <c r="F26668" s="40" t="s">
        <v>11404</v>
      </c>
      <c r="G26668" s="40" t="s">
        <v>11404</v>
      </c>
      <c r="H26668" s="40" t="s">
        <v>11404</v>
      </c>
    </row>
    <row r="26669">
      <c r="A26669" s="39"/>
      <c r="E26669" s="40" t="s">
        <v>11404</v>
      </c>
      <c r="F26669" s="40" t="s">
        <v>11404</v>
      </c>
      <c r="G26669" s="40" t="s">
        <v>11404</v>
      </c>
      <c r="H26669" s="40" t="s">
        <v>11404</v>
      </c>
    </row>
    <row r="26670">
      <c r="A26670" s="39"/>
      <c r="E26670" s="40" t="s">
        <v>11404</v>
      </c>
      <c r="F26670" s="40" t="s">
        <v>11404</v>
      </c>
      <c r="G26670" s="40" t="s">
        <v>11404</v>
      </c>
      <c r="H26670" s="40" t="s">
        <v>11404</v>
      </c>
    </row>
    <row r="26671">
      <c r="A26671" s="39"/>
      <c r="E26671" s="40" t="s">
        <v>11404</v>
      </c>
      <c r="F26671" s="40" t="s">
        <v>11404</v>
      </c>
      <c r="G26671" s="40" t="s">
        <v>11404</v>
      </c>
      <c r="H26671" s="40" t="s">
        <v>11404</v>
      </c>
    </row>
    <row r="26672">
      <c r="A26672" s="39"/>
      <c r="E26672" s="40" t="s">
        <v>11404</v>
      </c>
      <c r="F26672" s="40" t="s">
        <v>11404</v>
      </c>
      <c r="G26672" s="40" t="s">
        <v>11404</v>
      </c>
      <c r="H26672" s="40" t="s">
        <v>11404</v>
      </c>
    </row>
    <row r="26673">
      <c r="A26673" s="39"/>
      <c r="E26673" s="40" t="s">
        <v>11404</v>
      </c>
      <c r="F26673" s="40" t="s">
        <v>11404</v>
      </c>
      <c r="G26673" s="40" t="s">
        <v>11404</v>
      </c>
      <c r="H26673" s="40" t="s">
        <v>11404</v>
      </c>
    </row>
    <row r="26674">
      <c r="A26674" s="39"/>
      <c r="E26674" s="40" t="s">
        <v>11404</v>
      </c>
      <c r="F26674" s="40" t="s">
        <v>11404</v>
      </c>
      <c r="G26674" s="40" t="s">
        <v>11404</v>
      </c>
      <c r="H26674" s="40" t="s">
        <v>11404</v>
      </c>
    </row>
    <row r="26675">
      <c r="A26675" s="39"/>
      <c r="E26675" s="40" t="s">
        <v>11404</v>
      </c>
      <c r="F26675" s="40" t="s">
        <v>11404</v>
      </c>
      <c r="G26675" s="40" t="s">
        <v>11404</v>
      </c>
      <c r="H26675" s="40" t="s">
        <v>11404</v>
      </c>
    </row>
    <row r="26676">
      <c r="A26676" s="39"/>
      <c r="E26676" s="40" t="s">
        <v>11404</v>
      </c>
      <c r="F26676" s="40" t="s">
        <v>11404</v>
      </c>
      <c r="G26676" s="40" t="s">
        <v>11404</v>
      </c>
      <c r="H26676" s="40" t="s">
        <v>11404</v>
      </c>
    </row>
    <row r="26677">
      <c r="A26677" s="39"/>
      <c r="E26677" s="40" t="s">
        <v>11404</v>
      </c>
      <c r="F26677" s="40" t="s">
        <v>11404</v>
      </c>
      <c r="G26677" s="40" t="s">
        <v>11404</v>
      </c>
      <c r="H26677" s="40" t="s">
        <v>11404</v>
      </c>
    </row>
    <row r="26678">
      <c r="A26678" s="39"/>
      <c r="E26678" s="40" t="s">
        <v>11404</v>
      </c>
      <c r="F26678" s="40" t="s">
        <v>11404</v>
      </c>
      <c r="G26678" s="40" t="s">
        <v>11404</v>
      </c>
      <c r="H26678" s="40" t="s">
        <v>11404</v>
      </c>
    </row>
    <row r="26679">
      <c r="A26679" s="39"/>
      <c r="E26679" s="40" t="s">
        <v>11404</v>
      </c>
      <c r="F26679" s="40" t="s">
        <v>11404</v>
      </c>
      <c r="G26679" s="40" t="s">
        <v>11404</v>
      </c>
      <c r="H26679" s="40" t="s">
        <v>11404</v>
      </c>
    </row>
    <row r="26680">
      <c r="A26680" s="39"/>
      <c r="E26680" s="40" t="s">
        <v>11404</v>
      </c>
      <c r="F26680" s="40" t="s">
        <v>11404</v>
      </c>
      <c r="G26680" s="40" t="s">
        <v>11404</v>
      </c>
      <c r="H26680" s="40" t="s">
        <v>11404</v>
      </c>
    </row>
    <row r="26681">
      <c r="A26681" s="39"/>
      <c r="E26681" s="40" t="s">
        <v>11404</v>
      </c>
      <c r="F26681" s="40" t="s">
        <v>11404</v>
      </c>
      <c r="G26681" s="40" t="s">
        <v>11404</v>
      </c>
      <c r="H26681" s="40" t="s">
        <v>11404</v>
      </c>
    </row>
    <row r="26682">
      <c r="A26682" s="39"/>
      <c r="E26682" s="40" t="s">
        <v>11404</v>
      </c>
      <c r="F26682" s="40" t="s">
        <v>11404</v>
      </c>
      <c r="G26682" s="40" t="s">
        <v>11404</v>
      </c>
      <c r="H26682" s="40" t="s">
        <v>11404</v>
      </c>
    </row>
    <row r="26683">
      <c r="A26683" s="39"/>
      <c r="E26683" s="40" t="s">
        <v>11404</v>
      </c>
      <c r="F26683" s="40" t="s">
        <v>11404</v>
      </c>
      <c r="G26683" s="40" t="s">
        <v>11404</v>
      </c>
      <c r="H26683" s="40" t="s">
        <v>11404</v>
      </c>
    </row>
    <row r="26684">
      <c r="A26684" s="39"/>
      <c r="E26684" s="40" t="s">
        <v>11404</v>
      </c>
      <c r="F26684" s="40" t="s">
        <v>11404</v>
      </c>
      <c r="G26684" s="40" t="s">
        <v>11404</v>
      </c>
      <c r="H26684" s="40" t="s">
        <v>11404</v>
      </c>
    </row>
    <row r="26685">
      <c r="A26685" s="39"/>
      <c r="E26685" s="40" t="s">
        <v>11404</v>
      </c>
      <c r="F26685" s="40" t="s">
        <v>11404</v>
      </c>
      <c r="G26685" s="40" t="s">
        <v>11404</v>
      </c>
      <c r="H26685" s="40" t="s">
        <v>11404</v>
      </c>
    </row>
    <row r="26686">
      <c r="A26686" s="39"/>
      <c r="E26686" s="40" t="s">
        <v>11404</v>
      </c>
      <c r="F26686" s="40" t="s">
        <v>11404</v>
      </c>
      <c r="G26686" s="40" t="s">
        <v>11404</v>
      </c>
      <c r="H26686" s="40" t="s">
        <v>11404</v>
      </c>
    </row>
    <row r="26687">
      <c r="A26687" s="39"/>
      <c r="E26687" s="40" t="s">
        <v>11404</v>
      </c>
      <c r="F26687" s="40" t="s">
        <v>11404</v>
      </c>
      <c r="G26687" s="40" t="s">
        <v>11404</v>
      </c>
      <c r="H26687" s="40" t="s">
        <v>11404</v>
      </c>
    </row>
    <row r="26688">
      <c r="A26688" s="39"/>
      <c r="E26688" s="40" t="s">
        <v>11404</v>
      </c>
      <c r="F26688" s="40" t="s">
        <v>11404</v>
      </c>
      <c r="G26688" s="40" t="s">
        <v>11404</v>
      </c>
      <c r="H26688" s="40" t="s">
        <v>11404</v>
      </c>
    </row>
    <row r="26689">
      <c r="A26689" s="39"/>
      <c r="E26689" s="40" t="s">
        <v>11404</v>
      </c>
      <c r="F26689" s="40" t="s">
        <v>11404</v>
      </c>
      <c r="G26689" s="40" t="s">
        <v>11404</v>
      </c>
      <c r="H26689" s="40" t="s">
        <v>11404</v>
      </c>
    </row>
    <row r="26690">
      <c r="A26690" s="39"/>
      <c r="E26690" s="40" t="s">
        <v>11404</v>
      </c>
      <c r="F26690" s="40" t="s">
        <v>11404</v>
      </c>
      <c r="G26690" s="40" t="s">
        <v>11404</v>
      </c>
      <c r="H26690" s="40" t="s">
        <v>11404</v>
      </c>
    </row>
    <row r="26691">
      <c r="A26691" s="39"/>
      <c r="E26691" s="40" t="s">
        <v>11404</v>
      </c>
      <c r="F26691" s="40" t="s">
        <v>11404</v>
      </c>
      <c r="G26691" s="40" t="s">
        <v>11404</v>
      </c>
      <c r="H26691" s="40" t="s">
        <v>11404</v>
      </c>
    </row>
    <row r="26692">
      <c r="A26692" s="39"/>
      <c r="E26692" s="40" t="s">
        <v>11404</v>
      </c>
      <c r="F26692" s="40" t="s">
        <v>11404</v>
      </c>
      <c r="G26692" s="40" t="s">
        <v>11404</v>
      </c>
      <c r="H26692" s="40" t="s">
        <v>11404</v>
      </c>
    </row>
    <row r="26693">
      <c r="A26693" s="39"/>
      <c r="E26693" s="40" t="s">
        <v>11404</v>
      </c>
      <c r="F26693" s="40" t="s">
        <v>11404</v>
      </c>
      <c r="G26693" s="40" t="s">
        <v>11404</v>
      </c>
      <c r="H26693" s="40" t="s">
        <v>11404</v>
      </c>
    </row>
    <row r="26694">
      <c r="A26694" s="39"/>
      <c r="E26694" s="40" t="s">
        <v>11404</v>
      </c>
      <c r="F26694" s="40" t="s">
        <v>11404</v>
      </c>
      <c r="G26694" s="40" t="s">
        <v>11404</v>
      </c>
      <c r="H26694" s="40" t="s">
        <v>11404</v>
      </c>
    </row>
    <row r="26695">
      <c r="A26695" s="39"/>
      <c r="E26695" s="40" t="s">
        <v>11404</v>
      </c>
      <c r="F26695" s="40" t="s">
        <v>11404</v>
      </c>
      <c r="G26695" s="40" t="s">
        <v>11404</v>
      </c>
      <c r="H26695" s="40" t="s">
        <v>11404</v>
      </c>
    </row>
    <row r="26696">
      <c r="A26696" s="39"/>
      <c r="E26696" s="40" t="s">
        <v>11404</v>
      </c>
      <c r="F26696" s="40" t="s">
        <v>11404</v>
      </c>
      <c r="G26696" s="40" t="s">
        <v>11404</v>
      </c>
      <c r="H26696" s="40" t="s">
        <v>11404</v>
      </c>
    </row>
    <row r="26697">
      <c r="A26697" s="39"/>
      <c r="E26697" s="40" t="s">
        <v>11404</v>
      </c>
      <c r="F26697" s="40" t="s">
        <v>11404</v>
      </c>
      <c r="G26697" s="40" t="s">
        <v>11404</v>
      </c>
      <c r="H26697" s="40" t="s">
        <v>11404</v>
      </c>
    </row>
    <row r="26698">
      <c r="A26698" s="39"/>
      <c r="E26698" s="40" t="s">
        <v>11404</v>
      </c>
      <c r="F26698" s="40" t="s">
        <v>11404</v>
      </c>
      <c r="G26698" s="40" t="s">
        <v>11404</v>
      </c>
      <c r="H26698" s="40" t="s">
        <v>11404</v>
      </c>
    </row>
    <row r="26699">
      <c r="A26699" s="39"/>
      <c r="E26699" s="40" t="s">
        <v>11404</v>
      </c>
      <c r="F26699" s="40" t="s">
        <v>11404</v>
      </c>
      <c r="G26699" s="40" t="s">
        <v>11404</v>
      </c>
      <c r="H26699" s="40" t="s">
        <v>11404</v>
      </c>
    </row>
    <row r="26700">
      <c r="A26700" s="39"/>
      <c r="E26700" s="40" t="s">
        <v>11404</v>
      </c>
      <c r="F26700" s="40" t="s">
        <v>11404</v>
      </c>
      <c r="G26700" s="40" t="s">
        <v>11404</v>
      </c>
      <c r="H26700" s="40" t="s">
        <v>11404</v>
      </c>
    </row>
    <row r="26701">
      <c r="A26701" s="39"/>
      <c r="E26701" s="40" t="s">
        <v>11404</v>
      </c>
      <c r="F26701" s="40" t="s">
        <v>11404</v>
      </c>
      <c r="G26701" s="40" t="s">
        <v>11404</v>
      </c>
      <c r="H26701" s="40" t="s">
        <v>11404</v>
      </c>
    </row>
    <row r="26702">
      <c r="A26702" s="39"/>
      <c r="E26702" s="40" t="s">
        <v>11404</v>
      </c>
      <c r="F26702" s="40" t="s">
        <v>11404</v>
      </c>
      <c r="G26702" s="40" t="s">
        <v>11404</v>
      </c>
      <c r="H26702" s="40" t="s">
        <v>11404</v>
      </c>
    </row>
    <row r="26703">
      <c r="A26703" s="39"/>
      <c r="E26703" s="40" t="s">
        <v>11404</v>
      </c>
      <c r="F26703" s="40" t="s">
        <v>11404</v>
      </c>
      <c r="G26703" s="40" t="s">
        <v>11404</v>
      </c>
      <c r="H26703" s="40" t="s">
        <v>11404</v>
      </c>
    </row>
    <row r="26704">
      <c r="A26704" s="39"/>
      <c r="E26704" s="40" t="s">
        <v>11404</v>
      </c>
      <c r="F26704" s="40" t="s">
        <v>11404</v>
      </c>
      <c r="G26704" s="40" t="s">
        <v>11404</v>
      </c>
      <c r="H26704" s="40" t="s">
        <v>11404</v>
      </c>
    </row>
    <row r="26705">
      <c r="A26705" s="39"/>
      <c r="E26705" s="40" t="s">
        <v>11404</v>
      </c>
      <c r="F26705" s="40" t="s">
        <v>11404</v>
      </c>
      <c r="G26705" s="40" t="s">
        <v>11404</v>
      </c>
      <c r="H26705" s="40" t="s">
        <v>11404</v>
      </c>
    </row>
    <row r="26706">
      <c r="A26706" s="39"/>
      <c r="E26706" s="40" t="s">
        <v>11404</v>
      </c>
      <c r="F26706" s="40" t="s">
        <v>11404</v>
      </c>
      <c r="G26706" s="40" t="s">
        <v>11404</v>
      </c>
      <c r="H26706" s="40" t="s">
        <v>11404</v>
      </c>
    </row>
    <row r="26707">
      <c r="A26707" s="39"/>
      <c r="E26707" s="40" t="s">
        <v>11404</v>
      </c>
      <c r="F26707" s="40" t="s">
        <v>11404</v>
      </c>
      <c r="G26707" s="40" t="s">
        <v>11404</v>
      </c>
      <c r="H26707" s="40" t="s">
        <v>11404</v>
      </c>
    </row>
    <row r="26708">
      <c r="A26708" s="39"/>
      <c r="E26708" s="40" t="s">
        <v>11404</v>
      </c>
      <c r="F26708" s="40" t="s">
        <v>11404</v>
      </c>
      <c r="G26708" s="40" t="s">
        <v>11404</v>
      </c>
      <c r="H26708" s="40" t="s">
        <v>11404</v>
      </c>
    </row>
    <row r="26709">
      <c r="A26709" s="39"/>
      <c r="E26709" s="40" t="s">
        <v>11404</v>
      </c>
      <c r="F26709" s="40" t="s">
        <v>11404</v>
      </c>
      <c r="G26709" s="40" t="s">
        <v>11404</v>
      </c>
      <c r="H26709" s="40" t="s">
        <v>11404</v>
      </c>
    </row>
    <row r="26710">
      <c r="A26710" s="39"/>
      <c r="E26710" s="40" t="s">
        <v>11404</v>
      </c>
      <c r="F26710" s="40" t="s">
        <v>11404</v>
      </c>
      <c r="G26710" s="40" t="s">
        <v>11404</v>
      </c>
      <c r="H26710" s="40" t="s">
        <v>11404</v>
      </c>
    </row>
    <row r="26711">
      <c r="A26711" s="39"/>
      <c r="E26711" s="40" t="s">
        <v>11404</v>
      </c>
      <c r="F26711" s="40" t="s">
        <v>11404</v>
      </c>
      <c r="G26711" s="40" t="s">
        <v>11404</v>
      </c>
      <c r="H26711" s="40" t="s">
        <v>11404</v>
      </c>
    </row>
    <row r="26712">
      <c r="A26712" s="39"/>
      <c r="E26712" s="40" t="s">
        <v>11404</v>
      </c>
      <c r="F26712" s="40" t="s">
        <v>11404</v>
      </c>
      <c r="G26712" s="40" t="s">
        <v>11404</v>
      </c>
      <c r="H26712" s="40" t="s">
        <v>11404</v>
      </c>
    </row>
    <row r="26713">
      <c r="A26713" s="39"/>
      <c r="E26713" s="40" t="s">
        <v>11404</v>
      </c>
      <c r="F26713" s="40" t="s">
        <v>11404</v>
      </c>
      <c r="G26713" s="40" t="s">
        <v>11404</v>
      </c>
      <c r="H26713" s="40" t="s">
        <v>11404</v>
      </c>
    </row>
    <row r="26714">
      <c r="A26714" s="39"/>
      <c r="E26714" s="40" t="s">
        <v>11404</v>
      </c>
      <c r="F26714" s="40" t="s">
        <v>11404</v>
      </c>
      <c r="G26714" s="40" t="s">
        <v>11404</v>
      </c>
      <c r="H26714" s="40" t="s">
        <v>11404</v>
      </c>
    </row>
    <row r="26715">
      <c r="A26715" s="39"/>
      <c r="E26715" s="40" t="s">
        <v>11404</v>
      </c>
      <c r="F26715" s="40" t="s">
        <v>11404</v>
      </c>
      <c r="G26715" s="40" t="s">
        <v>11404</v>
      </c>
      <c r="H26715" s="40" t="s">
        <v>11404</v>
      </c>
    </row>
    <row r="26716">
      <c r="A26716" s="39"/>
      <c r="E26716" s="40" t="s">
        <v>11404</v>
      </c>
      <c r="F26716" s="40" t="s">
        <v>11404</v>
      </c>
      <c r="G26716" s="40" t="s">
        <v>11404</v>
      </c>
      <c r="H26716" s="40" t="s">
        <v>11404</v>
      </c>
    </row>
    <row r="26717">
      <c r="A26717" s="39"/>
      <c r="E26717" s="40" t="s">
        <v>11404</v>
      </c>
      <c r="F26717" s="40" t="s">
        <v>11404</v>
      </c>
      <c r="G26717" s="40" t="s">
        <v>11404</v>
      </c>
      <c r="H26717" s="40" t="s">
        <v>11404</v>
      </c>
    </row>
    <row r="26718">
      <c r="A26718" s="39"/>
      <c r="E26718" s="40" t="s">
        <v>11404</v>
      </c>
      <c r="F26718" s="40" t="s">
        <v>11404</v>
      </c>
      <c r="G26718" s="40" t="s">
        <v>11404</v>
      </c>
      <c r="H26718" s="40" t="s">
        <v>11404</v>
      </c>
    </row>
    <row r="26719">
      <c r="A26719" s="39"/>
      <c r="E26719" s="40" t="s">
        <v>11404</v>
      </c>
      <c r="F26719" s="40" t="s">
        <v>11404</v>
      </c>
      <c r="G26719" s="40" t="s">
        <v>11404</v>
      </c>
      <c r="H26719" s="40" t="s">
        <v>11404</v>
      </c>
    </row>
    <row r="26720">
      <c r="A26720" s="39"/>
      <c r="E26720" s="40" t="s">
        <v>11404</v>
      </c>
      <c r="F26720" s="40" t="s">
        <v>11404</v>
      </c>
      <c r="G26720" s="40" t="s">
        <v>11404</v>
      </c>
      <c r="H26720" s="40" t="s">
        <v>11404</v>
      </c>
    </row>
    <row r="26721">
      <c r="A26721" s="39"/>
      <c r="E26721" s="40" t="s">
        <v>11404</v>
      </c>
      <c r="F26721" s="40" t="s">
        <v>11404</v>
      </c>
      <c r="G26721" s="40" t="s">
        <v>11404</v>
      </c>
      <c r="H26721" s="40" t="s">
        <v>11404</v>
      </c>
    </row>
    <row r="26722">
      <c r="A26722" s="39"/>
      <c r="E26722" s="40" t="s">
        <v>11404</v>
      </c>
      <c r="F26722" s="40" t="s">
        <v>11404</v>
      </c>
      <c r="G26722" s="40" t="s">
        <v>11404</v>
      </c>
      <c r="H26722" s="40" t="s">
        <v>11404</v>
      </c>
    </row>
    <row r="26723">
      <c r="A26723" s="39"/>
      <c r="E26723" s="40" t="s">
        <v>11404</v>
      </c>
      <c r="F26723" s="40" t="s">
        <v>11404</v>
      </c>
      <c r="G26723" s="40" t="s">
        <v>11404</v>
      </c>
      <c r="H26723" s="40" t="s">
        <v>11404</v>
      </c>
    </row>
    <row r="26724">
      <c r="A26724" s="39"/>
      <c r="E26724" s="40" t="s">
        <v>11404</v>
      </c>
      <c r="F26724" s="40" t="s">
        <v>11404</v>
      </c>
      <c r="G26724" s="40" t="s">
        <v>11404</v>
      </c>
      <c r="H26724" s="40" t="s">
        <v>11404</v>
      </c>
    </row>
    <row r="26725">
      <c r="A26725" s="39"/>
      <c r="E26725" s="40" t="s">
        <v>11404</v>
      </c>
      <c r="F26725" s="40" t="s">
        <v>11404</v>
      </c>
      <c r="G26725" s="40" t="s">
        <v>11404</v>
      </c>
      <c r="H26725" s="40" t="s">
        <v>11404</v>
      </c>
    </row>
    <row r="26726">
      <c r="A26726" s="39"/>
      <c r="E26726" s="40" t="s">
        <v>11404</v>
      </c>
      <c r="F26726" s="40" t="s">
        <v>11404</v>
      </c>
      <c r="G26726" s="40" t="s">
        <v>11404</v>
      </c>
      <c r="H26726" s="40" t="s">
        <v>11404</v>
      </c>
    </row>
    <row r="26727">
      <c r="A26727" s="39"/>
      <c r="E26727" s="40" t="s">
        <v>11404</v>
      </c>
      <c r="F26727" s="40" t="s">
        <v>11404</v>
      </c>
      <c r="G26727" s="40" t="s">
        <v>11404</v>
      </c>
      <c r="H26727" s="40" t="s">
        <v>11404</v>
      </c>
    </row>
    <row r="26728">
      <c r="A26728" s="39"/>
      <c r="E26728" s="40" t="s">
        <v>11404</v>
      </c>
      <c r="F26728" s="40" t="s">
        <v>11404</v>
      </c>
      <c r="G26728" s="40" t="s">
        <v>11404</v>
      </c>
      <c r="H26728" s="40" t="s">
        <v>11404</v>
      </c>
    </row>
    <row r="26729">
      <c r="A26729" s="39"/>
      <c r="E26729" s="40" t="s">
        <v>11404</v>
      </c>
      <c r="F26729" s="40" t="s">
        <v>11404</v>
      </c>
      <c r="G26729" s="40" t="s">
        <v>11404</v>
      </c>
      <c r="H26729" s="40" t="s">
        <v>11404</v>
      </c>
    </row>
    <row r="26730">
      <c r="A26730" s="39"/>
      <c r="E26730" s="40" t="s">
        <v>11404</v>
      </c>
      <c r="F26730" s="40" t="s">
        <v>11404</v>
      </c>
      <c r="G26730" s="40" t="s">
        <v>11404</v>
      </c>
      <c r="H26730" s="40" t="s">
        <v>11404</v>
      </c>
    </row>
    <row r="26731">
      <c r="A26731" s="39"/>
      <c r="E26731" s="40" t="s">
        <v>11404</v>
      </c>
      <c r="F26731" s="40" t="s">
        <v>11404</v>
      </c>
      <c r="G26731" s="40" t="s">
        <v>11404</v>
      </c>
      <c r="H26731" s="40" t="s">
        <v>11404</v>
      </c>
    </row>
    <row r="26732">
      <c r="A26732" s="39"/>
      <c r="E26732" s="40" t="s">
        <v>11404</v>
      </c>
      <c r="F26732" s="40" t="s">
        <v>11404</v>
      </c>
      <c r="G26732" s="40" t="s">
        <v>11404</v>
      </c>
      <c r="H26732" s="40" t="s">
        <v>11404</v>
      </c>
    </row>
    <row r="26733">
      <c r="A26733" s="39"/>
      <c r="E26733" s="40" t="s">
        <v>11404</v>
      </c>
      <c r="F26733" s="40" t="s">
        <v>11404</v>
      </c>
      <c r="G26733" s="40" t="s">
        <v>11404</v>
      </c>
      <c r="H26733" s="40" t="s">
        <v>11404</v>
      </c>
    </row>
    <row r="26734">
      <c r="A26734" s="39"/>
      <c r="E26734" s="40" t="s">
        <v>11404</v>
      </c>
      <c r="F26734" s="40" t="s">
        <v>11404</v>
      </c>
      <c r="G26734" s="40" t="s">
        <v>11404</v>
      </c>
      <c r="H26734" s="40" t="s">
        <v>11404</v>
      </c>
    </row>
    <row r="26735">
      <c r="A26735" s="39"/>
      <c r="E26735" s="40" t="s">
        <v>11404</v>
      </c>
      <c r="F26735" s="40" t="s">
        <v>11404</v>
      </c>
      <c r="G26735" s="40" t="s">
        <v>11404</v>
      </c>
      <c r="H26735" s="40" t="s">
        <v>11404</v>
      </c>
    </row>
    <row r="26736">
      <c r="A26736" s="39"/>
      <c r="E26736" s="40" t="s">
        <v>11404</v>
      </c>
      <c r="F26736" s="40" t="s">
        <v>11404</v>
      </c>
      <c r="G26736" s="40" t="s">
        <v>11404</v>
      </c>
      <c r="H26736" s="40" t="s">
        <v>11404</v>
      </c>
    </row>
    <row r="26737">
      <c r="A26737" s="39"/>
      <c r="E26737" s="40" t="s">
        <v>11404</v>
      </c>
      <c r="F26737" s="40" t="s">
        <v>11404</v>
      </c>
      <c r="G26737" s="40" t="s">
        <v>11404</v>
      </c>
      <c r="H26737" s="40" t="s">
        <v>11404</v>
      </c>
    </row>
    <row r="26738">
      <c r="A26738" s="39"/>
      <c r="E26738" s="40" t="s">
        <v>11404</v>
      </c>
      <c r="F26738" s="40" t="s">
        <v>11404</v>
      </c>
      <c r="G26738" s="40" t="s">
        <v>11404</v>
      </c>
      <c r="H26738" s="40" t="s">
        <v>11404</v>
      </c>
    </row>
    <row r="26739">
      <c r="A26739" s="39"/>
      <c r="E26739" s="40" t="s">
        <v>11404</v>
      </c>
      <c r="F26739" s="40" t="s">
        <v>11404</v>
      </c>
      <c r="G26739" s="40" t="s">
        <v>11404</v>
      </c>
      <c r="H26739" s="40" t="s">
        <v>11404</v>
      </c>
    </row>
    <row r="26740">
      <c r="A26740" s="39"/>
      <c r="E26740" s="40" t="s">
        <v>11404</v>
      </c>
      <c r="F26740" s="40" t="s">
        <v>11404</v>
      </c>
      <c r="G26740" s="40" t="s">
        <v>11404</v>
      </c>
      <c r="H26740" s="40" t="s">
        <v>11404</v>
      </c>
    </row>
    <row r="26741">
      <c r="A26741" s="39"/>
      <c r="E26741" s="40" t="s">
        <v>11404</v>
      </c>
      <c r="F26741" s="40" t="s">
        <v>11404</v>
      </c>
      <c r="G26741" s="40" t="s">
        <v>11404</v>
      </c>
      <c r="H26741" s="40" t="s">
        <v>11404</v>
      </c>
    </row>
    <row r="26742">
      <c r="A26742" s="39"/>
      <c r="E26742" s="40" t="s">
        <v>11404</v>
      </c>
      <c r="F26742" s="40" t="s">
        <v>11404</v>
      </c>
      <c r="G26742" s="40" t="s">
        <v>11404</v>
      </c>
      <c r="H26742" s="40" t="s">
        <v>11404</v>
      </c>
    </row>
    <row r="26743">
      <c r="A26743" s="39"/>
      <c r="E26743" s="40" t="s">
        <v>11404</v>
      </c>
      <c r="F26743" s="40" t="s">
        <v>11404</v>
      </c>
      <c r="G26743" s="40" t="s">
        <v>11404</v>
      </c>
      <c r="H26743" s="40" t="s">
        <v>11404</v>
      </c>
    </row>
    <row r="26744">
      <c r="A26744" s="39"/>
      <c r="E26744" s="40" t="s">
        <v>11404</v>
      </c>
      <c r="F26744" s="40" t="s">
        <v>11404</v>
      </c>
      <c r="G26744" s="40" t="s">
        <v>11404</v>
      </c>
      <c r="H26744" s="40" t="s">
        <v>11404</v>
      </c>
    </row>
    <row r="26745">
      <c r="A26745" s="39"/>
      <c r="E26745" s="40" t="s">
        <v>11404</v>
      </c>
      <c r="F26745" s="40" t="s">
        <v>11404</v>
      </c>
      <c r="G26745" s="40" t="s">
        <v>11404</v>
      </c>
      <c r="H26745" s="40" t="s">
        <v>11404</v>
      </c>
    </row>
    <row r="26746">
      <c r="A26746" s="39"/>
      <c r="E26746" s="40" t="s">
        <v>11404</v>
      </c>
      <c r="F26746" s="40" t="s">
        <v>11404</v>
      </c>
      <c r="G26746" s="40" t="s">
        <v>11404</v>
      </c>
      <c r="H26746" s="40" t="s">
        <v>11404</v>
      </c>
    </row>
    <row r="26747">
      <c r="A26747" s="39"/>
      <c r="E26747" s="40" t="s">
        <v>11404</v>
      </c>
      <c r="F26747" s="40" t="s">
        <v>11404</v>
      </c>
      <c r="G26747" s="40" t="s">
        <v>11404</v>
      </c>
      <c r="H26747" s="40" t="s">
        <v>11404</v>
      </c>
    </row>
    <row r="26748">
      <c r="A26748" s="39"/>
      <c r="E26748" s="40" t="s">
        <v>11404</v>
      </c>
      <c r="F26748" s="40" t="s">
        <v>11404</v>
      </c>
      <c r="G26748" s="40" t="s">
        <v>11404</v>
      </c>
      <c r="H26748" s="40" t="s">
        <v>11404</v>
      </c>
    </row>
    <row r="26749">
      <c r="A26749" s="39"/>
      <c r="E26749" s="40" t="s">
        <v>11404</v>
      </c>
      <c r="F26749" s="40" t="s">
        <v>11404</v>
      </c>
      <c r="G26749" s="40" t="s">
        <v>11404</v>
      </c>
      <c r="H26749" s="40" t="s">
        <v>11404</v>
      </c>
    </row>
    <row r="26750">
      <c r="A26750" s="39"/>
      <c r="E26750" s="40" t="s">
        <v>11404</v>
      </c>
      <c r="F26750" s="40" t="s">
        <v>11404</v>
      </c>
      <c r="G26750" s="40" t="s">
        <v>11404</v>
      </c>
      <c r="H26750" s="40" t="s">
        <v>11404</v>
      </c>
    </row>
    <row r="26751">
      <c r="A26751" s="39"/>
      <c r="E26751" s="40" t="s">
        <v>11404</v>
      </c>
      <c r="F26751" s="40" t="s">
        <v>11404</v>
      </c>
      <c r="G26751" s="40" t="s">
        <v>11404</v>
      </c>
      <c r="H26751" s="40" t="s">
        <v>11404</v>
      </c>
    </row>
    <row r="26752">
      <c r="A26752" s="39"/>
      <c r="E26752" s="40" t="s">
        <v>11404</v>
      </c>
      <c r="F26752" s="40" t="s">
        <v>11404</v>
      </c>
      <c r="G26752" s="40" t="s">
        <v>11404</v>
      </c>
      <c r="H26752" s="40" t="s">
        <v>11404</v>
      </c>
    </row>
    <row r="26753">
      <c r="A26753" s="39"/>
      <c r="E26753" s="40" t="s">
        <v>11404</v>
      </c>
      <c r="F26753" s="40" t="s">
        <v>11404</v>
      </c>
      <c r="G26753" s="40" t="s">
        <v>11404</v>
      </c>
      <c r="H26753" s="40" t="s">
        <v>11404</v>
      </c>
    </row>
    <row r="26754">
      <c r="A26754" s="39"/>
      <c r="E26754" s="40" t="s">
        <v>11404</v>
      </c>
      <c r="F26754" s="40" t="s">
        <v>11404</v>
      </c>
      <c r="G26754" s="40" t="s">
        <v>11404</v>
      </c>
      <c r="H26754" s="40" t="s">
        <v>11404</v>
      </c>
    </row>
    <row r="26755">
      <c r="A26755" s="39"/>
      <c r="E26755" s="40" t="s">
        <v>11404</v>
      </c>
      <c r="F26755" s="40" t="s">
        <v>11404</v>
      </c>
      <c r="G26755" s="40" t="s">
        <v>11404</v>
      </c>
      <c r="H26755" s="40" t="s">
        <v>11404</v>
      </c>
    </row>
    <row r="26756">
      <c r="A26756" s="39"/>
      <c r="E26756" s="40" t="s">
        <v>11404</v>
      </c>
      <c r="F26756" s="40" t="s">
        <v>11404</v>
      </c>
      <c r="G26756" s="40" t="s">
        <v>11404</v>
      </c>
      <c r="H26756" s="40" t="s">
        <v>11404</v>
      </c>
    </row>
    <row r="26757">
      <c r="A26757" s="39"/>
      <c r="E26757" s="40" t="s">
        <v>11404</v>
      </c>
      <c r="F26757" s="40" t="s">
        <v>11404</v>
      </c>
      <c r="G26757" s="40" t="s">
        <v>11404</v>
      </c>
      <c r="H26757" s="40" t="s">
        <v>11404</v>
      </c>
    </row>
    <row r="26758">
      <c r="A26758" s="39"/>
      <c r="E26758" s="40" t="s">
        <v>11404</v>
      </c>
      <c r="F26758" s="40" t="s">
        <v>11404</v>
      </c>
      <c r="G26758" s="40" t="s">
        <v>11404</v>
      </c>
      <c r="H26758" s="40" t="s">
        <v>11404</v>
      </c>
    </row>
    <row r="26759">
      <c r="A26759" s="39"/>
      <c r="E26759" s="40" t="s">
        <v>11404</v>
      </c>
      <c r="F26759" s="40" t="s">
        <v>11404</v>
      </c>
      <c r="G26759" s="40" t="s">
        <v>11404</v>
      </c>
      <c r="H26759" s="40" t="s">
        <v>11404</v>
      </c>
    </row>
    <row r="26760">
      <c r="A26760" s="39"/>
      <c r="E26760" s="40" t="s">
        <v>11404</v>
      </c>
      <c r="F26760" s="40" t="s">
        <v>11404</v>
      </c>
      <c r="G26760" s="40" t="s">
        <v>11404</v>
      </c>
      <c r="H26760" s="40" t="s">
        <v>11404</v>
      </c>
    </row>
    <row r="26761">
      <c r="A26761" s="39"/>
      <c r="E26761" s="40" t="s">
        <v>11404</v>
      </c>
      <c r="F26761" s="40" t="s">
        <v>11404</v>
      </c>
      <c r="G26761" s="40" t="s">
        <v>11404</v>
      </c>
      <c r="H26761" s="40" t="s">
        <v>11404</v>
      </c>
    </row>
    <row r="26762">
      <c r="A26762" s="39"/>
      <c r="E26762" s="40" t="s">
        <v>11404</v>
      </c>
      <c r="F26762" s="40" t="s">
        <v>11404</v>
      </c>
      <c r="G26762" s="40" t="s">
        <v>11404</v>
      </c>
      <c r="H26762" s="40" t="s">
        <v>11404</v>
      </c>
    </row>
    <row r="26763">
      <c r="A26763" s="39"/>
      <c r="E26763" s="40" t="s">
        <v>11404</v>
      </c>
      <c r="F26763" s="40" t="s">
        <v>11404</v>
      </c>
      <c r="G26763" s="40" t="s">
        <v>11404</v>
      </c>
      <c r="H26763" s="40" t="s">
        <v>11404</v>
      </c>
    </row>
    <row r="26764">
      <c r="A26764" s="39"/>
      <c r="E26764" s="40" t="s">
        <v>11404</v>
      </c>
      <c r="F26764" s="40" t="s">
        <v>11404</v>
      </c>
      <c r="G26764" s="40" t="s">
        <v>11404</v>
      </c>
      <c r="H26764" s="40" t="s">
        <v>11404</v>
      </c>
    </row>
    <row r="26765">
      <c r="A26765" s="39"/>
      <c r="E26765" s="40" t="s">
        <v>11404</v>
      </c>
      <c r="F26765" s="40" t="s">
        <v>11404</v>
      </c>
      <c r="G26765" s="40" t="s">
        <v>11404</v>
      </c>
      <c r="H26765" s="40" t="s">
        <v>11404</v>
      </c>
    </row>
    <row r="26766">
      <c r="A26766" s="39"/>
      <c r="E26766" s="40" t="s">
        <v>11404</v>
      </c>
      <c r="F26766" s="40" t="s">
        <v>11404</v>
      </c>
      <c r="G26766" s="40" t="s">
        <v>11404</v>
      </c>
      <c r="H26766" s="40" t="s">
        <v>11404</v>
      </c>
    </row>
    <row r="26767">
      <c r="A26767" s="39"/>
      <c r="E26767" s="40" t="s">
        <v>11404</v>
      </c>
      <c r="F26767" s="40" t="s">
        <v>11404</v>
      </c>
      <c r="G26767" s="40" t="s">
        <v>11404</v>
      </c>
      <c r="H26767" s="40" t="s">
        <v>11404</v>
      </c>
    </row>
    <row r="26768">
      <c r="A26768" s="39"/>
      <c r="E26768" s="40" t="s">
        <v>11404</v>
      </c>
      <c r="F26768" s="40" t="s">
        <v>11404</v>
      </c>
      <c r="G26768" s="40" t="s">
        <v>11404</v>
      </c>
      <c r="H26768" s="40" t="s">
        <v>11404</v>
      </c>
    </row>
    <row r="26769">
      <c r="A26769" s="39"/>
      <c r="E26769" s="40" t="s">
        <v>11404</v>
      </c>
      <c r="F26769" s="40" t="s">
        <v>11404</v>
      </c>
      <c r="G26769" s="40" t="s">
        <v>11404</v>
      </c>
      <c r="H26769" s="40" t="s">
        <v>11404</v>
      </c>
    </row>
    <row r="26770">
      <c r="A26770" s="39"/>
      <c r="E26770" s="40" t="s">
        <v>11404</v>
      </c>
      <c r="F26770" s="40" t="s">
        <v>11404</v>
      </c>
      <c r="G26770" s="40" t="s">
        <v>11404</v>
      </c>
      <c r="H26770" s="40" t="s">
        <v>11404</v>
      </c>
    </row>
    <row r="26771">
      <c r="A26771" s="39"/>
      <c r="E26771" s="40" t="s">
        <v>11404</v>
      </c>
      <c r="F26771" s="40" t="s">
        <v>11404</v>
      </c>
      <c r="G26771" s="40" t="s">
        <v>11404</v>
      </c>
      <c r="H26771" s="40" t="s">
        <v>11404</v>
      </c>
    </row>
    <row r="26772">
      <c r="A26772" s="39"/>
      <c r="E26772" s="40" t="s">
        <v>11404</v>
      </c>
      <c r="F26772" s="40" t="s">
        <v>11404</v>
      </c>
      <c r="G26772" s="40" t="s">
        <v>11404</v>
      </c>
      <c r="H26772" s="40" t="s">
        <v>11404</v>
      </c>
    </row>
    <row r="26773">
      <c r="A26773" s="39"/>
      <c r="E26773" s="40" t="s">
        <v>11404</v>
      </c>
      <c r="F26773" s="40" t="s">
        <v>11404</v>
      </c>
      <c r="G26773" s="40" t="s">
        <v>11404</v>
      </c>
      <c r="H26773" s="40" t="s">
        <v>11404</v>
      </c>
    </row>
    <row r="26774">
      <c r="A26774" s="39"/>
      <c r="E26774" s="40" t="s">
        <v>11404</v>
      </c>
      <c r="F26774" s="40" t="s">
        <v>11404</v>
      </c>
      <c r="G26774" s="40" t="s">
        <v>11404</v>
      </c>
      <c r="H26774" s="40" t="s">
        <v>11404</v>
      </c>
    </row>
    <row r="26775">
      <c r="A26775" s="39"/>
      <c r="E26775" s="40" t="s">
        <v>11404</v>
      </c>
      <c r="F26775" s="40" t="s">
        <v>11404</v>
      </c>
      <c r="G26775" s="40" t="s">
        <v>11404</v>
      </c>
      <c r="H26775" s="40" t="s">
        <v>11404</v>
      </c>
    </row>
    <row r="26776">
      <c r="A26776" s="39"/>
      <c r="E26776" s="40" t="s">
        <v>11404</v>
      </c>
      <c r="F26776" s="40" t="s">
        <v>11404</v>
      </c>
      <c r="G26776" s="40" t="s">
        <v>11404</v>
      </c>
      <c r="H26776" s="40" t="s">
        <v>11404</v>
      </c>
    </row>
    <row r="26777">
      <c r="A26777" s="39"/>
      <c r="E26777" s="40" t="s">
        <v>11404</v>
      </c>
      <c r="F26777" s="40" t="s">
        <v>11404</v>
      </c>
      <c r="G26777" s="40" t="s">
        <v>11404</v>
      </c>
      <c r="H26777" s="40" t="s">
        <v>11404</v>
      </c>
    </row>
    <row r="26778">
      <c r="A26778" s="39"/>
      <c r="E26778" s="40" t="s">
        <v>11404</v>
      </c>
      <c r="F26778" s="40" t="s">
        <v>11404</v>
      </c>
      <c r="G26778" s="40" t="s">
        <v>11404</v>
      </c>
      <c r="H26778" s="40" t="s">
        <v>11404</v>
      </c>
    </row>
    <row r="26779">
      <c r="A26779" s="39"/>
      <c r="E26779" s="40" t="s">
        <v>11404</v>
      </c>
      <c r="F26779" s="40" t="s">
        <v>11404</v>
      </c>
      <c r="G26779" s="40" t="s">
        <v>11404</v>
      </c>
      <c r="H26779" s="40" t="s">
        <v>11404</v>
      </c>
    </row>
    <row r="26780">
      <c r="A26780" s="39"/>
      <c r="E26780" s="40" t="s">
        <v>11404</v>
      </c>
      <c r="F26780" s="40" t="s">
        <v>11404</v>
      </c>
      <c r="G26780" s="40" t="s">
        <v>11404</v>
      </c>
      <c r="H26780" s="40" t="s">
        <v>11404</v>
      </c>
    </row>
    <row r="26781">
      <c r="A26781" s="39"/>
      <c r="E26781" s="40" t="s">
        <v>11404</v>
      </c>
      <c r="F26781" s="40" t="s">
        <v>11404</v>
      </c>
      <c r="G26781" s="40" t="s">
        <v>11404</v>
      </c>
      <c r="H26781" s="40" t="s">
        <v>11404</v>
      </c>
    </row>
    <row r="26782">
      <c r="A26782" s="39"/>
      <c r="E26782" s="40" t="s">
        <v>11404</v>
      </c>
      <c r="F26782" s="40" t="s">
        <v>11404</v>
      </c>
      <c r="G26782" s="40" t="s">
        <v>11404</v>
      </c>
      <c r="H26782" s="40" t="s">
        <v>11404</v>
      </c>
    </row>
    <row r="26783">
      <c r="A26783" s="39"/>
      <c r="E26783" s="40" t="s">
        <v>11404</v>
      </c>
      <c r="F26783" s="40" t="s">
        <v>11404</v>
      </c>
      <c r="G26783" s="40" t="s">
        <v>11404</v>
      </c>
      <c r="H26783" s="40" t="s">
        <v>11404</v>
      </c>
    </row>
    <row r="26784">
      <c r="A26784" s="39"/>
      <c r="E26784" s="40" t="s">
        <v>11404</v>
      </c>
      <c r="F26784" s="40" t="s">
        <v>11404</v>
      </c>
      <c r="G26784" s="40" t="s">
        <v>11404</v>
      </c>
      <c r="H26784" s="40" t="s">
        <v>11404</v>
      </c>
    </row>
    <row r="26785">
      <c r="A26785" s="39"/>
      <c r="E26785" s="40" t="s">
        <v>11404</v>
      </c>
      <c r="F26785" s="40" t="s">
        <v>11404</v>
      </c>
      <c r="G26785" s="40" t="s">
        <v>11404</v>
      </c>
      <c r="H26785" s="40" t="s">
        <v>11404</v>
      </c>
    </row>
    <row r="26786">
      <c r="A26786" s="39"/>
      <c r="E26786" s="40" t="s">
        <v>11404</v>
      </c>
      <c r="F26786" s="40" t="s">
        <v>11404</v>
      </c>
      <c r="G26786" s="40" t="s">
        <v>11404</v>
      </c>
      <c r="H26786" s="40" t="s">
        <v>11404</v>
      </c>
    </row>
    <row r="26787">
      <c r="A26787" s="39"/>
      <c r="E26787" s="40" t="s">
        <v>11404</v>
      </c>
      <c r="F26787" s="40" t="s">
        <v>11404</v>
      </c>
      <c r="G26787" s="40" t="s">
        <v>11404</v>
      </c>
      <c r="H26787" s="40" t="s">
        <v>11404</v>
      </c>
    </row>
    <row r="26788">
      <c r="A26788" s="39"/>
      <c r="E26788" s="40" t="s">
        <v>11404</v>
      </c>
      <c r="F26788" s="40" t="s">
        <v>11404</v>
      </c>
      <c r="G26788" s="40" t="s">
        <v>11404</v>
      </c>
      <c r="H26788" s="40" t="s">
        <v>11404</v>
      </c>
    </row>
    <row r="26789">
      <c r="A26789" s="39"/>
      <c r="E26789" s="40" t="s">
        <v>11404</v>
      </c>
      <c r="F26789" s="40" t="s">
        <v>11404</v>
      </c>
      <c r="G26789" s="40" t="s">
        <v>11404</v>
      </c>
      <c r="H26789" s="40" t="s">
        <v>11404</v>
      </c>
    </row>
    <row r="26790">
      <c r="A26790" s="39"/>
      <c r="E26790" s="40" t="s">
        <v>11404</v>
      </c>
      <c r="F26790" s="40" t="s">
        <v>11404</v>
      </c>
      <c r="G26790" s="40" t="s">
        <v>11404</v>
      </c>
      <c r="H26790" s="40" t="s">
        <v>11404</v>
      </c>
    </row>
    <row r="26791">
      <c r="A26791" s="39"/>
      <c r="E26791" s="40" t="s">
        <v>11404</v>
      </c>
      <c r="F26791" s="40" t="s">
        <v>11404</v>
      </c>
      <c r="G26791" s="40" t="s">
        <v>11404</v>
      </c>
      <c r="H26791" s="40" t="s">
        <v>11404</v>
      </c>
    </row>
    <row r="26792">
      <c r="A26792" s="39"/>
      <c r="E26792" s="40" t="s">
        <v>11404</v>
      </c>
      <c r="F26792" s="40" t="s">
        <v>11404</v>
      </c>
      <c r="G26792" s="40" t="s">
        <v>11404</v>
      </c>
      <c r="H26792" s="40" t="s">
        <v>11404</v>
      </c>
    </row>
    <row r="26793">
      <c r="A26793" s="39"/>
      <c r="E26793" s="40" t="s">
        <v>11404</v>
      </c>
      <c r="F26793" s="40" t="s">
        <v>11404</v>
      </c>
      <c r="G26793" s="40" t="s">
        <v>11404</v>
      </c>
      <c r="H26793" s="40" t="s">
        <v>11404</v>
      </c>
    </row>
    <row r="26794">
      <c r="A26794" s="39"/>
      <c r="E26794" s="40" t="s">
        <v>11404</v>
      </c>
      <c r="F26794" s="40" t="s">
        <v>11404</v>
      </c>
      <c r="G26794" s="40" t="s">
        <v>11404</v>
      </c>
      <c r="H26794" s="40" t="s">
        <v>11404</v>
      </c>
    </row>
    <row r="26795">
      <c r="A26795" s="39"/>
      <c r="E26795" s="40" t="s">
        <v>11404</v>
      </c>
      <c r="F26795" s="40" t="s">
        <v>11404</v>
      </c>
      <c r="G26795" s="40" t="s">
        <v>11404</v>
      </c>
      <c r="H26795" s="40" t="s">
        <v>11404</v>
      </c>
    </row>
    <row r="26796">
      <c r="A26796" s="39"/>
      <c r="E26796" s="40" t="s">
        <v>11404</v>
      </c>
      <c r="F26796" s="40" t="s">
        <v>11404</v>
      </c>
      <c r="G26796" s="40" t="s">
        <v>11404</v>
      </c>
      <c r="H26796" s="40" t="s">
        <v>11404</v>
      </c>
    </row>
    <row r="26797">
      <c r="A26797" s="39"/>
      <c r="E26797" s="40" t="s">
        <v>11404</v>
      </c>
      <c r="F26797" s="40" t="s">
        <v>11404</v>
      </c>
      <c r="G26797" s="40" t="s">
        <v>11404</v>
      </c>
      <c r="H26797" s="40" t="s">
        <v>11404</v>
      </c>
    </row>
    <row r="26798">
      <c r="A26798" s="39"/>
      <c r="E26798" s="40" t="s">
        <v>11404</v>
      </c>
      <c r="F26798" s="40" t="s">
        <v>11404</v>
      </c>
      <c r="G26798" s="40" t="s">
        <v>11404</v>
      </c>
      <c r="H26798" s="40" t="s">
        <v>11404</v>
      </c>
    </row>
    <row r="26799">
      <c r="A26799" s="39"/>
      <c r="E26799" s="40" t="s">
        <v>11404</v>
      </c>
      <c r="F26799" s="40" t="s">
        <v>11404</v>
      </c>
      <c r="G26799" s="40" t="s">
        <v>11404</v>
      </c>
      <c r="H26799" s="40" t="s">
        <v>11404</v>
      </c>
    </row>
    <row r="26800">
      <c r="A26800" s="39"/>
      <c r="E26800" s="40" t="s">
        <v>11404</v>
      </c>
      <c r="F26800" s="40" t="s">
        <v>11404</v>
      </c>
      <c r="G26800" s="40" t="s">
        <v>11404</v>
      </c>
      <c r="H26800" s="40" t="s">
        <v>11404</v>
      </c>
    </row>
    <row r="26801">
      <c r="A26801" s="39"/>
      <c r="E26801" s="40" t="s">
        <v>11404</v>
      </c>
      <c r="F26801" s="40" t="s">
        <v>11404</v>
      </c>
      <c r="G26801" s="40" t="s">
        <v>11404</v>
      </c>
      <c r="H26801" s="40" t="s">
        <v>11404</v>
      </c>
    </row>
    <row r="26802">
      <c r="A26802" s="39"/>
      <c r="E26802" s="40" t="s">
        <v>11404</v>
      </c>
      <c r="F26802" s="40" t="s">
        <v>11404</v>
      </c>
      <c r="G26802" s="40" t="s">
        <v>11404</v>
      </c>
      <c r="H26802" s="40" t="s">
        <v>11404</v>
      </c>
    </row>
    <row r="26803">
      <c r="A26803" s="39"/>
      <c r="E26803" s="40" t="s">
        <v>11404</v>
      </c>
      <c r="F26803" s="40" t="s">
        <v>11404</v>
      </c>
      <c r="G26803" s="40" t="s">
        <v>11404</v>
      </c>
      <c r="H26803" s="40" t="s">
        <v>11404</v>
      </c>
    </row>
    <row r="26804">
      <c r="A26804" s="39"/>
      <c r="E26804" s="40" t="s">
        <v>11404</v>
      </c>
      <c r="F26804" s="40" t="s">
        <v>11404</v>
      </c>
      <c r="G26804" s="40" t="s">
        <v>11404</v>
      </c>
      <c r="H26804" s="40" t="s">
        <v>11404</v>
      </c>
    </row>
    <row r="26805">
      <c r="A26805" s="39"/>
      <c r="E26805" s="40" t="s">
        <v>11404</v>
      </c>
      <c r="F26805" s="40" t="s">
        <v>11404</v>
      </c>
      <c r="G26805" s="40" t="s">
        <v>11404</v>
      </c>
      <c r="H26805" s="40" t="s">
        <v>11404</v>
      </c>
    </row>
    <row r="26806">
      <c r="A26806" s="39"/>
      <c r="E26806" s="40" t="s">
        <v>11404</v>
      </c>
      <c r="F26806" s="40" t="s">
        <v>11404</v>
      </c>
      <c r="G26806" s="40" t="s">
        <v>11404</v>
      </c>
      <c r="H26806" s="40" t="s">
        <v>11404</v>
      </c>
    </row>
    <row r="26807">
      <c r="A26807" s="39"/>
      <c r="E26807" s="40" t="s">
        <v>11404</v>
      </c>
      <c r="F26807" s="40" t="s">
        <v>11404</v>
      </c>
      <c r="G26807" s="40" t="s">
        <v>11404</v>
      </c>
      <c r="H26807" s="40" t="s">
        <v>11404</v>
      </c>
    </row>
    <row r="26808">
      <c r="A26808" s="39"/>
      <c r="E26808" s="40" t="s">
        <v>11404</v>
      </c>
      <c r="F26808" s="40" t="s">
        <v>11404</v>
      </c>
      <c r="G26808" s="40" t="s">
        <v>11404</v>
      </c>
      <c r="H26808" s="40" t="s">
        <v>11404</v>
      </c>
    </row>
    <row r="26809">
      <c r="A26809" s="39"/>
      <c r="E26809" s="40" t="s">
        <v>11404</v>
      </c>
      <c r="F26809" s="40" t="s">
        <v>11404</v>
      </c>
      <c r="G26809" s="40" t="s">
        <v>11404</v>
      </c>
      <c r="H26809" s="40" t="s">
        <v>11404</v>
      </c>
    </row>
    <row r="26810">
      <c r="A26810" s="39"/>
      <c r="E26810" s="40" t="s">
        <v>11404</v>
      </c>
      <c r="F26810" s="40" t="s">
        <v>11404</v>
      </c>
      <c r="G26810" s="40" t="s">
        <v>11404</v>
      </c>
      <c r="H26810" s="40" t="s">
        <v>11404</v>
      </c>
    </row>
    <row r="26811">
      <c r="A26811" s="39"/>
      <c r="E26811" s="40" t="s">
        <v>11404</v>
      </c>
      <c r="F26811" s="40" t="s">
        <v>11404</v>
      </c>
      <c r="G26811" s="40" t="s">
        <v>11404</v>
      </c>
      <c r="H26811" s="40" t="s">
        <v>11404</v>
      </c>
    </row>
    <row r="26812">
      <c r="A26812" s="39"/>
      <c r="E26812" s="40" t="s">
        <v>11404</v>
      </c>
      <c r="F26812" s="40" t="s">
        <v>11404</v>
      </c>
      <c r="G26812" s="40" t="s">
        <v>11404</v>
      </c>
      <c r="H26812" s="40" t="s">
        <v>11404</v>
      </c>
    </row>
    <row r="26813">
      <c r="A26813" s="39"/>
      <c r="E26813" s="40" t="s">
        <v>11404</v>
      </c>
      <c r="F26813" s="40" t="s">
        <v>11404</v>
      </c>
      <c r="G26813" s="40" t="s">
        <v>11404</v>
      </c>
      <c r="H26813" s="40" t="s">
        <v>11404</v>
      </c>
    </row>
    <row r="26814">
      <c r="A26814" s="39"/>
      <c r="E26814" s="40" t="s">
        <v>11404</v>
      </c>
      <c r="F26814" s="40" t="s">
        <v>11404</v>
      </c>
      <c r="G26814" s="40" t="s">
        <v>11404</v>
      </c>
      <c r="H26814" s="40" t="s">
        <v>11404</v>
      </c>
    </row>
    <row r="26815">
      <c r="A26815" s="39"/>
      <c r="E26815" s="40" t="s">
        <v>11404</v>
      </c>
      <c r="F26815" s="40" t="s">
        <v>11404</v>
      </c>
      <c r="G26815" s="40" t="s">
        <v>11404</v>
      </c>
      <c r="H26815" s="40" t="s">
        <v>11404</v>
      </c>
    </row>
    <row r="26816">
      <c r="A26816" s="39"/>
      <c r="E26816" s="40" t="s">
        <v>11404</v>
      </c>
      <c r="F26816" s="40" t="s">
        <v>11404</v>
      </c>
      <c r="G26816" s="40" t="s">
        <v>11404</v>
      </c>
      <c r="H26816" s="40" t="s">
        <v>11404</v>
      </c>
    </row>
    <row r="26817">
      <c r="A26817" s="39"/>
      <c r="E26817" s="40" t="s">
        <v>11404</v>
      </c>
      <c r="F26817" s="40" t="s">
        <v>11404</v>
      </c>
      <c r="G26817" s="40" t="s">
        <v>11404</v>
      </c>
      <c r="H26817" s="40" t="s">
        <v>11404</v>
      </c>
    </row>
    <row r="26818">
      <c r="A26818" s="39"/>
      <c r="E26818" s="40" t="s">
        <v>11404</v>
      </c>
      <c r="F26818" s="40" t="s">
        <v>11404</v>
      </c>
      <c r="G26818" s="40" t="s">
        <v>11404</v>
      </c>
      <c r="H26818" s="40" t="s">
        <v>11404</v>
      </c>
    </row>
    <row r="26819">
      <c r="A26819" s="39"/>
      <c r="E26819" s="40" t="s">
        <v>11404</v>
      </c>
      <c r="F26819" s="40" t="s">
        <v>11404</v>
      </c>
      <c r="G26819" s="40" t="s">
        <v>11404</v>
      </c>
      <c r="H26819" s="40" t="s">
        <v>11404</v>
      </c>
    </row>
    <row r="26820">
      <c r="A26820" s="39"/>
      <c r="E26820" s="40" t="s">
        <v>11404</v>
      </c>
      <c r="F26820" s="40" t="s">
        <v>11404</v>
      </c>
      <c r="G26820" s="40" t="s">
        <v>11404</v>
      </c>
      <c r="H26820" s="40" t="s">
        <v>11404</v>
      </c>
    </row>
    <row r="26821">
      <c r="A26821" s="39"/>
      <c r="E26821" s="40" t="s">
        <v>11404</v>
      </c>
      <c r="F26821" s="40" t="s">
        <v>11404</v>
      </c>
      <c r="G26821" s="40" t="s">
        <v>11404</v>
      </c>
      <c r="H26821" s="40" t="s">
        <v>11404</v>
      </c>
    </row>
    <row r="26822">
      <c r="A26822" s="39"/>
      <c r="E26822" s="40" t="s">
        <v>11404</v>
      </c>
      <c r="F26822" s="40" t="s">
        <v>11404</v>
      </c>
      <c r="G26822" s="40" t="s">
        <v>11404</v>
      </c>
      <c r="H26822" s="40" t="s">
        <v>11404</v>
      </c>
    </row>
    <row r="26823">
      <c r="A26823" s="39"/>
      <c r="E26823" s="40" t="s">
        <v>11404</v>
      </c>
      <c r="F26823" s="40" t="s">
        <v>11404</v>
      </c>
      <c r="G26823" s="40" t="s">
        <v>11404</v>
      </c>
      <c r="H26823" s="40" t="s">
        <v>11404</v>
      </c>
    </row>
    <row r="26824">
      <c r="A26824" s="39"/>
      <c r="E26824" s="40" t="s">
        <v>11404</v>
      </c>
      <c r="F26824" s="40" t="s">
        <v>11404</v>
      </c>
      <c r="G26824" s="40" t="s">
        <v>11404</v>
      </c>
      <c r="H26824" s="40" t="s">
        <v>11404</v>
      </c>
    </row>
    <row r="26825">
      <c r="A26825" s="39"/>
      <c r="E26825" s="40" t="s">
        <v>11404</v>
      </c>
      <c r="F26825" s="40" t="s">
        <v>11404</v>
      </c>
      <c r="G26825" s="40" t="s">
        <v>11404</v>
      </c>
      <c r="H26825" s="40" t="s">
        <v>11404</v>
      </c>
    </row>
    <row r="26826">
      <c r="A26826" s="39"/>
      <c r="E26826" s="40" t="s">
        <v>11404</v>
      </c>
      <c r="F26826" s="40" t="s">
        <v>11404</v>
      </c>
      <c r="G26826" s="40" t="s">
        <v>11404</v>
      </c>
      <c r="H26826" s="40" t="s">
        <v>11404</v>
      </c>
    </row>
    <row r="26827">
      <c r="A26827" s="39"/>
      <c r="E26827" s="40" t="s">
        <v>11404</v>
      </c>
      <c r="F26827" s="40" t="s">
        <v>11404</v>
      </c>
      <c r="G26827" s="40" t="s">
        <v>11404</v>
      </c>
      <c r="H26827" s="40" t="s">
        <v>11404</v>
      </c>
    </row>
    <row r="26828">
      <c r="A26828" s="39"/>
      <c r="E26828" s="40" t="s">
        <v>11404</v>
      </c>
      <c r="F26828" s="40" t="s">
        <v>11404</v>
      </c>
      <c r="G26828" s="40" t="s">
        <v>11404</v>
      </c>
      <c r="H26828" s="40" t="s">
        <v>11404</v>
      </c>
    </row>
    <row r="26829">
      <c r="A26829" s="39"/>
      <c r="E26829" s="40" t="s">
        <v>11404</v>
      </c>
      <c r="F26829" s="40" t="s">
        <v>11404</v>
      </c>
      <c r="G26829" s="40" t="s">
        <v>11404</v>
      </c>
      <c r="H26829" s="40" t="s">
        <v>11404</v>
      </c>
    </row>
    <row r="26830">
      <c r="A26830" s="39"/>
      <c r="E26830" s="40" t="s">
        <v>11404</v>
      </c>
      <c r="F26830" s="40" t="s">
        <v>11404</v>
      </c>
      <c r="G26830" s="40" t="s">
        <v>11404</v>
      </c>
      <c r="H26830" s="40" t="s">
        <v>11404</v>
      </c>
    </row>
    <row r="26831">
      <c r="A26831" s="39"/>
      <c r="E26831" s="40" t="s">
        <v>11404</v>
      </c>
      <c r="F26831" s="40" t="s">
        <v>11404</v>
      </c>
      <c r="G26831" s="40" t="s">
        <v>11404</v>
      </c>
      <c r="H26831" s="40" t="s">
        <v>11404</v>
      </c>
    </row>
    <row r="26832">
      <c r="A26832" s="39"/>
      <c r="E26832" s="40" t="s">
        <v>11404</v>
      </c>
      <c r="F26832" s="40" t="s">
        <v>11404</v>
      </c>
      <c r="G26832" s="40" t="s">
        <v>11404</v>
      </c>
      <c r="H26832" s="40" t="s">
        <v>11404</v>
      </c>
    </row>
    <row r="26833">
      <c r="A26833" s="39"/>
      <c r="E26833" s="40" t="s">
        <v>11404</v>
      </c>
      <c r="F26833" s="40" t="s">
        <v>11404</v>
      </c>
      <c r="G26833" s="40" t="s">
        <v>11404</v>
      </c>
      <c r="H26833" s="40" t="s">
        <v>11404</v>
      </c>
    </row>
    <row r="26834">
      <c r="A26834" s="39"/>
      <c r="E26834" s="40" t="s">
        <v>11404</v>
      </c>
      <c r="F26834" s="40" t="s">
        <v>11404</v>
      </c>
      <c r="G26834" s="40" t="s">
        <v>11404</v>
      </c>
      <c r="H26834" s="40" t="s">
        <v>11404</v>
      </c>
    </row>
    <row r="26835">
      <c r="A26835" s="39"/>
      <c r="E26835" s="40" t="s">
        <v>11404</v>
      </c>
      <c r="F26835" s="40" t="s">
        <v>11404</v>
      </c>
      <c r="G26835" s="40" t="s">
        <v>11404</v>
      </c>
      <c r="H26835" s="40" t="s">
        <v>11404</v>
      </c>
    </row>
    <row r="26836">
      <c r="A26836" s="39"/>
      <c r="E26836" s="40" t="s">
        <v>11404</v>
      </c>
      <c r="F26836" s="40" t="s">
        <v>11404</v>
      </c>
      <c r="G26836" s="40" t="s">
        <v>11404</v>
      </c>
      <c r="H26836" s="40" t="s">
        <v>11404</v>
      </c>
    </row>
    <row r="26837">
      <c r="A26837" s="39"/>
      <c r="E26837" s="40" t="s">
        <v>11404</v>
      </c>
      <c r="F26837" s="40" t="s">
        <v>11404</v>
      </c>
      <c r="G26837" s="40" t="s">
        <v>11404</v>
      </c>
      <c r="H26837" s="40" t="s">
        <v>11404</v>
      </c>
    </row>
    <row r="26838">
      <c r="A26838" s="39"/>
      <c r="E26838" s="40" t="s">
        <v>11404</v>
      </c>
      <c r="F26838" s="40" t="s">
        <v>11404</v>
      </c>
      <c r="G26838" s="40" t="s">
        <v>11404</v>
      </c>
      <c r="H26838" s="40" t="s">
        <v>11404</v>
      </c>
    </row>
    <row r="26839">
      <c r="A26839" s="39"/>
      <c r="E26839" s="40" t="s">
        <v>11404</v>
      </c>
      <c r="F26839" s="40" t="s">
        <v>11404</v>
      </c>
      <c r="G26839" s="40" t="s">
        <v>11404</v>
      </c>
      <c r="H26839" s="40" t="s">
        <v>11404</v>
      </c>
    </row>
    <row r="26840">
      <c r="A26840" s="39"/>
      <c r="E26840" s="40" t="s">
        <v>11404</v>
      </c>
      <c r="F26840" s="40" t="s">
        <v>11404</v>
      </c>
      <c r="G26840" s="40" t="s">
        <v>11404</v>
      </c>
      <c r="H26840" s="40" t="s">
        <v>11404</v>
      </c>
    </row>
    <row r="26841">
      <c r="A26841" s="39"/>
      <c r="E26841" s="40" t="s">
        <v>11404</v>
      </c>
      <c r="F26841" s="40" t="s">
        <v>11404</v>
      </c>
      <c r="G26841" s="40" t="s">
        <v>11404</v>
      </c>
      <c r="H26841" s="40" t="s">
        <v>11404</v>
      </c>
    </row>
    <row r="26842">
      <c r="A26842" s="39"/>
      <c r="E26842" s="40" t="s">
        <v>11404</v>
      </c>
      <c r="F26842" s="40" t="s">
        <v>11404</v>
      </c>
      <c r="G26842" s="40" t="s">
        <v>11404</v>
      </c>
      <c r="H26842" s="40" t="s">
        <v>11404</v>
      </c>
    </row>
    <row r="26843">
      <c r="A26843" s="39"/>
      <c r="E26843" s="40" t="s">
        <v>11404</v>
      </c>
      <c r="F26843" s="40" t="s">
        <v>11404</v>
      </c>
      <c r="G26843" s="40" t="s">
        <v>11404</v>
      </c>
      <c r="H26843" s="40" t="s">
        <v>11404</v>
      </c>
    </row>
    <row r="26844">
      <c r="A26844" s="39"/>
      <c r="E26844" s="40" t="s">
        <v>11404</v>
      </c>
      <c r="F26844" s="40" t="s">
        <v>11404</v>
      </c>
      <c r="G26844" s="40" t="s">
        <v>11404</v>
      </c>
      <c r="H26844" s="40" t="s">
        <v>11404</v>
      </c>
    </row>
    <row r="26845">
      <c r="A26845" s="39"/>
      <c r="E26845" s="40" t="s">
        <v>11404</v>
      </c>
      <c r="F26845" s="40" t="s">
        <v>11404</v>
      </c>
      <c r="G26845" s="40" t="s">
        <v>11404</v>
      </c>
      <c r="H26845" s="40" t="s">
        <v>11404</v>
      </c>
    </row>
    <row r="26846">
      <c r="A26846" s="39"/>
      <c r="E26846" s="40" t="s">
        <v>11404</v>
      </c>
      <c r="F26846" s="40" t="s">
        <v>11404</v>
      </c>
      <c r="G26846" s="40" t="s">
        <v>11404</v>
      </c>
      <c r="H26846" s="40" t="s">
        <v>11404</v>
      </c>
    </row>
    <row r="26847">
      <c r="A26847" s="39"/>
      <c r="E26847" s="40" t="s">
        <v>11404</v>
      </c>
      <c r="F26847" s="40" t="s">
        <v>11404</v>
      </c>
      <c r="G26847" s="40" t="s">
        <v>11404</v>
      </c>
      <c r="H26847" s="40" t="s">
        <v>11404</v>
      </c>
    </row>
    <row r="26848">
      <c r="A26848" s="39"/>
      <c r="E26848" s="40" t="s">
        <v>11404</v>
      </c>
      <c r="F26848" s="40" t="s">
        <v>11404</v>
      </c>
      <c r="G26848" s="40" t="s">
        <v>11404</v>
      </c>
      <c r="H26848" s="40" t="s">
        <v>11404</v>
      </c>
    </row>
    <row r="26849">
      <c r="A26849" s="39"/>
      <c r="E26849" s="40" t="s">
        <v>11404</v>
      </c>
      <c r="F26849" s="40" t="s">
        <v>11404</v>
      </c>
      <c r="G26849" s="40" t="s">
        <v>11404</v>
      </c>
      <c r="H26849" s="40" t="s">
        <v>11404</v>
      </c>
    </row>
    <row r="26850">
      <c r="A26850" s="39"/>
      <c r="E26850" s="40" t="s">
        <v>11404</v>
      </c>
      <c r="F26850" s="40" t="s">
        <v>11404</v>
      </c>
      <c r="G26850" s="40" t="s">
        <v>11404</v>
      </c>
      <c r="H26850" s="40" t="s">
        <v>11404</v>
      </c>
    </row>
    <row r="26851">
      <c r="A26851" s="39"/>
      <c r="E26851" s="40" t="s">
        <v>11404</v>
      </c>
      <c r="F26851" s="40" t="s">
        <v>11404</v>
      </c>
      <c r="G26851" s="40" t="s">
        <v>11404</v>
      </c>
      <c r="H26851" s="40" t="s">
        <v>11404</v>
      </c>
    </row>
    <row r="26852">
      <c r="A26852" s="39"/>
      <c r="E26852" s="40" t="s">
        <v>11404</v>
      </c>
      <c r="F26852" s="40" t="s">
        <v>11404</v>
      </c>
      <c r="G26852" s="40" t="s">
        <v>11404</v>
      </c>
      <c r="H26852" s="40" t="s">
        <v>11404</v>
      </c>
    </row>
    <row r="26853">
      <c r="A26853" s="39"/>
      <c r="E26853" s="40" t="s">
        <v>11404</v>
      </c>
      <c r="F26853" s="40" t="s">
        <v>11404</v>
      </c>
      <c r="G26853" s="40" t="s">
        <v>11404</v>
      </c>
      <c r="H26853" s="40" t="s">
        <v>11404</v>
      </c>
    </row>
    <row r="26854">
      <c r="A26854" s="39"/>
      <c r="E26854" s="40" t="s">
        <v>11404</v>
      </c>
      <c r="F26854" s="40" t="s">
        <v>11404</v>
      </c>
      <c r="G26854" s="40" t="s">
        <v>11404</v>
      </c>
      <c r="H26854" s="40" t="s">
        <v>11404</v>
      </c>
    </row>
    <row r="26855">
      <c r="A26855" s="39"/>
      <c r="E26855" s="40" t="s">
        <v>11404</v>
      </c>
      <c r="F26855" s="40" t="s">
        <v>11404</v>
      </c>
      <c r="G26855" s="40" t="s">
        <v>11404</v>
      </c>
      <c r="H26855" s="40" t="s">
        <v>11404</v>
      </c>
    </row>
    <row r="26856">
      <c r="A26856" s="39"/>
      <c r="E26856" s="40" t="s">
        <v>11404</v>
      </c>
      <c r="F26856" s="40" t="s">
        <v>11404</v>
      </c>
      <c r="G26856" s="40" t="s">
        <v>11404</v>
      </c>
      <c r="H26856" s="40" t="s">
        <v>11404</v>
      </c>
    </row>
    <row r="26857">
      <c r="A26857" s="39"/>
      <c r="E26857" s="40" t="s">
        <v>11404</v>
      </c>
      <c r="F26857" s="40" t="s">
        <v>11404</v>
      </c>
      <c r="G26857" s="40" t="s">
        <v>11404</v>
      </c>
      <c r="H26857" s="40" t="s">
        <v>11404</v>
      </c>
    </row>
    <row r="26858">
      <c r="A26858" s="39"/>
      <c r="E26858" s="40" t="s">
        <v>11404</v>
      </c>
      <c r="F26858" s="40" t="s">
        <v>11404</v>
      </c>
      <c r="G26858" s="40" t="s">
        <v>11404</v>
      </c>
      <c r="H26858" s="40" t="s">
        <v>11404</v>
      </c>
    </row>
    <row r="26859">
      <c r="A26859" s="39"/>
      <c r="E26859" s="40" t="s">
        <v>11404</v>
      </c>
      <c r="F26859" s="40" t="s">
        <v>11404</v>
      </c>
      <c r="G26859" s="40" t="s">
        <v>11404</v>
      </c>
      <c r="H26859" s="40" t="s">
        <v>11404</v>
      </c>
    </row>
    <row r="26860">
      <c r="A26860" s="39"/>
      <c r="E26860" s="40" t="s">
        <v>11404</v>
      </c>
      <c r="F26860" s="40" t="s">
        <v>11404</v>
      </c>
      <c r="G26860" s="40" t="s">
        <v>11404</v>
      </c>
      <c r="H26860" s="40" t="s">
        <v>11404</v>
      </c>
    </row>
    <row r="26861">
      <c r="A26861" s="39"/>
      <c r="E26861" s="40" t="s">
        <v>11404</v>
      </c>
      <c r="F26861" s="40" t="s">
        <v>11404</v>
      </c>
      <c r="G26861" s="40" t="s">
        <v>11404</v>
      </c>
      <c r="H26861" s="40" t="s">
        <v>11404</v>
      </c>
    </row>
    <row r="26862">
      <c r="A26862" s="39"/>
      <c r="E26862" s="40" t="s">
        <v>11404</v>
      </c>
      <c r="F26862" s="40" t="s">
        <v>11404</v>
      </c>
      <c r="G26862" s="40" t="s">
        <v>11404</v>
      </c>
      <c r="H26862" s="40" t="s">
        <v>11404</v>
      </c>
    </row>
    <row r="26863">
      <c r="A26863" s="39"/>
      <c r="E26863" s="40" t="s">
        <v>11404</v>
      </c>
      <c r="F26863" s="40" t="s">
        <v>11404</v>
      </c>
      <c r="G26863" s="40" t="s">
        <v>11404</v>
      </c>
      <c r="H26863" s="40" t="s">
        <v>11404</v>
      </c>
    </row>
    <row r="26864">
      <c r="A26864" s="39"/>
      <c r="E26864" s="40" t="s">
        <v>11404</v>
      </c>
      <c r="F26864" s="40" t="s">
        <v>11404</v>
      </c>
      <c r="G26864" s="40" t="s">
        <v>11404</v>
      </c>
      <c r="H26864" s="40" t="s">
        <v>11404</v>
      </c>
    </row>
    <row r="26865">
      <c r="A26865" s="39"/>
      <c r="E26865" s="40" t="s">
        <v>11404</v>
      </c>
      <c r="F26865" s="40" t="s">
        <v>11404</v>
      </c>
      <c r="G26865" s="40" t="s">
        <v>11404</v>
      </c>
      <c r="H26865" s="40" t="s">
        <v>11404</v>
      </c>
    </row>
    <row r="26866">
      <c r="A26866" s="39"/>
      <c r="E26866" s="40" t="s">
        <v>11404</v>
      </c>
      <c r="F26866" s="40" t="s">
        <v>11404</v>
      </c>
      <c r="G26866" s="40" t="s">
        <v>11404</v>
      </c>
      <c r="H26866" s="40" t="s">
        <v>11404</v>
      </c>
    </row>
    <row r="26867">
      <c r="A26867" s="39"/>
      <c r="E26867" s="40" t="s">
        <v>11404</v>
      </c>
      <c r="F26867" s="40" t="s">
        <v>11404</v>
      </c>
      <c r="G26867" s="40" t="s">
        <v>11404</v>
      </c>
      <c r="H26867" s="40" t="s">
        <v>11404</v>
      </c>
    </row>
    <row r="26868">
      <c r="A26868" s="39"/>
      <c r="E26868" s="40" t="s">
        <v>11404</v>
      </c>
      <c r="F26868" s="40" t="s">
        <v>11404</v>
      </c>
      <c r="G26868" s="40" t="s">
        <v>11404</v>
      </c>
      <c r="H26868" s="40" t="s">
        <v>11404</v>
      </c>
    </row>
    <row r="26869">
      <c r="A26869" s="39"/>
      <c r="E26869" s="40" t="s">
        <v>11404</v>
      </c>
      <c r="F26869" s="40" t="s">
        <v>11404</v>
      </c>
      <c r="G26869" s="40" t="s">
        <v>11404</v>
      </c>
      <c r="H26869" s="40" t="s">
        <v>11404</v>
      </c>
    </row>
    <row r="26870">
      <c r="A26870" s="39"/>
      <c r="E26870" s="40" t="s">
        <v>11404</v>
      </c>
      <c r="F26870" s="40" t="s">
        <v>11404</v>
      </c>
      <c r="G26870" s="40" t="s">
        <v>11404</v>
      </c>
      <c r="H26870" s="40" t="s">
        <v>11404</v>
      </c>
    </row>
    <row r="26871">
      <c r="A26871" s="39"/>
      <c r="E26871" s="40" t="s">
        <v>11404</v>
      </c>
      <c r="F26871" s="40" t="s">
        <v>11404</v>
      </c>
      <c r="G26871" s="40" t="s">
        <v>11404</v>
      </c>
      <c r="H26871" s="40" t="s">
        <v>11404</v>
      </c>
    </row>
    <row r="26872">
      <c r="A26872" s="39"/>
      <c r="E26872" s="40" t="s">
        <v>11404</v>
      </c>
      <c r="F26872" s="40" t="s">
        <v>11404</v>
      </c>
      <c r="G26872" s="40" t="s">
        <v>11404</v>
      </c>
      <c r="H26872" s="40" t="s">
        <v>11404</v>
      </c>
    </row>
    <row r="26873">
      <c r="A26873" s="39"/>
      <c r="E26873" s="40" t="s">
        <v>11404</v>
      </c>
      <c r="F26873" s="40" t="s">
        <v>11404</v>
      </c>
      <c r="G26873" s="40" t="s">
        <v>11404</v>
      </c>
      <c r="H26873" s="40" t="s">
        <v>11404</v>
      </c>
    </row>
    <row r="26874">
      <c r="A26874" s="39"/>
      <c r="E26874" s="40" t="s">
        <v>11404</v>
      </c>
      <c r="F26874" s="40" t="s">
        <v>11404</v>
      </c>
      <c r="G26874" s="40" t="s">
        <v>11404</v>
      </c>
      <c r="H26874" s="40" t="s">
        <v>11404</v>
      </c>
    </row>
    <row r="26875">
      <c r="A26875" s="39"/>
      <c r="E26875" s="40" t="s">
        <v>11404</v>
      </c>
      <c r="F26875" s="40" t="s">
        <v>11404</v>
      </c>
      <c r="G26875" s="40" t="s">
        <v>11404</v>
      </c>
      <c r="H26875" s="40" t="s">
        <v>11404</v>
      </c>
    </row>
    <row r="26876">
      <c r="A26876" s="39"/>
      <c r="E26876" s="40" t="s">
        <v>11404</v>
      </c>
      <c r="F26876" s="40" t="s">
        <v>11404</v>
      </c>
      <c r="G26876" s="40" t="s">
        <v>11404</v>
      </c>
      <c r="H26876" s="40" t="s">
        <v>11404</v>
      </c>
    </row>
    <row r="26877">
      <c r="A26877" s="39"/>
      <c r="E26877" s="40" t="s">
        <v>11404</v>
      </c>
      <c r="F26877" s="40" t="s">
        <v>11404</v>
      </c>
      <c r="G26877" s="40" t="s">
        <v>11404</v>
      </c>
      <c r="H26877" s="40" t="s">
        <v>11404</v>
      </c>
    </row>
    <row r="26878">
      <c r="A26878" s="39"/>
      <c r="E26878" s="40" t="s">
        <v>11404</v>
      </c>
      <c r="F26878" s="40" t="s">
        <v>11404</v>
      </c>
      <c r="G26878" s="40" t="s">
        <v>11404</v>
      </c>
      <c r="H26878" s="40" t="s">
        <v>11404</v>
      </c>
    </row>
    <row r="26879">
      <c r="A26879" s="39"/>
      <c r="E26879" s="40" t="s">
        <v>11404</v>
      </c>
      <c r="F26879" s="40" t="s">
        <v>11404</v>
      </c>
      <c r="G26879" s="40" t="s">
        <v>11404</v>
      </c>
      <c r="H26879" s="40" t="s">
        <v>11404</v>
      </c>
    </row>
    <row r="26880">
      <c r="A26880" s="39"/>
      <c r="E26880" s="40" t="s">
        <v>11404</v>
      </c>
      <c r="F26880" s="40" t="s">
        <v>11404</v>
      </c>
      <c r="G26880" s="40" t="s">
        <v>11404</v>
      </c>
      <c r="H26880" s="40" t="s">
        <v>11404</v>
      </c>
    </row>
    <row r="26881">
      <c r="A26881" s="39"/>
      <c r="E26881" s="40" t="s">
        <v>11404</v>
      </c>
      <c r="F26881" s="40" t="s">
        <v>11404</v>
      </c>
      <c r="G26881" s="40" t="s">
        <v>11404</v>
      </c>
      <c r="H26881" s="40" t="s">
        <v>11404</v>
      </c>
    </row>
    <row r="26882">
      <c r="A26882" s="39"/>
      <c r="E26882" s="40" t="s">
        <v>11404</v>
      </c>
      <c r="F26882" s="40" t="s">
        <v>11404</v>
      </c>
      <c r="G26882" s="40" t="s">
        <v>11404</v>
      </c>
      <c r="H26882" s="40" t="s">
        <v>11404</v>
      </c>
    </row>
    <row r="26883">
      <c r="A26883" s="39"/>
      <c r="E26883" s="40" t="s">
        <v>11404</v>
      </c>
      <c r="F26883" s="40" t="s">
        <v>11404</v>
      </c>
      <c r="G26883" s="40" t="s">
        <v>11404</v>
      </c>
      <c r="H26883" s="40" t="s">
        <v>11404</v>
      </c>
    </row>
    <row r="26884">
      <c r="A26884" s="39"/>
      <c r="E26884" s="40" t="s">
        <v>11404</v>
      </c>
      <c r="F26884" s="40" t="s">
        <v>11404</v>
      </c>
      <c r="G26884" s="40" t="s">
        <v>11404</v>
      </c>
      <c r="H26884" s="40" t="s">
        <v>11404</v>
      </c>
    </row>
    <row r="26885">
      <c r="A26885" s="39"/>
      <c r="E26885" s="40" t="s">
        <v>11404</v>
      </c>
      <c r="F26885" s="40" t="s">
        <v>11404</v>
      </c>
      <c r="G26885" s="40" t="s">
        <v>11404</v>
      </c>
      <c r="H26885" s="40" t="s">
        <v>11404</v>
      </c>
    </row>
    <row r="26886">
      <c r="A26886" s="39"/>
      <c r="E26886" s="40" t="s">
        <v>11404</v>
      </c>
      <c r="F26886" s="40" t="s">
        <v>11404</v>
      </c>
      <c r="G26886" s="40" t="s">
        <v>11404</v>
      </c>
      <c r="H26886" s="40" t="s">
        <v>11404</v>
      </c>
    </row>
    <row r="26887">
      <c r="A26887" s="39"/>
      <c r="E26887" s="40" t="s">
        <v>11404</v>
      </c>
      <c r="F26887" s="40" t="s">
        <v>11404</v>
      </c>
      <c r="G26887" s="40" t="s">
        <v>11404</v>
      </c>
      <c r="H26887" s="40" t="s">
        <v>11404</v>
      </c>
    </row>
    <row r="26888">
      <c r="A26888" s="39"/>
      <c r="E26888" s="40" t="s">
        <v>11404</v>
      </c>
      <c r="F26888" s="40" t="s">
        <v>11404</v>
      </c>
      <c r="G26888" s="40" t="s">
        <v>11404</v>
      </c>
      <c r="H26888" s="40" t="s">
        <v>11404</v>
      </c>
    </row>
    <row r="26889">
      <c r="A26889" s="39"/>
      <c r="E26889" s="40" t="s">
        <v>11404</v>
      </c>
      <c r="F26889" s="40" t="s">
        <v>11404</v>
      </c>
      <c r="G26889" s="40" t="s">
        <v>11404</v>
      </c>
      <c r="H26889" s="40" t="s">
        <v>11404</v>
      </c>
    </row>
    <row r="26890">
      <c r="A26890" s="39"/>
      <c r="E26890" s="40" t="s">
        <v>11404</v>
      </c>
      <c r="F26890" s="40" t="s">
        <v>11404</v>
      </c>
      <c r="G26890" s="40" t="s">
        <v>11404</v>
      </c>
      <c r="H26890" s="40" t="s">
        <v>11404</v>
      </c>
    </row>
    <row r="26891">
      <c r="A26891" s="39"/>
      <c r="E26891" s="40" t="s">
        <v>11404</v>
      </c>
      <c r="F26891" s="40" t="s">
        <v>11404</v>
      </c>
      <c r="G26891" s="40" t="s">
        <v>11404</v>
      </c>
      <c r="H26891" s="40" t="s">
        <v>11404</v>
      </c>
    </row>
    <row r="26892">
      <c r="A26892" s="39"/>
      <c r="E26892" s="40" t="s">
        <v>11404</v>
      </c>
      <c r="F26892" s="40" t="s">
        <v>11404</v>
      </c>
      <c r="G26892" s="40" t="s">
        <v>11404</v>
      </c>
      <c r="H26892" s="40" t="s">
        <v>11404</v>
      </c>
    </row>
    <row r="26893">
      <c r="A26893" s="39"/>
      <c r="E26893" s="40" t="s">
        <v>11404</v>
      </c>
      <c r="F26893" s="40" t="s">
        <v>11404</v>
      </c>
      <c r="G26893" s="40" t="s">
        <v>11404</v>
      </c>
      <c r="H26893" s="40" t="s">
        <v>11404</v>
      </c>
    </row>
    <row r="26894">
      <c r="A26894" s="39"/>
      <c r="E26894" s="40" t="s">
        <v>11404</v>
      </c>
      <c r="F26894" s="40" t="s">
        <v>11404</v>
      </c>
      <c r="G26894" s="40" t="s">
        <v>11404</v>
      </c>
      <c r="H26894" s="40" t="s">
        <v>11404</v>
      </c>
    </row>
    <row r="26895">
      <c r="A26895" s="39"/>
      <c r="E26895" s="40" t="s">
        <v>11404</v>
      </c>
      <c r="F26895" s="40" t="s">
        <v>11404</v>
      </c>
      <c r="G26895" s="40" t="s">
        <v>11404</v>
      </c>
      <c r="H26895" s="40" t="s">
        <v>11404</v>
      </c>
    </row>
    <row r="26896">
      <c r="A26896" s="39"/>
      <c r="E26896" s="40" t="s">
        <v>11404</v>
      </c>
      <c r="F26896" s="40" t="s">
        <v>11404</v>
      </c>
      <c r="G26896" s="40" t="s">
        <v>11404</v>
      </c>
      <c r="H26896" s="40" t="s">
        <v>11404</v>
      </c>
    </row>
    <row r="26897">
      <c r="A26897" s="39"/>
      <c r="E26897" s="40" t="s">
        <v>11404</v>
      </c>
      <c r="F26897" s="40" t="s">
        <v>11404</v>
      </c>
      <c r="G26897" s="40" t="s">
        <v>11404</v>
      </c>
      <c r="H26897" s="40" t="s">
        <v>11404</v>
      </c>
    </row>
    <row r="26898">
      <c r="A26898" s="39"/>
      <c r="E26898" s="40" t="s">
        <v>11404</v>
      </c>
      <c r="F26898" s="40" t="s">
        <v>11404</v>
      </c>
      <c r="G26898" s="40" t="s">
        <v>11404</v>
      </c>
      <c r="H26898" s="40" t="s">
        <v>11404</v>
      </c>
    </row>
    <row r="26899">
      <c r="A26899" s="39"/>
      <c r="E26899" s="40" t="s">
        <v>11404</v>
      </c>
      <c r="F26899" s="40" t="s">
        <v>11404</v>
      </c>
      <c r="G26899" s="40" t="s">
        <v>11404</v>
      </c>
      <c r="H26899" s="40" t="s">
        <v>11404</v>
      </c>
    </row>
    <row r="26900">
      <c r="A26900" s="39"/>
      <c r="E26900" s="40" t="s">
        <v>11404</v>
      </c>
      <c r="F26900" s="40" t="s">
        <v>11404</v>
      </c>
      <c r="G26900" s="40" t="s">
        <v>11404</v>
      </c>
      <c r="H26900" s="40" t="s">
        <v>11404</v>
      </c>
    </row>
    <row r="26901">
      <c r="A26901" s="39"/>
      <c r="E26901" s="40" t="s">
        <v>11404</v>
      </c>
      <c r="F26901" s="40" t="s">
        <v>11404</v>
      </c>
      <c r="G26901" s="40" t="s">
        <v>11404</v>
      </c>
      <c r="H26901" s="40" t="s">
        <v>11404</v>
      </c>
    </row>
    <row r="26902">
      <c r="A26902" s="39"/>
      <c r="E26902" s="40" t="s">
        <v>11404</v>
      </c>
      <c r="F26902" s="40" t="s">
        <v>11404</v>
      </c>
      <c r="G26902" s="40" t="s">
        <v>11404</v>
      </c>
      <c r="H26902" s="40" t="s">
        <v>11404</v>
      </c>
    </row>
    <row r="26903">
      <c r="A26903" s="39"/>
      <c r="E26903" s="40" t="s">
        <v>11404</v>
      </c>
      <c r="F26903" s="40" t="s">
        <v>11404</v>
      </c>
      <c r="G26903" s="40" t="s">
        <v>11404</v>
      </c>
      <c r="H26903" s="40" t="s">
        <v>11404</v>
      </c>
    </row>
    <row r="26904">
      <c r="A26904" s="39"/>
      <c r="E26904" s="40" t="s">
        <v>11404</v>
      </c>
      <c r="F26904" s="40" t="s">
        <v>11404</v>
      </c>
      <c r="G26904" s="40" t="s">
        <v>11404</v>
      </c>
      <c r="H26904" s="40" t="s">
        <v>11404</v>
      </c>
    </row>
    <row r="26905">
      <c r="A26905" s="39"/>
      <c r="E26905" s="40" t="s">
        <v>11404</v>
      </c>
      <c r="F26905" s="40" t="s">
        <v>11404</v>
      </c>
      <c r="G26905" s="40" t="s">
        <v>11404</v>
      </c>
      <c r="H26905" s="40" t="s">
        <v>11404</v>
      </c>
    </row>
    <row r="26906">
      <c r="A26906" s="39"/>
      <c r="E26906" s="40" t="s">
        <v>11404</v>
      </c>
      <c r="F26906" s="40" t="s">
        <v>11404</v>
      </c>
      <c r="G26906" s="40" t="s">
        <v>11404</v>
      </c>
      <c r="H26906" s="40" t="s">
        <v>11404</v>
      </c>
    </row>
    <row r="26907">
      <c r="A26907" s="39"/>
      <c r="E26907" s="40" t="s">
        <v>11404</v>
      </c>
      <c r="F26907" s="40" t="s">
        <v>11404</v>
      </c>
      <c r="G26907" s="40" t="s">
        <v>11404</v>
      </c>
      <c r="H26907" s="40" t="s">
        <v>11404</v>
      </c>
    </row>
    <row r="26908">
      <c r="A26908" s="39"/>
      <c r="E26908" s="40" t="s">
        <v>11404</v>
      </c>
      <c r="F26908" s="40" t="s">
        <v>11404</v>
      </c>
      <c r="G26908" s="40" t="s">
        <v>11404</v>
      </c>
      <c r="H26908" s="40" t="s">
        <v>11404</v>
      </c>
    </row>
    <row r="26909">
      <c r="A26909" s="39"/>
      <c r="E26909" s="40" t="s">
        <v>11404</v>
      </c>
      <c r="F26909" s="40" t="s">
        <v>11404</v>
      </c>
      <c r="G26909" s="40" t="s">
        <v>11404</v>
      </c>
      <c r="H26909" s="40" t="s">
        <v>11404</v>
      </c>
    </row>
    <row r="26910">
      <c r="A26910" s="39"/>
      <c r="E26910" s="40" t="s">
        <v>11404</v>
      </c>
      <c r="F26910" s="40" t="s">
        <v>11404</v>
      </c>
      <c r="G26910" s="40" t="s">
        <v>11404</v>
      </c>
      <c r="H26910" s="40" t="s">
        <v>11404</v>
      </c>
    </row>
    <row r="26911">
      <c r="A26911" s="39"/>
      <c r="E26911" s="40" t="s">
        <v>11404</v>
      </c>
      <c r="F26911" s="40" t="s">
        <v>11404</v>
      </c>
      <c r="G26911" s="40" t="s">
        <v>11404</v>
      </c>
      <c r="H26911" s="40" t="s">
        <v>11404</v>
      </c>
    </row>
    <row r="26912">
      <c r="A26912" s="39"/>
      <c r="E26912" s="40" t="s">
        <v>11404</v>
      </c>
      <c r="F26912" s="40" t="s">
        <v>11404</v>
      </c>
      <c r="G26912" s="40" t="s">
        <v>11404</v>
      </c>
      <c r="H26912" s="40" t="s">
        <v>11404</v>
      </c>
    </row>
    <row r="26913">
      <c r="A26913" s="39"/>
      <c r="E26913" s="40" t="s">
        <v>11404</v>
      </c>
      <c r="F26913" s="40" t="s">
        <v>11404</v>
      </c>
      <c r="G26913" s="40" t="s">
        <v>11404</v>
      </c>
      <c r="H26913" s="40" t="s">
        <v>11404</v>
      </c>
    </row>
    <row r="26914">
      <c r="A26914" s="39"/>
      <c r="E26914" s="40" t="s">
        <v>11404</v>
      </c>
      <c r="F26914" s="40" t="s">
        <v>11404</v>
      </c>
      <c r="G26914" s="40" t="s">
        <v>11404</v>
      </c>
      <c r="H26914" s="40" t="s">
        <v>11404</v>
      </c>
    </row>
    <row r="26915">
      <c r="A26915" s="39"/>
      <c r="E26915" s="40" t="s">
        <v>11404</v>
      </c>
      <c r="F26915" s="40" t="s">
        <v>11404</v>
      </c>
      <c r="G26915" s="40" t="s">
        <v>11404</v>
      </c>
      <c r="H26915" s="40" t="s">
        <v>11404</v>
      </c>
    </row>
    <row r="26916">
      <c r="A26916" s="39"/>
      <c r="E26916" s="40" t="s">
        <v>11404</v>
      </c>
      <c r="F26916" s="40" t="s">
        <v>11404</v>
      </c>
      <c r="G26916" s="40" t="s">
        <v>11404</v>
      </c>
      <c r="H26916" s="40" t="s">
        <v>11404</v>
      </c>
    </row>
    <row r="26917">
      <c r="A26917" s="39"/>
      <c r="E26917" s="40" t="s">
        <v>11404</v>
      </c>
      <c r="F26917" s="40" t="s">
        <v>11404</v>
      </c>
      <c r="G26917" s="40" t="s">
        <v>11404</v>
      </c>
      <c r="H26917" s="40" t="s">
        <v>11404</v>
      </c>
    </row>
    <row r="26918">
      <c r="A26918" s="39"/>
      <c r="E26918" s="40" t="s">
        <v>11404</v>
      </c>
      <c r="F26918" s="40" t="s">
        <v>11404</v>
      </c>
      <c r="G26918" s="40" t="s">
        <v>11404</v>
      </c>
      <c r="H26918" s="40" t="s">
        <v>11404</v>
      </c>
    </row>
    <row r="26919">
      <c r="A26919" s="39"/>
      <c r="E26919" s="40" t="s">
        <v>11404</v>
      </c>
      <c r="F26919" s="40" t="s">
        <v>11404</v>
      </c>
      <c r="G26919" s="40" t="s">
        <v>11404</v>
      </c>
      <c r="H26919" s="40" t="s">
        <v>11404</v>
      </c>
    </row>
    <row r="26920">
      <c r="A26920" s="39"/>
      <c r="E26920" s="40" t="s">
        <v>11404</v>
      </c>
      <c r="F26920" s="40" t="s">
        <v>11404</v>
      </c>
      <c r="G26920" s="40" t="s">
        <v>11404</v>
      </c>
      <c r="H26920" s="40" t="s">
        <v>11404</v>
      </c>
    </row>
    <row r="26921">
      <c r="A26921" s="39"/>
      <c r="E26921" s="40" t="s">
        <v>11404</v>
      </c>
      <c r="F26921" s="40" t="s">
        <v>11404</v>
      </c>
      <c r="G26921" s="40" t="s">
        <v>11404</v>
      </c>
      <c r="H26921" s="40" t="s">
        <v>11404</v>
      </c>
    </row>
    <row r="26922">
      <c r="A26922" s="39"/>
      <c r="E26922" s="40" t="s">
        <v>11404</v>
      </c>
      <c r="F26922" s="40" t="s">
        <v>11404</v>
      </c>
      <c r="G26922" s="40" t="s">
        <v>11404</v>
      </c>
      <c r="H26922" s="40" t="s">
        <v>11404</v>
      </c>
    </row>
    <row r="26923">
      <c r="A26923" s="39"/>
      <c r="E26923" s="40" t="s">
        <v>11404</v>
      </c>
      <c r="F26923" s="40" t="s">
        <v>11404</v>
      </c>
      <c r="G26923" s="40" t="s">
        <v>11404</v>
      </c>
      <c r="H26923" s="40" t="s">
        <v>11404</v>
      </c>
    </row>
    <row r="26924">
      <c r="A26924" s="39"/>
      <c r="E26924" s="40" t="s">
        <v>11404</v>
      </c>
      <c r="F26924" s="40" t="s">
        <v>11404</v>
      </c>
      <c r="G26924" s="40" t="s">
        <v>11404</v>
      </c>
      <c r="H26924" s="40" t="s">
        <v>11404</v>
      </c>
    </row>
    <row r="26925">
      <c r="A26925" s="39"/>
      <c r="E26925" s="40" t="s">
        <v>11404</v>
      </c>
      <c r="F26925" s="40" t="s">
        <v>11404</v>
      </c>
      <c r="G26925" s="40" t="s">
        <v>11404</v>
      </c>
      <c r="H26925" s="40" t="s">
        <v>11404</v>
      </c>
    </row>
    <row r="26926">
      <c r="A26926" s="39"/>
      <c r="E26926" s="40" t="s">
        <v>11404</v>
      </c>
      <c r="F26926" s="40" t="s">
        <v>11404</v>
      </c>
      <c r="G26926" s="40" t="s">
        <v>11404</v>
      </c>
      <c r="H26926" s="40" t="s">
        <v>11404</v>
      </c>
    </row>
    <row r="26927">
      <c r="A26927" s="39"/>
      <c r="E26927" s="40" t="s">
        <v>11404</v>
      </c>
      <c r="F26927" s="40" t="s">
        <v>11404</v>
      </c>
      <c r="G26927" s="40" t="s">
        <v>11404</v>
      </c>
      <c r="H26927" s="40" t="s">
        <v>11404</v>
      </c>
    </row>
    <row r="26928">
      <c r="A26928" s="39"/>
      <c r="E26928" s="40" t="s">
        <v>11404</v>
      </c>
      <c r="F26928" s="40" t="s">
        <v>11404</v>
      </c>
      <c r="G26928" s="40" t="s">
        <v>11404</v>
      </c>
      <c r="H26928" s="40" t="s">
        <v>11404</v>
      </c>
    </row>
    <row r="26929">
      <c r="A26929" s="39"/>
      <c r="E26929" s="40" t="s">
        <v>11404</v>
      </c>
      <c r="F26929" s="40" t="s">
        <v>11404</v>
      </c>
      <c r="G26929" s="40" t="s">
        <v>11404</v>
      </c>
      <c r="H26929" s="40" t="s">
        <v>11404</v>
      </c>
    </row>
    <row r="26930">
      <c r="A26930" s="39"/>
      <c r="E26930" s="40" t="s">
        <v>11404</v>
      </c>
      <c r="F26930" s="40" t="s">
        <v>11404</v>
      </c>
      <c r="G26930" s="40" t="s">
        <v>11404</v>
      </c>
      <c r="H26930" s="40" t="s">
        <v>11404</v>
      </c>
    </row>
    <row r="26931">
      <c r="A26931" s="39"/>
      <c r="E26931" s="40" t="s">
        <v>11404</v>
      </c>
      <c r="F26931" s="40" t="s">
        <v>11404</v>
      </c>
      <c r="G26931" s="40" t="s">
        <v>11404</v>
      </c>
      <c r="H26931" s="40" t="s">
        <v>11404</v>
      </c>
    </row>
    <row r="26932">
      <c r="A26932" s="39"/>
      <c r="E26932" s="40" t="s">
        <v>11404</v>
      </c>
      <c r="F26932" s="40" t="s">
        <v>11404</v>
      </c>
      <c r="G26932" s="40" t="s">
        <v>11404</v>
      </c>
      <c r="H26932" s="40" t="s">
        <v>11404</v>
      </c>
    </row>
    <row r="26933">
      <c r="A26933" s="39"/>
      <c r="E26933" s="40" t="s">
        <v>11404</v>
      </c>
      <c r="F26933" s="40" t="s">
        <v>11404</v>
      </c>
      <c r="G26933" s="40" t="s">
        <v>11404</v>
      </c>
      <c r="H26933" s="40" t="s">
        <v>11404</v>
      </c>
    </row>
    <row r="26934">
      <c r="A26934" s="39"/>
      <c r="E26934" s="40" t="s">
        <v>11404</v>
      </c>
      <c r="F26934" s="40" t="s">
        <v>11404</v>
      </c>
      <c r="G26934" s="40" t="s">
        <v>11404</v>
      </c>
      <c r="H26934" s="40" t="s">
        <v>11404</v>
      </c>
    </row>
    <row r="26935">
      <c r="A26935" s="39"/>
      <c r="E26935" s="40" t="s">
        <v>11404</v>
      </c>
      <c r="F26935" s="40" t="s">
        <v>11404</v>
      </c>
      <c r="G26935" s="40" t="s">
        <v>11404</v>
      </c>
      <c r="H26935" s="40" t="s">
        <v>11404</v>
      </c>
    </row>
    <row r="26936">
      <c r="A26936" s="39"/>
      <c r="E26936" s="40" t="s">
        <v>11404</v>
      </c>
      <c r="F26936" s="40" t="s">
        <v>11404</v>
      </c>
      <c r="G26936" s="40" t="s">
        <v>11404</v>
      </c>
      <c r="H26936" s="40" t="s">
        <v>11404</v>
      </c>
    </row>
    <row r="26937">
      <c r="A26937" s="39"/>
      <c r="E26937" s="40" t="s">
        <v>11404</v>
      </c>
      <c r="F26937" s="40" t="s">
        <v>11404</v>
      </c>
      <c r="G26937" s="40" t="s">
        <v>11404</v>
      </c>
      <c r="H26937" s="40" t="s">
        <v>11404</v>
      </c>
    </row>
    <row r="26938">
      <c r="A26938" s="39"/>
      <c r="E26938" s="40" t="s">
        <v>11404</v>
      </c>
      <c r="F26938" s="40" t="s">
        <v>11404</v>
      </c>
      <c r="G26938" s="40" t="s">
        <v>11404</v>
      </c>
      <c r="H26938" s="40" t="s">
        <v>11404</v>
      </c>
    </row>
    <row r="26939">
      <c r="A26939" s="39"/>
      <c r="E26939" s="40" t="s">
        <v>11404</v>
      </c>
      <c r="F26939" s="40" t="s">
        <v>11404</v>
      </c>
      <c r="G26939" s="40" t="s">
        <v>11404</v>
      </c>
      <c r="H26939" s="40" t="s">
        <v>11404</v>
      </c>
    </row>
    <row r="26940">
      <c r="A26940" s="39"/>
      <c r="E26940" s="40" t="s">
        <v>11404</v>
      </c>
      <c r="F26940" s="40" t="s">
        <v>11404</v>
      </c>
      <c r="G26940" s="40" t="s">
        <v>11404</v>
      </c>
      <c r="H26940" s="40" t="s">
        <v>11404</v>
      </c>
    </row>
    <row r="26941">
      <c r="A26941" s="39"/>
      <c r="E26941" s="40" t="s">
        <v>11404</v>
      </c>
      <c r="F26941" s="40" t="s">
        <v>11404</v>
      </c>
      <c r="G26941" s="40" t="s">
        <v>11404</v>
      </c>
      <c r="H26941" s="40" t="s">
        <v>11404</v>
      </c>
    </row>
    <row r="26942">
      <c r="A26942" s="39"/>
      <c r="E26942" s="40" t="s">
        <v>11404</v>
      </c>
      <c r="F26942" s="40" t="s">
        <v>11404</v>
      </c>
      <c r="G26942" s="40" t="s">
        <v>11404</v>
      </c>
      <c r="H26942" s="40" t="s">
        <v>11404</v>
      </c>
    </row>
    <row r="26943">
      <c r="A26943" s="39"/>
      <c r="E26943" s="40" t="s">
        <v>11404</v>
      </c>
      <c r="F26943" s="40" t="s">
        <v>11404</v>
      </c>
      <c r="G26943" s="40" t="s">
        <v>11404</v>
      </c>
      <c r="H26943" s="40" t="s">
        <v>11404</v>
      </c>
    </row>
    <row r="26944">
      <c r="A26944" s="39"/>
      <c r="E26944" s="40" t="s">
        <v>11404</v>
      </c>
      <c r="F26944" s="40" t="s">
        <v>11404</v>
      </c>
      <c r="G26944" s="40" t="s">
        <v>11404</v>
      </c>
      <c r="H26944" s="40" t="s">
        <v>11404</v>
      </c>
    </row>
    <row r="26945">
      <c r="A26945" s="39"/>
      <c r="E26945" s="40" t="s">
        <v>11404</v>
      </c>
      <c r="F26945" s="40" t="s">
        <v>11404</v>
      </c>
      <c r="G26945" s="40" t="s">
        <v>11404</v>
      </c>
      <c r="H26945" s="40" t="s">
        <v>11404</v>
      </c>
    </row>
    <row r="26946">
      <c r="A26946" s="39"/>
      <c r="E26946" s="40" t="s">
        <v>11404</v>
      </c>
      <c r="F26946" s="40" t="s">
        <v>11404</v>
      </c>
      <c r="G26946" s="40" t="s">
        <v>11404</v>
      </c>
      <c r="H26946" s="40" t="s">
        <v>11404</v>
      </c>
    </row>
    <row r="26947">
      <c r="A26947" s="39"/>
      <c r="E26947" s="40" t="s">
        <v>11404</v>
      </c>
      <c r="F26947" s="40" t="s">
        <v>11404</v>
      </c>
      <c r="G26947" s="40" t="s">
        <v>11404</v>
      </c>
      <c r="H26947" s="40" t="s">
        <v>11404</v>
      </c>
    </row>
    <row r="26948">
      <c r="A26948" s="39"/>
      <c r="E26948" s="40" t="s">
        <v>11404</v>
      </c>
      <c r="F26948" s="40" t="s">
        <v>11404</v>
      </c>
      <c r="G26948" s="40" t="s">
        <v>11404</v>
      </c>
      <c r="H26948" s="40" t="s">
        <v>11404</v>
      </c>
    </row>
    <row r="26949">
      <c r="A26949" s="39"/>
      <c r="E26949" s="40" t="s">
        <v>11404</v>
      </c>
      <c r="F26949" s="40" t="s">
        <v>11404</v>
      </c>
      <c r="G26949" s="40" t="s">
        <v>11404</v>
      </c>
      <c r="H26949" s="40" t="s">
        <v>11404</v>
      </c>
    </row>
    <row r="26950">
      <c r="A26950" s="39"/>
      <c r="E26950" s="40" t="s">
        <v>11404</v>
      </c>
      <c r="F26950" s="40" t="s">
        <v>11404</v>
      </c>
      <c r="G26950" s="40" t="s">
        <v>11404</v>
      </c>
      <c r="H26950" s="40" t="s">
        <v>11404</v>
      </c>
    </row>
    <row r="26951">
      <c r="A26951" s="39"/>
      <c r="E26951" s="40" t="s">
        <v>11404</v>
      </c>
      <c r="F26951" s="40" t="s">
        <v>11404</v>
      </c>
      <c r="G26951" s="40" t="s">
        <v>11404</v>
      </c>
      <c r="H26951" s="40" t="s">
        <v>11404</v>
      </c>
    </row>
    <row r="26952">
      <c r="A26952" s="39"/>
      <c r="E26952" s="40" t="s">
        <v>11404</v>
      </c>
      <c r="F26952" s="40" t="s">
        <v>11404</v>
      </c>
      <c r="G26952" s="40" t="s">
        <v>11404</v>
      </c>
      <c r="H26952" s="40" t="s">
        <v>11404</v>
      </c>
    </row>
    <row r="26953">
      <c r="A26953" s="39"/>
      <c r="E26953" s="40" t="s">
        <v>11404</v>
      </c>
      <c r="F26953" s="40" t="s">
        <v>11404</v>
      </c>
      <c r="G26953" s="40" t="s">
        <v>11404</v>
      </c>
      <c r="H26953" s="40" t="s">
        <v>11404</v>
      </c>
    </row>
    <row r="26954">
      <c r="A26954" s="39"/>
      <c r="E26954" s="40" t="s">
        <v>11404</v>
      </c>
      <c r="F26954" s="40" t="s">
        <v>11404</v>
      </c>
      <c r="G26954" s="40" t="s">
        <v>11404</v>
      </c>
      <c r="H26954" s="40" t="s">
        <v>11404</v>
      </c>
    </row>
    <row r="26955">
      <c r="A26955" s="39"/>
      <c r="E26955" s="40" t="s">
        <v>11404</v>
      </c>
      <c r="F26955" s="40" t="s">
        <v>11404</v>
      </c>
      <c r="G26955" s="40" t="s">
        <v>11404</v>
      </c>
      <c r="H26955" s="40" t="s">
        <v>11404</v>
      </c>
    </row>
    <row r="26956">
      <c r="A26956" s="39"/>
      <c r="E26956" s="40" t="s">
        <v>11404</v>
      </c>
      <c r="F26956" s="40" t="s">
        <v>11404</v>
      </c>
      <c r="G26956" s="40" t="s">
        <v>11404</v>
      </c>
      <c r="H26956" s="40" t="s">
        <v>11404</v>
      </c>
    </row>
    <row r="26957">
      <c r="A26957" s="39"/>
      <c r="E26957" s="40" t="s">
        <v>11404</v>
      </c>
      <c r="F26957" s="40" t="s">
        <v>11404</v>
      </c>
      <c r="G26957" s="40" t="s">
        <v>11404</v>
      </c>
      <c r="H26957" s="40" t="s">
        <v>11404</v>
      </c>
    </row>
    <row r="26958">
      <c r="A26958" s="39"/>
      <c r="E26958" s="40" t="s">
        <v>11404</v>
      </c>
      <c r="F26958" s="40" t="s">
        <v>11404</v>
      </c>
      <c r="G26958" s="40" t="s">
        <v>11404</v>
      </c>
      <c r="H26958" s="40" t="s">
        <v>11404</v>
      </c>
    </row>
    <row r="26959">
      <c r="A26959" s="39"/>
      <c r="E26959" s="40" t="s">
        <v>11404</v>
      </c>
      <c r="F26959" s="40" t="s">
        <v>11404</v>
      </c>
      <c r="G26959" s="40" t="s">
        <v>11404</v>
      </c>
      <c r="H26959" s="40" t="s">
        <v>11404</v>
      </c>
    </row>
    <row r="26960">
      <c r="A26960" s="39"/>
      <c r="E26960" s="40" t="s">
        <v>11404</v>
      </c>
      <c r="F26960" s="40" t="s">
        <v>11404</v>
      </c>
      <c r="G26960" s="40" t="s">
        <v>11404</v>
      </c>
      <c r="H26960" s="40" t="s">
        <v>11404</v>
      </c>
    </row>
    <row r="26961">
      <c r="A26961" s="39"/>
      <c r="E26961" s="40" t="s">
        <v>11404</v>
      </c>
      <c r="F26961" s="40" t="s">
        <v>11404</v>
      </c>
      <c r="G26961" s="40" t="s">
        <v>11404</v>
      </c>
      <c r="H26961" s="40" t="s">
        <v>11404</v>
      </c>
    </row>
    <row r="26962">
      <c r="A26962" s="39"/>
      <c r="E26962" s="40" t="s">
        <v>11404</v>
      </c>
      <c r="F26962" s="40" t="s">
        <v>11404</v>
      </c>
      <c r="G26962" s="40" t="s">
        <v>11404</v>
      </c>
      <c r="H26962" s="40" t="s">
        <v>11404</v>
      </c>
    </row>
    <row r="26963">
      <c r="A26963" s="39"/>
      <c r="E26963" s="40" t="s">
        <v>11404</v>
      </c>
      <c r="F26963" s="40" t="s">
        <v>11404</v>
      </c>
      <c r="G26963" s="40" t="s">
        <v>11404</v>
      </c>
      <c r="H26963" s="40" t="s">
        <v>11404</v>
      </c>
    </row>
    <row r="26964">
      <c r="A26964" s="39"/>
      <c r="E26964" s="40" t="s">
        <v>11404</v>
      </c>
      <c r="F26964" s="40" t="s">
        <v>11404</v>
      </c>
      <c r="G26964" s="40" t="s">
        <v>11404</v>
      </c>
      <c r="H26964" s="40" t="s">
        <v>11404</v>
      </c>
    </row>
    <row r="26965">
      <c r="A26965" s="39"/>
      <c r="E26965" s="40" t="s">
        <v>11404</v>
      </c>
      <c r="F26965" s="40" t="s">
        <v>11404</v>
      </c>
      <c r="G26965" s="40" t="s">
        <v>11404</v>
      </c>
      <c r="H26965" s="40" t="s">
        <v>11404</v>
      </c>
    </row>
    <row r="26966">
      <c r="A26966" s="39"/>
      <c r="E26966" s="40" t="s">
        <v>11404</v>
      </c>
      <c r="F26966" s="40" t="s">
        <v>11404</v>
      </c>
      <c r="G26966" s="40" t="s">
        <v>11404</v>
      </c>
      <c r="H26966" s="40" t="s">
        <v>11404</v>
      </c>
    </row>
    <row r="26967">
      <c r="A26967" s="39"/>
      <c r="E26967" s="40" t="s">
        <v>11404</v>
      </c>
      <c r="F26967" s="40" t="s">
        <v>11404</v>
      </c>
      <c r="G26967" s="40" t="s">
        <v>11404</v>
      </c>
      <c r="H26967" s="40" t="s">
        <v>11404</v>
      </c>
    </row>
    <row r="26968">
      <c r="A26968" s="39"/>
      <c r="E26968" s="40" t="s">
        <v>11404</v>
      </c>
      <c r="F26968" s="40" t="s">
        <v>11404</v>
      </c>
      <c r="G26968" s="40" t="s">
        <v>11404</v>
      </c>
      <c r="H26968" s="40" t="s">
        <v>11404</v>
      </c>
    </row>
    <row r="26969">
      <c r="A26969" s="39"/>
      <c r="E26969" s="40" t="s">
        <v>11404</v>
      </c>
      <c r="F26969" s="40" t="s">
        <v>11404</v>
      </c>
      <c r="G26969" s="40" t="s">
        <v>11404</v>
      </c>
      <c r="H26969" s="40" t="s">
        <v>11404</v>
      </c>
    </row>
    <row r="26970">
      <c r="A26970" s="39"/>
      <c r="E26970" s="40" t="s">
        <v>11404</v>
      </c>
      <c r="F26970" s="40" t="s">
        <v>11404</v>
      </c>
      <c r="G26970" s="40" t="s">
        <v>11404</v>
      </c>
      <c r="H26970" s="40" t="s">
        <v>11404</v>
      </c>
    </row>
    <row r="26971">
      <c r="A26971" s="39"/>
      <c r="E26971" s="40" t="s">
        <v>11404</v>
      </c>
      <c r="F26971" s="40" t="s">
        <v>11404</v>
      </c>
      <c r="G26971" s="40" t="s">
        <v>11404</v>
      </c>
      <c r="H26971" s="40" t="s">
        <v>11404</v>
      </c>
    </row>
    <row r="26972">
      <c r="A26972" s="39"/>
      <c r="E26972" s="40" t="s">
        <v>11404</v>
      </c>
      <c r="F26972" s="40" t="s">
        <v>11404</v>
      </c>
      <c r="G26972" s="40" t="s">
        <v>11404</v>
      </c>
      <c r="H26972" s="40" t="s">
        <v>11404</v>
      </c>
    </row>
    <row r="26973">
      <c r="A26973" s="39"/>
      <c r="E26973" s="40" t="s">
        <v>11404</v>
      </c>
      <c r="F26973" s="40" t="s">
        <v>11404</v>
      </c>
      <c r="G26973" s="40" t="s">
        <v>11404</v>
      </c>
      <c r="H26973" s="40" t="s">
        <v>11404</v>
      </c>
    </row>
    <row r="26974">
      <c r="A26974" s="39"/>
      <c r="E26974" s="40" t="s">
        <v>11404</v>
      </c>
      <c r="F26974" s="40" t="s">
        <v>11404</v>
      </c>
      <c r="G26974" s="40" t="s">
        <v>11404</v>
      </c>
      <c r="H26974" s="40" t="s">
        <v>11404</v>
      </c>
    </row>
    <row r="26975">
      <c r="A26975" s="39"/>
      <c r="E26975" s="40" t="s">
        <v>11404</v>
      </c>
      <c r="F26975" s="40" t="s">
        <v>11404</v>
      </c>
      <c r="G26975" s="40" t="s">
        <v>11404</v>
      </c>
      <c r="H26975" s="40" t="s">
        <v>11404</v>
      </c>
    </row>
    <row r="26976">
      <c r="A26976" s="39"/>
      <c r="E26976" s="40" t="s">
        <v>11404</v>
      </c>
      <c r="F26976" s="40" t="s">
        <v>11404</v>
      </c>
      <c r="G26976" s="40" t="s">
        <v>11404</v>
      </c>
      <c r="H26976" s="40" t="s">
        <v>11404</v>
      </c>
    </row>
    <row r="26977">
      <c r="A26977" s="39"/>
      <c r="E26977" s="40" t="s">
        <v>11404</v>
      </c>
      <c r="F26977" s="40" t="s">
        <v>11404</v>
      </c>
      <c r="G26977" s="40" t="s">
        <v>11404</v>
      </c>
      <c r="H26977" s="40" t="s">
        <v>11404</v>
      </c>
    </row>
    <row r="26978">
      <c r="A26978" s="39"/>
      <c r="E26978" s="40" t="s">
        <v>11404</v>
      </c>
      <c r="F26978" s="40" t="s">
        <v>11404</v>
      </c>
      <c r="G26978" s="40" t="s">
        <v>11404</v>
      </c>
      <c r="H26978" s="40" t="s">
        <v>11404</v>
      </c>
    </row>
    <row r="26979">
      <c r="A26979" s="39"/>
      <c r="E26979" s="40" t="s">
        <v>11404</v>
      </c>
      <c r="F26979" s="40" t="s">
        <v>11404</v>
      </c>
      <c r="G26979" s="40" t="s">
        <v>11404</v>
      </c>
      <c r="H26979" s="40" t="s">
        <v>11404</v>
      </c>
    </row>
    <row r="26980">
      <c r="A26980" s="39"/>
      <c r="E26980" s="40" t="s">
        <v>11404</v>
      </c>
      <c r="F26980" s="40" t="s">
        <v>11404</v>
      </c>
      <c r="G26980" s="40" t="s">
        <v>11404</v>
      </c>
      <c r="H26980" s="40" t="s">
        <v>11404</v>
      </c>
    </row>
    <row r="26981">
      <c r="A26981" s="39"/>
      <c r="E26981" s="40" t="s">
        <v>11404</v>
      </c>
      <c r="F26981" s="40" t="s">
        <v>11404</v>
      </c>
      <c r="G26981" s="40" t="s">
        <v>11404</v>
      </c>
      <c r="H26981" s="40" t="s">
        <v>11404</v>
      </c>
    </row>
    <row r="26982">
      <c r="A26982" s="39"/>
      <c r="E26982" s="40" t="s">
        <v>11404</v>
      </c>
      <c r="F26982" s="40" t="s">
        <v>11404</v>
      </c>
      <c r="G26982" s="40" t="s">
        <v>11404</v>
      </c>
      <c r="H26982" s="40" t="s">
        <v>11404</v>
      </c>
    </row>
    <row r="26983">
      <c r="A26983" s="39"/>
      <c r="E26983" s="40" t="s">
        <v>11404</v>
      </c>
      <c r="F26983" s="40" t="s">
        <v>11404</v>
      </c>
      <c r="G26983" s="40" t="s">
        <v>11404</v>
      </c>
      <c r="H26983" s="40" t="s">
        <v>11404</v>
      </c>
    </row>
    <row r="26984">
      <c r="A26984" s="39"/>
      <c r="E26984" s="40" t="s">
        <v>11404</v>
      </c>
      <c r="F26984" s="40" t="s">
        <v>11404</v>
      </c>
      <c r="G26984" s="40" t="s">
        <v>11404</v>
      </c>
      <c r="H26984" s="40" t="s">
        <v>11404</v>
      </c>
    </row>
    <row r="26985">
      <c r="A26985" s="39"/>
      <c r="E26985" s="40" t="s">
        <v>11404</v>
      </c>
      <c r="F26985" s="40" t="s">
        <v>11404</v>
      </c>
      <c r="G26985" s="40" t="s">
        <v>11404</v>
      </c>
      <c r="H26985" s="40" t="s">
        <v>11404</v>
      </c>
    </row>
    <row r="26986">
      <c r="A26986" s="39"/>
      <c r="E26986" s="40" t="s">
        <v>11404</v>
      </c>
      <c r="F26986" s="40" t="s">
        <v>11404</v>
      </c>
      <c r="G26986" s="40" t="s">
        <v>11404</v>
      </c>
      <c r="H26986" s="40" t="s">
        <v>11404</v>
      </c>
    </row>
    <row r="26987">
      <c r="A26987" s="39"/>
      <c r="E26987" s="40" t="s">
        <v>11404</v>
      </c>
      <c r="F26987" s="40" t="s">
        <v>11404</v>
      </c>
      <c r="G26987" s="40" t="s">
        <v>11404</v>
      </c>
      <c r="H26987" s="40" t="s">
        <v>11404</v>
      </c>
    </row>
    <row r="26988">
      <c r="A26988" s="39"/>
      <c r="E26988" s="40" t="s">
        <v>11404</v>
      </c>
      <c r="F26988" s="40" t="s">
        <v>11404</v>
      </c>
      <c r="G26988" s="40" t="s">
        <v>11404</v>
      </c>
      <c r="H26988" s="40" t="s">
        <v>11404</v>
      </c>
    </row>
    <row r="26989">
      <c r="A26989" s="39"/>
      <c r="E26989" s="40" t="s">
        <v>11404</v>
      </c>
      <c r="F26989" s="40" t="s">
        <v>11404</v>
      </c>
      <c r="G26989" s="40" t="s">
        <v>11404</v>
      </c>
      <c r="H26989" s="40" t="s">
        <v>11404</v>
      </c>
    </row>
    <row r="26990">
      <c r="A26990" s="39"/>
      <c r="E26990" s="40" t="s">
        <v>11404</v>
      </c>
      <c r="F26990" s="40" t="s">
        <v>11404</v>
      </c>
      <c r="G26990" s="40" t="s">
        <v>11404</v>
      </c>
      <c r="H26990" s="40" t="s">
        <v>11404</v>
      </c>
    </row>
    <row r="26991">
      <c r="A26991" s="39"/>
      <c r="E26991" s="40" t="s">
        <v>11404</v>
      </c>
      <c r="F26991" s="40" t="s">
        <v>11404</v>
      </c>
      <c r="G26991" s="40" t="s">
        <v>11404</v>
      </c>
      <c r="H26991" s="40" t="s">
        <v>11404</v>
      </c>
    </row>
    <row r="26992">
      <c r="A26992" s="39"/>
      <c r="E26992" s="40" t="s">
        <v>11404</v>
      </c>
      <c r="F26992" s="40" t="s">
        <v>11404</v>
      </c>
      <c r="G26992" s="40" t="s">
        <v>11404</v>
      </c>
      <c r="H26992" s="40" t="s">
        <v>11404</v>
      </c>
    </row>
    <row r="26993">
      <c r="A26993" s="39"/>
      <c r="E26993" s="40" t="s">
        <v>11404</v>
      </c>
      <c r="F26993" s="40" t="s">
        <v>11404</v>
      </c>
      <c r="G26993" s="40" t="s">
        <v>11404</v>
      </c>
      <c r="H26993" s="40" t="s">
        <v>11404</v>
      </c>
    </row>
    <row r="26994">
      <c r="A26994" s="39"/>
      <c r="E26994" s="40" t="s">
        <v>11404</v>
      </c>
      <c r="F26994" s="40" t="s">
        <v>11404</v>
      </c>
      <c r="G26994" s="40" t="s">
        <v>11404</v>
      </c>
      <c r="H26994" s="40" t="s">
        <v>11404</v>
      </c>
    </row>
    <row r="26995">
      <c r="A26995" s="39"/>
      <c r="E26995" s="40" t="s">
        <v>11404</v>
      </c>
      <c r="F26995" s="40" t="s">
        <v>11404</v>
      </c>
      <c r="G26995" s="40" t="s">
        <v>11404</v>
      </c>
      <c r="H26995" s="40" t="s">
        <v>11404</v>
      </c>
    </row>
    <row r="26996">
      <c r="A26996" s="39"/>
      <c r="E26996" s="40" t="s">
        <v>11404</v>
      </c>
      <c r="F26996" s="40" t="s">
        <v>11404</v>
      </c>
      <c r="G26996" s="40" t="s">
        <v>11404</v>
      </c>
      <c r="H26996" s="40" t="s">
        <v>11404</v>
      </c>
    </row>
    <row r="26997">
      <c r="A26997" s="39"/>
      <c r="E26997" s="40" t="s">
        <v>11404</v>
      </c>
      <c r="F26997" s="40" t="s">
        <v>11404</v>
      </c>
      <c r="G26997" s="40" t="s">
        <v>11404</v>
      </c>
      <c r="H26997" s="40" t="s">
        <v>11404</v>
      </c>
    </row>
    <row r="26998">
      <c r="A26998" s="39"/>
      <c r="E26998" s="40" t="s">
        <v>11404</v>
      </c>
      <c r="F26998" s="40" t="s">
        <v>11404</v>
      </c>
      <c r="G26998" s="40" t="s">
        <v>11404</v>
      </c>
      <c r="H26998" s="40" t="s">
        <v>11404</v>
      </c>
    </row>
    <row r="26999">
      <c r="A26999" s="39"/>
      <c r="E26999" s="40" t="s">
        <v>11404</v>
      </c>
      <c r="F26999" s="40" t="s">
        <v>11404</v>
      </c>
      <c r="G26999" s="40" t="s">
        <v>11404</v>
      </c>
      <c r="H26999" s="40" t="s">
        <v>11404</v>
      </c>
    </row>
    <row r="27000">
      <c r="A27000" s="39"/>
      <c r="E27000" s="40" t="s">
        <v>11404</v>
      </c>
      <c r="F27000" s="40" t="s">
        <v>11404</v>
      </c>
      <c r="G27000" s="40" t="s">
        <v>11404</v>
      </c>
      <c r="H27000" s="40" t="s">
        <v>11404</v>
      </c>
    </row>
    <row r="27001">
      <c r="A27001" s="39"/>
      <c r="E27001" s="40" t="s">
        <v>11404</v>
      </c>
      <c r="F27001" s="40" t="s">
        <v>11404</v>
      </c>
      <c r="G27001" s="40" t="s">
        <v>11404</v>
      </c>
      <c r="H27001" s="40" t="s">
        <v>11404</v>
      </c>
    </row>
    <row r="27002">
      <c r="A27002" s="39"/>
      <c r="E27002" s="40" t="s">
        <v>11404</v>
      </c>
      <c r="F27002" s="40" t="s">
        <v>11404</v>
      </c>
      <c r="G27002" s="40" t="s">
        <v>11404</v>
      </c>
      <c r="H27002" s="40" t="s">
        <v>11404</v>
      </c>
    </row>
    <row r="27003">
      <c r="A27003" s="39"/>
      <c r="E27003" s="40" t="s">
        <v>11404</v>
      </c>
      <c r="F27003" s="40" t="s">
        <v>11404</v>
      </c>
      <c r="G27003" s="40" t="s">
        <v>11404</v>
      </c>
      <c r="H27003" s="40" t="s">
        <v>11404</v>
      </c>
    </row>
    <row r="27004">
      <c r="A27004" s="39"/>
      <c r="E27004" s="40" t="s">
        <v>11404</v>
      </c>
      <c r="F27004" s="40" t="s">
        <v>11404</v>
      </c>
      <c r="G27004" s="40" t="s">
        <v>11404</v>
      </c>
      <c r="H27004" s="40" t="s">
        <v>11404</v>
      </c>
    </row>
    <row r="27005">
      <c r="A27005" s="39"/>
      <c r="E27005" s="40" t="s">
        <v>11404</v>
      </c>
      <c r="F27005" s="40" t="s">
        <v>11404</v>
      </c>
      <c r="G27005" s="40" t="s">
        <v>11404</v>
      </c>
      <c r="H27005" s="40" t="s">
        <v>11404</v>
      </c>
    </row>
    <row r="27006">
      <c r="A27006" s="39"/>
      <c r="E27006" s="40" t="s">
        <v>11404</v>
      </c>
      <c r="F27006" s="40" t="s">
        <v>11404</v>
      </c>
      <c r="G27006" s="40" t="s">
        <v>11404</v>
      </c>
      <c r="H27006" s="40" t="s">
        <v>11404</v>
      </c>
    </row>
    <row r="27007">
      <c r="A27007" s="39"/>
      <c r="E27007" s="40" t="s">
        <v>11404</v>
      </c>
      <c r="F27007" s="40" t="s">
        <v>11404</v>
      </c>
      <c r="G27007" s="40" t="s">
        <v>11404</v>
      </c>
      <c r="H27007" s="40" t="s">
        <v>11404</v>
      </c>
    </row>
    <row r="27008">
      <c r="A27008" s="39"/>
      <c r="E27008" s="40" t="s">
        <v>11404</v>
      </c>
      <c r="F27008" s="40" t="s">
        <v>11404</v>
      </c>
      <c r="G27008" s="40" t="s">
        <v>11404</v>
      </c>
      <c r="H27008" s="40" t="s">
        <v>11404</v>
      </c>
    </row>
    <row r="27009">
      <c r="A27009" s="39"/>
      <c r="E27009" s="40" t="s">
        <v>11404</v>
      </c>
      <c r="F27009" s="40" t="s">
        <v>11404</v>
      </c>
      <c r="G27009" s="40" t="s">
        <v>11404</v>
      </c>
      <c r="H27009" s="40" t="s">
        <v>11404</v>
      </c>
    </row>
    <row r="27010">
      <c r="A27010" s="39"/>
      <c r="E27010" s="40" t="s">
        <v>11404</v>
      </c>
      <c r="F27010" s="40" t="s">
        <v>11404</v>
      </c>
      <c r="G27010" s="40" t="s">
        <v>11404</v>
      </c>
      <c r="H27010" s="40" t="s">
        <v>11404</v>
      </c>
    </row>
    <row r="27011">
      <c r="A27011" s="39"/>
      <c r="E27011" s="40" t="s">
        <v>11404</v>
      </c>
      <c r="F27011" s="40" t="s">
        <v>11404</v>
      </c>
      <c r="G27011" s="40" t="s">
        <v>11404</v>
      </c>
      <c r="H27011" s="40" t="s">
        <v>11404</v>
      </c>
    </row>
    <row r="27012">
      <c r="A27012" s="39"/>
      <c r="E27012" s="40" t="s">
        <v>11404</v>
      </c>
      <c r="F27012" s="40" t="s">
        <v>11404</v>
      </c>
      <c r="G27012" s="40" t="s">
        <v>11404</v>
      </c>
      <c r="H27012" s="40" t="s">
        <v>11404</v>
      </c>
    </row>
    <row r="27013">
      <c r="A27013" s="39"/>
      <c r="E27013" s="40" t="s">
        <v>11404</v>
      </c>
      <c r="F27013" s="40" t="s">
        <v>11404</v>
      </c>
      <c r="G27013" s="40" t="s">
        <v>11404</v>
      </c>
      <c r="H27013" s="40" t="s">
        <v>11404</v>
      </c>
    </row>
    <row r="27014">
      <c r="A27014" s="39"/>
      <c r="E27014" s="40" t="s">
        <v>11404</v>
      </c>
      <c r="F27014" s="40" t="s">
        <v>11404</v>
      </c>
      <c r="G27014" s="40" t="s">
        <v>11404</v>
      </c>
      <c r="H27014" s="40" t="s">
        <v>11404</v>
      </c>
    </row>
    <row r="27015">
      <c r="A27015" s="39"/>
      <c r="E27015" s="40" t="s">
        <v>11404</v>
      </c>
      <c r="F27015" s="40" t="s">
        <v>11404</v>
      </c>
      <c r="G27015" s="40" t="s">
        <v>11404</v>
      </c>
      <c r="H27015" s="40" t="s">
        <v>11404</v>
      </c>
    </row>
    <row r="27016">
      <c r="A27016" s="39"/>
      <c r="E27016" s="40" t="s">
        <v>11404</v>
      </c>
      <c r="F27016" s="40" t="s">
        <v>11404</v>
      </c>
      <c r="G27016" s="40" t="s">
        <v>11404</v>
      </c>
      <c r="H27016" s="40" t="s">
        <v>11404</v>
      </c>
    </row>
    <row r="27017">
      <c r="A27017" s="39"/>
      <c r="E27017" s="40" t="s">
        <v>11404</v>
      </c>
      <c r="F27017" s="40" t="s">
        <v>11404</v>
      </c>
      <c r="G27017" s="40" t="s">
        <v>11404</v>
      </c>
      <c r="H27017" s="40" t="s">
        <v>11404</v>
      </c>
    </row>
    <row r="27018">
      <c r="A27018" s="39"/>
      <c r="E27018" s="40" t="s">
        <v>11404</v>
      </c>
      <c r="F27018" s="40" t="s">
        <v>11404</v>
      </c>
      <c r="G27018" s="40" t="s">
        <v>11404</v>
      </c>
      <c r="H27018" s="40" t="s">
        <v>11404</v>
      </c>
    </row>
    <row r="27019">
      <c r="A27019" s="39"/>
      <c r="E27019" s="40" t="s">
        <v>11404</v>
      </c>
      <c r="F27019" s="40" t="s">
        <v>11404</v>
      </c>
      <c r="G27019" s="40" t="s">
        <v>11404</v>
      </c>
      <c r="H27019" s="40" t="s">
        <v>11404</v>
      </c>
    </row>
    <row r="27020">
      <c r="A27020" s="39"/>
      <c r="E27020" s="40" t="s">
        <v>11404</v>
      </c>
      <c r="F27020" s="40" t="s">
        <v>11404</v>
      </c>
      <c r="G27020" s="40" t="s">
        <v>11404</v>
      </c>
      <c r="H27020" s="40" t="s">
        <v>11404</v>
      </c>
    </row>
    <row r="27021">
      <c r="A27021" s="39"/>
      <c r="E27021" s="40" t="s">
        <v>11404</v>
      </c>
      <c r="F27021" s="40" t="s">
        <v>11404</v>
      </c>
      <c r="G27021" s="40" t="s">
        <v>11404</v>
      </c>
      <c r="H27021" s="40" t="s">
        <v>11404</v>
      </c>
    </row>
    <row r="27022">
      <c r="A27022" s="39"/>
      <c r="E27022" s="40" t="s">
        <v>11404</v>
      </c>
      <c r="F27022" s="40" t="s">
        <v>11404</v>
      </c>
      <c r="G27022" s="40" t="s">
        <v>11404</v>
      </c>
      <c r="H27022" s="40" t="s">
        <v>11404</v>
      </c>
    </row>
    <row r="27023">
      <c r="A27023" s="39"/>
      <c r="E27023" s="40" t="s">
        <v>11404</v>
      </c>
      <c r="F27023" s="40" t="s">
        <v>11404</v>
      </c>
      <c r="G27023" s="40" t="s">
        <v>11404</v>
      </c>
      <c r="H27023" s="40" t="s">
        <v>11404</v>
      </c>
    </row>
    <row r="27024">
      <c r="A27024" s="39"/>
      <c r="E27024" s="40" t="s">
        <v>11404</v>
      </c>
      <c r="F27024" s="40" t="s">
        <v>11404</v>
      </c>
      <c r="G27024" s="40" t="s">
        <v>11404</v>
      </c>
      <c r="H27024" s="40" t="s">
        <v>11404</v>
      </c>
    </row>
    <row r="27025">
      <c r="A27025" s="39"/>
      <c r="E27025" s="40" t="s">
        <v>11404</v>
      </c>
      <c r="F27025" s="40" t="s">
        <v>11404</v>
      </c>
      <c r="G27025" s="40" t="s">
        <v>11404</v>
      </c>
      <c r="H27025" s="40" t="s">
        <v>11404</v>
      </c>
    </row>
    <row r="27026">
      <c r="A27026" s="39"/>
      <c r="E27026" s="40" t="s">
        <v>11404</v>
      </c>
      <c r="F27026" s="40" t="s">
        <v>11404</v>
      </c>
      <c r="G27026" s="40" t="s">
        <v>11404</v>
      </c>
      <c r="H27026" s="40" t="s">
        <v>11404</v>
      </c>
    </row>
    <row r="27027">
      <c r="A27027" s="39"/>
      <c r="E27027" s="40" t="s">
        <v>11404</v>
      </c>
      <c r="F27027" s="40" t="s">
        <v>11404</v>
      </c>
      <c r="G27027" s="40" t="s">
        <v>11404</v>
      </c>
      <c r="H27027" s="40" t="s">
        <v>11404</v>
      </c>
    </row>
    <row r="27028">
      <c r="A27028" s="39"/>
      <c r="E27028" s="40" t="s">
        <v>11404</v>
      </c>
      <c r="F27028" s="40" t="s">
        <v>11404</v>
      </c>
      <c r="G27028" s="40" t="s">
        <v>11404</v>
      </c>
      <c r="H27028" s="40" t="s">
        <v>11404</v>
      </c>
    </row>
    <row r="27029">
      <c r="A27029" s="39"/>
      <c r="E27029" s="40" t="s">
        <v>11404</v>
      </c>
      <c r="F27029" s="40" t="s">
        <v>11404</v>
      </c>
      <c r="G27029" s="40" t="s">
        <v>11404</v>
      </c>
      <c r="H27029" s="40" t="s">
        <v>11404</v>
      </c>
    </row>
    <row r="27030">
      <c r="A27030" s="39"/>
      <c r="E27030" s="40" t="s">
        <v>11404</v>
      </c>
      <c r="F27030" s="40" t="s">
        <v>11404</v>
      </c>
      <c r="G27030" s="40" t="s">
        <v>11404</v>
      </c>
      <c r="H27030" s="40" t="s">
        <v>11404</v>
      </c>
    </row>
    <row r="27031">
      <c r="A27031" s="39"/>
      <c r="E27031" s="40" t="s">
        <v>11404</v>
      </c>
      <c r="F27031" s="40" t="s">
        <v>11404</v>
      </c>
      <c r="G27031" s="40" t="s">
        <v>11404</v>
      </c>
      <c r="H27031" s="40" t="s">
        <v>11404</v>
      </c>
    </row>
    <row r="27032">
      <c r="A27032" s="39"/>
      <c r="E27032" s="40" t="s">
        <v>11404</v>
      </c>
      <c r="F27032" s="40" t="s">
        <v>11404</v>
      </c>
      <c r="G27032" s="40" t="s">
        <v>11404</v>
      </c>
      <c r="H27032" s="40" t="s">
        <v>11404</v>
      </c>
    </row>
    <row r="27033">
      <c r="A27033" s="39"/>
      <c r="E27033" s="40" t="s">
        <v>11404</v>
      </c>
      <c r="F27033" s="40" t="s">
        <v>11404</v>
      </c>
      <c r="G27033" s="40" t="s">
        <v>11404</v>
      </c>
      <c r="H27033" s="40" t="s">
        <v>11404</v>
      </c>
    </row>
    <row r="27034">
      <c r="A27034" s="39"/>
      <c r="E27034" s="40" t="s">
        <v>11404</v>
      </c>
      <c r="F27034" s="40" t="s">
        <v>11404</v>
      </c>
      <c r="G27034" s="40" t="s">
        <v>11404</v>
      </c>
      <c r="H27034" s="40" t="s">
        <v>11404</v>
      </c>
    </row>
    <row r="27035">
      <c r="A27035" s="39"/>
      <c r="E27035" s="40" t="s">
        <v>11404</v>
      </c>
      <c r="F27035" s="40" t="s">
        <v>11404</v>
      </c>
      <c r="G27035" s="40" t="s">
        <v>11404</v>
      </c>
      <c r="H27035" s="40" t="s">
        <v>11404</v>
      </c>
    </row>
    <row r="27036">
      <c r="A27036" s="39"/>
      <c r="E27036" s="40" t="s">
        <v>11404</v>
      </c>
      <c r="F27036" s="40" t="s">
        <v>11404</v>
      </c>
      <c r="G27036" s="40" t="s">
        <v>11404</v>
      </c>
      <c r="H27036" s="40" t="s">
        <v>11404</v>
      </c>
    </row>
    <row r="27037">
      <c r="A27037" s="39"/>
      <c r="E27037" s="40" t="s">
        <v>11404</v>
      </c>
      <c r="F27037" s="40" t="s">
        <v>11404</v>
      </c>
      <c r="G27037" s="40" t="s">
        <v>11404</v>
      </c>
      <c r="H27037" s="40" t="s">
        <v>11404</v>
      </c>
    </row>
    <row r="27038">
      <c r="A27038" s="39"/>
      <c r="E27038" s="40" t="s">
        <v>11404</v>
      </c>
      <c r="F27038" s="40" t="s">
        <v>11404</v>
      </c>
      <c r="G27038" s="40" t="s">
        <v>11404</v>
      </c>
      <c r="H27038" s="40" t="s">
        <v>11404</v>
      </c>
    </row>
    <row r="27039">
      <c r="A27039" s="39"/>
      <c r="E27039" s="40" t="s">
        <v>11404</v>
      </c>
      <c r="F27039" s="40" t="s">
        <v>11404</v>
      </c>
      <c r="G27039" s="40" t="s">
        <v>11404</v>
      </c>
      <c r="H27039" s="40" t="s">
        <v>11404</v>
      </c>
    </row>
    <row r="27040">
      <c r="A27040" s="39"/>
      <c r="E27040" s="40" t="s">
        <v>11404</v>
      </c>
      <c r="F27040" s="40" t="s">
        <v>11404</v>
      </c>
      <c r="G27040" s="40" t="s">
        <v>11404</v>
      </c>
      <c r="H27040" s="40" t="s">
        <v>11404</v>
      </c>
    </row>
    <row r="27041">
      <c r="A27041" s="39"/>
      <c r="E27041" s="40" t="s">
        <v>11404</v>
      </c>
      <c r="F27041" s="40" t="s">
        <v>11404</v>
      </c>
      <c r="G27041" s="40" t="s">
        <v>11404</v>
      </c>
      <c r="H27041" s="40" t="s">
        <v>11404</v>
      </c>
    </row>
    <row r="27042">
      <c r="A27042" s="39"/>
      <c r="E27042" s="40" t="s">
        <v>11404</v>
      </c>
      <c r="F27042" s="40" t="s">
        <v>11404</v>
      </c>
      <c r="G27042" s="40" t="s">
        <v>11404</v>
      </c>
      <c r="H27042" s="40" t="s">
        <v>11404</v>
      </c>
    </row>
    <row r="27043">
      <c r="A27043" s="39"/>
      <c r="E27043" s="40" t="s">
        <v>11404</v>
      </c>
      <c r="F27043" s="40" t="s">
        <v>11404</v>
      </c>
      <c r="G27043" s="40" t="s">
        <v>11404</v>
      </c>
      <c r="H27043" s="40" t="s">
        <v>11404</v>
      </c>
    </row>
    <row r="27044">
      <c r="A27044" s="39"/>
      <c r="E27044" s="40" t="s">
        <v>11404</v>
      </c>
      <c r="F27044" s="40" t="s">
        <v>11404</v>
      </c>
      <c r="G27044" s="40" t="s">
        <v>11404</v>
      </c>
      <c r="H27044" s="40" t="s">
        <v>11404</v>
      </c>
    </row>
    <row r="27045">
      <c r="A27045" s="39"/>
      <c r="E27045" s="40" t="s">
        <v>11404</v>
      </c>
      <c r="F27045" s="40" t="s">
        <v>11404</v>
      </c>
      <c r="G27045" s="40" t="s">
        <v>11404</v>
      </c>
      <c r="H27045" s="40" t="s">
        <v>11404</v>
      </c>
    </row>
    <row r="27046">
      <c r="A27046" s="39"/>
      <c r="E27046" s="40" t="s">
        <v>11404</v>
      </c>
      <c r="F27046" s="40" t="s">
        <v>11404</v>
      </c>
      <c r="G27046" s="40" t="s">
        <v>11404</v>
      </c>
      <c r="H27046" s="40" t="s">
        <v>11404</v>
      </c>
    </row>
    <row r="27047">
      <c r="A27047" s="39"/>
      <c r="E27047" s="40" t="s">
        <v>11404</v>
      </c>
      <c r="F27047" s="40" t="s">
        <v>11404</v>
      </c>
      <c r="G27047" s="40" t="s">
        <v>11404</v>
      </c>
      <c r="H27047" s="40" t="s">
        <v>11404</v>
      </c>
    </row>
    <row r="27048">
      <c r="A27048" s="39"/>
      <c r="E27048" s="40" t="s">
        <v>11404</v>
      </c>
      <c r="F27048" s="40" t="s">
        <v>11404</v>
      </c>
      <c r="G27048" s="40" t="s">
        <v>11404</v>
      </c>
      <c r="H27048" s="40" t="s">
        <v>11404</v>
      </c>
    </row>
    <row r="27049">
      <c r="A27049" s="39"/>
      <c r="E27049" s="40" t="s">
        <v>11404</v>
      </c>
      <c r="F27049" s="40" t="s">
        <v>11404</v>
      </c>
      <c r="G27049" s="40" t="s">
        <v>11404</v>
      </c>
      <c r="H27049" s="40" t="s">
        <v>11404</v>
      </c>
    </row>
    <row r="27050">
      <c r="A27050" s="39"/>
      <c r="E27050" s="40" t="s">
        <v>11404</v>
      </c>
      <c r="F27050" s="40" t="s">
        <v>11404</v>
      </c>
      <c r="G27050" s="40" t="s">
        <v>11404</v>
      </c>
      <c r="H27050" s="40" t="s">
        <v>11404</v>
      </c>
    </row>
    <row r="27051">
      <c r="A27051" s="39"/>
      <c r="E27051" s="40" t="s">
        <v>11404</v>
      </c>
      <c r="F27051" s="40" t="s">
        <v>11404</v>
      </c>
      <c r="G27051" s="40" t="s">
        <v>11404</v>
      </c>
      <c r="H27051" s="40" t="s">
        <v>11404</v>
      </c>
    </row>
    <row r="27052">
      <c r="A27052" s="39"/>
      <c r="E27052" s="40" t="s">
        <v>11404</v>
      </c>
      <c r="F27052" s="40" t="s">
        <v>11404</v>
      </c>
      <c r="G27052" s="40" t="s">
        <v>11404</v>
      </c>
      <c r="H27052" s="40" t="s">
        <v>11404</v>
      </c>
    </row>
    <row r="27053">
      <c r="A27053" s="39"/>
      <c r="E27053" s="40" t="s">
        <v>11404</v>
      </c>
      <c r="F27053" s="40" t="s">
        <v>11404</v>
      </c>
      <c r="G27053" s="40" t="s">
        <v>11404</v>
      </c>
      <c r="H27053" s="40" t="s">
        <v>11404</v>
      </c>
    </row>
    <row r="27054">
      <c r="A27054" s="39"/>
      <c r="E27054" s="40" t="s">
        <v>11404</v>
      </c>
      <c r="F27054" s="40" t="s">
        <v>11404</v>
      </c>
      <c r="G27054" s="40" t="s">
        <v>11404</v>
      </c>
      <c r="H27054" s="40" t="s">
        <v>11404</v>
      </c>
    </row>
    <row r="27055">
      <c r="A27055" s="39"/>
      <c r="E27055" s="40" t="s">
        <v>11404</v>
      </c>
      <c r="F27055" s="40" t="s">
        <v>11404</v>
      </c>
      <c r="G27055" s="40" t="s">
        <v>11404</v>
      </c>
      <c r="H27055" s="40" t="s">
        <v>11404</v>
      </c>
    </row>
    <row r="27056">
      <c r="A27056" s="39"/>
      <c r="E27056" s="40" t="s">
        <v>11404</v>
      </c>
      <c r="F27056" s="40" t="s">
        <v>11404</v>
      </c>
      <c r="G27056" s="40" t="s">
        <v>11404</v>
      </c>
      <c r="H27056" s="40" t="s">
        <v>11404</v>
      </c>
    </row>
    <row r="27057">
      <c r="A27057" s="39"/>
      <c r="E27057" s="40" t="s">
        <v>11404</v>
      </c>
      <c r="F27057" s="40" t="s">
        <v>11404</v>
      </c>
      <c r="G27057" s="40" t="s">
        <v>11404</v>
      </c>
      <c r="H27057" s="40" t="s">
        <v>11404</v>
      </c>
    </row>
    <row r="27058">
      <c r="A27058" s="39"/>
      <c r="E27058" s="40" t="s">
        <v>11404</v>
      </c>
      <c r="F27058" s="40" t="s">
        <v>11404</v>
      </c>
      <c r="G27058" s="40" t="s">
        <v>11404</v>
      </c>
      <c r="H27058" s="40" t="s">
        <v>11404</v>
      </c>
    </row>
    <row r="27059">
      <c r="A27059" s="39"/>
      <c r="E27059" s="40" t="s">
        <v>11404</v>
      </c>
      <c r="F27059" s="40" t="s">
        <v>11404</v>
      </c>
      <c r="G27059" s="40" t="s">
        <v>11404</v>
      </c>
      <c r="H27059" s="40" t="s">
        <v>11404</v>
      </c>
    </row>
    <row r="27060">
      <c r="A27060" s="39"/>
      <c r="E27060" s="40" t="s">
        <v>11404</v>
      </c>
      <c r="F27060" s="40" t="s">
        <v>11404</v>
      </c>
      <c r="G27060" s="40" t="s">
        <v>11404</v>
      </c>
      <c r="H27060" s="40" t="s">
        <v>11404</v>
      </c>
    </row>
    <row r="27061">
      <c r="A27061" s="39"/>
      <c r="E27061" s="40" t="s">
        <v>11404</v>
      </c>
      <c r="F27061" s="40" t="s">
        <v>11404</v>
      </c>
      <c r="G27061" s="40" t="s">
        <v>11404</v>
      </c>
      <c r="H27061" s="40" t="s">
        <v>11404</v>
      </c>
    </row>
    <row r="27062">
      <c r="A27062" s="39"/>
      <c r="E27062" s="40" t="s">
        <v>11404</v>
      </c>
      <c r="F27062" s="40" t="s">
        <v>11404</v>
      </c>
      <c r="G27062" s="40" t="s">
        <v>11404</v>
      </c>
      <c r="H27062" s="40" t="s">
        <v>11404</v>
      </c>
    </row>
    <row r="27063">
      <c r="A27063" s="39"/>
      <c r="E27063" s="40" t="s">
        <v>11404</v>
      </c>
      <c r="F27063" s="40" t="s">
        <v>11404</v>
      </c>
      <c r="G27063" s="40" t="s">
        <v>11404</v>
      </c>
      <c r="H27063" s="40" t="s">
        <v>11404</v>
      </c>
    </row>
    <row r="27064">
      <c r="A27064" s="39"/>
      <c r="E27064" s="40" t="s">
        <v>11404</v>
      </c>
      <c r="F27064" s="40" t="s">
        <v>11404</v>
      </c>
      <c r="G27064" s="40" t="s">
        <v>11404</v>
      </c>
      <c r="H27064" s="40" t="s">
        <v>11404</v>
      </c>
    </row>
    <row r="27065">
      <c r="A27065" s="39"/>
      <c r="E27065" s="40" t="s">
        <v>11404</v>
      </c>
      <c r="F27065" s="40" t="s">
        <v>11404</v>
      </c>
      <c r="G27065" s="40" t="s">
        <v>11404</v>
      </c>
      <c r="H27065" s="40" t="s">
        <v>11404</v>
      </c>
    </row>
    <row r="27066">
      <c r="A27066" s="39"/>
      <c r="E27066" s="40" t="s">
        <v>11404</v>
      </c>
      <c r="F27066" s="40" t="s">
        <v>11404</v>
      </c>
      <c r="G27066" s="40" t="s">
        <v>11404</v>
      </c>
      <c r="H27066" s="40" t="s">
        <v>11404</v>
      </c>
    </row>
    <row r="27067">
      <c r="A27067" s="39"/>
      <c r="E27067" s="40" t="s">
        <v>11404</v>
      </c>
      <c r="F27067" s="40" t="s">
        <v>11404</v>
      </c>
      <c r="G27067" s="40" t="s">
        <v>11404</v>
      </c>
      <c r="H27067" s="40" t="s">
        <v>11404</v>
      </c>
    </row>
    <row r="27068">
      <c r="A27068" s="39"/>
      <c r="E27068" s="40" t="s">
        <v>11404</v>
      </c>
      <c r="F27068" s="40" t="s">
        <v>11404</v>
      </c>
      <c r="G27068" s="40" t="s">
        <v>11404</v>
      </c>
      <c r="H27068" s="40" t="s">
        <v>11404</v>
      </c>
    </row>
    <row r="27069">
      <c r="A27069" s="39"/>
      <c r="E27069" s="40" t="s">
        <v>11404</v>
      </c>
      <c r="F27069" s="40" t="s">
        <v>11404</v>
      </c>
      <c r="G27069" s="40" t="s">
        <v>11404</v>
      </c>
      <c r="H27069" s="40" t="s">
        <v>11404</v>
      </c>
    </row>
    <row r="27070">
      <c r="A27070" s="39"/>
      <c r="E27070" s="40" t="s">
        <v>11404</v>
      </c>
      <c r="F27070" s="40" t="s">
        <v>11404</v>
      </c>
      <c r="G27070" s="40" t="s">
        <v>11404</v>
      </c>
      <c r="H27070" s="40" t="s">
        <v>11404</v>
      </c>
    </row>
    <row r="27071">
      <c r="A27071" s="39"/>
      <c r="E27071" s="40" t="s">
        <v>11404</v>
      </c>
      <c r="F27071" s="40" t="s">
        <v>11404</v>
      </c>
      <c r="G27071" s="40" t="s">
        <v>11404</v>
      </c>
      <c r="H27071" s="40" t="s">
        <v>11404</v>
      </c>
    </row>
    <row r="27072">
      <c r="A27072" s="39"/>
      <c r="E27072" s="40" t="s">
        <v>11404</v>
      </c>
      <c r="F27072" s="40" t="s">
        <v>11404</v>
      </c>
      <c r="G27072" s="40" t="s">
        <v>11404</v>
      </c>
      <c r="H27072" s="40" t="s">
        <v>11404</v>
      </c>
    </row>
    <row r="27073">
      <c r="A27073" s="39"/>
      <c r="E27073" s="40" t="s">
        <v>11404</v>
      </c>
      <c r="F27073" s="40" t="s">
        <v>11404</v>
      </c>
      <c r="G27073" s="40" t="s">
        <v>11404</v>
      </c>
      <c r="H27073" s="40" t="s">
        <v>11404</v>
      </c>
    </row>
    <row r="27074">
      <c r="A27074" s="39"/>
      <c r="E27074" s="40" t="s">
        <v>11404</v>
      </c>
      <c r="F27074" s="40" t="s">
        <v>11404</v>
      </c>
      <c r="G27074" s="40" t="s">
        <v>11404</v>
      </c>
      <c r="H27074" s="40" t="s">
        <v>11404</v>
      </c>
    </row>
    <row r="27075">
      <c r="A27075" s="39"/>
      <c r="E27075" s="40" t="s">
        <v>11404</v>
      </c>
      <c r="F27075" s="40" t="s">
        <v>11404</v>
      </c>
      <c r="G27075" s="40" t="s">
        <v>11404</v>
      </c>
      <c r="H27075" s="40" t="s">
        <v>11404</v>
      </c>
    </row>
    <row r="27076">
      <c r="A27076" s="39"/>
      <c r="E27076" s="40" t="s">
        <v>11404</v>
      </c>
      <c r="F27076" s="40" t="s">
        <v>11404</v>
      </c>
      <c r="G27076" s="40" t="s">
        <v>11404</v>
      </c>
      <c r="H27076" s="40" t="s">
        <v>11404</v>
      </c>
    </row>
    <row r="27077">
      <c r="A27077" s="39"/>
      <c r="E27077" s="40" t="s">
        <v>11404</v>
      </c>
      <c r="F27077" s="40" t="s">
        <v>11404</v>
      </c>
      <c r="G27077" s="40" t="s">
        <v>11404</v>
      </c>
      <c r="H27077" s="40" t="s">
        <v>11404</v>
      </c>
    </row>
    <row r="27078">
      <c r="A27078" s="39"/>
      <c r="E27078" s="40" t="s">
        <v>11404</v>
      </c>
      <c r="F27078" s="40" t="s">
        <v>11404</v>
      </c>
      <c r="G27078" s="40" t="s">
        <v>11404</v>
      </c>
      <c r="H27078" s="40" t="s">
        <v>11404</v>
      </c>
    </row>
    <row r="27079">
      <c r="A27079" s="39"/>
      <c r="E27079" s="40" t="s">
        <v>11404</v>
      </c>
      <c r="F27079" s="40" t="s">
        <v>11404</v>
      </c>
      <c r="G27079" s="40" t="s">
        <v>11404</v>
      </c>
      <c r="H27079" s="40" t="s">
        <v>11404</v>
      </c>
    </row>
    <row r="27080">
      <c r="A27080" s="39"/>
      <c r="E27080" s="40" t="s">
        <v>11404</v>
      </c>
      <c r="F27080" s="40" t="s">
        <v>11404</v>
      </c>
      <c r="G27080" s="40" t="s">
        <v>11404</v>
      </c>
      <c r="H27080" s="40" t="s">
        <v>11404</v>
      </c>
    </row>
    <row r="27081">
      <c r="A27081" s="39"/>
      <c r="E27081" s="40" t="s">
        <v>11404</v>
      </c>
      <c r="F27081" s="40" t="s">
        <v>11404</v>
      </c>
      <c r="G27081" s="40" t="s">
        <v>11404</v>
      </c>
      <c r="H27081" s="40" t="s">
        <v>11404</v>
      </c>
    </row>
    <row r="27082">
      <c r="A27082" s="39"/>
      <c r="E27082" s="40" t="s">
        <v>11404</v>
      </c>
      <c r="F27082" s="40" t="s">
        <v>11404</v>
      </c>
      <c r="G27082" s="40" t="s">
        <v>11404</v>
      </c>
      <c r="H27082" s="40" t="s">
        <v>11404</v>
      </c>
    </row>
    <row r="27083">
      <c r="A27083" s="39"/>
      <c r="E27083" s="40" t="s">
        <v>11404</v>
      </c>
      <c r="F27083" s="40" t="s">
        <v>11404</v>
      </c>
      <c r="G27083" s="40" t="s">
        <v>11404</v>
      </c>
      <c r="H27083" s="40" t="s">
        <v>11404</v>
      </c>
    </row>
    <row r="27084">
      <c r="A27084" s="39"/>
      <c r="E27084" s="40" t="s">
        <v>11404</v>
      </c>
      <c r="F27084" s="40" t="s">
        <v>11404</v>
      </c>
      <c r="G27084" s="40" t="s">
        <v>11404</v>
      </c>
      <c r="H27084" s="40" t="s">
        <v>11404</v>
      </c>
    </row>
    <row r="27085">
      <c r="A27085" s="39"/>
      <c r="E27085" s="40" t="s">
        <v>11404</v>
      </c>
      <c r="F27085" s="40" t="s">
        <v>11404</v>
      </c>
      <c r="G27085" s="40" t="s">
        <v>11404</v>
      </c>
      <c r="H27085" s="40" t="s">
        <v>11404</v>
      </c>
    </row>
    <row r="27086">
      <c r="A27086" s="39"/>
      <c r="E27086" s="40" t="s">
        <v>11404</v>
      </c>
      <c r="F27086" s="40" t="s">
        <v>11404</v>
      </c>
      <c r="G27086" s="40" t="s">
        <v>11404</v>
      </c>
      <c r="H27086" s="40" t="s">
        <v>11404</v>
      </c>
    </row>
    <row r="27087">
      <c r="A27087" s="39"/>
      <c r="E27087" s="40" t="s">
        <v>11404</v>
      </c>
      <c r="F27087" s="40" t="s">
        <v>11404</v>
      </c>
      <c r="G27087" s="40" t="s">
        <v>11404</v>
      </c>
      <c r="H27087" s="40" t="s">
        <v>11404</v>
      </c>
    </row>
    <row r="27088">
      <c r="A27088" s="39"/>
      <c r="E27088" s="40" t="s">
        <v>11404</v>
      </c>
      <c r="F27088" s="40" t="s">
        <v>11404</v>
      </c>
      <c r="G27088" s="40" t="s">
        <v>11404</v>
      </c>
      <c r="H27088" s="40" t="s">
        <v>11404</v>
      </c>
    </row>
    <row r="27089">
      <c r="A27089" s="39"/>
      <c r="E27089" s="40" t="s">
        <v>11404</v>
      </c>
      <c r="F27089" s="40" t="s">
        <v>11404</v>
      </c>
      <c r="G27089" s="40" t="s">
        <v>11404</v>
      </c>
      <c r="H27089" s="40" t="s">
        <v>11404</v>
      </c>
    </row>
    <row r="27090">
      <c r="A27090" s="39"/>
      <c r="E27090" s="40" t="s">
        <v>11404</v>
      </c>
      <c r="F27090" s="40" t="s">
        <v>11404</v>
      </c>
      <c r="G27090" s="40" t="s">
        <v>11404</v>
      </c>
      <c r="H27090" s="40" t="s">
        <v>11404</v>
      </c>
    </row>
    <row r="27091">
      <c r="A27091" s="39"/>
      <c r="E27091" s="40" t="s">
        <v>11404</v>
      </c>
      <c r="F27091" s="40" t="s">
        <v>11404</v>
      </c>
      <c r="G27091" s="40" t="s">
        <v>11404</v>
      </c>
      <c r="H27091" s="40" t="s">
        <v>11404</v>
      </c>
    </row>
    <row r="27092">
      <c r="A27092" s="39"/>
      <c r="E27092" s="40" t="s">
        <v>11404</v>
      </c>
      <c r="F27092" s="40" t="s">
        <v>11404</v>
      </c>
      <c r="G27092" s="40" t="s">
        <v>11404</v>
      </c>
      <c r="H27092" s="40" t="s">
        <v>11404</v>
      </c>
    </row>
    <row r="27093">
      <c r="A27093" s="39"/>
      <c r="E27093" s="40" t="s">
        <v>11404</v>
      </c>
      <c r="F27093" s="40" t="s">
        <v>11404</v>
      </c>
      <c r="G27093" s="40" t="s">
        <v>11404</v>
      </c>
      <c r="H27093" s="40" t="s">
        <v>11404</v>
      </c>
    </row>
    <row r="27094">
      <c r="A27094" s="39"/>
      <c r="E27094" s="40" t="s">
        <v>11404</v>
      </c>
      <c r="F27094" s="40" t="s">
        <v>11404</v>
      </c>
      <c r="G27094" s="40" t="s">
        <v>11404</v>
      </c>
      <c r="H27094" s="40" t="s">
        <v>11404</v>
      </c>
    </row>
    <row r="27095">
      <c r="A27095" s="39"/>
      <c r="E27095" s="40" t="s">
        <v>11404</v>
      </c>
      <c r="F27095" s="40" t="s">
        <v>11404</v>
      </c>
      <c r="G27095" s="40" t="s">
        <v>11404</v>
      </c>
      <c r="H27095" s="40" t="s">
        <v>11404</v>
      </c>
    </row>
    <row r="27096">
      <c r="A27096" s="39"/>
      <c r="E27096" s="40" t="s">
        <v>11404</v>
      </c>
      <c r="F27096" s="40" t="s">
        <v>11404</v>
      </c>
      <c r="G27096" s="40" t="s">
        <v>11404</v>
      </c>
      <c r="H27096" s="40" t="s">
        <v>11404</v>
      </c>
    </row>
    <row r="27097">
      <c r="A27097" s="39"/>
      <c r="E27097" s="40" t="s">
        <v>11404</v>
      </c>
      <c r="F27097" s="40" t="s">
        <v>11404</v>
      </c>
      <c r="G27097" s="40" t="s">
        <v>11404</v>
      </c>
      <c r="H27097" s="40" t="s">
        <v>11404</v>
      </c>
    </row>
    <row r="27098">
      <c r="A27098" s="39"/>
      <c r="E27098" s="40" t="s">
        <v>11404</v>
      </c>
      <c r="F27098" s="40" t="s">
        <v>11404</v>
      </c>
      <c r="G27098" s="40" t="s">
        <v>11404</v>
      </c>
      <c r="H27098" s="40" t="s">
        <v>11404</v>
      </c>
    </row>
    <row r="27099">
      <c r="A27099" s="39"/>
      <c r="E27099" s="40" t="s">
        <v>11404</v>
      </c>
      <c r="F27099" s="40" t="s">
        <v>11404</v>
      </c>
      <c r="G27099" s="40" t="s">
        <v>11404</v>
      </c>
      <c r="H27099" s="40" t="s">
        <v>11404</v>
      </c>
    </row>
    <row r="27100">
      <c r="A27100" s="39"/>
      <c r="E27100" s="40" t="s">
        <v>11404</v>
      </c>
      <c r="F27100" s="40" t="s">
        <v>11404</v>
      </c>
      <c r="G27100" s="40" t="s">
        <v>11404</v>
      </c>
      <c r="H27100" s="40" t="s">
        <v>11404</v>
      </c>
    </row>
    <row r="27101">
      <c r="A27101" s="39"/>
      <c r="E27101" s="40" t="s">
        <v>11404</v>
      </c>
      <c r="F27101" s="40" t="s">
        <v>11404</v>
      </c>
      <c r="G27101" s="40" t="s">
        <v>11404</v>
      </c>
      <c r="H27101" s="40" t="s">
        <v>11404</v>
      </c>
    </row>
    <row r="27102">
      <c r="A27102" s="39"/>
      <c r="E27102" s="40" t="s">
        <v>11404</v>
      </c>
      <c r="F27102" s="40" t="s">
        <v>11404</v>
      </c>
      <c r="G27102" s="40" t="s">
        <v>11404</v>
      </c>
      <c r="H27102" s="40" t="s">
        <v>11404</v>
      </c>
    </row>
    <row r="27103">
      <c r="A27103" s="39"/>
      <c r="E27103" s="40" t="s">
        <v>11404</v>
      </c>
      <c r="F27103" s="40" t="s">
        <v>11404</v>
      </c>
      <c r="G27103" s="40" t="s">
        <v>11404</v>
      </c>
      <c r="H27103" s="40" t="s">
        <v>11404</v>
      </c>
    </row>
    <row r="27104">
      <c r="A27104" s="39"/>
      <c r="E27104" s="40" t="s">
        <v>11404</v>
      </c>
      <c r="F27104" s="40" t="s">
        <v>11404</v>
      </c>
      <c r="G27104" s="40" t="s">
        <v>11404</v>
      </c>
      <c r="H27104" s="40" t="s">
        <v>11404</v>
      </c>
    </row>
    <row r="27105">
      <c r="A27105" s="39"/>
      <c r="E27105" s="40" t="s">
        <v>11404</v>
      </c>
      <c r="F27105" s="40" t="s">
        <v>11404</v>
      </c>
      <c r="G27105" s="40" t="s">
        <v>11404</v>
      </c>
      <c r="H27105" s="40" t="s">
        <v>11404</v>
      </c>
    </row>
    <row r="27106">
      <c r="A27106" s="39"/>
      <c r="E27106" s="40" t="s">
        <v>11404</v>
      </c>
      <c r="F27106" s="40" t="s">
        <v>11404</v>
      </c>
      <c r="G27106" s="40" t="s">
        <v>11404</v>
      </c>
      <c r="H27106" s="40" t="s">
        <v>11404</v>
      </c>
    </row>
    <row r="27107">
      <c r="A27107" s="39"/>
      <c r="E27107" s="40" t="s">
        <v>11404</v>
      </c>
      <c r="F27107" s="40" t="s">
        <v>11404</v>
      </c>
      <c r="G27107" s="40" t="s">
        <v>11404</v>
      </c>
      <c r="H27107" s="40" t="s">
        <v>11404</v>
      </c>
    </row>
    <row r="27108">
      <c r="A27108" s="39"/>
      <c r="E27108" s="40" t="s">
        <v>11404</v>
      </c>
      <c r="F27108" s="40" t="s">
        <v>11404</v>
      </c>
      <c r="G27108" s="40" t="s">
        <v>11404</v>
      </c>
      <c r="H27108" s="40" t="s">
        <v>11404</v>
      </c>
    </row>
    <row r="27109">
      <c r="A27109" s="39"/>
      <c r="E27109" s="40" t="s">
        <v>11404</v>
      </c>
      <c r="F27109" s="40" t="s">
        <v>11404</v>
      </c>
      <c r="G27109" s="40" t="s">
        <v>11404</v>
      </c>
      <c r="H27109" s="40" t="s">
        <v>11404</v>
      </c>
    </row>
    <row r="27110">
      <c r="A27110" s="39"/>
      <c r="E27110" s="40" t="s">
        <v>11404</v>
      </c>
      <c r="F27110" s="40" t="s">
        <v>11404</v>
      </c>
      <c r="G27110" s="40" t="s">
        <v>11404</v>
      </c>
      <c r="H27110" s="40" t="s">
        <v>11404</v>
      </c>
    </row>
    <row r="27111">
      <c r="A27111" s="39"/>
      <c r="E27111" s="40" t="s">
        <v>11404</v>
      </c>
      <c r="F27111" s="40" t="s">
        <v>11404</v>
      </c>
      <c r="G27111" s="40" t="s">
        <v>11404</v>
      </c>
      <c r="H27111" s="40" t="s">
        <v>11404</v>
      </c>
    </row>
    <row r="27112">
      <c r="A27112" s="39"/>
      <c r="E27112" s="40" t="s">
        <v>11404</v>
      </c>
      <c r="F27112" s="40" t="s">
        <v>11404</v>
      </c>
      <c r="G27112" s="40" t="s">
        <v>11404</v>
      </c>
      <c r="H27112" s="40" t="s">
        <v>11404</v>
      </c>
    </row>
    <row r="27113">
      <c r="A27113" s="39"/>
      <c r="E27113" s="40" t="s">
        <v>11404</v>
      </c>
      <c r="F27113" s="40" t="s">
        <v>11404</v>
      </c>
      <c r="G27113" s="40" t="s">
        <v>11404</v>
      </c>
      <c r="H27113" s="40" t="s">
        <v>11404</v>
      </c>
    </row>
    <row r="27114">
      <c r="A27114" s="39"/>
      <c r="E27114" s="40" t="s">
        <v>11404</v>
      </c>
      <c r="F27114" s="40" t="s">
        <v>11404</v>
      </c>
      <c r="G27114" s="40" t="s">
        <v>11404</v>
      </c>
      <c r="H27114" s="40" t="s">
        <v>11404</v>
      </c>
    </row>
    <row r="27115">
      <c r="A27115" s="39"/>
      <c r="E27115" s="40" t="s">
        <v>11404</v>
      </c>
      <c r="F27115" s="40" t="s">
        <v>11404</v>
      </c>
      <c r="G27115" s="40" t="s">
        <v>11404</v>
      </c>
      <c r="H27115" s="40" t="s">
        <v>11404</v>
      </c>
    </row>
    <row r="27116">
      <c r="A27116" s="39"/>
      <c r="E27116" s="40" t="s">
        <v>11404</v>
      </c>
      <c r="F27116" s="40" t="s">
        <v>11404</v>
      </c>
      <c r="G27116" s="40" t="s">
        <v>11404</v>
      </c>
      <c r="H27116" s="40" t="s">
        <v>11404</v>
      </c>
    </row>
    <row r="27117">
      <c r="A27117" s="39"/>
      <c r="E27117" s="40" t="s">
        <v>11404</v>
      </c>
      <c r="F27117" s="40" t="s">
        <v>11404</v>
      </c>
      <c r="G27117" s="40" t="s">
        <v>11404</v>
      </c>
      <c r="H27117" s="40" t="s">
        <v>11404</v>
      </c>
    </row>
    <row r="27118">
      <c r="A27118" s="39"/>
      <c r="E27118" s="40" t="s">
        <v>11404</v>
      </c>
      <c r="F27118" s="40" t="s">
        <v>11404</v>
      </c>
      <c r="G27118" s="40" t="s">
        <v>11404</v>
      </c>
      <c r="H27118" s="40" t="s">
        <v>11404</v>
      </c>
    </row>
    <row r="27119">
      <c r="A27119" s="39"/>
      <c r="E27119" s="40" t="s">
        <v>11404</v>
      </c>
      <c r="F27119" s="40" t="s">
        <v>11404</v>
      </c>
      <c r="G27119" s="40" t="s">
        <v>11404</v>
      </c>
      <c r="H27119" s="40" t="s">
        <v>11404</v>
      </c>
    </row>
    <row r="27120">
      <c r="A27120" s="39"/>
      <c r="E27120" s="40" t="s">
        <v>11404</v>
      </c>
      <c r="F27120" s="40" t="s">
        <v>11404</v>
      </c>
      <c r="G27120" s="40" t="s">
        <v>11404</v>
      </c>
      <c r="H27120" s="40" t="s">
        <v>11404</v>
      </c>
    </row>
    <row r="27121">
      <c r="A27121" s="39"/>
      <c r="E27121" s="40" t="s">
        <v>11404</v>
      </c>
      <c r="F27121" s="40" t="s">
        <v>11404</v>
      </c>
      <c r="G27121" s="40" t="s">
        <v>11404</v>
      </c>
      <c r="H27121" s="40" t="s">
        <v>11404</v>
      </c>
    </row>
    <row r="27122">
      <c r="A27122" s="39"/>
      <c r="E27122" s="40" t="s">
        <v>11404</v>
      </c>
      <c r="F27122" s="40" t="s">
        <v>11404</v>
      </c>
      <c r="G27122" s="40" t="s">
        <v>11404</v>
      </c>
      <c r="H27122" s="40" t="s">
        <v>11404</v>
      </c>
    </row>
    <row r="27123">
      <c r="A27123" s="39"/>
      <c r="E27123" s="40" t="s">
        <v>11404</v>
      </c>
      <c r="F27123" s="40" t="s">
        <v>11404</v>
      </c>
      <c r="G27123" s="40" t="s">
        <v>11404</v>
      </c>
      <c r="H27123" s="40" t="s">
        <v>11404</v>
      </c>
    </row>
    <row r="27124">
      <c r="A27124" s="39"/>
      <c r="E27124" s="40" t="s">
        <v>11404</v>
      </c>
      <c r="F27124" s="40" t="s">
        <v>11404</v>
      </c>
      <c r="G27124" s="40" t="s">
        <v>11404</v>
      </c>
      <c r="H27124" s="40" t="s">
        <v>11404</v>
      </c>
    </row>
    <row r="27125">
      <c r="A27125" s="39"/>
      <c r="E27125" s="40" t="s">
        <v>11404</v>
      </c>
      <c r="F27125" s="40" t="s">
        <v>11404</v>
      </c>
      <c r="G27125" s="40" t="s">
        <v>11404</v>
      </c>
      <c r="H27125" s="40" t="s">
        <v>11404</v>
      </c>
    </row>
    <row r="27126">
      <c r="A27126" s="39"/>
      <c r="E27126" s="40" t="s">
        <v>11404</v>
      </c>
      <c r="F27126" s="40" t="s">
        <v>11404</v>
      </c>
      <c r="G27126" s="40" t="s">
        <v>11404</v>
      </c>
      <c r="H27126" s="40" t="s">
        <v>11404</v>
      </c>
    </row>
    <row r="27127">
      <c r="A27127" s="39"/>
      <c r="E27127" s="40" t="s">
        <v>11404</v>
      </c>
      <c r="F27127" s="40" t="s">
        <v>11404</v>
      </c>
      <c r="G27127" s="40" t="s">
        <v>11404</v>
      </c>
      <c r="H27127" s="40" t="s">
        <v>11404</v>
      </c>
    </row>
    <row r="27128">
      <c r="A27128" s="39"/>
      <c r="E27128" s="40" t="s">
        <v>11404</v>
      </c>
      <c r="F27128" s="40" t="s">
        <v>11404</v>
      </c>
      <c r="G27128" s="40" t="s">
        <v>11404</v>
      </c>
      <c r="H27128" s="40" t="s">
        <v>11404</v>
      </c>
    </row>
    <row r="27129">
      <c r="A27129" s="39"/>
      <c r="E27129" s="40" t="s">
        <v>11404</v>
      </c>
      <c r="F27129" s="40" t="s">
        <v>11404</v>
      </c>
      <c r="G27129" s="40" t="s">
        <v>11404</v>
      </c>
      <c r="H27129" s="40" t="s">
        <v>11404</v>
      </c>
    </row>
    <row r="27130">
      <c r="A27130" s="39"/>
      <c r="E27130" s="40" t="s">
        <v>11404</v>
      </c>
      <c r="F27130" s="40" t="s">
        <v>11404</v>
      </c>
      <c r="G27130" s="40" t="s">
        <v>11404</v>
      </c>
      <c r="H27130" s="40" t="s">
        <v>11404</v>
      </c>
    </row>
    <row r="27131">
      <c r="A27131" s="39"/>
      <c r="E27131" s="40" t="s">
        <v>11404</v>
      </c>
      <c r="F27131" s="40" t="s">
        <v>11404</v>
      </c>
      <c r="G27131" s="40" t="s">
        <v>11404</v>
      </c>
      <c r="H27131" s="40" t="s">
        <v>11404</v>
      </c>
    </row>
    <row r="27132">
      <c r="A27132" s="39"/>
      <c r="E27132" s="40" t="s">
        <v>11404</v>
      </c>
      <c r="F27132" s="40" t="s">
        <v>11404</v>
      </c>
      <c r="G27132" s="40" t="s">
        <v>11404</v>
      </c>
      <c r="H27132" s="40" t="s">
        <v>11404</v>
      </c>
    </row>
    <row r="27133">
      <c r="A27133" s="39"/>
      <c r="E27133" s="40" t="s">
        <v>11404</v>
      </c>
      <c r="F27133" s="40" t="s">
        <v>11404</v>
      </c>
      <c r="G27133" s="40" t="s">
        <v>11404</v>
      </c>
      <c r="H27133" s="40" t="s">
        <v>11404</v>
      </c>
    </row>
    <row r="27134">
      <c r="A27134" s="39"/>
      <c r="E27134" s="40" t="s">
        <v>11404</v>
      </c>
      <c r="F27134" s="40" t="s">
        <v>11404</v>
      </c>
      <c r="G27134" s="40" t="s">
        <v>11404</v>
      </c>
      <c r="H27134" s="40" t="s">
        <v>11404</v>
      </c>
    </row>
    <row r="27135">
      <c r="A27135" s="39"/>
      <c r="E27135" s="40" t="s">
        <v>11404</v>
      </c>
      <c r="F27135" s="40" t="s">
        <v>11404</v>
      </c>
      <c r="G27135" s="40" t="s">
        <v>11404</v>
      </c>
      <c r="H27135" s="40" t="s">
        <v>11404</v>
      </c>
    </row>
    <row r="27136">
      <c r="A27136" s="39"/>
      <c r="E27136" s="40" t="s">
        <v>11404</v>
      </c>
      <c r="F27136" s="40" t="s">
        <v>11404</v>
      </c>
      <c r="G27136" s="40" t="s">
        <v>11404</v>
      </c>
      <c r="H27136" s="40" t="s">
        <v>11404</v>
      </c>
    </row>
    <row r="27137">
      <c r="A27137" s="39"/>
      <c r="E27137" s="40" t="s">
        <v>11404</v>
      </c>
      <c r="F27137" s="40" t="s">
        <v>11404</v>
      </c>
      <c r="G27137" s="40" t="s">
        <v>11404</v>
      </c>
      <c r="H27137" s="40" t="s">
        <v>11404</v>
      </c>
    </row>
    <row r="27138">
      <c r="A27138" s="39"/>
      <c r="E27138" s="40" t="s">
        <v>11404</v>
      </c>
      <c r="F27138" s="40" t="s">
        <v>11404</v>
      </c>
      <c r="G27138" s="40" t="s">
        <v>11404</v>
      </c>
      <c r="H27138" s="40" t="s">
        <v>11404</v>
      </c>
    </row>
    <row r="27139">
      <c r="A27139" s="39"/>
      <c r="E27139" s="40" t="s">
        <v>11404</v>
      </c>
      <c r="F27139" s="40" t="s">
        <v>11404</v>
      </c>
      <c r="G27139" s="40" t="s">
        <v>11404</v>
      </c>
      <c r="H27139" s="40" t="s">
        <v>11404</v>
      </c>
    </row>
    <row r="27140">
      <c r="A27140" s="39"/>
      <c r="E27140" s="40" t="s">
        <v>11404</v>
      </c>
      <c r="F27140" s="40" t="s">
        <v>11404</v>
      </c>
      <c r="G27140" s="40" t="s">
        <v>11404</v>
      </c>
      <c r="H27140" s="40" t="s">
        <v>11404</v>
      </c>
    </row>
    <row r="27141">
      <c r="A27141" s="39"/>
      <c r="E27141" s="40" t="s">
        <v>11404</v>
      </c>
      <c r="F27141" s="40" t="s">
        <v>11404</v>
      </c>
      <c r="G27141" s="40" t="s">
        <v>11404</v>
      </c>
      <c r="H27141" s="40" t="s">
        <v>11404</v>
      </c>
    </row>
    <row r="27142">
      <c r="A27142" s="39"/>
      <c r="E27142" s="40" t="s">
        <v>11404</v>
      </c>
      <c r="F27142" s="40" t="s">
        <v>11404</v>
      </c>
      <c r="G27142" s="40" t="s">
        <v>11404</v>
      </c>
      <c r="H27142" s="40" t="s">
        <v>11404</v>
      </c>
    </row>
    <row r="27143">
      <c r="A27143" s="39"/>
      <c r="E27143" s="40" t="s">
        <v>11404</v>
      </c>
      <c r="F27143" s="40" t="s">
        <v>11404</v>
      </c>
      <c r="G27143" s="40" t="s">
        <v>11404</v>
      </c>
      <c r="H27143" s="40" t="s">
        <v>11404</v>
      </c>
    </row>
    <row r="27144">
      <c r="A27144" s="39"/>
      <c r="E27144" s="40" t="s">
        <v>11404</v>
      </c>
      <c r="F27144" s="40" t="s">
        <v>11404</v>
      </c>
      <c r="G27144" s="40" t="s">
        <v>11404</v>
      </c>
      <c r="H27144" s="40" t="s">
        <v>11404</v>
      </c>
    </row>
    <row r="27145">
      <c r="A27145" s="39"/>
      <c r="E27145" s="40" t="s">
        <v>11404</v>
      </c>
      <c r="F27145" s="40" t="s">
        <v>11404</v>
      </c>
      <c r="G27145" s="40" t="s">
        <v>11404</v>
      </c>
      <c r="H27145" s="40" t="s">
        <v>11404</v>
      </c>
    </row>
    <row r="27146">
      <c r="A27146" s="39"/>
      <c r="E27146" s="40" t="s">
        <v>11404</v>
      </c>
      <c r="F27146" s="40" t="s">
        <v>11404</v>
      </c>
      <c r="G27146" s="40" t="s">
        <v>11404</v>
      </c>
      <c r="H27146" s="40" t="s">
        <v>11404</v>
      </c>
    </row>
    <row r="27147">
      <c r="A27147" s="39"/>
      <c r="E27147" s="40" t="s">
        <v>11404</v>
      </c>
      <c r="F27147" s="40" t="s">
        <v>11404</v>
      </c>
      <c r="G27147" s="40" t="s">
        <v>11404</v>
      </c>
      <c r="H27147" s="40" t="s">
        <v>11404</v>
      </c>
    </row>
    <row r="27148">
      <c r="A27148" s="39"/>
      <c r="E27148" s="40" t="s">
        <v>11404</v>
      </c>
      <c r="F27148" s="40" t="s">
        <v>11404</v>
      </c>
      <c r="G27148" s="40" t="s">
        <v>11404</v>
      </c>
      <c r="H27148" s="40" t="s">
        <v>11404</v>
      </c>
    </row>
    <row r="27149">
      <c r="A27149" s="39"/>
      <c r="E27149" s="40" t="s">
        <v>11404</v>
      </c>
      <c r="F27149" s="40" t="s">
        <v>11404</v>
      </c>
      <c r="G27149" s="40" t="s">
        <v>11404</v>
      </c>
      <c r="H27149" s="40" t="s">
        <v>11404</v>
      </c>
    </row>
    <row r="27150">
      <c r="A27150" s="39"/>
      <c r="E27150" s="40" t="s">
        <v>11404</v>
      </c>
      <c r="F27150" s="40" t="s">
        <v>11404</v>
      </c>
      <c r="G27150" s="40" t="s">
        <v>11404</v>
      </c>
      <c r="H27150" s="40" t="s">
        <v>11404</v>
      </c>
    </row>
    <row r="27151">
      <c r="A27151" s="39"/>
      <c r="E27151" s="40" t="s">
        <v>11404</v>
      </c>
      <c r="F27151" s="40" t="s">
        <v>11404</v>
      </c>
      <c r="G27151" s="40" t="s">
        <v>11404</v>
      </c>
      <c r="H27151" s="40" t="s">
        <v>11404</v>
      </c>
    </row>
    <row r="27152">
      <c r="A27152" s="39"/>
      <c r="E27152" s="40" t="s">
        <v>11404</v>
      </c>
      <c r="F27152" s="40" t="s">
        <v>11404</v>
      </c>
      <c r="G27152" s="40" t="s">
        <v>11404</v>
      </c>
      <c r="H27152" s="40" t="s">
        <v>11404</v>
      </c>
    </row>
    <row r="27153">
      <c r="A27153" s="39"/>
      <c r="E27153" s="40" t="s">
        <v>11404</v>
      </c>
      <c r="F27153" s="40" t="s">
        <v>11404</v>
      </c>
      <c r="G27153" s="40" t="s">
        <v>11404</v>
      </c>
      <c r="H27153" s="40" t="s">
        <v>11404</v>
      </c>
    </row>
    <row r="27154">
      <c r="A27154" s="39"/>
      <c r="E27154" s="40" t="s">
        <v>11404</v>
      </c>
      <c r="F27154" s="40" t="s">
        <v>11404</v>
      </c>
      <c r="G27154" s="40" t="s">
        <v>11404</v>
      </c>
      <c r="H27154" s="40" t="s">
        <v>11404</v>
      </c>
    </row>
    <row r="27155">
      <c r="A27155" s="39"/>
      <c r="E27155" s="40" t="s">
        <v>11404</v>
      </c>
      <c r="F27155" s="40" t="s">
        <v>11404</v>
      </c>
      <c r="G27155" s="40" t="s">
        <v>11404</v>
      </c>
      <c r="H27155" s="40" t="s">
        <v>11404</v>
      </c>
    </row>
    <row r="27156">
      <c r="A27156" s="39"/>
      <c r="E27156" s="40" t="s">
        <v>11404</v>
      </c>
      <c r="F27156" s="40" t="s">
        <v>11404</v>
      </c>
      <c r="G27156" s="40" t="s">
        <v>11404</v>
      </c>
      <c r="H27156" s="40" t="s">
        <v>11404</v>
      </c>
    </row>
    <row r="27157">
      <c r="A27157" s="39"/>
      <c r="E27157" s="40" t="s">
        <v>11404</v>
      </c>
      <c r="F27157" s="40" t="s">
        <v>11404</v>
      </c>
      <c r="G27157" s="40" t="s">
        <v>11404</v>
      </c>
      <c r="H27157" s="40" t="s">
        <v>11404</v>
      </c>
    </row>
    <row r="27158">
      <c r="A27158" s="39"/>
      <c r="E27158" s="40" t="s">
        <v>11404</v>
      </c>
      <c r="F27158" s="40" t="s">
        <v>11404</v>
      </c>
      <c r="G27158" s="40" t="s">
        <v>11404</v>
      </c>
      <c r="H27158" s="40" t="s">
        <v>11404</v>
      </c>
    </row>
    <row r="27159">
      <c r="A27159" s="39"/>
      <c r="E27159" s="40" t="s">
        <v>11404</v>
      </c>
      <c r="F27159" s="40" t="s">
        <v>11404</v>
      </c>
      <c r="G27159" s="40" t="s">
        <v>11404</v>
      </c>
      <c r="H27159" s="40" t="s">
        <v>11404</v>
      </c>
    </row>
    <row r="27160">
      <c r="A27160" s="39"/>
      <c r="E27160" s="40" t="s">
        <v>11404</v>
      </c>
      <c r="F27160" s="40" t="s">
        <v>11404</v>
      </c>
      <c r="G27160" s="40" t="s">
        <v>11404</v>
      </c>
      <c r="H27160" s="40" t="s">
        <v>11404</v>
      </c>
    </row>
    <row r="27161">
      <c r="A27161" s="39"/>
      <c r="E27161" s="40" t="s">
        <v>11404</v>
      </c>
      <c r="F27161" s="40" t="s">
        <v>11404</v>
      </c>
      <c r="G27161" s="40" t="s">
        <v>11404</v>
      </c>
      <c r="H27161" s="40" t="s">
        <v>11404</v>
      </c>
    </row>
    <row r="27162">
      <c r="A27162" s="39"/>
      <c r="E27162" s="40" t="s">
        <v>11404</v>
      </c>
      <c r="F27162" s="40" t="s">
        <v>11404</v>
      </c>
      <c r="G27162" s="40" t="s">
        <v>11404</v>
      </c>
      <c r="H27162" s="40" t="s">
        <v>11404</v>
      </c>
    </row>
    <row r="27163">
      <c r="A27163" s="39"/>
      <c r="E27163" s="40" t="s">
        <v>11404</v>
      </c>
      <c r="F27163" s="40" t="s">
        <v>11404</v>
      </c>
      <c r="G27163" s="40" t="s">
        <v>11404</v>
      </c>
      <c r="H27163" s="40" t="s">
        <v>11404</v>
      </c>
    </row>
    <row r="27164">
      <c r="A27164" s="39"/>
      <c r="E27164" s="40" t="s">
        <v>11404</v>
      </c>
      <c r="F27164" s="40" t="s">
        <v>11404</v>
      </c>
      <c r="G27164" s="40" t="s">
        <v>11404</v>
      </c>
      <c r="H27164" s="40" t="s">
        <v>11404</v>
      </c>
    </row>
    <row r="27165">
      <c r="A27165" s="39"/>
      <c r="E27165" s="40" t="s">
        <v>11404</v>
      </c>
      <c r="F27165" s="40" t="s">
        <v>11404</v>
      </c>
      <c r="G27165" s="40" t="s">
        <v>11404</v>
      </c>
      <c r="H27165" s="40" t="s">
        <v>11404</v>
      </c>
    </row>
    <row r="27166">
      <c r="A27166" s="39"/>
      <c r="E27166" s="40" t="s">
        <v>11404</v>
      </c>
      <c r="F27166" s="40" t="s">
        <v>11404</v>
      </c>
      <c r="G27166" s="40" t="s">
        <v>11404</v>
      </c>
      <c r="H27166" s="40" t="s">
        <v>11404</v>
      </c>
    </row>
    <row r="27167">
      <c r="A27167" s="39"/>
      <c r="E27167" s="40" t="s">
        <v>11404</v>
      </c>
      <c r="F27167" s="40" t="s">
        <v>11404</v>
      </c>
      <c r="G27167" s="40" t="s">
        <v>11404</v>
      </c>
      <c r="H27167" s="40" t="s">
        <v>11404</v>
      </c>
    </row>
    <row r="27168">
      <c r="A27168" s="39"/>
      <c r="E27168" s="40" t="s">
        <v>11404</v>
      </c>
      <c r="F27168" s="40" t="s">
        <v>11404</v>
      </c>
      <c r="G27168" s="40" t="s">
        <v>11404</v>
      </c>
      <c r="H27168" s="40" t="s">
        <v>11404</v>
      </c>
    </row>
    <row r="27169">
      <c r="A27169" s="39"/>
      <c r="E27169" s="40" t="s">
        <v>11404</v>
      </c>
      <c r="F27169" s="40" t="s">
        <v>11404</v>
      </c>
      <c r="G27169" s="40" t="s">
        <v>11404</v>
      </c>
      <c r="H27169" s="40" t="s">
        <v>11404</v>
      </c>
    </row>
    <row r="27170">
      <c r="A27170" s="39"/>
      <c r="E27170" s="40" t="s">
        <v>11404</v>
      </c>
      <c r="F27170" s="40" t="s">
        <v>11404</v>
      </c>
      <c r="G27170" s="40" t="s">
        <v>11404</v>
      </c>
      <c r="H27170" s="40" t="s">
        <v>11404</v>
      </c>
    </row>
    <row r="27171">
      <c r="A27171" s="39"/>
      <c r="E27171" s="40" t="s">
        <v>11404</v>
      </c>
      <c r="F27171" s="40" t="s">
        <v>11404</v>
      </c>
      <c r="G27171" s="40" t="s">
        <v>11404</v>
      </c>
      <c r="H27171" s="40" t="s">
        <v>11404</v>
      </c>
    </row>
    <row r="27172">
      <c r="A27172" s="39"/>
      <c r="E27172" s="40" t="s">
        <v>11404</v>
      </c>
      <c r="F27172" s="40" t="s">
        <v>11404</v>
      </c>
      <c r="G27172" s="40" t="s">
        <v>11404</v>
      </c>
      <c r="H27172" s="40" t="s">
        <v>11404</v>
      </c>
    </row>
    <row r="27173">
      <c r="A27173" s="39"/>
      <c r="E27173" s="40" t="s">
        <v>11404</v>
      </c>
      <c r="F27173" s="40" t="s">
        <v>11404</v>
      </c>
      <c r="G27173" s="40" t="s">
        <v>11404</v>
      </c>
      <c r="H27173" s="40" t="s">
        <v>11404</v>
      </c>
    </row>
    <row r="27174">
      <c r="A27174" s="39"/>
      <c r="E27174" s="40" t="s">
        <v>11404</v>
      </c>
      <c r="F27174" s="40" t="s">
        <v>11404</v>
      </c>
      <c r="G27174" s="40" t="s">
        <v>11404</v>
      </c>
      <c r="H27174" s="40" t="s">
        <v>11404</v>
      </c>
    </row>
    <row r="27175">
      <c r="A27175" s="39"/>
      <c r="E27175" s="40" t="s">
        <v>11404</v>
      </c>
      <c r="F27175" s="40" t="s">
        <v>11404</v>
      </c>
      <c r="G27175" s="40" t="s">
        <v>11404</v>
      </c>
      <c r="H27175" s="40" t="s">
        <v>11404</v>
      </c>
    </row>
    <row r="27176">
      <c r="A27176" s="39"/>
      <c r="E27176" s="40" t="s">
        <v>11404</v>
      </c>
      <c r="F27176" s="40" t="s">
        <v>11404</v>
      </c>
      <c r="G27176" s="40" t="s">
        <v>11404</v>
      </c>
      <c r="H27176" s="40" t="s">
        <v>11404</v>
      </c>
    </row>
    <row r="27177">
      <c r="A27177" s="39"/>
      <c r="E27177" s="40" t="s">
        <v>11404</v>
      </c>
      <c r="F27177" s="40" t="s">
        <v>11404</v>
      </c>
      <c r="G27177" s="40" t="s">
        <v>11404</v>
      </c>
      <c r="H27177" s="40" t="s">
        <v>11404</v>
      </c>
    </row>
    <row r="27178">
      <c r="A27178" s="39"/>
      <c r="E27178" s="40" t="s">
        <v>11404</v>
      </c>
      <c r="F27178" s="40" t="s">
        <v>11404</v>
      </c>
      <c r="G27178" s="40" t="s">
        <v>11404</v>
      </c>
      <c r="H27178" s="40" t="s">
        <v>11404</v>
      </c>
    </row>
    <row r="27179">
      <c r="A27179" s="39"/>
      <c r="E27179" s="40" t="s">
        <v>11404</v>
      </c>
      <c r="F27179" s="40" t="s">
        <v>11404</v>
      </c>
      <c r="G27179" s="40" t="s">
        <v>11404</v>
      </c>
      <c r="H27179" s="40" t="s">
        <v>11404</v>
      </c>
    </row>
    <row r="27180">
      <c r="A27180" s="39"/>
      <c r="E27180" s="40" t="s">
        <v>11404</v>
      </c>
      <c r="F27180" s="40" t="s">
        <v>11404</v>
      </c>
      <c r="G27180" s="40" t="s">
        <v>11404</v>
      </c>
      <c r="H27180" s="40" t="s">
        <v>11404</v>
      </c>
    </row>
    <row r="27181">
      <c r="A27181" s="39"/>
      <c r="E27181" s="40" t="s">
        <v>11404</v>
      </c>
      <c r="F27181" s="40" t="s">
        <v>11404</v>
      </c>
      <c r="G27181" s="40" t="s">
        <v>11404</v>
      </c>
      <c r="H27181" s="40" t="s">
        <v>11404</v>
      </c>
    </row>
    <row r="27182">
      <c r="A27182" s="39"/>
      <c r="E27182" s="40" t="s">
        <v>11404</v>
      </c>
      <c r="F27182" s="40" t="s">
        <v>11404</v>
      </c>
      <c r="G27182" s="40" t="s">
        <v>11404</v>
      </c>
      <c r="H27182" s="40" t="s">
        <v>11404</v>
      </c>
    </row>
    <row r="27183">
      <c r="A27183" s="39"/>
      <c r="E27183" s="40" t="s">
        <v>11404</v>
      </c>
      <c r="F27183" s="40" t="s">
        <v>11404</v>
      </c>
      <c r="G27183" s="40" t="s">
        <v>11404</v>
      </c>
      <c r="H27183" s="40" t="s">
        <v>11404</v>
      </c>
    </row>
    <row r="27184">
      <c r="A27184" s="39"/>
      <c r="E27184" s="40" t="s">
        <v>11404</v>
      </c>
      <c r="F27184" s="40" t="s">
        <v>11404</v>
      </c>
      <c r="G27184" s="40" t="s">
        <v>11404</v>
      </c>
      <c r="H27184" s="40" t="s">
        <v>11404</v>
      </c>
    </row>
    <row r="27185">
      <c r="A27185" s="39"/>
      <c r="E27185" s="40" t="s">
        <v>11404</v>
      </c>
      <c r="F27185" s="40" t="s">
        <v>11404</v>
      </c>
      <c r="G27185" s="40" t="s">
        <v>11404</v>
      </c>
      <c r="H27185" s="40" t="s">
        <v>11404</v>
      </c>
    </row>
    <row r="27186">
      <c r="A27186" s="39"/>
      <c r="E27186" s="40" t="s">
        <v>11404</v>
      </c>
      <c r="F27186" s="40" t="s">
        <v>11404</v>
      </c>
      <c r="G27186" s="40" t="s">
        <v>11404</v>
      </c>
      <c r="H27186" s="40" t="s">
        <v>11404</v>
      </c>
    </row>
    <row r="27187">
      <c r="A27187" s="39"/>
      <c r="E27187" s="40" t="s">
        <v>11404</v>
      </c>
      <c r="F27187" s="40" t="s">
        <v>11404</v>
      </c>
      <c r="G27187" s="40" t="s">
        <v>11404</v>
      </c>
      <c r="H27187" s="40" t="s">
        <v>11404</v>
      </c>
    </row>
    <row r="27188">
      <c r="A27188" s="39"/>
      <c r="E27188" s="40" t="s">
        <v>11404</v>
      </c>
      <c r="F27188" s="40" t="s">
        <v>11404</v>
      </c>
      <c r="G27188" s="40" t="s">
        <v>11404</v>
      </c>
      <c r="H27188" s="40" t="s">
        <v>11404</v>
      </c>
    </row>
    <row r="27189">
      <c r="A27189" s="39"/>
      <c r="E27189" s="40" t="s">
        <v>11404</v>
      </c>
      <c r="F27189" s="40" t="s">
        <v>11404</v>
      </c>
      <c r="G27189" s="40" t="s">
        <v>11404</v>
      </c>
      <c r="H27189" s="40" t="s">
        <v>11404</v>
      </c>
    </row>
    <row r="27190">
      <c r="A27190" s="39"/>
      <c r="E27190" s="40" t="s">
        <v>11404</v>
      </c>
      <c r="F27190" s="40" t="s">
        <v>11404</v>
      </c>
      <c r="G27190" s="40" t="s">
        <v>11404</v>
      </c>
      <c r="H27190" s="40" t="s">
        <v>11404</v>
      </c>
    </row>
    <row r="27191">
      <c r="A27191" s="39"/>
      <c r="E27191" s="40" t="s">
        <v>11404</v>
      </c>
      <c r="F27191" s="40" t="s">
        <v>11404</v>
      </c>
      <c r="G27191" s="40" t="s">
        <v>11404</v>
      </c>
      <c r="H27191" s="40" t="s">
        <v>11404</v>
      </c>
    </row>
    <row r="27192">
      <c r="A27192" s="39"/>
      <c r="E27192" s="40" t="s">
        <v>11404</v>
      </c>
      <c r="F27192" s="40" t="s">
        <v>11404</v>
      </c>
      <c r="G27192" s="40" t="s">
        <v>11404</v>
      </c>
      <c r="H27192" s="40" t="s">
        <v>11404</v>
      </c>
    </row>
    <row r="27193">
      <c r="A27193" s="39"/>
      <c r="E27193" s="40" t="s">
        <v>11404</v>
      </c>
      <c r="F27193" s="40" t="s">
        <v>11404</v>
      </c>
      <c r="G27193" s="40" t="s">
        <v>11404</v>
      </c>
      <c r="H27193" s="40" t="s">
        <v>11404</v>
      </c>
    </row>
    <row r="27194">
      <c r="A27194" s="39"/>
      <c r="E27194" s="40" t="s">
        <v>11404</v>
      </c>
      <c r="F27194" s="40" t="s">
        <v>11404</v>
      </c>
      <c r="G27194" s="40" t="s">
        <v>11404</v>
      </c>
      <c r="H27194" s="40" t="s">
        <v>11404</v>
      </c>
    </row>
    <row r="27195">
      <c r="A27195" s="39"/>
      <c r="E27195" s="40" t="s">
        <v>11404</v>
      </c>
      <c r="F27195" s="40" t="s">
        <v>11404</v>
      </c>
      <c r="G27195" s="40" t="s">
        <v>11404</v>
      </c>
      <c r="H27195" s="40" t="s">
        <v>11404</v>
      </c>
    </row>
    <row r="27196">
      <c r="A27196" s="39"/>
      <c r="E27196" s="40" t="s">
        <v>11404</v>
      </c>
      <c r="F27196" s="40" t="s">
        <v>11404</v>
      </c>
      <c r="G27196" s="40" t="s">
        <v>11404</v>
      </c>
      <c r="H27196" s="40" t="s">
        <v>11404</v>
      </c>
    </row>
    <row r="27197">
      <c r="A27197" s="39"/>
      <c r="E27197" s="40" t="s">
        <v>11404</v>
      </c>
      <c r="F27197" s="40" t="s">
        <v>11404</v>
      </c>
      <c r="G27197" s="40" t="s">
        <v>11404</v>
      </c>
      <c r="H27197" s="40" t="s">
        <v>11404</v>
      </c>
    </row>
    <row r="27198">
      <c r="A27198" s="39"/>
      <c r="E27198" s="40" t="s">
        <v>11404</v>
      </c>
      <c r="F27198" s="40" t="s">
        <v>11404</v>
      </c>
      <c r="G27198" s="40" t="s">
        <v>11404</v>
      </c>
      <c r="H27198" s="40" t="s">
        <v>11404</v>
      </c>
    </row>
    <row r="27199">
      <c r="A27199" s="39"/>
      <c r="E27199" s="40" t="s">
        <v>11404</v>
      </c>
      <c r="F27199" s="40" t="s">
        <v>11404</v>
      </c>
      <c r="G27199" s="40" t="s">
        <v>11404</v>
      </c>
      <c r="H27199" s="40" t="s">
        <v>11404</v>
      </c>
    </row>
    <row r="27200">
      <c r="A27200" s="39"/>
      <c r="E27200" s="40" t="s">
        <v>11404</v>
      </c>
      <c r="F27200" s="40" t="s">
        <v>11404</v>
      </c>
      <c r="G27200" s="40" t="s">
        <v>11404</v>
      </c>
      <c r="H27200" s="40" t="s">
        <v>11404</v>
      </c>
    </row>
    <row r="27201">
      <c r="A27201" s="39"/>
      <c r="E27201" s="40" t="s">
        <v>11404</v>
      </c>
      <c r="F27201" s="40" t="s">
        <v>11404</v>
      </c>
      <c r="G27201" s="40" t="s">
        <v>11404</v>
      </c>
      <c r="H27201" s="40" t="s">
        <v>11404</v>
      </c>
    </row>
    <row r="27202">
      <c r="A27202" s="39"/>
      <c r="E27202" s="40" t="s">
        <v>11404</v>
      </c>
      <c r="F27202" s="40" t="s">
        <v>11404</v>
      </c>
      <c r="G27202" s="40" t="s">
        <v>11404</v>
      </c>
      <c r="H27202" s="40" t="s">
        <v>11404</v>
      </c>
    </row>
    <row r="27203">
      <c r="A27203" s="39"/>
      <c r="E27203" s="40" t="s">
        <v>11404</v>
      </c>
      <c r="F27203" s="40" t="s">
        <v>11404</v>
      </c>
      <c r="G27203" s="40" t="s">
        <v>11404</v>
      </c>
      <c r="H27203" s="40" t="s">
        <v>11404</v>
      </c>
    </row>
    <row r="27204">
      <c r="A27204" s="39"/>
      <c r="E27204" s="40" t="s">
        <v>11404</v>
      </c>
      <c r="F27204" s="40" t="s">
        <v>11404</v>
      </c>
      <c r="G27204" s="40" t="s">
        <v>11404</v>
      </c>
      <c r="H27204" s="40" t="s">
        <v>11404</v>
      </c>
    </row>
    <row r="27205">
      <c r="A27205" s="39"/>
      <c r="E27205" s="40" t="s">
        <v>11404</v>
      </c>
      <c r="F27205" s="40" t="s">
        <v>11404</v>
      </c>
      <c r="G27205" s="40" t="s">
        <v>11404</v>
      </c>
      <c r="H27205" s="40" t="s">
        <v>11404</v>
      </c>
    </row>
    <row r="27206">
      <c r="A27206" s="39"/>
      <c r="E27206" s="40" t="s">
        <v>11404</v>
      </c>
      <c r="F27206" s="40" t="s">
        <v>11404</v>
      </c>
      <c r="G27206" s="40" t="s">
        <v>11404</v>
      </c>
      <c r="H27206" s="40" t="s">
        <v>11404</v>
      </c>
    </row>
    <row r="27207">
      <c r="A27207" s="39"/>
      <c r="E27207" s="40" t="s">
        <v>11404</v>
      </c>
      <c r="F27207" s="40" t="s">
        <v>11404</v>
      </c>
      <c r="G27207" s="40" t="s">
        <v>11404</v>
      </c>
      <c r="H27207" s="40" t="s">
        <v>11404</v>
      </c>
    </row>
    <row r="27208">
      <c r="A27208" s="39"/>
      <c r="E27208" s="40" t="s">
        <v>11404</v>
      </c>
      <c r="F27208" s="40" t="s">
        <v>11404</v>
      </c>
      <c r="G27208" s="40" t="s">
        <v>11404</v>
      </c>
      <c r="H27208" s="40" t="s">
        <v>11404</v>
      </c>
    </row>
    <row r="27209">
      <c r="A27209" s="39"/>
      <c r="E27209" s="40" t="s">
        <v>11404</v>
      </c>
      <c r="F27209" s="40" t="s">
        <v>11404</v>
      </c>
      <c r="G27209" s="40" t="s">
        <v>11404</v>
      </c>
      <c r="H27209" s="40" t="s">
        <v>11404</v>
      </c>
    </row>
    <row r="27210">
      <c r="A27210" s="39"/>
      <c r="E27210" s="40" t="s">
        <v>11404</v>
      </c>
      <c r="F27210" s="40" t="s">
        <v>11404</v>
      </c>
      <c r="G27210" s="40" t="s">
        <v>11404</v>
      </c>
      <c r="H27210" s="40" t="s">
        <v>11404</v>
      </c>
    </row>
    <row r="27211">
      <c r="A27211" s="39"/>
      <c r="E27211" s="40" t="s">
        <v>11404</v>
      </c>
      <c r="F27211" s="40" t="s">
        <v>11404</v>
      </c>
      <c r="G27211" s="40" t="s">
        <v>11404</v>
      </c>
      <c r="H27211" s="40" t="s">
        <v>11404</v>
      </c>
    </row>
    <row r="27212">
      <c r="A27212" s="39"/>
      <c r="E27212" s="40" t="s">
        <v>11404</v>
      </c>
      <c r="F27212" s="40" t="s">
        <v>11404</v>
      </c>
      <c r="G27212" s="40" t="s">
        <v>11404</v>
      </c>
      <c r="H27212" s="40" t="s">
        <v>11404</v>
      </c>
    </row>
    <row r="27213">
      <c r="A27213" s="39"/>
      <c r="E27213" s="40" t="s">
        <v>11404</v>
      </c>
      <c r="F27213" s="40" t="s">
        <v>11404</v>
      </c>
      <c r="G27213" s="40" t="s">
        <v>11404</v>
      </c>
      <c r="H27213" s="40" t="s">
        <v>11404</v>
      </c>
    </row>
    <row r="27214">
      <c r="A27214" s="39"/>
      <c r="E27214" s="40" t="s">
        <v>11404</v>
      </c>
      <c r="F27214" s="40" t="s">
        <v>11404</v>
      </c>
      <c r="G27214" s="40" t="s">
        <v>11404</v>
      </c>
      <c r="H27214" s="40" t="s">
        <v>11404</v>
      </c>
    </row>
    <row r="27215">
      <c r="A27215" s="39"/>
      <c r="E27215" s="40" t="s">
        <v>11404</v>
      </c>
      <c r="F27215" s="40" t="s">
        <v>11404</v>
      </c>
      <c r="G27215" s="40" t="s">
        <v>11404</v>
      </c>
      <c r="H27215" s="40" t="s">
        <v>11404</v>
      </c>
    </row>
    <row r="27216">
      <c r="A27216" s="39"/>
      <c r="E27216" s="40" t="s">
        <v>11404</v>
      </c>
      <c r="F27216" s="40" t="s">
        <v>11404</v>
      </c>
      <c r="G27216" s="40" t="s">
        <v>11404</v>
      </c>
      <c r="H27216" s="40" t="s">
        <v>11404</v>
      </c>
    </row>
    <row r="27217">
      <c r="A27217" s="39"/>
      <c r="E27217" s="40" t="s">
        <v>11404</v>
      </c>
      <c r="F27217" s="40" t="s">
        <v>11404</v>
      </c>
      <c r="G27217" s="40" t="s">
        <v>11404</v>
      </c>
      <c r="H27217" s="40" t="s">
        <v>11404</v>
      </c>
    </row>
    <row r="27218">
      <c r="A27218" s="39"/>
      <c r="E27218" s="40" t="s">
        <v>11404</v>
      </c>
      <c r="F27218" s="40" t="s">
        <v>11404</v>
      </c>
      <c r="G27218" s="40" t="s">
        <v>11404</v>
      </c>
      <c r="H27218" s="40" t="s">
        <v>11404</v>
      </c>
    </row>
    <row r="27219">
      <c r="A27219" s="39"/>
      <c r="E27219" s="40" t="s">
        <v>11404</v>
      </c>
      <c r="F27219" s="40" t="s">
        <v>11404</v>
      </c>
      <c r="G27219" s="40" t="s">
        <v>11404</v>
      </c>
      <c r="H27219" s="40" t="s">
        <v>11404</v>
      </c>
    </row>
    <row r="27220">
      <c r="A27220" s="39"/>
      <c r="E27220" s="40" t="s">
        <v>11404</v>
      </c>
      <c r="F27220" s="40" t="s">
        <v>11404</v>
      </c>
      <c r="G27220" s="40" t="s">
        <v>11404</v>
      </c>
      <c r="H27220" s="40" t="s">
        <v>11404</v>
      </c>
    </row>
    <row r="27221">
      <c r="A27221" s="39"/>
      <c r="E27221" s="40" t="s">
        <v>11404</v>
      </c>
      <c r="F27221" s="40" t="s">
        <v>11404</v>
      </c>
      <c r="G27221" s="40" t="s">
        <v>11404</v>
      </c>
      <c r="H27221" s="40" t="s">
        <v>11404</v>
      </c>
    </row>
    <row r="27222">
      <c r="A27222" s="39"/>
      <c r="E27222" s="40" t="s">
        <v>11404</v>
      </c>
      <c r="F27222" s="40" t="s">
        <v>11404</v>
      </c>
      <c r="G27222" s="40" t="s">
        <v>11404</v>
      </c>
      <c r="H27222" s="40" t="s">
        <v>11404</v>
      </c>
    </row>
    <row r="27223">
      <c r="A27223" s="39"/>
      <c r="E27223" s="40" t="s">
        <v>11404</v>
      </c>
      <c r="F27223" s="40" t="s">
        <v>11404</v>
      </c>
      <c r="G27223" s="40" t="s">
        <v>11404</v>
      </c>
      <c r="H27223" s="40" t="s">
        <v>11404</v>
      </c>
    </row>
    <row r="27224">
      <c r="A27224" s="39"/>
      <c r="E27224" s="40" t="s">
        <v>11404</v>
      </c>
      <c r="F27224" s="40" t="s">
        <v>11404</v>
      </c>
      <c r="G27224" s="40" t="s">
        <v>11404</v>
      </c>
      <c r="H27224" s="40" t="s">
        <v>11404</v>
      </c>
    </row>
    <row r="27225">
      <c r="A27225" s="39"/>
      <c r="E27225" s="40" t="s">
        <v>11404</v>
      </c>
      <c r="F27225" s="40" t="s">
        <v>11404</v>
      </c>
      <c r="G27225" s="40" t="s">
        <v>11404</v>
      </c>
      <c r="H27225" s="40" t="s">
        <v>11404</v>
      </c>
    </row>
    <row r="27226">
      <c r="A27226" s="39"/>
      <c r="E27226" s="40" t="s">
        <v>11404</v>
      </c>
      <c r="F27226" s="40" t="s">
        <v>11404</v>
      </c>
      <c r="G27226" s="40" t="s">
        <v>11404</v>
      </c>
      <c r="H27226" s="40" t="s">
        <v>11404</v>
      </c>
    </row>
    <row r="27227">
      <c r="A27227" s="39"/>
      <c r="E27227" s="40" t="s">
        <v>11404</v>
      </c>
      <c r="F27227" s="40" t="s">
        <v>11404</v>
      </c>
      <c r="G27227" s="40" t="s">
        <v>11404</v>
      </c>
      <c r="H27227" s="40" t="s">
        <v>11404</v>
      </c>
    </row>
    <row r="27228">
      <c r="A27228" s="39"/>
      <c r="E27228" s="40" t="s">
        <v>11404</v>
      </c>
      <c r="F27228" s="40" t="s">
        <v>11404</v>
      </c>
      <c r="G27228" s="40" t="s">
        <v>11404</v>
      </c>
      <c r="H27228" s="40" t="s">
        <v>11404</v>
      </c>
    </row>
    <row r="27229">
      <c r="A27229" s="39"/>
      <c r="E27229" s="40" t="s">
        <v>11404</v>
      </c>
      <c r="F27229" s="40" t="s">
        <v>11404</v>
      </c>
      <c r="G27229" s="40" t="s">
        <v>11404</v>
      </c>
      <c r="H27229" s="40" t="s">
        <v>11404</v>
      </c>
    </row>
    <row r="27230">
      <c r="A27230" s="39"/>
      <c r="E27230" s="40" t="s">
        <v>11404</v>
      </c>
      <c r="F27230" s="40" t="s">
        <v>11404</v>
      </c>
      <c r="G27230" s="40" t="s">
        <v>11404</v>
      </c>
      <c r="H27230" s="40" t="s">
        <v>11404</v>
      </c>
    </row>
    <row r="27231">
      <c r="A27231" s="39"/>
      <c r="E27231" s="40" t="s">
        <v>11404</v>
      </c>
      <c r="F27231" s="40" t="s">
        <v>11404</v>
      </c>
      <c r="G27231" s="40" t="s">
        <v>11404</v>
      </c>
      <c r="H27231" s="40" t="s">
        <v>11404</v>
      </c>
    </row>
    <row r="27232">
      <c r="A27232" s="39"/>
      <c r="E27232" s="40" t="s">
        <v>11404</v>
      </c>
      <c r="F27232" s="40" t="s">
        <v>11404</v>
      </c>
      <c r="G27232" s="40" t="s">
        <v>11404</v>
      </c>
      <c r="H27232" s="40" t="s">
        <v>11404</v>
      </c>
    </row>
    <row r="27233">
      <c r="A27233" s="39"/>
      <c r="E27233" s="40" t="s">
        <v>11404</v>
      </c>
      <c r="F27233" s="40" t="s">
        <v>11404</v>
      </c>
      <c r="G27233" s="40" t="s">
        <v>11404</v>
      </c>
      <c r="H27233" s="40" t="s">
        <v>11404</v>
      </c>
    </row>
    <row r="27234">
      <c r="A27234" s="39"/>
      <c r="E27234" s="40" t="s">
        <v>11404</v>
      </c>
      <c r="F27234" s="40" t="s">
        <v>11404</v>
      </c>
      <c r="G27234" s="40" t="s">
        <v>11404</v>
      </c>
      <c r="H27234" s="40" t="s">
        <v>11404</v>
      </c>
    </row>
    <row r="27235">
      <c r="A27235" s="39"/>
      <c r="E27235" s="40" t="s">
        <v>11404</v>
      </c>
      <c r="F27235" s="40" t="s">
        <v>11404</v>
      </c>
      <c r="G27235" s="40" t="s">
        <v>11404</v>
      </c>
      <c r="H27235" s="40" t="s">
        <v>11404</v>
      </c>
    </row>
    <row r="27236">
      <c r="A27236" s="39"/>
      <c r="E27236" s="40" t="s">
        <v>11404</v>
      </c>
      <c r="F27236" s="40" t="s">
        <v>11404</v>
      </c>
      <c r="G27236" s="40" t="s">
        <v>11404</v>
      </c>
      <c r="H27236" s="40" t="s">
        <v>11404</v>
      </c>
    </row>
    <row r="27237">
      <c r="A27237" s="39"/>
      <c r="E27237" s="40" t="s">
        <v>11404</v>
      </c>
      <c r="F27237" s="40" t="s">
        <v>11404</v>
      </c>
      <c r="G27237" s="40" t="s">
        <v>11404</v>
      </c>
      <c r="H27237" s="40" t="s">
        <v>11404</v>
      </c>
    </row>
    <row r="27238">
      <c r="A27238" s="39"/>
      <c r="E27238" s="40" t="s">
        <v>11404</v>
      </c>
      <c r="F27238" s="40" t="s">
        <v>11404</v>
      </c>
      <c r="G27238" s="40" t="s">
        <v>11404</v>
      </c>
      <c r="H27238" s="40" t="s">
        <v>11404</v>
      </c>
    </row>
    <row r="27239">
      <c r="A27239" s="39"/>
      <c r="E27239" s="40" t="s">
        <v>11404</v>
      </c>
      <c r="F27239" s="40" t="s">
        <v>11404</v>
      </c>
      <c r="G27239" s="40" t="s">
        <v>11404</v>
      </c>
      <c r="H27239" s="40" t="s">
        <v>11404</v>
      </c>
    </row>
    <row r="27240">
      <c r="A27240" s="39"/>
      <c r="E27240" s="40" t="s">
        <v>11404</v>
      </c>
      <c r="F27240" s="40" t="s">
        <v>11404</v>
      </c>
      <c r="G27240" s="40" t="s">
        <v>11404</v>
      </c>
      <c r="H27240" s="40" t="s">
        <v>11404</v>
      </c>
    </row>
    <row r="27241">
      <c r="A27241" s="39"/>
      <c r="E27241" s="40" t="s">
        <v>11404</v>
      </c>
      <c r="F27241" s="40" t="s">
        <v>11404</v>
      </c>
      <c r="G27241" s="40" t="s">
        <v>11404</v>
      </c>
      <c r="H27241" s="40" t="s">
        <v>11404</v>
      </c>
    </row>
    <row r="27242">
      <c r="A27242" s="39"/>
      <c r="E27242" s="40" t="s">
        <v>11404</v>
      </c>
      <c r="F27242" s="40" t="s">
        <v>11404</v>
      </c>
      <c r="G27242" s="40" t="s">
        <v>11404</v>
      </c>
      <c r="H27242" s="40" t="s">
        <v>11404</v>
      </c>
    </row>
    <row r="27243">
      <c r="A27243" s="39"/>
      <c r="E27243" s="40" t="s">
        <v>11404</v>
      </c>
      <c r="F27243" s="40" t="s">
        <v>11404</v>
      </c>
      <c r="G27243" s="40" t="s">
        <v>11404</v>
      </c>
      <c r="H27243" s="40" t="s">
        <v>11404</v>
      </c>
    </row>
    <row r="27244">
      <c r="A27244" s="39"/>
      <c r="E27244" s="40" t="s">
        <v>11404</v>
      </c>
      <c r="F27244" s="40" t="s">
        <v>11404</v>
      </c>
      <c r="G27244" s="40" t="s">
        <v>11404</v>
      </c>
      <c r="H27244" s="40" t="s">
        <v>11404</v>
      </c>
    </row>
    <row r="27245">
      <c r="A27245" s="39"/>
      <c r="E27245" s="40" t="s">
        <v>11404</v>
      </c>
      <c r="F27245" s="40" t="s">
        <v>11404</v>
      </c>
      <c r="G27245" s="40" t="s">
        <v>11404</v>
      </c>
      <c r="H27245" s="40" t="s">
        <v>11404</v>
      </c>
    </row>
    <row r="27246">
      <c r="A27246" s="39"/>
      <c r="E27246" s="40" t="s">
        <v>11404</v>
      </c>
      <c r="F27246" s="40" t="s">
        <v>11404</v>
      </c>
      <c r="G27246" s="40" t="s">
        <v>11404</v>
      </c>
      <c r="H27246" s="40" t="s">
        <v>11404</v>
      </c>
    </row>
    <row r="27247">
      <c r="A27247" s="39"/>
      <c r="E27247" s="40" t="s">
        <v>11404</v>
      </c>
      <c r="F27247" s="40" t="s">
        <v>11404</v>
      </c>
      <c r="G27247" s="40" t="s">
        <v>11404</v>
      </c>
      <c r="H27247" s="40" t="s">
        <v>11404</v>
      </c>
    </row>
    <row r="27248">
      <c r="A27248" s="39"/>
      <c r="E27248" s="40" t="s">
        <v>11404</v>
      </c>
      <c r="F27248" s="40" t="s">
        <v>11404</v>
      </c>
      <c r="G27248" s="40" t="s">
        <v>11404</v>
      </c>
      <c r="H27248" s="40" t="s">
        <v>11404</v>
      </c>
    </row>
    <row r="27249">
      <c r="A27249" s="39"/>
      <c r="E27249" s="40" t="s">
        <v>11404</v>
      </c>
      <c r="F27249" s="40" t="s">
        <v>11404</v>
      </c>
      <c r="G27249" s="40" t="s">
        <v>11404</v>
      </c>
      <c r="H27249" s="40" t="s">
        <v>11404</v>
      </c>
    </row>
    <row r="27250">
      <c r="A27250" s="39"/>
      <c r="E27250" s="40" t="s">
        <v>11404</v>
      </c>
      <c r="F27250" s="40" t="s">
        <v>11404</v>
      </c>
      <c r="G27250" s="40" t="s">
        <v>11404</v>
      </c>
      <c r="H27250" s="40" t="s">
        <v>11404</v>
      </c>
    </row>
    <row r="27251">
      <c r="A27251" s="39"/>
      <c r="E27251" s="40" t="s">
        <v>11404</v>
      </c>
      <c r="F27251" s="40" t="s">
        <v>11404</v>
      </c>
      <c r="G27251" s="40" t="s">
        <v>11404</v>
      </c>
      <c r="H27251" s="40" t="s">
        <v>11404</v>
      </c>
    </row>
    <row r="27252">
      <c r="A27252" s="39"/>
      <c r="E27252" s="40" t="s">
        <v>11404</v>
      </c>
      <c r="F27252" s="40" t="s">
        <v>11404</v>
      </c>
      <c r="G27252" s="40" t="s">
        <v>11404</v>
      </c>
      <c r="H27252" s="40" t="s">
        <v>11404</v>
      </c>
    </row>
    <row r="27253">
      <c r="A27253" s="39"/>
      <c r="E27253" s="40" t="s">
        <v>11404</v>
      </c>
      <c r="F27253" s="40" t="s">
        <v>11404</v>
      </c>
      <c r="G27253" s="40" t="s">
        <v>11404</v>
      </c>
      <c r="H27253" s="40" t="s">
        <v>11404</v>
      </c>
    </row>
    <row r="27254">
      <c r="A27254" s="39"/>
      <c r="E27254" s="40" t="s">
        <v>11404</v>
      </c>
      <c r="F27254" s="40" t="s">
        <v>11404</v>
      </c>
      <c r="G27254" s="40" t="s">
        <v>11404</v>
      </c>
      <c r="H27254" s="40" t="s">
        <v>11404</v>
      </c>
    </row>
    <row r="27255">
      <c r="A27255" s="39"/>
      <c r="E27255" s="40" t="s">
        <v>11404</v>
      </c>
      <c r="F27255" s="40" t="s">
        <v>11404</v>
      </c>
      <c r="G27255" s="40" t="s">
        <v>11404</v>
      </c>
      <c r="H27255" s="40" t="s">
        <v>11404</v>
      </c>
    </row>
    <row r="27256">
      <c r="A27256" s="39"/>
      <c r="E27256" s="40" t="s">
        <v>11404</v>
      </c>
      <c r="F27256" s="40" t="s">
        <v>11404</v>
      </c>
      <c r="G27256" s="40" t="s">
        <v>11404</v>
      </c>
      <c r="H27256" s="40" t="s">
        <v>11404</v>
      </c>
    </row>
    <row r="27257">
      <c r="A27257" s="39"/>
      <c r="E27257" s="40" t="s">
        <v>11404</v>
      </c>
      <c r="F27257" s="40" t="s">
        <v>11404</v>
      </c>
      <c r="G27257" s="40" t="s">
        <v>11404</v>
      </c>
      <c r="H27257" s="40" t="s">
        <v>11404</v>
      </c>
    </row>
    <row r="27258">
      <c r="A27258" s="39"/>
      <c r="E27258" s="40" t="s">
        <v>11404</v>
      </c>
      <c r="F27258" s="40" t="s">
        <v>11404</v>
      </c>
      <c r="G27258" s="40" t="s">
        <v>11404</v>
      </c>
      <c r="H27258" s="40" t="s">
        <v>11404</v>
      </c>
    </row>
    <row r="27259">
      <c r="A27259" s="39"/>
      <c r="E27259" s="40" t="s">
        <v>11404</v>
      </c>
      <c r="F27259" s="40" t="s">
        <v>11404</v>
      </c>
      <c r="G27259" s="40" t="s">
        <v>11404</v>
      </c>
      <c r="H27259" s="40" t="s">
        <v>11404</v>
      </c>
    </row>
    <row r="27260">
      <c r="A27260" s="39"/>
      <c r="E27260" s="40" t="s">
        <v>11404</v>
      </c>
      <c r="F27260" s="40" t="s">
        <v>11404</v>
      </c>
      <c r="G27260" s="40" t="s">
        <v>11404</v>
      </c>
      <c r="H27260" s="40" t="s">
        <v>11404</v>
      </c>
    </row>
    <row r="27261">
      <c r="A27261" s="39"/>
      <c r="E27261" s="40" t="s">
        <v>11404</v>
      </c>
      <c r="F27261" s="40" t="s">
        <v>11404</v>
      </c>
      <c r="G27261" s="40" t="s">
        <v>11404</v>
      </c>
      <c r="H27261" s="40" t="s">
        <v>11404</v>
      </c>
    </row>
    <row r="27262">
      <c r="A27262" s="39"/>
      <c r="E27262" s="40" t="s">
        <v>11404</v>
      </c>
      <c r="F27262" s="40" t="s">
        <v>11404</v>
      </c>
      <c r="G27262" s="40" t="s">
        <v>11404</v>
      </c>
      <c r="H27262" s="40" t="s">
        <v>11404</v>
      </c>
    </row>
    <row r="27263">
      <c r="A27263" s="39"/>
      <c r="E27263" s="40" t="s">
        <v>11404</v>
      </c>
      <c r="F27263" s="40" t="s">
        <v>11404</v>
      </c>
      <c r="G27263" s="40" t="s">
        <v>11404</v>
      </c>
      <c r="H27263" s="40" t="s">
        <v>11404</v>
      </c>
    </row>
    <row r="27264">
      <c r="A27264" s="39"/>
      <c r="E27264" s="40" t="s">
        <v>11404</v>
      </c>
      <c r="F27264" s="40" t="s">
        <v>11404</v>
      </c>
      <c r="G27264" s="40" t="s">
        <v>11404</v>
      </c>
      <c r="H27264" s="40" t="s">
        <v>11404</v>
      </c>
    </row>
    <row r="27265">
      <c r="A27265" s="39"/>
      <c r="E27265" s="40" t="s">
        <v>11404</v>
      </c>
      <c r="F27265" s="40" t="s">
        <v>11404</v>
      </c>
      <c r="G27265" s="40" t="s">
        <v>11404</v>
      </c>
      <c r="H27265" s="40" t="s">
        <v>11404</v>
      </c>
    </row>
    <row r="27266">
      <c r="A27266" s="39"/>
      <c r="E27266" s="40" t="s">
        <v>11404</v>
      </c>
      <c r="F27266" s="40" t="s">
        <v>11404</v>
      </c>
      <c r="G27266" s="40" t="s">
        <v>11404</v>
      </c>
      <c r="H27266" s="40" t="s">
        <v>11404</v>
      </c>
    </row>
    <row r="27267">
      <c r="A27267" s="39"/>
      <c r="E27267" s="40" t="s">
        <v>11404</v>
      </c>
      <c r="F27267" s="40" t="s">
        <v>11404</v>
      </c>
      <c r="G27267" s="40" t="s">
        <v>11404</v>
      </c>
      <c r="H27267" s="40" t="s">
        <v>11404</v>
      </c>
    </row>
    <row r="27268">
      <c r="A27268" s="39"/>
      <c r="E27268" s="40" t="s">
        <v>11404</v>
      </c>
      <c r="F27268" s="40" t="s">
        <v>11404</v>
      </c>
      <c r="G27268" s="40" t="s">
        <v>11404</v>
      </c>
      <c r="H27268" s="40" t="s">
        <v>11404</v>
      </c>
    </row>
    <row r="27269">
      <c r="A27269" s="39"/>
      <c r="E27269" s="40" t="s">
        <v>11404</v>
      </c>
      <c r="F27269" s="40" t="s">
        <v>11404</v>
      </c>
      <c r="G27269" s="40" t="s">
        <v>11404</v>
      </c>
      <c r="H27269" s="40" t="s">
        <v>11404</v>
      </c>
    </row>
    <row r="27270">
      <c r="A27270" s="39"/>
      <c r="E27270" s="40" t="s">
        <v>11404</v>
      </c>
      <c r="F27270" s="40" t="s">
        <v>11404</v>
      </c>
      <c r="G27270" s="40" t="s">
        <v>11404</v>
      </c>
      <c r="H27270" s="40" t="s">
        <v>11404</v>
      </c>
    </row>
    <row r="27271">
      <c r="A27271" s="39"/>
      <c r="E27271" s="40" t="s">
        <v>11404</v>
      </c>
      <c r="F27271" s="40" t="s">
        <v>11404</v>
      </c>
      <c r="G27271" s="40" t="s">
        <v>11404</v>
      </c>
      <c r="H27271" s="40" t="s">
        <v>11404</v>
      </c>
    </row>
    <row r="27272">
      <c r="A27272" s="39"/>
      <c r="E27272" s="40" t="s">
        <v>11404</v>
      </c>
      <c r="F27272" s="40" t="s">
        <v>11404</v>
      </c>
      <c r="G27272" s="40" t="s">
        <v>11404</v>
      </c>
      <c r="H27272" s="40" t="s">
        <v>11404</v>
      </c>
    </row>
    <row r="27273">
      <c r="A27273" s="39"/>
      <c r="E27273" s="40" t="s">
        <v>11404</v>
      </c>
      <c r="F27273" s="40" t="s">
        <v>11404</v>
      </c>
      <c r="G27273" s="40" t="s">
        <v>11404</v>
      </c>
      <c r="H27273" s="40" t="s">
        <v>11404</v>
      </c>
    </row>
    <row r="27274">
      <c r="A27274" s="39"/>
      <c r="E27274" s="40" t="s">
        <v>11404</v>
      </c>
      <c r="F27274" s="40" t="s">
        <v>11404</v>
      </c>
      <c r="G27274" s="40" t="s">
        <v>11404</v>
      </c>
      <c r="H27274" s="40" t="s">
        <v>11404</v>
      </c>
    </row>
    <row r="27275">
      <c r="A27275" s="39"/>
      <c r="E27275" s="40" t="s">
        <v>11404</v>
      </c>
      <c r="F27275" s="40" t="s">
        <v>11404</v>
      </c>
      <c r="G27275" s="40" t="s">
        <v>11404</v>
      </c>
      <c r="H27275" s="40" t="s">
        <v>11404</v>
      </c>
    </row>
    <row r="27276">
      <c r="A27276" s="39"/>
      <c r="E27276" s="40" t="s">
        <v>11404</v>
      </c>
      <c r="F27276" s="40" t="s">
        <v>11404</v>
      </c>
      <c r="G27276" s="40" t="s">
        <v>11404</v>
      </c>
      <c r="H27276" s="40" t="s">
        <v>11404</v>
      </c>
    </row>
    <row r="27277">
      <c r="A27277" s="39"/>
      <c r="E27277" s="40" t="s">
        <v>11404</v>
      </c>
      <c r="F27277" s="40" t="s">
        <v>11404</v>
      </c>
      <c r="G27277" s="40" t="s">
        <v>11404</v>
      </c>
      <c r="H27277" s="40" t="s">
        <v>11404</v>
      </c>
    </row>
    <row r="27278">
      <c r="A27278" s="39"/>
      <c r="E27278" s="40" t="s">
        <v>11404</v>
      </c>
      <c r="F27278" s="40" t="s">
        <v>11404</v>
      </c>
      <c r="G27278" s="40" t="s">
        <v>11404</v>
      </c>
      <c r="H27278" s="40" t="s">
        <v>11404</v>
      </c>
    </row>
    <row r="27279">
      <c r="A27279" s="39"/>
      <c r="E27279" s="40" t="s">
        <v>11404</v>
      </c>
      <c r="F27279" s="40" t="s">
        <v>11404</v>
      </c>
      <c r="G27279" s="40" t="s">
        <v>11404</v>
      </c>
      <c r="H27279" s="40" t="s">
        <v>11404</v>
      </c>
    </row>
    <row r="27280">
      <c r="A27280" s="39"/>
      <c r="E27280" s="40" t="s">
        <v>11404</v>
      </c>
      <c r="F27280" s="40" t="s">
        <v>11404</v>
      </c>
      <c r="G27280" s="40" t="s">
        <v>11404</v>
      </c>
      <c r="H27280" s="40" t="s">
        <v>11404</v>
      </c>
    </row>
    <row r="27281">
      <c r="A27281" s="39"/>
      <c r="E27281" s="40" t="s">
        <v>11404</v>
      </c>
      <c r="F27281" s="40" t="s">
        <v>11404</v>
      </c>
      <c r="G27281" s="40" t="s">
        <v>11404</v>
      </c>
      <c r="H27281" s="40" t="s">
        <v>11404</v>
      </c>
    </row>
    <row r="27282">
      <c r="A27282" s="39"/>
      <c r="E27282" s="40" t="s">
        <v>11404</v>
      </c>
      <c r="F27282" s="40" t="s">
        <v>11404</v>
      </c>
      <c r="G27282" s="40" t="s">
        <v>11404</v>
      </c>
      <c r="H27282" s="40" t="s">
        <v>11404</v>
      </c>
    </row>
    <row r="27283">
      <c r="A27283" s="39"/>
      <c r="E27283" s="40" t="s">
        <v>11404</v>
      </c>
      <c r="F27283" s="40" t="s">
        <v>11404</v>
      </c>
      <c r="G27283" s="40" t="s">
        <v>11404</v>
      </c>
      <c r="H27283" s="40" t="s">
        <v>11404</v>
      </c>
    </row>
    <row r="27284">
      <c r="A27284" s="39"/>
      <c r="E27284" s="40" t="s">
        <v>11404</v>
      </c>
      <c r="F27284" s="40" t="s">
        <v>11404</v>
      </c>
      <c r="G27284" s="40" t="s">
        <v>11404</v>
      </c>
      <c r="H27284" s="40" t="s">
        <v>11404</v>
      </c>
    </row>
    <row r="27285">
      <c r="A27285" s="39"/>
      <c r="E27285" s="40" t="s">
        <v>11404</v>
      </c>
      <c r="F27285" s="40" t="s">
        <v>11404</v>
      </c>
      <c r="G27285" s="40" t="s">
        <v>11404</v>
      </c>
      <c r="H27285" s="40" t="s">
        <v>11404</v>
      </c>
    </row>
    <row r="27286">
      <c r="A27286" s="39"/>
      <c r="E27286" s="40" t="s">
        <v>11404</v>
      </c>
      <c r="F27286" s="40" t="s">
        <v>11404</v>
      </c>
      <c r="G27286" s="40" t="s">
        <v>11404</v>
      </c>
      <c r="H27286" s="40" t="s">
        <v>11404</v>
      </c>
    </row>
    <row r="27287">
      <c r="A27287" s="39"/>
      <c r="E27287" s="40" t="s">
        <v>11404</v>
      </c>
      <c r="F27287" s="40" t="s">
        <v>11404</v>
      </c>
      <c r="G27287" s="40" t="s">
        <v>11404</v>
      </c>
      <c r="H27287" s="40" t="s">
        <v>11404</v>
      </c>
    </row>
    <row r="27288">
      <c r="A27288" s="39"/>
      <c r="E27288" s="40" t="s">
        <v>11404</v>
      </c>
      <c r="F27288" s="40" t="s">
        <v>11404</v>
      </c>
      <c r="G27288" s="40" t="s">
        <v>11404</v>
      </c>
      <c r="H27288" s="40" t="s">
        <v>11404</v>
      </c>
    </row>
    <row r="27289">
      <c r="A27289" s="39"/>
      <c r="E27289" s="40" t="s">
        <v>11404</v>
      </c>
      <c r="F27289" s="40" t="s">
        <v>11404</v>
      </c>
      <c r="G27289" s="40" t="s">
        <v>11404</v>
      </c>
      <c r="H27289" s="40" t="s">
        <v>11404</v>
      </c>
    </row>
    <row r="27290">
      <c r="A27290" s="39"/>
      <c r="E27290" s="40" t="s">
        <v>11404</v>
      </c>
      <c r="F27290" s="40" t="s">
        <v>11404</v>
      </c>
      <c r="G27290" s="40" t="s">
        <v>11404</v>
      </c>
      <c r="H27290" s="40" t="s">
        <v>11404</v>
      </c>
    </row>
    <row r="27291">
      <c r="A27291" s="39"/>
      <c r="E27291" s="40" t="s">
        <v>11404</v>
      </c>
      <c r="F27291" s="40" t="s">
        <v>11404</v>
      </c>
      <c r="G27291" s="40" t="s">
        <v>11404</v>
      </c>
      <c r="H27291" s="40" t="s">
        <v>11404</v>
      </c>
    </row>
    <row r="27292">
      <c r="A27292" s="39"/>
      <c r="E27292" s="40" t="s">
        <v>11404</v>
      </c>
      <c r="F27292" s="40" t="s">
        <v>11404</v>
      </c>
      <c r="G27292" s="40" t="s">
        <v>11404</v>
      </c>
      <c r="H27292" s="40" t="s">
        <v>11404</v>
      </c>
    </row>
    <row r="27293">
      <c r="A27293" s="39"/>
      <c r="E27293" s="40" t="s">
        <v>11404</v>
      </c>
      <c r="F27293" s="40" t="s">
        <v>11404</v>
      </c>
      <c r="G27293" s="40" t="s">
        <v>11404</v>
      </c>
      <c r="H27293" s="40" t="s">
        <v>11404</v>
      </c>
    </row>
    <row r="27294">
      <c r="A27294" s="39"/>
      <c r="E27294" s="40" t="s">
        <v>11404</v>
      </c>
      <c r="F27294" s="40" t="s">
        <v>11404</v>
      </c>
      <c r="G27294" s="40" t="s">
        <v>11404</v>
      </c>
      <c r="H27294" s="40" t="s">
        <v>11404</v>
      </c>
    </row>
    <row r="27295">
      <c r="A27295" s="39"/>
      <c r="E27295" s="40" t="s">
        <v>11404</v>
      </c>
      <c r="F27295" s="40" t="s">
        <v>11404</v>
      </c>
      <c r="G27295" s="40" t="s">
        <v>11404</v>
      </c>
      <c r="H27295" s="40" t="s">
        <v>11404</v>
      </c>
    </row>
    <row r="27296">
      <c r="A27296" s="39"/>
      <c r="E27296" s="40" t="s">
        <v>11404</v>
      </c>
      <c r="F27296" s="40" t="s">
        <v>11404</v>
      </c>
      <c r="G27296" s="40" t="s">
        <v>11404</v>
      </c>
      <c r="H27296" s="40" t="s">
        <v>11404</v>
      </c>
    </row>
    <row r="27297">
      <c r="A27297" s="39"/>
      <c r="E27297" s="40" t="s">
        <v>11404</v>
      </c>
      <c r="F27297" s="40" t="s">
        <v>11404</v>
      </c>
      <c r="G27297" s="40" t="s">
        <v>11404</v>
      </c>
      <c r="H27297" s="40" t="s">
        <v>11404</v>
      </c>
    </row>
    <row r="27298">
      <c r="A27298" s="39"/>
      <c r="E27298" s="40" t="s">
        <v>11404</v>
      </c>
      <c r="F27298" s="40" t="s">
        <v>11404</v>
      </c>
      <c r="G27298" s="40" t="s">
        <v>11404</v>
      </c>
      <c r="H27298" s="40" t="s">
        <v>11404</v>
      </c>
    </row>
    <row r="27299">
      <c r="A27299" s="39"/>
      <c r="E27299" s="40" t="s">
        <v>11404</v>
      </c>
      <c r="F27299" s="40" t="s">
        <v>11404</v>
      </c>
      <c r="G27299" s="40" t="s">
        <v>11404</v>
      </c>
      <c r="H27299" s="40" t="s">
        <v>11404</v>
      </c>
    </row>
    <row r="27300">
      <c r="A27300" s="39"/>
      <c r="E27300" s="40" t="s">
        <v>11404</v>
      </c>
      <c r="F27300" s="40" t="s">
        <v>11404</v>
      </c>
      <c r="G27300" s="40" t="s">
        <v>11404</v>
      </c>
      <c r="H27300" s="40" t="s">
        <v>11404</v>
      </c>
    </row>
    <row r="27301">
      <c r="A27301" s="39"/>
      <c r="E27301" s="40" t="s">
        <v>11404</v>
      </c>
      <c r="F27301" s="40" t="s">
        <v>11404</v>
      </c>
      <c r="G27301" s="40" t="s">
        <v>11404</v>
      </c>
      <c r="H27301" s="40" t="s">
        <v>11404</v>
      </c>
    </row>
    <row r="27302">
      <c r="A27302" s="39"/>
      <c r="E27302" s="40" t="s">
        <v>11404</v>
      </c>
      <c r="F27302" s="40" t="s">
        <v>11404</v>
      </c>
      <c r="G27302" s="40" t="s">
        <v>11404</v>
      </c>
      <c r="H27302" s="40" t="s">
        <v>11404</v>
      </c>
    </row>
    <row r="27303">
      <c r="A27303" s="39"/>
      <c r="E27303" s="40" t="s">
        <v>11404</v>
      </c>
      <c r="F27303" s="40" t="s">
        <v>11404</v>
      </c>
      <c r="G27303" s="40" t="s">
        <v>11404</v>
      </c>
      <c r="H27303" s="40" t="s">
        <v>11404</v>
      </c>
    </row>
    <row r="27304">
      <c r="A27304" s="39"/>
      <c r="E27304" s="40" t="s">
        <v>11404</v>
      </c>
      <c r="F27304" s="40" t="s">
        <v>11404</v>
      </c>
      <c r="G27304" s="40" t="s">
        <v>11404</v>
      </c>
      <c r="H27304" s="40" t="s">
        <v>11404</v>
      </c>
    </row>
    <row r="27305">
      <c r="A27305" s="39"/>
      <c r="E27305" s="40" t="s">
        <v>11404</v>
      </c>
      <c r="F27305" s="40" t="s">
        <v>11404</v>
      </c>
      <c r="G27305" s="40" t="s">
        <v>11404</v>
      </c>
      <c r="H27305" s="40" t="s">
        <v>11404</v>
      </c>
    </row>
    <row r="27306">
      <c r="A27306" s="39"/>
      <c r="E27306" s="40" t="s">
        <v>11404</v>
      </c>
      <c r="F27306" s="40" t="s">
        <v>11404</v>
      </c>
      <c r="G27306" s="40" t="s">
        <v>11404</v>
      </c>
      <c r="H27306" s="40" t="s">
        <v>11404</v>
      </c>
    </row>
    <row r="27307">
      <c r="A27307" s="39"/>
      <c r="E27307" s="40" t="s">
        <v>11404</v>
      </c>
      <c r="F27307" s="40" t="s">
        <v>11404</v>
      </c>
      <c r="G27307" s="40" t="s">
        <v>11404</v>
      </c>
      <c r="H27307" s="40" t="s">
        <v>11404</v>
      </c>
    </row>
    <row r="27308">
      <c r="A27308" s="39"/>
      <c r="E27308" s="40" t="s">
        <v>11404</v>
      </c>
      <c r="F27308" s="40" t="s">
        <v>11404</v>
      </c>
      <c r="G27308" s="40" t="s">
        <v>11404</v>
      </c>
      <c r="H27308" s="40" t="s">
        <v>11404</v>
      </c>
    </row>
    <row r="27309">
      <c r="A27309" s="39"/>
      <c r="E27309" s="40" t="s">
        <v>11404</v>
      </c>
      <c r="F27309" s="40" t="s">
        <v>11404</v>
      </c>
      <c r="G27309" s="40" t="s">
        <v>11404</v>
      </c>
      <c r="H27309" s="40" t="s">
        <v>11404</v>
      </c>
    </row>
    <row r="27310">
      <c r="A27310" s="39"/>
      <c r="E27310" s="40" t="s">
        <v>11404</v>
      </c>
      <c r="F27310" s="40" t="s">
        <v>11404</v>
      </c>
      <c r="G27310" s="40" t="s">
        <v>11404</v>
      </c>
      <c r="H27310" s="40" t="s">
        <v>11404</v>
      </c>
    </row>
    <row r="27311">
      <c r="A27311" s="39"/>
      <c r="E27311" s="40" t="s">
        <v>11404</v>
      </c>
      <c r="F27311" s="40" t="s">
        <v>11404</v>
      </c>
      <c r="G27311" s="40" t="s">
        <v>11404</v>
      </c>
      <c r="H27311" s="40" t="s">
        <v>11404</v>
      </c>
    </row>
    <row r="27312">
      <c r="A27312" s="39"/>
      <c r="E27312" s="40" t="s">
        <v>11404</v>
      </c>
      <c r="F27312" s="40" t="s">
        <v>11404</v>
      </c>
      <c r="G27312" s="40" t="s">
        <v>11404</v>
      </c>
      <c r="H27312" s="40" t="s">
        <v>11404</v>
      </c>
    </row>
    <row r="27313">
      <c r="A27313" s="39"/>
      <c r="E27313" s="40" t="s">
        <v>11404</v>
      </c>
      <c r="F27313" s="40" t="s">
        <v>11404</v>
      </c>
      <c r="G27313" s="40" t="s">
        <v>11404</v>
      </c>
      <c r="H27313" s="40" t="s">
        <v>11404</v>
      </c>
    </row>
    <row r="27314">
      <c r="A27314" s="39"/>
      <c r="E27314" s="40" t="s">
        <v>11404</v>
      </c>
      <c r="F27314" s="40" t="s">
        <v>11404</v>
      </c>
      <c r="G27314" s="40" t="s">
        <v>11404</v>
      </c>
      <c r="H27314" s="40" t="s">
        <v>11404</v>
      </c>
    </row>
    <row r="27315">
      <c r="A27315" s="39"/>
      <c r="E27315" s="40" t="s">
        <v>11404</v>
      </c>
      <c r="F27315" s="40" t="s">
        <v>11404</v>
      </c>
      <c r="G27315" s="40" t="s">
        <v>11404</v>
      </c>
      <c r="H27315" s="40" t="s">
        <v>11404</v>
      </c>
    </row>
    <row r="27316">
      <c r="A27316" s="39"/>
      <c r="E27316" s="40" t="s">
        <v>11404</v>
      </c>
      <c r="F27316" s="40" t="s">
        <v>11404</v>
      </c>
      <c r="G27316" s="40" t="s">
        <v>11404</v>
      </c>
      <c r="H27316" s="40" t="s">
        <v>11404</v>
      </c>
    </row>
    <row r="27317">
      <c r="A27317" s="39"/>
      <c r="E27317" s="40" t="s">
        <v>11404</v>
      </c>
      <c r="F27317" s="40" t="s">
        <v>11404</v>
      </c>
      <c r="G27317" s="40" t="s">
        <v>11404</v>
      </c>
      <c r="H27317" s="40" t="s">
        <v>11404</v>
      </c>
    </row>
    <row r="27318">
      <c r="A27318" s="39"/>
      <c r="E27318" s="40" t="s">
        <v>11404</v>
      </c>
      <c r="F27318" s="40" t="s">
        <v>11404</v>
      </c>
      <c r="G27318" s="40" t="s">
        <v>11404</v>
      </c>
      <c r="H27318" s="40" t="s">
        <v>11404</v>
      </c>
    </row>
    <row r="27319">
      <c r="A27319" s="39"/>
      <c r="E27319" s="40" t="s">
        <v>11404</v>
      </c>
      <c r="F27319" s="40" t="s">
        <v>11404</v>
      </c>
      <c r="G27319" s="40" t="s">
        <v>11404</v>
      </c>
      <c r="H27319" s="40" t="s">
        <v>11404</v>
      </c>
    </row>
    <row r="27320">
      <c r="A27320" s="39"/>
      <c r="E27320" s="40" t="s">
        <v>11404</v>
      </c>
      <c r="F27320" s="40" t="s">
        <v>11404</v>
      </c>
      <c r="G27320" s="40" t="s">
        <v>11404</v>
      </c>
      <c r="H27320" s="40" t="s">
        <v>11404</v>
      </c>
    </row>
    <row r="27321">
      <c r="A27321" s="39"/>
      <c r="E27321" s="40" t="s">
        <v>11404</v>
      </c>
      <c r="F27321" s="40" t="s">
        <v>11404</v>
      </c>
      <c r="G27321" s="40" t="s">
        <v>11404</v>
      </c>
      <c r="H27321" s="40" t="s">
        <v>11404</v>
      </c>
    </row>
    <row r="27322">
      <c r="A27322" s="39"/>
      <c r="E27322" s="40" t="s">
        <v>11404</v>
      </c>
      <c r="F27322" s="40" t="s">
        <v>11404</v>
      </c>
      <c r="G27322" s="40" t="s">
        <v>11404</v>
      </c>
      <c r="H27322" s="40" t="s">
        <v>11404</v>
      </c>
    </row>
    <row r="27323">
      <c r="A27323" s="39"/>
      <c r="E27323" s="40" t="s">
        <v>11404</v>
      </c>
      <c r="F27323" s="40" t="s">
        <v>11404</v>
      </c>
      <c r="G27323" s="40" t="s">
        <v>11404</v>
      </c>
      <c r="H27323" s="40" t="s">
        <v>11404</v>
      </c>
    </row>
    <row r="27324">
      <c r="A27324" s="39"/>
      <c r="E27324" s="40" t="s">
        <v>11404</v>
      </c>
      <c r="F27324" s="40" t="s">
        <v>11404</v>
      </c>
      <c r="G27324" s="40" t="s">
        <v>11404</v>
      </c>
      <c r="H27324" s="40" t="s">
        <v>11404</v>
      </c>
    </row>
    <row r="27325">
      <c r="A27325" s="39"/>
      <c r="E27325" s="40" t="s">
        <v>11404</v>
      </c>
      <c r="F27325" s="40" t="s">
        <v>11404</v>
      </c>
      <c r="G27325" s="40" t="s">
        <v>11404</v>
      </c>
      <c r="H27325" s="40" t="s">
        <v>11404</v>
      </c>
    </row>
    <row r="27326">
      <c r="A27326" s="39"/>
      <c r="E27326" s="40" t="s">
        <v>11404</v>
      </c>
      <c r="F27326" s="40" t="s">
        <v>11404</v>
      </c>
      <c r="G27326" s="40" t="s">
        <v>11404</v>
      </c>
      <c r="H27326" s="40" t="s">
        <v>11404</v>
      </c>
    </row>
    <row r="27327">
      <c r="A27327" s="39"/>
      <c r="E27327" s="40" t="s">
        <v>11404</v>
      </c>
      <c r="F27327" s="40" t="s">
        <v>11404</v>
      </c>
      <c r="G27327" s="40" t="s">
        <v>11404</v>
      </c>
      <c r="H27327" s="40" t="s">
        <v>11404</v>
      </c>
    </row>
    <row r="27328">
      <c r="A27328" s="39"/>
      <c r="E27328" s="40" t="s">
        <v>11404</v>
      </c>
      <c r="F27328" s="40" t="s">
        <v>11404</v>
      </c>
      <c r="G27328" s="40" t="s">
        <v>11404</v>
      </c>
      <c r="H27328" s="40" t="s">
        <v>11404</v>
      </c>
    </row>
    <row r="27329">
      <c r="A27329" s="39"/>
      <c r="E27329" s="40" t="s">
        <v>11404</v>
      </c>
      <c r="F27329" s="40" t="s">
        <v>11404</v>
      </c>
      <c r="G27329" s="40" t="s">
        <v>11404</v>
      </c>
      <c r="H27329" s="40" t="s">
        <v>11404</v>
      </c>
    </row>
    <row r="27330">
      <c r="A27330" s="39"/>
      <c r="E27330" s="40" t="s">
        <v>11404</v>
      </c>
      <c r="F27330" s="40" t="s">
        <v>11404</v>
      </c>
      <c r="G27330" s="40" t="s">
        <v>11404</v>
      </c>
      <c r="H27330" s="40" t="s">
        <v>11404</v>
      </c>
    </row>
    <row r="27331">
      <c r="A27331" s="39"/>
      <c r="E27331" s="40" t="s">
        <v>11404</v>
      </c>
      <c r="F27331" s="40" t="s">
        <v>11404</v>
      </c>
      <c r="G27331" s="40" t="s">
        <v>11404</v>
      </c>
      <c r="H27331" s="40" t="s">
        <v>11404</v>
      </c>
    </row>
    <row r="27332">
      <c r="A27332" s="39"/>
      <c r="E27332" s="40" t="s">
        <v>11404</v>
      </c>
      <c r="F27332" s="40" t="s">
        <v>11404</v>
      </c>
      <c r="G27332" s="40" t="s">
        <v>11404</v>
      </c>
      <c r="H27332" s="40" t="s">
        <v>11404</v>
      </c>
    </row>
    <row r="27333">
      <c r="A27333" s="39"/>
      <c r="E27333" s="40" t="s">
        <v>11404</v>
      </c>
      <c r="F27333" s="40" t="s">
        <v>11404</v>
      </c>
      <c r="G27333" s="40" t="s">
        <v>11404</v>
      </c>
      <c r="H27333" s="40" t="s">
        <v>11404</v>
      </c>
    </row>
    <row r="27334">
      <c r="A27334" s="39"/>
      <c r="E27334" s="40" t="s">
        <v>11404</v>
      </c>
      <c r="F27334" s="40" t="s">
        <v>11404</v>
      </c>
      <c r="G27334" s="40" t="s">
        <v>11404</v>
      </c>
      <c r="H27334" s="40" t="s">
        <v>11404</v>
      </c>
    </row>
    <row r="27335">
      <c r="A27335" s="39"/>
      <c r="E27335" s="40" t="s">
        <v>11404</v>
      </c>
      <c r="F27335" s="40" t="s">
        <v>11404</v>
      </c>
      <c r="G27335" s="40" t="s">
        <v>11404</v>
      </c>
      <c r="H27335" s="40" t="s">
        <v>11404</v>
      </c>
    </row>
    <row r="27336">
      <c r="A27336" s="39"/>
      <c r="E27336" s="40" t="s">
        <v>11404</v>
      </c>
      <c r="F27336" s="40" t="s">
        <v>11404</v>
      </c>
      <c r="G27336" s="40" t="s">
        <v>11404</v>
      </c>
      <c r="H27336" s="40" t="s">
        <v>11404</v>
      </c>
    </row>
    <row r="27337">
      <c r="A27337" s="39"/>
      <c r="E27337" s="40" t="s">
        <v>11404</v>
      </c>
      <c r="F27337" s="40" t="s">
        <v>11404</v>
      </c>
      <c r="G27337" s="40" t="s">
        <v>11404</v>
      </c>
      <c r="H27337" s="40" t="s">
        <v>11404</v>
      </c>
    </row>
    <row r="27338">
      <c r="A27338" s="39"/>
      <c r="E27338" s="40" t="s">
        <v>11404</v>
      </c>
      <c r="F27338" s="40" t="s">
        <v>11404</v>
      </c>
      <c r="G27338" s="40" t="s">
        <v>11404</v>
      </c>
      <c r="H27338" s="40" t="s">
        <v>11404</v>
      </c>
    </row>
    <row r="27339">
      <c r="A27339" s="39"/>
      <c r="E27339" s="40" t="s">
        <v>11404</v>
      </c>
      <c r="F27339" s="40" t="s">
        <v>11404</v>
      </c>
      <c r="G27339" s="40" t="s">
        <v>11404</v>
      </c>
      <c r="H27339" s="40" t="s">
        <v>11404</v>
      </c>
    </row>
    <row r="27340">
      <c r="A27340" s="39"/>
      <c r="E27340" s="40" t="s">
        <v>11404</v>
      </c>
      <c r="F27340" s="40" t="s">
        <v>11404</v>
      </c>
      <c r="G27340" s="40" t="s">
        <v>11404</v>
      </c>
      <c r="H27340" s="40" t="s">
        <v>11404</v>
      </c>
    </row>
    <row r="27341">
      <c r="A27341" s="39"/>
      <c r="E27341" s="40" t="s">
        <v>11404</v>
      </c>
      <c r="F27341" s="40" t="s">
        <v>11404</v>
      </c>
      <c r="G27341" s="40" t="s">
        <v>11404</v>
      </c>
      <c r="H27341" s="40" t="s">
        <v>11404</v>
      </c>
    </row>
    <row r="27342">
      <c r="A27342" s="39"/>
      <c r="E27342" s="40" t="s">
        <v>11404</v>
      </c>
      <c r="F27342" s="40" t="s">
        <v>11404</v>
      </c>
      <c r="G27342" s="40" t="s">
        <v>11404</v>
      </c>
      <c r="H27342" s="40" t="s">
        <v>11404</v>
      </c>
    </row>
    <row r="27343">
      <c r="A27343" s="39"/>
      <c r="E27343" s="40" t="s">
        <v>11404</v>
      </c>
      <c r="F27343" s="40" t="s">
        <v>11404</v>
      </c>
      <c r="G27343" s="40" t="s">
        <v>11404</v>
      </c>
      <c r="H27343" s="40" t="s">
        <v>11404</v>
      </c>
    </row>
    <row r="27344">
      <c r="A27344" s="39"/>
      <c r="E27344" s="40" t="s">
        <v>11404</v>
      </c>
      <c r="F27344" s="40" t="s">
        <v>11404</v>
      </c>
      <c r="G27344" s="40" t="s">
        <v>11404</v>
      </c>
      <c r="H27344" s="40" t="s">
        <v>11404</v>
      </c>
    </row>
    <row r="27345">
      <c r="A27345" s="39"/>
      <c r="E27345" s="40" t="s">
        <v>11404</v>
      </c>
      <c r="F27345" s="40" t="s">
        <v>11404</v>
      </c>
      <c r="G27345" s="40" t="s">
        <v>11404</v>
      </c>
      <c r="H27345" s="40" t="s">
        <v>11404</v>
      </c>
    </row>
    <row r="27346">
      <c r="A27346" s="39"/>
      <c r="E27346" s="40" t="s">
        <v>11404</v>
      </c>
      <c r="F27346" s="40" t="s">
        <v>11404</v>
      </c>
      <c r="G27346" s="40" t="s">
        <v>11404</v>
      </c>
      <c r="H27346" s="40" t="s">
        <v>11404</v>
      </c>
    </row>
    <row r="27347">
      <c r="A27347" s="39"/>
      <c r="E27347" s="40" t="s">
        <v>11404</v>
      </c>
      <c r="F27347" s="40" t="s">
        <v>11404</v>
      </c>
      <c r="G27347" s="40" t="s">
        <v>11404</v>
      </c>
      <c r="H27347" s="40" t="s">
        <v>11404</v>
      </c>
    </row>
    <row r="27348">
      <c r="A27348" s="39"/>
      <c r="E27348" s="40" t="s">
        <v>11404</v>
      </c>
      <c r="F27348" s="40" t="s">
        <v>11404</v>
      </c>
      <c r="G27348" s="40" t="s">
        <v>11404</v>
      </c>
      <c r="H27348" s="40" t="s">
        <v>11404</v>
      </c>
    </row>
    <row r="27349">
      <c r="A27349" s="39"/>
      <c r="E27349" s="40" t="s">
        <v>11404</v>
      </c>
      <c r="F27349" s="40" t="s">
        <v>11404</v>
      </c>
      <c r="G27349" s="40" t="s">
        <v>11404</v>
      </c>
      <c r="H27349" s="40" t="s">
        <v>11404</v>
      </c>
    </row>
    <row r="27350">
      <c r="A27350" s="39"/>
      <c r="E27350" s="40" t="s">
        <v>11404</v>
      </c>
      <c r="F27350" s="40" t="s">
        <v>11404</v>
      </c>
      <c r="G27350" s="40" t="s">
        <v>11404</v>
      </c>
      <c r="H27350" s="40" t="s">
        <v>11404</v>
      </c>
    </row>
    <row r="27351">
      <c r="A27351" s="39"/>
      <c r="E27351" s="40" t="s">
        <v>11404</v>
      </c>
      <c r="F27351" s="40" t="s">
        <v>11404</v>
      </c>
      <c r="G27351" s="40" t="s">
        <v>11404</v>
      </c>
      <c r="H27351" s="40" t="s">
        <v>11404</v>
      </c>
    </row>
    <row r="27352">
      <c r="A27352" s="39"/>
      <c r="E27352" s="40" t="s">
        <v>11404</v>
      </c>
      <c r="F27352" s="40" t="s">
        <v>11404</v>
      </c>
      <c r="G27352" s="40" t="s">
        <v>11404</v>
      </c>
      <c r="H27352" s="40" t="s">
        <v>11404</v>
      </c>
    </row>
    <row r="27353">
      <c r="A27353" s="39"/>
      <c r="E27353" s="40" t="s">
        <v>11404</v>
      </c>
      <c r="F27353" s="40" t="s">
        <v>11404</v>
      </c>
      <c r="G27353" s="40" t="s">
        <v>11404</v>
      </c>
      <c r="H27353" s="40" t="s">
        <v>11404</v>
      </c>
    </row>
    <row r="27354">
      <c r="A27354" s="39"/>
      <c r="E27354" s="40" t="s">
        <v>11404</v>
      </c>
      <c r="F27354" s="40" t="s">
        <v>11404</v>
      </c>
      <c r="G27354" s="40" t="s">
        <v>11404</v>
      </c>
      <c r="H27354" s="40" t="s">
        <v>11404</v>
      </c>
    </row>
    <row r="27355">
      <c r="A27355" s="39"/>
      <c r="E27355" s="40" t="s">
        <v>11404</v>
      </c>
      <c r="F27355" s="40" t="s">
        <v>11404</v>
      </c>
      <c r="G27355" s="40" t="s">
        <v>11404</v>
      </c>
      <c r="H27355" s="40" t="s">
        <v>11404</v>
      </c>
    </row>
    <row r="27356">
      <c r="A27356" s="39"/>
      <c r="E27356" s="40" t="s">
        <v>11404</v>
      </c>
      <c r="F27356" s="40" t="s">
        <v>11404</v>
      </c>
      <c r="G27356" s="40" t="s">
        <v>11404</v>
      </c>
      <c r="H27356" s="40" t="s">
        <v>11404</v>
      </c>
    </row>
    <row r="27357">
      <c r="A27357" s="39"/>
      <c r="E27357" s="40" t="s">
        <v>11404</v>
      </c>
      <c r="F27357" s="40" t="s">
        <v>11404</v>
      </c>
      <c r="G27357" s="40" t="s">
        <v>11404</v>
      </c>
      <c r="H27357" s="40" t="s">
        <v>11404</v>
      </c>
    </row>
    <row r="27358">
      <c r="A27358" s="39"/>
      <c r="E27358" s="40" t="s">
        <v>11404</v>
      </c>
      <c r="F27358" s="40" t="s">
        <v>11404</v>
      </c>
      <c r="G27358" s="40" t="s">
        <v>11404</v>
      </c>
      <c r="H27358" s="40" t="s">
        <v>11404</v>
      </c>
    </row>
    <row r="27359">
      <c r="A27359" s="39"/>
      <c r="E27359" s="40" t="s">
        <v>11404</v>
      </c>
      <c r="F27359" s="40" t="s">
        <v>11404</v>
      </c>
      <c r="G27359" s="40" t="s">
        <v>11404</v>
      </c>
      <c r="H27359" s="40" t="s">
        <v>11404</v>
      </c>
    </row>
    <row r="27360">
      <c r="A27360" s="39"/>
      <c r="E27360" s="40" t="s">
        <v>11404</v>
      </c>
      <c r="F27360" s="40" t="s">
        <v>11404</v>
      </c>
      <c r="G27360" s="40" t="s">
        <v>11404</v>
      </c>
      <c r="H27360" s="40" t="s">
        <v>11404</v>
      </c>
    </row>
    <row r="27361">
      <c r="A27361" s="39"/>
      <c r="E27361" s="40" t="s">
        <v>11404</v>
      </c>
      <c r="F27361" s="40" t="s">
        <v>11404</v>
      </c>
      <c r="G27361" s="40" t="s">
        <v>11404</v>
      </c>
      <c r="H27361" s="40" t="s">
        <v>11404</v>
      </c>
    </row>
    <row r="27362">
      <c r="A27362" s="39"/>
      <c r="E27362" s="40" t="s">
        <v>11404</v>
      </c>
      <c r="F27362" s="40" t="s">
        <v>11404</v>
      </c>
      <c r="G27362" s="40" t="s">
        <v>11404</v>
      </c>
      <c r="H27362" s="40" t="s">
        <v>11404</v>
      </c>
    </row>
    <row r="27363">
      <c r="A27363" s="39"/>
      <c r="E27363" s="40" t="s">
        <v>11404</v>
      </c>
      <c r="F27363" s="40" t="s">
        <v>11404</v>
      </c>
      <c r="G27363" s="40" t="s">
        <v>11404</v>
      </c>
      <c r="H27363" s="40" t="s">
        <v>11404</v>
      </c>
    </row>
    <row r="27364">
      <c r="A27364" s="39"/>
      <c r="E27364" s="40" t="s">
        <v>11404</v>
      </c>
      <c r="F27364" s="40" t="s">
        <v>11404</v>
      </c>
      <c r="G27364" s="40" t="s">
        <v>11404</v>
      </c>
      <c r="H27364" s="40" t="s">
        <v>11404</v>
      </c>
    </row>
    <row r="27365">
      <c r="A27365" s="39"/>
      <c r="E27365" s="40" t="s">
        <v>11404</v>
      </c>
      <c r="F27365" s="40" t="s">
        <v>11404</v>
      </c>
      <c r="G27365" s="40" t="s">
        <v>11404</v>
      </c>
      <c r="H27365" s="40" t="s">
        <v>11404</v>
      </c>
    </row>
    <row r="27366">
      <c r="A27366" s="39"/>
      <c r="E27366" s="40" t="s">
        <v>11404</v>
      </c>
      <c r="F27366" s="40" t="s">
        <v>11404</v>
      </c>
      <c r="G27366" s="40" t="s">
        <v>11404</v>
      </c>
      <c r="H27366" s="40" t="s">
        <v>11404</v>
      </c>
    </row>
    <row r="27367">
      <c r="A27367" s="39"/>
      <c r="E27367" s="40" t="s">
        <v>11404</v>
      </c>
      <c r="F27367" s="40" t="s">
        <v>11404</v>
      </c>
      <c r="G27367" s="40" t="s">
        <v>11404</v>
      </c>
      <c r="H27367" s="40" t="s">
        <v>11404</v>
      </c>
    </row>
    <row r="27368">
      <c r="A27368" s="39"/>
      <c r="E27368" s="40" t="s">
        <v>11404</v>
      </c>
      <c r="F27368" s="40" t="s">
        <v>11404</v>
      </c>
      <c r="G27368" s="40" t="s">
        <v>11404</v>
      </c>
      <c r="H27368" s="40" t="s">
        <v>11404</v>
      </c>
    </row>
    <row r="27369">
      <c r="A27369" s="39"/>
      <c r="E27369" s="40" t="s">
        <v>11404</v>
      </c>
      <c r="F27369" s="40" t="s">
        <v>11404</v>
      </c>
      <c r="G27369" s="40" t="s">
        <v>11404</v>
      </c>
      <c r="H27369" s="40" t="s">
        <v>11404</v>
      </c>
    </row>
    <row r="27370">
      <c r="A27370" s="39"/>
      <c r="E27370" s="40" t="s">
        <v>11404</v>
      </c>
      <c r="F27370" s="40" t="s">
        <v>11404</v>
      </c>
      <c r="G27370" s="40" t="s">
        <v>11404</v>
      </c>
      <c r="H27370" s="40" t="s">
        <v>11404</v>
      </c>
    </row>
    <row r="27371">
      <c r="A27371" s="39"/>
      <c r="E27371" s="40" t="s">
        <v>11404</v>
      </c>
      <c r="F27371" s="40" t="s">
        <v>11404</v>
      </c>
      <c r="G27371" s="40" t="s">
        <v>11404</v>
      </c>
      <c r="H27371" s="40" t="s">
        <v>11404</v>
      </c>
    </row>
    <row r="27372">
      <c r="A27372" s="39"/>
      <c r="E27372" s="40" t="s">
        <v>11404</v>
      </c>
      <c r="F27372" s="40" t="s">
        <v>11404</v>
      </c>
      <c r="G27372" s="40" t="s">
        <v>11404</v>
      </c>
      <c r="H27372" s="40" t="s">
        <v>11404</v>
      </c>
    </row>
    <row r="27373">
      <c r="A27373" s="39"/>
      <c r="E27373" s="40" t="s">
        <v>11404</v>
      </c>
      <c r="F27373" s="40" t="s">
        <v>11404</v>
      </c>
      <c r="G27373" s="40" t="s">
        <v>11404</v>
      </c>
      <c r="H27373" s="40" t="s">
        <v>11404</v>
      </c>
    </row>
    <row r="27374">
      <c r="A27374" s="39"/>
      <c r="E27374" s="40" t="s">
        <v>11404</v>
      </c>
      <c r="F27374" s="40" t="s">
        <v>11404</v>
      </c>
      <c r="G27374" s="40" t="s">
        <v>11404</v>
      </c>
      <c r="H27374" s="40" t="s">
        <v>11404</v>
      </c>
    </row>
    <row r="27375">
      <c r="A27375" s="39"/>
      <c r="E27375" s="40" t="s">
        <v>11404</v>
      </c>
      <c r="F27375" s="40" t="s">
        <v>11404</v>
      </c>
      <c r="G27375" s="40" t="s">
        <v>11404</v>
      </c>
      <c r="H27375" s="40" t="s">
        <v>11404</v>
      </c>
    </row>
    <row r="27376">
      <c r="A27376" s="39"/>
      <c r="E27376" s="40" t="s">
        <v>11404</v>
      </c>
      <c r="F27376" s="40" t="s">
        <v>11404</v>
      </c>
      <c r="G27376" s="40" t="s">
        <v>11404</v>
      </c>
      <c r="H27376" s="40" t="s">
        <v>11404</v>
      </c>
    </row>
    <row r="27377">
      <c r="A27377" s="39"/>
      <c r="E27377" s="40" t="s">
        <v>11404</v>
      </c>
      <c r="F27377" s="40" t="s">
        <v>11404</v>
      </c>
      <c r="G27377" s="40" t="s">
        <v>11404</v>
      </c>
      <c r="H27377" s="40" t="s">
        <v>11404</v>
      </c>
    </row>
    <row r="27378">
      <c r="A27378" s="39"/>
      <c r="E27378" s="40" t="s">
        <v>11404</v>
      </c>
      <c r="F27378" s="40" t="s">
        <v>11404</v>
      </c>
      <c r="G27378" s="40" t="s">
        <v>11404</v>
      </c>
      <c r="H27378" s="40" t="s">
        <v>11404</v>
      </c>
    </row>
    <row r="27379">
      <c r="A27379" s="39"/>
      <c r="E27379" s="40" t="s">
        <v>11404</v>
      </c>
      <c r="F27379" s="40" t="s">
        <v>11404</v>
      </c>
      <c r="G27379" s="40" t="s">
        <v>11404</v>
      </c>
      <c r="H27379" s="40" t="s">
        <v>11404</v>
      </c>
    </row>
    <row r="27380">
      <c r="A27380" s="39"/>
      <c r="E27380" s="40" t="s">
        <v>11404</v>
      </c>
      <c r="F27380" s="40" t="s">
        <v>11404</v>
      </c>
      <c r="G27380" s="40" t="s">
        <v>11404</v>
      </c>
      <c r="H27380" s="40" t="s">
        <v>11404</v>
      </c>
    </row>
    <row r="27381">
      <c r="A27381" s="39"/>
      <c r="E27381" s="40" t="s">
        <v>11404</v>
      </c>
      <c r="F27381" s="40" t="s">
        <v>11404</v>
      </c>
      <c r="G27381" s="40" t="s">
        <v>11404</v>
      </c>
      <c r="H27381" s="40" t="s">
        <v>11404</v>
      </c>
    </row>
    <row r="27382">
      <c r="A27382" s="39"/>
      <c r="E27382" s="40" t="s">
        <v>11404</v>
      </c>
      <c r="F27382" s="40" t="s">
        <v>11404</v>
      </c>
      <c r="G27382" s="40" t="s">
        <v>11404</v>
      </c>
      <c r="H27382" s="40" t="s">
        <v>11404</v>
      </c>
    </row>
    <row r="27383">
      <c r="A27383" s="39"/>
      <c r="E27383" s="40" t="s">
        <v>11404</v>
      </c>
      <c r="F27383" s="40" t="s">
        <v>11404</v>
      </c>
      <c r="G27383" s="40" t="s">
        <v>11404</v>
      </c>
      <c r="H27383" s="40" t="s">
        <v>11404</v>
      </c>
    </row>
    <row r="27384">
      <c r="A27384" s="39"/>
      <c r="E27384" s="40" t="s">
        <v>11404</v>
      </c>
      <c r="F27384" s="40" t="s">
        <v>11404</v>
      </c>
      <c r="G27384" s="40" t="s">
        <v>11404</v>
      </c>
      <c r="H27384" s="40" t="s">
        <v>11404</v>
      </c>
    </row>
    <row r="27385">
      <c r="A27385" s="39"/>
      <c r="E27385" s="40" t="s">
        <v>11404</v>
      </c>
      <c r="F27385" s="40" t="s">
        <v>11404</v>
      </c>
      <c r="G27385" s="40" t="s">
        <v>11404</v>
      </c>
      <c r="H27385" s="40" t="s">
        <v>11404</v>
      </c>
    </row>
    <row r="27386">
      <c r="A27386" s="39"/>
      <c r="E27386" s="40" t="s">
        <v>11404</v>
      </c>
      <c r="F27386" s="40" t="s">
        <v>11404</v>
      </c>
      <c r="G27386" s="40" t="s">
        <v>11404</v>
      </c>
      <c r="H27386" s="40" t="s">
        <v>11404</v>
      </c>
    </row>
    <row r="27387">
      <c r="A27387" s="39"/>
      <c r="E27387" s="40" t="s">
        <v>11404</v>
      </c>
      <c r="F27387" s="40" t="s">
        <v>11404</v>
      </c>
      <c r="G27387" s="40" t="s">
        <v>11404</v>
      </c>
      <c r="H27387" s="40" t="s">
        <v>11404</v>
      </c>
    </row>
    <row r="27388">
      <c r="A27388" s="39"/>
      <c r="E27388" s="40" t="s">
        <v>11404</v>
      </c>
      <c r="F27388" s="40" t="s">
        <v>11404</v>
      </c>
      <c r="G27388" s="40" t="s">
        <v>11404</v>
      </c>
      <c r="H27388" s="40" t="s">
        <v>11404</v>
      </c>
    </row>
    <row r="27389">
      <c r="A27389" s="39"/>
      <c r="E27389" s="40" t="s">
        <v>11404</v>
      </c>
      <c r="F27389" s="40" t="s">
        <v>11404</v>
      </c>
      <c r="G27389" s="40" t="s">
        <v>11404</v>
      </c>
      <c r="H27389" s="40" t="s">
        <v>11404</v>
      </c>
    </row>
    <row r="27390">
      <c r="A27390" s="39"/>
      <c r="E27390" s="40" t="s">
        <v>11404</v>
      </c>
      <c r="F27390" s="40" t="s">
        <v>11404</v>
      </c>
      <c r="G27390" s="40" t="s">
        <v>11404</v>
      </c>
      <c r="H27390" s="40" t="s">
        <v>11404</v>
      </c>
    </row>
    <row r="27391">
      <c r="A27391" s="39"/>
      <c r="E27391" s="40" t="s">
        <v>11404</v>
      </c>
      <c r="F27391" s="40" t="s">
        <v>11404</v>
      </c>
      <c r="G27391" s="40" t="s">
        <v>11404</v>
      </c>
      <c r="H27391" s="40" t="s">
        <v>11404</v>
      </c>
    </row>
    <row r="27392">
      <c r="A27392" s="39"/>
      <c r="E27392" s="40" t="s">
        <v>11404</v>
      </c>
      <c r="F27392" s="40" t="s">
        <v>11404</v>
      </c>
      <c r="G27392" s="40" t="s">
        <v>11404</v>
      </c>
      <c r="H27392" s="40" t="s">
        <v>11404</v>
      </c>
    </row>
    <row r="27393">
      <c r="A27393" s="39"/>
      <c r="E27393" s="40" t="s">
        <v>11404</v>
      </c>
      <c r="F27393" s="40" t="s">
        <v>11404</v>
      </c>
      <c r="G27393" s="40" t="s">
        <v>11404</v>
      </c>
      <c r="H27393" s="40" t="s">
        <v>11404</v>
      </c>
    </row>
    <row r="27394">
      <c r="A27394" s="39"/>
      <c r="E27394" s="40" t="s">
        <v>11404</v>
      </c>
      <c r="F27394" s="40" t="s">
        <v>11404</v>
      </c>
      <c r="G27394" s="40" t="s">
        <v>11404</v>
      </c>
      <c r="H27394" s="40" t="s">
        <v>11404</v>
      </c>
    </row>
    <row r="27395">
      <c r="A27395" s="39"/>
      <c r="E27395" s="40" t="s">
        <v>11404</v>
      </c>
      <c r="F27395" s="40" t="s">
        <v>11404</v>
      </c>
      <c r="G27395" s="40" t="s">
        <v>11404</v>
      </c>
      <c r="H27395" s="40" t="s">
        <v>11404</v>
      </c>
    </row>
    <row r="27396">
      <c r="A27396" s="39"/>
      <c r="E27396" s="40" t="s">
        <v>11404</v>
      </c>
      <c r="F27396" s="40" t="s">
        <v>11404</v>
      </c>
      <c r="G27396" s="40" t="s">
        <v>11404</v>
      </c>
      <c r="H27396" s="40" t="s">
        <v>11404</v>
      </c>
    </row>
    <row r="27397">
      <c r="A27397" s="39"/>
      <c r="E27397" s="40" t="s">
        <v>11404</v>
      </c>
      <c r="F27397" s="40" t="s">
        <v>11404</v>
      </c>
      <c r="G27397" s="40" t="s">
        <v>11404</v>
      </c>
      <c r="H27397" s="40" t="s">
        <v>11404</v>
      </c>
    </row>
    <row r="27398">
      <c r="A27398" s="39"/>
      <c r="E27398" s="40" t="s">
        <v>11404</v>
      </c>
      <c r="F27398" s="40" t="s">
        <v>11404</v>
      </c>
      <c r="G27398" s="40" t="s">
        <v>11404</v>
      </c>
      <c r="H27398" s="40" t="s">
        <v>11404</v>
      </c>
    </row>
    <row r="27399">
      <c r="A27399" s="39"/>
      <c r="E27399" s="40" t="s">
        <v>11404</v>
      </c>
      <c r="F27399" s="40" t="s">
        <v>11404</v>
      </c>
      <c r="G27399" s="40" t="s">
        <v>11404</v>
      </c>
      <c r="H27399" s="40" t="s">
        <v>11404</v>
      </c>
    </row>
    <row r="27400">
      <c r="A27400" s="39"/>
      <c r="E27400" s="40" t="s">
        <v>11404</v>
      </c>
      <c r="F27400" s="40" t="s">
        <v>11404</v>
      </c>
      <c r="G27400" s="40" t="s">
        <v>11404</v>
      </c>
      <c r="H27400" s="40" t="s">
        <v>11404</v>
      </c>
    </row>
    <row r="27401">
      <c r="A27401" s="39"/>
      <c r="E27401" s="40" t="s">
        <v>11404</v>
      </c>
      <c r="F27401" s="40" t="s">
        <v>11404</v>
      </c>
      <c r="G27401" s="40" t="s">
        <v>11404</v>
      </c>
      <c r="H27401" s="40" t="s">
        <v>11404</v>
      </c>
    </row>
    <row r="27402">
      <c r="A27402" s="39"/>
      <c r="E27402" s="40" t="s">
        <v>11404</v>
      </c>
      <c r="F27402" s="40" t="s">
        <v>11404</v>
      </c>
      <c r="G27402" s="40" t="s">
        <v>11404</v>
      </c>
      <c r="H27402" s="40" t="s">
        <v>11404</v>
      </c>
    </row>
    <row r="27403">
      <c r="A27403" s="39"/>
      <c r="E27403" s="40" t="s">
        <v>11404</v>
      </c>
      <c r="F27403" s="40" t="s">
        <v>11404</v>
      </c>
      <c r="G27403" s="40" t="s">
        <v>11404</v>
      </c>
      <c r="H27403" s="40" t="s">
        <v>11404</v>
      </c>
    </row>
    <row r="27404">
      <c r="A27404" s="39"/>
      <c r="E27404" s="40" t="s">
        <v>11404</v>
      </c>
      <c r="F27404" s="40" t="s">
        <v>11404</v>
      </c>
      <c r="G27404" s="40" t="s">
        <v>11404</v>
      </c>
      <c r="H27404" s="40" t="s">
        <v>11404</v>
      </c>
    </row>
    <row r="27405">
      <c r="A27405" s="39"/>
      <c r="E27405" s="40" t="s">
        <v>11404</v>
      </c>
      <c r="F27405" s="40" t="s">
        <v>11404</v>
      </c>
      <c r="G27405" s="40" t="s">
        <v>11404</v>
      </c>
      <c r="H27405" s="40" t="s">
        <v>11404</v>
      </c>
    </row>
    <row r="27406">
      <c r="A27406" s="39"/>
      <c r="E27406" s="40" t="s">
        <v>11404</v>
      </c>
      <c r="F27406" s="40" t="s">
        <v>11404</v>
      </c>
      <c r="G27406" s="40" t="s">
        <v>11404</v>
      </c>
      <c r="H27406" s="40" t="s">
        <v>11404</v>
      </c>
    </row>
    <row r="27407">
      <c r="A27407" s="39"/>
      <c r="E27407" s="40" t="s">
        <v>11404</v>
      </c>
      <c r="F27407" s="40" t="s">
        <v>11404</v>
      </c>
      <c r="G27407" s="40" t="s">
        <v>11404</v>
      </c>
      <c r="H27407" s="40" t="s">
        <v>11404</v>
      </c>
    </row>
    <row r="27408">
      <c r="A27408" s="39"/>
      <c r="E27408" s="40" t="s">
        <v>11404</v>
      </c>
      <c r="F27408" s="40" t="s">
        <v>11404</v>
      </c>
      <c r="G27408" s="40" t="s">
        <v>11404</v>
      </c>
      <c r="H27408" s="40" t="s">
        <v>11404</v>
      </c>
    </row>
    <row r="27409">
      <c r="A27409" s="39"/>
      <c r="E27409" s="40" t="s">
        <v>11404</v>
      </c>
      <c r="F27409" s="40" t="s">
        <v>11404</v>
      </c>
      <c r="G27409" s="40" t="s">
        <v>11404</v>
      </c>
      <c r="H27409" s="40" t="s">
        <v>11404</v>
      </c>
    </row>
    <row r="27410">
      <c r="A27410" s="39"/>
      <c r="E27410" s="40" t="s">
        <v>11404</v>
      </c>
      <c r="F27410" s="40" t="s">
        <v>11404</v>
      </c>
      <c r="G27410" s="40" t="s">
        <v>11404</v>
      </c>
      <c r="H27410" s="40" t="s">
        <v>11404</v>
      </c>
    </row>
    <row r="27411">
      <c r="A27411" s="39"/>
      <c r="E27411" s="40" t="s">
        <v>11404</v>
      </c>
      <c r="F27411" s="40" t="s">
        <v>11404</v>
      </c>
      <c r="G27411" s="40" t="s">
        <v>11404</v>
      </c>
      <c r="H27411" s="40" t="s">
        <v>11404</v>
      </c>
    </row>
    <row r="27412">
      <c r="A27412" s="39"/>
      <c r="E27412" s="40" t="s">
        <v>11404</v>
      </c>
      <c r="F27412" s="40" t="s">
        <v>11404</v>
      </c>
      <c r="G27412" s="40" t="s">
        <v>11404</v>
      </c>
      <c r="H27412" s="40" t="s">
        <v>11404</v>
      </c>
    </row>
    <row r="27413">
      <c r="A27413" s="39"/>
      <c r="E27413" s="40" t="s">
        <v>11404</v>
      </c>
      <c r="F27413" s="40" t="s">
        <v>11404</v>
      </c>
      <c r="G27413" s="40" t="s">
        <v>11404</v>
      </c>
      <c r="H27413" s="40" t="s">
        <v>11404</v>
      </c>
    </row>
    <row r="27414">
      <c r="A27414" s="39"/>
      <c r="E27414" s="40" t="s">
        <v>11404</v>
      </c>
      <c r="F27414" s="40" t="s">
        <v>11404</v>
      </c>
      <c r="G27414" s="40" t="s">
        <v>11404</v>
      </c>
      <c r="H27414" s="40" t="s">
        <v>11404</v>
      </c>
    </row>
    <row r="27415">
      <c r="A27415" s="39"/>
      <c r="E27415" s="40" t="s">
        <v>11404</v>
      </c>
      <c r="F27415" s="40" t="s">
        <v>11404</v>
      </c>
      <c r="G27415" s="40" t="s">
        <v>11404</v>
      </c>
      <c r="H27415" s="40" t="s">
        <v>11404</v>
      </c>
    </row>
    <row r="27416">
      <c r="A27416" s="39"/>
      <c r="E27416" s="40" t="s">
        <v>11404</v>
      </c>
      <c r="F27416" s="40" t="s">
        <v>11404</v>
      </c>
      <c r="G27416" s="40" t="s">
        <v>11404</v>
      </c>
      <c r="H27416" s="40" t="s">
        <v>11404</v>
      </c>
    </row>
    <row r="27417">
      <c r="A27417" s="39"/>
      <c r="E27417" s="40" t="s">
        <v>11404</v>
      </c>
      <c r="F27417" s="40" t="s">
        <v>11404</v>
      </c>
      <c r="G27417" s="40" t="s">
        <v>11404</v>
      </c>
      <c r="H27417" s="40" t="s">
        <v>11404</v>
      </c>
    </row>
    <row r="27418">
      <c r="A27418" s="39"/>
      <c r="E27418" s="40" t="s">
        <v>11404</v>
      </c>
      <c r="F27418" s="40" t="s">
        <v>11404</v>
      </c>
      <c r="G27418" s="40" t="s">
        <v>11404</v>
      </c>
      <c r="H27418" s="40" t="s">
        <v>11404</v>
      </c>
    </row>
    <row r="27419">
      <c r="A27419" s="39"/>
      <c r="E27419" s="40" t="s">
        <v>11404</v>
      </c>
      <c r="F27419" s="40" t="s">
        <v>11404</v>
      </c>
      <c r="G27419" s="40" t="s">
        <v>11404</v>
      </c>
      <c r="H27419" s="40" t="s">
        <v>11404</v>
      </c>
    </row>
    <row r="27420">
      <c r="A27420" s="39"/>
      <c r="E27420" s="40" t="s">
        <v>11404</v>
      </c>
      <c r="F27420" s="40" t="s">
        <v>11404</v>
      </c>
      <c r="G27420" s="40" t="s">
        <v>11404</v>
      </c>
      <c r="H27420" s="40" t="s">
        <v>11404</v>
      </c>
    </row>
    <row r="27421">
      <c r="A27421" s="39"/>
      <c r="E27421" s="40" t="s">
        <v>11404</v>
      </c>
      <c r="F27421" s="40" t="s">
        <v>11404</v>
      </c>
      <c r="G27421" s="40" t="s">
        <v>11404</v>
      </c>
      <c r="H27421" s="40" t="s">
        <v>11404</v>
      </c>
    </row>
    <row r="27422">
      <c r="A27422" s="39"/>
      <c r="E27422" s="40" t="s">
        <v>11404</v>
      </c>
      <c r="F27422" s="40" t="s">
        <v>11404</v>
      </c>
      <c r="G27422" s="40" t="s">
        <v>11404</v>
      </c>
      <c r="H27422" s="40" t="s">
        <v>11404</v>
      </c>
    </row>
    <row r="27423">
      <c r="A27423" s="39"/>
      <c r="E27423" s="40" t="s">
        <v>11404</v>
      </c>
      <c r="F27423" s="40" t="s">
        <v>11404</v>
      </c>
      <c r="G27423" s="40" t="s">
        <v>11404</v>
      </c>
      <c r="H27423" s="40" t="s">
        <v>11404</v>
      </c>
    </row>
    <row r="27424">
      <c r="A27424" s="39"/>
      <c r="E27424" s="40" t="s">
        <v>11404</v>
      </c>
      <c r="F27424" s="40" t="s">
        <v>11404</v>
      </c>
      <c r="G27424" s="40" t="s">
        <v>11404</v>
      </c>
      <c r="H27424" s="40" t="s">
        <v>11404</v>
      </c>
    </row>
    <row r="27425">
      <c r="A27425" s="39"/>
      <c r="E27425" s="40" t="s">
        <v>11404</v>
      </c>
      <c r="F27425" s="40" t="s">
        <v>11404</v>
      </c>
      <c r="G27425" s="40" t="s">
        <v>11404</v>
      </c>
      <c r="H27425" s="40" t="s">
        <v>11404</v>
      </c>
    </row>
    <row r="27426">
      <c r="A27426" s="39"/>
      <c r="E27426" s="40" t="s">
        <v>11404</v>
      </c>
      <c r="F27426" s="40" t="s">
        <v>11404</v>
      </c>
      <c r="G27426" s="40" t="s">
        <v>11404</v>
      </c>
      <c r="H27426" s="40" t="s">
        <v>11404</v>
      </c>
    </row>
    <row r="27427">
      <c r="A27427" s="39"/>
      <c r="E27427" s="40" t="s">
        <v>11404</v>
      </c>
      <c r="F27427" s="40" t="s">
        <v>11404</v>
      </c>
      <c r="G27427" s="40" t="s">
        <v>11404</v>
      </c>
      <c r="H27427" s="40" t="s">
        <v>11404</v>
      </c>
    </row>
    <row r="27428">
      <c r="A27428" s="39"/>
      <c r="E27428" s="40" t="s">
        <v>11404</v>
      </c>
      <c r="F27428" s="40" t="s">
        <v>11404</v>
      </c>
      <c r="G27428" s="40" t="s">
        <v>11404</v>
      </c>
      <c r="H27428" s="40" t="s">
        <v>11404</v>
      </c>
    </row>
    <row r="27429">
      <c r="A27429" s="39"/>
      <c r="E27429" s="40" t="s">
        <v>11404</v>
      </c>
      <c r="F27429" s="40" t="s">
        <v>11404</v>
      </c>
      <c r="G27429" s="40" t="s">
        <v>11404</v>
      </c>
      <c r="H27429" s="40" t="s">
        <v>11404</v>
      </c>
    </row>
    <row r="27430">
      <c r="A27430" s="39"/>
      <c r="E27430" s="40" t="s">
        <v>11404</v>
      </c>
      <c r="F27430" s="40" t="s">
        <v>11404</v>
      </c>
      <c r="G27430" s="40" t="s">
        <v>11404</v>
      </c>
      <c r="H27430" s="40" t="s">
        <v>11404</v>
      </c>
    </row>
    <row r="27431">
      <c r="A27431" s="39"/>
      <c r="E27431" s="40" t="s">
        <v>11404</v>
      </c>
      <c r="F27431" s="40" t="s">
        <v>11404</v>
      </c>
      <c r="G27431" s="40" t="s">
        <v>11404</v>
      </c>
      <c r="H27431" s="40" t="s">
        <v>11404</v>
      </c>
    </row>
    <row r="27432">
      <c r="A27432" s="39"/>
      <c r="E27432" s="40" t="s">
        <v>11404</v>
      </c>
      <c r="F27432" s="40" t="s">
        <v>11404</v>
      </c>
      <c r="G27432" s="40" t="s">
        <v>11404</v>
      </c>
      <c r="H27432" s="40" t="s">
        <v>11404</v>
      </c>
    </row>
    <row r="27433">
      <c r="A27433" s="39"/>
      <c r="E27433" s="40" t="s">
        <v>11404</v>
      </c>
      <c r="F27433" s="40" t="s">
        <v>11404</v>
      </c>
      <c r="G27433" s="40" t="s">
        <v>11404</v>
      </c>
      <c r="H27433" s="40" t="s">
        <v>11404</v>
      </c>
    </row>
    <row r="27434">
      <c r="A27434" s="39"/>
      <c r="E27434" s="40" t="s">
        <v>11404</v>
      </c>
      <c r="F27434" s="40" t="s">
        <v>11404</v>
      </c>
      <c r="G27434" s="40" t="s">
        <v>11404</v>
      </c>
      <c r="H27434" s="40" t="s">
        <v>11404</v>
      </c>
    </row>
    <row r="27435">
      <c r="A27435" s="39"/>
      <c r="E27435" s="40" t="s">
        <v>11404</v>
      </c>
      <c r="F27435" s="40" t="s">
        <v>11404</v>
      </c>
      <c r="G27435" s="40" t="s">
        <v>11404</v>
      </c>
      <c r="H27435" s="40" t="s">
        <v>11404</v>
      </c>
    </row>
    <row r="27436">
      <c r="A27436" s="39"/>
      <c r="E27436" s="40" t="s">
        <v>11404</v>
      </c>
      <c r="F27436" s="40" t="s">
        <v>11404</v>
      </c>
      <c r="G27436" s="40" t="s">
        <v>11404</v>
      </c>
      <c r="H27436" s="40" t="s">
        <v>11404</v>
      </c>
    </row>
    <row r="27437">
      <c r="A27437" s="39"/>
      <c r="E27437" s="40" t="s">
        <v>11404</v>
      </c>
      <c r="F27437" s="40" t="s">
        <v>11404</v>
      </c>
      <c r="G27437" s="40" t="s">
        <v>11404</v>
      </c>
      <c r="H27437" s="40" t="s">
        <v>11404</v>
      </c>
    </row>
    <row r="27438">
      <c r="A27438" s="39"/>
      <c r="E27438" s="40" t="s">
        <v>11404</v>
      </c>
      <c r="F27438" s="40" t="s">
        <v>11404</v>
      </c>
      <c r="G27438" s="40" t="s">
        <v>11404</v>
      </c>
      <c r="H27438" s="40" t="s">
        <v>11404</v>
      </c>
    </row>
    <row r="27439">
      <c r="A27439" s="39"/>
      <c r="E27439" s="40" t="s">
        <v>11404</v>
      </c>
      <c r="F27439" s="40" t="s">
        <v>11404</v>
      </c>
      <c r="G27439" s="40" t="s">
        <v>11404</v>
      </c>
      <c r="H27439" s="40" t="s">
        <v>11404</v>
      </c>
    </row>
    <row r="27440">
      <c r="A27440" s="39"/>
      <c r="E27440" s="40" t="s">
        <v>11404</v>
      </c>
      <c r="F27440" s="40" t="s">
        <v>11404</v>
      </c>
      <c r="G27440" s="40" t="s">
        <v>11404</v>
      </c>
      <c r="H27440" s="40" t="s">
        <v>11404</v>
      </c>
    </row>
    <row r="27441">
      <c r="A27441" s="39"/>
      <c r="E27441" s="40" t="s">
        <v>11404</v>
      </c>
      <c r="F27441" s="40" t="s">
        <v>11404</v>
      </c>
      <c r="G27441" s="40" t="s">
        <v>11404</v>
      </c>
      <c r="H27441" s="40" t="s">
        <v>11404</v>
      </c>
    </row>
    <row r="27442">
      <c r="A27442" s="39"/>
      <c r="E27442" s="40" t="s">
        <v>11404</v>
      </c>
      <c r="F27442" s="40" t="s">
        <v>11404</v>
      </c>
      <c r="G27442" s="40" t="s">
        <v>11404</v>
      </c>
      <c r="H27442" s="40" t="s">
        <v>11404</v>
      </c>
    </row>
    <row r="27443">
      <c r="A27443" s="39"/>
      <c r="E27443" s="40" t="s">
        <v>11404</v>
      </c>
      <c r="F27443" s="40" t="s">
        <v>11404</v>
      </c>
      <c r="G27443" s="40" t="s">
        <v>11404</v>
      </c>
      <c r="H27443" s="40" t="s">
        <v>11404</v>
      </c>
    </row>
    <row r="27444">
      <c r="A27444" s="39"/>
      <c r="E27444" s="40" t="s">
        <v>11404</v>
      </c>
      <c r="F27444" s="40" t="s">
        <v>11404</v>
      </c>
      <c r="G27444" s="40" t="s">
        <v>11404</v>
      </c>
      <c r="H27444" s="40" t="s">
        <v>11404</v>
      </c>
    </row>
    <row r="27445">
      <c r="A27445" s="39"/>
      <c r="E27445" s="40" t="s">
        <v>11404</v>
      </c>
      <c r="F27445" s="40" t="s">
        <v>11404</v>
      </c>
      <c r="G27445" s="40" t="s">
        <v>11404</v>
      </c>
      <c r="H27445" s="40" t="s">
        <v>11404</v>
      </c>
    </row>
    <row r="27446">
      <c r="A27446" s="39"/>
      <c r="E27446" s="40" t="s">
        <v>11404</v>
      </c>
      <c r="F27446" s="40" t="s">
        <v>11404</v>
      </c>
      <c r="G27446" s="40" t="s">
        <v>11404</v>
      </c>
      <c r="H27446" s="40" t="s">
        <v>11404</v>
      </c>
    </row>
    <row r="27447">
      <c r="A27447" s="39"/>
      <c r="E27447" s="40" t="s">
        <v>11404</v>
      </c>
      <c r="F27447" s="40" t="s">
        <v>11404</v>
      </c>
      <c r="G27447" s="40" t="s">
        <v>11404</v>
      </c>
      <c r="H27447" s="40" t="s">
        <v>11404</v>
      </c>
    </row>
    <row r="27448">
      <c r="A27448" s="39"/>
      <c r="E27448" s="40" t="s">
        <v>11404</v>
      </c>
      <c r="F27448" s="40" t="s">
        <v>11404</v>
      </c>
      <c r="G27448" s="40" t="s">
        <v>11404</v>
      </c>
      <c r="H27448" s="40" t="s">
        <v>11404</v>
      </c>
    </row>
    <row r="27449">
      <c r="A27449" s="39"/>
      <c r="E27449" s="40" t="s">
        <v>11404</v>
      </c>
      <c r="F27449" s="40" t="s">
        <v>11404</v>
      </c>
      <c r="G27449" s="40" t="s">
        <v>11404</v>
      </c>
      <c r="H27449" s="40" t="s">
        <v>11404</v>
      </c>
    </row>
    <row r="27450">
      <c r="A27450" s="39"/>
      <c r="E27450" s="40" t="s">
        <v>11404</v>
      </c>
      <c r="F27450" s="40" t="s">
        <v>11404</v>
      </c>
      <c r="G27450" s="40" t="s">
        <v>11404</v>
      </c>
      <c r="H27450" s="40" t="s">
        <v>11404</v>
      </c>
    </row>
    <row r="27451">
      <c r="A27451" s="39"/>
      <c r="E27451" s="40" t="s">
        <v>11404</v>
      </c>
      <c r="F27451" s="40" t="s">
        <v>11404</v>
      </c>
      <c r="G27451" s="40" t="s">
        <v>11404</v>
      </c>
      <c r="H27451" s="40" t="s">
        <v>11404</v>
      </c>
    </row>
    <row r="27452">
      <c r="A27452" s="39"/>
      <c r="E27452" s="40" t="s">
        <v>11404</v>
      </c>
      <c r="F27452" s="40" t="s">
        <v>11404</v>
      </c>
      <c r="G27452" s="40" t="s">
        <v>11404</v>
      </c>
      <c r="H27452" s="40" t="s">
        <v>11404</v>
      </c>
    </row>
    <row r="27453">
      <c r="A27453" s="39"/>
      <c r="E27453" s="40" t="s">
        <v>11404</v>
      </c>
      <c r="F27453" s="40" t="s">
        <v>11404</v>
      </c>
      <c r="G27453" s="40" t="s">
        <v>11404</v>
      </c>
      <c r="H27453" s="40" t="s">
        <v>11404</v>
      </c>
    </row>
    <row r="27454">
      <c r="A27454" s="39"/>
      <c r="E27454" s="40" t="s">
        <v>11404</v>
      </c>
      <c r="F27454" s="40" t="s">
        <v>11404</v>
      </c>
      <c r="G27454" s="40" t="s">
        <v>11404</v>
      </c>
      <c r="H27454" s="40" t="s">
        <v>11404</v>
      </c>
    </row>
    <row r="27455">
      <c r="A27455" s="39"/>
      <c r="E27455" s="40" t="s">
        <v>11404</v>
      </c>
      <c r="F27455" s="40" t="s">
        <v>11404</v>
      </c>
      <c r="G27455" s="40" t="s">
        <v>11404</v>
      </c>
      <c r="H27455" s="40" t="s">
        <v>11404</v>
      </c>
    </row>
    <row r="27456">
      <c r="A27456" s="39"/>
      <c r="E27456" s="40" t="s">
        <v>11404</v>
      </c>
      <c r="F27456" s="40" t="s">
        <v>11404</v>
      </c>
      <c r="G27456" s="40" t="s">
        <v>11404</v>
      </c>
      <c r="H27456" s="40" t="s">
        <v>11404</v>
      </c>
    </row>
    <row r="27457">
      <c r="A27457" s="39"/>
      <c r="E27457" s="40" t="s">
        <v>11404</v>
      </c>
      <c r="F27457" s="40" t="s">
        <v>11404</v>
      </c>
      <c r="G27457" s="40" t="s">
        <v>11404</v>
      </c>
      <c r="H27457" s="40" t="s">
        <v>11404</v>
      </c>
    </row>
    <row r="27458">
      <c r="A27458" s="39"/>
      <c r="E27458" s="40" t="s">
        <v>11404</v>
      </c>
      <c r="F27458" s="40" t="s">
        <v>11404</v>
      </c>
      <c r="G27458" s="40" t="s">
        <v>11404</v>
      </c>
      <c r="H27458" s="40" t="s">
        <v>11404</v>
      </c>
    </row>
    <row r="27459">
      <c r="A27459" s="39"/>
      <c r="E27459" s="40" t="s">
        <v>11404</v>
      </c>
      <c r="F27459" s="40" t="s">
        <v>11404</v>
      </c>
      <c r="G27459" s="40" t="s">
        <v>11404</v>
      </c>
      <c r="H27459" s="40" t="s">
        <v>11404</v>
      </c>
    </row>
    <row r="27460">
      <c r="A27460" s="39"/>
      <c r="E27460" s="40" t="s">
        <v>11404</v>
      </c>
      <c r="F27460" s="40" t="s">
        <v>11404</v>
      </c>
      <c r="G27460" s="40" t="s">
        <v>11404</v>
      </c>
      <c r="H27460" s="40" t="s">
        <v>11404</v>
      </c>
    </row>
    <row r="27461">
      <c r="A27461" s="39"/>
      <c r="E27461" s="40" t="s">
        <v>11404</v>
      </c>
      <c r="F27461" s="40" t="s">
        <v>11404</v>
      </c>
      <c r="G27461" s="40" t="s">
        <v>11404</v>
      </c>
      <c r="H27461" s="40" t="s">
        <v>11404</v>
      </c>
    </row>
    <row r="27462">
      <c r="A27462" s="39"/>
      <c r="E27462" s="40" t="s">
        <v>11404</v>
      </c>
      <c r="F27462" s="40" t="s">
        <v>11404</v>
      </c>
      <c r="G27462" s="40" t="s">
        <v>11404</v>
      </c>
      <c r="H27462" s="40" t="s">
        <v>11404</v>
      </c>
    </row>
    <row r="27463">
      <c r="A27463" s="39"/>
      <c r="E27463" s="40" t="s">
        <v>11404</v>
      </c>
      <c r="F27463" s="40" t="s">
        <v>11404</v>
      </c>
      <c r="G27463" s="40" t="s">
        <v>11404</v>
      </c>
      <c r="H27463" s="40" t="s">
        <v>11404</v>
      </c>
    </row>
    <row r="27464">
      <c r="A27464" s="39"/>
      <c r="E27464" s="40" t="s">
        <v>11404</v>
      </c>
      <c r="F27464" s="40" t="s">
        <v>11404</v>
      </c>
      <c r="G27464" s="40" t="s">
        <v>11404</v>
      </c>
      <c r="H27464" s="40" t="s">
        <v>11404</v>
      </c>
    </row>
    <row r="27465">
      <c r="A27465" s="39"/>
      <c r="E27465" s="40" t="s">
        <v>11404</v>
      </c>
      <c r="F27465" s="40" t="s">
        <v>11404</v>
      </c>
      <c r="G27465" s="40" t="s">
        <v>11404</v>
      </c>
      <c r="H27465" s="40" t="s">
        <v>11404</v>
      </c>
    </row>
    <row r="27466">
      <c r="A27466" s="39"/>
      <c r="E27466" s="40" t="s">
        <v>11404</v>
      </c>
      <c r="F27466" s="40" t="s">
        <v>11404</v>
      </c>
      <c r="G27466" s="40" t="s">
        <v>11404</v>
      </c>
      <c r="H27466" s="40" t="s">
        <v>11404</v>
      </c>
    </row>
    <row r="27467">
      <c r="A27467" s="39"/>
      <c r="E27467" s="40" t="s">
        <v>11404</v>
      </c>
      <c r="F27467" s="40" t="s">
        <v>11404</v>
      </c>
      <c r="G27467" s="40" t="s">
        <v>11404</v>
      </c>
      <c r="H27467" s="40" t="s">
        <v>11404</v>
      </c>
    </row>
    <row r="27468">
      <c r="A27468" s="39"/>
      <c r="E27468" s="40" t="s">
        <v>11404</v>
      </c>
      <c r="F27468" s="40" t="s">
        <v>11404</v>
      </c>
      <c r="G27468" s="40" t="s">
        <v>11404</v>
      </c>
      <c r="H27468" s="40" t="s">
        <v>11404</v>
      </c>
    </row>
    <row r="27469">
      <c r="A27469" s="39"/>
      <c r="E27469" s="40" t="s">
        <v>11404</v>
      </c>
      <c r="F27469" s="40" t="s">
        <v>11404</v>
      </c>
      <c r="G27469" s="40" t="s">
        <v>11404</v>
      </c>
      <c r="H27469" s="40" t="s">
        <v>11404</v>
      </c>
    </row>
    <row r="27470">
      <c r="A27470" s="39"/>
      <c r="E27470" s="40" t="s">
        <v>11404</v>
      </c>
      <c r="F27470" s="40" t="s">
        <v>11404</v>
      </c>
      <c r="G27470" s="40" t="s">
        <v>11404</v>
      </c>
      <c r="H27470" s="40" t="s">
        <v>11404</v>
      </c>
    </row>
    <row r="27471">
      <c r="A27471" s="39"/>
      <c r="E27471" s="40" t="s">
        <v>11404</v>
      </c>
      <c r="F27471" s="40" t="s">
        <v>11404</v>
      </c>
      <c r="G27471" s="40" t="s">
        <v>11404</v>
      </c>
      <c r="H27471" s="40" t="s">
        <v>11404</v>
      </c>
    </row>
    <row r="27472">
      <c r="A27472" s="39"/>
      <c r="E27472" s="40" t="s">
        <v>11404</v>
      </c>
      <c r="F27472" s="40" t="s">
        <v>11404</v>
      </c>
      <c r="G27472" s="40" t="s">
        <v>11404</v>
      </c>
      <c r="H27472" s="40" t="s">
        <v>11404</v>
      </c>
    </row>
    <row r="27473">
      <c r="A27473" s="39"/>
      <c r="E27473" s="40" t="s">
        <v>11404</v>
      </c>
      <c r="F27473" s="40" t="s">
        <v>11404</v>
      </c>
      <c r="G27473" s="40" t="s">
        <v>11404</v>
      </c>
      <c r="H27473" s="40" t="s">
        <v>11404</v>
      </c>
    </row>
    <row r="27474">
      <c r="A27474" s="39"/>
      <c r="E27474" s="40" t="s">
        <v>11404</v>
      </c>
      <c r="F27474" s="40" t="s">
        <v>11404</v>
      </c>
      <c r="G27474" s="40" t="s">
        <v>11404</v>
      </c>
      <c r="H27474" s="40" t="s">
        <v>11404</v>
      </c>
    </row>
    <row r="27475">
      <c r="A27475" s="39"/>
      <c r="E27475" s="40" t="s">
        <v>11404</v>
      </c>
      <c r="F27475" s="40" t="s">
        <v>11404</v>
      </c>
      <c r="G27475" s="40" t="s">
        <v>11404</v>
      </c>
      <c r="H27475" s="40" t="s">
        <v>11404</v>
      </c>
    </row>
    <row r="27476">
      <c r="A27476" s="39"/>
      <c r="E27476" s="40" t="s">
        <v>11404</v>
      </c>
      <c r="F27476" s="40" t="s">
        <v>11404</v>
      </c>
      <c r="G27476" s="40" t="s">
        <v>11404</v>
      </c>
      <c r="H27476" s="40" t="s">
        <v>11404</v>
      </c>
    </row>
    <row r="27477">
      <c r="A27477" s="39"/>
      <c r="E27477" s="40" t="s">
        <v>11404</v>
      </c>
      <c r="F27477" s="40" t="s">
        <v>11404</v>
      </c>
      <c r="G27477" s="40" t="s">
        <v>11404</v>
      </c>
      <c r="H27477" s="40" t="s">
        <v>11404</v>
      </c>
    </row>
    <row r="27478">
      <c r="A27478" s="39"/>
      <c r="E27478" s="40" t="s">
        <v>11404</v>
      </c>
      <c r="F27478" s="40" t="s">
        <v>11404</v>
      </c>
      <c r="G27478" s="40" t="s">
        <v>11404</v>
      </c>
      <c r="H27478" s="40" t="s">
        <v>11404</v>
      </c>
    </row>
    <row r="27479">
      <c r="A27479" s="39"/>
      <c r="E27479" s="40" t="s">
        <v>11404</v>
      </c>
      <c r="F27479" s="40" t="s">
        <v>11404</v>
      </c>
      <c r="G27479" s="40" t="s">
        <v>11404</v>
      </c>
      <c r="H27479" s="40" t="s">
        <v>11404</v>
      </c>
    </row>
    <row r="27480">
      <c r="A27480" s="39"/>
      <c r="E27480" s="40" t="s">
        <v>11404</v>
      </c>
      <c r="F27480" s="40" t="s">
        <v>11404</v>
      </c>
      <c r="G27480" s="40" t="s">
        <v>11404</v>
      </c>
      <c r="H27480" s="40" t="s">
        <v>11404</v>
      </c>
    </row>
    <row r="27481">
      <c r="A27481" s="39"/>
      <c r="E27481" s="40" t="s">
        <v>11404</v>
      </c>
      <c r="F27481" s="40" t="s">
        <v>11404</v>
      </c>
      <c r="G27481" s="40" t="s">
        <v>11404</v>
      </c>
      <c r="H27481" s="40" t="s">
        <v>11404</v>
      </c>
    </row>
    <row r="27482">
      <c r="A27482" s="39"/>
      <c r="E27482" s="40" t="s">
        <v>11404</v>
      </c>
      <c r="F27482" s="40" t="s">
        <v>11404</v>
      </c>
      <c r="G27482" s="40" t="s">
        <v>11404</v>
      </c>
      <c r="H27482" s="40" t="s">
        <v>11404</v>
      </c>
    </row>
    <row r="27483">
      <c r="A27483" s="39"/>
      <c r="E27483" s="40" t="s">
        <v>11404</v>
      </c>
      <c r="F27483" s="40" t="s">
        <v>11404</v>
      </c>
      <c r="G27483" s="40" t="s">
        <v>11404</v>
      </c>
      <c r="H27483" s="40" t="s">
        <v>11404</v>
      </c>
    </row>
    <row r="27484">
      <c r="A27484" s="39"/>
      <c r="E27484" s="40" t="s">
        <v>11404</v>
      </c>
      <c r="F27484" s="40" t="s">
        <v>11404</v>
      </c>
      <c r="G27484" s="40" t="s">
        <v>11404</v>
      </c>
      <c r="H27484" s="40" t="s">
        <v>11404</v>
      </c>
    </row>
    <row r="27485">
      <c r="A27485" s="39"/>
      <c r="E27485" s="40" t="s">
        <v>11404</v>
      </c>
      <c r="F27485" s="40" t="s">
        <v>11404</v>
      </c>
      <c r="G27485" s="40" t="s">
        <v>11404</v>
      </c>
      <c r="H27485" s="40" t="s">
        <v>11404</v>
      </c>
    </row>
    <row r="27486">
      <c r="A27486" s="39"/>
      <c r="E27486" s="40" t="s">
        <v>11404</v>
      </c>
      <c r="F27486" s="40" t="s">
        <v>11404</v>
      </c>
      <c r="G27486" s="40" t="s">
        <v>11404</v>
      </c>
      <c r="H27486" s="40" t="s">
        <v>11404</v>
      </c>
    </row>
    <row r="27487">
      <c r="A27487" s="39"/>
      <c r="E27487" s="40" t="s">
        <v>11404</v>
      </c>
      <c r="F27487" s="40" t="s">
        <v>11404</v>
      </c>
      <c r="G27487" s="40" t="s">
        <v>11404</v>
      </c>
      <c r="H27487" s="40" t="s">
        <v>11404</v>
      </c>
    </row>
    <row r="27488">
      <c r="A27488" s="39"/>
      <c r="E27488" s="40" t="s">
        <v>11404</v>
      </c>
      <c r="F27488" s="40" t="s">
        <v>11404</v>
      </c>
      <c r="G27488" s="40" t="s">
        <v>11404</v>
      </c>
      <c r="H27488" s="40" t="s">
        <v>11404</v>
      </c>
    </row>
    <row r="27489">
      <c r="A27489" s="39"/>
      <c r="E27489" s="40" t="s">
        <v>11404</v>
      </c>
      <c r="F27489" s="40" t="s">
        <v>11404</v>
      </c>
      <c r="G27489" s="40" t="s">
        <v>11404</v>
      </c>
      <c r="H27489" s="40" t="s">
        <v>11404</v>
      </c>
    </row>
    <row r="27490">
      <c r="A27490" s="39"/>
      <c r="E27490" s="40" t="s">
        <v>11404</v>
      </c>
      <c r="F27490" s="40" t="s">
        <v>11404</v>
      </c>
      <c r="G27490" s="40" t="s">
        <v>11404</v>
      </c>
      <c r="H27490" s="40" t="s">
        <v>11404</v>
      </c>
    </row>
    <row r="27491">
      <c r="A27491" s="39"/>
      <c r="E27491" s="40" t="s">
        <v>11404</v>
      </c>
      <c r="F27491" s="40" t="s">
        <v>11404</v>
      </c>
      <c r="G27491" s="40" t="s">
        <v>11404</v>
      </c>
      <c r="H27491" s="40" t="s">
        <v>11404</v>
      </c>
    </row>
    <row r="27492">
      <c r="A27492" s="39"/>
      <c r="E27492" s="40" t="s">
        <v>11404</v>
      </c>
      <c r="F27492" s="40" t="s">
        <v>11404</v>
      </c>
      <c r="G27492" s="40" t="s">
        <v>11404</v>
      </c>
      <c r="H27492" s="40" t="s">
        <v>11404</v>
      </c>
    </row>
    <row r="27493">
      <c r="A27493" s="39"/>
      <c r="E27493" s="40" t="s">
        <v>11404</v>
      </c>
      <c r="F27493" s="40" t="s">
        <v>11404</v>
      </c>
      <c r="G27493" s="40" t="s">
        <v>11404</v>
      </c>
      <c r="H27493" s="40" t="s">
        <v>11404</v>
      </c>
    </row>
    <row r="27494">
      <c r="A27494" s="39"/>
      <c r="E27494" s="40" t="s">
        <v>11404</v>
      </c>
      <c r="F27494" s="40" t="s">
        <v>11404</v>
      </c>
      <c r="G27494" s="40" t="s">
        <v>11404</v>
      </c>
      <c r="H27494" s="40" t="s">
        <v>11404</v>
      </c>
    </row>
    <row r="27495">
      <c r="A27495" s="39"/>
      <c r="E27495" s="40" t="s">
        <v>11404</v>
      </c>
      <c r="F27495" s="40" t="s">
        <v>11404</v>
      </c>
      <c r="G27495" s="40" t="s">
        <v>11404</v>
      </c>
      <c r="H27495" s="40" t="s">
        <v>11404</v>
      </c>
    </row>
    <row r="27496">
      <c r="A27496" s="39"/>
      <c r="E27496" s="40" t="s">
        <v>11404</v>
      </c>
      <c r="F27496" s="40" t="s">
        <v>11404</v>
      </c>
      <c r="G27496" s="40" t="s">
        <v>11404</v>
      </c>
      <c r="H27496" s="40" t="s">
        <v>11404</v>
      </c>
    </row>
    <row r="27497">
      <c r="A27497" s="39"/>
      <c r="E27497" s="40" t="s">
        <v>11404</v>
      </c>
      <c r="F27497" s="40" t="s">
        <v>11404</v>
      </c>
      <c r="G27497" s="40" t="s">
        <v>11404</v>
      </c>
      <c r="H27497" s="40" t="s">
        <v>11404</v>
      </c>
    </row>
    <row r="27498">
      <c r="A27498" s="39"/>
      <c r="E27498" s="40" t="s">
        <v>11404</v>
      </c>
      <c r="F27498" s="40" t="s">
        <v>11404</v>
      </c>
      <c r="G27498" s="40" t="s">
        <v>11404</v>
      </c>
      <c r="H27498" s="40" t="s">
        <v>11404</v>
      </c>
    </row>
    <row r="27499">
      <c r="A27499" s="39"/>
      <c r="E27499" s="40" t="s">
        <v>11404</v>
      </c>
      <c r="F27499" s="40" t="s">
        <v>11404</v>
      </c>
      <c r="G27499" s="40" t="s">
        <v>11404</v>
      </c>
      <c r="H27499" s="40" t="s">
        <v>11404</v>
      </c>
    </row>
    <row r="27500">
      <c r="A27500" s="39"/>
      <c r="E27500" s="40" t="s">
        <v>11404</v>
      </c>
      <c r="F27500" s="40" t="s">
        <v>11404</v>
      </c>
      <c r="G27500" s="40" t="s">
        <v>11404</v>
      </c>
      <c r="H27500" s="40" t="s">
        <v>11404</v>
      </c>
    </row>
    <row r="27501">
      <c r="A27501" s="39"/>
      <c r="E27501" s="40" t="s">
        <v>11404</v>
      </c>
      <c r="F27501" s="40" t="s">
        <v>11404</v>
      </c>
      <c r="G27501" s="40" t="s">
        <v>11404</v>
      </c>
      <c r="H27501" s="40" t="s">
        <v>11404</v>
      </c>
    </row>
    <row r="27502">
      <c r="A27502" s="39"/>
      <c r="E27502" s="40" t="s">
        <v>11404</v>
      </c>
      <c r="F27502" s="40" t="s">
        <v>11404</v>
      </c>
      <c r="G27502" s="40" t="s">
        <v>11404</v>
      </c>
      <c r="H27502" s="40" t="s">
        <v>11404</v>
      </c>
    </row>
    <row r="27503">
      <c r="A27503" s="39"/>
      <c r="E27503" s="40" t="s">
        <v>11404</v>
      </c>
      <c r="F27503" s="40" t="s">
        <v>11404</v>
      </c>
      <c r="G27503" s="40" t="s">
        <v>11404</v>
      </c>
      <c r="H27503" s="40" t="s">
        <v>11404</v>
      </c>
    </row>
    <row r="27504">
      <c r="A27504" s="39"/>
      <c r="E27504" s="40" t="s">
        <v>11404</v>
      </c>
      <c r="F27504" s="40" t="s">
        <v>11404</v>
      </c>
      <c r="G27504" s="40" t="s">
        <v>11404</v>
      </c>
      <c r="H27504" s="40" t="s">
        <v>11404</v>
      </c>
    </row>
    <row r="27505">
      <c r="A27505" s="39"/>
      <c r="E27505" s="40" t="s">
        <v>11404</v>
      </c>
      <c r="F27505" s="40" t="s">
        <v>11404</v>
      </c>
      <c r="G27505" s="40" t="s">
        <v>11404</v>
      </c>
      <c r="H27505" s="40" t="s">
        <v>11404</v>
      </c>
    </row>
    <row r="27506">
      <c r="A27506" s="39"/>
      <c r="E27506" s="40" t="s">
        <v>11404</v>
      </c>
      <c r="F27506" s="40" t="s">
        <v>11404</v>
      </c>
      <c r="G27506" s="40" t="s">
        <v>11404</v>
      </c>
      <c r="H27506" s="40" t="s">
        <v>11404</v>
      </c>
    </row>
    <row r="27507">
      <c r="A27507" s="39"/>
      <c r="E27507" s="40" t="s">
        <v>11404</v>
      </c>
      <c r="F27507" s="40" t="s">
        <v>11404</v>
      </c>
      <c r="G27507" s="40" t="s">
        <v>11404</v>
      </c>
      <c r="H27507" s="40" t="s">
        <v>11404</v>
      </c>
    </row>
    <row r="27508">
      <c r="A27508" s="39"/>
      <c r="E27508" s="40" t="s">
        <v>11404</v>
      </c>
      <c r="F27508" s="40" t="s">
        <v>11404</v>
      </c>
      <c r="G27508" s="40" t="s">
        <v>11404</v>
      </c>
      <c r="H27508" s="40" t="s">
        <v>11404</v>
      </c>
    </row>
    <row r="27509">
      <c r="A27509" s="39"/>
      <c r="E27509" s="40" t="s">
        <v>11404</v>
      </c>
      <c r="F27509" s="40" t="s">
        <v>11404</v>
      </c>
      <c r="G27509" s="40" t="s">
        <v>11404</v>
      </c>
      <c r="H27509" s="40" t="s">
        <v>11404</v>
      </c>
    </row>
    <row r="27510">
      <c r="A27510" s="39"/>
      <c r="E27510" s="40" t="s">
        <v>11404</v>
      </c>
      <c r="F27510" s="40" t="s">
        <v>11404</v>
      </c>
      <c r="G27510" s="40" t="s">
        <v>11404</v>
      </c>
      <c r="H27510" s="40" t="s">
        <v>11404</v>
      </c>
    </row>
    <row r="27511">
      <c r="A27511" s="39"/>
      <c r="E27511" s="40" t="s">
        <v>11404</v>
      </c>
      <c r="F27511" s="40" t="s">
        <v>11404</v>
      </c>
      <c r="G27511" s="40" t="s">
        <v>11404</v>
      </c>
      <c r="H27511" s="40" t="s">
        <v>11404</v>
      </c>
    </row>
    <row r="27512">
      <c r="A27512" s="39"/>
      <c r="E27512" s="40" t="s">
        <v>11404</v>
      </c>
      <c r="F27512" s="40" t="s">
        <v>11404</v>
      </c>
      <c r="G27512" s="40" t="s">
        <v>11404</v>
      </c>
      <c r="H27512" s="40" t="s">
        <v>11404</v>
      </c>
    </row>
    <row r="27513">
      <c r="A27513" s="39"/>
      <c r="E27513" s="40" t="s">
        <v>11404</v>
      </c>
      <c r="F27513" s="40" t="s">
        <v>11404</v>
      </c>
      <c r="G27513" s="40" t="s">
        <v>11404</v>
      </c>
      <c r="H27513" s="40" t="s">
        <v>11404</v>
      </c>
    </row>
    <row r="27514">
      <c r="A27514" s="39"/>
      <c r="E27514" s="40" t="s">
        <v>11404</v>
      </c>
      <c r="F27514" s="40" t="s">
        <v>11404</v>
      </c>
      <c r="G27514" s="40" t="s">
        <v>11404</v>
      </c>
      <c r="H27514" s="40" t="s">
        <v>11404</v>
      </c>
    </row>
    <row r="27515">
      <c r="A27515" s="39"/>
      <c r="E27515" s="40" t="s">
        <v>11404</v>
      </c>
      <c r="F27515" s="40" t="s">
        <v>11404</v>
      </c>
      <c r="G27515" s="40" t="s">
        <v>11404</v>
      </c>
      <c r="H27515" s="40" t="s">
        <v>11404</v>
      </c>
    </row>
    <row r="27516">
      <c r="A27516" s="39"/>
      <c r="E27516" s="40" t="s">
        <v>11404</v>
      </c>
      <c r="F27516" s="40" t="s">
        <v>11404</v>
      </c>
      <c r="G27516" s="40" t="s">
        <v>11404</v>
      </c>
      <c r="H27516" s="40" t="s">
        <v>11404</v>
      </c>
    </row>
    <row r="27517">
      <c r="A27517" s="39"/>
      <c r="E27517" s="40" t="s">
        <v>11404</v>
      </c>
      <c r="F27517" s="40" t="s">
        <v>11404</v>
      </c>
      <c r="G27517" s="40" t="s">
        <v>11404</v>
      </c>
      <c r="H27517" s="40" t="s">
        <v>11404</v>
      </c>
    </row>
    <row r="27518">
      <c r="A27518" s="39"/>
      <c r="E27518" s="40" t="s">
        <v>11404</v>
      </c>
      <c r="F27518" s="40" t="s">
        <v>11404</v>
      </c>
      <c r="G27518" s="40" t="s">
        <v>11404</v>
      </c>
      <c r="H27518" s="40" t="s">
        <v>11404</v>
      </c>
    </row>
    <row r="27519">
      <c r="A27519" s="39"/>
      <c r="E27519" s="40" t="s">
        <v>11404</v>
      </c>
      <c r="F27519" s="40" t="s">
        <v>11404</v>
      </c>
      <c r="G27519" s="40" t="s">
        <v>11404</v>
      </c>
      <c r="H27519" s="40" t="s">
        <v>11404</v>
      </c>
    </row>
    <row r="27520">
      <c r="A27520" s="39"/>
      <c r="E27520" s="40" t="s">
        <v>11404</v>
      </c>
      <c r="F27520" s="40" t="s">
        <v>11404</v>
      </c>
      <c r="G27520" s="40" t="s">
        <v>11404</v>
      </c>
      <c r="H27520" s="40" t="s">
        <v>11404</v>
      </c>
    </row>
    <row r="27521">
      <c r="A27521" s="39"/>
      <c r="E27521" s="40" t="s">
        <v>11404</v>
      </c>
      <c r="F27521" s="40" t="s">
        <v>11404</v>
      </c>
      <c r="G27521" s="40" t="s">
        <v>11404</v>
      </c>
      <c r="H27521" s="40" t="s">
        <v>11404</v>
      </c>
    </row>
    <row r="27522">
      <c r="A27522" s="39"/>
      <c r="E27522" s="40" t="s">
        <v>11404</v>
      </c>
      <c r="F27522" s="40" t="s">
        <v>11404</v>
      </c>
      <c r="G27522" s="40" t="s">
        <v>11404</v>
      </c>
      <c r="H27522" s="40" t="s">
        <v>11404</v>
      </c>
    </row>
    <row r="27523">
      <c r="A27523" s="39"/>
      <c r="E27523" s="40" t="s">
        <v>11404</v>
      </c>
      <c r="F27523" s="40" t="s">
        <v>11404</v>
      </c>
      <c r="G27523" s="40" t="s">
        <v>11404</v>
      </c>
      <c r="H27523" s="40" t="s">
        <v>11404</v>
      </c>
    </row>
    <row r="27524">
      <c r="A27524" s="39"/>
      <c r="E27524" s="40" t="s">
        <v>11404</v>
      </c>
      <c r="F27524" s="40" t="s">
        <v>11404</v>
      </c>
      <c r="G27524" s="40" t="s">
        <v>11404</v>
      </c>
      <c r="H27524" s="40" t="s">
        <v>11404</v>
      </c>
    </row>
    <row r="27525">
      <c r="A27525" s="39"/>
      <c r="E27525" s="40" t="s">
        <v>11404</v>
      </c>
      <c r="F27525" s="40" t="s">
        <v>11404</v>
      </c>
      <c r="G27525" s="40" t="s">
        <v>11404</v>
      </c>
      <c r="H27525" s="40" t="s">
        <v>11404</v>
      </c>
    </row>
    <row r="27526">
      <c r="A27526" s="39"/>
      <c r="E27526" s="40" t="s">
        <v>11404</v>
      </c>
      <c r="F27526" s="40" t="s">
        <v>11404</v>
      </c>
      <c r="G27526" s="40" t="s">
        <v>11404</v>
      </c>
      <c r="H27526" s="40" t="s">
        <v>11404</v>
      </c>
    </row>
    <row r="27527">
      <c r="A27527" s="39"/>
      <c r="E27527" s="40" t="s">
        <v>11404</v>
      </c>
      <c r="F27527" s="40" t="s">
        <v>11404</v>
      </c>
      <c r="G27527" s="40" t="s">
        <v>11404</v>
      </c>
      <c r="H27527" s="40" t="s">
        <v>11404</v>
      </c>
    </row>
    <row r="27528">
      <c r="A27528" s="39"/>
      <c r="E27528" s="40" t="s">
        <v>11404</v>
      </c>
      <c r="F27528" s="40" t="s">
        <v>11404</v>
      </c>
      <c r="G27528" s="40" t="s">
        <v>11404</v>
      </c>
      <c r="H27528" s="40" t="s">
        <v>11404</v>
      </c>
    </row>
    <row r="27529">
      <c r="A27529" s="39"/>
      <c r="E27529" s="40" t="s">
        <v>11404</v>
      </c>
      <c r="F27529" s="40" t="s">
        <v>11404</v>
      </c>
      <c r="G27529" s="40" t="s">
        <v>11404</v>
      </c>
      <c r="H27529" s="40" t="s">
        <v>11404</v>
      </c>
    </row>
    <row r="27530">
      <c r="A27530" s="39"/>
      <c r="E27530" s="40" t="s">
        <v>11404</v>
      </c>
      <c r="F27530" s="40" t="s">
        <v>11404</v>
      </c>
      <c r="G27530" s="40" t="s">
        <v>11404</v>
      </c>
      <c r="H27530" s="40" t="s">
        <v>11404</v>
      </c>
    </row>
    <row r="27531">
      <c r="A27531" s="39"/>
      <c r="E27531" s="40" t="s">
        <v>11404</v>
      </c>
      <c r="F27531" s="40" t="s">
        <v>11404</v>
      </c>
      <c r="G27531" s="40" t="s">
        <v>11404</v>
      </c>
      <c r="H27531" s="40" t="s">
        <v>11404</v>
      </c>
    </row>
    <row r="27532">
      <c r="A27532" s="39"/>
      <c r="E27532" s="40" t="s">
        <v>11404</v>
      </c>
      <c r="F27532" s="40" t="s">
        <v>11404</v>
      </c>
      <c r="G27532" s="40" t="s">
        <v>11404</v>
      </c>
      <c r="H27532" s="40" t="s">
        <v>11404</v>
      </c>
    </row>
    <row r="27533">
      <c r="A27533" s="39"/>
      <c r="E27533" s="40" t="s">
        <v>11404</v>
      </c>
      <c r="F27533" s="40" t="s">
        <v>11404</v>
      </c>
      <c r="G27533" s="40" t="s">
        <v>11404</v>
      </c>
      <c r="H27533" s="40" t="s">
        <v>11404</v>
      </c>
    </row>
    <row r="27534">
      <c r="A27534" s="39"/>
      <c r="E27534" s="40" t="s">
        <v>11404</v>
      </c>
      <c r="F27534" s="40" t="s">
        <v>11404</v>
      </c>
      <c r="G27534" s="40" t="s">
        <v>11404</v>
      </c>
      <c r="H27534" s="40" t="s">
        <v>11404</v>
      </c>
    </row>
    <row r="27535">
      <c r="A27535" s="39"/>
      <c r="E27535" s="40" t="s">
        <v>11404</v>
      </c>
      <c r="F27535" s="40" t="s">
        <v>11404</v>
      </c>
      <c r="G27535" s="40" t="s">
        <v>11404</v>
      </c>
      <c r="H27535" s="40" t="s">
        <v>11404</v>
      </c>
    </row>
    <row r="27536">
      <c r="A27536" s="39"/>
      <c r="E27536" s="40" t="s">
        <v>11404</v>
      </c>
      <c r="F27536" s="40" t="s">
        <v>11404</v>
      </c>
      <c r="G27536" s="40" t="s">
        <v>11404</v>
      </c>
      <c r="H27536" s="40" t="s">
        <v>11404</v>
      </c>
    </row>
    <row r="27537">
      <c r="A27537" s="39"/>
      <c r="E27537" s="40" t="s">
        <v>11404</v>
      </c>
      <c r="F27537" s="40" t="s">
        <v>11404</v>
      </c>
      <c r="G27537" s="40" t="s">
        <v>11404</v>
      </c>
      <c r="H27537" s="40" t="s">
        <v>11404</v>
      </c>
    </row>
    <row r="27538">
      <c r="A27538" s="39"/>
      <c r="E27538" s="40" t="s">
        <v>11404</v>
      </c>
      <c r="F27538" s="40" t="s">
        <v>11404</v>
      </c>
      <c r="G27538" s="40" t="s">
        <v>11404</v>
      </c>
      <c r="H27538" s="40" t="s">
        <v>11404</v>
      </c>
    </row>
    <row r="27539">
      <c r="A27539" s="39"/>
      <c r="E27539" s="40" t="s">
        <v>11404</v>
      </c>
      <c r="F27539" s="40" t="s">
        <v>11404</v>
      </c>
      <c r="G27539" s="40" t="s">
        <v>11404</v>
      </c>
      <c r="H27539" s="40" t="s">
        <v>11404</v>
      </c>
    </row>
    <row r="27540">
      <c r="A27540" s="39"/>
      <c r="E27540" s="40" t="s">
        <v>11404</v>
      </c>
      <c r="F27540" s="40" t="s">
        <v>11404</v>
      </c>
      <c r="G27540" s="40" t="s">
        <v>11404</v>
      </c>
      <c r="H27540" s="40" t="s">
        <v>11404</v>
      </c>
    </row>
    <row r="27541">
      <c r="A27541" s="39"/>
      <c r="E27541" s="40" t="s">
        <v>11404</v>
      </c>
      <c r="F27541" s="40" t="s">
        <v>11404</v>
      </c>
      <c r="G27541" s="40" t="s">
        <v>11404</v>
      </c>
      <c r="H27541" s="40" t="s">
        <v>11404</v>
      </c>
    </row>
    <row r="27542">
      <c r="A27542" s="39"/>
      <c r="E27542" s="40" t="s">
        <v>11404</v>
      </c>
      <c r="F27542" s="40" t="s">
        <v>11404</v>
      </c>
      <c r="G27542" s="40" t="s">
        <v>11404</v>
      </c>
      <c r="H27542" s="40" t="s">
        <v>11404</v>
      </c>
    </row>
    <row r="27543">
      <c r="A27543" s="39"/>
      <c r="E27543" s="40" t="s">
        <v>11404</v>
      </c>
      <c r="F27543" s="40" t="s">
        <v>11404</v>
      </c>
      <c r="G27543" s="40" t="s">
        <v>11404</v>
      </c>
      <c r="H27543" s="40" t="s">
        <v>11404</v>
      </c>
    </row>
    <row r="27544">
      <c r="A27544" s="39"/>
      <c r="E27544" s="40" t="s">
        <v>11404</v>
      </c>
      <c r="F27544" s="40" t="s">
        <v>11404</v>
      </c>
      <c r="G27544" s="40" t="s">
        <v>11404</v>
      </c>
      <c r="H27544" s="40" t="s">
        <v>11404</v>
      </c>
    </row>
    <row r="27545">
      <c r="A27545" s="39"/>
      <c r="E27545" s="40" t="s">
        <v>11404</v>
      </c>
      <c r="F27545" s="40" t="s">
        <v>11404</v>
      </c>
      <c r="G27545" s="40" t="s">
        <v>11404</v>
      </c>
      <c r="H27545" s="40" t="s">
        <v>11404</v>
      </c>
    </row>
    <row r="27546">
      <c r="A27546" s="39"/>
      <c r="E27546" s="40" t="s">
        <v>11404</v>
      </c>
      <c r="F27546" s="40" t="s">
        <v>11404</v>
      </c>
      <c r="G27546" s="40" t="s">
        <v>11404</v>
      </c>
      <c r="H27546" s="40" t="s">
        <v>11404</v>
      </c>
    </row>
    <row r="27547">
      <c r="A27547" s="39"/>
      <c r="E27547" s="40" t="s">
        <v>11404</v>
      </c>
      <c r="F27547" s="40" t="s">
        <v>11404</v>
      </c>
      <c r="G27547" s="40" t="s">
        <v>11404</v>
      </c>
      <c r="H27547" s="40" t="s">
        <v>11404</v>
      </c>
    </row>
    <row r="27548">
      <c r="A27548" s="39"/>
      <c r="E27548" s="40" t="s">
        <v>11404</v>
      </c>
      <c r="F27548" s="40" t="s">
        <v>11404</v>
      </c>
      <c r="G27548" s="40" t="s">
        <v>11404</v>
      </c>
      <c r="H27548" s="40" t="s">
        <v>11404</v>
      </c>
    </row>
    <row r="27549">
      <c r="A27549" s="39"/>
      <c r="E27549" s="40" t="s">
        <v>11404</v>
      </c>
      <c r="F27549" s="40" t="s">
        <v>11404</v>
      </c>
      <c r="G27549" s="40" t="s">
        <v>11404</v>
      </c>
      <c r="H27549" s="40" t="s">
        <v>11404</v>
      </c>
    </row>
    <row r="27550">
      <c r="A27550" s="39"/>
      <c r="E27550" s="40" t="s">
        <v>11404</v>
      </c>
      <c r="F27550" s="40" t="s">
        <v>11404</v>
      </c>
      <c r="G27550" s="40" t="s">
        <v>11404</v>
      </c>
      <c r="H27550" s="40" t="s">
        <v>11404</v>
      </c>
    </row>
    <row r="27551">
      <c r="A27551" s="39"/>
      <c r="E27551" s="40" t="s">
        <v>11404</v>
      </c>
      <c r="F27551" s="40" t="s">
        <v>11404</v>
      </c>
      <c r="G27551" s="40" t="s">
        <v>11404</v>
      </c>
      <c r="H27551" s="40" t="s">
        <v>11404</v>
      </c>
    </row>
    <row r="27552">
      <c r="A27552" s="39"/>
      <c r="E27552" s="40" t="s">
        <v>11404</v>
      </c>
      <c r="F27552" s="40" t="s">
        <v>11404</v>
      </c>
      <c r="G27552" s="40" t="s">
        <v>11404</v>
      </c>
      <c r="H27552" s="40" t="s">
        <v>11404</v>
      </c>
    </row>
    <row r="27553">
      <c r="A27553" s="39"/>
      <c r="E27553" s="40" t="s">
        <v>11404</v>
      </c>
      <c r="F27553" s="40" t="s">
        <v>11404</v>
      </c>
      <c r="G27553" s="40" t="s">
        <v>11404</v>
      </c>
      <c r="H27553" s="40" t="s">
        <v>11404</v>
      </c>
    </row>
    <row r="27554">
      <c r="A27554" s="39"/>
      <c r="E27554" s="40" t="s">
        <v>11404</v>
      </c>
      <c r="F27554" s="40" t="s">
        <v>11404</v>
      </c>
      <c r="G27554" s="40" t="s">
        <v>11404</v>
      </c>
      <c r="H27554" s="40" t="s">
        <v>11404</v>
      </c>
    </row>
    <row r="27555">
      <c r="A27555" s="39"/>
      <c r="E27555" s="40" t="s">
        <v>11404</v>
      </c>
      <c r="F27555" s="40" t="s">
        <v>11404</v>
      </c>
      <c r="G27555" s="40" t="s">
        <v>11404</v>
      </c>
      <c r="H27555" s="40" t="s">
        <v>11404</v>
      </c>
    </row>
    <row r="27556">
      <c r="A27556" s="39"/>
      <c r="E27556" s="40" t="s">
        <v>11404</v>
      </c>
      <c r="F27556" s="40" t="s">
        <v>11404</v>
      </c>
      <c r="G27556" s="40" t="s">
        <v>11404</v>
      </c>
      <c r="H27556" s="40" t="s">
        <v>11404</v>
      </c>
    </row>
    <row r="27557">
      <c r="A27557" s="39"/>
      <c r="E27557" s="40" t="s">
        <v>11404</v>
      </c>
      <c r="F27557" s="40" t="s">
        <v>11404</v>
      </c>
      <c r="G27557" s="40" t="s">
        <v>11404</v>
      </c>
      <c r="H27557" s="40" t="s">
        <v>11404</v>
      </c>
    </row>
    <row r="27558">
      <c r="A27558" s="39"/>
      <c r="E27558" s="40" t="s">
        <v>11404</v>
      </c>
      <c r="F27558" s="40" t="s">
        <v>11404</v>
      </c>
      <c r="G27558" s="40" t="s">
        <v>11404</v>
      </c>
      <c r="H27558" s="40" t="s">
        <v>11404</v>
      </c>
    </row>
    <row r="27559">
      <c r="A27559" s="39"/>
      <c r="E27559" s="40" t="s">
        <v>11404</v>
      </c>
      <c r="F27559" s="40" t="s">
        <v>11404</v>
      </c>
      <c r="G27559" s="40" t="s">
        <v>11404</v>
      </c>
      <c r="H27559" s="40" t="s">
        <v>11404</v>
      </c>
    </row>
    <row r="27560">
      <c r="A27560" s="39"/>
      <c r="E27560" s="40" t="s">
        <v>11404</v>
      </c>
      <c r="F27560" s="40" t="s">
        <v>11404</v>
      </c>
      <c r="G27560" s="40" t="s">
        <v>11404</v>
      </c>
      <c r="H27560" s="40" t="s">
        <v>11404</v>
      </c>
    </row>
    <row r="27561">
      <c r="A27561" s="39"/>
      <c r="E27561" s="40" t="s">
        <v>11404</v>
      </c>
      <c r="F27561" s="40" t="s">
        <v>11404</v>
      </c>
      <c r="G27561" s="40" t="s">
        <v>11404</v>
      </c>
      <c r="H27561" s="40" t="s">
        <v>11404</v>
      </c>
    </row>
    <row r="27562">
      <c r="A27562" s="39"/>
      <c r="E27562" s="40" t="s">
        <v>11404</v>
      </c>
      <c r="F27562" s="40" t="s">
        <v>11404</v>
      </c>
      <c r="G27562" s="40" t="s">
        <v>11404</v>
      </c>
      <c r="H27562" s="40" t="s">
        <v>11404</v>
      </c>
    </row>
    <row r="27563">
      <c r="A27563" s="39"/>
      <c r="E27563" s="40" t="s">
        <v>11404</v>
      </c>
      <c r="F27563" s="40" t="s">
        <v>11404</v>
      </c>
      <c r="G27563" s="40" t="s">
        <v>11404</v>
      </c>
      <c r="H27563" s="40" t="s">
        <v>11404</v>
      </c>
    </row>
    <row r="27564">
      <c r="A27564" s="39"/>
      <c r="E27564" s="40" t="s">
        <v>11404</v>
      </c>
      <c r="F27564" s="40" t="s">
        <v>11404</v>
      </c>
      <c r="G27564" s="40" t="s">
        <v>11404</v>
      </c>
      <c r="H27564" s="40" t="s">
        <v>11404</v>
      </c>
    </row>
    <row r="27565">
      <c r="A27565" s="39"/>
      <c r="E27565" s="40" t="s">
        <v>11404</v>
      </c>
      <c r="F27565" s="40" t="s">
        <v>11404</v>
      </c>
      <c r="G27565" s="40" t="s">
        <v>11404</v>
      </c>
      <c r="H27565" s="40" t="s">
        <v>11404</v>
      </c>
    </row>
    <row r="27566">
      <c r="A27566" s="39"/>
      <c r="E27566" s="40" t="s">
        <v>11404</v>
      </c>
      <c r="F27566" s="40" t="s">
        <v>11404</v>
      </c>
      <c r="G27566" s="40" t="s">
        <v>11404</v>
      </c>
      <c r="H27566" s="40" t="s">
        <v>11404</v>
      </c>
    </row>
    <row r="27567">
      <c r="A27567" s="39"/>
      <c r="E27567" s="40" t="s">
        <v>11404</v>
      </c>
      <c r="F27567" s="40" t="s">
        <v>11404</v>
      </c>
      <c r="G27567" s="40" t="s">
        <v>11404</v>
      </c>
      <c r="H27567" s="40" t="s">
        <v>11404</v>
      </c>
    </row>
    <row r="27568">
      <c r="A27568" s="39"/>
      <c r="E27568" s="40" t="s">
        <v>11404</v>
      </c>
      <c r="F27568" s="40" t="s">
        <v>11404</v>
      </c>
      <c r="G27568" s="40" t="s">
        <v>11404</v>
      </c>
      <c r="H27568" s="40" t="s">
        <v>11404</v>
      </c>
    </row>
    <row r="27569">
      <c r="A27569" s="39"/>
      <c r="E27569" s="40" t="s">
        <v>11404</v>
      </c>
      <c r="F27569" s="40" t="s">
        <v>11404</v>
      </c>
      <c r="G27569" s="40" t="s">
        <v>11404</v>
      </c>
      <c r="H27569" s="40" t="s">
        <v>11404</v>
      </c>
    </row>
    <row r="27570">
      <c r="A27570" s="39"/>
      <c r="E27570" s="40" t="s">
        <v>11404</v>
      </c>
      <c r="F27570" s="40" t="s">
        <v>11404</v>
      </c>
      <c r="G27570" s="40" t="s">
        <v>11404</v>
      </c>
      <c r="H27570" s="40" t="s">
        <v>11404</v>
      </c>
    </row>
    <row r="27571">
      <c r="A27571" s="39"/>
      <c r="E27571" s="40" t="s">
        <v>11404</v>
      </c>
      <c r="F27571" s="40" t="s">
        <v>11404</v>
      </c>
      <c r="G27571" s="40" t="s">
        <v>11404</v>
      </c>
      <c r="H27571" s="40" t="s">
        <v>11404</v>
      </c>
    </row>
    <row r="27572">
      <c r="A27572" s="39"/>
      <c r="E27572" s="40" t="s">
        <v>11404</v>
      </c>
      <c r="F27572" s="40" t="s">
        <v>11404</v>
      </c>
      <c r="G27572" s="40" t="s">
        <v>11404</v>
      </c>
      <c r="H27572" s="40" t="s">
        <v>11404</v>
      </c>
    </row>
    <row r="27573">
      <c r="A27573" s="39"/>
      <c r="E27573" s="40" t="s">
        <v>11404</v>
      </c>
      <c r="F27573" s="40" t="s">
        <v>11404</v>
      </c>
      <c r="G27573" s="40" t="s">
        <v>11404</v>
      </c>
      <c r="H27573" s="40" t="s">
        <v>11404</v>
      </c>
    </row>
    <row r="27574">
      <c r="A27574" s="39"/>
      <c r="E27574" s="40" t="s">
        <v>11404</v>
      </c>
      <c r="F27574" s="40" t="s">
        <v>11404</v>
      </c>
      <c r="G27574" s="40" t="s">
        <v>11404</v>
      </c>
      <c r="H27574" s="40" t="s">
        <v>11404</v>
      </c>
    </row>
    <row r="27575">
      <c r="A27575" s="39"/>
      <c r="E27575" s="40" t="s">
        <v>11404</v>
      </c>
      <c r="F27575" s="40" t="s">
        <v>11404</v>
      </c>
      <c r="G27575" s="40" t="s">
        <v>11404</v>
      </c>
      <c r="H27575" s="40" t="s">
        <v>11404</v>
      </c>
    </row>
    <row r="27576">
      <c r="A27576" s="39"/>
      <c r="E27576" s="40" t="s">
        <v>11404</v>
      </c>
      <c r="F27576" s="40" t="s">
        <v>11404</v>
      </c>
      <c r="G27576" s="40" t="s">
        <v>11404</v>
      </c>
      <c r="H27576" s="40" t="s">
        <v>11404</v>
      </c>
    </row>
    <row r="27577">
      <c r="A27577" s="39"/>
      <c r="E27577" s="40" t="s">
        <v>11404</v>
      </c>
      <c r="F27577" s="40" t="s">
        <v>11404</v>
      </c>
      <c r="G27577" s="40" t="s">
        <v>11404</v>
      </c>
      <c r="H27577" s="40" t="s">
        <v>11404</v>
      </c>
    </row>
    <row r="27578">
      <c r="A27578" s="39"/>
      <c r="E27578" s="40" t="s">
        <v>11404</v>
      </c>
      <c r="F27578" s="40" t="s">
        <v>11404</v>
      </c>
      <c r="G27578" s="40" t="s">
        <v>11404</v>
      </c>
      <c r="H27578" s="40" t="s">
        <v>11404</v>
      </c>
    </row>
    <row r="27579">
      <c r="A27579" s="39"/>
      <c r="E27579" s="40" t="s">
        <v>11404</v>
      </c>
      <c r="F27579" s="40" t="s">
        <v>11404</v>
      </c>
      <c r="G27579" s="40" t="s">
        <v>11404</v>
      </c>
      <c r="H27579" s="40" t="s">
        <v>11404</v>
      </c>
    </row>
    <row r="27580">
      <c r="A27580" s="39"/>
      <c r="E27580" s="40" t="s">
        <v>11404</v>
      </c>
      <c r="F27580" s="40" t="s">
        <v>11404</v>
      </c>
      <c r="G27580" s="40" t="s">
        <v>11404</v>
      </c>
      <c r="H27580" s="40" t="s">
        <v>11404</v>
      </c>
    </row>
    <row r="27581">
      <c r="A27581" s="39"/>
      <c r="E27581" s="40" t="s">
        <v>11404</v>
      </c>
      <c r="F27581" s="40" t="s">
        <v>11404</v>
      </c>
      <c r="G27581" s="40" t="s">
        <v>11404</v>
      </c>
      <c r="H27581" s="40" t="s">
        <v>11404</v>
      </c>
    </row>
    <row r="27582">
      <c r="A27582" s="39"/>
      <c r="E27582" s="40" t="s">
        <v>11404</v>
      </c>
      <c r="F27582" s="40" t="s">
        <v>11404</v>
      </c>
      <c r="G27582" s="40" t="s">
        <v>11404</v>
      </c>
      <c r="H27582" s="40" t="s">
        <v>11404</v>
      </c>
    </row>
    <row r="27583">
      <c r="A27583" s="39"/>
      <c r="E27583" s="40" t="s">
        <v>11404</v>
      </c>
      <c r="F27583" s="40" t="s">
        <v>11404</v>
      </c>
      <c r="G27583" s="40" t="s">
        <v>11404</v>
      </c>
      <c r="H27583" s="40" t="s">
        <v>11404</v>
      </c>
    </row>
    <row r="27584">
      <c r="A27584" s="39"/>
      <c r="E27584" s="40" t="s">
        <v>11404</v>
      </c>
      <c r="F27584" s="40" t="s">
        <v>11404</v>
      </c>
      <c r="G27584" s="40" t="s">
        <v>11404</v>
      </c>
      <c r="H27584" s="40" t="s">
        <v>11404</v>
      </c>
    </row>
    <row r="27585">
      <c r="A27585" s="39"/>
      <c r="E27585" s="40" t="s">
        <v>11404</v>
      </c>
      <c r="F27585" s="40" t="s">
        <v>11404</v>
      </c>
      <c r="G27585" s="40" t="s">
        <v>11404</v>
      </c>
      <c r="H27585" s="40" t="s">
        <v>11404</v>
      </c>
    </row>
    <row r="27586">
      <c r="A27586" s="39"/>
      <c r="E27586" s="40" t="s">
        <v>11404</v>
      </c>
      <c r="F27586" s="40" t="s">
        <v>11404</v>
      </c>
      <c r="G27586" s="40" t="s">
        <v>11404</v>
      </c>
      <c r="H27586" s="40" t="s">
        <v>11404</v>
      </c>
    </row>
    <row r="27587">
      <c r="A27587" s="39"/>
      <c r="E27587" s="40" t="s">
        <v>11404</v>
      </c>
      <c r="F27587" s="40" t="s">
        <v>11404</v>
      </c>
      <c r="G27587" s="40" t="s">
        <v>11404</v>
      </c>
      <c r="H27587" s="40" t="s">
        <v>11404</v>
      </c>
    </row>
    <row r="27588">
      <c r="A27588" s="39"/>
      <c r="E27588" s="40" t="s">
        <v>11404</v>
      </c>
      <c r="F27588" s="40" t="s">
        <v>11404</v>
      </c>
      <c r="G27588" s="40" t="s">
        <v>11404</v>
      </c>
      <c r="H27588" s="40" t="s">
        <v>11404</v>
      </c>
    </row>
    <row r="27589">
      <c r="A27589" s="39"/>
      <c r="E27589" s="40" t="s">
        <v>11404</v>
      </c>
      <c r="F27589" s="40" t="s">
        <v>11404</v>
      </c>
      <c r="G27589" s="40" t="s">
        <v>11404</v>
      </c>
      <c r="H27589" s="40" t="s">
        <v>11404</v>
      </c>
    </row>
    <row r="27590">
      <c r="A27590" s="39"/>
      <c r="E27590" s="40" t="s">
        <v>11404</v>
      </c>
      <c r="F27590" s="40" t="s">
        <v>11404</v>
      </c>
      <c r="G27590" s="40" t="s">
        <v>11404</v>
      </c>
      <c r="H27590" s="40" t="s">
        <v>11404</v>
      </c>
    </row>
    <row r="27591">
      <c r="A27591" s="39"/>
      <c r="E27591" s="40" t="s">
        <v>11404</v>
      </c>
      <c r="F27591" s="40" t="s">
        <v>11404</v>
      </c>
      <c r="G27591" s="40" t="s">
        <v>11404</v>
      </c>
      <c r="H27591" s="40" t="s">
        <v>11404</v>
      </c>
    </row>
    <row r="27592">
      <c r="A27592" s="39"/>
      <c r="E27592" s="40" t="s">
        <v>11404</v>
      </c>
      <c r="F27592" s="40" t="s">
        <v>11404</v>
      </c>
      <c r="G27592" s="40" t="s">
        <v>11404</v>
      </c>
      <c r="H27592" s="40" t="s">
        <v>11404</v>
      </c>
    </row>
    <row r="27593">
      <c r="A27593" s="39"/>
      <c r="E27593" s="40" t="s">
        <v>11404</v>
      </c>
      <c r="F27593" s="40" t="s">
        <v>11404</v>
      </c>
      <c r="G27593" s="40" t="s">
        <v>11404</v>
      </c>
      <c r="H27593" s="40" t="s">
        <v>11404</v>
      </c>
    </row>
    <row r="27594">
      <c r="A27594" s="39"/>
      <c r="E27594" s="40" t="s">
        <v>11404</v>
      </c>
      <c r="F27594" s="40" t="s">
        <v>11404</v>
      </c>
      <c r="G27594" s="40" t="s">
        <v>11404</v>
      </c>
      <c r="H27594" s="40" t="s">
        <v>11404</v>
      </c>
    </row>
    <row r="27595">
      <c r="A27595" s="39"/>
      <c r="E27595" s="40" t="s">
        <v>11404</v>
      </c>
      <c r="F27595" s="40" t="s">
        <v>11404</v>
      </c>
      <c r="G27595" s="40" t="s">
        <v>11404</v>
      </c>
      <c r="H27595" s="40" t="s">
        <v>11404</v>
      </c>
    </row>
    <row r="27596">
      <c r="A27596" s="39"/>
      <c r="E27596" s="40" t="s">
        <v>11404</v>
      </c>
      <c r="F27596" s="40" t="s">
        <v>11404</v>
      </c>
      <c r="G27596" s="40" t="s">
        <v>11404</v>
      </c>
      <c r="H27596" s="40" t="s">
        <v>11404</v>
      </c>
    </row>
    <row r="27597">
      <c r="A27597" s="39"/>
      <c r="E27597" s="40" t="s">
        <v>11404</v>
      </c>
      <c r="F27597" s="40" t="s">
        <v>11404</v>
      </c>
      <c r="G27597" s="40" t="s">
        <v>11404</v>
      </c>
      <c r="H27597" s="40" t="s">
        <v>11404</v>
      </c>
    </row>
    <row r="27598">
      <c r="A27598" s="39"/>
      <c r="E27598" s="40" t="s">
        <v>11404</v>
      </c>
      <c r="F27598" s="40" t="s">
        <v>11404</v>
      </c>
      <c r="G27598" s="40" t="s">
        <v>11404</v>
      </c>
      <c r="H27598" s="40" t="s">
        <v>11404</v>
      </c>
    </row>
    <row r="27599">
      <c r="A27599" s="39"/>
      <c r="E27599" s="40" t="s">
        <v>11404</v>
      </c>
      <c r="F27599" s="40" t="s">
        <v>11404</v>
      </c>
      <c r="G27599" s="40" t="s">
        <v>11404</v>
      </c>
      <c r="H27599" s="40" t="s">
        <v>11404</v>
      </c>
    </row>
    <row r="27600">
      <c r="A27600" s="39"/>
      <c r="E27600" s="40" t="s">
        <v>11404</v>
      </c>
      <c r="F27600" s="40" t="s">
        <v>11404</v>
      </c>
      <c r="G27600" s="40" t="s">
        <v>11404</v>
      </c>
      <c r="H27600" s="40" t="s">
        <v>11404</v>
      </c>
    </row>
    <row r="27601">
      <c r="A27601" s="39"/>
      <c r="E27601" s="40" t="s">
        <v>11404</v>
      </c>
      <c r="F27601" s="40" t="s">
        <v>11404</v>
      </c>
      <c r="G27601" s="40" t="s">
        <v>11404</v>
      </c>
      <c r="H27601" s="40" t="s">
        <v>11404</v>
      </c>
    </row>
    <row r="27602">
      <c r="A27602" s="39"/>
      <c r="E27602" s="40" t="s">
        <v>11404</v>
      </c>
      <c r="F27602" s="40" t="s">
        <v>11404</v>
      </c>
      <c r="G27602" s="40" t="s">
        <v>11404</v>
      </c>
      <c r="H27602" s="40" t="s">
        <v>11404</v>
      </c>
    </row>
    <row r="27603">
      <c r="A27603" s="39"/>
      <c r="E27603" s="40" t="s">
        <v>11404</v>
      </c>
      <c r="F27603" s="40" t="s">
        <v>11404</v>
      </c>
      <c r="G27603" s="40" t="s">
        <v>11404</v>
      </c>
      <c r="H27603" s="40" t="s">
        <v>11404</v>
      </c>
    </row>
    <row r="27604">
      <c r="A27604" s="39"/>
      <c r="E27604" s="40" t="s">
        <v>11404</v>
      </c>
      <c r="F27604" s="40" t="s">
        <v>11404</v>
      </c>
      <c r="G27604" s="40" t="s">
        <v>11404</v>
      </c>
      <c r="H27604" s="40" t="s">
        <v>11404</v>
      </c>
    </row>
    <row r="27605">
      <c r="A27605" s="39"/>
      <c r="E27605" s="40" t="s">
        <v>11404</v>
      </c>
      <c r="F27605" s="40" t="s">
        <v>11404</v>
      </c>
      <c r="G27605" s="40" t="s">
        <v>11404</v>
      </c>
      <c r="H27605" s="40" t="s">
        <v>11404</v>
      </c>
    </row>
    <row r="27606">
      <c r="A27606" s="39"/>
      <c r="E27606" s="40" t="s">
        <v>11404</v>
      </c>
      <c r="F27606" s="40" t="s">
        <v>11404</v>
      </c>
      <c r="G27606" s="40" t="s">
        <v>11404</v>
      </c>
      <c r="H27606" s="40" t="s">
        <v>11404</v>
      </c>
    </row>
    <row r="27607">
      <c r="A27607" s="39"/>
      <c r="E27607" s="40" t="s">
        <v>11404</v>
      </c>
      <c r="F27607" s="40" t="s">
        <v>11404</v>
      </c>
      <c r="G27607" s="40" t="s">
        <v>11404</v>
      </c>
      <c r="H27607" s="40" t="s">
        <v>11404</v>
      </c>
    </row>
    <row r="27608">
      <c r="A27608" s="39"/>
      <c r="E27608" s="40" t="s">
        <v>11404</v>
      </c>
      <c r="F27608" s="40" t="s">
        <v>11404</v>
      </c>
      <c r="G27608" s="40" t="s">
        <v>11404</v>
      </c>
      <c r="H27608" s="40" t="s">
        <v>11404</v>
      </c>
    </row>
    <row r="27609">
      <c r="A27609" s="39"/>
      <c r="E27609" s="40" t="s">
        <v>11404</v>
      </c>
      <c r="F27609" s="40" t="s">
        <v>11404</v>
      </c>
      <c r="G27609" s="40" t="s">
        <v>11404</v>
      </c>
      <c r="H27609" s="40" t="s">
        <v>11404</v>
      </c>
    </row>
    <row r="27610">
      <c r="A27610" s="39"/>
      <c r="E27610" s="40" t="s">
        <v>11404</v>
      </c>
      <c r="F27610" s="40" t="s">
        <v>11404</v>
      </c>
      <c r="G27610" s="40" t="s">
        <v>11404</v>
      </c>
      <c r="H27610" s="40" t="s">
        <v>11404</v>
      </c>
    </row>
    <row r="27611">
      <c r="A27611" s="39"/>
      <c r="E27611" s="40" t="s">
        <v>11404</v>
      </c>
      <c r="F27611" s="40" t="s">
        <v>11404</v>
      </c>
      <c r="G27611" s="40" t="s">
        <v>11404</v>
      </c>
      <c r="H27611" s="40" t="s">
        <v>11404</v>
      </c>
    </row>
    <row r="27612">
      <c r="A27612" s="39"/>
      <c r="E27612" s="40" t="s">
        <v>11404</v>
      </c>
      <c r="F27612" s="40" t="s">
        <v>11404</v>
      </c>
      <c r="G27612" s="40" t="s">
        <v>11404</v>
      </c>
      <c r="H27612" s="40" t="s">
        <v>11404</v>
      </c>
    </row>
    <row r="27613">
      <c r="A27613" s="39"/>
      <c r="E27613" s="40" t="s">
        <v>11404</v>
      </c>
      <c r="F27613" s="40" t="s">
        <v>11404</v>
      </c>
      <c r="G27613" s="40" t="s">
        <v>11404</v>
      </c>
      <c r="H27613" s="40" t="s">
        <v>11404</v>
      </c>
    </row>
    <row r="27614">
      <c r="A27614" s="39"/>
      <c r="E27614" s="40" t="s">
        <v>11404</v>
      </c>
      <c r="F27614" s="40" t="s">
        <v>11404</v>
      </c>
      <c r="G27614" s="40" t="s">
        <v>11404</v>
      </c>
      <c r="H27614" s="40" t="s">
        <v>11404</v>
      </c>
    </row>
    <row r="27615">
      <c r="A27615" s="39"/>
      <c r="E27615" s="40" t="s">
        <v>11404</v>
      </c>
      <c r="F27615" s="40" t="s">
        <v>11404</v>
      </c>
      <c r="G27615" s="40" t="s">
        <v>11404</v>
      </c>
      <c r="H27615" s="40" t="s">
        <v>11404</v>
      </c>
    </row>
    <row r="27616">
      <c r="A27616" s="39"/>
      <c r="E27616" s="40" t="s">
        <v>11404</v>
      </c>
      <c r="F27616" s="40" t="s">
        <v>11404</v>
      </c>
      <c r="G27616" s="40" t="s">
        <v>11404</v>
      </c>
      <c r="H27616" s="40" t="s">
        <v>11404</v>
      </c>
    </row>
    <row r="27617">
      <c r="A27617" s="39"/>
      <c r="E27617" s="40" t="s">
        <v>11404</v>
      </c>
      <c r="F27617" s="40" t="s">
        <v>11404</v>
      </c>
      <c r="G27617" s="40" t="s">
        <v>11404</v>
      </c>
      <c r="H27617" s="40" t="s">
        <v>11404</v>
      </c>
    </row>
    <row r="27618">
      <c r="A27618" s="39"/>
      <c r="E27618" s="40" t="s">
        <v>11404</v>
      </c>
      <c r="F27618" s="40" t="s">
        <v>11404</v>
      </c>
      <c r="G27618" s="40" t="s">
        <v>11404</v>
      </c>
      <c r="H27618" s="40" t="s">
        <v>11404</v>
      </c>
    </row>
    <row r="27619">
      <c r="A27619" s="39"/>
      <c r="E27619" s="40" t="s">
        <v>11404</v>
      </c>
      <c r="F27619" s="40" t="s">
        <v>11404</v>
      </c>
      <c r="G27619" s="40" t="s">
        <v>11404</v>
      </c>
      <c r="H27619" s="40" t="s">
        <v>11404</v>
      </c>
    </row>
    <row r="27620">
      <c r="A27620" s="39"/>
      <c r="E27620" s="40" t="s">
        <v>11404</v>
      </c>
      <c r="F27620" s="40" t="s">
        <v>11404</v>
      </c>
      <c r="G27620" s="40" t="s">
        <v>11404</v>
      </c>
      <c r="H27620" s="40" t="s">
        <v>11404</v>
      </c>
    </row>
    <row r="27621">
      <c r="A27621" s="39"/>
      <c r="E27621" s="40" t="s">
        <v>11404</v>
      </c>
      <c r="F27621" s="40" t="s">
        <v>11404</v>
      </c>
      <c r="G27621" s="40" t="s">
        <v>11404</v>
      </c>
      <c r="H27621" s="40" t="s">
        <v>11404</v>
      </c>
    </row>
    <row r="27622">
      <c r="A27622" s="39"/>
      <c r="E27622" s="40" t="s">
        <v>11404</v>
      </c>
      <c r="F27622" s="40" t="s">
        <v>11404</v>
      </c>
      <c r="G27622" s="40" t="s">
        <v>11404</v>
      </c>
      <c r="H27622" s="40" t="s">
        <v>11404</v>
      </c>
    </row>
    <row r="27623">
      <c r="A27623" s="39"/>
      <c r="E27623" s="40" t="s">
        <v>11404</v>
      </c>
      <c r="F27623" s="40" t="s">
        <v>11404</v>
      </c>
      <c r="G27623" s="40" t="s">
        <v>11404</v>
      </c>
      <c r="H27623" s="40" t="s">
        <v>11404</v>
      </c>
    </row>
    <row r="27624">
      <c r="A27624" s="39"/>
      <c r="E27624" s="40" t="s">
        <v>11404</v>
      </c>
      <c r="F27624" s="40" t="s">
        <v>11404</v>
      </c>
      <c r="G27624" s="40" t="s">
        <v>11404</v>
      </c>
      <c r="H27624" s="40" t="s">
        <v>11404</v>
      </c>
    </row>
    <row r="27625">
      <c r="A27625" s="39"/>
      <c r="E27625" s="40" t="s">
        <v>11404</v>
      </c>
      <c r="F27625" s="40" t="s">
        <v>11404</v>
      </c>
      <c r="G27625" s="40" t="s">
        <v>11404</v>
      </c>
      <c r="H27625" s="40" t="s">
        <v>11404</v>
      </c>
    </row>
    <row r="27626">
      <c r="A27626" s="39"/>
      <c r="E27626" s="40" t="s">
        <v>11404</v>
      </c>
      <c r="F27626" s="40" t="s">
        <v>11404</v>
      </c>
      <c r="G27626" s="40" t="s">
        <v>11404</v>
      </c>
      <c r="H27626" s="40" t="s">
        <v>11404</v>
      </c>
    </row>
    <row r="27627">
      <c r="A27627" s="39"/>
      <c r="E27627" s="40" t="s">
        <v>11404</v>
      </c>
      <c r="F27627" s="40" t="s">
        <v>11404</v>
      </c>
      <c r="G27627" s="40" t="s">
        <v>11404</v>
      </c>
      <c r="H27627" s="40" t="s">
        <v>11404</v>
      </c>
    </row>
    <row r="27628">
      <c r="A27628" s="39"/>
      <c r="E27628" s="40" t="s">
        <v>11404</v>
      </c>
      <c r="F27628" s="40" t="s">
        <v>11404</v>
      </c>
      <c r="G27628" s="40" t="s">
        <v>11404</v>
      </c>
      <c r="H27628" s="40" t="s">
        <v>11404</v>
      </c>
    </row>
    <row r="27629">
      <c r="A27629" s="39"/>
      <c r="E27629" s="40" t="s">
        <v>11404</v>
      </c>
      <c r="F27629" s="40" t="s">
        <v>11404</v>
      </c>
      <c r="G27629" s="40" t="s">
        <v>11404</v>
      </c>
      <c r="H27629" s="40" t="s">
        <v>11404</v>
      </c>
    </row>
    <row r="27630">
      <c r="A27630" s="39"/>
      <c r="E27630" s="40" t="s">
        <v>11404</v>
      </c>
      <c r="F27630" s="40" t="s">
        <v>11404</v>
      </c>
      <c r="G27630" s="40" t="s">
        <v>11404</v>
      </c>
      <c r="H27630" s="40" t="s">
        <v>11404</v>
      </c>
    </row>
    <row r="27631">
      <c r="A27631" s="39"/>
      <c r="E27631" s="40" t="s">
        <v>11404</v>
      </c>
      <c r="F27631" s="40" t="s">
        <v>11404</v>
      </c>
      <c r="G27631" s="40" t="s">
        <v>11404</v>
      </c>
      <c r="H27631" s="40" t="s">
        <v>11404</v>
      </c>
    </row>
    <row r="27632">
      <c r="A27632" s="39"/>
      <c r="E27632" s="40" t="s">
        <v>11404</v>
      </c>
      <c r="F27632" s="40" t="s">
        <v>11404</v>
      </c>
      <c r="G27632" s="40" t="s">
        <v>11404</v>
      </c>
      <c r="H27632" s="40" t="s">
        <v>11404</v>
      </c>
    </row>
    <row r="27633">
      <c r="A27633" s="39"/>
      <c r="E27633" s="40" t="s">
        <v>11404</v>
      </c>
      <c r="F27633" s="40" t="s">
        <v>11404</v>
      </c>
      <c r="G27633" s="40" t="s">
        <v>11404</v>
      </c>
      <c r="H27633" s="40" t="s">
        <v>11404</v>
      </c>
    </row>
    <row r="27634">
      <c r="A27634" s="39"/>
      <c r="E27634" s="40" t="s">
        <v>11404</v>
      </c>
      <c r="F27634" s="40" t="s">
        <v>11404</v>
      </c>
      <c r="G27634" s="40" t="s">
        <v>11404</v>
      </c>
      <c r="H27634" s="40" t="s">
        <v>11404</v>
      </c>
    </row>
    <row r="27635">
      <c r="A27635" s="39"/>
      <c r="E27635" s="40" t="s">
        <v>11404</v>
      </c>
      <c r="F27635" s="40" t="s">
        <v>11404</v>
      </c>
      <c r="G27635" s="40" t="s">
        <v>11404</v>
      </c>
      <c r="H27635" s="40" t="s">
        <v>11404</v>
      </c>
    </row>
    <row r="27636">
      <c r="A27636" s="39"/>
      <c r="E27636" s="40" t="s">
        <v>11404</v>
      </c>
      <c r="F27636" s="40" t="s">
        <v>11404</v>
      </c>
      <c r="G27636" s="40" t="s">
        <v>11404</v>
      </c>
      <c r="H27636" s="40" t="s">
        <v>11404</v>
      </c>
    </row>
    <row r="27637">
      <c r="A27637" s="39"/>
      <c r="E27637" s="40" t="s">
        <v>11404</v>
      </c>
      <c r="F27637" s="40" t="s">
        <v>11404</v>
      </c>
      <c r="G27637" s="40" t="s">
        <v>11404</v>
      </c>
      <c r="H27637" s="40" t="s">
        <v>11404</v>
      </c>
    </row>
    <row r="27638">
      <c r="A27638" s="39"/>
      <c r="E27638" s="40" t="s">
        <v>11404</v>
      </c>
      <c r="F27638" s="40" t="s">
        <v>11404</v>
      </c>
      <c r="G27638" s="40" t="s">
        <v>11404</v>
      </c>
      <c r="H27638" s="40" t="s">
        <v>11404</v>
      </c>
    </row>
    <row r="27639">
      <c r="A27639" s="39"/>
      <c r="E27639" s="40" t="s">
        <v>11404</v>
      </c>
      <c r="F27639" s="40" t="s">
        <v>11404</v>
      </c>
      <c r="G27639" s="40" t="s">
        <v>11404</v>
      </c>
      <c r="H27639" s="40" t="s">
        <v>11404</v>
      </c>
    </row>
    <row r="27640">
      <c r="A27640" s="39"/>
      <c r="E27640" s="40" t="s">
        <v>11404</v>
      </c>
      <c r="F27640" s="40" t="s">
        <v>11404</v>
      </c>
      <c r="G27640" s="40" t="s">
        <v>11404</v>
      </c>
      <c r="H27640" s="40" t="s">
        <v>11404</v>
      </c>
    </row>
    <row r="27641">
      <c r="A27641" s="39"/>
      <c r="E27641" s="40" t="s">
        <v>11404</v>
      </c>
      <c r="F27641" s="40" t="s">
        <v>11404</v>
      </c>
      <c r="G27641" s="40" t="s">
        <v>11404</v>
      </c>
      <c r="H27641" s="40" t="s">
        <v>11404</v>
      </c>
    </row>
    <row r="27642">
      <c r="A27642" s="39"/>
      <c r="E27642" s="40" t="s">
        <v>11404</v>
      </c>
      <c r="F27642" s="40" t="s">
        <v>11404</v>
      </c>
      <c r="G27642" s="40" t="s">
        <v>11404</v>
      </c>
      <c r="H27642" s="40" t="s">
        <v>11404</v>
      </c>
    </row>
    <row r="27643">
      <c r="A27643" s="39"/>
      <c r="E27643" s="40" t="s">
        <v>11404</v>
      </c>
      <c r="F27643" s="40" t="s">
        <v>11404</v>
      </c>
      <c r="G27643" s="40" t="s">
        <v>11404</v>
      </c>
      <c r="H27643" s="40" t="s">
        <v>11404</v>
      </c>
    </row>
    <row r="27644">
      <c r="A27644" s="39"/>
      <c r="E27644" s="40" t="s">
        <v>11404</v>
      </c>
      <c r="F27644" s="40" t="s">
        <v>11404</v>
      </c>
      <c r="G27644" s="40" t="s">
        <v>11404</v>
      </c>
      <c r="H27644" s="40" t="s">
        <v>11404</v>
      </c>
    </row>
    <row r="27645">
      <c r="A27645" s="39"/>
      <c r="E27645" s="40" t="s">
        <v>11404</v>
      </c>
      <c r="F27645" s="40" t="s">
        <v>11404</v>
      </c>
      <c r="G27645" s="40" t="s">
        <v>11404</v>
      </c>
      <c r="H27645" s="40" t="s">
        <v>11404</v>
      </c>
    </row>
    <row r="27646">
      <c r="A27646" s="39"/>
      <c r="E27646" s="40" t="s">
        <v>11404</v>
      </c>
      <c r="F27646" s="40" t="s">
        <v>11404</v>
      </c>
      <c r="G27646" s="40" t="s">
        <v>11404</v>
      </c>
      <c r="H27646" s="40" t="s">
        <v>11404</v>
      </c>
    </row>
    <row r="27647">
      <c r="A27647" s="39"/>
      <c r="E27647" s="40" t="s">
        <v>11404</v>
      </c>
      <c r="F27647" s="40" t="s">
        <v>11404</v>
      </c>
      <c r="G27647" s="40" t="s">
        <v>11404</v>
      </c>
      <c r="H27647" s="40" t="s">
        <v>11404</v>
      </c>
    </row>
    <row r="27648">
      <c r="A27648" s="39"/>
      <c r="E27648" s="40" t="s">
        <v>11404</v>
      </c>
      <c r="F27648" s="40" t="s">
        <v>11404</v>
      </c>
      <c r="G27648" s="40" t="s">
        <v>11404</v>
      </c>
      <c r="H27648" s="40" t="s">
        <v>11404</v>
      </c>
    </row>
    <row r="27649">
      <c r="A27649" s="39"/>
      <c r="E27649" s="40" t="s">
        <v>11404</v>
      </c>
      <c r="F27649" s="40" t="s">
        <v>11404</v>
      </c>
      <c r="G27649" s="40" t="s">
        <v>11404</v>
      </c>
      <c r="H27649" s="40" t="s">
        <v>11404</v>
      </c>
    </row>
    <row r="27650">
      <c r="A27650" s="39"/>
      <c r="E27650" s="40" t="s">
        <v>11404</v>
      </c>
      <c r="F27650" s="40" t="s">
        <v>11404</v>
      </c>
      <c r="G27650" s="40" t="s">
        <v>11404</v>
      </c>
      <c r="H27650" s="40" t="s">
        <v>11404</v>
      </c>
    </row>
    <row r="27651">
      <c r="A27651" s="39"/>
      <c r="E27651" s="40" t="s">
        <v>11404</v>
      </c>
      <c r="F27651" s="40" t="s">
        <v>11404</v>
      </c>
      <c r="G27651" s="40" t="s">
        <v>11404</v>
      </c>
      <c r="H27651" s="40" t="s">
        <v>11404</v>
      </c>
    </row>
    <row r="27652">
      <c r="A27652" s="39"/>
      <c r="E27652" s="40" t="s">
        <v>11404</v>
      </c>
      <c r="F27652" s="40" t="s">
        <v>11404</v>
      </c>
      <c r="G27652" s="40" t="s">
        <v>11404</v>
      </c>
      <c r="H27652" s="40" t="s">
        <v>11404</v>
      </c>
    </row>
    <row r="27653">
      <c r="A27653" s="39"/>
      <c r="E27653" s="40" t="s">
        <v>11404</v>
      </c>
      <c r="F27653" s="40" t="s">
        <v>11404</v>
      </c>
      <c r="G27653" s="40" t="s">
        <v>11404</v>
      </c>
      <c r="H27653" s="40" t="s">
        <v>11404</v>
      </c>
    </row>
    <row r="27654">
      <c r="A27654" s="39"/>
      <c r="E27654" s="40" t="s">
        <v>11404</v>
      </c>
      <c r="F27654" s="40" t="s">
        <v>11404</v>
      </c>
      <c r="G27654" s="40" t="s">
        <v>11404</v>
      </c>
      <c r="H27654" s="40" t="s">
        <v>11404</v>
      </c>
    </row>
    <row r="27655">
      <c r="A27655" s="39"/>
      <c r="E27655" s="40" t="s">
        <v>11404</v>
      </c>
      <c r="F27655" s="40" t="s">
        <v>11404</v>
      </c>
      <c r="G27655" s="40" t="s">
        <v>11404</v>
      </c>
      <c r="H27655" s="40" t="s">
        <v>11404</v>
      </c>
    </row>
    <row r="27656">
      <c r="A27656" s="39"/>
      <c r="E27656" s="40" t="s">
        <v>11404</v>
      </c>
      <c r="F27656" s="40" t="s">
        <v>11404</v>
      </c>
      <c r="G27656" s="40" t="s">
        <v>11404</v>
      </c>
      <c r="H27656" s="40" t="s">
        <v>11404</v>
      </c>
    </row>
    <row r="27657">
      <c r="A27657" s="39"/>
      <c r="E27657" s="40" t="s">
        <v>11404</v>
      </c>
      <c r="F27657" s="40" t="s">
        <v>11404</v>
      </c>
      <c r="G27657" s="40" t="s">
        <v>11404</v>
      </c>
      <c r="H27657" s="40" t="s">
        <v>11404</v>
      </c>
    </row>
    <row r="27658">
      <c r="A27658" s="39"/>
      <c r="E27658" s="40" t="s">
        <v>11404</v>
      </c>
      <c r="F27658" s="40" t="s">
        <v>11404</v>
      </c>
      <c r="G27658" s="40" t="s">
        <v>11404</v>
      </c>
      <c r="H27658" s="40" t="s">
        <v>11404</v>
      </c>
    </row>
    <row r="27659">
      <c r="A27659" s="39"/>
      <c r="E27659" s="40" t="s">
        <v>11404</v>
      </c>
      <c r="F27659" s="40" t="s">
        <v>11404</v>
      </c>
      <c r="G27659" s="40" t="s">
        <v>11404</v>
      </c>
      <c r="H27659" s="40" t="s">
        <v>11404</v>
      </c>
    </row>
    <row r="27660">
      <c r="A27660" s="39"/>
      <c r="E27660" s="40" t="s">
        <v>11404</v>
      </c>
      <c r="F27660" s="40" t="s">
        <v>11404</v>
      </c>
      <c r="G27660" s="40" t="s">
        <v>11404</v>
      </c>
      <c r="H27660" s="40" t="s">
        <v>11404</v>
      </c>
    </row>
    <row r="27661">
      <c r="A27661" s="39"/>
      <c r="E27661" s="40" t="s">
        <v>11404</v>
      </c>
      <c r="F27661" s="40" t="s">
        <v>11404</v>
      </c>
      <c r="G27661" s="40" t="s">
        <v>11404</v>
      </c>
      <c r="H27661" s="40" t="s">
        <v>11404</v>
      </c>
    </row>
    <row r="27662">
      <c r="A27662" s="39"/>
      <c r="E27662" s="40" t="s">
        <v>11404</v>
      </c>
      <c r="F27662" s="40" t="s">
        <v>11404</v>
      </c>
      <c r="G27662" s="40" t="s">
        <v>11404</v>
      </c>
      <c r="H27662" s="40" t="s">
        <v>11404</v>
      </c>
    </row>
    <row r="27663">
      <c r="A27663" s="39"/>
      <c r="E27663" s="40" t="s">
        <v>11404</v>
      </c>
      <c r="F27663" s="40" t="s">
        <v>11404</v>
      </c>
      <c r="G27663" s="40" t="s">
        <v>11404</v>
      </c>
      <c r="H27663" s="40" t="s">
        <v>11404</v>
      </c>
    </row>
    <row r="27664">
      <c r="A27664" s="39"/>
      <c r="E27664" s="40" t="s">
        <v>11404</v>
      </c>
      <c r="F27664" s="40" t="s">
        <v>11404</v>
      </c>
      <c r="G27664" s="40" t="s">
        <v>11404</v>
      </c>
      <c r="H27664" s="40" t="s">
        <v>11404</v>
      </c>
    </row>
    <row r="27665">
      <c r="A27665" s="39"/>
      <c r="E27665" s="40" t="s">
        <v>11404</v>
      </c>
      <c r="F27665" s="40" t="s">
        <v>11404</v>
      </c>
      <c r="G27665" s="40" t="s">
        <v>11404</v>
      </c>
      <c r="H27665" s="40" t="s">
        <v>11404</v>
      </c>
    </row>
    <row r="27666">
      <c r="A27666" s="39"/>
      <c r="E27666" s="40" t="s">
        <v>11404</v>
      </c>
      <c r="F27666" s="40" t="s">
        <v>11404</v>
      </c>
      <c r="G27666" s="40" t="s">
        <v>11404</v>
      </c>
      <c r="H27666" s="40" t="s">
        <v>11404</v>
      </c>
    </row>
    <row r="27667">
      <c r="A27667" s="39"/>
      <c r="E27667" s="40" t="s">
        <v>11404</v>
      </c>
      <c r="F27667" s="40" t="s">
        <v>11404</v>
      </c>
      <c r="G27667" s="40" t="s">
        <v>11404</v>
      </c>
      <c r="H27667" s="40" t="s">
        <v>11404</v>
      </c>
    </row>
    <row r="27668">
      <c r="A27668" s="39"/>
      <c r="E27668" s="40" t="s">
        <v>11404</v>
      </c>
      <c r="F27668" s="40" t="s">
        <v>11404</v>
      </c>
      <c r="G27668" s="40" t="s">
        <v>11404</v>
      </c>
      <c r="H27668" s="40" t="s">
        <v>11404</v>
      </c>
    </row>
    <row r="27669">
      <c r="A27669" s="39"/>
      <c r="E27669" s="40" t="s">
        <v>11404</v>
      </c>
      <c r="F27669" s="40" t="s">
        <v>11404</v>
      </c>
      <c r="G27669" s="40" t="s">
        <v>11404</v>
      </c>
      <c r="H27669" s="40" t="s">
        <v>11404</v>
      </c>
    </row>
    <row r="27670">
      <c r="A27670" s="39"/>
      <c r="E27670" s="40" t="s">
        <v>11404</v>
      </c>
      <c r="F27670" s="40" t="s">
        <v>11404</v>
      </c>
      <c r="G27670" s="40" t="s">
        <v>11404</v>
      </c>
      <c r="H27670" s="40" t="s">
        <v>11404</v>
      </c>
    </row>
    <row r="27671">
      <c r="A27671" s="39"/>
      <c r="E27671" s="40" t="s">
        <v>11404</v>
      </c>
      <c r="F27671" s="40" t="s">
        <v>11404</v>
      </c>
      <c r="G27671" s="40" t="s">
        <v>11404</v>
      </c>
      <c r="H27671" s="40" t="s">
        <v>11404</v>
      </c>
    </row>
    <row r="27672">
      <c r="A27672" s="39"/>
      <c r="E27672" s="40" t="s">
        <v>11404</v>
      </c>
      <c r="F27672" s="40" t="s">
        <v>11404</v>
      </c>
      <c r="G27672" s="40" t="s">
        <v>11404</v>
      </c>
      <c r="H27672" s="40" t="s">
        <v>11404</v>
      </c>
    </row>
    <row r="27673">
      <c r="A27673" s="39"/>
      <c r="E27673" s="40" t="s">
        <v>11404</v>
      </c>
      <c r="F27673" s="40" t="s">
        <v>11404</v>
      </c>
      <c r="G27673" s="40" t="s">
        <v>11404</v>
      </c>
      <c r="H27673" s="40" t="s">
        <v>11404</v>
      </c>
    </row>
    <row r="27674">
      <c r="A27674" s="39"/>
      <c r="E27674" s="40" t="s">
        <v>11404</v>
      </c>
      <c r="F27674" s="40" t="s">
        <v>11404</v>
      </c>
      <c r="G27674" s="40" t="s">
        <v>11404</v>
      </c>
      <c r="H27674" s="40" t="s">
        <v>11404</v>
      </c>
    </row>
    <row r="27675">
      <c r="A27675" s="39"/>
      <c r="E27675" s="40" t="s">
        <v>11404</v>
      </c>
      <c r="F27675" s="40" t="s">
        <v>11404</v>
      </c>
      <c r="G27675" s="40" t="s">
        <v>11404</v>
      </c>
      <c r="H27675" s="40" t="s">
        <v>11404</v>
      </c>
    </row>
    <row r="27676">
      <c r="A27676" s="39"/>
      <c r="E27676" s="40" t="s">
        <v>11404</v>
      </c>
      <c r="F27676" s="40" t="s">
        <v>11404</v>
      </c>
      <c r="G27676" s="40" t="s">
        <v>11404</v>
      </c>
      <c r="H27676" s="40" t="s">
        <v>11404</v>
      </c>
    </row>
    <row r="27677">
      <c r="A27677" s="39"/>
      <c r="E27677" s="40" t="s">
        <v>11404</v>
      </c>
      <c r="F27677" s="40" t="s">
        <v>11404</v>
      </c>
      <c r="G27677" s="40" t="s">
        <v>11404</v>
      </c>
      <c r="H27677" s="40" t="s">
        <v>11404</v>
      </c>
    </row>
    <row r="27678">
      <c r="A27678" s="39"/>
      <c r="E27678" s="40" t="s">
        <v>11404</v>
      </c>
      <c r="F27678" s="40" t="s">
        <v>11404</v>
      </c>
      <c r="G27678" s="40" t="s">
        <v>11404</v>
      </c>
      <c r="H27678" s="40" t="s">
        <v>11404</v>
      </c>
    </row>
    <row r="27679">
      <c r="A27679" s="39"/>
      <c r="E27679" s="40" t="s">
        <v>11404</v>
      </c>
      <c r="F27679" s="40" t="s">
        <v>11404</v>
      </c>
      <c r="G27679" s="40" t="s">
        <v>11404</v>
      </c>
      <c r="H27679" s="40" t="s">
        <v>11404</v>
      </c>
    </row>
    <row r="27680">
      <c r="A27680" s="39"/>
      <c r="E27680" s="40" t="s">
        <v>11404</v>
      </c>
      <c r="F27680" s="40" t="s">
        <v>11404</v>
      </c>
      <c r="G27680" s="40" t="s">
        <v>11404</v>
      </c>
      <c r="H27680" s="40" t="s">
        <v>11404</v>
      </c>
    </row>
    <row r="27681">
      <c r="A27681" s="39"/>
      <c r="E27681" s="40" t="s">
        <v>11404</v>
      </c>
      <c r="F27681" s="40" t="s">
        <v>11404</v>
      </c>
      <c r="G27681" s="40" t="s">
        <v>11404</v>
      </c>
      <c r="H27681" s="40" t="s">
        <v>11404</v>
      </c>
    </row>
    <row r="27682">
      <c r="A27682" s="39"/>
      <c r="E27682" s="40" t="s">
        <v>11404</v>
      </c>
      <c r="F27682" s="40" t="s">
        <v>11404</v>
      </c>
      <c r="G27682" s="40" t="s">
        <v>11404</v>
      </c>
      <c r="H27682" s="40" t="s">
        <v>11404</v>
      </c>
    </row>
    <row r="27683">
      <c r="A27683" s="39"/>
      <c r="E27683" s="40" t="s">
        <v>11404</v>
      </c>
      <c r="F27683" s="40" t="s">
        <v>11404</v>
      </c>
      <c r="G27683" s="40" t="s">
        <v>11404</v>
      </c>
      <c r="H27683" s="40" t="s">
        <v>11404</v>
      </c>
    </row>
    <row r="27684">
      <c r="A27684" s="39"/>
      <c r="E27684" s="40" t="s">
        <v>11404</v>
      </c>
      <c r="F27684" s="40" t="s">
        <v>11404</v>
      </c>
      <c r="G27684" s="40" t="s">
        <v>11404</v>
      </c>
      <c r="H27684" s="40" t="s">
        <v>11404</v>
      </c>
    </row>
    <row r="27685">
      <c r="A27685" s="39"/>
      <c r="E27685" s="40" t="s">
        <v>11404</v>
      </c>
      <c r="F27685" s="40" t="s">
        <v>11404</v>
      </c>
      <c r="G27685" s="40" t="s">
        <v>11404</v>
      </c>
      <c r="H27685" s="40" t="s">
        <v>11404</v>
      </c>
    </row>
    <row r="27686">
      <c r="A27686" s="39"/>
      <c r="E27686" s="40" t="s">
        <v>11404</v>
      </c>
      <c r="F27686" s="40" t="s">
        <v>11404</v>
      </c>
      <c r="G27686" s="40" t="s">
        <v>11404</v>
      </c>
      <c r="H27686" s="40" t="s">
        <v>11404</v>
      </c>
    </row>
    <row r="27687">
      <c r="A27687" s="39"/>
      <c r="E27687" s="40" t="s">
        <v>11404</v>
      </c>
      <c r="F27687" s="40" t="s">
        <v>11404</v>
      </c>
      <c r="G27687" s="40" t="s">
        <v>11404</v>
      </c>
      <c r="H27687" s="40" t="s">
        <v>11404</v>
      </c>
    </row>
    <row r="27688">
      <c r="A27688" s="39"/>
      <c r="E27688" s="40" t="s">
        <v>11404</v>
      </c>
      <c r="F27688" s="40" t="s">
        <v>11404</v>
      </c>
      <c r="G27688" s="40" t="s">
        <v>11404</v>
      </c>
      <c r="H27688" s="40" t="s">
        <v>11404</v>
      </c>
    </row>
    <row r="27689">
      <c r="A27689" s="39"/>
      <c r="E27689" s="40" t="s">
        <v>11404</v>
      </c>
      <c r="F27689" s="40" t="s">
        <v>11404</v>
      </c>
      <c r="G27689" s="40" t="s">
        <v>11404</v>
      </c>
      <c r="H27689" s="40" t="s">
        <v>11404</v>
      </c>
    </row>
    <row r="27690">
      <c r="A27690" s="39"/>
      <c r="E27690" s="40" t="s">
        <v>11404</v>
      </c>
      <c r="F27690" s="40" t="s">
        <v>11404</v>
      </c>
      <c r="G27690" s="40" t="s">
        <v>11404</v>
      </c>
      <c r="H27690" s="40" t="s">
        <v>11404</v>
      </c>
    </row>
    <row r="27691">
      <c r="A27691" s="39"/>
      <c r="E27691" s="40" t="s">
        <v>11404</v>
      </c>
      <c r="F27691" s="40" t="s">
        <v>11404</v>
      </c>
      <c r="G27691" s="40" t="s">
        <v>11404</v>
      </c>
      <c r="H27691" s="40" t="s">
        <v>11404</v>
      </c>
    </row>
    <row r="27692">
      <c r="A27692" s="39"/>
      <c r="E27692" s="40" t="s">
        <v>11404</v>
      </c>
      <c r="F27692" s="40" t="s">
        <v>11404</v>
      </c>
      <c r="G27692" s="40" t="s">
        <v>11404</v>
      </c>
      <c r="H27692" s="40" t="s">
        <v>11404</v>
      </c>
    </row>
    <row r="27693">
      <c r="A27693" s="39"/>
      <c r="E27693" s="40" t="s">
        <v>11404</v>
      </c>
      <c r="F27693" s="40" t="s">
        <v>11404</v>
      </c>
      <c r="G27693" s="40" t="s">
        <v>11404</v>
      </c>
      <c r="H27693" s="40" t="s">
        <v>11404</v>
      </c>
    </row>
    <row r="27694">
      <c r="A27694" s="39"/>
      <c r="E27694" s="40" t="s">
        <v>11404</v>
      </c>
      <c r="F27694" s="40" t="s">
        <v>11404</v>
      </c>
      <c r="G27694" s="40" t="s">
        <v>11404</v>
      </c>
      <c r="H27694" s="40" t="s">
        <v>11404</v>
      </c>
    </row>
    <row r="27695">
      <c r="A27695" s="39"/>
      <c r="E27695" s="40" t="s">
        <v>11404</v>
      </c>
      <c r="F27695" s="40" t="s">
        <v>11404</v>
      </c>
      <c r="G27695" s="40" t="s">
        <v>11404</v>
      </c>
      <c r="H27695" s="40" t="s">
        <v>11404</v>
      </c>
    </row>
    <row r="27696">
      <c r="A27696" s="39"/>
      <c r="E27696" s="40" t="s">
        <v>11404</v>
      </c>
      <c r="F27696" s="40" t="s">
        <v>11404</v>
      </c>
      <c r="G27696" s="40" t="s">
        <v>11404</v>
      </c>
      <c r="H27696" s="40" t="s">
        <v>11404</v>
      </c>
    </row>
    <row r="27697">
      <c r="A27697" s="39"/>
      <c r="E27697" s="40" t="s">
        <v>11404</v>
      </c>
      <c r="F27697" s="40" t="s">
        <v>11404</v>
      </c>
      <c r="G27697" s="40" t="s">
        <v>11404</v>
      </c>
      <c r="H27697" s="40" t="s">
        <v>11404</v>
      </c>
    </row>
    <row r="27698">
      <c r="A27698" s="39"/>
      <c r="E27698" s="40" t="s">
        <v>11404</v>
      </c>
      <c r="F27698" s="40" t="s">
        <v>11404</v>
      </c>
      <c r="G27698" s="40" t="s">
        <v>11404</v>
      </c>
      <c r="H27698" s="40" t="s">
        <v>11404</v>
      </c>
    </row>
    <row r="27699">
      <c r="A27699" s="39"/>
      <c r="E27699" s="40" t="s">
        <v>11404</v>
      </c>
      <c r="F27699" s="40" t="s">
        <v>11404</v>
      </c>
      <c r="G27699" s="40" t="s">
        <v>11404</v>
      </c>
      <c r="H27699" s="40" t="s">
        <v>11404</v>
      </c>
    </row>
    <row r="27700">
      <c r="A27700" s="39"/>
      <c r="E27700" s="40" t="s">
        <v>11404</v>
      </c>
      <c r="F27700" s="40" t="s">
        <v>11404</v>
      </c>
      <c r="G27700" s="40" t="s">
        <v>11404</v>
      </c>
      <c r="H27700" s="40" t="s">
        <v>11404</v>
      </c>
    </row>
    <row r="27701">
      <c r="A27701" s="39"/>
      <c r="E27701" s="40" t="s">
        <v>11404</v>
      </c>
      <c r="F27701" s="40" t="s">
        <v>11404</v>
      </c>
      <c r="G27701" s="40" t="s">
        <v>11404</v>
      </c>
      <c r="H27701" s="40" t="s">
        <v>11404</v>
      </c>
    </row>
    <row r="27702">
      <c r="A27702" s="39"/>
      <c r="E27702" s="40" t="s">
        <v>11404</v>
      </c>
      <c r="F27702" s="40" t="s">
        <v>11404</v>
      </c>
      <c r="G27702" s="40" t="s">
        <v>11404</v>
      </c>
      <c r="H27702" s="40" t="s">
        <v>11404</v>
      </c>
    </row>
    <row r="27703">
      <c r="A27703" s="39"/>
      <c r="E27703" s="40" t="s">
        <v>11404</v>
      </c>
      <c r="F27703" s="40" t="s">
        <v>11404</v>
      </c>
      <c r="G27703" s="40" t="s">
        <v>11404</v>
      </c>
      <c r="H27703" s="40" t="s">
        <v>11404</v>
      </c>
    </row>
    <row r="27704">
      <c r="A27704" s="39"/>
      <c r="E27704" s="40" t="s">
        <v>11404</v>
      </c>
      <c r="F27704" s="40" t="s">
        <v>11404</v>
      </c>
      <c r="G27704" s="40" t="s">
        <v>11404</v>
      </c>
      <c r="H27704" s="40" t="s">
        <v>11404</v>
      </c>
    </row>
    <row r="27705">
      <c r="A27705" s="39"/>
      <c r="E27705" s="40" t="s">
        <v>11404</v>
      </c>
      <c r="F27705" s="40" t="s">
        <v>11404</v>
      </c>
      <c r="G27705" s="40" t="s">
        <v>11404</v>
      </c>
      <c r="H27705" s="40" t="s">
        <v>11404</v>
      </c>
    </row>
    <row r="27706">
      <c r="A27706" s="39"/>
      <c r="E27706" s="40" t="s">
        <v>11404</v>
      </c>
      <c r="F27706" s="40" t="s">
        <v>11404</v>
      </c>
      <c r="G27706" s="40" t="s">
        <v>11404</v>
      </c>
      <c r="H27706" s="40" t="s">
        <v>11404</v>
      </c>
    </row>
    <row r="27707">
      <c r="A27707" s="39"/>
      <c r="E27707" s="40" t="s">
        <v>11404</v>
      </c>
      <c r="F27707" s="40" t="s">
        <v>11404</v>
      </c>
      <c r="G27707" s="40" t="s">
        <v>11404</v>
      </c>
      <c r="H27707" s="40" t="s">
        <v>11404</v>
      </c>
    </row>
    <row r="27708">
      <c r="A27708" s="39"/>
      <c r="E27708" s="40" t="s">
        <v>11404</v>
      </c>
      <c r="F27708" s="40" t="s">
        <v>11404</v>
      </c>
      <c r="G27708" s="40" t="s">
        <v>11404</v>
      </c>
      <c r="H27708" s="40" t="s">
        <v>11404</v>
      </c>
    </row>
    <row r="27709">
      <c r="A27709" s="39"/>
      <c r="E27709" s="40" t="s">
        <v>11404</v>
      </c>
      <c r="F27709" s="40" t="s">
        <v>11404</v>
      </c>
      <c r="G27709" s="40" t="s">
        <v>11404</v>
      </c>
      <c r="H27709" s="40" t="s">
        <v>11404</v>
      </c>
    </row>
    <row r="27710">
      <c r="A27710" s="39"/>
      <c r="E27710" s="40" t="s">
        <v>11404</v>
      </c>
      <c r="F27710" s="40" t="s">
        <v>11404</v>
      </c>
      <c r="G27710" s="40" t="s">
        <v>11404</v>
      </c>
      <c r="H27710" s="40" t="s">
        <v>11404</v>
      </c>
    </row>
    <row r="27711">
      <c r="A27711" s="39"/>
      <c r="E27711" s="40" t="s">
        <v>11404</v>
      </c>
      <c r="F27711" s="40" t="s">
        <v>11404</v>
      </c>
      <c r="G27711" s="40" t="s">
        <v>11404</v>
      </c>
      <c r="H27711" s="40" t="s">
        <v>11404</v>
      </c>
    </row>
    <row r="27712">
      <c r="A27712" s="39"/>
      <c r="E27712" s="40" t="s">
        <v>11404</v>
      </c>
      <c r="F27712" s="40" t="s">
        <v>11404</v>
      </c>
      <c r="G27712" s="40" t="s">
        <v>11404</v>
      </c>
      <c r="H27712" s="40" t="s">
        <v>11404</v>
      </c>
    </row>
    <row r="27713">
      <c r="A27713" s="39"/>
      <c r="E27713" s="40" t="s">
        <v>11404</v>
      </c>
      <c r="F27713" s="40" t="s">
        <v>11404</v>
      </c>
      <c r="G27713" s="40" t="s">
        <v>11404</v>
      </c>
      <c r="H27713" s="40" t="s">
        <v>11404</v>
      </c>
    </row>
    <row r="27714">
      <c r="A27714" s="39"/>
      <c r="E27714" s="40" t="s">
        <v>11404</v>
      </c>
      <c r="F27714" s="40" t="s">
        <v>11404</v>
      </c>
      <c r="G27714" s="40" t="s">
        <v>11404</v>
      </c>
      <c r="H27714" s="40" t="s">
        <v>11404</v>
      </c>
    </row>
    <row r="27715">
      <c r="A27715" s="39"/>
      <c r="E27715" s="40" t="s">
        <v>11404</v>
      </c>
      <c r="F27715" s="40" t="s">
        <v>11404</v>
      </c>
      <c r="G27715" s="40" t="s">
        <v>11404</v>
      </c>
      <c r="H27715" s="40" t="s">
        <v>11404</v>
      </c>
    </row>
    <row r="27716">
      <c r="A27716" s="39"/>
      <c r="E27716" s="40" t="s">
        <v>11404</v>
      </c>
      <c r="F27716" s="40" t="s">
        <v>11404</v>
      </c>
      <c r="G27716" s="40" t="s">
        <v>11404</v>
      </c>
      <c r="H27716" s="40" t="s">
        <v>11404</v>
      </c>
    </row>
    <row r="27717">
      <c r="A27717" s="39"/>
      <c r="E27717" s="40" t="s">
        <v>11404</v>
      </c>
      <c r="F27717" s="40" t="s">
        <v>11404</v>
      </c>
      <c r="G27717" s="40" t="s">
        <v>11404</v>
      </c>
      <c r="H27717" s="40" t="s">
        <v>11404</v>
      </c>
    </row>
    <row r="27718">
      <c r="A27718" s="39"/>
      <c r="E27718" s="40" t="s">
        <v>11404</v>
      </c>
      <c r="F27718" s="40" t="s">
        <v>11404</v>
      </c>
      <c r="G27718" s="40" t="s">
        <v>11404</v>
      </c>
      <c r="H27718" s="40" t="s">
        <v>11404</v>
      </c>
    </row>
    <row r="27719">
      <c r="A27719" s="39"/>
      <c r="E27719" s="40" t="s">
        <v>11404</v>
      </c>
      <c r="F27719" s="40" t="s">
        <v>11404</v>
      </c>
      <c r="G27719" s="40" t="s">
        <v>11404</v>
      </c>
      <c r="H27719" s="40" t="s">
        <v>11404</v>
      </c>
    </row>
    <row r="27720">
      <c r="A27720" s="39"/>
      <c r="E27720" s="40" t="s">
        <v>11404</v>
      </c>
      <c r="F27720" s="40" t="s">
        <v>11404</v>
      </c>
      <c r="G27720" s="40" t="s">
        <v>11404</v>
      </c>
      <c r="H27720" s="40" t="s">
        <v>11404</v>
      </c>
    </row>
    <row r="27721">
      <c r="A27721" s="39"/>
      <c r="E27721" s="40" t="s">
        <v>11404</v>
      </c>
      <c r="F27721" s="40" t="s">
        <v>11404</v>
      </c>
      <c r="G27721" s="40" t="s">
        <v>11404</v>
      </c>
      <c r="H27721" s="40" t="s">
        <v>11404</v>
      </c>
    </row>
    <row r="27722">
      <c r="A27722" s="39"/>
      <c r="E27722" s="40" t="s">
        <v>11404</v>
      </c>
      <c r="F27722" s="40" t="s">
        <v>11404</v>
      </c>
      <c r="G27722" s="40" t="s">
        <v>11404</v>
      </c>
      <c r="H27722" s="40" t="s">
        <v>11404</v>
      </c>
    </row>
    <row r="27723">
      <c r="A27723" s="39"/>
      <c r="E27723" s="40" t="s">
        <v>11404</v>
      </c>
      <c r="F27723" s="40" t="s">
        <v>11404</v>
      </c>
      <c r="G27723" s="40" t="s">
        <v>11404</v>
      </c>
      <c r="H27723" s="40" t="s">
        <v>11404</v>
      </c>
    </row>
    <row r="27724">
      <c r="A27724" s="39"/>
      <c r="E27724" s="40" t="s">
        <v>11404</v>
      </c>
      <c r="F27724" s="40" t="s">
        <v>11404</v>
      </c>
      <c r="G27724" s="40" t="s">
        <v>11404</v>
      </c>
      <c r="H27724" s="40" t="s">
        <v>11404</v>
      </c>
    </row>
    <row r="27725">
      <c r="A27725" s="39"/>
      <c r="E27725" s="40" t="s">
        <v>11404</v>
      </c>
      <c r="F27725" s="40" t="s">
        <v>11404</v>
      </c>
      <c r="G27725" s="40" t="s">
        <v>11404</v>
      </c>
      <c r="H27725" s="40" t="s">
        <v>11404</v>
      </c>
    </row>
    <row r="27726">
      <c r="A27726" s="39"/>
      <c r="E27726" s="40" t="s">
        <v>11404</v>
      </c>
      <c r="F27726" s="40" t="s">
        <v>11404</v>
      </c>
      <c r="G27726" s="40" t="s">
        <v>11404</v>
      </c>
      <c r="H27726" s="40" t="s">
        <v>11404</v>
      </c>
    </row>
    <row r="27727">
      <c r="A27727" s="39"/>
      <c r="E27727" s="40" t="s">
        <v>11404</v>
      </c>
      <c r="F27727" s="40" t="s">
        <v>11404</v>
      </c>
      <c r="G27727" s="40" t="s">
        <v>11404</v>
      </c>
      <c r="H27727" s="40" t="s">
        <v>11404</v>
      </c>
    </row>
    <row r="27728">
      <c r="A27728" s="39"/>
      <c r="E27728" s="40" t="s">
        <v>11404</v>
      </c>
      <c r="F27728" s="40" t="s">
        <v>11404</v>
      </c>
      <c r="G27728" s="40" t="s">
        <v>11404</v>
      </c>
      <c r="H27728" s="40" t="s">
        <v>11404</v>
      </c>
    </row>
    <row r="27729">
      <c r="A27729" s="39"/>
      <c r="E27729" s="40" t="s">
        <v>11404</v>
      </c>
      <c r="F27729" s="40" t="s">
        <v>11404</v>
      </c>
      <c r="G27729" s="40" t="s">
        <v>11404</v>
      </c>
      <c r="H27729" s="40" t="s">
        <v>11404</v>
      </c>
    </row>
    <row r="27730">
      <c r="A27730" s="39"/>
      <c r="E27730" s="40" t="s">
        <v>11404</v>
      </c>
      <c r="F27730" s="40" t="s">
        <v>11404</v>
      </c>
      <c r="G27730" s="40" t="s">
        <v>11404</v>
      </c>
      <c r="H27730" s="40" t="s">
        <v>11404</v>
      </c>
    </row>
    <row r="27731">
      <c r="A27731" s="39"/>
      <c r="E27731" s="40" t="s">
        <v>11404</v>
      </c>
      <c r="F27731" s="40" t="s">
        <v>11404</v>
      </c>
      <c r="G27731" s="40" t="s">
        <v>11404</v>
      </c>
      <c r="H27731" s="40" t="s">
        <v>11404</v>
      </c>
    </row>
    <row r="27732">
      <c r="A27732" s="39"/>
      <c r="E27732" s="40" t="s">
        <v>11404</v>
      </c>
      <c r="F27732" s="40" t="s">
        <v>11404</v>
      </c>
      <c r="G27732" s="40" t="s">
        <v>11404</v>
      </c>
      <c r="H27732" s="40" t="s">
        <v>11404</v>
      </c>
    </row>
    <row r="27733">
      <c r="A27733" s="39"/>
      <c r="E27733" s="40" t="s">
        <v>11404</v>
      </c>
      <c r="F27733" s="40" t="s">
        <v>11404</v>
      </c>
      <c r="G27733" s="40" t="s">
        <v>11404</v>
      </c>
      <c r="H27733" s="40" t="s">
        <v>11404</v>
      </c>
    </row>
    <row r="27734">
      <c r="A27734" s="39"/>
      <c r="E27734" s="40" t="s">
        <v>11404</v>
      </c>
      <c r="F27734" s="40" t="s">
        <v>11404</v>
      </c>
      <c r="G27734" s="40" t="s">
        <v>11404</v>
      </c>
      <c r="H27734" s="40" t="s">
        <v>11404</v>
      </c>
    </row>
    <row r="27735">
      <c r="A27735" s="39"/>
      <c r="E27735" s="40" t="s">
        <v>11404</v>
      </c>
      <c r="F27735" s="40" t="s">
        <v>11404</v>
      </c>
      <c r="G27735" s="40" t="s">
        <v>11404</v>
      </c>
      <c r="H27735" s="40" t="s">
        <v>11404</v>
      </c>
    </row>
    <row r="27736">
      <c r="A27736" s="39"/>
      <c r="E27736" s="40" t="s">
        <v>11404</v>
      </c>
      <c r="F27736" s="40" t="s">
        <v>11404</v>
      </c>
      <c r="G27736" s="40" t="s">
        <v>11404</v>
      </c>
      <c r="H27736" s="40" t="s">
        <v>11404</v>
      </c>
    </row>
    <row r="27737">
      <c r="A27737" s="39"/>
      <c r="E27737" s="40" t="s">
        <v>11404</v>
      </c>
      <c r="F27737" s="40" t="s">
        <v>11404</v>
      </c>
      <c r="G27737" s="40" t="s">
        <v>11404</v>
      </c>
      <c r="H27737" s="40" t="s">
        <v>11404</v>
      </c>
    </row>
    <row r="27738">
      <c r="A27738" s="39"/>
      <c r="E27738" s="40" t="s">
        <v>11404</v>
      </c>
      <c r="F27738" s="40" t="s">
        <v>11404</v>
      </c>
      <c r="G27738" s="40" t="s">
        <v>11404</v>
      </c>
      <c r="H27738" s="40" t="s">
        <v>11404</v>
      </c>
    </row>
    <row r="27739">
      <c r="A27739" s="39"/>
      <c r="E27739" s="40" t="s">
        <v>11404</v>
      </c>
      <c r="F27739" s="40" t="s">
        <v>11404</v>
      </c>
      <c r="G27739" s="40" t="s">
        <v>11404</v>
      </c>
      <c r="H27739" s="40" t="s">
        <v>11404</v>
      </c>
    </row>
    <row r="27740">
      <c r="A27740" s="39"/>
      <c r="E27740" s="40" t="s">
        <v>11404</v>
      </c>
      <c r="F27740" s="40" t="s">
        <v>11404</v>
      </c>
      <c r="G27740" s="40" t="s">
        <v>11404</v>
      </c>
      <c r="H27740" s="40" t="s">
        <v>11404</v>
      </c>
    </row>
    <row r="27741">
      <c r="A27741" s="39"/>
      <c r="E27741" s="40" t="s">
        <v>11404</v>
      </c>
      <c r="F27741" s="40" t="s">
        <v>11404</v>
      </c>
      <c r="G27741" s="40" t="s">
        <v>11404</v>
      </c>
      <c r="H27741" s="40" t="s">
        <v>11404</v>
      </c>
    </row>
    <row r="27742">
      <c r="A27742" s="39"/>
      <c r="E27742" s="40" t="s">
        <v>11404</v>
      </c>
      <c r="F27742" s="40" t="s">
        <v>11404</v>
      </c>
      <c r="G27742" s="40" t="s">
        <v>11404</v>
      </c>
      <c r="H27742" s="40" t="s">
        <v>11404</v>
      </c>
    </row>
    <row r="27743">
      <c r="A27743" s="39"/>
      <c r="E27743" s="40" t="s">
        <v>11404</v>
      </c>
      <c r="F27743" s="40" t="s">
        <v>11404</v>
      </c>
      <c r="G27743" s="40" t="s">
        <v>11404</v>
      </c>
      <c r="H27743" s="40" t="s">
        <v>11404</v>
      </c>
    </row>
    <row r="27744">
      <c r="A27744" s="39"/>
      <c r="E27744" s="40" t="s">
        <v>11404</v>
      </c>
      <c r="F27744" s="40" t="s">
        <v>11404</v>
      </c>
      <c r="G27744" s="40" t="s">
        <v>11404</v>
      </c>
      <c r="H27744" s="40" t="s">
        <v>11404</v>
      </c>
    </row>
    <row r="27745">
      <c r="A27745" s="39"/>
      <c r="E27745" s="40" t="s">
        <v>11404</v>
      </c>
      <c r="F27745" s="40" t="s">
        <v>11404</v>
      </c>
      <c r="G27745" s="40" t="s">
        <v>11404</v>
      </c>
      <c r="H27745" s="40" t="s">
        <v>11404</v>
      </c>
    </row>
    <row r="27746">
      <c r="A27746" s="39"/>
      <c r="E27746" s="40" t="s">
        <v>11404</v>
      </c>
      <c r="F27746" s="40" t="s">
        <v>11404</v>
      </c>
      <c r="G27746" s="40" t="s">
        <v>11404</v>
      </c>
      <c r="H27746" s="40" t="s">
        <v>11404</v>
      </c>
    </row>
    <row r="27747">
      <c r="A27747" s="39"/>
      <c r="E27747" s="40" t="s">
        <v>11404</v>
      </c>
      <c r="F27747" s="40" t="s">
        <v>11404</v>
      </c>
      <c r="G27747" s="40" t="s">
        <v>11404</v>
      </c>
      <c r="H27747" s="40" t="s">
        <v>11404</v>
      </c>
    </row>
    <row r="27748">
      <c r="A27748" s="39"/>
      <c r="E27748" s="40" t="s">
        <v>11404</v>
      </c>
      <c r="F27748" s="40" t="s">
        <v>11404</v>
      </c>
      <c r="G27748" s="40" t="s">
        <v>11404</v>
      </c>
      <c r="H27748" s="40" t="s">
        <v>11404</v>
      </c>
    </row>
    <row r="27749">
      <c r="A27749" s="39"/>
      <c r="E27749" s="40" t="s">
        <v>11404</v>
      </c>
      <c r="F27749" s="40" t="s">
        <v>11404</v>
      </c>
      <c r="G27749" s="40" t="s">
        <v>11404</v>
      </c>
      <c r="H27749" s="40" t="s">
        <v>11404</v>
      </c>
    </row>
    <row r="27750">
      <c r="A27750" s="39"/>
      <c r="E27750" s="40" t="s">
        <v>11404</v>
      </c>
      <c r="F27750" s="40" t="s">
        <v>11404</v>
      </c>
      <c r="G27750" s="40" t="s">
        <v>11404</v>
      </c>
      <c r="H27750" s="40" t="s">
        <v>11404</v>
      </c>
    </row>
    <row r="27751">
      <c r="A27751" s="39"/>
      <c r="E27751" s="40" t="s">
        <v>11404</v>
      </c>
      <c r="F27751" s="40" t="s">
        <v>11404</v>
      </c>
      <c r="G27751" s="40" t="s">
        <v>11404</v>
      </c>
      <c r="H27751" s="40" t="s">
        <v>11404</v>
      </c>
    </row>
    <row r="27752">
      <c r="A27752" s="39"/>
      <c r="E27752" s="40" t="s">
        <v>11404</v>
      </c>
      <c r="F27752" s="40" t="s">
        <v>11404</v>
      </c>
      <c r="G27752" s="40" t="s">
        <v>11404</v>
      </c>
      <c r="H27752" s="40" t="s">
        <v>11404</v>
      </c>
    </row>
    <row r="27753">
      <c r="A27753" s="39"/>
      <c r="E27753" s="40" t="s">
        <v>11404</v>
      </c>
      <c r="F27753" s="40" t="s">
        <v>11404</v>
      </c>
      <c r="G27753" s="40" t="s">
        <v>11404</v>
      </c>
      <c r="H27753" s="40" t="s">
        <v>11404</v>
      </c>
    </row>
    <row r="27754">
      <c r="A27754" s="39"/>
      <c r="E27754" s="40" t="s">
        <v>11404</v>
      </c>
      <c r="F27754" s="40" t="s">
        <v>11404</v>
      </c>
      <c r="G27754" s="40" t="s">
        <v>11404</v>
      </c>
      <c r="H27754" s="40" t="s">
        <v>11404</v>
      </c>
    </row>
    <row r="27755">
      <c r="A27755" s="39"/>
      <c r="E27755" s="40" t="s">
        <v>11404</v>
      </c>
      <c r="F27755" s="40" t="s">
        <v>11404</v>
      </c>
      <c r="G27755" s="40" t="s">
        <v>11404</v>
      </c>
      <c r="H27755" s="40" t="s">
        <v>11404</v>
      </c>
    </row>
    <row r="27756">
      <c r="A27756" s="39"/>
      <c r="E27756" s="40" t="s">
        <v>11404</v>
      </c>
      <c r="F27756" s="40" t="s">
        <v>11404</v>
      </c>
      <c r="G27756" s="40" t="s">
        <v>11404</v>
      </c>
      <c r="H27756" s="40" t="s">
        <v>11404</v>
      </c>
    </row>
    <row r="27757">
      <c r="A27757" s="39"/>
      <c r="E27757" s="40" t="s">
        <v>11404</v>
      </c>
      <c r="F27757" s="40" t="s">
        <v>11404</v>
      </c>
      <c r="G27757" s="40" t="s">
        <v>11404</v>
      </c>
      <c r="H27757" s="40" t="s">
        <v>11404</v>
      </c>
    </row>
    <row r="27758">
      <c r="A27758" s="39"/>
      <c r="E27758" s="40" t="s">
        <v>11404</v>
      </c>
      <c r="F27758" s="40" t="s">
        <v>11404</v>
      </c>
      <c r="G27758" s="40" t="s">
        <v>11404</v>
      </c>
      <c r="H27758" s="40" t="s">
        <v>11404</v>
      </c>
    </row>
    <row r="27759">
      <c r="A27759" s="39"/>
      <c r="E27759" s="40" t="s">
        <v>11404</v>
      </c>
      <c r="F27759" s="40" t="s">
        <v>11404</v>
      </c>
      <c r="G27759" s="40" t="s">
        <v>11404</v>
      </c>
      <c r="H27759" s="40" t="s">
        <v>11404</v>
      </c>
    </row>
    <row r="27760">
      <c r="A27760" s="39"/>
      <c r="E27760" s="40" t="s">
        <v>11404</v>
      </c>
      <c r="F27760" s="40" t="s">
        <v>11404</v>
      </c>
      <c r="G27760" s="40" t="s">
        <v>11404</v>
      </c>
      <c r="H27760" s="40" t="s">
        <v>11404</v>
      </c>
    </row>
    <row r="27761">
      <c r="A27761" s="39"/>
      <c r="E27761" s="40" t="s">
        <v>11404</v>
      </c>
      <c r="F27761" s="40" t="s">
        <v>11404</v>
      </c>
      <c r="G27761" s="40" t="s">
        <v>11404</v>
      </c>
      <c r="H27761" s="40" t="s">
        <v>11404</v>
      </c>
    </row>
    <row r="27762">
      <c r="A27762" s="39"/>
      <c r="E27762" s="40" t="s">
        <v>11404</v>
      </c>
      <c r="F27762" s="40" t="s">
        <v>11404</v>
      </c>
      <c r="G27762" s="40" t="s">
        <v>11404</v>
      </c>
      <c r="H27762" s="40" t="s">
        <v>11404</v>
      </c>
    </row>
    <row r="27763">
      <c r="A27763" s="39"/>
      <c r="E27763" s="40" t="s">
        <v>11404</v>
      </c>
      <c r="F27763" s="40" t="s">
        <v>11404</v>
      </c>
      <c r="G27763" s="40" t="s">
        <v>11404</v>
      </c>
      <c r="H27763" s="40" t="s">
        <v>11404</v>
      </c>
    </row>
    <row r="27764">
      <c r="A27764" s="39"/>
      <c r="E27764" s="40" t="s">
        <v>11404</v>
      </c>
      <c r="F27764" s="40" t="s">
        <v>11404</v>
      </c>
      <c r="G27764" s="40" t="s">
        <v>11404</v>
      </c>
      <c r="H27764" s="40" t="s">
        <v>11404</v>
      </c>
    </row>
    <row r="27765">
      <c r="A27765" s="39"/>
      <c r="E27765" s="40" t="s">
        <v>11404</v>
      </c>
      <c r="F27765" s="40" t="s">
        <v>11404</v>
      </c>
      <c r="G27765" s="40" t="s">
        <v>11404</v>
      </c>
      <c r="H27765" s="40" t="s">
        <v>11404</v>
      </c>
    </row>
    <row r="27766">
      <c r="A27766" s="39"/>
      <c r="E27766" s="40" t="s">
        <v>11404</v>
      </c>
      <c r="F27766" s="40" t="s">
        <v>11404</v>
      </c>
      <c r="G27766" s="40" t="s">
        <v>11404</v>
      </c>
      <c r="H27766" s="40" t="s">
        <v>11404</v>
      </c>
    </row>
    <row r="27767">
      <c r="A27767" s="39"/>
      <c r="E27767" s="40" t="s">
        <v>11404</v>
      </c>
      <c r="F27767" s="40" t="s">
        <v>11404</v>
      </c>
      <c r="G27767" s="40" t="s">
        <v>11404</v>
      </c>
      <c r="H27767" s="40" t="s">
        <v>11404</v>
      </c>
    </row>
    <row r="27768">
      <c r="A27768" s="39"/>
      <c r="E27768" s="40" t="s">
        <v>11404</v>
      </c>
      <c r="F27768" s="40" t="s">
        <v>11404</v>
      </c>
      <c r="G27768" s="40" t="s">
        <v>11404</v>
      </c>
      <c r="H27768" s="40" t="s">
        <v>11404</v>
      </c>
    </row>
    <row r="27769">
      <c r="A27769" s="39"/>
      <c r="E27769" s="40" t="s">
        <v>11404</v>
      </c>
      <c r="F27769" s="40" t="s">
        <v>11404</v>
      </c>
      <c r="G27769" s="40" t="s">
        <v>11404</v>
      </c>
      <c r="H27769" s="40" t="s">
        <v>11404</v>
      </c>
    </row>
    <row r="27770">
      <c r="A27770" s="39"/>
      <c r="E27770" s="40" t="s">
        <v>11404</v>
      </c>
      <c r="F27770" s="40" t="s">
        <v>11404</v>
      </c>
      <c r="G27770" s="40" t="s">
        <v>11404</v>
      </c>
      <c r="H27770" s="40" t="s">
        <v>11404</v>
      </c>
    </row>
    <row r="27771">
      <c r="A27771" s="39"/>
      <c r="E27771" s="40" t="s">
        <v>11404</v>
      </c>
      <c r="F27771" s="40" t="s">
        <v>11404</v>
      </c>
      <c r="G27771" s="40" t="s">
        <v>11404</v>
      </c>
      <c r="H27771" s="40" t="s">
        <v>11404</v>
      </c>
    </row>
    <row r="27772">
      <c r="A27772" s="39"/>
      <c r="E27772" s="40" t="s">
        <v>11404</v>
      </c>
      <c r="F27772" s="40" t="s">
        <v>11404</v>
      </c>
      <c r="G27772" s="40" t="s">
        <v>11404</v>
      </c>
      <c r="H27772" s="40" t="s">
        <v>11404</v>
      </c>
    </row>
    <row r="27773">
      <c r="A27773" s="39"/>
      <c r="E27773" s="40" t="s">
        <v>11404</v>
      </c>
      <c r="F27773" s="40" t="s">
        <v>11404</v>
      </c>
      <c r="G27773" s="40" t="s">
        <v>11404</v>
      </c>
      <c r="H27773" s="40" t="s">
        <v>11404</v>
      </c>
    </row>
    <row r="27774">
      <c r="A27774" s="39"/>
      <c r="E27774" s="40" t="s">
        <v>11404</v>
      </c>
      <c r="F27774" s="40" t="s">
        <v>11404</v>
      </c>
      <c r="G27774" s="40" t="s">
        <v>11404</v>
      </c>
      <c r="H27774" s="40" t="s">
        <v>11404</v>
      </c>
    </row>
    <row r="27775">
      <c r="A27775" s="39"/>
      <c r="E27775" s="40" t="s">
        <v>11404</v>
      </c>
      <c r="F27775" s="40" t="s">
        <v>11404</v>
      </c>
      <c r="G27775" s="40" t="s">
        <v>11404</v>
      </c>
      <c r="H27775" s="40" t="s">
        <v>11404</v>
      </c>
    </row>
    <row r="27776">
      <c r="A27776" s="39"/>
      <c r="E27776" s="40" t="s">
        <v>11404</v>
      </c>
      <c r="F27776" s="40" t="s">
        <v>11404</v>
      </c>
      <c r="G27776" s="40" t="s">
        <v>11404</v>
      </c>
      <c r="H27776" s="40" t="s">
        <v>11404</v>
      </c>
    </row>
    <row r="27777">
      <c r="A27777" s="39"/>
      <c r="E27777" s="40" t="s">
        <v>11404</v>
      </c>
      <c r="F27777" s="40" t="s">
        <v>11404</v>
      </c>
      <c r="G27777" s="40" t="s">
        <v>11404</v>
      </c>
      <c r="H27777" s="40" t="s">
        <v>11404</v>
      </c>
    </row>
    <row r="27778">
      <c r="A27778" s="39"/>
      <c r="E27778" s="40" t="s">
        <v>11404</v>
      </c>
      <c r="F27778" s="40" t="s">
        <v>11404</v>
      </c>
      <c r="G27778" s="40" t="s">
        <v>11404</v>
      </c>
      <c r="H27778" s="40" t="s">
        <v>11404</v>
      </c>
    </row>
    <row r="27779">
      <c r="A27779" s="39"/>
      <c r="E27779" s="40" t="s">
        <v>11404</v>
      </c>
      <c r="F27779" s="40" t="s">
        <v>11404</v>
      </c>
      <c r="G27779" s="40" t="s">
        <v>11404</v>
      </c>
      <c r="H27779" s="40" t="s">
        <v>11404</v>
      </c>
    </row>
    <row r="27780">
      <c r="A27780" s="39"/>
      <c r="E27780" s="40" t="s">
        <v>11404</v>
      </c>
      <c r="F27780" s="40" t="s">
        <v>11404</v>
      </c>
      <c r="G27780" s="40" t="s">
        <v>11404</v>
      </c>
      <c r="H27780" s="40" t="s">
        <v>11404</v>
      </c>
    </row>
    <row r="27781">
      <c r="A27781" s="39"/>
      <c r="E27781" s="40" t="s">
        <v>11404</v>
      </c>
      <c r="F27781" s="40" t="s">
        <v>11404</v>
      </c>
      <c r="G27781" s="40" t="s">
        <v>11404</v>
      </c>
      <c r="H27781" s="40" t="s">
        <v>11404</v>
      </c>
    </row>
    <row r="27782">
      <c r="A27782" s="39"/>
      <c r="E27782" s="40" t="s">
        <v>11404</v>
      </c>
      <c r="F27782" s="40" t="s">
        <v>11404</v>
      </c>
      <c r="G27782" s="40" t="s">
        <v>11404</v>
      </c>
      <c r="H27782" s="40" t="s">
        <v>11404</v>
      </c>
    </row>
    <row r="27783">
      <c r="A27783" s="39"/>
      <c r="E27783" s="40" t="s">
        <v>11404</v>
      </c>
      <c r="F27783" s="40" t="s">
        <v>11404</v>
      </c>
      <c r="G27783" s="40" t="s">
        <v>11404</v>
      </c>
      <c r="H27783" s="40" t="s">
        <v>11404</v>
      </c>
    </row>
    <row r="27784">
      <c r="A27784" s="39"/>
      <c r="E27784" s="40" t="s">
        <v>11404</v>
      </c>
      <c r="F27784" s="40" t="s">
        <v>11404</v>
      </c>
      <c r="G27784" s="40" t="s">
        <v>11404</v>
      </c>
      <c r="H27784" s="40" t="s">
        <v>11404</v>
      </c>
    </row>
    <row r="27785">
      <c r="A27785" s="39"/>
      <c r="E27785" s="40" t="s">
        <v>11404</v>
      </c>
      <c r="F27785" s="40" t="s">
        <v>11404</v>
      </c>
      <c r="G27785" s="40" t="s">
        <v>11404</v>
      </c>
      <c r="H27785" s="40" t="s">
        <v>11404</v>
      </c>
    </row>
    <row r="27786">
      <c r="A27786" s="39"/>
      <c r="E27786" s="40" t="s">
        <v>11404</v>
      </c>
      <c r="F27786" s="40" t="s">
        <v>11404</v>
      </c>
      <c r="G27786" s="40" t="s">
        <v>11404</v>
      </c>
      <c r="H27786" s="40" t="s">
        <v>11404</v>
      </c>
    </row>
    <row r="27787">
      <c r="A27787" s="39"/>
      <c r="E27787" s="40" t="s">
        <v>11404</v>
      </c>
      <c r="F27787" s="40" t="s">
        <v>11404</v>
      </c>
      <c r="G27787" s="40" t="s">
        <v>11404</v>
      </c>
      <c r="H27787" s="40" t="s">
        <v>11404</v>
      </c>
    </row>
    <row r="27788">
      <c r="A27788" s="39"/>
      <c r="E27788" s="40" t="s">
        <v>11404</v>
      </c>
      <c r="F27788" s="40" t="s">
        <v>11404</v>
      </c>
      <c r="G27788" s="40" t="s">
        <v>11404</v>
      </c>
      <c r="H27788" s="40" t="s">
        <v>11404</v>
      </c>
    </row>
    <row r="27789">
      <c r="A27789" s="39"/>
      <c r="E27789" s="40" t="s">
        <v>11404</v>
      </c>
      <c r="F27789" s="40" t="s">
        <v>11404</v>
      </c>
      <c r="G27789" s="40" t="s">
        <v>11404</v>
      </c>
      <c r="H27789" s="40" t="s">
        <v>11404</v>
      </c>
    </row>
    <row r="27790">
      <c r="A27790" s="39"/>
      <c r="E27790" s="40" t="s">
        <v>11404</v>
      </c>
      <c r="F27790" s="40" t="s">
        <v>11404</v>
      </c>
      <c r="G27790" s="40" t="s">
        <v>11404</v>
      </c>
      <c r="H27790" s="40" t="s">
        <v>11404</v>
      </c>
    </row>
    <row r="27791">
      <c r="A27791" s="39"/>
      <c r="E27791" s="40" t="s">
        <v>11404</v>
      </c>
      <c r="F27791" s="40" t="s">
        <v>11404</v>
      </c>
      <c r="G27791" s="40" t="s">
        <v>11404</v>
      </c>
      <c r="H27791" s="40" t="s">
        <v>11404</v>
      </c>
    </row>
    <row r="27792">
      <c r="A27792" s="39"/>
      <c r="E27792" s="40" t="s">
        <v>11404</v>
      </c>
      <c r="F27792" s="40" t="s">
        <v>11404</v>
      </c>
      <c r="G27792" s="40" t="s">
        <v>11404</v>
      </c>
      <c r="H27792" s="40" t="s">
        <v>11404</v>
      </c>
    </row>
    <row r="27793">
      <c r="A27793" s="39"/>
      <c r="E27793" s="40" t="s">
        <v>11404</v>
      </c>
      <c r="F27793" s="40" t="s">
        <v>11404</v>
      </c>
      <c r="G27793" s="40" t="s">
        <v>11404</v>
      </c>
      <c r="H27793" s="40" t="s">
        <v>11404</v>
      </c>
    </row>
    <row r="27794">
      <c r="A27794" s="39"/>
      <c r="E27794" s="40" t="s">
        <v>11404</v>
      </c>
      <c r="F27794" s="40" t="s">
        <v>11404</v>
      </c>
      <c r="G27794" s="40" t="s">
        <v>11404</v>
      </c>
      <c r="H27794" s="40" t="s">
        <v>11404</v>
      </c>
    </row>
    <row r="27795">
      <c r="A27795" s="39"/>
      <c r="E27795" s="40" t="s">
        <v>11404</v>
      </c>
      <c r="F27795" s="40" t="s">
        <v>11404</v>
      </c>
      <c r="G27795" s="40" t="s">
        <v>11404</v>
      </c>
      <c r="H27795" s="40" t="s">
        <v>11404</v>
      </c>
    </row>
    <row r="27796">
      <c r="A27796" s="39"/>
      <c r="E27796" s="40" t="s">
        <v>11404</v>
      </c>
      <c r="F27796" s="40" t="s">
        <v>11404</v>
      </c>
      <c r="G27796" s="40" t="s">
        <v>11404</v>
      </c>
      <c r="H27796" s="40" t="s">
        <v>11404</v>
      </c>
    </row>
    <row r="27797">
      <c r="A27797" s="39"/>
      <c r="E27797" s="40" t="s">
        <v>11404</v>
      </c>
      <c r="F27797" s="40" t="s">
        <v>11404</v>
      </c>
      <c r="G27797" s="40" t="s">
        <v>11404</v>
      </c>
      <c r="H27797" s="40" t="s">
        <v>11404</v>
      </c>
    </row>
    <row r="27798">
      <c r="A27798" s="39"/>
      <c r="E27798" s="40" t="s">
        <v>11404</v>
      </c>
      <c r="F27798" s="40" t="s">
        <v>11404</v>
      </c>
      <c r="G27798" s="40" t="s">
        <v>11404</v>
      </c>
      <c r="H27798" s="40" t="s">
        <v>11404</v>
      </c>
    </row>
    <row r="27799">
      <c r="A27799" s="39"/>
      <c r="E27799" s="40" t="s">
        <v>11404</v>
      </c>
      <c r="F27799" s="40" t="s">
        <v>11404</v>
      </c>
      <c r="G27799" s="40" t="s">
        <v>11404</v>
      </c>
      <c r="H27799" s="40" t="s">
        <v>11404</v>
      </c>
    </row>
    <row r="27800">
      <c r="A27800" s="39"/>
      <c r="E27800" s="40" t="s">
        <v>11404</v>
      </c>
      <c r="F27800" s="40" t="s">
        <v>11404</v>
      </c>
      <c r="G27800" s="40" t="s">
        <v>11404</v>
      </c>
      <c r="H27800" s="40" t="s">
        <v>11404</v>
      </c>
    </row>
    <row r="27801">
      <c r="A27801" s="39"/>
      <c r="E27801" s="40" t="s">
        <v>11404</v>
      </c>
      <c r="F27801" s="40" t="s">
        <v>11404</v>
      </c>
      <c r="G27801" s="40" t="s">
        <v>11404</v>
      </c>
      <c r="H27801" s="40" t="s">
        <v>11404</v>
      </c>
    </row>
    <row r="27802">
      <c r="A27802" s="39"/>
      <c r="E27802" s="40" t="s">
        <v>11404</v>
      </c>
      <c r="F27802" s="40" t="s">
        <v>11404</v>
      </c>
      <c r="G27802" s="40" t="s">
        <v>11404</v>
      </c>
      <c r="H27802" s="40" t="s">
        <v>11404</v>
      </c>
    </row>
    <row r="27803">
      <c r="A27803" s="39"/>
      <c r="E27803" s="40" t="s">
        <v>11404</v>
      </c>
      <c r="F27803" s="40" t="s">
        <v>11404</v>
      </c>
      <c r="G27803" s="40" t="s">
        <v>11404</v>
      </c>
      <c r="H27803" s="40" t="s">
        <v>11404</v>
      </c>
    </row>
    <row r="27804">
      <c r="A27804" s="39"/>
      <c r="E27804" s="40" t="s">
        <v>11404</v>
      </c>
      <c r="F27804" s="40" t="s">
        <v>11404</v>
      </c>
      <c r="G27804" s="40" t="s">
        <v>11404</v>
      </c>
      <c r="H27804" s="40" t="s">
        <v>11404</v>
      </c>
    </row>
    <row r="27805">
      <c r="A27805" s="39"/>
      <c r="E27805" s="40" t="s">
        <v>11404</v>
      </c>
      <c r="F27805" s="40" t="s">
        <v>11404</v>
      </c>
      <c r="G27805" s="40" t="s">
        <v>11404</v>
      </c>
      <c r="H27805" s="40" t="s">
        <v>11404</v>
      </c>
    </row>
    <row r="27806">
      <c r="A27806" s="39"/>
      <c r="E27806" s="40" t="s">
        <v>11404</v>
      </c>
      <c r="F27806" s="40" t="s">
        <v>11404</v>
      </c>
      <c r="G27806" s="40" t="s">
        <v>11404</v>
      </c>
      <c r="H27806" s="40" t="s">
        <v>11404</v>
      </c>
    </row>
    <row r="27807">
      <c r="A27807" s="39"/>
      <c r="E27807" s="40" t="s">
        <v>11404</v>
      </c>
      <c r="F27807" s="40" t="s">
        <v>11404</v>
      </c>
      <c r="G27807" s="40" t="s">
        <v>11404</v>
      </c>
      <c r="H27807" s="40" t="s">
        <v>11404</v>
      </c>
    </row>
    <row r="27808">
      <c r="A27808" s="39"/>
      <c r="E27808" s="40" t="s">
        <v>11404</v>
      </c>
      <c r="F27808" s="40" t="s">
        <v>11404</v>
      </c>
      <c r="G27808" s="40" t="s">
        <v>11404</v>
      </c>
      <c r="H27808" s="40" t="s">
        <v>11404</v>
      </c>
    </row>
    <row r="27809">
      <c r="A27809" s="39"/>
      <c r="E27809" s="40" t="s">
        <v>11404</v>
      </c>
      <c r="F27809" s="40" t="s">
        <v>11404</v>
      </c>
      <c r="G27809" s="40" t="s">
        <v>11404</v>
      </c>
      <c r="H27809" s="40" t="s">
        <v>11404</v>
      </c>
    </row>
    <row r="27810">
      <c r="A27810" s="39"/>
      <c r="E27810" s="40" t="s">
        <v>11404</v>
      </c>
      <c r="F27810" s="40" t="s">
        <v>11404</v>
      </c>
      <c r="G27810" s="40" t="s">
        <v>11404</v>
      </c>
      <c r="H27810" s="40" t="s">
        <v>11404</v>
      </c>
    </row>
    <row r="27811">
      <c r="A27811" s="39"/>
      <c r="E27811" s="40" t="s">
        <v>11404</v>
      </c>
      <c r="F27811" s="40" t="s">
        <v>11404</v>
      </c>
      <c r="G27811" s="40" t="s">
        <v>11404</v>
      </c>
      <c r="H27811" s="40" t="s">
        <v>11404</v>
      </c>
    </row>
    <row r="27812">
      <c r="A27812" s="39"/>
      <c r="E27812" s="40" t="s">
        <v>11404</v>
      </c>
      <c r="F27812" s="40" t="s">
        <v>11404</v>
      </c>
      <c r="G27812" s="40" t="s">
        <v>11404</v>
      </c>
      <c r="H27812" s="40" t="s">
        <v>11404</v>
      </c>
    </row>
    <row r="27813">
      <c r="A27813" s="39"/>
      <c r="E27813" s="40" t="s">
        <v>11404</v>
      </c>
      <c r="F27813" s="40" t="s">
        <v>11404</v>
      </c>
      <c r="G27813" s="40" t="s">
        <v>11404</v>
      </c>
      <c r="H27813" s="40" t="s">
        <v>11404</v>
      </c>
    </row>
    <row r="27814">
      <c r="A27814" s="39"/>
      <c r="E27814" s="40" t="s">
        <v>11404</v>
      </c>
      <c r="F27814" s="40" t="s">
        <v>11404</v>
      </c>
      <c r="G27814" s="40" t="s">
        <v>11404</v>
      </c>
      <c r="H27814" s="40" t="s">
        <v>11404</v>
      </c>
    </row>
    <row r="27815">
      <c r="A27815" s="39"/>
      <c r="E27815" s="40" t="s">
        <v>11404</v>
      </c>
      <c r="F27815" s="40" t="s">
        <v>11404</v>
      </c>
      <c r="G27815" s="40" t="s">
        <v>11404</v>
      </c>
      <c r="H27815" s="40" t="s">
        <v>11404</v>
      </c>
    </row>
    <row r="27816">
      <c r="A27816" s="39"/>
      <c r="E27816" s="40" t="s">
        <v>11404</v>
      </c>
      <c r="F27816" s="40" t="s">
        <v>11404</v>
      </c>
      <c r="G27816" s="40" t="s">
        <v>11404</v>
      </c>
      <c r="H27816" s="40" t="s">
        <v>11404</v>
      </c>
    </row>
    <row r="27817">
      <c r="A27817" s="39"/>
      <c r="E27817" s="40" t="s">
        <v>11404</v>
      </c>
      <c r="F27817" s="40" t="s">
        <v>11404</v>
      </c>
      <c r="G27817" s="40" t="s">
        <v>11404</v>
      </c>
      <c r="H27817" s="40" t="s">
        <v>11404</v>
      </c>
    </row>
    <row r="27818">
      <c r="A27818" s="39"/>
      <c r="E27818" s="40" t="s">
        <v>11404</v>
      </c>
      <c r="F27818" s="40" t="s">
        <v>11404</v>
      </c>
      <c r="G27818" s="40" t="s">
        <v>11404</v>
      </c>
      <c r="H27818" s="40" t="s">
        <v>11404</v>
      </c>
    </row>
    <row r="27819">
      <c r="A27819" s="39"/>
      <c r="E27819" s="40" t="s">
        <v>11404</v>
      </c>
      <c r="F27819" s="40" t="s">
        <v>11404</v>
      </c>
      <c r="G27819" s="40" t="s">
        <v>11404</v>
      </c>
      <c r="H27819" s="40" t="s">
        <v>11404</v>
      </c>
    </row>
    <row r="27820">
      <c r="A27820" s="39"/>
      <c r="E27820" s="40" t="s">
        <v>11404</v>
      </c>
      <c r="F27820" s="40" t="s">
        <v>11404</v>
      </c>
      <c r="G27820" s="40" t="s">
        <v>11404</v>
      </c>
      <c r="H27820" s="40" t="s">
        <v>11404</v>
      </c>
    </row>
    <row r="27821">
      <c r="A27821" s="39"/>
      <c r="E27821" s="40" t="s">
        <v>11404</v>
      </c>
      <c r="F27821" s="40" t="s">
        <v>11404</v>
      </c>
      <c r="G27821" s="40" t="s">
        <v>11404</v>
      </c>
      <c r="H27821" s="40" t="s">
        <v>11404</v>
      </c>
    </row>
    <row r="27822">
      <c r="A27822" s="39"/>
      <c r="E27822" s="40" t="s">
        <v>11404</v>
      </c>
      <c r="F27822" s="40" t="s">
        <v>11404</v>
      </c>
      <c r="G27822" s="40" t="s">
        <v>11404</v>
      </c>
      <c r="H27822" s="40" t="s">
        <v>11404</v>
      </c>
    </row>
    <row r="27823">
      <c r="A27823" s="39"/>
      <c r="E27823" s="40" t="s">
        <v>11404</v>
      </c>
      <c r="F27823" s="40" t="s">
        <v>11404</v>
      </c>
      <c r="G27823" s="40" t="s">
        <v>11404</v>
      </c>
      <c r="H27823" s="40" t="s">
        <v>11404</v>
      </c>
    </row>
    <row r="27824">
      <c r="A27824" s="39"/>
      <c r="E27824" s="40" t="s">
        <v>11404</v>
      </c>
      <c r="F27824" s="40" t="s">
        <v>11404</v>
      </c>
      <c r="G27824" s="40" t="s">
        <v>11404</v>
      </c>
      <c r="H27824" s="40" t="s">
        <v>11404</v>
      </c>
    </row>
    <row r="27825">
      <c r="A27825" s="39"/>
      <c r="E27825" s="40" t="s">
        <v>11404</v>
      </c>
      <c r="F27825" s="40" t="s">
        <v>11404</v>
      </c>
      <c r="G27825" s="40" t="s">
        <v>11404</v>
      </c>
      <c r="H27825" s="40" t="s">
        <v>11404</v>
      </c>
    </row>
    <row r="27826">
      <c r="A27826" s="39"/>
      <c r="E27826" s="40" t="s">
        <v>11404</v>
      </c>
      <c r="F27826" s="40" t="s">
        <v>11404</v>
      </c>
      <c r="G27826" s="40" t="s">
        <v>11404</v>
      </c>
      <c r="H27826" s="40" t="s">
        <v>11404</v>
      </c>
    </row>
    <row r="27827">
      <c r="A27827" s="39"/>
      <c r="E27827" s="40" t="s">
        <v>11404</v>
      </c>
      <c r="F27827" s="40" t="s">
        <v>11404</v>
      </c>
      <c r="G27827" s="40" t="s">
        <v>11404</v>
      </c>
      <c r="H27827" s="40" t="s">
        <v>11404</v>
      </c>
    </row>
    <row r="27828">
      <c r="A27828" s="39"/>
      <c r="E27828" s="40" t="s">
        <v>11404</v>
      </c>
      <c r="F27828" s="40" t="s">
        <v>11404</v>
      </c>
      <c r="G27828" s="40" t="s">
        <v>11404</v>
      </c>
      <c r="H27828" s="40" t="s">
        <v>11404</v>
      </c>
    </row>
    <row r="27829">
      <c r="A27829" s="39"/>
      <c r="E27829" s="40" t="s">
        <v>11404</v>
      </c>
      <c r="F27829" s="40" t="s">
        <v>11404</v>
      </c>
      <c r="G27829" s="40" t="s">
        <v>11404</v>
      </c>
      <c r="H27829" s="40" t="s">
        <v>11404</v>
      </c>
    </row>
    <row r="27830">
      <c r="A27830" s="39"/>
      <c r="E27830" s="40" t="s">
        <v>11404</v>
      </c>
      <c r="F27830" s="40" t="s">
        <v>11404</v>
      </c>
      <c r="G27830" s="40" t="s">
        <v>11404</v>
      </c>
      <c r="H27830" s="40" t="s">
        <v>11404</v>
      </c>
    </row>
    <row r="27831">
      <c r="A27831" s="39"/>
      <c r="E27831" s="40" t="s">
        <v>11404</v>
      </c>
      <c r="F27831" s="40" t="s">
        <v>11404</v>
      </c>
      <c r="G27831" s="40" t="s">
        <v>11404</v>
      </c>
      <c r="H27831" s="40" t="s">
        <v>11404</v>
      </c>
    </row>
    <row r="27832">
      <c r="A27832" s="39"/>
      <c r="E27832" s="40" t="s">
        <v>11404</v>
      </c>
      <c r="F27832" s="40" t="s">
        <v>11404</v>
      </c>
      <c r="G27832" s="40" t="s">
        <v>11404</v>
      </c>
      <c r="H27832" s="40" t="s">
        <v>11404</v>
      </c>
    </row>
    <row r="27833">
      <c r="A27833" s="39"/>
      <c r="E27833" s="40" t="s">
        <v>11404</v>
      </c>
      <c r="F27833" s="40" t="s">
        <v>11404</v>
      </c>
      <c r="G27833" s="40" t="s">
        <v>11404</v>
      </c>
      <c r="H27833" s="40" t="s">
        <v>11404</v>
      </c>
    </row>
    <row r="27834">
      <c r="A27834" s="39"/>
      <c r="E27834" s="40" t="s">
        <v>11404</v>
      </c>
      <c r="F27834" s="40" t="s">
        <v>11404</v>
      </c>
      <c r="G27834" s="40" t="s">
        <v>11404</v>
      </c>
      <c r="H27834" s="40" t="s">
        <v>11404</v>
      </c>
    </row>
    <row r="27835">
      <c r="A27835" s="39"/>
      <c r="E27835" s="40" t="s">
        <v>11404</v>
      </c>
      <c r="F27835" s="40" t="s">
        <v>11404</v>
      </c>
      <c r="G27835" s="40" t="s">
        <v>11404</v>
      </c>
      <c r="H27835" s="40" t="s">
        <v>11404</v>
      </c>
    </row>
    <row r="27836">
      <c r="A27836" s="39"/>
      <c r="E27836" s="40" t="s">
        <v>11404</v>
      </c>
      <c r="F27836" s="40" t="s">
        <v>11404</v>
      </c>
      <c r="G27836" s="40" t="s">
        <v>11404</v>
      </c>
      <c r="H27836" s="40" t="s">
        <v>11404</v>
      </c>
    </row>
    <row r="27837">
      <c r="A27837" s="39"/>
      <c r="E27837" s="40" t="s">
        <v>11404</v>
      </c>
      <c r="F27837" s="40" t="s">
        <v>11404</v>
      </c>
      <c r="G27837" s="40" t="s">
        <v>11404</v>
      </c>
      <c r="H27837" s="40" t="s">
        <v>11404</v>
      </c>
    </row>
    <row r="27838">
      <c r="A27838" s="39"/>
      <c r="E27838" s="40" t="s">
        <v>11404</v>
      </c>
      <c r="F27838" s="40" t="s">
        <v>11404</v>
      </c>
      <c r="G27838" s="40" t="s">
        <v>11404</v>
      </c>
      <c r="H27838" s="40" t="s">
        <v>11404</v>
      </c>
    </row>
    <row r="27839">
      <c r="A27839" s="39"/>
      <c r="E27839" s="40" t="s">
        <v>11404</v>
      </c>
      <c r="F27839" s="40" t="s">
        <v>11404</v>
      </c>
      <c r="G27839" s="40" t="s">
        <v>11404</v>
      </c>
      <c r="H27839" s="40" t="s">
        <v>11404</v>
      </c>
    </row>
    <row r="27840">
      <c r="A27840" s="39"/>
      <c r="E27840" s="40" t="s">
        <v>11404</v>
      </c>
      <c r="F27840" s="40" t="s">
        <v>11404</v>
      </c>
      <c r="G27840" s="40" t="s">
        <v>11404</v>
      </c>
      <c r="H27840" s="40" t="s">
        <v>11404</v>
      </c>
    </row>
    <row r="27841">
      <c r="A27841" s="39"/>
      <c r="E27841" s="40" t="s">
        <v>11404</v>
      </c>
      <c r="F27841" s="40" t="s">
        <v>11404</v>
      </c>
      <c r="G27841" s="40" t="s">
        <v>11404</v>
      </c>
      <c r="H27841" s="40" t="s">
        <v>11404</v>
      </c>
    </row>
    <row r="27842">
      <c r="A27842" s="39"/>
      <c r="E27842" s="40" t="s">
        <v>11404</v>
      </c>
      <c r="F27842" s="40" t="s">
        <v>11404</v>
      </c>
      <c r="G27842" s="40" t="s">
        <v>11404</v>
      </c>
      <c r="H27842" s="40" t="s">
        <v>11404</v>
      </c>
    </row>
    <row r="27843">
      <c r="A27843" s="39"/>
      <c r="E27843" s="40" t="s">
        <v>11404</v>
      </c>
      <c r="F27843" s="40" t="s">
        <v>11404</v>
      </c>
      <c r="G27843" s="40" t="s">
        <v>11404</v>
      </c>
      <c r="H27843" s="40" t="s">
        <v>11404</v>
      </c>
    </row>
    <row r="27844">
      <c r="A27844" s="39"/>
      <c r="E27844" s="40" t="s">
        <v>11404</v>
      </c>
      <c r="F27844" s="40" t="s">
        <v>11404</v>
      </c>
      <c r="G27844" s="40" t="s">
        <v>11404</v>
      </c>
      <c r="H27844" s="40" t="s">
        <v>11404</v>
      </c>
    </row>
    <row r="27845">
      <c r="A27845" s="39"/>
      <c r="E27845" s="40" t="s">
        <v>11404</v>
      </c>
      <c r="F27845" s="40" t="s">
        <v>11404</v>
      </c>
      <c r="G27845" s="40" t="s">
        <v>11404</v>
      </c>
      <c r="H27845" s="40" t="s">
        <v>11404</v>
      </c>
    </row>
    <row r="27846">
      <c r="A27846" s="39"/>
      <c r="E27846" s="40" t="s">
        <v>11404</v>
      </c>
      <c r="F27846" s="40" t="s">
        <v>11404</v>
      </c>
      <c r="G27846" s="40" t="s">
        <v>11404</v>
      </c>
      <c r="H27846" s="40" t="s">
        <v>11404</v>
      </c>
    </row>
    <row r="27847">
      <c r="A27847" s="39"/>
      <c r="E27847" s="40" t="s">
        <v>11404</v>
      </c>
      <c r="F27847" s="40" t="s">
        <v>11404</v>
      </c>
      <c r="G27847" s="40" t="s">
        <v>11404</v>
      </c>
      <c r="H27847" s="40" t="s">
        <v>11404</v>
      </c>
    </row>
    <row r="27848">
      <c r="A27848" s="39"/>
      <c r="E27848" s="40" t="s">
        <v>11404</v>
      </c>
      <c r="F27848" s="40" t="s">
        <v>11404</v>
      </c>
      <c r="G27848" s="40" t="s">
        <v>11404</v>
      </c>
      <c r="H27848" s="40" t="s">
        <v>11404</v>
      </c>
    </row>
    <row r="27849">
      <c r="A27849" s="39"/>
      <c r="E27849" s="40" t="s">
        <v>11404</v>
      </c>
      <c r="F27849" s="40" t="s">
        <v>11404</v>
      </c>
      <c r="G27849" s="40" t="s">
        <v>11404</v>
      </c>
      <c r="H27849" s="40" t="s">
        <v>11404</v>
      </c>
    </row>
    <row r="27850">
      <c r="A27850" s="39"/>
      <c r="E27850" s="40" t="s">
        <v>11404</v>
      </c>
      <c r="F27850" s="40" t="s">
        <v>11404</v>
      </c>
      <c r="G27850" s="40" t="s">
        <v>11404</v>
      </c>
      <c r="H27850" s="40" t="s">
        <v>11404</v>
      </c>
    </row>
    <row r="27851">
      <c r="A27851" s="39"/>
      <c r="E27851" s="40" t="s">
        <v>11404</v>
      </c>
      <c r="F27851" s="40" t="s">
        <v>11404</v>
      </c>
      <c r="G27851" s="40" t="s">
        <v>11404</v>
      </c>
      <c r="H27851" s="40" t="s">
        <v>11404</v>
      </c>
    </row>
    <row r="27852">
      <c r="A27852" s="39"/>
      <c r="E27852" s="40" t="s">
        <v>11404</v>
      </c>
      <c r="F27852" s="40" t="s">
        <v>11404</v>
      </c>
      <c r="G27852" s="40" t="s">
        <v>11404</v>
      </c>
      <c r="H27852" s="40" t="s">
        <v>11404</v>
      </c>
    </row>
    <row r="27853">
      <c r="A27853" s="39"/>
      <c r="E27853" s="40" t="s">
        <v>11404</v>
      </c>
      <c r="F27853" s="40" t="s">
        <v>11404</v>
      </c>
      <c r="G27853" s="40" t="s">
        <v>11404</v>
      </c>
      <c r="H27853" s="40" t="s">
        <v>11404</v>
      </c>
    </row>
    <row r="27854">
      <c r="A27854" s="39"/>
      <c r="E27854" s="40" t="s">
        <v>11404</v>
      </c>
      <c r="F27854" s="40" t="s">
        <v>11404</v>
      </c>
      <c r="G27854" s="40" t="s">
        <v>11404</v>
      </c>
      <c r="H27854" s="40" t="s">
        <v>11404</v>
      </c>
    </row>
    <row r="27855">
      <c r="A27855" s="39"/>
      <c r="E27855" s="40" t="s">
        <v>11404</v>
      </c>
      <c r="F27855" s="40" t="s">
        <v>11404</v>
      </c>
      <c r="G27855" s="40" t="s">
        <v>11404</v>
      </c>
      <c r="H27855" s="40" t="s">
        <v>11404</v>
      </c>
    </row>
    <row r="27856">
      <c r="A27856" s="39"/>
      <c r="E27856" s="40" t="s">
        <v>11404</v>
      </c>
      <c r="F27856" s="40" t="s">
        <v>11404</v>
      </c>
      <c r="G27856" s="40" t="s">
        <v>11404</v>
      </c>
      <c r="H27856" s="40" t="s">
        <v>11404</v>
      </c>
    </row>
    <row r="27857">
      <c r="A27857" s="39"/>
      <c r="E27857" s="40" t="s">
        <v>11404</v>
      </c>
      <c r="F27857" s="40" t="s">
        <v>11404</v>
      </c>
      <c r="G27857" s="40" t="s">
        <v>11404</v>
      </c>
      <c r="H27857" s="40" t="s">
        <v>11404</v>
      </c>
    </row>
    <row r="27858">
      <c r="A27858" s="39"/>
      <c r="E27858" s="40" t="s">
        <v>11404</v>
      </c>
      <c r="F27858" s="40" t="s">
        <v>11404</v>
      </c>
      <c r="G27858" s="40" t="s">
        <v>11404</v>
      </c>
      <c r="H27858" s="40" t="s">
        <v>11404</v>
      </c>
    </row>
    <row r="27859">
      <c r="A27859" s="39"/>
      <c r="E27859" s="40" t="s">
        <v>11404</v>
      </c>
      <c r="F27859" s="40" t="s">
        <v>11404</v>
      </c>
      <c r="G27859" s="40" t="s">
        <v>11404</v>
      </c>
      <c r="H27859" s="40" t="s">
        <v>11404</v>
      </c>
    </row>
    <row r="27860">
      <c r="A27860" s="39"/>
      <c r="E27860" s="40" t="s">
        <v>11404</v>
      </c>
      <c r="F27860" s="40" t="s">
        <v>11404</v>
      </c>
      <c r="G27860" s="40" t="s">
        <v>11404</v>
      </c>
      <c r="H27860" s="40" t="s">
        <v>11404</v>
      </c>
    </row>
    <row r="27861">
      <c r="A27861" s="39"/>
      <c r="E27861" s="40" t="s">
        <v>11404</v>
      </c>
      <c r="F27861" s="40" t="s">
        <v>11404</v>
      </c>
      <c r="G27861" s="40" t="s">
        <v>11404</v>
      </c>
      <c r="H27861" s="40" t="s">
        <v>11404</v>
      </c>
    </row>
    <row r="27862">
      <c r="A27862" s="39"/>
      <c r="E27862" s="40" t="s">
        <v>11404</v>
      </c>
      <c r="F27862" s="40" t="s">
        <v>11404</v>
      </c>
      <c r="G27862" s="40" t="s">
        <v>11404</v>
      </c>
      <c r="H27862" s="40" t="s">
        <v>11404</v>
      </c>
    </row>
    <row r="27863">
      <c r="A27863" s="39"/>
      <c r="E27863" s="40" t="s">
        <v>11404</v>
      </c>
      <c r="F27863" s="40" t="s">
        <v>11404</v>
      </c>
      <c r="G27863" s="40" t="s">
        <v>11404</v>
      </c>
      <c r="H27863" s="40" t="s">
        <v>11404</v>
      </c>
    </row>
    <row r="27864">
      <c r="A27864" s="39"/>
      <c r="E27864" s="40" t="s">
        <v>11404</v>
      </c>
      <c r="F27864" s="40" t="s">
        <v>11404</v>
      </c>
      <c r="G27864" s="40" t="s">
        <v>11404</v>
      </c>
      <c r="H27864" s="40" t="s">
        <v>11404</v>
      </c>
    </row>
    <row r="27865">
      <c r="A27865" s="39"/>
      <c r="E27865" s="40" t="s">
        <v>11404</v>
      </c>
      <c r="F27865" s="40" t="s">
        <v>11404</v>
      </c>
      <c r="G27865" s="40" t="s">
        <v>11404</v>
      </c>
      <c r="H27865" s="40" t="s">
        <v>11404</v>
      </c>
    </row>
    <row r="27866">
      <c r="A27866" s="39"/>
      <c r="E27866" s="40" t="s">
        <v>11404</v>
      </c>
      <c r="F27866" s="40" t="s">
        <v>11404</v>
      </c>
      <c r="G27866" s="40" t="s">
        <v>11404</v>
      </c>
      <c r="H27866" s="40" t="s">
        <v>11404</v>
      </c>
    </row>
    <row r="27867">
      <c r="A27867" s="39"/>
      <c r="E27867" s="40" t="s">
        <v>11404</v>
      </c>
      <c r="F27867" s="40" t="s">
        <v>11404</v>
      </c>
      <c r="G27867" s="40" t="s">
        <v>11404</v>
      </c>
      <c r="H27867" s="40" t="s">
        <v>11404</v>
      </c>
    </row>
    <row r="27868">
      <c r="A27868" s="39"/>
      <c r="E27868" s="40" t="s">
        <v>11404</v>
      </c>
      <c r="F27868" s="40" t="s">
        <v>11404</v>
      </c>
      <c r="G27868" s="40" t="s">
        <v>11404</v>
      </c>
      <c r="H27868" s="40" t="s">
        <v>11404</v>
      </c>
    </row>
    <row r="27869">
      <c r="A27869" s="39"/>
      <c r="E27869" s="40" t="s">
        <v>11404</v>
      </c>
      <c r="F27869" s="40" t="s">
        <v>11404</v>
      </c>
      <c r="G27869" s="40" t="s">
        <v>11404</v>
      </c>
      <c r="H27869" s="40" t="s">
        <v>11404</v>
      </c>
    </row>
    <row r="27870">
      <c r="A27870" s="39"/>
      <c r="E27870" s="40" t="s">
        <v>11404</v>
      </c>
      <c r="F27870" s="40" t="s">
        <v>11404</v>
      </c>
      <c r="G27870" s="40" t="s">
        <v>11404</v>
      </c>
      <c r="H27870" s="40" t="s">
        <v>11404</v>
      </c>
    </row>
    <row r="27871">
      <c r="A27871" s="39"/>
      <c r="E27871" s="40" t="s">
        <v>11404</v>
      </c>
      <c r="F27871" s="40" t="s">
        <v>11404</v>
      </c>
      <c r="G27871" s="40" t="s">
        <v>11404</v>
      </c>
      <c r="H27871" s="40" t="s">
        <v>11404</v>
      </c>
    </row>
    <row r="27872">
      <c r="A27872" s="39"/>
      <c r="E27872" s="40" t="s">
        <v>11404</v>
      </c>
      <c r="F27872" s="40" t="s">
        <v>11404</v>
      </c>
      <c r="G27872" s="40" t="s">
        <v>11404</v>
      </c>
      <c r="H27872" s="40" t="s">
        <v>11404</v>
      </c>
    </row>
    <row r="27873">
      <c r="A27873" s="39"/>
      <c r="E27873" s="40" t="s">
        <v>11404</v>
      </c>
      <c r="F27873" s="40" t="s">
        <v>11404</v>
      </c>
      <c r="G27873" s="40" t="s">
        <v>11404</v>
      </c>
      <c r="H27873" s="40" t="s">
        <v>11404</v>
      </c>
    </row>
    <row r="27874">
      <c r="A27874" s="39"/>
      <c r="E27874" s="40" t="s">
        <v>11404</v>
      </c>
      <c r="F27874" s="40" t="s">
        <v>11404</v>
      </c>
      <c r="G27874" s="40" t="s">
        <v>11404</v>
      </c>
      <c r="H27874" s="40" t="s">
        <v>11404</v>
      </c>
    </row>
    <row r="27875">
      <c r="A27875" s="39"/>
      <c r="E27875" s="40" t="s">
        <v>11404</v>
      </c>
      <c r="F27875" s="40" t="s">
        <v>11404</v>
      </c>
      <c r="G27875" s="40" t="s">
        <v>11404</v>
      </c>
      <c r="H27875" s="40" t="s">
        <v>11404</v>
      </c>
    </row>
    <row r="27876">
      <c r="A27876" s="39"/>
      <c r="E27876" s="40" t="s">
        <v>11404</v>
      </c>
      <c r="F27876" s="40" t="s">
        <v>11404</v>
      </c>
      <c r="G27876" s="40" t="s">
        <v>11404</v>
      </c>
      <c r="H27876" s="40" t="s">
        <v>11404</v>
      </c>
    </row>
    <row r="27877">
      <c r="A27877" s="39"/>
      <c r="E27877" s="40" t="s">
        <v>11404</v>
      </c>
      <c r="F27877" s="40" t="s">
        <v>11404</v>
      </c>
      <c r="G27877" s="40" t="s">
        <v>11404</v>
      </c>
      <c r="H27877" s="40" t="s">
        <v>11404</v>
      </c>
    </row>
    <row r="27878">
      <c r="A27878" s="39"/>
      <c r="E27878" s="40" t="s">
        <v>11404</v>
      </c>
      <c r="F27878" s="40" t="s">
        <v>11404</v>
      </c>
      <c r="G27878" s="40" t="s">
        <v>11404</v>
      </c>
      <c r="H27878" s="40" t="s">
        <v>11404</v>
      </c>
    </row>
    <row r="27879">
      <c r="A27879" s="39"/>
      <c r="E27879" s="40" t="s">
        <v>11404</v>
      </c>
      <c r="F27879" s="40" t="s">
        <v>11404</v>
      </c>
      <c r="G27879" s="40" t="s">
        <v>11404</v>
      </c>
      <c r="H27879" s="40" t="s">
        <v>11404</v>
      </c>
    </row>
    <row r="27880">
      <c r="A27880" s="39"/>
      <c r="E27880" s="40" t="s">
        <v>11404</v>
      </c>
      <c r="F27880" s="40" t="s">
        <v>11404</v>
      </c>
      <c r="G27880" s="40" t="s">
        <v>11404</v>
      </c>
      <c r="H27880" s="40" t="s">
        <v>11404</v>
      </c>
    </row>
    <row r="27881">
      <c r="A27881" s="39"/>
      <c r="E27881" s="40" t="s">
        <v>11404</v>
      </c>
      <c r="F27881" s="40" t="s">
        <v>11404</v>
      </c>
      <c r="G27881" s="40" t="s">
        <v>11404</v>
      </c>
      <c r="H27881" s="40" t="s">
        <v>11404</v>
      </c>
    </row>
    <row r="27882">
      <c r="A27882" s="39"/>
      <c r="E27882" s="40" t="s">
        <v>11404</v>
      </c>
      <c r="F27882" s="40" t="s">
        <v>11404</v>
      </c>
      <c r="G27882" s="40" t="s">
        <v>11404</v>
      </c>
      <c r="H27882" s="40" t="s">
        <v>11404</v>
      </c>
    </row>
    <row r="27883">
      <c r="A27883" s="39"/>
      <c r="E27883" s="40" t="s">
        <v>11404</v>
      </c>
      <c r="F27883" s="40" t="s">
        <v>11404</v>
      </c>
      <c r="G27883" s="40" t="s">
        <v>11404</v>
      </c>
      <c r="H27883" s="40" t="s">
        <v>11404</v>
      </c>
    </row>
    <row r="27884">
      <c r="A27884" s="39"/>
      <c r="E27884" s="40" t="s">
        <v>11404</v>
      </c>
      <c r="F27884" s="40" t="s">
        <v>11404</v>
      </c>
      <c r="G27884" s="40" t="s">
        <v>11404</v>
      </c>
      <c r="H27884" s="40" t="s">
        <v>11404</v>
      </c>
    </row>
    <row r="27885">
      <c r="A27885" s="39"/>
      <c r="E27885" s="40" t="s">
        <v>11404</v>
      </c>
      <c r="F27885" s="40" t="s">
        <v>11404</v>
      </c>
      <c r="G27885" s="40" t="s">
        <v>11404</v>
      </c>
      <c r="H27885" s="40" t="s">
        <v>11404</v>
      </c>
    </row>
    <row r="27886">
      <c r="A27886" s="39"/>
      <c r="E27886" s="40" t="s">
        <v>11404</v>
      </c>
      <c r="F27886" s="40" t="s">
        <v>11404</v>
      </c>
      <c r="G27886" s="40" t="s">
        <v>11404</v>
      </c>
      <c r="H27886" s="40" t="s">
        <v>11404</v>
      </c>
    </row>
    <row r="27887">
      <c r="A27887" s="39"/>
      <c r="E27887" s="40" t="s">
        <v>11404</v>
      </c>
      <c r="F27887" s="40" t="s">
        <v>11404</v>
      </c>
      <c r="G27887" s="40" t="s">
        <v>11404</v>
      </c>
      <c r="H27887" s="40" t="s">
        <v>11404</v>
      </c>
    </row>
    <row r="27888">
      <c r="A27888" s="39"/>
      <c r="E27888" s="40" t="s">
        <v>11404</v>
      </c>
      <c r="F27888" s="40" t="s">
        <v>11404</v>
      </c>
      <c r="G27888" s="40" t="s">
        <v>11404</v>
      </c>
      <c r="H27888" s="40" t="s">
        <v>11404</v>
      </c>
    </row>
    <row r="27889">
      <c r="A27889" s="39"/>
      <c r="E27889" s="40" t="s">
        <v>11404</v>
      </c>
      <c r="F27889" s="40" t="s">
        <v>11404</v>
      </c>
      <c r="G27889" s="40" t="s">
        <v>11404</v>
      </c>
      <c r="H27889" s="40" t="s">
        <v>11404</v>
      </c>
    </row>
    <row r="27890">
      <c r="A27890" s="39"/>
      <c r="E27890" s="40" t="s">
        <v>11404</v>
      </c>
      <c r="F27890" s="40" t="s">
        <v>11404</v>
      </c>
      <c r="G27890" s="40" t="s">
        <v>11404</v>
      </c>
      <c r="H27890" s="40" t="s">
        <v>11404</v>
      </c>
    </row>
    <row r="27891">
      <c r="A27891" s="39"/>
      <c r="E27891" s="40" t="s">
        <v>11404</v>
      </c>
      <c r="F27891" s="40" t="s">
        <v>11404</v>
      </c>
      <c r="G27891" s="40" t="s">
        <v>11404</v>
      </c>
      <c r="H27891" s="40" t="s">
        <v>11404</v>
      </c>
    </row>
    <row r="27892">
      <c r="A27892" s="39"/>
      <c r="E27892" s="40" t="s">
        <v>11404</v>
      </c>
      <c r="F27892" s="40" t="s">
        <v>11404</v>
      </c>
      <c r="G27892" s="40" t="s">
        <v>11404</v>
      </c>
      <c r="H27892" s="40" t="s">
        <v>11404</v>
      </c>
    </row>
    <row r="27893">
      <c r="A27893" s="39"/>
      <c r="E27893" s="40" t="s">
        <v>11404</v>
      </c>
      <c r="F27893" s="40" t="s">
        <v>11404</v>
      </c>
      <c r="G27893" s="40" t="s">
        <v>11404</v>
      </c>
      <c r="H27893" s="40" t="s">
        <v>11404</v>
      </c>
    </row>
    <row r="27894">
      <c r="A27894" s="39"/>
      <c r="E27894" s="40" t="s">
        <v>11404</v>
      </c>
      <c r="F27894" s="40" t="s">
        <v>11404</v>
      </c>
      <c r="G27894" s="40" t="s">
        <v>11404</v>
      </c>
      <c r="H27894" s="40" t="s">
        <v>11404</v>
      </c>
    </row>
    <row r="27895">
      <c r="A27895" s="39"/>
      <c r="E27895" s="40" t="s">
        <v>11404</v>
      </c>
      <c r="F27895" s="40" t="s">
        <v>11404</v>
      </c>
      <c r="G27895" s="40" t="s">
        <v>11404</v>
      </c>
      <c r="H27895" s="40" t="s">
        <v>11404</v>
      </c>
    </row>
    <row r="27896">
      <c r="A27896" s="39"/>
      <c r="E27896" s="40" t="s">
        <v>11404</v>
      </c>
      <c r="F27896" s="40" t="s">
        <v>11404</v>
      </c>
      <c r="G27896" s="40" t="s">
        <v>11404</v>
      </c>
      <c r="H27896" s="40" t="s">
        <v>11404</v>
      </c>
    </row>
    <row r="27897">
      <c r="A27897" s="39"/>
      <c r="E27897" s="40" t="s">
        <v>11404</v>
      </c>
      <c r="F27897" s="40" t="s">
        <v>11404</v>
      </c>
      <c r="G27897" s="40" t="s">
        <v>11404</v>
      </c>
      <c r="H27897" s="40" t="s">
        <v>11404</v>
      </c>
    </row>
    <row r="27898">
      <c r="A27898" s="39"/>
      <c r="E27898" s="40" t="s">
        <v>11404</v>
      </c>
      <c r="F27898" s="40" t="s">
        <v>11404</v>
      </c>
      <c r="G27898" s="40" t="s">
        <v>11404</v>
      </c>
      <c r="H27898" s="40" t="s">
        <v>11404</v>
      </c>
    </row>
    <row r="27899">
      <c r="A27899" s="39"/>
      <c r="E27899" s="40" t="s">
        <v>11404</v>
      </c>
      <c r="F27899" s="40" t="s">
        <v>11404</v>
      </c>
      <c r="G27899" s="40" t="s">
        <v>11404</v>
      </c>
      <c r="H27899" s="40" t="s">
        <v>11404</v>
      </c>
    </row>
    <row r="27900">
      <c r="A27900" s="39"/>
      <c r="E27900" s="40" t="s">
        <v>11404</v>
      </c>
      <c r="F27900" s="40" t="s">
        <v>11404</v>
      </c>
      <c r="G27900" s="40" t="s">
        <v>11404</v>
      </c>
      <c r="H27900" s="40" t="s">
        <v>11404</v>
      </c>
    </row>
    <row r="27901">
      <c r="A27901" s="39"/>
      <c r="E27901" s="40" t="s">
        <v>11404</v>
      </c>
      <c r="F27901" s="40" t="s">
        <v>11404</v>
      </c>
      <c r="G27901" s="40" t="s">
        <v>11404</v>
      </c>
      <c r="H27901" s="40" t="s">
        <v>11404</v>
      </c>
    </row>
    <row r="27902">
      <c r="A27902" s="39"/>
      <c r="E27902" s="40" t="s">
        <v>11404</v>
      </c>
      <c r="F27902" s="40" t="s">
        <v>11404</v>
      </c>
      <c r="G27902" s="40" t="s">
        <v>11404</v>
      </c>
      <c r="H27902" s="40" t="s">
        <v>11404</v>
      </c>
    </row>
    <row r="27903">
      <c r="A27903" s="39"/>
      <c r="E27903" s="40" t="s">
        <v>11404</v>
      </c>
      <c r="F27903" s="40" t="s">
        <v>11404</v>
      </c>
      <c r="G27903" s="40" t="s">
        <v>11404</v>
      </c>
      <c r="H27903" s="40" t="s">
        <v>11404</v>
      </c>
    </row>
    <row r="27904">
      <c r="A27904" s="39"/>
      <c r="E27904" s="40" t="s">
        <v>11404</v>
      </c>
      <c r="F27904" s="40" t="s">
        <v>11404</v>
      </c>
      <c r="G27904" s="40" t="s">
        <v>11404</v>
      </c>
      <c r="H27904" s="40" t="s">
        <v>11404</v>
      </c>
    </row>
    <row r="27905">
      <c r="A27905" s="39"/>
      <c r="E27905" s="40" t="s">
        <v>11404</v>
      </c>
      <c r="F27905" s="40" t="s">
        <v>11404</v>
      </c>
      <c r="G27905" s="40" t="s">
        <v>11404</v>
      </c>
      <c r="H27905" s="40" t="s">
        <v>11404</v>
      </c>
    </row>
    <row r="27906">
      <c r="A27906" s="39"/>
      <c r="E27906" s="40" t="s">
        <v>11404</v>
      </c>
      <c r="F27906" s="40" t="s">
        <v>11404</v>
      </c>
      <c r="G27906" s="40" t="s">
        <v>11404</v>
      </c>
      <c r="H27906" s="40" t="s">
        <v>11404</v>
      </c>
    </row>
    <row r="27907">
      <c r="A27907" s="39"/>
      <c r="E27907" s="40" t="s">
        <v>11404</v>
      </c>
      <c r="F27907" s="40" t="s">
        <v>11404</v>
      </c>
      <c r="G27907" s="40" t="s">
        <v>11404</v>
      </c>
      <c r="H27907" s="40" t="s">
        <v>11404</v>
      </c>
    </row>
    <row r="27908">
      <c r="A27908" s="39"/>
      <c r="E27908" s="40" t="s">
        <v>11404</v>
      </c>
      <c r="F27908" s="40" t="s">
        <v>11404</v>
      </c>
      <c r="G27908" s="40" t="s">
        <v>11404</v>
      </c>
      <c r="H27908" s="40" t="s">
        <v>11404</v>
      </c>
    </row>
    <row r="27909">
      <c r="A27909" s="39"/>
      <c r="E27909" s="40" t="s">
        <v>11404</v>
      </c>
      <c r="F27909" s="40" t="s">
        <v>11404</v>
      </c>
      <c r="G27909" s="40" t="s">
        <v>11404</v>
      </c>
      <c r="H27909" s="40" t="s">
        <v>11404</v>
      </c>
    </row>
    <row r="27910">
      <c r="A27910" s="39"/>
      <c r="E27910" s="40" t="s">
        <v>11404</v>
      </c>
      <c r="F27910" s="40" t="s">
        <v>11404</v>
      </c>
      <c r="G27910" s="40" t="s">
        <v>11404</v>
      </c>
      <c r="H27910" s="40" t="s">
        <v>11404</v>
      </c>
    </row>
    <row r="27911">
      <c r="A27911" s="39"/>
      <c r="E27911" s="40" t="s">
        <v>11404</v>
      </c>
      <c r="F27911" s="40" t="s">
        <v>11404</v>
      </c>
      <c r="G27911" s="40" t="s">
        <v>11404</v>
      </c>
      <c r="H27911" s="40" t="s">
        <v>11404</v>
      </c>
    </row>
    <row r="27912">
      <c r="A27912" s="39"/>
      <c r="E27912" s="40" t="s">
        <v>11404</v>
      </c>
      <c r="F27912" s="40" t="s">
        <v>11404</v>
      </c>
      <c r="G27912" s="40" t="s">
        <v>11404</v>
      </c>
      <c r="H27912" s="40" t="s">
        <v>11404</v>
      </c>
    </row>
    <row r="27913">
      <c r="A27913" s="39"/>
      <c r="E27913" s="40" t="s">
        <v>11404</v>
      </c>
      <c r="F27913" s="40" t="s">
        <v>11404</v>
      </c>
      <c r="G27913" s="40" t="s">
        <v>11404</v>
      </c>
      <c r="H27913" s="40" t="s">
        <v>11404</v>
      </c>
    </row>
    <row r="27914">
      <c r="A27914" s="39"/>
      <c r="E27914" s="40" t="s">
        <v>11404</v>
      </c>
      <c r="F27914" s="40" t="s">
        <v>11404</v>
      </c>
      <c r="G27914" s="40" t="s">
        <v>11404</v>
      </c>
      <c r="H27914" s="40" t="s">
        <v>11404</v>
      </c>
    </row>
    <row r="27915">
      <c r="A27915" s="39"/>
      <c r="E27915" s="40" t="s">
        <v>11404</v>
      </c>
      <c r="F27915" s="40" t="s">
        <v>11404</v>
      </c>
      <c r="G27915" s="40" t="s">
        <v>11404</v>
      </c>
      <c r="H27915" s="40" t="s">
        <v>11404</v>
      </c>
    </row>
    <row r="27916">
      <c r="A27916" s="39"/>
      <c r="E27916" s="40" t="s">
        <v>11404</v>
      </c>
      <c r="F27916" s="40" t="s">
        <v>11404</v>
      </c>
      <c r="G27916" s="40" t="s">
        <v>11404</v>
      </c>
      <c r="H27916" s="40" t="s">
        <v>11404</v>
      </c>
    </row>
    <row r="27917">
      <c r="A27917" s="39"/>
      <c r="E27917" s="40" t="s">
        <v>11404</v>
      </c>
      <c r="F27917" s="40" t="s">
        <v>11404</v>
      </c>
      <c r="G27917" s="40" t="s">
        <v>11404</v>
      </c>
      <c r="H27917" s="40" t="s">
        <v>11404</v>
      </c>
    </row>
    <row r="27918">
      <c r="A27918" s="39"/>
      <c r="E27918" s="40" t="s">
        <v>11404</v>
      </c>
      <c r="F27918" s="40" t="s">
        <v>11404</v>
      </c>
      <c r="G27918" s="40" t="s">
        <v>11404</v>
      </c>
      <c r="H27918" s="40" t="s">
        <v>11404</v>
      </c>
    </row>
    <row r="27919">
      <c r="A27919" s="39"/>
      <c r="E27919" s="40" t="s">
        <v>11404</v>
      </c>
      <c r="F27919" s="40" t="s">
        <v>11404</v>
      </c>
      <c r="G27919" s="40" t="s">
        <v>11404</v>
      </c>
      <c r="H27919" s="40" t="s">
        <v>11404</v>
      </c>
    </row>
    <row r="27920">
      <c r="A27920" s="39"/>
      <c r="E27920" s="40" t="s">
        <v>11404</v>
      </c>
      <c r="F27920" s="40" t="s">
        <v>11404</v>
      </c>
      <c r="G27920" s="40" t="s">
        <v>11404</v>
      </c>
      <c r="H27920" s="40" t="s">
        <v>11404</v>
      </c>
    </row>
    <row r="27921">
      <c r="A27921" s="39"/>
      <c r="E27921" s="40" t="s">
        <v>11404</v>
      </c>
      <c r="F27921" s="40" t="s">
        <v>11404</v>
      </c>
      <c r="G27921" s="40" t="s">
        <v>11404</v>
      </c>
      <c r="H27921" s="40" t="s">
        <v>11404</v>
      </c>
    </row>
    <row r="27922">
      <c r="A27922" s="39"/>
      <c r="E27922" s="40" t="s">
        <v>11404</v>
      </c>
      <c r="F27922" s="40" t="s">
        <v>11404</v>
      </c>
      <c r="G27922" s="40" t="s">
        <v>11404</v>
      </c>
      <c r="H27922" s="40" t="s">
        <v>11404</v>
      </c>
    </row>
    <row r="27923">
      <c r="A27923" s="39"/>
      <c r="E27923" s="40" t="s">
        <v>11404</v>
      </c>
      <c r="F27923" s="40" t="s">
        <v>11404</v>
      </c>
      <c r="G27923" s="40" t="s">
        <v>11404</v>
      </c>
      <c r="H27923" s="40" t="s">
        <v>11404</v>
      </c>
    </row>
    <row r="27924">
      <c r="A27924" s="39"/>
      <c r="E27924" s="40" t="s">
        <v>11404</v>
      </c>
      <c r="F27924" s="40" t="s">
        <v>11404</v>
      </c>
      <c r="G27924" s="40" t="s">
        <v>11404</v>
      </c>
      <c r="H27924" s="40" t="s">
        <v>11404</v>
      </c>
    </row>
    <row r="27925">
      <c r="A27925" s="39"/>
      <c r="E27925" s="40" t="s">
        <v>11404</v>
      </c>
      <c r="F27925" s="40" t="s">
        <v>11404</v>
      </c>
      <c r="G27925" s="40" t="s">
        <v>11404</v>
      </c>
      <c r="H27925" s="40" t="s">
        <v>11404</v>
      </c>
    </row>
    <row r="27926">
      <c r="A27926" s="39"/>
      <c r="E27926" s="40" t="s">
        <v>11404</v>
      </c>
      <c r="F27926" s="40" t="s">
        <v>11404</v>
      </c>
      <c r="G27926" s="40" t="s">
        <v>11404</v>
      </c>
      <c r="H27926" s="40" t="s">
        <v>11404</v>
      </c>
    </row>
    <row r="27927">
      <c r="A27927" s="39"/>
      <c r="E27927" s="40" t="s">
        <v>11404</v>
      </c>
      <c r="F27927" s="40" t="s">
        <v>11404</v>
      </c>
      <c r="G27927" s="40" t="s">
        <v>11404</v>
      </c>
      <c r="H27927" s="40" t="s">
        <v>11404</v>
      </c>
    </row>
    <row r="27928">
      <c r="A27928" s="39"/>
      <c r="E27928" s="40" t="s">
        <v>11404</v>
      </c>
      <c r="F27928" s="40" t="s">
        <v>11404</v>
      </c>
      <c r="G27928" s="40" t="s">
        <v>11404</v>
      </c>
      <c r="H27928" s="40" t="s">
        <v>11404</v>
      </c>
    </row>
    <row r="27929">
      <c r="A27929" s="39"/>
      <c r="E27929" s="40" t="s">
        <v>11404</v>
      </c>
      <c r="F27929" s="40" t="s">
        <v>11404</v>
      </c>
      <c r="G27929" s="40" t="s">
        <v>11404</v>
      </c>
      <c r="H27929" s="40" t="s">
        <v>11404</v>
      </c>
    </row>
    <row r="27930">
      <c r="A27930" s="39"/>
      <c r="E27930" s="40" t="s">
        <v>11404</v>
      </c>
      <c r="F27930" s="40" t="s">
        <v>11404</v>
      </c>
      <c r="G27930" s="40" t="s">
        <v>11404</v>
      </c>
      <c r="H27930" s="40" t="s">
        <v>11404</v>
      </c>
    </row>
    <row r="27931">
      <c r="A27931" s="39"/>
      <c r="E27931" s="40" t="s">
        <v>11404</v>
      </c>
      <c r="F27931" s="40" t="s">
        <v>11404</v>
      </c>
      <c r="G27931" s="40" t="s">
        <v>11404</v>
      </c>
      <c r="H27931" s="40" t="s">
        <v>11404</v>
      </c>
    </row>
    <row r="27932">
      <c r="A27932" s="39"/>
      <c r="E27932" s="40" t="s">
        <v>11404</v>
      </c>
      <c r="F27932" s="40" t="s">
        <v>11404</v>
      </c>
      <c r="G27932" s="40" t="s">
        <v>11404</v>
      </c>
      <c r="H27932" s="40" t="s">
        <v>11404</v>
      </c>
    </row>
    <row r="27933">
      <c r="A27933" s="39"/>
      <c r="E27933" s="40" t="s">
        <v>11404</v>
      </c>
      <c r="F27933" s="40" t="s">
        <v>11404</v>
      </c>
      <c r="G27933" s="40" t="s">
        <v>11404</v>
      </c>
      <c r="H27933" s="40" t="s">
        <v>11404</v>
      </c>
    </row>
    <row r="27934">
      <c r="A27934" s="39"/>
      <c r="E27934" s="40" t="s">
        <v>11404</v>
      </c>
      <c r="F27934" s="40" t="s">
        <v>11404</v>
      </c>
      <c r="G27934" s="40" t="s">
        <v>11404</v>
      </c>
      <c r="H27934" s="40" t="s">
        <v>11404</v>
      </c>
    </row>
    <row r="27935">
      <c r="A27935" s="39"/>
      <c r="E27935" s="40" t="s">
        <v>11404</v>
      </c>
      <c r="F27935" s="40" t="s">
        <v>11404</v>
      </c>
      <c r="G27935" s="40" t="s">
        <v>11404</v>
      </c>
      <c r="H27935" s="40" t="s">
        <v>11404</v>
      </c>
    </row>
    <row r="27936">
      <c r="A27936" s="39"/>
      <c r="E27936" s="40" t="s">
        <v>11404</v>
      </c>
      <c r="F27936" s="40" t="s">
        <v>11404</v>
      </c>
      <c r="G27936" s="40" t="s">
        <v>11404</v>
      </c>
      <c r="H27936" s="40" t="s">
        <v>11404</v>
      </c>
    </row>
    <row r="27937">
      <c r="A27937" s="39"/>
      <c r="E27937" s="40" t="s">
        <v>11404</v>
      </c>
      <c r="F27937" s="40" t="s">
        <v>11404</v>
      </c>
      <c r="G27937" s="40" t="s">
        <v>11404</v>
      </c>
      <c r="H27937" s="40" t="s">
        <v>11404</v>
      </c>
    </row>
    <row r="27938">
      <c r="A27938" s="39"/>
      <c r="E27938" s="40" t="s">
        <v>11404</v>
      </c>
      <c r="F27938" s="40" t="s">
        <v>11404</v>
      </c>
      <c r="G27938" s="40" t="s">
        <v>11404</v>
      </c>
      <c r="H27938" s="40" t="s">
        <v>11404</v>
      </c>
    </row>
    <row r="27939">
      <c r="A27939" s="39"/>
      <c r="E27939" s="40" t="s">
        <v>11404</v>
      </c>
      <c r="F27939" s="40" t="s">
        <v>11404</v>
      </c>
      <c r="G27939" s="40" t="s">
        <v>11404</v>
      </c>
      <c r="H27939" s="40" t="s">
        <v>11404</v>
      </c>
    </row>
    <row r="27940">
      <c r="A27940" s="39"/>
      <c r="E27940" s="40" t="s">
        <v>11404</v>
      </c>
      <c r="F27940" s="40" t="s">
        <v>11404</v>
      </c>
      <c r="G27940" s="40" t="s">
        <v>11404</v>
      </c>
      <c r="H27940" s="40" t="s">
        <v>11404</v>
      </c>
    </row>
    <row r="27941">
      <c r="A27941" s="39"/>
      <c r="E27941" s="40" t="s">
        <v>11404</v>
      </c>
      <c r="F27941" s="40" t="s">
        <v>11404</v>
      </c>
      <c r="G27941" s="40" t="s">
        <v>11404</v>
      </c>
      <c r="H27941" s="40" t="s">
        <v>11404</v>
      </c>
    </row>
    <row r="27942">
      <c r="A27942" s="39"/>
      <c r="E27942" s="40" t="s">
        <v>11404</v>
      </c>
      <c r="F27942" s="40" t="s">
        <v>11404</v>
      </c>
      <c r="G27942" s="40" t="s">
        <v>11404</v>
      </c>
      <c r="H27942" s="40" t="s">
        <v>11404</v>
      </c>
    </row>
    <row r="27943">
      <c r="A27943" s="39"/>
      <c r="E27943" s="40" t="s">
        <v>11404</v>
      </c>
      <c r="F27943" s="40" t="s">
        <v>11404</v>
      </c>
      <c r="G27943" s="40" t="s">
        <v>11404</v>
      </c>
      <c r="H27943" s="40" t="s">
        <v>11404</v>
      </c>
    </row>
    <row r="27944">
      <c r="A27944" s="39"/>
      <c r="E27944" s="40" t="s">
        <v>11404</v>
      </c>
      <c r="F27944" s="40" t="s">
        <v>11404</v>
      </c>
      <c r="G27944" s="40" t="s">
        <v>11404</v>
      </c>
      <c r="H27944" s="40" t="s">
        <v>11404</v>
      </c>
    </row>
    <row r="27945">
      <c r="A27945" s="39"/>
      <c r="E27945" s="40" t="s">
        <v>11404</v>
      </c>
      <c r="F27945" s="40" t="s">
        <v>11404</v>
      </c>
      <c r="G27945" s="40" t="s">
        <v>11404</v>
      </c>
      <c r="H27945" s="40" t="s">
        <v>11404</v>
      </c>
    </row>
    <row r="27946">
      <c r="A27946" s="39"/>
      <c r="E27946" s="40" t="s">
        <v>11404</v>
      </c>
      <c r="F27946" s="40" t="s">
        <v>11404</v>
      </c>
      <c r="G27946" s="40" t="s">
        <v>11404</v>
      </c>
      <c r="H27946" s="40" t="s">
        <v>11404</v>
      </c>
    </row>
    <row r="27947">
      <c r="A27947" s="39"/>
      <c r="E27947" s="40" t="s">
        <v>11404</v>
      </c>
      <c r="F27947" s="40" t="s">
        <v>11404</v>
      </c>
      <c r="G27947" s="40" t="s">
        <v>11404</v>
      </c>
      <c r="H27947" s="40" t="s">
        <v>11404</v>
      </c>
    </row>
    <row r="27948">
      <c r="A27948" s="39"/>
      <c r="E27948" s="40" t="s">
        <v>11404</v>
      </c>
      <c r="F27948" s="40" t="s">
        <v>11404</v>
      </c>
      <c r="G27948" s="40" t="s">
        <v>11404</v>
      </c>
      <c r="H27948" s="40" t="s">
        <v>11404</v>
      </c>
    </row>
    <row r="27949">
      <c r="A27949" s="39"/>
      <c r="E27949" s="40" t="s">
        <v>11404</v>
      </c>
      <c r="F27949" s="40" t="s">
        <v>11404</v>
      </c>
      <c r="G27949" s="40" t="s">
        <v>11404</v>
      </c>
      <c r="H27949" s="40" t="s">
        <v>11404</v>
      </c>
    </row>
    <row r="27950">
      <c r="A27950" s="39"/>
      <c r="E27950" s="40" t="s">
        <v>11404</v>
      </c>
      <c r="F27950" s="40" t="s">
        <v>11404</v>
      </c>
      <c r="G27950" s="40" t="s">
        <v>11404</v>
      </c>
      <c r="H27950" s="40" t="s">
        <v>11404</v>
      </c>
    </row>
    <row r="27951">
      <c r="A27951" s="39"/>
      <c r="E27951" s="40" t="s">
        <v>11404</v>
      </c>
      <c r="F27951" s="40" t="s">
        <v>11404</v>
      </c>
      <c r="G27951" s="40" t="s">
        <v>11404</v>
      </c>
      <c r="H27951" s="40" t="s">
        <v>11404</v>
      </c>
    </row>
    <row r="27952">
      <c r="A27952" s="39"/>
      <c r="E27952" s="40" t="s">
        <v>11404</v>
      </c>
      <c r="F27952" s="40" t="s">
        <v>11404</v>
      </c>
      <c r="G27952" s="40" t="s">
        <v>11404</v>
      </c>
      <c r="H27952" s="40" t="s">
        <v>11404</v>
      </c>
    </row>
    <row r="27953">
      <c r="A27953" s="39"/>
      <c r="E27953" s="40" t="s">
        <v>11404</v>
      </c>
      <c r="F27953" s="40" t="s">
        <v>11404</v>
      </c>
      <c r="G27953" s="40" t="s">
        <v>11404</v>
      </c>
      <c r="H27953" s="40" t="s">
        <v>11404</v>
      </c>
    </row>
    <row r="27954">
      <c r="A27954" s="39"/>
      <c r="E27954" s="40" t="s">
        <v>11404</v>
      </c>
      <c r="F27954" s="40" t="s">
        <v>11404</v>
      </c>
      <c r="G27954" s="40" t="s">
        <v>11404</v>
      </c>
      <c r="H27954" s="40" t="s">
        <v>11404</v>
      </c>
    </row>
    <row r="27955">
      <c r="A27955" s="39"/>
      <c r="E27955" s="40" t="s">
        <v>11404</v>
      </c>
      <c r="F27955" s="40" t="s">
        <v>11404</v>
      </c>
      <c r="G27955" s="40" t="s">
        <v>11404</v>
      </c>
      <c r="H27955" s="40" t="s">
        <v>11404</v>
      </c>
    </row>
    <row r="27956">
      <c r="A27956" s="39"/>
      <c r="E27956" s="40" t="s">
        <v>11404</v>
      </c>
      <c r="F27956" s="40" t="s">
        <v>11404</v>
      </c>
      <c r="G27956" s="40" t="s">
        <v>11404</v>
      </c>
      <c r="H27956" s="40" t="s">
        <v>11404</v>
      </c>
    </row>
    <row r="27957">
      <c r="A27957" s="39"/>
      <c r="E27957" s="40" t="s">
        <v>11404</v>
      </c>
      <c r="F27957" s="40" t="s">
        <v>11404</v>
      </c>
      <c r="G27957" s="40" t="s">
        <v>11404</v>
      </c>
      <c r="H27957" s="40" t="s">
        <v>11404</v>
      </c>
    </row>
    <row r="27958">
      <c r="A27958" s="39"/>
      <c r="E27958" s="40" t="s">
        <v>11404</v>
      </c>
      <c r="F27958" s="40" t="s">
        <v>11404</v>
      </c>
      <c r="G27958" s="40" t="s">
        <v>11404</v>
      </c>
      <c r="H27958" s="40" t="s">
        <v>11404</v>
      </c>
    </row>
    <row r="27959">
      <c r="A27959" s="39"/>
      <c r="E27959" s="40" t="s">
        <v>11404</v>
      </c>
      <c r="F27959" s="40" t="s">
        <v>11404</v>
      </c>
      <c r="G27959" s="40" t="s">
        <v>11404</v>
      </c>
      <c r="H27959" s="40" t="s">
        <v>11404</v>
      </c>
    </row>
    <row r="27960">
      <c r="A27960" s="39"/>
      <c r="E27960" s="40" t="s">
        <v>11404</v>
      </c>
      <c r="F27960" s="40" t="s">
        <v>11404</v>
      </c>
      <c r="G27960" s="40" t="s">
        <v>11404</v>
      </c>
      <c r="H27960" s="40" t="s">
        <v>11404</v>
      </c>
    </row>
    <row r="27961">
      <c r="A27961" s="39"/>
      <c r="E27961" s="40" t="s">
        <v>11404</v>
      </c>
      <c r="F27961" s="40" t="s">
        <v>11404</v>
      </c>
      <c r="G27961" s="40" t="s">
        <v>11404</v>
      </c>
      <c r="H27961" s="40" t="s">
        <v>11404</v>
      </c>
    </row>
    <row r="27962">
      <c r="A27962" s="39"/>
      <c r="E27962" s="40" t="s">
        <v>11404</v>
      </c>
      <c r="F27962" s="40" t="s">
        <v>11404</v>
      </c>
      <c r="G27962" s="40" t="s">
        <v>11404</v>
      </c>
      <c r="H27962" s="40" t="s">
        <v>11404</v>
      </c>
    </row>
    <row r="27963">
      <c r="A27963" s="39"/>
      <c r="E27963" s="40" t="s">
        <v>11404</v>
      </c>
      <c r="F27963" s="40" t="s">
        <v>11404</v>
      </c>
      <c r="G27963" s="40" t="s">
        <v>11404</v>
      </c>
      <c r="H27963" s="40" t="s">
        <v>11404</v>
      </c>
    </row>
    <row r="27964">
      <c r="A27964" s="39"/>
      <c r="E27964" s="40" t="s">
        <v>11404</v>
      </c>
      <c r="F27964" s="40" t="s">
        <v>11404</v>
      </c>
      <c r="G27964" s="40" t="s">
        <v>11404</v>
      </c>
      <c r="H27964" s="40" t="s">
        <v>11404</v>
      </c>
    </row>
    <row r="27965">
      <c r="A27965" s="39"/>
      <c r="E27965" s="40" t="s">
        <v>11404</v>
      </c>
      <c r="F27965" s="40" t="s">
        <v>11404</v>
      </c>
      <c r="G27965" s="40" t="s">
        <v>11404</v>
      </c>
      <c r="H27965" s="40" t="s">
        <v>11404</v>
      </c>
    </row>
    <row r="27966">
      <c r="A27966" s="39"/>
      <c r="E27966" s="40" t="s">
        <v>11404</v>
      </c>
      <c r="F27966" s="40" t="s">
        <v>11404</v>
      </c>
      <c r="G27966" s="40" t="s">
        <v>11404</v>
      </c>
      <c r="H27966" s="40" t="s">
        <v>11404</v>
      </c>
    </row>
    <row r="27967">
      <c r="A27967" s="39"/>
      <c r="E27967" s="40" t="s">
        <v>11404</v>
      </c>
      <c r="F27967" s="40" t="s">
        <v>11404</v>
      </c>
      <c r="G27967" s="40" t="s">
        <v>11404</v>
      </c>
      <c r="H27967" s="40" t="s">
        <v>11404</v>
      </c>
    </row>
    <row r="27968">
      <c r="A27968" s="39"/>
      <c r="E27968" s="40" t="s">
        <v>11404</v>
      </c>
      <c r="F27968" s="40" t="s">
        <v>11404</v>
      </c>
      <c r="G27968" s="40" t="s">
        <v>11404</v>
      </c>
      <c r="H27968" s="40" t="s">
        <v>11404</v>
      </c>
    </row>
    <row r="27969">
      <c r="A27969" s="39"/>
      <c r="E27969" s="40" t="s">
        <v>11404</v>
      </c>
      <c r="F27969" s="40" t="s">
        <v>11404</v>
      </c>
      <c r="G27969" s="40" t="s">
        <v>11404</v>
      </c>
      <c r="H27969" s="40" t="s">
        <v>11404</v>
      </c>
    </row>
    <row r="27970">
      <c r="A27970" s="39"/>
      <c r="E27970" s="40" t="s">
        <v>11404</v>
      </c>
      <c r="F27970" s="40" t="s">
        <v>11404</v>
      </c>
      <c r="G27970" s="40" t="s">
        <v>11404</v>
      </c>
      <c r="H27970" s="40" t="s">
        <v>11404</v>
      </c>
    </row>
    <row r="27971">
      <c r="A27971" s="39"/>
      <c r="E27971" s="40" t="s">
        <v>11404</v>
      </c>
      <c r="F27971" s="40" t="s">
        <v>11404</v>
      </c>
      <c r="G27971" s="40" t="s">
        <v>11404</v>
      </c>
      <c r="H27971" s="40" t="s">
        <v>11404</v>
      </c>
    </row>
    <row r="27972">
      <c r="A27972" s="39"/>
      <c r="E27972" s="40" t="s">
        <v>11404</v>
      </c>
      <c r="F27972" s="40" t="s">
        <v>11404</v>
      </c>
      <c r="G27972" s="40" t="s">
        <v>11404</v>
      </c>
      <c r="H27972" s="40" t="s">
        <v>11404</v>
      </c>
    </row>
    <row r="27973">
      <c r="A27973" s="39"/>
      <c r="E27973" s="40" t="s">
        <v>11404</v>
      </c>
      <c r="F27973" s="40" t="s">
        <v>11404</v>
      </c>
      <c r="G27973" s="40" t="s">
        <v>11404</v>
      </c>
      <c r="H27973" s="40" t="s">
        <v>11404</v>
      </c>
    </row>
    <row r="27974">
      <c r="A27974" s="39"/>
      <c r="E27974" s="40" t="s">
        <v>11404</v>
      </c>
      <c r="F27974" s="40" t="s">
        <v>11404</v>
      </c>
      <c r="G27974" s="40" t="s">
        <v>11404</v>
      </c>
      <c r="H27974" s="40" t="s">
        <v>11404</v>
      </c>
    </row>
    <row r="27975">
      <c r="A27975" s="39"/>
      <c r="E27975" s="40" t="s">
        <v>11404</v>
      </c>
      <c r="F27975" s="40" t="s">
        <v>11404</v>
      </c>
      <c r="G27975" s="40" t="s">
        <v>11404</v>
      </c>
      <c r="H27975" s="40" t="s">
        <v>11404</v>
      </c>
    </row>
    <row r="27976">
      <c r="A27976" s="39"/>
      <c r="E27976" s="40" t="s">
        <v>11404</v>
      </c>
      <c r="F27976" s="40" t="s">
        <v>11404</v>
      </c>
      <c r="G27976" s="40" t="s">
        <v>11404</v>
      </c>
      <c r="H27976" s="40" t="s">
        <v>11404</v>
      </c>
    </row>
    <row r="27977">
      <c r="A27977" s="39"/>
      <c r="E27977" s="40" t="s">
        <v>11404</v>
      </c>
      <c r="F27977" s="40" t="s">
        <v>11404</v>
      </c>
      <c r="G27977" s="40" t="s">
        <v>11404</v>
      </c>
      <c r="H27977" s="40" t="s">
        <v>11404</v>
      </c>
    </row>
    <row r="27978">
      <c r="A27978" s="39"/>
      <c r="E27978" s="40" t="s">
        <v>11404</v>
      </c>
      <c r="F27978" s="40" t="s">
        <v>11404</v>
      </c>
      <c r="G27978" s="40" t="s">
        <v>11404</v>
      </c>
      <c r="H27978" s="40" t="s">
        <v>11404</v>
      </c>
    </row>
    <row r="27979">
      <c r="A27979" s="39"/>
      <c r="E27979" s="40" t="s">
        <v>11404</v>
      </c>
      <c r="F27979" s="40" t="s">
        <v>11404</v>
      </c>
      <c r="G27979" s="40" t="s">
        <v>11404</v>
      </c>
      <c r="H27979" s="40" t="s">
        <v>11404</v>
      </c>
    </row>
    <row r="27980">
      <c r="A27980" s="39"/>
      <c r="E27980" s="40" t="s">
        <v>11404</v>
      </c>
      <c r="F27980" s="40" t="s">
        <v>11404</v>
      </c>
      <c r="G27980" s="40" t="s">
        <v>11404</v>
      </c>
      <c r="H27980" s="40" t="s">
        <v>11404</v>
      </c>
    </row>
    <row r="27981">
      <c r="A27981" s="39"/>
      <c r="E27981" s="40" t="s">
        <v>11404</v>
      </c>
      <c r="F27981" s="40" t="s">
        <v>11404</v>
      </c>
      <c r="G27981" s="40" t="s">
        <v>11404</v>
      </c>
      <c r="H27981" s="40" t="s">
        <v>11404</v>
      </c>
    </row>
    <row r="27982">
      <c r="A27982" s="39"/>
      <c r="E27982" s="40" t="s">
        <v>11404</v>
      </c>
      <c r="F27982" s="40" t="s">
        <v>11404</v>
      </c>
      <c r="G27982" s="40" t="s">
        <v>11404</v>
      </c>
      <c r="H27982" s="40" t="s">
        <v>11404</v>
      </c>
    </row>
    <row r="27983">
      <c r="A27983" s="39"/>
      <c r="E27983" s="40" t="s">
        <v>11404</v>
      </c>
      <c r="F27983" s="40" t="s">
        <v>11404</v>
      </c>
      <c r="G27983" s="40" t="s">
        <v>11404</v>
      </c>
      <c r="H27983" s="40" t="s">
        <v>11404</v>
      </c>
    </row>
    <row r="27984">
      <c r="A27984" s="39"/>
      <c r="E27984" s="40" t="s">
        <v>11404</v>
      </c>
      <c r="F27984" s="40" t="s">
        <v>11404</v>
      </c>
      <c r="G27984" s="40" t="s">
        <v>11404</v>
      </c>
      <c r="H27984" s="40" t="s">
        <v>11404</v>
      </c>
    </row>
    <row r="27985">
      <c r="A27985" s="39"/>
      <c r="E27985" s="40" t="s">
        <v>11404</v>
      </c>
      <c r="F27985" s="40" t="s">
        <v>11404</v>
      </c>
      <c r="G27985" s="40" t="s">
        <v>11404</v>
      </c>
      <c r="H27985" s="40" t="s">
        <v>11404</v>
      </c>
    </row>
    <row r="27986">
      <c r="A27986" s="39"/>
      <c r="E27986" s="40" t="s">
        <v>11404</v>
      </c>
      <c r="F27986" s="40" t="s">
        <v>11404</v>
      </c>
      <c r="G27986" s="40" t="s">
        <v>11404</v>
      </c>
      <c r="H27986" s="40" t="s">
        <v>11404</v>
      </c>
    </row>
    <row r="27987">
      <c r="A27987" s="39"/>
      <c r="E27987" s="40" t="s">
        <v>11404</v>
      </c>
      <c r="F27987" s="40" t="s">
        <v>11404</v>
      </c>
      <c r="G27987" s="40" t="s">
        <v>11404</v>
      </c>
      <c r="H27987" s="40" t="s">
        <v>11404</v>
      </c>
    </row>
    <row r="27988">
      <c r="A27988" s="39"/>
      <c r="E27988" s="40" t="s">
        <v>11404</v>
      </c>
      <c r="F27988" s="40" t="s">
        <v>11404</v>
      </c>
      <c r="G27988" s="40" t="s">
        <v>11404</v>
      </c>
      <c r="H27988" s="40" t="s">
        <v>11404</v>
      </c>
    </row>
    <row r="27989">
      <c r="A27989" s="39"/>
      <c r="E27989" s="40" t="s">
        <v>11404</v>
      </c>
      <c r="F27989" s="40" t="s">
        <v>11404</v>
      </c>
      <c r="G27989" s="40" t="s">
        <v>11404</v>
      </c>
      <c r="H27989" s="40" t="s">
        <v>11404</v>
      </c>
    </row>
    <row r="27990">
      <c r="A27990" s="39"/>
      <c r="E27990" s="40" t="s">
        <v>11404</v>
      </c>
      <c r="F27990" s="40" t="s">
        <v>11404</v>
      </c>
      <c r="G27990" s="40" t="s">
        <v>11404</v>
      </c>
      <c r="H27990" s="40" t="s">
        <v>11404</v>
      </c>
    </row>
    <row r="27991">
      <c r="A27991" s="39"/>
      <c r="E27991" s="40" t="s">
        <v>11404</v>
      </c>
      <c r="F27991" s="40" t="s">
        <v>11404</v>
      </c>
      <c r="G27991" s="40" t="s">
        <v>11404</v>
      </c>
      <c r="H27991" s="40" t="s">
        <v>11404</v>
      </c>
    </row>
    <row r="27992">
      <c r="A27992" s="39"/>
      <c r="E27992" s="40" t="s">
        <v>11404</v>
      </c>
      <c r="F27992" s="40" t="s">
        <v>11404</v>
      </c>
      <c r="G27992" s="40" t="s">
        <v>11404</v>
      </c>
      <c r="H27992" s="40" t="s">
        <v>11404</v>
      </c>
    </row>
    <row r="27993">
      <c r="A27993" s="39"/>
      <c r="E27993" s="40" t="s">
        <v>11404</v>
      </c>
      <c r="F27993" s="40" t="s">
        <v>11404</v>
      </c>
      <c r="G27993" s="40" t="s">
        <v>11404</v>
      </c>
      <c r="H27993" s="40" t="s">
        <v>11404</v>
      </c>
    </row>
    <row r="27994">
      <c r="A27994" s="39"/>
      <c r="E27994" s="40" t="s">
        <v>11404</v>
      </c>
      <c r="F27994" s="40" t="s">
        <v>11404</v>
      </c>
      <c r="G27994" s="40" t="s">
        <v>11404</v>
      </c>
      <c r="H27994" s="40" t="s">
        <v>11404</v>
      </c>
    </row>
    <row r="27995">
      <c r="A27995" s="39"/>
      <c r="E27995" s="40" t="s">
        <v>11404</v>
      </c>
      <c r="F27995" s="40" t="s">
        <v>11404</v>
      </c>
      <c r="G27995" s="40" t="s">
        <v>11404</v>
      </c>
      <c r="H27995" s="40" t="s">
        <v>11404</v>
      </c>
    </row>
    <row r="27996">
      <c r="A27996" s="39"/>
      <c r="E27996" s="40" t="s">
        <v>11404</v>
      </c>
      <c r="F27996" s="40" t="s">
        <v>11404</v>
      </c>
      <c r="G27996" s="40" t="s">
        <v>11404</v>
      </c>
      <c r="H27996" s="40" t="s">
        <v>11404</v>
      </c>
    </row>
    <row r="27997">
      <c r="A27997" s="39"/>
      <c r="E27997" s="40" t="s">
        <v>11404</v>
      </c>
      <c r="F27997" s="40" t="s">
        <v>11404</v>
      </c>
      <c r="G27997" s="40" t="s">
        <v>11404</v>
      </c>
      <c r="H27997" s="40" t="s">
        <v>11404</v>
      </c>
    </row>
    <row r="27998">
      <c r="A27998" s="39"/>
      <c r="E27998" s="40" t="s">
        <v>11404</v>
      </c>
      <c r="F27998" s="40" t="s">
        <v>11404</v>
      </c>
      <c r="G27998" s="40" t="s">
        <v>11404</v>
      </c>
      <c r="H27998" s="40" t="s">
        <v>11404</v>
      </c>
    </row>
    <row r="27999">
      <c r="A27999" s="39"/>
      <c r="E27999" s="40" t="s">
        <v>11404</v>
      </c>
      <c r="F27999" s="40" t="s">
        <v>11404</v>
      </c>
      <c r="G27999" s="40" t="s">
        <v>11404</v>
      </c>
      <c r="H27999" s="40" t="s">
        <v>11404</v>
      </c>
    </row>
    <row r="28000">
      <c r="A28000" s="39"/>
      <c r="E28000" s="40" t="s">
        <v>11404</v>
      </c>
      <c r="F28000" s="40" t="s">
        <v>11404</v>
      </c>
      <c r="G28000" s="40" t="s">
        <v>11404</v>
      </c>
      <c r="H28000" s="40" t="s">
        <v>11404</v>
      </c>
    </row>
    <row r="28001">
      <c r="A28001" s="39"/>
      <c r="E28001" s="40" t="s">
        <v>11404</v>
      </c>
      <c r="F28001" s="40" t="s">
        <v>11404</v>
      </c>
      <c r="G28001" s="40" t="s">
        <v>11404</v>
      </c>
      <c r="H28001" s="40" t="s">
        <v>11404</v>
      </c>
    </row>
    <row r="28002">
      <c r="A28002" s="39"/>
      <c r="E28002" s="40" t="s">
        <v>11404</v>
      </c>
      <c r="F28002" s="40" t="s">
        <v>11404</v>
      </c>
      <c r="G28002" s="40" t="s">
        <v>11404</v>
      </c>
      <c r="H28002" s="40" t="s">
        <v>11404</v>
      </c>
    </row>
    <row r="28003">
      <c r="A28003" s="39"/>
      <c r="E28003" s="40" t="s">
        <v>11404</v>
      </c>
      <c r="F28003" s="40" t="s">
        <v>11404</v>
      </c>
      <c r="G28003" s="40" t="s">
        <v>11404</v>
      </c>
      <c r="H28003" s="40" t="s">
        <v>11404</v>
      </c>
    </row>
    <row r="28004">
      <c r="A28004" s="39"/>
      <c r="E28004" s="40" t="s">
        <v>11404</v>
      </c>
      <c r="F28004" s="40" t="s">
        <v>11404</v>
      </c>
      <c r="G28004" s="40" t="s">
        <v>11404</v>
      </c>
      <c r="H28004" s="40" t="s">
        <v>11404</v>
      </c>
    </row>
    <row r="28005">
      <c r="A28005" s="39"/>
      <c r="E28005" s="40" t="s">
        <v>11404</v>
      </c>
      <c r="F28005" s="40" t="s">
        <v>11404</v>
      </c>
      <c r="G28005" s="40" t="s">
        <v>11404</v>
      </c>
      <c r="H28005" s="40" t="s">
        <v>11404</v>
      </c>
    </row>
    <row r="28006">
      <c r="A28006" s="39"/>
      <c r="E28006" s="40" t="s">
        <v>11404</v>
      </c>
      <c r="F28006" s="40" t="s">
        <v>11404</v>
      </c>
      <c r="G28006" s="40" t="s">
        <v>11404</v>
      </c>
      <c r="H28006" s="40" t="s">
        <v>11404</v>
      </c>
    </row>
    <row r="28007">
      <c r="A28007" s="39"/>
      <c r="E28007" s="40" t="s">
        <v>11404</v>
      </c>
      <c r="F28007" s="40" t="s">
        <v>11404</v>
      </c>
      <c r="G28007" s="40" t="s">
        <v>11404</v>
      </c>
      <c r="H28007" s="40" t="s">
        <v>11404</v>
      </c>
    </row>
    <row r="28008">
      <c r="A28008" s="39"/>
      <c r="E28008" s="40" t="s">
        <v>11404</v>
      </c>
      <c r="F28008" s="40" t="s">
        <v>11404</v>
      </c>
      <c r="G28008" s="40" t="s">
        <v>11404</v>
      </c>
      <c r="H28008" s="40" t="s">
        <v>11404</v>
      </c>
    </row>
    <row r="28009">
      <c r="A28009" s="39"/>
      <c r="E28009" s="40" t="s">
        <v>11404</v>
      </c>
      <c r="F28009" s="40" t="s">
        <v>11404</v>
      </c>
      <c r="G28009" s="40" t="s">
        <v>11404</v>
      </c>
      <c r="H28009" s="40" t="s">
        <v>11404</v>
      </c>
    </row>
    <row r="28010">
      <c r="A28010" s="39"/>
      <c r="E28010" s="40" t="s">
        <v>11404</v>
      </c>
      <c r="F28010" s="40" t="s">
        <v>11404</v>
      </c>
      <c r="G28010" s="40" t="s">
        <v>11404</v>
      </c>
      <c r="H28010" s="40" t="s">
        <v>11404</v>
      </c>
    </row>
    <row r="28011">
      <c r="A28011" s="39"/>
      <c r="E28011" s="40" t="s">
        <v>11404</v>
      </c>
      <c r="F28011" s="40" t="s">
        <v>11404</v>
      </c>
      <c r="G28011" s="40" t="s">
        <v>11404</v>
      </c>
      <c r="H28011" s="40" t="s">
        <v>11404</v>
      </c>
    </row>
    <row r="28012">
      <c r="A28012" s="39"/>
      <c r="E28012" s="40" t="s">
        <v>11404</v>
      </c>
      <c r="F28012" s="40" t="s">
        <v>11404</v>
      </c>
      <c r="G28012" s="40" t="s">
        <v>11404</v>
      </c>
      <c r="H28012" s="40" t="s">
        <v>11404</v>
      </c>
    </row>
    <row r="28013">
      <c r="A28013" s="39"/>
      <c r="E28013" s="40" t="s">
        <v>11404</v>
      </c>
      <c r="F28013" s="40" t="s">
        <v>11404</v>
      </c>
      <c r="G28013" s="40" t="s">
        <v>11404</v>
      </c>
      <c r="H28013" s="40" t="s">
        <v>11404</v>
      </c>
    </row>
    <row r="28014">
      <c r="A28014" s="39"/>
      <c r="E28014" s="40" t="s">
        <v>11404</v>
      </c>
      <c r="F28014" s="40" t="s">
        <v>11404</v>
      </c>
      <c r="G28014" s="40" t="s">
        <v>11404</v>
      </c>
      <c r="H28014" s="40" t="s">
        <v>11404</v>
      </c>
    </row>
    <row r="28015">
      <c r="A28015" s="39"/>
      <c r="E28015" s="40" t="s">
        <v>11404</v>
      </c>
      <c r="F28015" s="40" t="s">
        <v>11404</v>
      </c>
      <c r="G28015" s="40" t="s">
        <v>11404</v>
      </c>
      <c r="H28015" s="40" t="s">
        <v>11404</v>
      </c>
    </row>
    <row r="28016">
      <c r="A28016" s="39"/>
      <c r="E28016" s="40" t="s">
        <v>11404</v>
      </c>
      <c r="F28016" s="40" t="s">
        <v>11404</v>
      </c>
      <c r="G28016" s="40" t="s">
        <v>11404</v>
      </c>
      <c r="H28016" s="40" t="s">
        <v>11404</v>
      </c>
    </row>
    <row r="28017">
      <c r="A28017" s="39"/>
      <c r="E28017" s="40" t="s">
        <v>11404</v>
      </c>
      <c r="F28017" s="40" t="s">
        <v>11404</v>
      </c>
      <c r="G28017" s="40" t="s">
        <v>11404</v>
      </c>
      <c r="H28017" s="40" t="s">
        <v>11404</v>
      </c>
    </row>
    <row r="28018">
      <c r="A28018" s="39"/>
      <c r="E28018" s="40" t="s">
        <v>11404</v>
      </c>
      <c r="F28018" s="40" t="s">
        <v>11404</v>
      </c>
      <c r="G28018" s="40" t="s">
        <v>11404</v>
      </c>
      <c r="H28018" s="40" t="s">
        <v>11404</v>
      </c>
    </row>
    <row r="28019">
      <c r="A28019" s="39"/>
      <c r="E28019" s="40" t="s">
        <v>11404</v>
      </c>
      <c r="F28019" s="40" t="s">
        <v>11404</v>
      </c>
      <c r="G28019" s="40" t="s">
        <v>11404</v>
      </c>
      <c r="H28019" s="40" t="s">
        <v>11404</v>
      </c>
    </row>
    <row r="28020">
      <c r="A28020" s="39"/>
      <c r="E28020" s="40" t="s">
        <v>11404</v>
      </c>
      <c r="F28020" s="40" t="s">
        <v>11404</v>
      </c>
      <c r="G28020" s="40" t="s">
        <v>11404</v>
      </c>
      <c r="H28020" s="40" t="s">
        <v>11404</v>
      </c>
    </row>
    <row r="28021">
      <c r="A28021" s="39"/>
      <c r="E28021" s="40" t="s">
        <v>11404</v>
      </c>
      <c r="F28021" s="40" t="s">
        <v>11404</v>
      </c>
      <c r="G28021" s="40" t="s">
        <v>11404</v>
      </c>
      <c r="H28021" s="40" t="s">
        <v>11404</v>
      </c>
    </row>
    <row r="28022">
      <c r="A28022" s="39"/>
      <c r="E28022" s="40" t="s">
        <v>11404</v>
      </c>
      <c r="F28022" s="40" t="s">
        <v>11404</v>
      </c>
      <c r="G28022" s="40" t="s">
        <v>11404</v>
      </c>
      <c r="H28022" s="40" t="s">
        <v>11404</v>
      </c>
    </row>
    <row r="28023">
      <c r="A28023" s="39"/>
      <c r="E28023" s="40" t="s">
        <v>11404</v>
      </c>
      <c r="F28023" s="40" t="s">
        <v>11404</v>
      </c>
      <c r="G28023" s="40" t="s">
        <v>11404</v>
      </c>
      <c r="H28023" s="40" t="s">
        <v>11404</v>
      </c>
    </row>
    <row r="28024">
      <c r="A28024" s="39"/>
      <c r="E28024" s="40" t="s">
        <v>11404</v>
      </c>
      <c r="F28024" s="40" t="s">
        <v>11404</v>
      </c>
      <c r="G28024" s="40" t="s">
        <v>11404</v>
      </c>
      <c r="H28024" s="40" t="s">
        <v>11404</v>
      </c>
    </row>
    <row r="28025">
      <c r="A28025" s="39"/>
      <c r="E28025" s="40" t="s">
        <v>11404</v>
      </c>
      <c r="F28025" s="40" t="s">
        <v>11404</v>
      </c>
      <c r="G28025" s="40" t="s">
        <v>11404</v>
      </c>
      <c r="H28025" s="40" t="s">
        <v>11404</v>
      </c>
    </row>
    <row r="28026">
      <c r="A28026" s="39"/>
      <c r="E28026" s="40" t="s">
        <v>11404</v>
      </c>
      <c r="F28026" s="40" t="s">
        <v>11404</v>
      </c>
      <c r="G28026" s="40" t="s">
        <v>11404</v>
      </c>
      <c r="H28026" s="40" t="s">
        <v>11404</v>
      </c>
    </row>
    <row r="28027">
      <c r="A28027" s="39"/>
      <c r="E28027" s="40" t="s">
        <v>11404</v>
      </c>
      <c r="F28027" s="40" t="s">
        <v>11404</v>
      </c>
      <c r="G28027" s="40" t="s">
        <v>11404</v>
      </c>
      <c r="H28027" s="40" t="s">
        <v>11404</v>
      </c>
    </row>
    <row r="28028">
      <c r="A28028" s="39"/>
      <c r="E28028" s="40" t="s">
        <v>11404</v>
      </c>
      <c r="F28028" s="40" t="s">
        <v>11404</v>
      </c>
      <c r="G28028" s="40" t="s">
        <v>11404</v>
      </c>
      <c r="H28028" s="40" t="s">
        <v>11404</v>
      </c>
    </row>
    <row r="28029">
      <c r="A28029" s="39"/>
      <c r="E28029" s="40" t="s">
        <v>11404</v>
      </c>
      <c r="F28029" s="40" t="s">
        <v>11404</v>
      </c>
      <c r="G28029" s="40" t="s">
        <v>11404</v>
      </c>
      <c r="H28029" s="40" t="s">
        <v>11404</v>
      </c>
    </row>
    <row r="28030">
      <c r="A28030" s="39"/>
      <c r="E28030" s="40" t="s">
        <v>11404</v>
      </c>
      <c r="F28030" s="40" t="s">
        <v>11404</v>
      </c>
      <c r="G28030" s="40" t="s">
        <v>11404</v>
      </c>
      <c r="H28030" s="40" t="s">
        <v>11404</v>
      </c>
    </row>
    <row r="28031">
      <c r="A28031" s="39"/>
      <c r="E28031" s="40" t="s">
        <v>11404</v>
      </c>
      <c r="F28031" s="40" t="s">
        <v>11404</v>
      </c>
      <c r="G28031" s="40" t="s">
        <v>11404</v>
      </c>
      <c r="H28031" s="40" t="s">
        <v>11404</v>
      </c>
    </row>
    <row r="28032">
      <c r="A28032" s="39"/>
      <c r="E28032" s="40" t="s">
        <v>11404</v>
      </c>
      <c r="F28032" s="40" t="s">
        <v>11404</v>
      </c>
      <c r="G28032" s="40" t="s">
        <v>11404</v>
      </c>
      <c r="H28032" s="40" t="s">
        <v>11404</v>
      </c>
    </row>
    <row r="28033">
      <c r="A28033" s="39"/>
      <c r="E28033" s="40" t="s">
        <v>11404</v>
      </c>
      <c r="F28033" s="40" t="s">
        <v>11404</v>
      </c>
      <c r="G28033" s="40" t="s">
        <v>11404</v>
      </c>
      <c r="H28033" s="40" t="s">
        <v>11404</v>
      </c>
    </row>
    <row r="28034">
      <c r="A28034" s="39"/>
      <c r="E28034" s="40" t="s">
        <v>11404</v>
      </c>
      <c r="F28034" s="40" t="s">
        <v>11404</v>
      </c>
      <c r="G28034" s="40" t="s">
        <v>11404</v>
      </c>
      <c r="H28034" s="40" t="s">
        <v>11404</v>
      </c>
    </row>
    <row r="28035">
      <c r="A28035" s="39"/>
      <c r="E28035" s="40" t="s">
        <v>11404</v>
      </c>
      <c r="F28035" s="40" t="s">
        <v>11404</v>
      </c>
      <c r="G28035" s="40" t="s">
        <v>11404</v>
      </c>
      <c r="H28035" s="40" t="s">
        <v>11404</v>
      </c>
    </row>
    <row r="28036">
      <c r="A28036" s="39"/>
      <c r="E28036" s="40" t="s">
        <v>11404</v>
      </c>
      <c r="F28036" s="40" t="s">
        <v>11404</v>
      </c>
      <c r="G28036" s="40" t="s">
        <v>11404</v>
      </c>
      <c r="H28036" s="40" t="s">
        <v>11404</v>
      </c>
    </row>
    <row r="28037">
      <c r="A28037" s="39"/>
      <c r="E28037" s="40" t="s">
        <v>11404</v>
      </c>
      <c r="F28037" s="40" t="s">
        <v>11404</v>
      </c>
      <c r="G28037" s="40" t="s">
        <v>11404</v>
      </c>
      <c r="H28037" s="40" t="s">
        <v>11404</v>
      </c>
    </row>
    <row r="28038">
      <c r="A28038" s="39"/>
      <c r="E28038" s="40" t="s">
        <v>11404</v>
      </c>
      <c r="F28038" s="40" t="s">
        <v>11404</v>
      </c>
      <c r="G28038" s="40" t="s">
        <v>11404</v>
      </c>
      <c r="H28038" s="40" t="s">
        <v>11404</v>
      </c>
    </row>
    <row r="28039">
      <c r="A28039" s="39"/>
      <c r="E28039" s="40" t="s">
        <v>11404</v>
      </c>
      <c r="F28039" s="40" t="s">
        <v>11404</v>
      </c>
      <c r="G28039" s="40" t="s">
        <v>11404</v>
      </c>
      <c r="H28039" s="40" t="s">
        <v>11404</v>
      </c>
    </row>
    <row r="28040">
      <c r="A28040" s="39"/>
      <c r="E28040" s="40" t="s">
        <v>11404</v>
      </c>
      <c r="F28040" s="40" t="s">
        <v>11404</v>
      </c>
      <c r="G28040" s="40" t="s">
        <v>11404</v>
      </c>
      <c r="H28040" s="40" t="s">
        <v>11404</v>
      </c>
    </row>
    <row r="28041">
      <c r="A28041" s="39"/>
      <c r="E28041" s="40" t="s">
        <v>11404</v>
      </c>
      <c r="F28041" s="40" t="s">
        <v>11404</v>
      </c>
      <c r="G28041" s="40" t="s">
        <v>11404</v>
      </c>
      <c r="H28041" s="40" t="s">
        <v>11404</v>
      </c>
    </row>
    <row r="28042">
      <c r="A28042" s="39"/>
      <c r="E28042" s="40" t="s">
        <v>11404</v>
      </c>
      <c r="F28042" s="40" t="s">
        <v>11404</v>
      </c>
      <c r="G28042" s="40" t="s">
        <v>11404</v>
      </c>
      <c r="H28042" s="40" t="s">
        <v>11404</v>
      </c>
    </row>
    <row r="28043">
      <c r="A28043" s="39"/>
      <c r="E28043" s="40" t="s">
        <v>11404</v>
      </c>
      <c r="F28043" s="40" t="s">
        <v>11404</v>
      </c>
      <c r="G28043" s="40" t="s">
        <v>11404</v>
      </c>
      <c r="H28043" s="40" t="s">
        <v>11404</v>
      </c>
    </row>
    <row r="28044">
      <c r="A28044" s="39"/>
      <c r="E28044" s="40" t="s">
        <v>11404</v>
      </c>
      <c r="F28044" s="40" t="s">
        <v>11404</v>
      </c>
      <c r="G28044" s="40" t="s">
        <v>11404</v>
      </c>
      <c r="H28044" s="40" t="s">
        <v>11404</v>
      </c>
    </row>
    <row r="28045">
      <c r="A28045" s="39"/>
      <c r="E28045" s="40" t="s">
        <v>11404</v>
      </c>
      <c r="F28045" s="40" t="s">
        <v>11404</v>
      </c>
      <c r="G28045" s="40" t="s">
        <v>11404</v>
      </c>
      <c r="H28045" s="40" t="s">
        <v>11404</v>
      </c>
    </row>
    <row r="28046">
      <c r="A28046" s="39"/>
      <c r="E28046" s="40" t="s">
        <v>11404</v>
      </c>
      <c r="F28046" s="40" t="s">
        <v>11404</v>
      </c>
      <c r="G28046" s="40" t="s">
        <v>11404</v>
      </c>
      <c r="H28046" s="40" t="s">
        <v>11404</v>
      </c>
    </row>
    <row r="28047">
      <c r="A28047" s="39"/>
      <c r="E28047" s="40" t="s">
        <v>11404</v>
      </c>
      <c r="F28047" s="40" t="s">
        <v>11404</v>
      </c>
      <c r="G28047" s="40" t="s">
        <v>11404</v>
      </c>
      <c r="H28047" s="40" t="s">
        <v>11404</v>
      </c>
    </row>
    <row r="28048">
      <c r="A28048" s="39"/>
      <c r="E28048" s="40" t="s">
        <v>11404</v>
      </c>
      <c r="F28048" s="40" t="s">
        <v>11404</v>
      </c>
      <c r="G28048" s="40" t="s">
        <v>11404</v>
      </c>
      <c r="H28048" s="40" t="s">
        <v>11404</v>
      </c>
    </row>
    <row r="28049">
      <c r="A28049" s="39"/>
      <c r="E28049" s="40" t="s">
        <v>11404</v>
      </c>
      <c r="F28049" s="40" t="s">
        <v>11404</v>
      </c>
      <c r="G28049" s="40" t="s">
        <v>11404</v>
      </c>
      <c r="H28049" s="40" t="s">
        <v>11404</v>
      </c>
    </row>
    <row r="28050">
      <c r="A28050" s="39"/>
      <c r="E28050" s="40" t="s">
        <v>11404</v>
      </c>
      <c r="F28050" s="40" t="s">
        <v>11404</v>
      </c>
      <c r="G28050" s="40" t="s">
        <v>11404</v>
      </c>
      <c r="H28050" s="40" t="s">
        <v>11404</v>
      </c>
    </row>
    <row r="28051">
      <c r="A28051" s="39"/>
      <c r="E28051" s="40" t="s">
        <v>11404</v>
      </c>
      <c r="F28051" s="40" t="s">
        <v>11404</v>
      </c>
      <c r="G28051" s="40" t="s">
        <v>11404</v>
      </c>
      <c r="H28051" s="40" t="s">
        <v>11404</v>
      </c>
    </row>
    <row r="28052">
      <c r="A28052" s="39"/>
      <c r="E28052" s="40" t="s">
        <v>11404</v>
      </c>
      <c r="F28052" s="40" t="s">
        <v>11404</v>
      </c>
      <c r="G28052" s="40" t="s">
        <v>11404</v>
      </c>
      <c r="H28052" s="40" t="s">
        <v>11404</v>
      </c>
    </row>
    <row r="28053">
      <c r="A28053" s="39"/>
      <c r="E28053" s="40" t="s">
        <v>11404</v>
      </c>
      <c r="F28053" s="40" t="s">
        <v>11404</v>
      </c>
      <c r="G28053" s="40" t="s">
        <v>11404</v>
      </c>
      <c r="H28053" s="40" t="s">
        <v>11404</v>
      </c>
    </row>
    <row r="28054">
      <c r="A28054" s="39"/>
      <c r="E28054" s="40" t="s">
        <v>11404</v>
      </c>
      <c r="F28054" s="40" t="s">
        <v>11404</v>
      </c>
      <c r="G28054" s="40" t="s">
        <v>11404</v>
      </c>
      <c r="H28054" s="40" t="s">
        <v>11404</v>
      </c>
    </row>
    <row r="28055">
      <c r="A28055" s="39"/>
      <c r="E28055" s="40" t="s">
        <v>11404</v>
      </c>
      <c r="F28055" s="40" t="s">
        <v>11404</v>
      </c>
      <c r="G28055" s="40" t="s">
        <v>11404</v>
      </c>
      <c r="H28055" s="40" t="s">
        <v>11404</v>
      </c>
    </row>
    <row r="28056">
      <c r="A28056" s="39"/>
      <c r="E28056" s="40" t="s">
        <v>11404</v>
      </c>
      <c r="F28056" s="40" t="s">
        <v>11404</v>
      </c>
      <c r="G28056" s="40" t="s">
        <v>11404</v>
      </c>
      <c r="H28056" s="40" t="s">
        <v>11404</v>
      </c>
    </row>
    <row r="28057">
      <c r="A28057" s="39"/>
      <c r="E28057" s="40" t="s">
        <v>11404</v>
      </c>
      <c r="F28057" s="40" t="s">
        <v>11404</v>
      </c>
      <c r="G28057" s="40" t="s">
        <v>11404</v>
      </c>
      <c r="H28057" s="40" t="s">
        <v>11404</v>
      </c>
    </row>
    <row r="28058">
      <c r="A28058" s="39"/>
      <c r="E28058" s="40" t="s">
        <v>11404</v>
      </c>
      <c r="F28058" s="40" t="s">
        <v>11404</v>
      </c>
      <c r="G28058" s="40" t="s">
        <v>11404</v>
      </c>
      <c r="H28058" s="40" t="s">
        <v>11404</v>
      </c>
    </row>
    <row r="28059">
      <c r="A28059" s="39"/>
      <c r="E28059" s="40" t="s">
        <v>11404</v>
      </c>
      <c r="F28059" s="40" t="s">
        <v>11404</v>
      </c>
      <c r="G28059" s="40" t="s">
        <v>11404</v>
      </c>
      <c r="H28059" s="40" t="s">
        <v>11404</v>
      </c>
    </row>
    <row r="28060">
      <c r="A28060" s="39"/>
      <c r="E28060" s="40" t="s">
        <v>11404</v>
      </c>
      <c r="F28060" s="40" t="s">
        <v>11404</v>
      </c>
      <c r="G28060" s="40" t="s">
        <v>11404</v>
      </c>
      <c r="H28060" s="40" t="s">
        <v>11404</v>
      </c>
    </row>
    <row r="28061">
      <c r="A28061" s="39"/>
      <c r="E28061" s="40" t="s">
        <v>11404</v>
      </c>
      <c r="F28061" s="40" t="s">
        <v>11404</v>
      </c>
      <c r="G28061" s="40" t="s">
        <v>11404</v>
      </c>
      <c r="H28061" s="40" t="s">
        <v>11404</v>
      </c>
    </row>
    <row r="28062">
      <c r="A28062" s="39"/>
      <c r="E28062" s="40" t="s">
        <v>11404</v>
      </c>
      <c r="F28062" s="40" t="s">
        <v>11404</v>
      </c>
      <c r="G28062" s="40" t="s">
        <v>11404</v>
      </c>
      <c r="H28062" s="40" t="s">
        <v>11404</v>
      </c>
    </row>
    <row r="28063">
      <c r="A28063" s="39"/>
      <c r="E28063" s="40" t="s">
        <v>11404</v>
      </c>
      <c r="F28063" s="40" t="s">
        <v>11404</v>
      </c>
      <c r="G28063" s="40" t="s">
        <v>11404</v>
      </c>
      <c r="H28063" s="40" t="s">
        <v>11404</v>
      </c>
    </row>
    <row r="28064">
      <c r="A28064" s="39"/>
      <c r="E28064" s="40" t="s">
        <v>11404</v>
      </c>
      <c r="F28064" s="40" t="s">
        <v>11404</v>
      </c>
      <c r="G28064" s="40" t="s">
        <v>11404</v>
      </c>
      <c r="H28064" s="40" t="s">
        <v>11404</v>
      </c>
    </row>
    <row r="28065">
      <c r="A28065" s="39"/>
      <c r="E28065" s="40" t="s">
        <v>11404</v>
      </c>
      <c r="F28065" s="40" t="s">
        <v>11404</v>
      </c>
      <c r="G28065" s="40" t="s">
        <v>11404</v>
      </c>
      <c r="H28065" s="40" t="s">
        <v>11404</v>
      </c>
    </row>
    <row r="28066">
      <c r="A28066" s="39"/>
      <c r="E28066" s="40" t="s">
        <v>11404</v>
      </c>
      <c r="F28066" s="40" t="s">
        <v>11404</v>
      </c>
      <c r="G28066" s="40" t="s">
        <v>11404</v>
      </c>
      <c r="H28066" s="40" t="s">
        <v>11404</v>
      </c>
    </row>
    <row r="28067">
      <c r="A28067" s="39"/>
      <c r="E28067" s="40" t="s">
        <v>11404</v>
      </c>
      <c r="F28067" s="40" t="s">
        <v>11404</v>
      </c>
      <c r="G28067" s="40" t="s">
        <v>11404</v>
      </c>
      <c r="H28067" s="40" t="s">
        <v>11404</v>
      </c>
    </row>
    <row r="28068">
      <c r="A28068" s="39"/>
      <c r="E28068" s="40" t="s">
        <v>11404</v>
      </c>
      <c r="F28068" s="40" t="s">
        <v>11404</v>
      </c>
      <c r="G28068" s="40" t="s">
        <v>11404</v>
      </c>
      <c r="H28068" s="40" t="s">
        <v>11404</v>
      </c>
    </row>
    <row r="28069">
      <c r="A28069" s="39"/>
      <c r="E28069" s="40" t="s">
        <v>11404</v>
      </c>
      <c r="F28069" s="40" t="s">
        <v>11404</v>
      </c>
      <c r="G28069" s="40" t="s">
        <v>11404</v>
      </c>
      <c r="H28069" s="40" t="s">
        <v>11404</v>
      </c>
    </row>
    <row r="28070">
      <c r="A28070" s="39"/>
      <c r="E28070" s="40" t="s">
        <v>11404</v>
      </c>
      <c r="F28070" s="40" t="s">
        <v>11404</v>
      </c>
      <c r="G28070" s="40" t="s">
        <v>11404</v>
      </c>
      <c r="H28070" s="40" t="s">
        <v>11404</v>
      </c>
    </row>
    <row r="28071">
      <c r="A28071" s="39"/>
      <c r="E28071" s="40" t="s">
        <v>11404</v>
      </c>
      <c r="F28071" s="40" t="s">
        <v>11404</v>
      </c>
      <c r="G28071" s="40" t="s">
        <v>11404</v>
      </c>
      <c r="H28071" s="40" t="s">
        <v>11404</v>
      </c>
    </row>
    <row r="28072">
      <c r="A28072" s="39"/>
      <c r="E28072" s="40" t="s">
        <v>11404</v>
      </c>
      <c r="F28072" s="40" t="s">
        <v>11404</v>
      </c>
      <c r="G28072" s="40" t="s">
        <v>11404</v>
      </c>
      <c r="H28072" s="40" t="s">
        <v>11404</v>
      </c>
    </row>
    <row r="28073">
      <c r="A28073" s="39"/>
      <c r="E28073" s="40" t="s">
        <v>11404</v>
      </c>
      <c r="F28073" s="40" t="s">
        <v>11404</v>
      </c>
      <c r="G28073" s="40" t="s">
        <v>11404</v>
      </c>
      <c r="H28073" s="40" t="s">
        <v>11404</v>
      </c>
    </row>
    <row r="28074">
      <c r="A28074" s="39"/>
      <c r="E28074" s="40" t="s">
        <v>11404</v>
      </c>
      <c r="F28074" s="40" t="s">
        <v>11404</v>
      </c>
      <c r="G28074" s="40" t="s">
        <v>11404</v>
      </c>
      <c r="H28074" s="40" t="s">
        <v>11404</v>
      </c>
    </row>
    <row r="28075">
      <c r="A28075" s="39"/>
      <c r="E28075" s="40" t="s">
        <v>11404</v>
      </c>
      <c r="F28075" s="40" t="s">
        <v>11404</v>
      </c>
      <c r="G28075" s="40" t="s">
        <v>11404</v>
      </c>
      <c r="H28075" s="40" t="s">
        <v>11404</v>
      </c>
    </row>
    <row r="28076">
      <c r="A28076" s="39"/>
      <c r="E28076" s="40" t="s">
        <v>11404</v>
      </c>
      <c r="F28076" s="40" t="s">
        <v>11404</v>
      </c>
      <c r="G28076" s="40" t="s">
        <v>11404</v>
      </c>
      <c r="H28076" s="40" t="s">
        <v>11404</v>
      </c>
    </row>
    <row r="28077">
      <c r="A28077" s="39"/>
      <c r="E28077" s="40" t="s">
        <v>11404</v>
      </c>
      <c r="F28077" s="40" t="s">
        <v>11404</v>
      </c>
      <c r="G28077" s="40" t="s">
        <v>11404</v>
      </c>
      <c r="H28077" s="40" t="s">
        <v>11404</v>
      </c>
    </row>
    <row r="28078">
      <c r="A28078" s="39"/>
      <c r="E28078" s="40" t="s">
        <v>11404</v>
      </c>
      <c r="F28078" s="40" t="s">
        <v>11404</v>
      </c>
      <c r="G28078" s="40" t="s">
        <v>11404</v>
      </c>
      <c r="H28078" s="40" t="s">
        <v>11404</v>
      </c>
    </row>
    <row r="28079">
      <c r="A28079" s="39"/>
      <c r="E28079" s="40" t="s">
        <v>11404</v>
      </c>
      <c r="F28079" s="40" t="s">
        <v>11404</v>
      </c>
      <c r="G28079" s="40" t="s">
        <v>11404</v>
      </c>
      <c r="H28079" s="40" t="s">
        <v>11404</v>
      </c>
    </row>
    <row r="28080">
      <c r="A28080" s="39"/>
      <c r="E28080" s="40" t="s">
        <v>11404</v>
      </c>
      <c r="F28080" s="40" t="s">
        <v>11404</v>
      </c>
      <c r="G28080" s="40" t="s">
        <v>11404</v>
      </c>
      <c r="H28080" s="40" t="s">
        <v>11404</v>
      </c>
    </row>
    <row r="28081">
      <c r="A28081" s="39"/>
      <c r="E28081" s="40" t="s">
        <v>11404</v>
      </c>
      <c r="F28081" s="40" t="s">
        <v>11404</v>
      </c>
      <c r="G28081" s="40" t="s">
        <v>11404</v>
      </c>
      <c r="H28081" s="40" t="s">
        <v>11404</v>
      </c>
    </row>
    <row r="28082">
      <c r="A28082" s="39"/>
      <c r="E28082" s="40" t="s">
        <v>11404</v>
      </c>
      <c r="F28082" s="40" t="s">
        <v>11404</v>
      </c>
      <c r="G28082" s="40" t="s">
        <v>11404</v>
      </c>
      <c r="H28082" s="40" t="s">
        <v>11404</v>
      </c>
    </row>
    <row r="28083">
      <c r="A28083" s="39"/>
      <c r="E28083" s="40" t="s">
        <v>11404</v>
      </c>
      <c r="F28083" s="40" t="s">
        <v>11404</v>
      </c>
      <c r="G28083" s="40" t="s">
        <v>11404</v>
      </c>
      <c r="H28083" s="40" t="s">
        <v>11404</v>
      </c>
    </row>
    <row r="28084">
      <c r="A28084" s="39"/>
      <c r="E28084" s="40" t="s">
        <v>11404</v>
      </c>
      <c r="F28084" s="40" t="s">
        <v>11404</v>
      </c>
      <c r="G28084" s="40" t="s">
        <v>11404</v>
      </c>
      <c r="H28084" s="40" t="s">
        <v>11404</v>
      </c>
    </row>
    <row r="28085">
      <c r="A28085" s="39"/>
      <c r="E28085" s="40" t="s">
        <v>11404</v>
      </c>
      <c r="F28085" s="40" t="s">
        <v>11404</v>
      </c>
      <c r="G28085" s="40" t="s">
        <v>11404</v>
      </c>
      <c r="H28085" s="40" t="s">
        <v>11404</v>
      </c>
    </row>
    <row r="28086">
      <c r="A28086" s="39"/>
      <c r="E28086" s="40" t="s">
        <v>11404</v>
      </c>
      <c r="F28086" s="40" t="s">
        <v>11404</v>
      </c>
      <c r="G28086" s="40" t="s">
        <v>11404</v>
      </c>
      <c r="H28086" s="40" t="s">
        <v>11404</v>
      </c>
    </row>
    <row r="28087">
      <c r="A28087" s="39"/>
      <c r="E28087" s="40" t="s">
        <v>11404</v>
      </c>
      <c r="F28087" s="40" t="s">
        <v>11404</v>
      </c>
      <c r="G28087" s="40" t="s">
        <v>11404</v>
      </c>
      <c r="H28087" s="40" t="s">
        <v>11404</v>
      </c>
    </row>
    <row r="28088">
      <c r="A28088" s="39"/>
      <c r="E28088" s="40" t="s">
        <v>11404</v>
      </c>
      <c r="F28088" s="40" t="s">
        <v>11404</v>
      </c>
      <c r="G28088" s="40" t="s">
        <v>11404</v>
      </c>
      <c r="H28088" s="40" t="s">
        <v>11404</v>
      </c>
    </row>
    <row r="28089">
      <c r="A28089" s="39"/>
      <c r="E28089" s="40" t="s">
        <v>11404</v>
      </c>
      <c r="F28089" s="40" t="s">
        <v>11404</v>
      </c>
      <c r="G28089" s="40" t="s">
        <v>11404</v>
      </c>
      <c r="H28089" s="40" t="s">
        <v>11404</v>
      </c>
    </row>
    <row r="28090">
      <c r="A28090" s="39"/>
      <c r="E28090" s="40" t="s">
        <v>11404</v>
      </c>
      <c r="F28090" s="40" t="s">
        <v>11404</v>
      </c>
      <c r="G28090" s="40" t="s">
        <v>11404</v>
      </c>
      <c r="H28090" s="40" t="s">
        <v>11404</v>
      </c>
    </row>
    <row r="28091">
      <c r="A28091" s="39"/>
      <c r="E28091" s="40" t="s">
        <v>11404</v>
      </c>
      <c r="F28091" s="40" t="s">
        <v>11404</v>
      </c>
      <c r="G28091" s="40" t="s">
        <v>11404</v>
      </c>
      <c r="H28091" s="40" t="s">
        <v>11404</v>
      </c>
    </row>
    <row r="28092">
      <c r="A28092" s="39"/>
      <c r="E28092" s="40" t="s">
        <v>11404</v>
      </c>
      <c r="F28092" s="40" t="s">
        <v>11404</v>
      </c>
      <c r="G28092" s="40" t="s">
        <v>11404</v>
      </c>
      <c r="H28092" s="40" t="s">
        <v>11404</v>
      </c>
    </row>
    <row r="28093">
      <c r="A28093" s="39"/>
      <c r="E28093" s="40" t="s">
        <v>11404</v>
      </c>
      <c r="F28093" s="40" t="s">
        <v>11404</v>
      </c>
      <c r="G28093" s="40" t="s">
        <v>11404</v>
      </c>
      <c r="H28093" s="40" t="s">
        <v>11404</v>
      </c>
    </row>
    <row r="28094">
      <c r="A28094" s="39"/>
      <c r="E28094" s="40" t="s">
        <v>11404</v>
      </c>
      <c r="F28094" s="40" t="s">
        <v>11404</v>
      </c>
      <c r="G28094" s="40" t="s">
        <v>11404</v>
      </c>
      <c r="H28094" s="40" t="s">
        <v>11404</v>
      </c>
    </row>
    <row r="28095">
      <c r="A28095" s="39"/>
      <c r="E28095" s="40" t="s">
        <v>11404</v>
      </c>
      <c r="F28095" s="40" t="s">
        <v>11404</v>
      </c>
      <c r="G28095" s="40" t="s">
        <v>11404</v>
      </c>
      <c r="H28095" s="40" t="s">
        <v>11404</v>
      </c>
    </row>
    <row r="28096">
      <c r="A28096" s="39"/>
      <c r="E28096" s="40" t="s">
        <v>11404</v>
      </c>
      <c r="F28096" s="40" t="s">
        <v>11404</v>
      </c>
      <c r="G28096" s="40" t="s">
        <v>11404</v>
      </c>
      <c r="H28096" s="40" t="s">
        <v>11404</v>
      </c>
    </row>
    <row r="28097">
      <c r="A28097" s="39"/>
      <c r="E28097" s="40" t="s">
        <v>11404</v>
      </c>
      <c r="F28097" s="40" t="s">
        <v>11404</v>
      </c>
      <c r="G28097" s="40" t="s">
        <v>11404</v>
      </c>
      <c r="H28097" s="40" t="s">
        <v>11404</v>
      </c>
    </row>
    <row r="28098">
      <c r="A28098" s="39"/>
      <c r="E28098" s="40" t="s">
        <v>11404</v>
      </c>
      <c r="F28098" s="40" t="s">
        <v>11404</v>
      </c>
      <c r="G28098" s="40" t="s">
        <v>11404</v>
      </c>
      <c r="H28098" s="40" t="s">
        <v>11404</v>
      </c>
    </row>
    <row r="28099">
      <c r="A28099" s="39"/>
      <c r="E28099" s="40" t="s">
        <v>11404</v>
      </c>
      <c r="F28099" s="40" t="s">
        <v>11404</v>
      </c>
      <c r="G28099" s="40" t="s">
        <v>11404</v>
      </c>
      <c r="H28099" s="40" t="s">
        <v>11404</v>
      </c>
    </row>
    <row r="28100">
      <c r="A28100" s="39"/>
      <c r="E28100" s="40" t="s">
        <v>11404</v>
      </c>
      <c r="F28100" s="40" t="s">
        <v>11404</v>
      </c>
      <c r="G28100" s="40" t="s">
        <v>11404</v>
      </c>
      <c r="H28100" s="40" t="s">
        <v>11404</v>
      </c>
    </row>
    <row r="28101">
      <c r="A28101" s="39"/>
      <c r="E28101" s="40" t="s">
        <v>11404</v>
      </c>
      <c r="F28101" s="40" t="s">
        <v>11404</v>
      </c>
      <c r="G28101" s="40" t="s">
        <v>11404</v>
      </c>
      <c r="H28101" s="40" t="s">
        <v>11404</v>
      </c>
    </row>
    <row r="28102">
      <c r="A28102" s="39"/>
      <c r="E28102" s="40" t="s">
        <v>11404</v>
      </c>
      <c r="F28102" s="40" t="s">
        <v>11404</v>
      </c>
      <c r="G28102" s="40" t="s">
        <v>11404</v>
      </c>
      <c r="H28102" s="40" t="s">
        <v>11404</v>
      </c>
    </row>
    <row r="28103">
      <c r="A28103" s="39"/>
      <c r="E28103" s="40" t="s">
        <v>11404</v>
      </c>
      <c r="F28103" s="40" t="s">
        <v>11404</v>
      </c>
      <c r="G28103" s="40" t="s">
        <v>11404</v>
      </c>
      <c r="H28103" s="40" t="s">
        <v>11404</v>
      </c>
    </row>
    <row r="28104">
      <c r="A28104" s="39"/>
      <c r="E28104" s="40" t="s">
        <v>11404</v>
      </c>
      <c r="F28104" s="40" t="s">
        <v>11404</v>
      </c>
      <c r="G28104" s="40" t="s">
        <v>11404</v>
      </c>
      <c r="H28104" s="40" t="s">
        <v>11404</v>
      </c>
    </row>
    <row r="28105">
      <c r="A28105" s="39"/>
      <c r="E28105" s="40" t="s">
        <v>11404</v>
      </c>
      <c r="F28105" s="40" t="s">
        <v>11404</v>
      </c>
      <c r="G28105" s="40" t="s">
        <v>11404</v>
      </c>
      <c r="H28105" s="40" t="s">
        <v>11404</v>
      </c>
    </row>
    <row r="28106">
      <c r="A28106" s="39"/>
      <c r="E28106" s="40" t="s">
        <v>11404</v>
      </c>
      <c r="F28106" s="40" t="s">
        <v>11404</v>
      </c>
      <c r="G28106" s="40" t="s">
        <v>11404</v>
      </c>
      <c r="H28106" s="40" t="s">
        <v>11404</v>
      </c>
    </row>
    <row r="28107">
      <c r="A28107" s="39"/>
      <c r="E28107" s="40" t="s">
        <v>11404</v>
      </c>
      <c r="F28107" s="40" t="s">
        <v>11404</v>
      </c>
      <c r="G28107" s="40" t="s">
        <v>11404</v>
      </c>
      <c r="H28107" s="40" t="s">
        <v>11404</v>
      </c>
    </row>
    <row r="28108">
      <c r="A28108" s="39"/>
      <c r="E28108" s="40" t="s">
        <v>11404</v>
      </c>
      <c r="F28108" s="40" t="s">
        <v>11404</v>
      </c>
      <c r="G28108" s="40" t="s">
        <v>11404</v>
      </c>
      <c r="H28108" s="40" t="s">
        <v>11404</v>
      </c>
    </row>
    <row r="28109">
      <c r="A28109" s="39"/>
      <c r="E28109" s="40" t="s">
        <v>11404</v>
      </c>
      <c r="F28109" s="40" t="s">
        <v>11404</v>
      </c>
      <c r="G28109" s="40" t="s">
        <v>11404</v>
      </c>
      <c r="H28109" s="40" t="s">
        <v>11404</v>
      </c>
    </row>
    <row r="28110">
      <c r="A28110" s="39"/>
      <c r="E28110" s="40" t="s">
        <v>11404</v>
      </c>
      <c r="F28110" s="40" t="s">
        <v>11404</v>
      </c>
      <c r="G28110" s="40" t="s">
        <v>11404</v>
      </c>
      <c r="H28110" s="40" t="s">
        <v>11404</v>
      </c>
    </row>
    <row r="28111">
      <c r="A28111" s="39"/>
      <c r="E28111" s="40" t="s">
        <v>11404</v>
      </c>
      <c r="F28111" s="40" t="s">
        <v>11404</v>
      </c>
      <c r="G28111" s="40" t="s">
        <v>11404</v>
      </c>
      <c r="H28111" s="40" t="s">
        <v>11404</v>
      </c>
    </row>
    <row r="28112">
      <c r="A28112" s="39"/>
      <c r="E28112" s="40" t="s">
        <v>11404</v>
      </c>
      <c r="F28112" s="40" t="s">
        <v>11404</v>
      </c>
      <c r="G28112" s="40" t="s">
        <v>11404</v>
      </c>
      <c r="H28112" s="40" t="s">
        <v>11404</v>
      </c>
    </row>
    <row r="28113">
      <c r="A28113" s="39"/>
      <c r="E28113" s="40" t="s">
        <v>11404</v>
      </c>
      <c r="F28113" s="40" t="s">
        <v>11404</v>
      </c>
      <c r="G28113" s="40" t="s">
        <v>11404</v>
      </c>
      <c r="H28113" s="40" t="s">
        <v>11404</v>
      </c>
    </row>
    <row r="28114">
      <c r="A28114" s="39"/>
      <c r="E28114" s="40" t="s">
        <v>11404</v>
      </c>
      <c r="F28114" s="40" t="s">
        <v>11404</v>
      </c>
      <c r="G28114" s="40" t="s">
        <v>11404</v>
      </c>
      <c r="H28114" s="40" t="s">
        <v>11404</v>
      </c>
    </row>
    <row r="28115">
      <c r="A28115" s="39"/>
      <c r="E28115" s="40" t="s">
        <v>11404</v>
      </c>
      <c r="F28115" s="40" t="s">
        <v>11404</v>
      </c>
      <c r="G28115" s="40" t="s">
        <v>11404</v>
      </c>
      <c r="H28115" s="40" t="s">
        <v>11404</v>
      </c>
    </row>
    <row r="28116">
      <c r="A28116" s="39"/>
      <c r="E28116" s="40" t="s">
        <v>11404</v>
      </c>
      <c r="F28116" s="40" t="s">
        <v>11404</v>
      </c>
      <c r="G28116" s="40" t="s">
        <v>11404</v>
      </c>
      <c r="H28116" s="40" t="s">
        <v>11404</v>
      </c>
    </row>
    <row r="28117">
      <c r="A28117" s="39"/>
      <c r="E28117" s="40" t="s">
        <v>11404</v>
      </c>
      <c r="F28117" s="40" t="s">
        <v>11404</v>
      </c>
      <c r="G28117" s="40" t="s">
        <v>11404</v>
      </c>
      <c r="H28117" s="40" t="s">
        <v>11404</v>
      </c>
    </row>
    <row r="28118">
      <c r="A28118" s="39"/>
      <c r="E28118" s="40" t="s">
        <v>11404</v>
      </c>
      <c r="F28118" s="40" t="s">
        <v>11404</v>
      </c>
      <c r="G28118" s="40" t="s">
        <v>11404</v>
      </c>
      <c r="H28118" s="40" t="s">
        <v>11404</v>
      </c>
    </row>
    <row r="28119">
      <c r="A28119" s="39"/>
      <c r="E28119" s="40" t="s">
        <v>11404</v>
      </c>
      <c r="F28119" s="40" t="s">
        <v>11404</v>
      </c>
      <c r="G28119" s="40" t="s">
        <v>11404</v>
      </c>
      <c r="H28119" s="40" t="s">
        <v>11404</v>
      </c>
    </row>
    <row r="28120">
      <c r="A28120" s="39"/>
      <c r="E28120" s="40" t="s">
        <v>11404</v>
      </c>
      <c r="F28120" s="40" t="s">
        <v>11404</v>
      </c>
      <c r="G28120" s="40" t="s">
        <v>11404</v>
      </c>
      <c r="H28120" s="40" t="s">
        <v>11404</v>
      </c>
    </row>
    <row r="28121">
      <c r="A28121" s="39"/>
      <c r="E28121" s="40" t="s">
        <v>11404</v>
      </c>
      <c r="F28121" s="40" t="s">
        <v>11404</v>
      </c>
      <c r="G28121" s="40" t="s">
        <v>11404</v>
      </c>
      <c r="H28121" s="40" t="s">
        <v>11404</v>
      </c>
    </row>
    <row r="28122">
      <c r="A28122" s="39"/>
      <c r="E28122" s="40" t="s">
        <v>11404</v>
      </c>
      <c r="F28122" s="40" t="s">
        <v>11404</v>
      </c>
      <c r="G28122" s="40" t="s">
        <v>11404</v>
      </c>
      <c r="H28122" s="40" t="s">
        <v>11404</v>
      </c>
    </row>
    <row r="28123">
      <c r="A28123" s="39"/>
      <c r="E28123" s="40" t="s">
        <v>11404</v>
      </c>
      <c r="F28123" s="40" t="s">
        <v>11404</v>
      </c>
      <c r="G28123" s="40" t="s">
        <v>11404</v>
      </c>
      <c r="H28123" s="40" t="s">
        <v>11404</v>
      </c>
    </row>
    <row r="28124">
      <c r="A28124" s="39"/>
      <c r="E28124" s="40" t="s">
        <v>11404</v>
      </c>
      <c r="F28124" s="40" t="s">
        <v>11404</v>
      </c>
      <c r="G28124" s="40" t="s">
        <v>11404</v>
      </c>
      <c r="H28124" s="40" t="s">
        <v>11404</v>
      </c>
    </row>
    <row r="28125">
      <c r="A28125" s="39"/>
      <c r="E28125" s="40" t="s">
        <v>11404</v>
      </c>
      <c r="F28125" s="40" t="s">
        <v>11404</v>
      </c>
      <c r="G28125" s="40" t="s">
        <v>11404</v>
      </c>
      <c r="H28125" s="40" t="s">
        <v>11404</v>
      </c>
    </row>
    <row r="28126">
      <c r="A28126" s="39"/>
      <c r="E28126" s="40" t="s">
        <v>11404</v>
      </c>
      <c r="F28126" s="40" t="s">
        <v>11404</v>
      </c>
      <c r="G28126" s="40" t="s">
        <v>11404</v>
      </c>
      <c r="H28126" s="40" t="s">
        <v>11404</v>
      </c>
    </row>
    <row r="28127">
      <c r="A28127" s="39"/>
      <c r="E28127" s="40" t="s">
        <v>11404</v>
      </c>
      <c r="F28127" s="40" t="s">
        <v>11404</v>
      </c>
      <c r="G28127" s="40" t="s">
        <v>11404</v>
      </c>
      <c r="H28127" s="40" t="s">
        <v>11404</v>
      </c>
    </row>
    <row r="28128">
      <c r="A28128" s="39"/>
      <c r="E28128" s="40" t="s">
        <v>11404</v>
      </c>
      <c r="F28128" s="40" t="s">
        <v>11404</v>
      </c>
      <c r="G28128" s="40" t="s">
        <v>11404</v>
      </c>
      <c r="H28128" s="40" t="s">
        <v>11404</v>
      </c>
    </row>
    <row r="28129">
      <c r="A28129" s="39"/>
      <c r="E28129" s="40" t="s">
        <v>11404</v>
      </c>
      <c r="F28129" s="40" t="s">
        <v>11404</v>
      </c>
      <c r="G28129" s="40" t="s">
        <v>11404</v>
      </c>
      <c r="H28129" s="40" t="s">
        <v>11404</v>
      </c>
    </row>
    <row r="28130">
      <c r="A28130" s="39"/>
      <c r="E28130" s="40" t="s">
        <v>11404</v>
      </c>
      <c r="F28130" s="40" t="s">
        <v>11404</v>
      </c>
      <c r="G28130" s="40" t="s">
        <v>11404</v>
      </c>
      <c r="H28130" s="40" t="s">
        <v>11404</v>
      </c>
    </row>
    <row r="28131">
      <c r="A28131" s="39"/>
      <c r="E28131" s="40" t="s">
        <v>11404</v>
      </c>
      <c r="F28131" s="40" t="s">
        <v>11404</v>
      </c>
      <c r="G28131" s="40" t="s">
        <v>11404</v>
      </c>
      <c r="H28131" s="40" t="s">
        <v>11404</v>
      </c>
    </row>
    <row r="28132">
      <c r="A28132" s="39"/>
      <c r="E28132" s="40" t="s">
        <v>11404</v>
      </c>
      <c r="F28132" s="40" t="s">
        <v>11404</v>
      </c>
      <c r="G28132" s="40" t="s">
        <v>11404</v>
      </c>
      <c r="H28132" s="40" t="s">
        <v>11404</v>
      </c>
    </row>
    <row r="28133">
      <c r="A28133" s="39"/>
      <c r="E28133" s="40" t="s">
        <v>11404</v>
      </c>
      <c r="F28133" s="40" t="s">
        <v>11404</v>
      </c>
      <c r="G28133" s="40" t="s">
        <v>11404</v>
      </c>
      <c r="H28133" s="40" t="s">
        <v>11404</v>
      </c>
    </row>
    <row r="28134">
      <c r="A28134" s="39"/>
      <c r="E28134" s="40" t="s">
        <v>11404</v>
      </c>
      <c r="F28134" s="40" t="s">
        <v>11404</v>
      </c>
      <c r="G28134" s="40" t="s">
        <v>11404</v>
      </c>
      <c r="H28134" s="40" t="s">
        <v>11404</v>
      </c>
    </row>
    <row r="28135">
      <c r="A28135" s="39"/>
      <c r="E28135" s="40" t="s">
        <v>11404</v>
      </c>
      <c r="F28135" s="40" t="s">
        <v>11404</v>
      </c>
      <c r="G28135" s="40" t="s">
        <v>11404</v>
      </c>
      <c r="H28135" s="40" t="s">
        <v>11404</v>
      </c>
    </row>
    <row r="28136">
      <c r="A28136" s="39"/>
      <c r="E28136" s="40" t="s">
        <v>11404</v>
      </c>
      <c r="F28136" s="40" t="s">
        <v>11404</v>
      </c>
      <c r="G28136" s="40" t="s">
        <v>11404</v>
      </c>
      <c r="H28136" s="40" t="s">
        <v>11404</v>
      </c>
    </row>
    <row r="28137">
      <c r="A28137" s="39"/>
      <c r="E28137" s="40" t="s">
        <v>11404</v>
      </c>
      <c r="F28137" s="40" t="s">
        <v>11404</v>
      </c>
      <c r="G28137" s="40" t="s">
        <v>11404</v>
      </c>
      <c r="H28137" s="40" t="s">
        <v>11404</v>
      </c>
    </row>
    <row r="28138">
      <c r="A28138" s="39"/>
      <c r="E28138" s="40" t="s">
        <v>11404</v>
      </c>
      <c r="F28138" s="40" t="s">
        <v>11404</v>
      </c>
      <c r="G28138" s="40" t="s">
        <v>11404</v>
      </c>
      <c r="H28138" s="40" t="s">
        <v>11404</v>
      </c>
    </row>
    <row r="28139">
      <c r="A28139" s="39"/>
      <c r="E28139" s="40" t="s">
        <v>11404</v>
      </c>
      <c r="F28139" s="40" t="s">
        <v>11404</v>
      </c>
      <c r="G28139" s="40" t="s">
        <v>11404</v>
      </c>
      <c r="H28139" s="40" t="s">
        <v>11404</v>
      </c>
    </row>
    <row r="28140">
      <c r="A28140" s="39"/>
      <c r="E28140" s="40" t="s">
        <v>11404</v>
      </c>
      <c r="F28140" s="40" t="s">
        <v>11404</v>
      </c>
      <c r="G28140" s="40" t="s">
        <v>11404</v>
      </c>
      <c r="H28140" s="40" t="s">
        <v>11404</v>
      </c>
    </row>
    <row r="28141">
      <c r="A28141" s="39"/>
      <c r="E28141" s="40" t="s">
        <v>11404</v>
      </c>
      <c r="F28141" s="40" t="s">
        <v>11404</v>
      </c>
      <c r="G28141" s="40" t="s">
        <v>11404</v>
      </c>
      <c r="H28141" s="40" t="s">
        <v>11404</v>
      </c>
    </row>
    <row r="28142">
      <c r="A28142" s="39"/>
      <c r="E28142" s="40" t="s">
        <v>11404</v>
      </c>
      <c r="F28142" s="40" t="s">
        <v>11404</v>
      </c>
      <c r="G28142" s="40" t="s">
        <v>11404</v>
      </c>
      <c r="H28142" s="40" t="s">
        <v>11404</v>
      </c>
    </row>
    <row r="28143">
      <c r="A28143" s="39"/>
      <c r="E28143" s="40" t="s">
        <v>11404</v>
      </c>
      <c r="F28143" s="40" t="s">
        <v>11404</v>
      </c>
      <c r="G28143" s="40" t="s">
        <v>11404</v>
      </c>
      <c r="H28143" s="40" t="s">
        <v>11404</v>
      </c>
    </row>
    <row r="28144">
      <c r="A28144" s="39"/>
      <c r="E28144" s="40" t="s">
        <v>11404</v>
      </c>
      <c r="F28144" s="40" t="s">
        <v>11404</v>
      </c>
      <c r="G28144" s="40" t="s">
        <v>11404</v>
      </c>
      <c r="H28144" s="40" t="s">
        <v>11404</v>
      </c>
    </row>
    <row r="28145">
      <c r="A28145" s="39"/>
      <c r="E28145" s="40" t="s">
        <v>11404</v>
      </c>
      <c r="F28145" s="40" t="s">
        <v>11404</v>
      </c>
      <c r="G28145" s="40" t="s">
        <v>11404</v>
      </c>
      <c r="H28145" s="40" t="s">
        <v>11404</v>
      </c>
    </row>
    <row r="28146">
      <c r="A28146" s="39"/>
      <c r="E28146" s="40" t="s">
        <v>11404</v>
      </c>
      <c r="F28146" s="40" t="s">
        <v>11404</v>
      </c>
      <c r="G28146" s="40" t="s">
        <v>11404</v>
      </c>
      <c r="H28146" s="40" t="s">
        <v>11404</v>
      </c>
    </row>
    <row r="28147">
      <c r="A28147" s="39"/>
      <c r="E28147" s="40" t="s">
        <v>11404</v>
      </c>
      <c r="F28147" s="40" t="s">
        <v>11404</v>
      </c>
      <c r="G28147" s="40" t="s">
        <v>11404</v>
      </c>
      <c r="H28147" s="40" t="s">
        <v>11404</v>
      </c>
    </row>
    <row r="28148">
      <c r="A28148" s="39"/>
      <c r="E28148" s="40" t="s">
        <v>11404</v>
      </c>
      <c r="F28148" s="40" t="s">
        <v>11404</v>
      </c>
      <c r="G28148" s="40" t="s">
        <v>11404</v>
      </c>
      <c r="H28148" s="40" t="s">
        <v>11404</v>
      </c>
    </row>
    <row r="28149">
      <c r="A28149" s="39"/>
      <c r="E28149" s="40" t="s">
        <v>11404</v>
      </c>
      <c r="F28149" s="40" t="s">
        <v>11404</v>
      </c>
      <c r="G28149" s="40" t="s">
        <v>11404</v>
      </c>
      <c r="H28149" s="40" t="s">
        <v>11404</v>
      </c>
    </row>
    <row r="28150">
      <c r="A28150" s="39"/>
      <c r="E28150" s="40" t="s">
        <v>11404</v>
      </c>
      <c r="F28150" s="40" t="s">
        <v>11404</v>
      </c>
      <c r="G28150" s="40" t="s">
        <v>11404</v>
      </c>
      <c r="H28150" s="40" t="s">
        <v>11404</v>
      </c>
    </row>
    <row r="28151">
      <c r="A28151" s="39"/>
      <c r="E28151" s="40" t="s">
        <v>11404</v>
      </c>
      <c r="F28151" s="40" t="s">
        <v>11404</v>
      </c>
      <c r="G28151" s="40" t="s">
        <v>11404</v>
      </c>
      <c r="H28151" s="40" t="s">
        <v>11404</v>
      </c>
    </row>
    <row r="28152">
      <c r="A28152" s="39"/>
      <c r="E28152" s="40" t="s">
        <v>11404</v>
      </c>
      <c r="F28152" s="40" t="s">
        <v>11404</v>
      </c>
      <c r="G28152" s="40" t="s">
        <v>11404</v>
      </c>
      <c r="H28152" s="40" t="s">
        <v>11404</v>
      </c>
    </row>
    <row r="28153">
      <c r="A28153" s="39"/>
      <c r="E28153" s="40" t="s">
        <v>11404</v>
      </c>
      <c r="F28153" s="40" t="s">
        <v>11404</v>
      </c>
      <c r="G28153" s="40" t="s">
        <v>11404</v>
      </c>
      <c r="H28153" s="40" t="s">
        <v>11404</v>
      </c>
    </row>
    <row r="28154">
      <c r="A28154" s="39"/>
      <c r="E28154" s="40" t="s">
        <v>11404</v>
      </c>
      <c r="F28154" s="40" t="s">
        <v>11404</v>
      </c>
      <c r="G28154" s="40" t="s">
        <v>11404</v>
      </c>
      <c r="H28154" s="40" t="s">
        <v>11404</v>
      </c>
    </row>
    <row r="28155">
      <c r="A28155" s="39"/>
      <c r="E28155" s="40" t="s">
        <v>11404</v>
      </c>
      <c r="F28155" s="40" t="s">
        <v>11404</v>
      </c>
      <c r="G28155" s="40" t="s">
        <v>11404</v>
      </c>
      <c r="H28155" s="40" t="s">
        <v>11404</v>
      </c>
    </row>
    <row r="28156">
      <c r="A28156" s="39"/>
      <c r="E28156" s="40" t="s">
        <v>11404</v>
      </c>
      <c r="F28156" s="40" t="s">
        <v>11404</v>
      </c>
      <c r="G28156" s="40" t="s">
        <v>11404</v>
      </c>
      <c r="H28156" s="40" t="s">
        <v>11404</v>
      </c>
    </row>
    <row r="28157">
      <c r="A28157" s="39"/>
      <c r="E28157" s="40" t="s">
        <v>11404</v>
      </c>
      <c r="F28157" s="40" t="s">
        <v>11404</v>
      </c>
      <c r="G28157" s="40" t="s">
        <v>11404</v>
      </c>
      <c r="H28157" s="40" t="s">
        <v>11404</v>
      </c>
    </row>
    <row r="28158">
      <c r="A28158" s="39"/>
      <c r="E28158" s="40" t="s">
        <v>11404</v>
      </c>
      <c r="F28158" s="40" t="s">
        <v>11404</v>
      </c>
      <c r="G28158" s="40" t="s">
        <v>11404</v>
      </c>
      <c r="H28158" s="40" t="s">
        <v>11404</v>
      </c>
    </row>
    <row r="28159">
      <c r="A28159" s="39"/>
      <c r="E28159" s="40" t="s">
        <v>11404</v>
      </c>
      <c r="F28159" s="40" t="s">
        <v>11404</v>
      </c>
      <c r="G28159" s="40" t="s">
        <v>11404</v>
      </c>
      <c r="H28159" s="40" t="s">
        <v>11404</v>
      </c>
    </row>
    <row r="28160">
      <c r="A28160" s="39"/>
      <c r="E28160" s="40" t="s">
        <v>11404</v>
      </c>
      <c r="F28160" s="40" t="s">
        <v>11404</v>
      </c>
      <c r="G28160" s="40" t="s">
        <v>11404</v>
      </c>
      <c r="H28160" s="40" t="s">
        <v>11404</v>
      </c>
    </row>
    <row r="28161">
      <c r="A28161" s="39"/>
      <c r="E28161" s="40" t="s">
        <v>11404</v>
      </c>
      <c r="F28161" s="40" t="s">
        <v>11404</v>
      </c>
      <c r="G28161" s="40" t="s">
        <v>11404</v>
      </c>
      <c r="H28161" s="40" t="s">
        <v>11404</v>
      </c>
    </row>
    <row r="28162">
      <c r="A28162" s="39"/>
      <c r="E28162" s="40" t="s">
        <v>11404</v>
      </c>
      <c r="F28162" s="40" t="s">
        <v>11404</v>
      </c>
      <c r="G28162" s="40" t="s">
        <v>11404</v>
      </c>
      <c r="H28162" s="40" t="s">
        <v>11404</v>
      </c>
    </row>
    <row r="28163">
      <c r="A28163" s="39"/>
      <c r="E28163" s="40" t="s">
        <v>11404</v>
      </c>
      <c r="F28163" s="40" t="s">
        <v>11404</v>
      </c>
      <c r="G28163" s="40" t="s">
        <v>11404</v>
      </c>
      <c r="H28163" s="40" t="s">
        <v>11404</v>
      </c>
    </row>
    <row r="28164">
      <c r="A28164" s="39"/>
      <c r="E28164" s="40" t="s">
        <v>11404</v>
      </c>
      <c r="F28164" s="40" t="s">
        <v>11404</v>
      </c>
      <c r="G28164" s="40" t="s">
        <v>11404</v>
      </c>
      <c r="H28164" s="40" t="s">
        <v>11404</v>
      </c>
    </row>
    <row r="28165">
      <c r="A28165" s="39"/>
      <c r="E28165" s="40" t="s">
        <v>11404</v>
      </c>
      <c r="F28165" s="40" t="s">
        <v>11404</v>
      </c>
      <c r="G28165" s="40" t="s">
        <v>11404</v>
      </c>
      <c r="H28165" s="40" t="s">
        <v>11404</v>
      </c>
    </row>
    <row r="28166">
      <c r="A28166" s="39"/>
      <c r="E28166" s="40" t="s">
        <v>11404</v>
      </c>
      <c r="F28166" s="40" t="s">
        <v>11404</v>
      </c>
      <c r="G28166" s="40" t="s">
        <v>11404</v>
      </c>
      <c r="H28166" s="40" t="s">
        <v>11404</v>
      </c>
    </row>
    <row r="28167">
      <c r="A28167" s="39"/>
      <c r="E28167" s="40" t="s">
        <v>11404</v>
      </c>
      <c r="F28167" s="40" t="s">
        <v>11404</v>
      </c>
      <c r="G28167" s="40" t="s">
        <v>11404</v>
      </c>
      <c r="H28167" s="40" t="s">
        <v>11404</v>
      </c>
    </row>
    <row r="28168">
      <c r="A28168" s="39"/>
      <c r="E28168" s="40" t="s">
        <v>11404</v>
      </c>
      <c r="F28168" s="40" t="s">
        <v>11404</v>
      </c>
      <c r="G28168" s="40" t="s">
        <v>11404</v>
      </c>
      <c r="H28168" s="40" t="s">
        <v>11404</v>
      </c>
    </row>
    <row r="28169">
      <c r="A28169" s="39"/>
      <c r="E28169" s="40" t="s">
        <v>11404</v>
      </c>
      <c r="F28169" s="40" t="s">
        <v>11404</v>
      </c>
      <c r="G28169" s="40" t="s">
        <v>11404</v>
      </c>
      <c r="H28169" s="40" t="s">
        <v>11404</v>
      </c>
    </row>
    <row r="28170">
      <c r="A28170" s="39"/>
      <c r="E28170" s="40" t="s">
        <v>11404</v>
      </c>
      <c r="F28170" s="40" t="s">
        <v>11404</v>
      </c>
      <c r="G28170" s="40" t="s">
        <v>11404</v>
      </c>
      <c r="H28170" s="40" t="s">
        <v>11404</v>
      </c>
    </row>
    <row r="28171">
      <c r="A28171" s="39"/>
      <c r="E28171" s="40" t="s">
        <v>11404</v>
      </c>
      <c r="F28171" s="40" t="s">
        <v>11404</v>
      </c>
      <c r="G28171" s="40" t="s">
        <v>11404</v>
      </c>
      <c r="H28171" s="40" t="s">
        <v>11404</v>
      </c>
    </row>
    <row r="28172">
      <c r="A28172" s="39"/>
      <c r="E28172" s="40" t="s">
        <v>11404</v>
      </c>
      <c r="F28172" s="40" t="s">
        <v>11404</v>
      </c>
      <c r="G28172" s="40" t="s">
        <v>11404</v>
      </c>
      <c r="H28172" s="40" t="s">
        <v>11404</v>
      </c>
    </row>
    <row r="28173">
      <c r="A28173" s="39"/>
      <c r="E28173" s="40" t="s">
        <v>11404</v>
      </c>
      <c r="F28173" s="40" t="s">
        <v>11404</v>
      </c>
      <c r="G28173" s="40" t="s">
        <v>11404</v>
      </c>
      <c r="H28173" s="40" t="s">
        <v>11404</v>
      </c>
    </row>
    <row r="28174">
      <c r="A28174" s="39"/>
      <c r="E28174" s="40" t="s">
        <v>11404</v>
      </c>
      <c r="F28174" s="40" t="s">
        <v>11404</v>
      </c>
      <c r="G28174" s="40" t="s">
        <v>11404</v>
      </c>
      <c r="H28174" s="40" t="s">
        <v>11404</v>
      </c>
    </row>
    <row r="28175">
      <c r="A28175" s="39"/>
      <c r="E28175" s="40" t="s">
        <v>11404</v>
      </c>
      <c r="F28175" s="40" t="s">
        <v>11404</v>
      </c>
      <c r="G28175" s="40" t="s">
        <v>11404</v>
      </c>
      <c r="H28175" s="40" t="s">
        <v>11404</v>
      </c>
    </row>
    <row r="28176">
      <c r="A28176" s="39"/>
      <c r="E28176" s="40" t="s">
        <v>11404</v>
      </c>
      <c r="F28176" s="40" t="s">
        <v>11404</v>
      </c>
      <c r="G28176" s="40" t="s">
        <v>11404</v>
      </c>
      <c r="H28176" s="40" t="s">
        <v>11404</v>
      </c>
    </row>
    <row r="28177">
      <c r="A28177" s="39"/>
      <c r="E28177" s="40" t="s">
        <v>11404</v>
      </c>
      <c r="F28177" s="40" t="s">
        <v>11404</v>
      </c>
      <c r="G28177" s="40" t="s">
        <v>11404</v>
      </c>
      <c r="H28177" s="40" t="s">
        <v>11404</v>
      </c>
    </row>
    <row r="28178">
      <c r="A28178" s="39"/>
      <c r="E28178" s="40" t="s">
        <v>11404</v>
      </c>
      <c r="F28178" s="40" t="s">
        <v>11404</v>
      </c>
      <c r="G28178" s="40" t="s">
        <v>11404</v>
      </c>
      <c r="H28178" s="40" t="s">
        <v>11404</v>
      </c>
    </row>
    <row r="28179">
      <c r="A28179" s="39"/>
      <c r="E28179" s="40" t="s">
        <v>11404</v>
      </c>
      <c r="F28179" s="40" t="s">
        <v>11404</v>
      </c>
      <c r="G28179" s="40" t="s">
        <v>11404</v>
      </c>
      <c r="H28179" s="40" t="s">
        <v>11404</v>
      </c>
    </row>
    <row r="28180">
      <c r="A28180" s="39"/>
      <c r="E28180" s="40" t="s">
        <v>11404</v>
      </c>
      <c r="F28180" s="40" t="s">
        <v>11404</v>
      </c>
      <c r="G28180" s="40" t="s">
        <v>11404</v>
      </c>
      <c r="H28180" s="40" t="s">
        <v>11404</v>
      </c>
    </row>
    <row r="28181">
      <c r="A28181" s="39"/>
      <c r="E28181" s="40" t="s">
        <v>11404</v>
      </c>
      <c r="F28181" s="40" t="s">
        <v>11404</v>
      </c>
      <c r="G28181" s="40" t="s">
        <v>11404</v>
      </c>
      <c r="H28181" s="40" t="s">
        <v>11404</v>
      </c>
    </row>
    <row r="28182">
      <c r="A28182" s="39"/>
      <c r="E28182" s="40" t="s">
        <v>11404</v>
      </c>
      <c r="F28182" s="40" t="s">
        <v>11404</v>
      </c>
      <c r="G28182" s="40" t="s">
        <v>11404</v>
      </c>
      <c r="H28182" s="40" t="s">
        <v>11404</v>
      </c>
    </row>
    <row r="28183">
      <c r="A28183" s="39"/>
      <c r="E28183" s="40" t="s">
        <v>11404</v>
      </c>
      <c r="F28183" s="40" t="s">
        <v>11404</v>
      </c>
      <c r="G28183" s="40" t="s">
        <v>11404</v>
      </c>
      <c r="H28183" s="40" t="s">
        <v>11404</v>
      </c>
    </row>
    <row r="28184">
      <c r="A28184" s="39"/>
      <c r="E28184" s="40" t="s">
        <v>11404</v>
      </c>
      <c r="F28184" s="40" t="s">
        <v>11404</v>
      </c>
      <c r="G28184" s="40" t="s">
        <v>11404</v>
      </c>
      <c r="H28184" s="40" t="s">
        <v>11404</v>
      </c>
    </row>
    <row r="28185">
      <c r="A28185" s="39"/>
      <c r="E28185" s="40" t="s">
        <v>11404</v>
      </c>
      <c r="F28185" s="40" t="s">
        <v>11404</v>
      </c>
      <c r="G28185" s="40" t="s">
        <v>11404</v>
      </c>
      <c r="H28185" s="40" t="s">
        <v>11404</v>
      </c>
    </row>
    <row r="28186">
      <c r="A28186" s="39"/>
      <c r="E28186" s="40" t="s">
        <v>11404</v>
      </c>
      <c r="F28186" s="40" t="s">
        <v>11404</v>
      </c>
      <c r="G28186" s="40" t="s">
        <v>11404</v>
      </c>
      <c r="H28186" s="40" t="s">
        <v>11404</v>
      </c>
    </row>
    <row r="28187">
      <c r="A28187" s="39"/>
      <c r="E28187" s="40" t="s">
        <v>11404</v>
      </c>
      <c r="F28187" s="40" t="s">
        <v>11404</v>
      </c>
      <c r="G28187" s="40" t="s">
        <v>11404</v>
      </c>
      <c r="H28187" s="40" t="s">
        <v>11404</v>
      </c>
    </row>
    <row r="28188">
      <c r="A28188" s="39"/>
      <c r="E28188" s="40" t="s">
        <v>11404</v>
      </c>
      <c r="F28188" s="40" t="s">
        <v>11404</v>
      </c>
      <c r="G28188" s="40" t="s">
        <v>11404</v>
      </c>
      <c r="H28188" s="40" t="s">
        <v>11404</v>
      </c>
    </row>
    <row r="28189">
      <c r="A28189" s="39"/>
      <c r="E28189" s="40" t="s">
        <v>11404</v>
      </c>
      <c r="F28189" s="40" t="s">
        <v>11404</v>
      </c>
      <c r="G28189" s="40" t="s">
        <v>11404</v>
      </c>
      <c r="H28189" s="40" t="s">
        <v>11404</v>
      </c>
    </row>
    <row r="28190">
      <c r="A28190" s="39"/>
      <c r="E28190" s="40" t="s">
        <v>11404</v>
      </c>
      <c r="F28190" s="40" t="s">
        <v>11404</v>
      </c>
      <c r="G28190" s="40" t="s">
        <v>11404</v>
      </c>
      <c r="H28190" s="40" t="s">
        <v>11404</v>
      </c>
    </row>
    <row r="28191">
      <c r="A28191" s="39"/>
      <c r="E28191" s="40" t="s">
        <v>11404</v>
      </c>
      <c r="F28191" s="40" t="s">
        <v>11404</v>
      </c>
      <c r="G28191" s="40" t="s">
        <v>11404</v>
      </c>
      <c r="H28191" s="40" t="s">
        <v>11404</v>
      </c>
    </row>
    <row r="28192">
      <c r="A28192" s="39"/>
      <c r="E28192" s="40" t="s">
        <v>11404</v>
      </c>
      <c r="F28192" s="40" t="s">
        <v>11404</v>
      </c>
      <c r="G28192" s="40" t="s">
        <v>11404</v>
      </c>
      <c r="H28192" s="40" t="s">
        <v>11404</v>
      </c>
    </row>
    <row r="28193">
      <c r="A28193" s="39"/>
      <c r="E28193" s="40" t="s">
        <v>11404</v>
      </c>
      <c r="F28193" s="40" t="s">
        <v>11404</v>
      </c>
      <c r="G28193" s="40" t="s">
        <v>11404</v>
      </c>
      <c r="H28193" s="40" t="s">
        <v>11404</v>
      </c>
    </row>
    <row r="28194">
      <c r="A28194" s="39"/>
      <c r="E28194" s="40" t="s">
        <v>11404</v>
      </c>
      <c r="F28194" s="40" t="s">
        <v>11404</v>
      </c>
      <c r="G28194" s="40" t="s">
        <v>11404</v>
      </c>
      <c r="H28194" s="40" t="s">
        <v>11404</v>
      </c>
    </row>
    <row r="28195">
      <c r="A28195" s="39"/>
      <c r="E28195" s="40" t="s">
        <v>11404</v>
      </c>
      <c r="F28195" s="40" t="s">
        <v>11404</v>
      </c>
      <c r="G28195" s="40" t="s">
        <v>11404</v>
      </c>
      <c r="H28195" s="40" t="s">
        <v>11404</v>
      </c>
    </row>
    <row r="28196">
      <c r="A28196" s="39"/>
      <c r="E28196" s="40" t="s">
        <v>11404</v>
      </c>
      <c r="F28196" s="40" t="s">
        <v>11404</v>
      </c>
      <c r="G28196" s="40" t="s">
        <v>11404</v>
      </c>
      <c r="H28196" s="40" t="s">
        <v>11404</v>
      </c>
    </row>
    <row r="28197">
      <c r="A28197" s="39"/>
      <c r="E28197" s="40" t="s">
        <v>11404</v>
      </c>
      <c r="F28197" s="40" t="s">
        <v>11404</v>
      </c>
      <c r="G28197" s="40" t="s">
        <v>11404</v>
      </c>
      <c r="H28197" s="40" t="s">
        <v>11404</v>
      </c>
    </row>
    <row r="28198">
      <c r="A28198" s="39"/>
      <c r="E28198" s="40" t="s">
        <v>11404</v>
      </c>
      <c r="F28198" s="40" t="s">
        <v>11404</v>
      </c>
      <c r="G28198" s="40" t="s">
        <v>11404</v>
      </c>
      <c r="H28198" s="40" t="s">
        <v>11404</v>
      </c>
    </row>
    <row r="28199">
      <c r="A28199" s="39"/>
      <c r="E28199" s="40" t="s">
        <v>11404</v>
      </c>
      <c r="F28199" s="40" t="s">
        <v>11404</v>
      </c>
      <c r="G28199" s="40" t="s">
        <v>11404</v>
      </c>
      <c r="H28199" s="40" t="s">
        <v>11404</v>
      </c>
    </row>
    <row r="28200">
      <c r="A28200" s="39"/>
      <c r="E28200" s="40" t="s">
        <v>11404</v>
      </c>
      <c r="F28200" s="40" t="s">
        <v>11404</v>
      </c>
      <c r="G28200" s="40" t="s">
        <v>11404</v>
      </c>
      <c r="H28200" s="40" t="s">
        <v>11404</v>
      </c>
    </row>
    <row r="28201">
      <c r="A28201" s="39"/>
      <c r="E28201" s="40" t="s">
        <v>11404</v>
      </c>
      <c r="F28201" s="40" t="s">
        <v>11404</v>
      </c>
      <c r="G28201" s="40" t="s">
        <v>11404</v>
      </c>
      <c r="H28201" s="40" t="s">
        <v>11404</v>
      </c>
    </row>
    <row r="28202">
      <c r="A28202" s="39"/>
      <c r="E28202" s="40" t="s">
        <v>11404</v>
      </c>
      <c r="F28202" s="40" t="s">
        <v>11404</v>
      </c>
      <c r="G28202" s="40" t="s">
        <v>11404</v>
      </c>
      <c r="H28202" s="40" t="s">
        <v>11404</v>
      </c>
    </row>
    <row r="28203">
      <c r="A28203" s="39"/>
      <c r="E28203" s="40" t="s">
        <v>11404</v>
      </c>
      <c r="F28203" s="40" t="s">
        <v>11404</v>
      </c>
      <c r="G28203" s="40" t="s">
        <v>11404</v>
      </c>
      <c r="H28203" s="40" t="s">
        <v>11404</v>
      </c>
    </row>
    <row r="28204">
      <c r="A28204" s="39"/>
      <c r="E28204" s="40" t="s">
        <v>11404</v>
      </c>
      <c r="F28204" s="40" t="s">
        <v>11404</v>
      </c>
      <c r="G28204" s="40" t="s">
        <v>11404</v>
      </c>
      <c r="H28204" s="40" t="s">
        <v>11404</v>
      </c>
    </row>
    <row r="28205">
      <c r="A28205" s="39"/>
      <c r="E28205" s="40" t="s">
        <v>11404</v>
      </c>
      <c r="F28205" s="40" t="s">
        <v>11404</v>
      </c>
      <c r="G28205" s="40" t="s">
        <v>11404</v>
      </c>
      <c r="H28205" s="40" t="s">
        <v>11404</v>
      </c>
    </row>
    <row r="28206">
      <c r="A28206" s="39"/>
      <c r="E28206" s="40" t="s">
        <v>11404</v>
      </c>
      <c r="F28206" s="40" t="s">
        <v>11404</v>
      </c>
      <c r="G28206" s="40" t="s">
        <v>11404</v>
      </c>
      <c r="H28206" s="40" t="s">
        <v>11404</v>
      </c>
    </row>
    <row r="28207">
      <c r="A28207" s="39"/>
      <c r="E28207" s="40" t="s">
        <v>11404</v>
      </c>
      <c r="F28207" s="40" t="s">
        <v>11404</v>
      </c>
      <c r="G28207" s="40" t="s">
        <v>11404</v>
      </c>
      <c r="H28207" s="40" t="s">
        <v>11404</v>
      </c>
    </row>
    <row r="28208">
      <c r="A28208" s="39"/>
      <c r="E28208" s="40" t="s">
        <v>11404</v>
      </c>
      <c r="F28208" s="40" t="s">
        <v>11404</v>
      </c>
      <c r="G28208" s="40" t="s">
        <v>11404</v>
      </c>
      <c r="H28208" s="40" t="s">
        <v>11404</v>
      </c>
    </row>
    <row r="28209">
      <c r="A28209" s="39"/>
      <c r="E28209" s="40" t="s">
        <v>11404</v>
      </c>
      <c r="F28209" s="40" t="s">
        <v>11404</v>
      </c>
      <c r="G28209" s="40" t="s">
        <v>11404</v>
      </c>
      <c r="H28209" s="40" t="s">
        <v>11404</v>
      </c>
    </row>
    <row r="28210">
      <c r="A28210" s="39"/>
      <c r="E28210" s="40" t="s">
        <v>11404</v>
      </c>
      <c r="F28210" s="40" t="s">
        <v>11404</v>
      </c>
      <c r="G28210" s="40" t="s">
        <v>11404</v>
      </c>
      <c r="H28210" s="40" t="s">
        <v>11404</v>
      </c>
    </row>
    <row r="28211">
      <c r="A28211" s="39"/>
      <c r="E28211" s="40" t="s">
        <v>11404</v>
      </c>
      <c r="F28211" s="40" t="s">
        <v>11404</v>
      </c>
      <c r="G28211" s="40" t="s">
        <v>11404</v>
      </c>
      <c r="H28211" s="40" t="s">
        <v>11404</v>
      </c>
    </row>
    <row r="28212">
      <c r="A28212" s="39"/>
      <c r="E28212" s="40" t="s">
        <v>11404</v>
      </c>
      <c r="F28212" s="40" t="s">
        <v>11404</v>
      </c>
      <c r="G28212" s="40" t="s">
        <v>11404</v>
      </c>
      <c r="H28212" s="40" t="s">
        <v>11404</v>
      </c>
    </row>
    <row r="28213">
      <c r="A28213" s="39"/>
      <c r="E28213" s="40" t="s">
        <v>11404</v>
      </c>
      <c r="F28213" s="40" t="s">
        <v>11404</v>
      </c>
      <c r="G28213" s="40" t="s">
        <v>11404</v>
      </c>
      <c r="H28213" s="40" t="s">
        <v>11404</v>
      </c>
    </row>
    <row r="28214">
      <c r="A28214" s="39"/>
      <c r="E28214" s="40" t="s">
        <v>11404</v>
      </c>
      <c r="F28214" s="40" t="s">
        <v>11404</v>
      </c>
      <c r="G28214" s="40" t="s">
        <v>11404</v>
      </c>
      <c r="H28214" s="40" t="s">
        <v>11404</v>
      </c>
    </row>
    <row r="28215">
      <c r="A28215" s="39"/>
      <c r="E28215" s="40" t="s">
        <v>11404</v>
      </c>
      <c r="F28215" s="40" t="s">
        <v>11404</v>
      </c>
      <c r="G28215" s="40" t="s">
        <v>11404</v>
      </c>
      <c r="H28215" s="40" t="s">
        <v>11404</v>
      </c>
    </row>
    <row r="28216">
      <c r="A28216" s="39"/>
      <c r="E28216" s="40" t="s">
        <v>11404</v>
      </c>
      <c r="F28216" s="40" t="s">
        <v>11404</v>
      </c>
      <c r="G28216" s="40" t="s">
        <v>11404</v>
      </c>
      <c r="H28216" s="40" t="s">
        <v>11404</v>
      </c>
    </row>
    <row r="28217">
      <c r="A28217" s="39"/>
      <c r="E28217" s="40" t="s">
        <v>11404</v>
      </c>
      <c r="F28217" s="40" t="s">
        <v>11404</v>
      </c>
      <c r="G28217" s="40" t="s">
        <v>11404</v>
      </c>
      <c r="H28217" s="40" t="s">
        <v>11404</v>
      </c>
    </row>
    <row r="28218">
      <c r="A28218" s="39"/>
      <c r="E28218" s="40" t="s">
        <v>11404</v>
      </c>
      <c r="F28218" s="40" t="s">
        <v>11404</v>
      </c>
      <c r="G28218" s="40" t="s">
        <v>11404</v>
      </c>
      <c r="H28218" s="40" t="s">
        <v>11404</v>
      </c>
    </row>
    <row r="28219">
      <c r="A28219" s="39"/>
      <c r="E28219" s="40" t="s">
        <v>11404</v>
      </c>
      <c r="F28219" s="40" t="s">
        <v>11404</v>
      </c>
      <c r="G28219" s="40" t="s">
        <v>11404</v>
      </c>
      <c r="H28219" s="40" t="s">
        <v>11404</v>
      </c>
    </row>
    <row r="28220">
      <c r="A28220" s="39"/>
      <c r="E28220" s="40" t="s">
        <v>11404</v>
      </c>
      <c r="F28220" s="40" t="s">
        <v>11404</v>
      </c>
      <c r="G28220" s="40" t="s">
        <v>11404</v>
      </c>
      <c r="H28220" s="40" t="s">
        <v>11404</v>
      </c>
    </row>
    <row r="28221">
      <c r="A28221" s="39"/>
      <c r="E28221" s="40" t="s">
        <v>11404</v>
      </c>
      <c r="F28221" s="40" t="s">
        <v>11404</v>
      </c>
      <c r="G28221" s="40" t="s">
        <v>11404</v>
      </c>
      <c r="H28221" s="40" t="s">
        <v>11404</v>
      </c>
    </row>
    <row r="28222">
      <c r="A28222" s="39"/>
      <c r="E28222" s="40" t="s">
        <v>11404</v>
      </c>
      <c r="F28222" s="40" t="s">
        <v>11404</v>
      </c>
      <c r="G28222" s="40" t="s">
        <v>11404</v>
      </c>
      <c r="H28222" s="40" t="s">
        <v>11404</v>
      </c>
    </row>
    <row r="28223">
      <c r="A28223" s="39"/>
      <c r="E28223" s="40" t="s">
        <v>11404</v>
      </c>
      <c r="F28223" s="40" t="s">
        <v>11404</v>
      </c>
      <c r="G28223" s="40" t="s">
        <v>11404</v>
      </c>
      <c r="H28223" s="40" t="s">
        <v>11404</v>
      </c>
    </row>
    <row r="28224">
      <c r="A28224" s="39"/>
      <c r="E28224" s="40" t="s">
        <v>11404</v>
      </c>
      <c r="F28224" s="40" t="s">
        <v>11404</v>
      </c>
      <c r="G28224" s="40" t="s">
        <v>11404</v>
      </c>
      <c r="H28224" s="40" t="s">
        <v>11404</v>
      </c>
    </row>
    <row r="28225">
      <c r="A28225" s="39"/>
      <c r="E28225" s="40" t="s">
        <v>11404</v>
      </c>
      <c r="F28225" s="40" t="s">
        <v>11404</v>
      </c>
      <c r="G28225" s="40" t="s">
        <v>11404</v>
      </c>
      <c r="H28225" s="40" t="s">
        <v>11404</v>
      </c>
    </row>
    <row r="28226">
      <c r="A28226" s="39"/>
      <c r="E28226" s="40" t="s">
        <v>11404</v>
      </c>
      <c r="F28226" s="40" t="s">
        <v>11404</v>
      </c>
      <c r="G28226" s="40" t="s">
        <v>11404</v>
      </c>
      <c r="H28226" s="40" t="s">
        <v>11404</v>
      </c>
    </row>
    <row r="28227">
      <c r="A28227" s="39"/>
      <c r="E28227" s="40" t="s">
        <v>11404</v>
      </c>
      <c r="F28227" s="40" t="s">
        <v>11404</v>
      </c>
      <c r="G28227" s="40" t="s">
        <v>11404</v>
      </c>
      <c r="H28227" s="40" t="s">
        <v>11404</v>
      </c>
    </row>
    <row r="28228">
      <c r="A28228" s="39"/>
      <c r="E28228" s="40" t="s">
        <v>11404</v>
      </c>
      <c r="F28228" s="40" t="s">
        <v>11404</v>
      </c>
      <c r="G28228" s="40" t="s">
        <v>11404</v>
      </c>
      <c r="H28228" s="40" t="s">
        <v>11404</v>
      </c>
    </row>
    <row r="28229">
      <c r="A28229" s="39"/>
      <c r="E28229" s="40" t="s">
        <v>11404</v>
      </c>
      <c r="F28229" s="40" t="s">
        <v>11404</v>
      </c>
      <c r="G28229" s="40" t="s">
        <v>11404</v>
      </c>
      <c r="H28229" s="40" t="s">
        <v>11404</v>
      </c>
    </row>
    <row r="28230">
      <c r="A28230" s="39"/>
      <c r="E28230" s="40" t="s">
        <v>11404</v>
      </c>
      <c r="F28230" s="40" t="s">
        <v>11404</v>
      </c>
      <c r="G28230" s="40" t="s">
        <v>11404</v>
      </c>
      <c r="H28230" s="40" t="s">
        <v>11404</v>
      </c>
    </row>
    <row r="28231">
      <c r="A28231" s="39"/>
      <c r="E28231" s="40" t="s">
        <v>11404</v>
      </c>
      <c r="F28231" s="40" t="s">
        <v>11404</v>
      </c>
      <c r="G28231" s="40" t="s">
        <v>11404</v>
      </c>
      <c r="H28231" s="40" t="s">
        <v>11404</v>
      </c>
    </row>
    <row r="28232">
      <c r="A28232" s="39"/>
      <c r="E28232" s="40" t="s">
        <v>11404</v>
      </c>
      <c r="F28232" s="40" t="s">
        <v>11404</v>
      </c>
      <c r="G28232" s="40" t="s">
        <v>11404</v>
      </c>
      <c r="H28232" s="40" t="s">
        <v>11404</v>
      </c>
    </row>
    <row r="28233">
      <c r="A28233" s="39"/>
      <c r="E28233" s="40" t="s">
        <v>11404</v>
      </c>
      <c r="F28233" s="40" t="s">
        <v>11404</v>
      </c>
      <c r="G28233" s="40" t="s">
        <v>11404</v>
      </c>
      <c r="H28233" s="40" t="s">
        <v>11404</v>
      </c>
    </row>
    <row r="28234">
      <c r="A28234" s="39"/>
      <c r="E28234" s="40" t="s">
        <v>11404</v>
      </c>
      <c r="F28234" s="40" t="s">
        <v>11404</v>
      </c>
      <c r="G28234" s="40" t="s">
        <v>11404</v>
      </c>
      <c r="H28234" s="40" t="s">
        <v>11404</v>
      </c>
    </row>
    <row r="28235">
      <c r="A28235" s="39"/>
      <c r="E28235" s="40" t="s">
        <v>11404</v>
      </c>
      <c r="F28235" s="40" t="s">
        <v>11404</v>
      </c>
      <c r="G28235" s="40" t="s">
        <v>11404</v>
      </c>
      <c r="H28235" s="40" t="s">
        <v>11404</v>
      </c>
    </row>
    <row r="28236">
      <c r="A28236" s="39"/>
      <c r="E28236" s="40" t="s">
        <v>11404</v>
      </c>
      <c r="F28236" s="40" t="s">
        <v>11404</v>
      </c>
      <c r="G28236" s="40" t="s">
        <v>11404</v>
      </c>
      <c r="H28236" s="40" t="s">
        <v>11404</v>
      </c>
    </row>
    <row r="28237">
      <c r="A28237" s="39"/>
      <c r="E28237" s="40" t="s">
        <v>11404</v>
      </c>
      <c r="F28237" s="40" t="s">
        <v>11404</v>
      </c>
      <c r="G28237" s="40" t="s">
        <v>11404</v>
      </c>
      <c r="H28237" s="40" t="s">
        <v>11404</v>
      </c>
    </row>
    <row r="28238">
      <c r="A28238" s="39"/>
      <c r="E28238" s="40" t="s">
        <v>11404</v>
      </c>
      <c r="F28238" s="40" t="s">
        <v>11404</v>
      </c>
      <c r="G28238" s="40" t="s">
        <v>11404</v>
      </c>
      <c r="H28238" s="40" t="s">
        <v>11404</v>
      </c>
    </row>
    <row r="28239">
      <c r="A28239" s="39"/>
      <c r="E28239" s="40" t="s">
        <v>11404</v>
      </c>
      <c r="F28239" s="40" t="s">
        <v>11404</v>
      </c>
      <c r="G28239" s="40" t="s">
        <v>11404</v>
      </c>
      <c r="H28239" s="40" t="s">
        <v>11404</v>
      </c>
    </row>
    <row r="28240">
      <c r="A28240" s="39"/>
      <c r="E28240" s="40" t="s">
        <v>11404</v>
      </c>
      <c r="F28240" s="40" t="s">
        <v>11404</v>
      </c>
      <c r="G28240" s="40" t="s">
        <v>11404</v>
      </c>
      <c r="H28240" s="40" t="s">
        <v>11404</v>
      </c>
    </row>
    <row r="28241">
      <c r="A28241" s="39"/>
      <c r="E28241" s="40" t="s">
        <v>11404</v>
      </c>
      <c r="F28241" s="40" t="s">
        <v>11404</v>
      </c>
      <c r="G28241" s="40" t="s">
        <v>11404</v>
      </c>
      <c r="H28241" s="40" t="s">
        <v>11404</v>
      </c>
    </row>
    <row r="28242">
      <c r="A28242" s="39"/>
      <c r="E28242" s="40" t="s">
        <v>11404</v>
      </c>
      <c r="F28242" s="40" t="s">
        <v>11404</v>
      </c>
      <c r="G28242" s="40" t="s">
        <v>11404</v>
      </c>
      <c r="H28242" s="40" t="s">
        <v>11404</v>
      </c>
    </row>
    <row r="28243">
      <c r="A28243" s="39"/>
      <c r="E28243" s="40" t="s">
        <v>11404</v>
      </c>
      <c r="F28243" s="40" t="s">
        <v>11404</v>
      </c>
      <c r="G28243" s="40" t="s">
        <v>11404</v>
      </c>
      <c r="H28243" s="40" t="s">
        <v>11404</v>
      </c>
    </row>
    <row r="28244">
      <c r="A28244" s="39"/>
      <c r="E28244" s="40" t="s">
        <v>11404</v>
      </c>
      <c r="F28244" s="40" t="s">
        <v>11404</v>
      </c>
      <c r="G28244" s="40" t="s">
        <v>11404</v>
      </c>
      <c r="H28244" s="40" t="s">
        <v>11404</v>
      </c>
    </row>
    <row r="28245">
      <c r="A28245" s="39"/>
      <c r="E28245" s="40" t="s">
        <v>11404</v>
      </c>
      <c r="F28245" s="40" t="s">
        <v>11404</v>
      </c>
      <c r="G28245" s="40" t="s">
        <v>11404</v>
      </c>
      <c r="H28245" s="40" t="s">
        <v>11404</v>
      </c>
    </row>
    <row r="28246">
      <c r="A28246" s="39"/>
      <c r="E28246" s="40" t="s">
        <v>11404</v>
      </c>
      <c r="F28246" s="40" t="s">
        <v>11404</v>
      </c>
      <c r="G28246" s="40" t="s">
        <v>11404</v>
      </c>
      <c r="H28246" s="40" t="s">
        <v>11404</v>
      </c>
    </row>
    <row r="28247">
      <c r="A28247" s="39"/>
      <c r="E28247" s="40" t="s">
        <v>11404</v>
      </c>
      <c r="F28247" s="40" t="s">
        <v>11404</v>
      </c>
      <c r="G28247" s="40" t="s">
        <v>11404</v>
      </c>
      <c r="H28247" s="40" t="s">
        <v>11404</v>
      </c>
    </row>
    <row r="28248">
      <c r="A28248" s="39"/>
      <c r="E28248" s="40" t="s">
        <v>11404</v>
      </c>
      <c r="F28248" s="40" t="s">
        <v>11404</v>
      </c>
      <c r="G28248" s="40" t="s">
        <v>11404</v>
      </c>
      <c r="H28248" s="40" t="s">
        <v>11404</v>
      </c>
    </row>
    <row r="28249">
      <c r="A28249" s="39"/>
      <c r="E28249" s="40" t="s">
        <v>11404</v>
      </c>
      <c r="F28249" s="40" t="s">
        <v>11404</v>
      </c>
      <c r="G28249" s="40" t="s">
        <v>11404</v>
      </c>
      <c r="H28249" s="40" t="s">
        <v>11404</v>
      </c>
    </row>
    <row r="28250">
      <c r="A28250" s="39"/>
      <c r="E28250" s="40" t="s">
        <v>11404</v>
      </c>
      <c r="F28250" s="40" t="s">
        <v>11404</v>
      </c>
      <c r="G28250" s="40" t="s">
        <v>11404</v>
      </c>
      <c r="H28250" s="40" t="s">
        <v>11404</v>
      </c>
    </row>
    <row r="28251">
      <c r="A28251" s="39"/>
      <c r="E28251" s="40" t="s">
        <v>11404</v>
      </c>
      <c r="F28251" s="40" t="s">
        <v>11404</v>
      </c>
      <c r="G28251" s="40" t="s">
        <v>11404</v>
      </c>
      <c r="H28251" s="40" t="s">
        <v>11404</v>
      </c>
    </row>
    <row r="28252">
      <c r="A28252" s="39"/>
      <c r="E28252" s="40" t="s">
        <v>11404</v>
      </c>
      <c r="F28252" s="40" t="s">
        <v>11404</v>
      </c>
      <c r="G28252" s="40" t="s">
        <v>11404</v>
      </c>
      <c r="H28252" s="40" t="s">
        <v>11404</v>
      </c>
    </row>
    <row r="28253">
      <c r="A28253" s="39"/>
      <c r="E28253" s="40" t="s">
        <v>11404</v>
      </c>
      <c r="F28253" s="40" t="s">
        <v>11404</v>
      </c>
      <c r="G28253" s="40" t="s">
        <v>11404</v>
      </c>
      <c r="H28253" s="40" t="s">
        <v>11404</v>
      </c>
    </row>
    <row r="28254">
      <c r="A28254" s="39"/>
      <c r="E28254" s="40" t="s">
        <v>11404</v>
      </c>
      <c r="F28254" s="40" t="s">
        <v>11404</v>
      </c>
      <c r="G28254" s="40" t="s">
        <v>11404</v>
      </c>
      <c r="H28254" s="40" t="s">
        <v>11404</v>
      </c>
    </row>
    <row r="28255">
      <c r="A28255" s="39"/>
      <c r="E28255" s="40" t="s">
        <v>11404</v>
      </c>
      <c r="F28255" s="40" t="s">
        <v>11404</v>
      </c>
      <c r="G28255" s="40" t="s">
        <v>11404</v>
      </c>
      <c r="H28255" s="40" t="s">
        <v>11404</v>
      </c>
    </row>
    <row r="28256">
      <c r="A28256" s="39"/>
      <c r="E28256" s="40" t="s">
        <v>11404</v>
      </c>
      <c r="F28256" s="40" t="s">
        <v>11404</v>
      </c>
      <c r="G28256" s="40" t="s">
        <v>11404</v>
      </c>
      <c r="H28256" s="40" t="s">
        <v>11404</v>
      </c>
    </row>
    <row r="28257">
      <c r="A28257" s="39"/>
      <c r="E28257" s="40" t="s">
        <v>11404</v>
      </c>
      <c r="F28257" s="40" t="s">
        <v>11404</v>
      </c>
      <c r="G28257" s="40" t="s">
        <v>11404</v>
      </c>
      <c r="H28257" s="40" t="s">
        <v>11404</v>
      </c>
    </row>
    <row r="28258">
      <c r="A28258" s="39"/>
      <c r="E28258" s="40" t="s">
        <v>11404</v>
      </c>
      <c r="F28258" s="40" t="s">
        <v>11404</v>
      </c>
      <c r="G28258" s="40" t="s">
        <v>11404</v>
      </c>
      <c r="H28258" s="40" t="s">
        <v>11404</v>
      </c>
    </row>
    <row r="28259">
      <c r="A28259" s="39"/>
      <c r="E28259" s="40" t="s">
        <v>11404</v>
      </c>
      <c r="F28259" s="40" t="s">
        <v>11404</v>
      </c>
      <c r="G28259" s="40" t="s">
        <v>11404</v>
      </c>
      <c r="H28259" s="40" t="s">
        <v>11404</v>
      </c>
    </row>
    <row r="28260">
      <c r="A28260" s="39"/>
      <c r="E28260" s="40" t="s">
        <v>11404</v>
      </c>
      <c r="F28260" s="40" t="s">
        <v>11404</v>
      </c>
      <c r="G28260" s="40" t="s">
        <v>11404</v>
      </c>
      <c r="H28260" s="40" t="s">
        <v>11404</v>
      </c>
    </row>
    <row r="28261">
      <c r="A28261" s="39"/>
      <c r="E28261" s="40" t="s">
        <v>11404</v>
      </c>
      <c r="F28261" s="40" t="s">
        <v>11404</v>
      </c>
      <c r="G28261" s="40" t="s">
        <v>11404</v>
      </c>
      <c r="H28261" s="40" t="s">
        <v>11404</v>
      </c>
    </row>
    <row r="28262">
      <c r="A28262" s="39"/>
      <c r="E28262" s="40" t="s">
        <v>11404</v>
      </c>
      <c r="F28262" s="40" t="s">
        <v>11404</v>
      </c>
      <c r="G28262" s="40" t="s">
        <v>11404</v>
      </c>
      <c r="H28262" s="40" t="s">
        <v>11404</v>
      </c>
    </row>
    <row r="28263">
      <c r="A28263" s="39"/>
      <c r="E28263" s="40" t="s">
        <v>11404</v>
      </c>
      <c r="F28263" s="40" t="s">
        <v>11404</v>
      </c>
      <c r="G28263" s="40" t="s">
        <v>11404</v>
      </c>
      <c r="H28263" s="40" t="s">
        <v>11404</v>
      </c>
    </row>
    <row r="28264">
      <c r="A28264" s="39"/>
      <c r="E28264" s="40" t="s">
        <v>11404</v>
      </c>
      <c r="F28264" s="40" t="s">
        <v>11404</v>
      </c>
      <c r="G28264" s="40" t="s">
        <v>11404</v>
      </c>
      <c r="H28264" s="40" t="s">
        <v>11404</v>
      </c>
    </row>
    <row r="28265">
      <c r="A28265" s="39"/>
      <c r="E28265" s="40" t="s">
        <v>11404</v>
      </c>
      <c r="F28265" s="40" t="s">
        <v>11404</v>
      </c>
      <c r="G28265" s="40" t="s">
        <v>11404</v>
      </c>
      <c r="H28265" s="40" t="s">
        <v>11404</v>
      </c>
    </row>
    <row r="28266">
      <c r="A28266" s="39"/>
      <c r="E28266" s="40" t="s">
        <v>11404</v>
      </c>
      <c r="F28266" s="40" t="s">
        <v>11404</v>
      </c>
      <c r="G28266" s="40" t="s">
        <v>11404</v>
      </c>
      <c r="H28266" s="40" t="s">
        <v>11404</v>
      </c>
    </row>
    <row r="28267">
      <c r="A28267" s="39"/>
      <c r="E28267" s="40" t="s">
        <v>11404</v>
      </c>
      <c r="F28267" s="40" t="s">
        <v>11404</v>
      </c>
      <c r="G28267" s="40" t="s">
        <v>11404</v>
      </c>
      <c r="H28267" s="40" t="s">
        <v>11404</v>
      </c>
    </row>
    <row r="28268">
      <c r="A28268" s="39"/>
      <c r="E28268" s="40" t="s">
        <v>11404</v>
      </c>
      <c r="F28268" s="40" t="s">
        <v>11404</v>
      </c>
      <c r="G28268" s="40" t="s">
        <v>11404</v>
      </c>
      <c r="H28268" s="40" t="s">
        <v>11404</v>
      </c>
    </row>
    <row r="28269">
      <c r="A28269" s="39"/>
      <c r="E28269" s="40" t="s">
        <v>11404</v>
      </c>
      <c r="F28269" s="40" t="s">
        <v>11404</v>
      </c>
      <c r="G28269" s="40" t="s">
        <v>11404</v>
      </c>
      <c r="H28269" s="40" t="s">
        <v>11404</v>
      </c>
    </row>
    <row r="28270">
      <c r="A28270" s="39"/>
      <c r="E28270" s="40" t="s">
        <v>11404</v>
      </c>
      <c r="F28270" s="40" t="s">
        <v>11404</v>
      </c>
      <c r="G28270" s="40" t="s">
        <v>11404</v>
      </c>
      <c r="H28270" s="40" t="s">
        <v>11404</v>
      </c>
    </row>
    <row r="28271">
      <c r="A28271" s="39"/>
      <c r="E28271" s="40" t="s">
        <v>11404</v>
      </c>
      <c r="F28271" s="40" t="s">
        <v>11404</v>
      </c>
      <c r="G28271" s="40" t="s">
        <v>11404</v>
      </c>
      <c r="H28271" s="40" t="s">
        <v>11404</v>
      </c>
    </row>
    <row r="28272">
      <c r="A28272" s="39"/>
      <c r="E28272" s="40" t="s">
        <v>11404</v>
      </c>
      <c r="F28272" s="40" t="s">
        <v>11404</v>
      </c>
      <c r="G28272" s="40" t="s">
        <v>11404</v>
      </c>
      <c r="H28272" s="40" t="s">
        <v>11404</v>
      </c>
    </row>
    <row r="28273">
      <c r="A28273" s="39"/>
      <c r="E28273" s="40" t="s">
        <v>11404</v>
      </c>
      <c r="F28273" s="40" t="s">
        <v>11404</v>
      </c>
      <c r="G28273" s="40" t="s">
        <v>11404</v>
      </c>
      <c r="H28273" s="40" t="s">
        <v>11404</v>
      </c>
    </row>
    <row r="28274">
      <c r="A28274" s="39"/>
      <c r="E28274" s="40" t="s">
        <v>11404</v>
      </c>
      <c r="F28274" s="40" t="s">
        <v>11404</v>
      </c>
      <c r="G28274" s="40" t="s">
        <v>11404</v>
      </c>
      <c r="H28274" s="40" t="s">
        <v>11404</v>
      </c>
    </row>
    <row r="28275">
      <c r="A28275" s="39"/>
      <c r="E28275" s="40" t="s">
        <v>11404</v>
      </c>
      <c r="F28275" s="40" t="s">
        <v>11404</v>
      </c>
      <c r="G28275" s="40" t="s">
        <v>11404</v>
      </c>
      <c r="H28275" s="40" t="s">
        <v>11404</v>
      </c>
    </row>
    <row r="28276">
      <c r="A28276" s="39"/>
      <c r="E28276" s="40" t="s">
        <v>11404</v>
      </c>
      <c r="F28276" s="40" t="s">
        <v>11404</v>
      </c>
      <c r="G28276" s="40" t="s">
        <v>11404</v>
      </c>
      <c r="H28276" s="40" t="s">
        <v>11404</v>
      </c>
    </row>
    <row r="28277">
      <c r="A28277" s="39"/>
      <c r="E28277" s="40" t="s">
        <v>11404</v>
      </c>
      <c r="F28277" s="40" t="s">
        <v>11404</v>
      </c>
      <c r="G28277" s="40" t="s">
        <v>11404</v>
      </c>
      <c r="H28277" s="40" t="s">
        <v>11404</v>
      </c>
    </row>
    <row r="28278">
      <c r="A28278" s="39"/>
      <c r="E28278" s="40" t="s">
        <v>11404</v>
      </c>
      <c r="F28278" s="40" t="s">
        <v>11404</v>
      </c>
      <c r="G28278" s="40" t="s">
        <v>11404</v>
      </c>
      <c r="H28278" s="40" t="s">
        <v>11404</v>
      </c>
    </row>
    <row r="28279">
      <c r="A28279" s="39"/>
      <c r="E28279" s="40" t="s">
        <v>11404</v>
      </c>
      <c r="F28279" s="40" t="s">
        <v>11404</v>
      </c>
      <c r="G28279" s="40" t="s">
        <v>11404</v>
      </c>
      <c r="H28279" s="40" t="s">
        <v>11404</v>
      </c>
    </row>
    <row r="28280">
      <c r="A28280" s="39"/>
      <c r="E28280" s="40" t="s">
        <v>11404</v>
      </c>
      <c r="F28280" s="40" t="s">
        <v>11404</v>
      </c>
      <c r="G28280" s="40" t="s">
        <v>11404</v>
      </c>
      <c r="H28280" s="40" t="s">
        <v>11404</v>
      </c>
    </row>
    <row r="28281">
      <c r="A28281" s="39"/>
      <c r="E28281" s="40" t="s">
        <v>11404</v>
      </c>
      <c r="F28281" s="40" t="s">
        <v>11404</v>
      </c>
      <c r="G28281" s="40" t="s">
        <v>11404</v>
      </c>
      <c r="H28281" s="40" t="s">
        <v>11404</v>
      </c>
    </row>
    <row r="28282">
      <c r="A28282" s="39"/>
      <c r="E28282" s="40" t="s">
        <v>11404</v>
      </c>
      <c r="F28282" s="40" t="s">
        <v>11404</v>
      </c>
      <c r="G28282" s="40" t="s">
        <v>11404</v>
      </c>
      <c r="H28282" s="40" t="s">
        <v>11404</v>
      </c>
    </row>
    <row r="28283">
      <c r="A28283" s="39"/>
      <c r="E28283" s="40" t="s">
        <v>11404</v>
      </c>
      <c r="F28283" s="40" t="s">
        <v>11404</v>
      </c>
      <c r="G28283" s="40" t="s">
        <v>11404</v>
      </c>
      <c r="H28283" s="40" t="s">
        <v>11404</v>
      </c>
    </row>
    <row r="28284">
      <c r="A28284" s="39"/>
      <c r="E28284" s="40" t="s">
        <v>11404</v>
      </c>
      <c r="F28284" s="40" t="s">
        <v>11404</v>
      </c>
      <c r="G28284" s="40" t="s">
        <v>11404</v>
      </c>
      <c r="H28284" s="40" t="s">
        <v>11404</v>
      </c>
    </row>
    <row r="28285">
      <c r="A28285" s="39"/>
      <c r="E28285" s="40" t="s">
        <v>11404</v>
      </c>
      <c r="F28285" s="40" t="s">
        <v>11404</v>
      </c>
      <c r="G28285" s="40" t="s">
        <v>11404</v>
      </c>
      <c r="H28285" s="40" t="s">
        <v>11404</v>
      </c>
    </row>
    <row r="28286">
      <c r="A28286" s="39"/>
      <c r="E28286" s="40" t="s">
        <v>11404</v>
      </c>
      <c r="F28286" s="40" t="s">
        <v>11404</v>
      </c>
      <c r="G28286" s="40" t="s">
        <v>11404</v>
      </c>
      <c r="H28286" s="40" t="s">
        <v>11404</v>
      </c>
    </row>
    <row r="28287">
      <c r="A28287" s="39"/>
      <c r="E28287" s="40" t="s">
        <v>11404</v>
      </c>
      <c r="F28287" s="40" t="s">
        <v>11404</v>
      </c>
      <c r="G28287" s="40" t="s">
        <v>11404</v>
      </c>
      <c r="H28287" s="40" t="s">
        <v>11404</v>
      </c>
    </row>
    <row r="28288">
      <c r="A28288" s="39"/>
      <c r="E28288" s="40" t="s">
        <v>11404</v>
      </c>
      <c r="F28288" s="40" t="s">
        <v>11404</v>
      </c>
      <c r="G28288" s="40" t="s">
        <v>11404</v>
      </c>
      <c r="H28288" s="40" t="s">
        <v>11404</v>
      </c>
    </row>
    <row r="28289">
      <c r="A28289" s="39"/>
      <c r="E28289" s="40" t="s">
        <v>11404</v>
      </c>
      <c r="F28289" s="40" t="s">
        <v>11404</v>
      </c>
      <c r="G28289" s="40" t="s">
        <v>11404</v>
      </c>
      <c r="H28289" s="40" t="s">
        <v>11404</v>
      </c>
    </row>
    <row r="28290">
      <c r="A28290" s="39"/>
      <c r="E28290" s="40" t="s">
        <v>11404</v>
      </c>
      <c r="F28290" s="40" t="s">
        <v>11404</v>
      </c>
      <c r="G28290" s="40" t="s">
        <v>11404</v>
      </c>
      <c r="H28290" s="40" t="s">
        <v>11404</v>
      </c>
    </row>
    <row r="28291">
      <c r="A28291" s="39"/>
      <c r="E28291" s="40" t="s">
        <v>11404</v>
      </c>
      <c r="F28291" s="40" t="s">
        <v>11404</v>
      </c>
      <c r="G28291" s="40" t="s">
        <v>11404</v>
      </c>
      <c r="H28291" s="40" t="s">
        <v>11404</v>
      </c>
    </row>
    <row r="28292">
      <c r="A28292" s="39"/>
      <c r="E28292" s="40" t="s">
        <v>11404</v>
      </c>
      <c r="F28292" s="40" t="s">
        <v>11404</v>
      </c>
      <c r="G28292" s="40" t="s">
        <v>11404</v>
      </c>
      <c r="H28292" s="40" t="s">
        <v>11404</v>
      </c>
    </row>
    <row r="28293">
      <c r="A28293" s="39"/>
      <c r="E28293" s="40" t="s">
        <v>11404</v>
      </c>
      <c r="F28293" s="40" t="s">
        <v>11404</v>
      </c>
      <c r="G28293" s="40" t="s">
        <v>11404</v>
      </c>
      <c r="H28293" s="40" t="s">
        <v>11404</v>
      </c>
    </row>
    <row r="28294">
      <c r="A28294" s="39"/>
      <c r="E28294" s="40" t="s">
        <v>11404</v>
      </c>
      <c r="F28294" s="40" t="s">
        <v>11404</v>
      </c>
      <c r="G28294" s="40" t="s">
        <v>11404</v>
      </c>
      <c r="H28294" s="40" t="s">
        <v>11404</v>
      </c>
    </row>
    <row r="28295">
      <c r="A28295" s="39"/>
      <c r="E28295" s="40" t="s">
        <v>11404</v>
      </c>
      <c r="F28295" s="40" t="s">
        <v>11404</v>
      </c>
      <c r="G28295" s="40" t="s">
        <v>11404</v>
      </c>
      <c r="H28295" s="40" t="s">
        <v>11404</v>
      </c>
    </row>
    <row r="28296">
      <c r="A28296" s="39"/>
      <c r="E28296" s="40" t="s">
        <v>11404</v>
      </c>
      <c r="F28296" s="40" t="s">
        <v>11404</v>
      </c>
      <c r="G28296" s="40" t="s">
        <v>11404</v>
      </c>
      <c r="H28296" s="40" t="s">
        <v>11404</v>
      </c>
    </row>
    <row r="28297">
      <c r="A28297" s="39"/>
      <c r="E28297" s="40" t="s">
        <v>11404</v>
      </c>
      <c r="F28297" s="40" t="s">
        <v>11404</v>
      </c>
      <c r="G28297" s="40" t="s">
        <v>11404</v>
      </c>
      <c r="H28297" s="40" t="s">
        <v>11404</v>
      </c>
    </row>
    <row r="28298">
      <c r="A28298" s="39"/>
      <c r="E28298" s="40" t="s">
        <v>11404</v>
      </c>
      <c r="F28298" s="40" t="s">
        <v>11404</v>
      </c>
      <c r="G28298" s="40" t="s">
        <v>11404</v>
      </c>
      <c r="H28298" s="40" t="s">
        <v>11404</v>
      </c>
    </row>
    <row r="28299">
      <c r="A28299" s="39"/>
      <c r="E28299" s="40" t="s">
        <v>11404</v>
      </c>
      <c r="F28299" s="40" t="s">
        <v>11404</v>
      </c>
      <c r="G28299" s="40" t="s">
        <v>11404</v>
      </c>
      <c r="H28299" s="40" t="s">
        <v>11404</v>
      </c>
    </row>
    <row r="28300">
      <c r="A28300" s="39"/>
      <c r="E28300" s="40" t="s">
        <v>11404</v>
      </c>
      <c r="F28300" s="40" t="s">
        <v>11404</v>
      </c>
      <c r="G28300" s="40" t="s">
        <v>11404</v>
      </c>
      <c r="H28300" s="40" t="s">
        <v>11404</v>
      </c>
    </row>
    <row r="28301">
      <c r="A28301" s="39"/>
      <c r="E28301" s="40" t="s">
        <v>11404</v>
      </c>
      <c r="F28301" s="40" t="s">
        <v>11404</v>
      </c>
      <c r="G28301" s="40" t="s">
        <v>11404</v>
      </c>
      <c r="H28301" s="40" t="s">
        <v>11404</v>
      </c>
    </row>
    <row r="28302">
      <c r="A28302" s="39"/>
      <c r="E28302" s="40" t="s">
        <v>11404</v>
      </c>
      <c r="F28302" s="40" t="s">
        <v>11404</v>
      </c>
      <c r="G28302" s="40" t="s">
        <v>11404</v>
      </c>
      <c r="H28302" s="40" t="s">
        <v>11404</v>
      </c>
    </row>
    <row r="28303">
      <c r="A28303" s="39"/>
      <c r="E28303" s="40" t="s">
        <v>11404</v>
      </c>
      <c r="F28303" s="40" t="s">
        <v>11404</v>
      </c>
      <c r="G28303" s="40" t="s">
        <v>11404</v>
      </c>
      <c r="H28303" s="40" t="s">
        <v>11404</v>
      </c>
    </row>
    <row r="28304">
      <c r="A28304" s="39"/>
      <c r="E28304" s="40" t="s">
        <v>11404</v>
      </c>
      <c r="F28304" s="40" t="s">
        <v>11404</v>
      </c>
      <c r="G28304" s="40" t="s">
        <v>11404</v>
      </c>
      <c r="H28304" s="40" t="s">
        <v>11404</v>
      </c>
    </row>
    <row r="28305">
      <c r="A28305" s="39"/>
      <c r="E28305" s="40" t="s">
        <v>11404</v>
      </c>
      <c r="F28305" s="40" t="s">
        <v>11404</v>
      </c>
      <c r="G28305" s="40" t="s">
        <v>11404</v>
      </c>
      <c r="H28305" s="40" t="s">
        <v>11404</v>
      </c>
    </row>
    <row r="28306">
      <c r="A28306" s="39"/>
      <c r="E28306" s="40" t="s">
        <v>11404</v>
      </c>
      <c r="F28306" s="40" t="s">
        <v>11404</v>
      </c>
      <c r="G28306" s="40" t="s">
        <v>11404</v>
      </c>
      <c r="H28306" s="40" t="s">
        <v>11404</v>
      </c>
    </row>
    <row r="28307">
      <c r="A28307" s="39"/>
      <c r="E28307" s="40" t="s">
        <v>11404</v>
      </c>
      <c r="F28307" s="40" t="s">
        <v>11404</v>
      </c>
      <c r="G28307" s="40" t="s">
        <v>11404</v>
      </c>
      <c r="H28307" s="40" t="s">
        <v>11404</v>
      </c>
    </row>
    <row r="28308">
      <c r="A28308" s="39"/>
      <c r="E28308" s="40" t="s">
        <v>11404</v>
      </c>
      <c r="F28308" s="40" t="s">
        <v>11404</v>
      </c>
      <c r="G28308" s="40" t="s">
        <v>11404</v>
      </c>
      <c r="H28308" s="40" t="s">
        <v>11404</v>
      </c>
    </row>
    <row r="28309">
      <c r="A28309" s="39"/>
      <c r="E28309" s="40" t="s">
        <v>11404</v>
      </c>
      <c r="F28309" s="40" t="s">
        <v>11404</v>
      </c>
      <c r="G28309" s="40" t="s">
        <v>11404</v>
      </c>
      <c r="H28309" s="40" t="s">
        <v>11404</v>
      </c>
    </row>
    <row r="28310">
      <c r="A28310" s="39"/>
      <c r="E28310" s="40" t="s">
        <v>11404</v>
      </c>
      <c r="F28310" s="40" t="s">
        <v>11404</v>
      </c>
      <c r="G28310" s="40" t="s">
        <v>11404</v>
      </c>
      <c r="H28310" s="40" t="s">
        <v>11404</v>
      </c>
    </row>
    <row r="28311">
      <c r="A28311" s="39"/>
      <c r="E28311" s="40" t="s">
        <v>11404</v>
      </c>
      <c r="F28311" s="40" t="s">
        <v>11404</v>
      </c>
      <c r="G28311" s="40" t="s">
        <v>11404</v>
      </c>
      <c r="H28311" s="40" t="s">
        <v>11404</v>
      </c>
    </row>
    <row r="28312">
      <c r="A28312" s="39"/>
      <c r="E28312" s="40" t="s">
        <v>11404</v>
      </c>
      <c r="F28312" s="40" t="s">
        <v>11404</v>
      </c>
      <c r="G28312" s="40" t="s">
        <v>11404</v>
      </c>
      <c r="H28312" s="40" t="s">
        <v>11404</v>
      </c>
    </row>
    <row r="28313">
      <c r="A28313" s="39"/>
      <c r="E28313" s="40" t="s">
        <v>11404</v>
      </c>
      <c r="F28313" s="40" t="s">
        <v>11404</v>
      </c>
      <c r="G28313" s="40" t="s">
        <v>11404</v>
      </c>
      <c r="H28313" s="40" t="s">
        <v>11404</v>
      </c>
    </row>
    <row r="28314">
      <c r="A28314" s="39"/>
      <c r="E28314" s="40" t="s">
        <v>11404</v>
      </c>
      <c r="F28314" s="40" t="s">
        <v>11404</v>
      </c>
      <c r="G28314" s="40" t="s">
        <v>11404</v>
      </c>
      <c r="H28314" s="40" t="s">
        <v>11404</v>
      </c>
    </row>
    <row r="28315">
      <c r="A28315" s="39"/>
      <c r="E28315" s="40" t="s">
        <v>11404</v>
      </c>
      <c r="F28315" s="40" t="s">
        <v>11404</v>
      </c>
      <c r="G28315" s="40" t="s">
        <v>11404</v>
      </c>
      <c r="H28315" s="40" t="s">
        <v>11404</v>
      </c>
    </row>
    <row r="28316">
      <c r="A28316" s="39"/>
      <c r="E28316" s="40" t="s">
        <v>11404</v>
      </c>
      <c r="F28316" s="40" t="s">
        <v>11404</v>
      </c>
      <c r="G28316" s="40" t="s">
        <v>11404</v>
      </c>
      <c r="H28316" s="40" t="s">
        <v>11404</v>
      </c>
    </row>
    <row r="28317">
      <c r="A28317" s="39"/>
      <c r="E28317" s="40" t="s">
        <v>11404</v>
      </c>
      <c r="F28317" s="40" t="s">
        <v>11404</v>
      </c>
      <c r="G28317" s="40" t="s">
        <v>11404</v>
      </c>
      <c r="H28317" s="40" t="s">
        <v>11404</v>
      </c>
    </row>
    <row r="28318">
      <c r="A28318" s="39"/>
      <c r="E28318" s="40" t="s">
        <v>11404</v>
      </c>
      <c r="F28318" s="40" t="s">
        <v>11404</v>
      </c>
      <c r="G28318" s="40" t="s">
        <v>11404</v>
      </c>
      <c r="H28318" s="40" t="s">
        <v>11404</v>
      </c>
    </row>
    <row r="28319">
      <c r="A28319" s="39"/>
      <c r="E28319" s="40" t="s">
        <v>11404</v>
      </c>
      <c r="F28319" s="40" t="s">
        <v>11404</v>
      </c>
      <c r="G28319" s="40" t="s">
        <v>11404</v>
      </c>
      <c r="H28319" s="40" t="s">
        <v>11404</v>
      </c>
    </row>
    <row r="28320">
      <c r="A28320" s="39"/>
      <c r="E28320" s="40" t="s">
        <v>11404</v>
      </c>
      <c r="F28320" s="40" t="s">
        <v>11404</v>
      </c>
      <c r="G28320" s="40" t="s">
        <v>11404</v>
      </c>
      <c r="H28320" s="40" t="s">
        <v>11404</v>
      </c>
    </row>
    <row r="28321">
      <c r="A28321" s="39"/>
      <c r="E28321" s="40" t="s">
        <v>11404</v>
      </c>
      <c r="F28321" s="40" t="s">
        <v>11404</v>
      </c>
      <c r="G28321" s="40" t="s">
        <v>11404</v>
      </c>
      <c r="H28321" s="40" t="s">
        <v>11404</v>
      </c>
    </row>
    <row r="28322">
      <c r="A28322" s="39"/>
      <c r="E28322" s="40" t="s">
        <v>11404</v>
      </c>
      <c r="F28322" s="40" t="s">
        <v>11404</v>
      </c>
      <c r="G28322" s="40" t="s">
        <v>11404</v>
      </c>
      <c r="H28322" s="40" t="s">
        <v>11404</v>
      </c>
    </row>
    <row r="28323">
      <c r="A28323" s="39"/>
      <c r="E28323" s="40" t="s">
        <v>11404</v>
      </c>
      <c r="F28323" s="40" t="s">
        <v>11404</v>
      </c>
      <c r="G28323" s="40" t="s">
        <v>11404</v>
      </c>
      <c r="H28323" s="40" t="s">
        <v>11404</v>
      </c>
    </row>
    <row r="28324">
      <c r="A28324" s="39"/>
      <c r="E28324" s="40" t="s">
        <v>11404</v>
      </c>
      <c r="F28324" s="40" t="s">
        <v>11404</v>
      </c>
      <c r="G28324" s="40" t="s">
        <v>11404</v>
      </c>
      <c r="H28324" s="40" t="s">
        <v>11404</v>
      </c>
    </row>
    <row r="28325">
      <c r="A28325" s="39"/>
      <c r="E28325" s="40" t="s">
        <v>11404</v>
      </c>
      <c r="F28325" s="40" t="s">
        <v>11404</v>
      </c>
      <c r="G28325" s="40" t="s">
        <v>11404</v>
      </c>
      <c r="H28325" s="40" t="s">
        <v>11404</v>
      </c>
    </row>
    <row r="28326">
      <c r="A28326" s="39"/>
      <c r="E28326" s="40" t="s">
        <v>11404</v>
      </c>
      <c r="F28326" s="40" t="s">
        <v>11404</v>
      </c>
      <c r="G28326" s="40" t="s">
        <v>11404</v>
      </c>
      <c r="H28326" s="40" t="s">
        <v>11404</v>
      </c>
    </row>
    <row r="28327">
      <c r="A28327" s="39"/>
      <c r="E28327" s="40" t="s">
        <v>11404</v>
      </c>
      <c r="F28327" s="40" t="s">
        <v>11404</v>
      </c>
      <c r="G28327" s="40" t="s">
        <v>11404</v>
      </c>
      <c r="H28327" s="40" t="s">
        <v>11404</v>
      </c>
    </row>
    <row r="28328">
      <c r="A28328" s="39"/>
      <c r="E28328" s="40" t="s">
        <v>11404</v>
      </c>
      <c r="F28328" s="40" t="s">
        <v>11404</v>
      </c>
      <c r="G28328" s="40" t="s">
        <v>11404</v>
      </c>
      <c r="H28328" s="40" t="s">
        <v>11404</v>
      </c>
    </row>
    <row r="28329">
      <c r="A28329" s="39"/>
      <c r="E28329" s="40" t="s">
        <v>11404</v>
      </c>
      <c r="F28329" s="40" t="s">
        <v>11404</v>
      </c>
      <c r="G28329" s="40" t="s">
        <v>11404</v>
      </c>
      <c r="H28329" s="40" t="s">
        <v>11404</v>
      </c>
    </row>
    <row r="28330">
      <c r="A28330" s="39"/>
      <c r="E28330" s="40" t="s">
        <v>11404</v>
      </c>
      <c r="F28330" s="40" t="s">
        <v>11404</v>
      </c>
      <c r="G28330" s="40" t="s">
        <v>11404</v>
      </c>
      <c r="H28330" s="40" t="s">
        <v>11404</v>
      </c>
    </row>
    <row r="28331">
      <c r="A28331" s="39"/>
      <c r="E28331" s="40" t="s">
        <v>11404</v>
      </c>
      <c r="F28331" s="40" t="s">
        <v>11404</v>
      </c>
      <c r="G28331" s="40" t="s">
        <v>11404</v>
      </c>
      <c r="H28331" s="40" t="s">
        <v>11404</v>
      </c>
    </row>
    <row r="28332">
      <c r="A28332" s="39"/>
      <c r="E28332" s="40" t="s">
        <v>11404</v>
      </c>
      <c r="F28332" s="40" t="s">
        <v>11404</v>
      </c>
      <c r="G28332" s="40" t="s">
        <v>11404</v>
      </c>
      <c r="H28332" s="40" t="s">
        <v>11404</v>
      </c>
    </row>
    <row r="28333">
      <c r="A28333" s="39"/>
      <c r="E28333" s="40" t="s">
        <v>11404</v>
      </c>
      <c r="F28333" s="40" t="s">
        <v>11404</v>
      </c>
      <c r="G28333" s="40" t="s">
        <v>11404</v>
      </c>
      <c r="H28333" s="40" t="s">
        <v>11404</v>
      </c>
    </row>
    <row r="28334">
      <c r="A28334" s="39"/>
      <c r="E28334" s="40" t="s">
        <v>11404</v>
      </c>
      <c r="F28334" s="40" t="s">
        <v>11404</v>
      </c>
      <c r="G28334" s="40" t="s">
        <v>11404</v>
      </c>
      <c r="H28334" s="40" t="s">
        <v>11404</v>
      </c>
    </row>
    <row r="28335">
      <c r="A28335" s="39"/>
      <c r="E28335" s="40" t="s">
        <v>11404</v>
      </c>
      <c r="F28335" s="40" t="s">
        <v>11404</v>
      </c>
      <c r="G28335" s="40" t="s">
        <v>11404</v>
      </c>
      <c r="H28335" s="40" t="s">
        <v>11404</v>
      </c>
    </row>
    <row r="28336">
      <c r="A28336" s="39"/>
      <c r="E28336" s="40" t="s">
        <v>11404</v>
      </c>
      <c r="F28336" s="40" t="s">
        <v>11404</v>
      </c>
      <c r="G28336" s="40" t="s">
        <v>11404</v>
      </c>
      <c r="H28336" s="40" t="s">
        <v>11404</v>
      </c>
    </row>
    <row r="28337">
      <c r="A28337" s="39"/>
      <c r="E28337" s="40" t="s">
        <v>11404</v>
      </c>
      <c r="F28337" s="40" t="s">
        <v>11404</v>
      </c>
      <c r="G28337" s="40" t="s">
        <v>11404</v>
      </c>
      <c r="H28337" s="40" t="s">
        <v>11404</v>
      </c>
    </row>
    <row r="28338">
      <c r="A28338" s="39"/>
      <c r="E28338" s="40" t="s">
        <v>11404</v>
      </c>
      <c r="F28338" s="40" t="s">
        <v>11404</v>
      </c>
      <c r="G28338" s="40" t="s">
        <v>11404</v>
      </c>
      <c r="H28338" s="40" t="s">
        <v>11404</v>
      </c>
    </row>
    <row r="28339">
      <c r="A28339" s="39"/>
      <c r="E28339" s="40" t="s">
        <v>11404</v>
      </c>
      <c r="F28339" s="40" t="s">
        <v>11404</v>
      </c>
      <c r="G28339" s="40" t="s">
        <v>11404</v>
      </c>
      <c r="H28339" s="40" t="s">
        <v>11404</v>
      </c>
    </row>
    <row r="28340">
      <c r="A28340" s="39"/>
      <c r="E28340" s="40" t="s">
        <v>11404</v>
      </c>
      <c r="F28340" s="40" t="s">
        <v>11404</v>
      </c>
      <c r="G28340" s="40" t="s">
        <v>11404</v>
      </c>
      <c r="H28340" s="40" t="s">
        <v>11404</v>
      </c>
    </row>
    <row r="28341">
      <c r="A28341" s="39"/>
      <c r="E28341" s="40" t="s">
        <v>11404</v>
      </c>
      <c r="F28341" s="40" t="s">
        <v>11404</v>
      </c>
      <c r="G28341" s="40" t="s">
        <v>11404</v>
      </c>
      <c r="H28341" s="40" t="s">
        <v>11404</v>
      </c>
    </row>
    <row r="28342">
      <c r="A28342" s="39"/>
      <c r="E28342" s="40" t="s">
        <v>11404</v>
      </c>
      <c r="F28342" s="40" t="s">
        <v>11404</v>
      </c>
      <c r="G28342" s="40" t="s">
        <v>11404</v>
      </c>
      <c r="H28342" s="40" t="s">
        <v>11404</v>
      </c>
    </row>
    <row r="28343">
      <c r="A28343" s="39"/>
      <c r="E28343" s="40" t="s">
        <v>11404</v>
      </c>
      <c r="F28343" s="40" t="s">
        <v>11404</v>
      </c>
      <c r="G28343" s="40" t="s">
        <v>11404</v>
      </c>
      <c r="H28343" s="40" t="s">
        <v>11404</v>
      </c>
    </row>
    <row r="28344">
      <c r="A28344" s="39"/>
      <c r="E28344" s="40" t="s">
        <v>11404</v>
      </c>
      <c r="F28344" s="40" t="s">
        <v>11404</v>
      </c>
      <c r="G28344" s="40" t="s">
        <v>11404</v>
      </c>
      <c r="H28344" s="40" t="s">
        <v>11404</v>
      </c>
    </row>
    <row r="28345">
      <c r="A28345" s="39"/>
      <c r="E28345" s="40" t="s">
        <v>11404</v>
      </c>
      <c r="F28345" s="40" t="s">
        <v>11404</v>
      </c>
      <c r="G28345" s="40" t="s">
        <v>11404</v>
      </c>
      <c r="H28345" s="40" t="s">
        <v>11404</v>
      </c>
    </row>
    <row r="28346">
      <c r="A28346" s="39"/>
      <c r="E28346" s="40" t="s">
        <v>11404</v>
      </c>
      <c r="F28346" s="40" t="s">
        <v>11404</v>
      </c>
      <c r="G28346" s="40" t="s">
        <v>11404</v>
      </c>
      <c r="H28346" s="40" t="s">
        <v>11404</v>
      </c>
    </row>
    <row r="28347">
      <c r="A28347" s="39"/>
      <c r="E28347" s="40" t="s">
        <v>11404</v>
      </c>
      <c r="F28347" s="40" t="s">
        <v>11404</v>
      </c>
      <c r="G28347" s="40" t="s">
        <v>11404</v>
      </c>
      <c r="H28347" s="40" t="s">
        <v>11404</v>
      </c>
    </row>
    <row r="28348">
      <c r="A28348" s="39"/>
      <c r="E28348" s="40" t="s">
        <v>11404</v>
      </c>
      <c r="F28348" s="40" t="s">
        <v>11404</v>
      </c>
      <c r="G28348" s="40" t="s">
        <v>11404</v>
      </c>
      <c r="H28348" s="40" t="s">
        <v>11404</v>
      </c>
    </row>
    <row r="28349">
      <c r="A28349" s="39"/>
      <c r="E28349" s="40" t="s">
        <v>11404</v>
      </c>
      <c r="F28349" s="40" t="s">
        <v>11404</v>
      </c>
      <c r="G28349" s="40" t="s">
        <v>11404</v>
      </c>
      <c r="H28349" s="40" t="s">
        <v>11404</v>
      </c>
    </row>
    <row r="28350">
      <c r="A28350" s="39"/>
      <c r="E28350" s="40" t="s">
        <v>11404</v>
      </c>
      <c r="F28350" s="40" t="s">
        <v>11404</v>
      </c>
      <c r="G28350" s="40" t="s">
        <v>11404</v>
      </c>
      <c r="H28350" s="40" t="s">
        <v>11404</v>
      </c>
    </row>
    <row r="28351">
      <c r="A28351" s="39"/>
      <c r="E28351" s="40" t="s">
        <v>11404</v>
      </c>
      <c r="F28351" s="40" t="s">
        <v>11404</v>
      </c>
      <c r="G28351" s="40" t="s">
        <v>11404</v>
      </c>
      <c r="H28351" s="40" t="s">
        <v>11404</v>
      </c>
    </row>
    <row r="28352">
      <c r="A28352" s="39"/>
      <c r="E28352" s="40" t="s">
        <v>11404</v>
      </c>
      <c r="F28352" s="40" t="s">
        <v>11404</v>
      </c>
      <c r="G28352" s="40" t="s">
        <v>11404</v>
      </c>
      <c r="H28352" s="40" t="s">
        <v>11404</v>
      </c>
    </row>
    <row r="28353">
      <c r="A28353" s="39"/>
      <c r="E28353" s="40" t="s">
        <v>11404</v>
      </c>
      <c r="F28353" s="40" t="s">
        <v>11404</v>
      </c>
      <c r="G28353" s="40" t="s">
        <v>11404</v>
      </c>
      <c r="H28353" s="40" t="s">
        <v>11404</v>
      </c>
    </row>
    <row r="28354">
      <c r="A28354" s="39"/>
      <c r="E28354" s="40" t="s">
        <v>11404</v>
      </c>
      <c r="F28354" s="40" t="s">
        <v>11404</v>
      </c>
      <c r="G28354" s="40" t="s">
        <v>11404</v>
      </c>
      <c r="H28354" s="40" t="s">
        <v>11404</v>
      </c>
    </row>
    <row r="28355">
      <c r="A28355" s="39"/>
      <c r="E28355" s="40" t="s">
        <v>11404</v>
      </c>
      <c r="F28355" s="40" t="s">
        <v>11404</v>
      </c>
      <c r="G28355" s="40" t="s">
        <v>11404</v>
      </c>
      <c r="H28355" s="40" t="s">
        <v>11404</v>
      </c>
    </row>
    <row r="28356">
      <c r="A28356" s="39"/>
      <c r="E28356" s="40" t="s">
        <v>11404</v>
      </c>
      <c r="F28356" s="40" t="s">
        <v>11404</v>
      </c>
      <c r="G28356" s="40" t="s">
        <v>11404</v>
      </c>
      <c r="H28356" s="40" t="s">
        <v>11404</v>
      </c>
    </row>
    <row r="28357">
      <c r="A28357" s="39"/>
      <c r="E28357" s="40" t="s">
        <v>11404</v>
      </c>
      <c r="F28357" s="40" t="s">
        <v>11404</v>
      </c>
      <c r="G28357" s="40" t="s">
        <v>11404</v>
      </c>
      <c r="H28357" s="40" t="s">
        <v>11404</v>
      </c>
    </row>
    <row r="28358">
      <c r="A28358" s="39"/>
      <c r="E28358" s="40" t="s">
        <v>11404</v>
      </c>
      <c r="F28358" s="40" t="s">
        <v>11404</v>
      </c>
      <c r="G28358" s="40" t="s">
        <v>11404</v>
      </c>
      <c r="H28358" s="40" t="s">
        <v>11404</v>
      </c>
    </row>
    <row r="28359">
      <c r="A28359" s="39"/>
      <c r="E28359" s="40" t="s">
        <v>11404</v>
      </c>
      <c r="F28359" s="40" t="s">
        <v>11404</v>
      </c>
      <c r="G28359" s="40" t="s">
        <v>11404</v>
      </c>
      <c r="H28359" s="40" t="s">
        <v>11404</v>
      </c>
    </row>
    <row r="28360">
      <c r="A28360" s="39"/>
      <c r="E28360" s="40" t="s">
        <v>11404</v>
      </c>
      <c r="F28360" s="40" t="s">
        <v>11404</v>
      </c>
      <c r="G28360" s="40" t="s">
        <v>11404</v>
      </c>
      <c r="H28360" s="40" t="s">
        <v>11404</v>
      </c>
    </row>
    <row r="28361">
      <c r="A28361" s="39"/>
      <c r="E28361" s="40" t="s">
        <v>11404</v>
      </c>
      <c r="F28361" s="40" t="s">
        <v>11404</v>
      </c>
      <c r="G28361" s="40" t="s">
        <v>11404</v>
      </c>
      <c r="H28361" s="40" t="s">
        <v>11404</v>
      </c>
    </row>
    <row r="28362">
      <c r="A28362" s="39"/>
      <c r="E28362" s="40" t="s">
        <v>11404</v>
      </c>
      <c r="F28362" s="40" t="s">
        <v>11404</v>
      </c>
      <c r="G28362" s="40" t="s">
        <v>11404</v>
      </c>
      <c r="H28362" s="40" t="s">
        <v>11404</v>
      </c>
    </row>
    <row r="28363">
      <c r="A28363" s="39"/>
      <c r="E28363" s="40" t="s">
        <v>11404</v>
      </c>
      <c r="F28363" s="40" t="s">
        <v>11404</v>
      </c>
      <c r="G28363" s="40" t="s">
        <v>11404</v>
      </c>
      <c r="H28363" s="40" t="s">
        <v>11404</v>
      </c>
    </row>
    <row r="28364">
      <c r="A28364" s="39"/>
      <c r="E28364" s="40" t="s">
        <v>11404</v>
      </c>
      <c r="F28364" s="40" t="s">
        <v>11404</v>
      </c>
      <c r="G28364" s="40" t="s">
        <v>11404</v>
      </c>
      <c r="H28364" s="40" t="s">
        <v>11404</v>
      </c>
    </row>
    <row r="28365">
      <c r="A28365" s="39"/>
      <c r="E28365" s="40" t="s">
        <v>11404</v>
      </c>
      <c r="F28365" s="40" t="s">
        <v>11404</v>
      </c>
      <c r="G28365" s="40" t="s">
        <v>11404</v>
      </c>
      <c r="H28365" s="40" t="s">
        <v>11404</v>
      </c>
    </row>
    <row r="28366">
      <c r="A28366" s="39"/>
      <c r="E28366" s="40" t="s">
        <v>11404</v>
      </c>
      <c r="F28366" s="40" t="s">
        <v>11404</v>
      </c>
      <c r="G28366" s="40" t="s">
        <v>11404</v>
      </c>
      <c r="H28366" s="40" t="s">
        <v>11404</v>
      </c>
    </row>
    <row r="28367">
      <c r="A28367" s="39"/>
      <c r="E28367" s="40" t="s">
        <v>11404</v>
      </c>
      <c r="F28367" s="40" t="s">
        <v>11404</v>
      </c>
      <c r="G28367" s="40" t="s">
        <v>11404</v>
      </c>
      <c r="H28367" s="40" t="s">
        <v>11404</v>
      </c>
    </row>
    <row r="28368">
      <c r="A28368" s="39"/>
      <c r="E28368" s="40" t="s">
        <v>11404</v>
      </c>
      <c r="F28368" s="40" t="s">
        <v>11404</v>
      </c>
      <c r="G28368" s="40" t="s">
        <v>11404</v>
      </c>
      <c r="H28368" s="40" t="s">
        <v>11404</v>
      </c>
    </row>
    <row r="28369">
      <c r="A28369" s="39"/>
      <c r="E28369" s="40" t="s">
        <v>11404</v>
      </c>
      <c r="F28369" s="40" t="s">
        <v>11404</v>
      </c>
      <c r="G28369" s="40" t="s">
        <v>11404</v>
      </c>
      <c r="H28369" s="40" t="s">
        <v>11404</v>
      </c>
    </row>
    <row r="28370">
      <c r="A28370" s="39"/>
      <c r="E28370" s="40" t="s">
        <v>11404</v>
      </c>
      <c r="F28370" s="40" t="s">
        <v>11404</v>
      </c>
      <c r="G28370" s="40" t="s">
        <v>11404</v>
      </c>
      <c r="H28370" s="40" t="s">
        <v>11404</v>
      </c>
    </row>
    <row r="28371">
      <c r="A28371" s="39"/>
      <c r="E28371" s="40" t="s">
        <v>11404</v>
      </c>
      <c r="F28371" s="40" t="s">
        <v>11404</v>
      </c>
      <c r="G28371" s="40" t="s">
        <v>11404</v>
      </c>
      <c r="H28371" s="40" t="s">
        <v>11404</v>
      </c>
    </row>
    <row r="28372">
      <c r="A28372" s="39"/>
      <c r="E28372" s="40" t="s">
        <v>11404</v>
      </c>
      <c r="F28372" s="40" t="s">
        <v>11404</v>
      </c>
      <c r="G28372" s="40" t="s">
        <v>11404</v>
      </c>
      <c r="H28372" s="40" t="s">
        <v>11404</v>
      </c>
    </row>
    <row r="28373">
      <c r="A28373" s="39"/>
      <c r="E28373" s="40" t="s">
        <v>11404</v>
      </c>
      <c r="F28373" s="40" t="s">
        <v>11404</v>
      </c>
      <c r="G28373" s="40" t="s">
        <v>11404</v>
      </c>
      <c r="H28373" s="40" t="s">
        <v>11404</v>
      </c>
    </row>
    <row r="28374">
      <c r="A28374" s="39"/>
      <c r="E28374" s="40" t="s">
        <v>11404</v>
      </c>
      <c r="F28374" s="40" t="s">
        <v>11404</v>
      </c>
      <c r="G28374" s="40" t="s">
        <v>11404</v>
      </c>
      <c r="H28374" s="40" t="s">
        <v>11404</v>
      </c>
    </row>
    <row r="28375">
      <c r="A28375" s="39"/>
      <c r="E28375" s="40" t="s">
        <v>11404</v>
      </c>
      <c r="F28375" s="40" t="s">
        <v>11404</v>
      </c>
      <c r="G28375" s="40" t="s">
        <v>11404</v>
      </c>
      <c r="H28375" s="40" t="s">
        <v>11404</v>
      </c>
    </row>
    <row r="28376">
      <c r="A28376" s="39"/>
      <c r="E28376" s="40" t="s">
        <v>11404</v>
      </c>
      <c r="F28376" s="40" t="s">
        <v>11404</v>
      </c>
      <c r="G28376" s="40" t="s">
        <v>11404</v>
      </c>
      <c r="H28376" s="40" t="s">
        <v>11404</v>
      </c>
    </row>
    <row r="28377">
      <c r="A28377" s="39"/>
      <c r="E28377" s="40" t="s">
        <v>11404</v>
      </c>
      <c r="F28377" s="40" t="s">
        <v>11404</v>
      </c>
      <c r="G28377" s="40" t="s">
        <v>11404</v>
      </c>
      <c r="H28377" s="40" t="s">
        <v>11404</v>
      </c>
    </row>
    <row r="28378">
      <c r="A28378" s="39"/>
      <c r="E28378" s="40" t="s">
        <v>11404</v>
      </c>
      <c r="F28378" s="40" t="s">
        <v>11404</v>
      </c>
      <c r="G28378" s="40" t="s">
        <v>11404</v>
      </c>
      <c r="H28378" s="40" t="s">
        <v>11404</v>
      </c>
    </row>
    <row r="28379">
      <c r="A28379" s="39"/>
      <c r="E28379" s="40" t="s">
        <v>11404</v>
      </c>
      <c r="F28379" s="40" t="s">
        <v>11404</v>
      </c>
      <c r="G28379" s="40" t="s">
        <v>11404</v>
      </c>
      <c r="H28379" s="40" t="s">
        <v>11404</v>
      </c>
    </row>
    <row r="28380">
      <c r="A28380" s="39"/>
      <c r="E28380" s="40" t="s">
        <v>11404</v>
      </c>
      <c r="F28380" s="40" t="s">
        <v>11404</v>
      </c>
      <c r="G28380" s="40" t="s">
        <v>11404</v>
      </c>
      <c r="H28380" s="40" t="s">
        <v>11404</v>
      </c>
    </row>
    <row r="28381">
      <c r="A28381" s="39"/>
      <c r="E28381" s="40" t="s">
        <v>11404</v>
      </c>
      <c r="F28381" s="40" t="s">
        <v>11404</v>
      </c>
      <c r="G28381" s="40" t="s">
        <v>11404</v>
      </c>
      <c r="H28381" s="40" t="s">
        <v>11404</v>
      </c>
    </row>
    <row r="28382">
      <c r="A28382" s="39"/>
      <c r="E28382" s="40" t="s">
        <v>11404</v>
      </c>
      <c r="F28382" s="40" t="s">
        <v>11404</v>
      </c>
      <c r="G28382" s="40" t="s">
        <v>11404</v>
      </c>
      <c r="H28382" s="40" t="s">
        <v>11404</v>
      </c>
    </row>
    <row r="28383">
      <c r="A28383" s="39"/>
      <c r="E28383" s="40" t="s">
        <v>11404</v>
      </c>
      <c r="F28383" s="40" t="s">
        <v>11404</v>
      </c>
      <c r="G28383" s="40" t="s">
        <v>11404</v>
      </c>
      <c r="H28383" s="40" t="s">
        <v>11404</v>
      </c>
    </row>
    <row r="28384">
      <c r="A28384" s="39"/>
      <c r="E28384" s="40" t="s">
        <v>11404</v>
      </c>
      <c r="F28384" s="40" t="s">
        <v>11404</v>
      </c>
      <c r="G28384" s="40" t="s">
        <v>11404</v>
      </c>
      <c r="H28384" s="40" t="s">
        <v>11404</v>
      </c>
    </row>
    <row r="28385">
      <c r="A28385" s="39"/>
      <c r="E28385" s="40" t="s">
        <v>11404</v>
      </c>
      <c r="F28385" s="40" t="s">
        <v>11404</v>
      </c>
      <c r="G28385" s="40" t="s">
        <v>11404</v>
      </c>
      <c r="H28385" s="40" t="s">
        <v>11404</v>
      </c>
    </row>
    <row r="28386">
      <c r="A28386" s="39"/>
      <c r="E28386" s="40" t="s">
        <v>11404</v>
      </c>
      <c r="F28386" s="40" t="s">
        <v>11404</v>
      </c>
      <c r="G28386" s="40" t="s">
        <v>11404</v>
      </c>
      <c r="H28386" s="40" t="s">
        <v>11404</v>
      </c>
    </row>
    <row r="28387">
      <c r="A28387" s="39"/>
      <c r="E28387" s="40" t="s">
        <v>11404</v>
      </c>
      <c r="F28387" s="40" t="s">
        <v>11404</v>
      </c>
      <c r="G28387" s="40" t="s">
        <v>11404</v>
      </c>
      <c r="H28387" s="40" t="s">
        <v>11404</v>
      </c>
    </row>
    <row r="28388">
      <c r="A28388" s="39"/>
      <c r="E28388" s="40" t="s">
        <v>11404</v>
      </c>
      <c r="F28388" s="40" t="s">
        <v>11404</v>
      </c>
      <c r="G28388" s="40" t="s">
        <v>11404</v>
      </c>
      <c r="H28388" s="40" t="s">
        <v>11404</v>
      </c>
    </row>
    <row r="28389">
      <c r="A28389" s="39"/>
      <c r="E28389" s="40" t="s">
        <v>11404</v>
      </c>
      <c r="F28389" s="40" t="s">
        <v>11404</v>
      </c>
      <c r="G28389" s="40" t="s">
        <v>11404</v>
      </c>
      <c r="H28389" s="40" t="s">
        <v>11404</v>
      </c>
    </row>
    <row r="28390">
      <c r="A28390" s="39"/>
      <c r="E28390" s="40" t="s">
        <v>11404</v>
      </c>
      <c r="F28390" s="40" t="s">
        <v>11404</v>
      </c>
      <c r="G28390" s="40" t="s">
        <v>11404</v>
      </c>
      <c r="H28390" s="40" t="s">
        <v>11404</v>
      </c>
    </row>
    <row r="28391">
      <c r="A28391" s="39"/>
      <c r="E28391" s="40" t="s">
        <v>11404</v>
      </c>
      <c r="F28391" s="40" t="s">
        <v>11404</v>
      </c>
      <c r="G28391" s="40" t="s">
        <v>11404</v>
      </c>
      <c r="H28391" s="40" t="s">
        <v>11404</v>
      </c>
    </row>
    <row r="28392">
      <c r="A28392" s="39"/>
      <c r="E28392" s="40" t="s">
        <v>11404</v>
      </c>
      <c r="F28392" s="40" t="s">
        <v>11404</v>
      </c>
      <c r="G28392" s="40" t="s">
        <v>11404</v>
      </c>
      <c r="H28392" s="40" t="s">
        <v>11404</v>
      </c>
    </row>
    <row r="28393">
      <c r="A28393" s="39"/>
      <c r="E28393" s="40" t="s">
        <v>11404</v>
      </c>
      <c r="F28393" s="40" t="s">
        <v>11404</v>
      </c>
      <c r="G28393" s="40" t="s">
        <v>11404</v>
      </c>
      <c r="H28393" s="40" t="s">
        <v>11404</v>
      </c>
    </row>
    <row r="28394">
      <c r="A28394" s="39"/>
      <c r="E28394" s="40" t="s">
        <v>11404</v>
      </c>
      <c r="F28394" s="40" t="s">
        <v>11404</v>
      </c>
      <c r="G28394" s="40" t="s">
        <v>11404</v>
      </c>
      <c r="H28394" s="40" t="s">
        <v>11404</v>
      </c>
    </row>
    <row r="28395">
      <c r="A28395" s="39"/>
      <c r="E28395" s="40" t="s">
        <v>11404</v>
      </c>
      <c r="F28395" s="40" t="s">
        <v>11404</v>
      </c>
      <c r="G28395" s="40" t="s">
        <v>11404</v>
      </c>
      <c r="H28395" s="40" t="s">
        <v>11404</v>
      </c>
    </row>
    <row r="28396">
      <c r="A28396" s="39"/>
      <c r="E28396" s="40" t="s">
        <v>11404</v>
      </c>
      <c r="F28396" s="40" t="s">
        <v>11404</v>
      </c>
      <c r="G28396" s="40" t="s">
        <v>11404</v>
      </c>
      <c r="H28396" s="40" t="s">
        <v>11404</v>
      </c>
    </row>
    <row r="28397">
      <c r="A28397" s="39"/>
      <c r="E28397" s="40" t="s">
        <v>11404</v>
      </c>
      <c r="F28397" s="40" t="s">
        <v>11404</v>
      </c>
      <c r="G28397" s="40" t="s">
        <v>11404</v>
      </c>
      <c r="H28397" s="40" t="s">
        <v>11404</v>
      </c>
    </row>
    <row r="28398">
      <c r="A28398" s="39"/>
      <c r="E28398" s="40" t="s">
        <v>11404</v>
      </c>
      <c r="F28398" s="40" t="s">
        <v>11404</v>
      </c>
      <c r="G28398" s="40" t="s">
        <v>11404</v>
      </c>
      <c r="H28398" s="40" t="s">
        <v>11404</v>
      </c>
    </row>
    <row r="28399">
      <c r="A28399" s="39"/>
      <c r="E28399" s="40" t="s">
        <v>11404</v>
      </c>
      <c r="F28399" s="40" t="s">
        <v>11404</v>
      </c>
      <c r="G28399" s="40" t="s">
        <v>11404</v>
      </c>
      <c r="H28399" s="40" t="s">
        <v>11404</v>
      </c>
    </row>
    <row r="28400">
      <c r="A28400" s="39"/>
      <c r="E28400" s="40" t="s">
        <v>11404</v>
      </c>
      <c r="F28400" s="40" t="s">
        <v>11404</v>
      </c>
      <c r="G28400" s="40" t="s">
        <v>11404</v>
      </c>
      <c r="H28400" s="40" t="s">
        <v>11404</v>
      </c>
    </row>
    <row r="28401">
      <c r="A28401" s="39"/>
      <c r="E28401" s="40" t="s">
        <v>11404</v>
      </c>
      <c r="F28401" s="40" t="s">
        <v>11404</v>
      </c>
      <c r="G28401" s="40" t="s">
        <v>11404</v>
      </c>
      <c r="H28401" s="40" t="s">
        <v>11404</v>
      </c>
    </row>
    <row r="28402">
      <c r="A28402" s="39"/>
      <c r="E28402" s="40" t="s">
        <v>11404</v>
      </c>
      <c r="F28402" s="40" t="s">
        <v>11404</v>
      </c>
      <c r="G28402" s="40" t="s">
        <v>11404</v>
      </c>
      <c r="H28402" s="40" t="s">
        <v>11404</v>
      </c>
    </row>
    <row r="28403">
      <c r="A28403" s="39"/>
      <c r="E28403" s="40" t="s">
        <v>11404</v>
      </c>
      <c r="F28403" s="40" t="s">
        <v>11404</v>
      </c>
      <c r="G28403" s="40" t="s">
        <v>11404</v>
      </c>
      <c r="H28403" s="40" t="s">
        <v>11404</v>
      </c>
    </row>
    <row r="28404">
      <c r="A28404" s="39"/>
      <c r="E28404" s="40" t="s">
        <v>11404</v>
      </c>
      <c r="F28404" s="40" t="s">
        <v>11404</v>
      </c>
      <c r="G28404" s="40" t="s">
        <v>11404</v>
      </c>
      <c r="H28404" s="40" t="s">
        <v>11404</v>
      </c>
    </row>
    <row r="28405">
      <c r="A28405" s="39"/>
      <c r="E28405" s="40" t="s">
        <v>11404</v>
      </c>
      <c r="F28405" s="40" t="s">
        <v>11404</v>
      </c>
      <c r="G28405" s="40" t="s">
        <v>11404</v>
      </c>
      <c r="H28405" s="40" t="s">
        <v>11404</v>
      </c>
    </row>
    <row r="28406">
      <c r="A28406" s="39"/>
      <c r="E28406" s="40" t="s">
        <v>11404</v>
      </c>
      <c r="F28406" s="40" t="s">
        <v>11404</v>
      </c>
      <c r="G28406" s="40" t="s">
        <v>11404</v>
      </c>
      <c r="H28406" s="40" t="s">
        <v>11404</v>
      </c>
    </row>
    <row r="28407">
      <c r="A28407" s="39"/>
      <c r="E28407" s="40" t="s">
        <v>11404</v>
      </c>
      <c r="F28407" s="40" t="s">
        <v>11404</v>
      </c>
      <c r="G28407" s="40" t="s">
        <v>11404</v>
      </c>
      <c r="H28407" s="40" t="s">
        <v>11404</v>
      </c>
    </row>
    <row r="28408">
      <c r="A28408" s="39"/>
      <c r="E28408" s="40" t="s">
        <v>11404</v>
      </c>
      <c r="F28408" s="40" t="s">
        <v>11404</v>
      </c>
      <c r="G28408" s="40" t="s">
        <v>11404</v>
      </c>
      <c r="H28408" s="40" t="s">
        <v>11404</v>
      </c>
    </row>
    <row r="28409">
      <c r="A28409" s="39"/>
      <c r="E28409" s="40" t="s">
        <v>11404</v>
      </c>
      <c r="F28409" s="40" t="s">
        <v>11404</v>
      </c>
      <c r="G28409" s="40" t="s">
        <v>11404</v>
      </c>
      <c r="H28409" s="40" t="s">
        <v>11404</v>
      </c>
    </row>
    <row r="28410">
      <c r="A28410" s="39"/>
      <c r="E28410" s="40" t="s">
        <v>11404</v>
      </c>
      <c r="F28410" s="40" t="s">
        <v>11404</v>
      </c>
      <c r="G28410" s="40" t="s">
        <v>11404</v>
      </c>
      <c r="H28410" s="40" t="s">
        <v>11404</v>
      </c>
    </row>
    <row r="28411">
      <c r="A28411" s="39"/>
      <c r="E28411" s="40" t="s">
        <v>11404</v>
      </c>
      <c r="F28411" s="40" t="s">
        <v>11404</v>
      </c>
      <c r="G28411" s="40" t="s">
        <v>11404</v>
      </c>
      <c r="H28411" s="40" t="s">
        <v>11404</v>
      </c>
    </row>
    <row r="28412">
      <c r="A28412" s="39"/>
      <c r="E28412" s="40" t="s">
        <v>11404</v>
      </c>
      <c r="F28412" s="40" t="s">
        <v>11404</v>
      </c>
      <c r="G28412" s="40" t="s">
        <v>11404</v>
      </c>
      <c r="H28412" s="40" t="s">
        <v>11404</v>
      </c>
    </row>
    <row r="28413">
      <c r="A28413" s="39"/>
      <c r="E28413" s="40" t="s">
        <v>11404</v>
      </c>
      <c r="F28413" s="40" t="s">
        <v>11404</v>
      </c>
      <c r="G28413" s="40" t="s">
        <v>11404</v>
      </c>
      <c r="H28413" s="40" t="s">
        <v>11404</v>
      </c>
    </row>
    <row r="28414">
      <c r="A28414" s="39"/>
      <c r="E28414" s="40" t="s">
        <v>11404</v>
      </c>
      <c r="F28414" s="40" t="s">
        <v>11404</v>
      </c>
      <c r="G28414" s="40" t="s">
        <v>11404</v>
      </c>
      <c r="H28414" s="40" t="s">
        <v>11404</v>
      </c>
    </row>
    <row r="28415">
      <c r="A28415" s="39"/>
      <c r="E28415" s="40" t="s">
        <v>11404</v>
      </c>
      <c r="F28415" s="40" t="s">
        <v>11404</v>
      </c>
      <c r="G28415" s="40" t="s">
        <v>11404</v>
      </c>
      <c r="H28415" s="40" t="s">
        <v>11404</v>
      </c>
    </row>
    <row r="28416">
      <c r="A28416" s="39"/>
      <c r="E28416" s="40" t="s">
        <v>11404</v>
      </c>
      <c r="F28416" s="40" t="s">
        <v>11404</v>
      </c>
      <c r="G28416" s="40" t="s">
        <v>11404</v>
      </c>
      <c r="H28416" s="40" t="s">
        <v>11404</v>
      </c>
    </row>
    <row r="28417">
      <c r="A28417" s="39"/>
      <c r="E28417" s="40" t="s">
        <v>11404</v>
      </c>
      <c r="F28417" s="40" t="s">
        <v>11404</v>
      </c>
      <c r="G28417" s="40" t="s">
        <v>11404</v>
      </c>
      <c r="H28417" s="40" t="s">
        <v>11404</v>
      </c>
    </row>
    <row r="28418">
      <c r="A28418" s="39"/>
      <c r="E28418" s="40" t="s">
        <v>11404</v>
      </c>
      <c r="F28418" s="40" t="s">
        <v>11404</v>
      </c>
      <c r="G28418" s="40" t="s">
        <v>11404</v>
      </c>
      <c r="H28418" s="40" t="s">
        <v>11404</v>
      </c>
    </row>
    <row r="28419">
      <c r="A28419" s="39"/>
      <c r="E28419" s="40" t="s">
        <v>11404</v>
      </c>
      <c r="F28419" s="40" t="s">
        <v>11404</v>
      </c>
      <c r="G28419" s="40" t="s">
        <v>11404</v>
      </c>
      <c r="H28419" s="40" t="s">
        <v>11404</v>
      </c>
    </row>
    <row r="28420">
      <c r="A28420" s="39"/>
      <c r="E28420" s="40" t="s">
        <v>11404</v>
      </c>
      <c r="F28420" s="40" t="s">
        <v>11404</v>
      </c>
      <c r="G28420" s="40" t="s">
        <v>11404</v>
      </c>
      <c r="H28420" s="40" t="s">
        <v>11404</v>
      </c>
    </row>
    <row r="28421">
      <c r="A28421" s="39"/>
      <c r="E28421" s="40" t="s">
        <v>11404</v>
      </c>
      <c r="F28421" s="40" t="s">
        <v>11404</v>
      </c>
      <c r="G28421" s="40" t="s">
        <v>11404</v>
      </c>
      <c r="H28421" s="40" t="s">
        <v>11404</v>
      </c>
    </row>
    <row r="28422">
      <c r="A28422" s="39"/>
      <c r="E28422" s="40" t="s">
        <v>11404</v>
      </c>
      <c r="F28422" s="40" t="s">
        <v>11404</v>
      </c>
      <c r="G28422" s="40" t="s">
        <v>11404</v>
      </c>
      <c r="H28422" s="40" t="s">
        <v>11404</v>
      </c>
    </row>
    <row r="28423">
      <c r="A28423" s="39"/>
      <c r="E28423" s="40" t="s">
        <v>11404</v>
      </c>
      <c r="F28423" s="40" t="s">
        <v>11404</v>
      </c>
      <c r="G28423" s="40" t="s">
        <v>11404</v>
      </c>
      <c r="H28423" s="40" t="s">
        <v>11404</v>
      </c>
    </row>
    <row r="28424">
      <c r="A28424" s="39"/>
      <c r="E28424" s="40" t="s">
        <v>11404</v>
      </c>
      <c r="F28424" s="40" t="s">
        <v>11404</v>
      </c>
      <c r="G28424" s="40" t="s">
        <v>11404</v>
      </c>
      <c r="H28424" s="40" t="s">
        <v>11404</v>
      </c>
    </row>
    <row r="28425">
      <c r="A28425" s="39"/>
      <c r="E28425" s="40" t="s">
        <v>11404</v>
      </c>
      <c r="F28425" s="40" t="s">
        <v>11404</v>
      </c>
      <c r="G28425" s="40" t="s">
        <v>11404</v>
      </c>
      <c r="H28425" s="40" t="s">
        <v>11404</v>
      </c>
    </row>
    <row r="28426">
      <c r="A28426" s="39"/>
      <c r="E28426" s="40" t="s">
        <v>11404</v>
      </c>
      <c r="F28426" s="40" t="s">
        <v>11404</v>
      </c>
      <c r="G28426" s="40" t="s">
        <v>11404</v>
      </c>
      <c r="H28426" s="40" t="s">
        <v>11404</v>
      </c>
    </row>
    <row r="28427">
      <c r="A28427" s="39"/>
      <c r="E28427" s="40" t="s">
        <v>11404</v>
      </c>
      <c r="F28427" s="40" t="s">
        <v>11404</v>
      </c>
      <c r="G28427" s="40" t="s">
        <v>11404</v>
      </c>
      <c r="H28427" s="40" t="s">
        <v>11404</v>
      </c>
    </row>
    <row r="28428">
      <c r="A28428" s="39"/>
      <c r="E28428" s="40" t="s">
        <v>11404</v>
      </c>
      <c r="F28428" s="40" t="s">
        <v>11404</v>
      </c>
      <c r="G28428" s="40" t="s">
        <v>11404</v>
      </c>
      <c r="H28428" s="40" t="s">
        <v>11404</v>
      </c>
    </row>
    <row r="28429">
      <c r="A28429" s="39"/>
      <c r="E28429" s="40" t="s">
        <v>11404</v>
      </c>
      <c r="F28429" s="40" t="s">
        <v>11404</v>
      </c>
      <c r="G28429" s="40" t="s">
        <v>11404</v>
      </c>
      <c r="H28429" s="40" t="s">
        <v>11404</v>
      </c>
    </row>
    <row r="28430">
      <c r="A28430" s="39"/>
      <c r="E28430" s="40" t="s">
        <v>11404</v>
      </c>
      <c r="F28430" s="40" t="s">
        <v>11404</v>
      </c>
      <c r="G28430" s="40" t="s">
        <v>11404</v>
      </c>
      <c r="H28430" s="40" t="s">
        <v>11404</v>
      </c>
    </row>
    <row r="28431">
      <c r="A28431" s="39"/>
      <c r="E28431" s="40" t="s">
        <v>11404</v>
      </c>
      <c r="F28431" s="40" t="s">
        <v>11404</v>
      </c>
      <c r="G28431" s="40" t="s">
        <v>11404</v>
      </c>
      <c r="H28431" s="40" t="s">
        <v>11404</v>
      </c>
    </row>
    <row r="28432">
      <c r="A28432" s="39"/>
      <c r="E28432" s="40" t="s">
        <v>11404</v>
      </c>
      <c r="F28432" s="40" t="s">
        <v>11404</v>
      </c>
      <c r="G28432" s="40" t="s">
        <v>11404</v>
      </c>
      <c r="H28432" s="40" t="s">
        <v>11404</v>
      </c>
    </row>
    <row r="28433">
      <c r="A28433" s="39"/>
      <c r="E28433" s="40" t="s">
        <v>11404</v>
      </c>
      <c r="F28433" s="40" t="s">
        <v>11404</v>
      </c>
      <c r="G28433" s="40" t="s">
        <v>11404</v>
      </c>
      <c r="H28433" s="40" t="s">
        <v>11404</v>
      </c>
    </row>
    <row r="28434">
      <c r="A28434" s="39"/>
      <c r="E28434" s="40" t="s">
        <v>11404</v>
      </c>
      <c r="F28434" s="40" t="s">
        <v>11404</v>
      </c>
      <c r="G28434" s="40" t="s">
        <v>11404</v>
      </c>
      <c r="H28434" s="40" t="s">
        <v>11404</v>
      </c>
    </row>
    <row r="28435">
      <c r="A28435" s="39"/>
      <c r="E28435" s="40" t="s">
        <v>11404</v>
      </c>
      <c r="F28435" s="40" t="s">
        <v>11404</v>
      </c>
      <c r="G28435" s="40" t="s">
        <v>11404</v>
      </c>
      <c r="H28435" s="40" t="s">
        <v>11404</v>
      </c>
    </row>
    <row r="28436">
      <c r="A28436" s="39"/>
      <c r="E28436" s="40" t="s">
        <v>11404</v>
      </c>
      <c r="F28436" s="40" t="s">
        <v>11404</v>
      </c>
      <c r="G28436" s="40" t="s">
        <v>11404</v>
      </c>
      <c r="H28436" s="40" t="s">
        <v>11404</v>
      </c>
    </row>
    <row r="28437">
      <c r="A28437" s="39"/>
      <c r="E28437" s="40" t="s">
        <v>11404</v>
      </c>
      <c r="F28437" s="40" t="s">
        <v>11404</v>
      </c>
      <c r="G28437" s="40" t="s">
        <v>11404</v>
      </c>
      <c r="H28437" s="40" t="s">
        <v>11404</v>
      </c>
    </row>
    <row r="28438">
      <c r="A28438" s="39"/>
      <c r="E28438" s="40" t="s">
        <v>11404</v>
      </c>
      <c r="F28438" s="40" t="s">
        <v>11404</v>
      </c>
      <c r="G28438" s="40" t="s">
        <v>11404</v>
      </c>
      <c r="H28438" s="40" t="s">
        <v>11404</v>
      </c>
    </row>
    <row r="28439">
      <c r="A28439" s="39"/>
      <c r="E28439" s="40" t="s">
        <v>11404</v>
      </c>
      <c r="F28439" s="40" t="s">
        <v>11404</v>
      </c>
      <c r="G28439" s="40" t="s">
        <v>11404</v>
      </c>
      <c r="H28439" s="40" t="s">
        <v>11404</v>
      </c>
    </row>
    <row r="28440">
      <c r="A28440" s="39"/>
      <c r="E28440" s="40" t="s">
        <v>11404</v>
      </c>
      <c r="F28440" s="40" t="s">
        <v>11404</v>
      </c>
      <c r="G28440" s="40" t="s">
        <v>11404</v>
      </c>
      <c r="H28440" s="40" t="s">
        <v>11404</v>
      </c>
    </row>
    <row r="28441">
      <c r="A28441" s="39"/>
      <c r="E28441" s="40" t="s">
        <v>11404</v>
      </c>
      <c r="F28441" s="40" t="s">
        <v>11404</v>
      </c>
      <c r="G28441" s="40" t="s">
        <v>11404</v>
      </c>
      <c r="H28441" s="40" t="s">
        <v>11404</v>
      </c>
    </row>
    <row r="28442">
      <c r="A28442" s="39"/>
      <c r="E28442" s="40" t="s">
        <v>11404</v>
      </c>
      <c r="F28442" s="40" t="s">
        <v>11404</v>
      </c>
      <c r="G28442" s="40" t="s">
        <v>11404</v>
      </c>
      <c r="H28442" s="40" t="s">
        <v>11404</v>
      </c>
    </row>
    <row r="28443">
      <c r="A28443" s="39"/>
      <c r="E28443" s="40" t="s">
        <v>11404</v>
      </c>
      <c r="F28443" s="40" t="s">
        <v>11404</v>
      </c>
      <c r="G28443" s="40" t="s">
        <v>11404</v>
      </c>
      <c r="H28443" s="40" t="s">
        <v>11404</v>
      </c>
    </row>
    <row r="28444">
      <c r="A28444" s="39"/>
      <c r="E28444" s="40" t="s">
        <v>11404</v>
      </c>
      <c r="F28444" s="40" t="s">
        <v>11404</v>
      </c>
      <c r="G28444" s="40" t="s">
        <v>11404</v>
      </c>
      <c r="H28444" s="40" t="s">
        <v>11404</v>
      </c>
    </row>
    <row r="28445">
      <c r="A28445" s="39"/>
      <c r="E28445" s="40" t="s">
        <v>11404</v>
      </c>
      <c r="F28445" s="40" t="s">
        <v>11404</v>
      </c>
      <c r="G28445" s="40" t="s">
        <v>11404</v>
      </c>
      <c r="H28445" s="40" t="s">
        <v>11404</v>
      </c>
    </row>
    <row r="28446">
      <c r="A28446" s="39"/>
      <c r="E28446" s="40" t="s">
        <v>11404</v>
      </c>
      <c r="F28446" s="40" t="s">
        <v>11404</v>
      </c>
      <c r="G28446" s="40" t="s">
        <v>11404</v>
      </c>
      <c r="H28446" s="40" t="s">
        <v>11404</v>
      </c>
    </row>
    <row r="28447">
      <c r="A28447" s="39"/>
      <c r="E28447" s="40" t="s">
        <v>11404</v>
      </c>
      <c r="F28447" s="40" t="s">
        <v>11404</v>
      </c>
      <c r="G28447" s="40" t="s">
        <v>11404</v>
      </c>
      <c r="H28447" s="40" t="s">
        <v>11404</v>
      </c>
    </row>
    <row r="28448">
      <c r="A28448" s="39"/>
      <c r="E28448" s="40" t="s">
        <v>11404</v>
      </c>
      <c r="F28448" s="40" t="s">
        <v>11404</v>
      </c>
      <c r="G28448" s="40" t="s">
        <v>11404</v>
      </c>
      <c r="H28448" s="40" t="s">
        <v>11404</v>
      </c>
    </row>
    <row r="28449">
      <c r="A28449" s="39"/>
      <c r="E28449" s="40" t="s">
        <v>11404</v>
      </c>
      <c r="F28449" s="40" t="s">
        <v>11404</v>
      </c>
      <c r="G28449" s="40" t="s">
        <v>11404</v>
      </c>
      <c r="H28449" s="40" t="s">
        <v>11404</v>
      </c>
    </row>
    <row r="28450">
      <c r="A28450" s="39"/>
      <c r="E28450" s="40" t="s">
        <v>11404</v>
      </c>
      <c r="F28450" s="40" t="s">
        <v>11404</v>
      </c>
      <c r="G28450" s="40" t="s">
        <v>11404</v>
      </c>
      <c r="H28450" s="40" t="s">
        <v>11404</v>
      </c>
    </row>
    <row r="28451">
      <c r="A28451" s="39"/>
      <c r="E28451" s="40" t="s">
        <v>11404</v>
      </c>
      <c r="F28451" s="40" t="s">
        <v>11404</v>
      </c>
      <c r="G28451" s="40" t="s">
        <v>11404</v>
      </c>
      <c r="H28451" s="40" t="s">
        <v>11404</v>
      </c>
    </row>
    <row r="28452">
      <c r="A28452" s="39"/>
      <c r="E28452" s="40" t="s">
        <v>11404</v>
      </c>
      <c r="F28452" s="40" t="s">
        <v>11404</v>
      </c>
      <c r="G28452" s="40" t="s">
        <v>11404</v>
      </c>
      <c r="H28452" s="40" t="s">
        <v>11404</v>
      </c>
    </row>
    <row r="28453">
      <c r="A28453" s="39"/>
      <c r="E28453" s="40" t="s">
        <v>11404</v>
      </c>
      <c r="F28453" s="40" t="s">
        <v>11404</v>
      </c>
      <c r="G28453" s="40" t="s">
        <v>11404</v>
      </c>
      <c r="H28453" s="40" t="s">
        <v>11404</v>
      </c>
    </row>
    <row r="28454">
      <c r="A28454" s="39"/>
      <c r="E28454" s="40" t="s">
        <v>11404</v>
      </c>
      <c r="F28454" s="40" t="s">
        <v>11404</v>
      </c>
      <c r="G28454" s="40" t="s">
        <v>11404</v>
      </c>
      <c r="H28454" s="40" t="s">
        <v>11404</v>
      </c>
    </row>
    <row r="28455">
      <c r="A28455" s="39"/>
      <c r="E28455" s="40" t="s">
        <v>11404</v>
      </c>
      <c r="F28455" s="40" t="s">
        <v>11404</v>
      </c>
      <c r="G28455" s="40" t="s">
        <v>11404</v>
      </c>
      <c r="H28455" s="40" t="s">
        <v>11404</v>
      </c>
    </row>
    <row r="28456">
      <c r="A28456" s="39"/>
      <c r="E28456" s="40" t="s">
        <v>11404</v>
      </c>
      <c r="F28456" s="40" t="s">
        <v>11404</v>
      </c>
      <c r="G28456" s="40" t="s">
        <v>11404</v>
      </c>
      <c r="H28456" s="40" t="s">
        <v>11404</v>
      </c>
    </row>
    <row r="28457">
      <c r="A28457" s="39"/>
      <c r="E28457" s="40" t="s">
        <v>11404</v>
      </c>
      <c r="F28457" s="40" t="s">
        <v>11404</v>
      </c>
      <c r="G28457" s="40" t="s">
        <v>11404</v>
      </c>
      <c r="H28457" s="40" t="s">
        <v>11404</v>
      </c>
    </row>
    <row r="28458">
      <c r="A28458" s="39"/>
      <c r="E28458" s="40" t="s">
        <v>11404</v>
      </c>
      <c r="F28458" s="40" t="s">
        <v>11404</v>
      </c>
      <c r="G28458" s="40" t="s">
        <v>11404</v>
      </c>
      <c r="H28458" s="40" t="s">
        <v>11404</v>
      </c>
    </row>
    <row r="28459">
      <c r="A28459" s="39"/>
      <c r="E28459" s="40" t="s">
        <v>11404</v>
      </c>
      <c r="F28459" s="40" t="s">
        <v>11404</v>
      </c>
      <c r="G28459" s="40" t="s">
        <v>11404</v>
      </c>
      <c r="H28459" s="40" t="s">
        <v>11404</v>
      </c>
    </row>
    <row r="28460">
      <c r="A28460" s="39"/>
      <c r="E28460" s="40" t="s">
        <v>11404</v>
      </c>
      <c r="F28460" s="40" t="s">
        <v>11404</v>
      </c>
      <c r="G28460" s="40" t="s">
        <v>11404</v>
      </c>
      <c r="H28460" s="40" t="s">
        <v>11404</v>
      </c>
    </row>
    <row r="28461">
      <c r="A28461" s="39"/>
      <c r="E28461" s="40" t="s">
        <v>11404</v>
      </c>
      <c r="F28461" s="40" t="s">
        <v>11404</v>
      </c>
      <c r="G28461" s="40" t="s">
        <v>11404</v>
      </c>
      <c r="H28461" s="40" t="s">
        <v>11404</v>
      </c>
    </row>
    <row r="28462">
      <c r="A28462" s="39"/>
      <c r="E28462" s="40" t="s">
        <v>11404</v>
      </c>
      <c r="F28462" s="40" t="s">
        <v>11404</v>
      </c>
      <c r="G28462" s="40" t="s">
        <v>11404</v>
      </c>
      <c r="H28462" s="40" t="s">
        <v>11404</v>
      </c>
    </row>
    <row r="28463">
      <c r="A28463" s="39"/>
      <c r="E28463" s="40" t="s">
        <v>11404</v>
      </c>
      <c r="F28463" s="40" t="s">
        <v>11404</v>
      </c>
      <c r="G28463" s="40" t="s">
        <v>11404</v>
      </c>
      <c r="H28463" s="40" t="s">
        <v>11404</v>
      </c>
    </row>
    <row r="28464">
      <c r="A28464" s="39"/>
      <c r="E28464" s="40" t="s">
        <v>11404</v>
      </c>
      <c r="F28464" s="40" t="s">
        <v>11404</v>
      </c>
      <c r="G28464" s="40" t="s">
        <v>11404</v>
      </c>
      <c r="H28464" s="40" t="s">
        <v>11404</v>
      </c>
    </row>
    <row r="28465">
      <c r="A28465" s="39"/>
      <c r="E28465" s="40" t="s">
        <v>11404</v>
      </c>
      <c r="F28465" s="40" t="s">
        <v>11404</v>
      </c>
      <c r="G28465" s="40" t="s">
        <v>11404</v>
      </c>
      <c r="H28465" s="40" t="s">
        <v>11404</v>
      </c>
    </row>
    <row r="28466">
      <c r="A28466" s="39"/>
      <c r="E28466" s="40" t="s">
        <v>11404</v>
      </c>
      <c r="F28466" s="40" t="s">
        <v>11404</v>
      </c>
      <c r="G28466" s="40" t="s">
        <v>11404</v>
      </c>
      <c r="H28466" s="40" t="s">
        <v>11404</v>
      </c>
    </row>
    <row r="28467">
      <c r="A28467" s="39"/>
      <c r="E28467" s="40" t="s">
        <v>11404</v>
      </c>
      <c r="F28467" s="40" t="s">
        <v>11404</v>
      </c>
      <c r="G28467" s="40" t="s">
        <v>11404</v>
      </c>
      <c r="H28467" s="40" t="s">
        <v>11404</v>
      </c>
    </row>
    <row r="28468">
      <c r="A28468" s="39"/>
      <c r="E28468" s="40" t="s">
        <v>11404</v>
      </c>
      <c r="F28468" s="40" t="s">
        <v>11404</v>
      </c>
      <c r="G28468" s="40" t="s">
        <v>11404</v>
      </c>
      <c r="H28468" s="40" t="s">
        <v>11404</v>
      </c>
    </row>
    <row r="28469">
      <c r="A28469" s="39"/>
      <c r="E28469" s="40" t="s">
        <v>11404</v>
      </c>
      <c r="F28469" s="40" t="s">
        <v>11404</v>
      </c>
      <c r="G28469" s="40" t="s">
        <v>11404</v>
      </c>
      <c r="H28469" s="40" t="s">
        <v>11404</v>
      </c>
    </row>
    <row r="28470">
      <c r="A28470" s="39"/>
      <c r="E28470" s="40" t="s">
        <v>11404</v>
      </c>
      <c r="F28470" s="40" t="s">
        <v>11404</v>
      </c>
      <c r="G28470" s="40" t="s">
        <v>11404</v>
      </c>
      <c r="H28470" s="40" t="s">
        <v>11404</v>
      </c>
    </row>
    <row r="28471">
      <c r="A28471" s="39"/>
      <c r="E28471" s="40" t="s">
        <v>11404</v>
      </c>
      <c r="F28471" s="40" t="s">
        <v>11404</v>
      </c>
      <c r="G28471" s="40" t="s">
        <v>11404</v>
      </c>
      <c r="H28471" s="40" t="s">
        <v>11404</v>
      </c>
    </row>
    <row r="28472">
      <c r="A28472" s="39"/>
      <c r="E28472" s="40" t="s">
        <v>11404</v>
      </c>
      <c r="F28472" s="40" t="s">
        <v>11404</v>
      </c>
      <c r="G28472" s="40" t="s">
        <v>11404</v>
      </c>
      <c r="H28472" s="40" t="s">
        <v>11404</v>
      </c>
    </row>
    <row r="28473">
      <c r="A28473" s="39"/>
      <c r="E28473" s="40" t="s">
        <v>11404</v>
      </c>
      <c r="F28473" s="40" t="s">
        <v>11404</v>
      </c>
      <c r="G28473" s="40" t="s">
        <v>11404</v>
      </c>
      <c r="H28473" s="40" t="s">
        <v>11404</v>
      </c>
    </row>
    <row r="28474">
      <c r="A28474" s="39"/>
      <c r="E28474" s="40" t="s">
        <v>11404</v>
      </c>
      <c r="F28474" s="40" t="s">
        <v>11404</v>
      </c>
      <c r="G28474" s="40" t="s">
        <v>11404</v>
      </c>
      <c r="H28474" s="40" t="s">
        <v>11404</v>
      </c>
    </row>
    <row r="28475">
      <c r="A28475" s="39"/>
      <c r="E28475" s="40" t="s">
        <v>11404</v>
      </c>
      <c r="F28475" s="40" t="s">
        <v>11404</v>
      </c>
      <c r="G28475" s="40" t="s">
        <v>11404</v>
      </c>
      <c r="H28475" s="40" t="s">
        <v>11404</v>
      </c>
    </row>
    <row r="28476">
      <c r="A28476" s="39"/>
      <c r="E28476" s="40" t="s">
        <v>11404</v>
      </c>
      <c r="F28476" s="40" t="s">
        <v>11404</v>
      </c>
      <c r="G28476" s="40" t="s">
        <v>11404</v>
      </c>
      <c r="H28476" s="40" t="s">
        <v>11404</v>
      </c>
    </row>
    <row r="28477">
      <c r="A28477" s="39"/>
      <c r="E28477" s="40" t="s">
        <v>11404</v>
      </c>
      <c r="F28477" s="40" t="s">
        <v>11404</v>
      </c>
      <c r="G28477" s="40" t="s">
        <v>11404</v>
      </c>
      <c r="H28477" s="40" t="s">
        <v>11404</v>
      </c>
    </row>
    <row r="28478">
      <c r="A28478" s="39"/>
      <c r="E28478" s="40" t="s">
        <v>11404</v>
      </c>
      <c r="F28478" s="40" t="s">
        <v>11404</v>
      </c>
      <c r="G28478" s="40" t="s">
        <v>11404</v>
      </c>
      <c r="H28478" s="40" t="s">
        <v>11404</v>
      </c>
    </row>
    <row r="28479">
      <c r="A28479" s="39"/>
      <c r="E28479" s="40" t="s">
        <v>11404</v>
      </c>
      <c r="F28479" s="40" t="s">
        <v>11404</v>
      </c>
      <c r="G28479" s="40" t="s">
        <v>11404</v>
      </c>
      <c r="H28479" s="40" t="s">
        <v>11404</v>
      </c>
    </row>
    <row r="28480">
      <c r="A28480" s="39"/>
      <c r="E28480" s="40" t="s">
        <v>11404</v>
      </c>
      <c r="F28480" s="40" t="s">
        <v>11404</v>
      </c>
      <c r="G28480" s="40" t="s">
        <v>11404</v>
      </c>
      <c r="H28480" s="40" t="s">
        <v>11404</v>
      </c>
    </row>
    <row r="28481">
      <c r="A28481" s="39"/>
      <c r="E28481" s="40" t="s">
        <v>11404</v>
      </c>
      <c r="F28481" s="40" t="s">
        <v>11404</v>
      </c>
      <c r="G28481" s="40" t="s">
        <v>11404</v>
      </c>
      <c r="H28481" s="40" t="s">
        <v>11404</v>
      </c>
    </row>
    <row r="28482">
      <c r="A28482" s="39"/>
      <c r="E28482" s="40" t="s">
        <v>11404</v>
      </c>
      <c r="F28482" s="40" t="s">
        <v>11404</v>
      </c>
      <c r="G28482" s="40" t="s">
        <v>11404</v>
      </c>
      <c r="H28482" s="40" t="s">
        <v>11404</v>
      </c>
    </row>
    <row r="28483">
      <c r="A28483" s="39"/>
      <c r="E28483" s="40" t="s">
        <v>11404</v>
      </c>
      <c r="F28483" s="40" t="s">
        <v>11404</v>
      </c>
      <c r="G28483" s="40" t="s">
        <v>11404</v>
      </c>
      <c r="H28483" s="40" t="s">
        <v>11404</v>
      </c>
    </row>
    <row r="28484">
      <c r="A28484" s="39"/>
      <c r="E28484" s="40" t="s">
        <v>11404</v>
      </c>
      <c r="F28484" s="40" t="s">
        <v>11404</v>
      </c>
      <c r="G28484" s="40" t="s">
        <v>11404</v>
      </c>
      <c r="H28484" s="40" t="s">
        <v>11404</v>
      </c>
    </row>
    <row r="28485">
      <c r="A28485" s="39"/>
      <c r="E28485" s="40" t="s">
        <v>11404</v>
      </c>
      <c r="F28485" s="40" t="s">
        <v>11404</v>
      </c>
      <c r="G28485" s="40" t="s">
        <v>11404</v>
      </c>
      <c r="H28485" s="40" t="s">
        <v>11404</v>
      </c>
    </row>
    <row r="28486">
      <c r="A28486" s="39"/>
      <c r="E28486" s="40" t="s">
        <v>11404</v>
      </c>
      <c r="F28486" s="40" t="s">
        <v>11404</v>
      </c>
      <c r="G28486" s="40" t="s">
        <v>11404</v>
      </c>
      <c r="H28486" s="40" t="s">
        <v>11404</v>
      </c>
    </row>
    <row r="28487">
      <c r="A28487" s="39"/>
      <c r="E28487" s="40" t="s">
        <v>11404</v>
      </c>
      <c r="F28487" s="40" t="s">
        <v>11404</v>
      </c>
      <c r="G28487" s="40" t="s">
        <v>11404</v>
      </c>
      <c r="H28487" s="40" t="s">
        <v>11404</v>
      </c>
    </row>
    <row r="28488">
      <c r="A28488" s="39"/>
      <c r="E28488" s="40" t="s">
        <v>11404</v>
      </c>
      <c r="F28488" s="40" t="s">
        <v>11404</v>
      </c>
      <c r="G28488" s="40" t="s">
        <v>11404</v>
      </c>
      <c r="H28488" s="40" t="s">
        <v>11404</v>
      </c>
    </row>
    <row r="28489">
      <c r="A28489" s="39"/>
      <c r="E28489" s="40" t="s">
        <v>11404</v>
      </c>
      <c r="F28489" s="40" t="s">
        <v>11404</v>
      </c>
      <c r="G28489" s="40" t="s">
        <v>11404</v>
      </c>
      <c r="H28489" s="40" t="s">
        <v>11404</v>
      </c>
    </row>
    <row r="28490">
      <c r="A28490" s="39"/>
      <c r="E28490" s="40" t="s">
        <v>11404</v>
      </c>
      <c r="F28490" s="40" t="s">
        <v>11404</v>
      </c>
      <c r="G28490" s="40" t="s">
        <v>11404</v>
      </c>
      <c r="H28490" s="40" t="s">
        <v>11404</v>
      </c>
    </row>
    <row r="28491">
      <c r="A28491" s="39"/>
      <c r="E28491" s="40" t="s">
        <v>11404</v>
      </c>
      <c r="F28491" s="40" t="s">
        <v>11404</v>
      </c>
      <c r="G28491" s="40" t="s">
        <v>11404</v>
      </c>
      <c r="H28491" s="40" t="s">
        <v>11404</v>
      </c>
    </row>
    <row r="28492">
      <c r="A28492" s="39"/>
      <c r="E28492" s="40" t="s">
        <v>11404</v>
      </c>
      <c r="F28492" s="40" t="s">
        <v>11404</v>
      </c>
      <c r="G28492" s="40" t="s">
        <v>11404</v>
      </c>
      <c r="H28492" s="40" t="s">
        <v>11404</v>
      </c>
    </row>
    <row r="28493">
      <c r="A28493" s="39"/>
      <c r="E28493" s="40" t="s">
        <v>11404</v>
      </c>
      <c r="F28493" s="40" t="s">
        <v>11404</v>
      </c>
      <c r="G28493" s="40" t="s">
        <v>11404</v>
      </c>
      <c r="H28493" s="40" t="s">
        <v>11404</v>
      </c>
    </row>
    <row r="28494">
      <c r="A28494" s="39"/>
      <c r="E28494" s="40" t="s">
        <v>11404</v>
      </c>
      <c r="F28494" s="40" t="s">
        <v>11404</v>
      </c>
      <c r="G28494" s="40" t="s">
        <v>11404</v>
      </c>
      <c r="H28494" s="40" t="s">
        <v>11404</v>
      </c>
    </row>
    <row r="28495">
      <c r="A28495" s="39"/>
      <c r="E28495" s="40" t="s">
        <v>11404</v>
      </c>
      <c r="F28495" s="40" t="s">
        <v>11404</v>
      </c>
      <c r="G28495" s="40" t="s">
        <v>11404</v>
      </c>
      <c r="H28495" s="40" t="s">
        <v>11404</v>
      </c>
    </row>
    <row r="28496">
      <c r="A28496" s="39"/>
      <c r="E28496" s="40" t="s">
        <v>11404</v>
      </c>
      <c r="F28496" s="40" t="s">
        <v>11404</v>
      </c>
      <c r="G28496" s="40" t="s">
        <v>11404</v>
      </c>
      <c r="H28496" s="40" t="s">
        <v>11404</v>
      </c>
    </row>
    <row r="28497">
      <c r="A28497" s="39"/>
      <c r="E28497" s="40" t="s">
        <v>11404</v>
      </c>
      <c r="F28497" s="40" t="s">
        <v>11404</v>
      </c>
      <c r="G28497" s="40" t="s">
        <v>11404</v>
      </c>
      <c r="H28497" s="40" t="s">
        <v>11404</v>
      </c>
    </row>
    <row r="28498">
      <c r="A28498" s="39"/>
      <c r="E28498" s="40" t="s">
        <v>11404</v>
      </c>
      <c r="F28498" s="40" t="s">
        <v>11404</v>
      </c>
      <c r="G28498" s="40" t="s">
        <v>11404</v>
      </c>
      <c r="H28498" s="40" t="s">
        <v>11404</v>
      </c>
    </row>
    <row r="28499">
      <c r="A28499" s="39"/>
      <c r="E28499" s="40" t="s">
        <v>11404</v>
      </c>
      <c r="F28499" s="40" t="s">
        <v>11404</v>
      </c>
      <c r="G28499" s="40" t="s">
        <v>11404</v>
      </c>
      <c r="H28499" s="40" t="s">
        <v>11404</v>
      </c>
    </row>
    <row r="28500">
      <c r="A28500" s="39"/>
      <c r="E28500" s="40" t="s">
        <v>11404</v>
      </c>
      <c r="F28500" s="40" t="s">
        <v>11404</v>
      </c>
      <c r="G28500" s="40" t="s">
        <v>11404</v>
      </c>
      <c r="H28500" s="40" t="s">
        <v>11404</v>
      </c>
    </row>
    <row r="28501">
      <c r="A28501" s="39"/>
      <c r="E28501" s="40" t="s">
        <v>11404</v>
      </c>
      <c r="F28501" s="40" t="s">
        <v>11404</v>
      </c>
      <c r="G28501" s="40" t="s">
        <v>11404</v>
      </c>
      <c r="H28501" s="40" t="s">
        <v>11404</v>
      </c>
    </row>
    <row r="28502">
      <c r="A28502" s="39"/>
      <c r="E28502" s="40" t="s">
        <v>11404</v>
      </c>
      <c r="F28502" s="40" t="s">
        <v>11404</v>
      </c>
      <c r="G28502" s="40" t="s">
        <v>11404</v>
      </c>
      <c r="H28502" s="40" t="s">
        <v>11404</v>
      </c>
    </row>
    <row r="28503">
      <c r="A28503" s="39"/>
      <c r="E28503" s="40" t="s">
        <v>11404</v>
      </c>
      <c r="F28503" s="40" t="s">
        <v>11404</v>
      </c>
      <c r="G28503" s="40" t="s">
        <v>11404</v>
      </c>
      <c r="H28503" s="40" t="s">
        <v>11404</v>
      </c>
    </row>
    <row r="28504">
      <c r="A28504" s="39"/>
      <c r="E28504" s="40" t="s">
        <v>11404</v>
      </c>
      <c r="F28504" s="40" t="s">
        <v>11404</v>
      </c>
      <c r="G28504" s="40" t="s">
        <v>11404</v>
      </c>
      <c r="H28504" s="40" t="s">
        <v>11404</v>
      </c>
    </row>
    <row r="28505">
      <c r="A28505" s="39"/>
      <c r="E28505" s="40" t="s">
        <v>11404</v>
      </c>
      <c r="F28505" s="40" t="s">
        <v>11404</v>
      </c>
      <c r="G28505" s="40" t="s">
        <v>11404</v>
      </c>
      <c r="H28505" s="40" t="s">
        <v>11404</v>
      </c>
    </row>
    <row r="28506">
      <c r="A28506" s="39"/>
      <c r="E28506" s="40" t="s">
        <v>11404</v>
      </c>
      <c r="F28506" s="40" t="s">
        <v>11404</v>
      </c>
      <c r="G28506" s="40" t="s">
        <v>11404</v>
      </c>
      <c r="H28506" s="40" t="s">
        <v>11404</v>
      </c>
    </row>
    <row r="28507">
      <c r="A28507" s="39"/>
      <c r="E28507" s="40" t="s">
        <v>11404</v>
      </c>
      <c r="F28507" s="40" t="s">
        <v>11404</v>
      </c>
      <c r="G28507" s="40" t="s">
        <v>11404</v>
      </c>
      <c r="H28507" s="40" t="s">
        <v>11404</v>
      </c>
    </row>
    <row r="28508">
      <c r="A28508" s="39"/>
      <c r="E28508" s="40" t="s">
        <v>11404</v>
      </c>
      <c r="F28508" s="40" t="s">
        <v>11404</v>
      </c>
      <c r="G28508" s="40" t="s">
        <v>11404</v>
      </c>
      <c r="H28508" s="40" t="s">
        <v>11404</v>
      </c>
    </row>
    <row r="28509">
      <c r="A28509" s="39"/>
      <c r="E28509" s="40" t="s">
        <v>11404</v>
      </c>
      <c r="F28509" s="40" t="s">
        <v>11404</v>
      </c>
      <c r="G28509" s="40" t="s">
        <v>11404</v>
      </c>
      <c r="H28509" s="40" t="s">
        <v>11404</v>
      </c>
    </row>
    <row r="28510">
      <c r="A28510" s="39"/>
      <c r="E28510" s="40" t="s">
        <v>11404</v>
      </c>
      <c r="F28510" s="40" t="s">
        <v>11404</v>
      </c>
      <c r="G28510" s="40" t="s">
        <v>11404</v>
      </c>
      <c r="H28510" s="40" t="s">
        <v>11404</v>
      </c>
    </row>
    <row r="28511">
      <c r="A28511" s="39"/>
      <c r="E28511" s="40" t="s">
        <v>11404</v>
      </c>
      <c r="F28511" s="40" t="s">
        <v>11404</v>
      </c>
      <c r="G28511" s="40" t="s">
        <v>11404</v>
      </c>
      <c r="H28511" s="40" t="s">
        <v>11404</v>
      </c>
    </row>
    <row r="28512">
      <c r="A28512" s="39"/>
      <c r="E28512" s="40" t="s">
        <v>11404</v>
      </c>
      <c r="F28512" s="40" t="s">
        <v>11404</v>
      </c>
      <c r="G28512" s="40" t="s">
        <v>11404</v>
      </c>
      <c r="H28512" s="40" t="s">
        <v>11404</v>
      </c>
    </row>
    <row r="28513">
      <c r="A28513" s="39"/>
      <c r="E28513" s="40" t="s">
        <v>11404</v>
      </c>
      <c r="F28513" s="40" t="s">
        <v>11404</v>
      </c>
      <c r="G28513" s="40" t="s">
        <v>11404</v>
      </c>
      <c r="H28513" s="40" t="s">
        <v>11404</v>
      </c>
    </row>
    <row r="28514">
      <c r="A28514" s="39"/>
      <c r="E28514" s="40" t="s">
        <v>11404</v>
      </c>
      <c r="F28514" s="40" t="s">
        <v>11404</v>
      </c>
      <c r="G28514" s="40" t="s">
        <v>11404</v>
      </c>
      <c r="H28514" s="40" t="s">
        <v>11404</v>
      </c>
    </row>
    <row r="28515">
      <c r="A28515" s="39"/>
      <c r="E28515" s="40" t="s">
        <v>11404</v>
      </c>
      <c r="F28515" s="40" t="s">
        <v>11404</v>
      </c>
      <c r="G28515" s="40" t="s">
        <v>11404</v>
      </c>
      <c r="H28515" s="40" t="s">
        <v>11404</v>
      </c>
    </row>
    <row r="28516">
      <c r="A28516" s="39"/>
      <c r="E28516" s="40" t="s">
        <v>11404</v>
      </c>
      <c r="F28516" s="40" t="s">
        <v>11404</v>
      </c>
      <c r="G28516" s="40" t="s">
        <v>11404</v>
      </c>
      <c r="H28516" s="40" t="s">
        <v>11404</v>
      </c>
    </row>
    <row r="28517">
      <c r="A28517" s="39"/>
      <c r="E28517" s="40" t="s">
        <v>11404</v>
      </c>
      <c r="F28517" s="40" t="s">
        <v>11404</v>
      </c>
      <c r="G28517" s="40" t="s">
        <v>11404</v>
      </c>
      <c r="H28517" s="40" t="s">
        <v>11404</v>
      </c>
    </row>
    <row r="28518">
      <c r="A28518" s="39"/>
      <c r="E28518" s="40" t="s">
        <v>11404</v>
      </c>
      <c r="F28518" s="40" t="s">
        <v>11404</v>
      </c>
      <c r="G28518" s="40" t="s">
        <v>11404</v>
      </c>
      <c r="H28518" s="40" t="s">
        <v>11404</v>
      </c>
    </row>
    <row r="28519">
      <c r="A28519" s="39"/>
      <c r="E28519" s="40" t="s">
        <v>11404</v>
      </c>
      <c r="F28519" s="40" t="s">
        <v>11404</v>
      </c>
      <c r="G28519" s="40" t="s">
        <v>11404</v>
      </c>
      <c r="H28519" s="40" t="s">
        <v>11404</v>
      </c>
    </row>
    <row r="28520">
      <c r="A28520" s="39"/>
      <c r="E28520" s="40" t="s">
        <v>11404</v>
      </c>
      <c r="F28520" s="40" t="s">
        <v>11404</v>
      </c>
      <c r="G28520" s="40" t="s">
        <v>11404</v>
      </c>
      <c r="H28520" s="40" t="s">
        <v>11404</v>
      </c>
    </row>
    <row r="28521">
      <c r="A28521" s="39"/>
      <c r="E28521" s="40" t="s">
        <v>11404</v>
      </c>
      <c r="F28521" s="40" t="s">
        <v>11404</v>
      </c>
      <c r="G28521" s="40" t="s">
        <v>11404</v>
      </c>
      <c r="H28521" s="40" t="s">
        <v>11404</v>
      </c>
    </row>
    <row r="28522">
      <c r="A28522" s="39"/>
      <c r="E28522" s="40" t="s">
        <v>11404</v>
      </c>
      <c r="F28522" s="40" t="s">
        <v>11404</v>
      </c>
      <c r="G28522" s="40" t="s">
        <v>11404</v>
      </c>
      <c r="H28522" s="40" t="s">
        <v>11404</v>
      </c>
    </row>
    <row r="28523">
      <c r="A28523" s="39"/>
      <c r="E28523" s="40" t="s">
        <v>11404</v>
      </c>
      <c r="F28523" s="40" t="s">
        <v>11404</v>
      </c>
      <c r="G28523" s="40" t="s">
        <v>11404</v>
      </c>
      <c r="H28523" s="40" t="s">
        <v>11404</v>
      </c>
    </row>
    <row r="28524">
      <c r="A28524" s="39"/>
      <c r="E28524" s="40" t="s">
        <v>11404</v>
      </c>
      <c r="F28524" s="40" t="s">
        <v>11404</v>
      </c>
      <c r="G28524" s="40" t="s">
        <v>11404</v>
      </c>
      <c r="H28524" s="40" t="s">
        <v>11404</v>
      </c>
    </row>
    <row r="28525">
      <c r="A28525" s="39"/>
      <c r="E28525" s="40" t="s">
        <v>11404</v>
      </c>
      <c r="F28525" s="40" t="s">
        <v>11404</v>
      </c>
      <c r="G28525" s="40" t="s">
        <v>11404</v>
      </c>
      <c r="H28525" s="40" t="s">
        <v>11404</v>
      </c>
    </row>
    <row r="28526">
      <c r="A28526" s="39"/>
      <c r="E28526" s="40" t="s">
        <v>11404</v>
      </c>
      <c r="F28526" s="40" t="s">
        <v>11404</v>
      </c>
      <c r="G28526" s="40" t="s">
        <v>11404</v>
      </c>
      <c r="H28526" s="40" t="s">
        <v>11404</v>
      </c>
    </row>
    <row r="28527">
      <c r="A28527" s="39"/>
      <c r="E28527" s="40" t="s">
        <v>11404</v>
      </c>
      <c r="F28527" s="40" t="s">
        <v>11404</v>
      </c>
      <c r="G28527" s="40" t="s">
        <v>11404</v>
      </c>
      <c r="H28527" s="40" t="s">
        <v>11404</v>
      </c>
    </row>
    <row r="28528">
      <c r="A28528" s="39"/>
      <c r="E28528" s="40" t="s">
        <v>11404</v>
      </c>
      <c r="F28528" s="40" t="s">
        <v>11404</v>
      </c>
      <c r="G28528" s="40" t="s">
        <v>11404</v>
      </c>
      <c r="H28528" s="40" t="s">
        <v>11404</v>
      </c>
    </row>
    <row r="28529">
      <c r="A28529" s="39"/>
      <c r="E28529" s="40" t="s">
        <v>11404</v>
      </c>
      <c r="F28529" s="40" t="s">
        <v>11404</v>
      </c>
      <c r="G28529" s="40" t="s">
        <v>11404</v>
      </c>
      <c r="H28529" s="40" t="s">
        <v>11404</v>
      </c>
    </row>
    <row r="28530">
      <c r="A28530" s="39"/>
      <c r="E28530" s="40" t="s">
        <v>11404</v>
      </c>
      <c r="F28530" s="40" t="s">
        <v>11404</v>
      </c>
      <c r="G28530" s="40" t="s">
        <v>11404</v>
      </c>
      <c r="H28530" s="40" t="s">
        <v>11404</v>
      </c>
    </row>
    <row r="28531">
      <c r="A28531" s="39"/>
      <c r="E28531" s="40" t="s">
        <v>11404</v>
      </c>
      <c r="F28531" s="40" t="s">
        <v>11404</v>
      </c>
      <c r="G28531" s="40" t="s">
        <v>11404</v>
      </c>
      <c r="H28531" s="40" t="s">
        <v>11404</v>
      </c>
    </row>
    <row r="28532">
      <c r="A28532" s="39"/>
      <c r="E28532" s="40" t="s">
        <v>11404</v>
      </c>
      <c r="F28532" s="40" t="s">
        <v>11404</v>
      </c>
      <c r="G28532" s="40" t="s">
        <v>11404</v>
      </c>
      <c r="H28532" s="40" t="s">
        <v>11404</v>
      </c>
    </row>
    <row r="28533">
      <c r="A28533" s="39"/>
      <c r="E28533" s="40" t="s">
        <v>11404</v>
      </c>
      <c r="F28533" s="40" t="s">
        <v>11404</v>
      </c>
      <c r="G28533" s="40" t="s">
        <v>11404</v>
      </c>
      <c r="H28533" s="40" t="s">
        <v>11404</v>
      </c>
    </row>
    <row r="28534">
      <c r="A28534" s="39"/>
      <c r="E28534" s="40" t="s">
        <v>11404</v>
      </c>
      <c r="F28534" s="40" t="s">
        <v>11404</v>
      </c>
      <c r="G28534" s="40" t="s">
        <v>11404</v>
      </c>
      <c r="H28534" s="40" t="s">
        <v>11404</v>
      </c>
    </row>
    <row r="28535">
      <c r="A28535" s="39"/>
      <c r="E28535" s="40" t="s">
        <v>11404</v>
      </c>
      <c r="F28535" s="40" t="s">
        <v>11404</v>
      </c>
      <c r="G28535" s="40" t="s">
        <v>11404</v>
      </c>
      <c r="H28535" s="40" t="s">
        <v>11404</v>
      </c>
    </row>
    <row r="28536">
      <c r="A28536" s="39"/>
      <c r="E28536" s="40" t="s">
        <v>11404</v>
      </c>
      <c r="F28536" s="40" t="s">
        <v>11404</v>
      </c>
      <c r="G28536" s="40" t="s">
        <v>11404</v>
      </c>
      <c r="H28536" s="40" t="s">
        <v>11404</v>
      </c>
    </row>
    <row r="28537">
      <c r="A28537" s="39"/>
      <c r="E28537" s="40" t="s">
        <v>11404</v>
      </c>
      <c r="F28537" s="40" t="s">
        <v>11404</v>
      </c>
      <c r="G28537" s="40" t="s">
        <v>11404</v>
      </c>
      <c r="H28537" s="40" t="s">
        <v>11404</v>
      </c>
    </row>
    <row r="28538">
      <c r="A28538" s="39"/>
      <c r="E28538" s="40" t="s">
        <v>11404</v>
      </c>
      <c r="F28538" s="40" t="s">
        <v>11404</v>
      </c>
      <c r="G28538" s="40" t="s">
        <v>11404</v>
      </c>
      <c r="H28538" s="40" t="s">
        <v>11404</v>
      </c>
    </row>
    <row r="28539">
      <c r="A28539" s="39"/>
      <c r="E28539" s="40" t="s">
        <v>11404</v>
      </c>
      <c r="F28539" s="40" t="s">
        <v>11404</v>
      </c>
      <c r="G28539" s="40" t="s">
        <v>11404</v>
      </c>
      <c r="H28539" s="40" t="s">
        <v>11404</v>
      </c>
    </row>
    <row r="28540">
      <c r="A28540" s="39"/>
      <c r="E28540" s="40" t="s">
        <v>11404</v>
      </c>
      <c r="F28540" s="40" t="s">
        <v>11404</v>
      </c>
      <c r="G28540" s="40" t="s">
        <v>11404</v>
      </c>
      <c r="H28540" s="40" t="s">
        <v>11404</v>
      </c>
    </row>
    <row r="28541">
      <c r="A28541" s="39"/>
      <c r="E28541" s="40" t="s">
        <v>11404</v>
      </c>
      <c r="F28541" s="40" t="s">
        <v>11404</v>
      </c>
      <c r="G28541" s="40" t="s">
        <v>11404</v>
      </c>
      <c r="H28541" s="40" t="s">
        <v>11404</v>
      </c>
    </row>
    <row r="28542">
      <c r="A28542" s="39"/>
      <c r="E28542" s="40" t="s">
        <v>11404</v>
      </c>
      <c r="F28542" s="40" t="s">
        <v>11404</v>
      </c>
      <c r="G28542" s="40" t="s">
        <v>11404</v>
      </c>
      <c r="H28542" s="40" t="s">
        <v>11404</v>
      </c>
    </row>
    <row r="28543">
      <c r="A28543" s="39"/>
      <c r="E28543" s="40" t="s">
        <v>11404</v>
      </c>
      <c r="F28543" s="40" t="s">
        <v>11404</v>
      </c>
      <c r="G28543" s="40" t="s">
        <v>11404</v>
      </c>
      <c r="H28543" s="40" t="s">
        <v>11404</v>
      </c>
    </row>
    <row r="28544">
      <c r="A28544" s="39"/>
      <c r="E28544" s="40" t="s">
        <v>11404</v>
      </c>
      <c r="F28544" s="40" t="s">
        <v>11404</v>
      </c>
      <c r="G28544" s="40" t="s">
        <v>11404</v>
      </c>
      <c r="H28544" s="40" t="s">
        <v>11404</v>
      </c>
    </row>
    <row r="28545">
      <c r="A28545" s="39"/>
      <c r="E28545" s="40" t="s">
        <v>11404</v>
      </c>
      <c r="F28545" s="40" t="s">
        <v>11404</v>
      </c>
      <c r="G28545" s="40" t="s">
        <v>11404</v>
      </c>
      <c r="H28545" s="40" t="s">
        <v>11404</v>
      </c>
    </row>
    <row r="28546">
      <c r="A28546" s="39"/>
      <c r="E28546" s="40" t="s">
        <v>11404</v>
      </c>
      <c r="F28546" s="40" t="s">
        <v>11404</v>
      </c>
      <c r="G28546" s="40" t="s">
        <v>11404</v>
      </c>
      <c r="H28546" s="40" t="s">
        <v>11404</v>
      </c>
    </row>
    <row r="28547">
      <c r="A28547" s="39"/>
      <c r="E28547" s="40" t="s">
        <v>11404</v>
      </c>
      <c r="F28547" s="40" t="s">
        <v>11404</v>
      </c>
      <c r="G28547" s="40" t="s">
        <v>11404</v>
      </c>
      <c r="H28547" s="40" t="s">
        <v>11404</v>
      </c>
    </row>
    <row r="28548">
      <c r="A28548" s="39"/>
      <c r="E28548" s="40" t="s">
        <v>11404</v>
      </c>
      <c r="F28548" s="40" t="s">
        <v>11404</v>
      </c>
      <c r="G28548" s="40" t="s">
        <v>11404</v>
      </c>
      <c r="H28548" s="40" t="s">
        <v>11404</v>
      </c>
    </row>
    <row r="28549">
      <c r="A28549" s="39"/>
      <c r="E28549" s="40" t="s">
        <v>11404</v>
      </c>
      <c r="F28549" s="40" t="s">
        <v>11404</v>
      </c>
      <c r="G28549" s="40" t="s">
        <v>11404</v>
      </c>
      <c r="H28549" s="40" t="s">
        <v>11404</v>
      </c>
    </row>
    <row r="28550">
      <c r="A28550" s="39"/>
      <c r="E28550" s="40" t="s">
        <v>11404</v>
      </c>
      <c r="F28550" s="40" t="s">
        <v>11404</v>
      </c>
      <c r="G28550" s="40" t="s">
        <v>11404</v>
      </c>
      <c r="H28550" s="40" t="s">
        <v>11404</v>
      </c>
    </row>
    <row r="28551">
      <c r="A28551" s="39"/>
      <c r="E28551" s="40" t="s">
        <v>11404</v>
      </c>
      <c r="F28551" s="40" t="s">
        <v>11404</v>
      </c>
      <c r="G28551" s="40" t="s">
        <v>11404</v>
      </c>
      <c r="H28551" s="40" t="s">
        <v>11404</v>
      </c>
    </row>
    <row r="28552">
      <c r="A28552" s="39"/>
      <c r="E28552" s="40" t="s">
        <v>11404</v>
      </c>
      <c r="F28552" s="40" t="s">
        <v>11404</v>
      </c>
      <c r="G28552" s="40" t="s">
        <v>11404</v>
      </c>
      <c r="H28552" s="40" t="s">
        <v>11404</v>
      </c>
    </row>
    <row r="28553">
      <c r="A28553" s="39"/>
      <c r="E28553" s="40" t="s">
        <v>11404</v>
      </c>
      <c r="F28553" s="40" t="s">
        <v>11404</v>
      </c>
      <c r="G28553" s="40" t="s">
        <v>11404</v>
      </c>
      <c r="H28553" s="40" t="s">
        <v>11404</v>
      </c>
    </row>
    <row r="28554">
      <c r="A28554" s="39"/>
      <c r="E28554" s="40" t="s">
        <v>11404</v>
      </c>
      <c r="F28554" s="40" t="s">
        <v>11404</v>
      </c>
      <c r="G28554" s="40" t="s">
        <v>11404</v>
      </c>
      <c r="H28554" s="40" t="s">
        <v>11404</v>
      </c>
    </row>
    <row r="28555">
      <c r="A28555" s="39"/>
      <c r="E28555" s="40" t="s">
        <v>11404</v>
      </c>
      <c r="F28555" s="40" t="s">
        <v>11404</v>
      </c>
      <c r="G28555" s="40" t="s">
        <v>11404</v>
      </c>
      <c r="H28555" s="40" t="s">
        <v>11404</v>
      </c>
    </row>
    <row r="28556">
      <c r="A28556" s="39"/>
      <c r="E28556" s="40" t="s">
        <v>11404</v>
      </c>
      <c r="F28556" s="40" t="s">
        <v>11404</v>
      </c>
      <c r="G28556" s="40" t="s">
        <v>11404</v>
      </c>
      <c r="H28556" s="40" t="s">
        <v>11404</v>
      </c>
    </row>
    <row r="28557">
      <c r="A28557" s="39"/>
      <c r="E28557" s="40" t="s">
        <v>11404</v>
      </c>
      <c r="F28557" s="40" t="s">
        <v>11404</v>
      </c>
      <c r="G28557" s="40" t="s">
        <v>11404</v>
      </c>
      <c r="H28557" s="40" t="s">
        <v>11404</v>
      </c>
    </row>
    <row r="28558">
      <c r="A28558" s="39"/>
      <c r="E28558" s="40" t="s">
        <v>11404</v>
      </c>
      <c r="F28558" s="40" t="s">
        <v>11404</v>
      </c>
      <c r="G28558" s="40" t="s">
        <v>11404</v>
      </c>
      <c r="H28558" s="40" t="s">
        <v>11404</v>
      </c>
    </row>
    <row r="28559">
      <c r="A28559" s="39"/>
      <c r="E28559" s="40" t="s">
        <v>11404</v>
      </c>
      <c r="F28559" s="40" t="s">
        <v>11404</v>
      </c>
      <c r="G28559" s="40" t="s">
        <v>11404</v>
      </c>
      <c r="H28559" s="40" t="s">
        <v>11404</v>
      </c>
    </row>
    <row r="28560">
      <c r="A28560" s="39"/>
      <c r="E28560" s="40" t="s">
        <v>11404</v>
      </c>
      <c r="F28560" s="40" t="s">
        <v>11404</v>
      </c>
      <c r="G28560" s="40" t="s">
        <v>11404</v>
      </c>
      <c r="H28560" s="40" t="s">
        <v>11404</v>
      </c>
    </row>
    <row r="28561">
      <c r="A28561" s="39"/>
      <c r="E28561" s="40" t="s">
        <v>11404</v>
      </c>
      <c r="F28561" s="40" t="s">
        <v>11404</v>
      </c>
      <c r="G28561" s="40" t="s">
        <v>11404</v>
      </c>
      <c r="H28561" s="40" t="s">
        <v>11404</v>
      </c>
    </row>
    <row r="28562">
      <c r="A28562" s="39"/>
      <c r="E28562" s="40" t="s">
        <v>11404</v>
      </c>
      <c r="F28562" s="40" t="s">
        <v>11404</v>
      </c>
      <c r="G28562" s="40" t="s">
        <v>11404</v>
      </c>
      <c r="H28562" s="40" t="s">
        <v>11404</v>
      </c>
    </row>
    <row r="28563">
      <c r="A28563" s="39"/>
      <c r="E28563" s="40" t="s">
        <v>11404</v>
      </c>
      <c r="F28563" s="40" t="s">
        <v>11404</v>
      </c>
      <c r="G28563" s="40" t="s">
        <v>11404</v>
      </c>
      <c r="H28563" s="40" t="s">
        <v>11404</v>
      </c>
    </row>
    <row r="28564">
      <c r="A28564" s="39"/>
      <c r="E28564" s="40" t="s">
        <v>11404</v>
      </c>
      <c r="F28564" s="40" t="s">
        <v>11404</v>
      </c>
      <c r="G28564" s="40" t="s">
        <v>11404</v>
      </c>
      <c r="H28564" s="40" t="s">
        <v>11404</v>
      </c>
    </row>
    <row r="28565">
      <c r="A28565" s="39"/>
      <c r="E28565" s="40" t="s">
        <v>11404</v>
      </c>
      <c r="F28565" s="40" t="s">
        <v>11404</v>
      </c>
      <c r="G28565" s="40" t="s">
        <v>11404</v>
      </c>
      <c r="H28565" s="40" t="s">
        <v>11404</v>
      </c>
    </row>
    <row r="28566">
      <c r="A28566" s="39"/>
      <c r="E28566" s="40" t="s">
        <v>11404</v>
      </c>
      <c r="F28566" s="40" t="s">
        <v>11404</v>
      </c>
      <c r="G28566" s="40" t="s">
        <v>11404</v>
      </c>
      <c r="H28566" s="40" t="s">
        <v>11404</v>
      </c>
    </row>
    <row r="28567">
      <c r="A28567" s="39"/>
      <c r="E28567" s="40" t="s">
        <v>11404</v>
      </c>
      <c r="F28567" s="40" t="s">
        <v>11404</v>
      </c>
      <c r="G28567" s="40" t="s">
        <v>11404</v>
      </c>
      <c r="H28567" s="40" t="s">
        <v>11404</v>
      </c>
    </row>
    <row r="28568">
      <c r="A28568" s="39"/>
      <c r="E28568" s="40" t="s">
        <v>11404</v>
      </c>
      <c r="F28568" s="40" t="s">
        <v>11404</v>
      </c>
      <c r="G28568" s="40" t="s">
        <v>11404</v>
      </c>
      <c r="H28568" s="40" t="s">
        <v>11404</v>
      </c>
    </row>
    <row r="28569">
      <c r="A28569" s="39"/>
      <c r="E28569" s="40" t="s">
        <v>11404</v>
      </c>
      <c r="F28569" s="40" t="s">
        <v>11404</v>
      </c>
      <c r="G28569" s="40" t="s">
        <v>11404</v>
      </c>
      <c r="H28569" s="40" t="s">
        <v>11404</v>
      </c>
    </row>
    <row r="28570">
      <c r="A28570" s="39"/>
      <c r="E28570" s="40" t="s">
        <v>11404</v>
      </c>
      <c r="F28570" s="40" t="s">
        <v>11404</v>
      </c>
      <c r="G28570" s="40" t="s">
        <v>11404</v>
      </c>
      <c r="H28570" s="40" t="s">
        <v>11404</v>
      </c>
    </row>
    <row r="28571">
      <c r="A28571" s="39"/>
      <c r="E28571" s="40" t="s">
        <v>11404</v>
      </c>
      <c r="F28571" s="40" t="s">
        <v>11404</v>
      </c>
      <c r="G28571" s="40" t="s">
        <v>11404</v>
      </c>
      <c r="H28571" s="40" t="s">
        <v>11404</v>
      </c>
    </row>
    <row r="28572">
      <c r="A28572" s="39"/>
      <c r="E28572" s="40" t="s">
        <v>11404</v>
      </c>
      <c r="F28572" s="40" t="s">
        <v>11404</v>
      </c>
      <c r="G28572" s="40" t="s">
        <v>11404</v>
      </c>
      <c r="H28572" s="40" t="s">
        <v>11404</v>
      </c>
    </row>
    <row r="28573">
      <c r="A28573" s="39"/>
      <c r="E28573" s="40" t="s">
        <v>11404</v>
      </c>
      <c r="F28573" s="40" t="s">
        <v>11404</v>
      </c>
      <c r="G28573" s="40" t="s">
        <v>11404</v>
      </c>
      <c r="H28573" s="40" t="s">
        <v>11404</v>
      </c>
    </row>
    <row r="28574">
      <c r="A28574" s="39"/>
      <c r="E28574" s="40" t="s">
        <v>11404</v>
      </c>
      <c r="F28574" s="40" t="s">
        <v>11404</v>
      </c>
      <c r="G28574" s="40" t="s">
        <v>11404</v>
      </c>
      <c r="H28574" s="40" t="s">
        <v>11404</v>
      </c>
    </row>
    <row r="28575">
      <c r="A28575" s="39"/>
      <c r="E28575" s="40" t="s">
        <v>11404</v>
      </c>
      <c r="F28575" s="40" t="s">
        <v>11404</v>
      </c>
      <c r="G28575" s="40" t="s">
        <v>11404</v>
      </c>
      <c r="H28575" s="40" t="s">
        <v>11404</v>
      </c>
    </row>
    <row r="28576">
      <c r="A28576" s="39"/>
      <c r="E28576" s="40" t="s">
        <v>11404</v>
      </c>
      <c r="F28576" s="40" t="s">
        <v>11404</v>
      </c>
      <c r="G28576" s="40" t="s">
        <v>11404</v>
      </c>
      <c r="H28576" s="40" t="s">
        <v>11404</v>
      </c>
    </row>
    <row r="28577">
      <c r="A28577" s="39"/>
      <c r="E28577" s="40" t="s">
        <v>11404</v>
      </c>
      <c r="F28577" s="40" t="s">
        <v>11404</v>
      </c>
      <c r="G28577" s="40" t="s">
        <v>11404</v>
      </c>
      <c r="H28577" s="40" t="s">
        <v>11404</v>
      </c>
    </row>
    <row r="28578">
      <c r="A28578" s="39"/>
      <c r="E28578" s="40" t="s">
        <v>11404</v>
      </c>
      <c r="F28578" s="40" t="s">
        <v>11404</v>
      </c>
      <c r="G28578" s="40" t="s">
        <v>11404</v>
      </c>
      <c r="H28578" s="40" t="s">
        <v>11404</v>
      </c>
    </row>
    <row r="28579">
      <c r="A28579" s="39"/>
      <c r="E28579" s="40" t="s">
        <v>11404</v>
      </c>
      <c r="F28579" s="40" t="s">
        <v>11404</v>
      </c>
      <c r="G28579" s="40" t="s">
        <v>11404</v>
      </c>
      <c r="H28579" s="40" t="s">
        <v>11404</v>
      </c>
    </row>
    <row r="28580">
      <c r="A28580" s="39"/>
      <c r="E28580" s="40" t="s">
        <v>11404</v>
      </c>
      <c r="F28580" s="40" t="s">
        <v>11404</v>
      </c>
      <c r="G28580" s="40" t="s">
        <v>11404</v>
      </c>
      <c r="H28580" s="40" t="s">
        <v>11404</v>
      </c>
    </row>
    <row r="28581">
      <c r="A28581" s="39"/>
      <c r="E28581" s="40" t="s">
        <v>11404</v>
      </c>
      <c r="F28581" s="40" t="s">
        <v>11404</v>
      </c>
      <c r="G28581" s="40" t="s">
        <v>11404</v>
      </c>
      <c r="H28581" s="40" t="s">
        <v>11404</v>
      </c>
    </row>
    <row r="28582">
      <c r="A28582" s="39"/>
      <c r="E28582" s="40" t="s">
        <v>11404</v>
      </c>
      <c r="F28582" s="40" t="s">
        <v>11404</v>
      </c>
      <c r="G28582" s="40" t="s">
        <v>11404</v>
      </c>
      <c r="H28582" s="40" t="s">
        <v>11404</v>
      </c>
    </row>
    <row r="28583">
      <c r="A28583" s="39"/>
      <c r="E28583" s="40" t="s">
        <v>11404</v>
      </c>
      <c r="F28583" s="40" t="s">
        <v>11404</v>
      </c>
      <c r="G28583" s="40" t="s">
        <v>11404</v>
      </c>
      <c r="H28583" s="40" t="s">
        <v>11404</v>
      </c>
    </row>
    <row r="28584">
      <c r="A28584" s="39"/>
      <c r="E28584" s="40" t="s">
        <v>11404</v>
      </c>
      <c r="F28584" s="40" t="s">
        <v>11404</v>
      </c>
      <c r="G28584" s="40" t="s">
        <v>11404</v>
      </c>
      <c r="H28584" s="40" t="s">
        <v>11404</v>
      </c>
    </row>
    <row r="28585">
      <c r="A28585" s="39"/>
      <c r="E28585" s="40" t="s">
        <v>11404</v>
      </c>
      <c r="F28585" s="40" t="s">
        <v>11404</v>
      </c>
      <c r="G28585" s="40" t="s">
        <v>11404</v>
      </c>
      <c r="H28585" s="40" t="s">
        <v>11404</v>
      </c>
    </row>
    <row r="28586">
      <c r="A28586" s="39"/>
      <c r="E28586" s="40" t="s">
        <v>11404</v>
      </c>
      <c r="F28586" s="40" t="s">
        <v>11404</v>
      </c>
      <c r="G28586" s="40" t="s">
        <v>11404</v>
      </c>
      <c r="H28586" s="40" t="s">
        <v>11404</v>
      </c>
    </row>
    <row r="28587">
      <c r="A28587" s="39"/>
      <c r="E28587" s="40" t="s">
        <v>11404</v>
      </c>
      <c r="F28587" s="40" t="s">
        <v>11404</v>
      </c>
      <c r="G28587" s="40" t="s">
        <v>11404</v>
      </c>
      <c r="H28587" s="40" t="s">
        <v>11404</v>
      </c>
    </row>
    <row r="28588">
      <c r="A28588" s="39"/>
      <c r="E28588" s="40" t="s">
        <v>11404</v>
      </c>
      <c r="F28588" s="40" t="s">
        <v>11404</v>
      </c>
      <c r="G28588" s="40" t="s">
        <v>11404</v>
      </c>
      <c r="H28588" s="40" t="s">
        <v>11404</v>
      </c>
    </row>
    <row r="28589">
      <c r="A28589" s="39"/>
      <c r="E28589" s="40" t="s">
        <v>11404</v>
      </c>
      <c r="F28589" s="40" t="s">
        <v>11404</v>
      </c>
      <c r="G28589" s="40" t="s">
        <v>11404</v>
      </c>
      <c r="H28589" s="40" t="s">
        <v>11404</v>
      </c>
    </row>
    <row r="28590">
      <c r="A28590" s="39"/>
      <c r="E28590" s="40" t="s">
        <v>11404</v>
      </c>
      <c r="F28590" s="40" t="s">
        <v>11404</v>
      </c>
      <c r="G28590" s="40" t="s">
        <v>11404</v>
      </c>
      <c r="H28590" s="40" t="s">
        <v>11404</v>
      </c>
    </row>
    <row r="28591">
      <c r="A28591" s="39"/>
      <c r="E28591" s="40" t="s">
        <v>11404</v>
      </c>
      <c r="F28591" s="40" t="s">
        <v>11404</v>
      </c>
      <c r="G28591" s="40" t="s">
        <v>11404</v>
      </c>
      <c r="H28591" s="40" t="s">
        <v>11404</v>
      </c>
    </row>
    <row r="28592">
      <c r="A28592" s="39"/>
      <c r="E28592" s="40" t="s">
        <v>11404</v>
      </c>
      <c r="F28592" s="40" t="s">
        <v>11404</v>
      </c>
      <c r="G28592" s="40" t="s">
        <v>11404</v>
      </c>
      <c r="H28592" s="40" t="s">
        <v>11404</v>
      </c>
    </row>
    <row r="28593">
      <c r="A28593" s="39"/>
      <c r="E28593" s="40" t="s">
        <v>11404</v>
      </c>
      <c r="F28593" s="40" t="s">
        <v>11404</v>
      </c>
      <c r="G28593" s="40" t="s">
        <v>11404</v>
      </c>
      <c r="H28593" s="40" t="s">
        <v>11404</v>
      </c>
    </row>
    <row r="28594">
      <c r="A28594" s="39"/>
      <c r="E28594" s="40" t="s">
        <v>11404</v>
      </c>
      <c r="F28594" s="40" t="s">
        <v>11404</v>
      </c>
      <c r="G28594" s="40" t="s">
        <v>11404</v>
      </c>
      <c r="H28594" s="40" t="s">
        <v>11404</v>
      </c>
    </row>
    <row r="28595">
      <c r="A28595" s="39"/>
      <c r="E28595" s="40" t="s">
        <v>11404</v>
      </c>
      <c r="F28595" s="40" t="s">
        <v>11404</v>
      </c>
      <c r="G28595" s="40" t="s">
        <v>11404</v>
      </c>
      <c r="H28595" s="40" t="s">
        <v>11404</v>
      </c>
    </row>
    <row r="28596">
      <c r="A28596" s="39"/>
      <c r="E28596" s="40" t="s">
        <v>11404</v>
      </c>
      <c r="F28596" s="40" t="s">
        <v>11404</v>
      </c>
      <c r="G28596" s="40" t="s">
        <v>11404</v>
      </c>
      <c r="H28596" s="40" t="s">
        <v>11404</v>
      </c>
    </row>
    <row r="28597">
      <c r="A28597" s="39"/>
      <c r="E28597" s="40" t="s">
        <v>11404</v>
      </c>
      <c r="F28597" s="40" t="s">
        <v>11404</v>
      </c>
      <c r="G28597" s="40" t="s">
        <v>11404</v>
      </c>
      <c r="H28597" s="40" t="s">
        <v>11404</v>
      </c>
    </row>
    <row r="28598">
      <c r="A28598" s="39"/>
      <c r="E28598" s="40" t="s">
        <v>11404</v>
      </c>
      <c r="F28598" s="40" t="s">
        <v>11404</v>
      </c>
      <c r="G28598" s="40" t="s">
        <v>11404</v>
      </c>
      <c r="H28598" s="40" t="s">
        <v>11404</v>
      </c>
    </row>
    <row r="28599">
      <c r="A28599" s="39"/>
      <c r="E28599" s="40" t="s">
        <v>11404</v>
      </c>
      <c r="F28599" s="40" t="s">
        <v>11404</v>
      </c>
      <c r="G28599" s="40" t="s">
        <v>11404</v>
      </c>
      <c r="H28599" s="40" t="s">
        <v>11404</v>
      </c>
    </row>
    <row r="28600">
      <c r="A28600" s="39"/>
      <c r="E28600" s="40" t="s">
        <v>11404</v>
      </c>
      <c r="F28600" s="40" t="s">
        <v>11404</v>
      </c>
      <c r="G28600" s="40" t="s">
        <v>11404</v>
      </c>
      <c r="H28600" s="40" t="s">
        <v>11404</v>
      </c>
    </row>
    <row r="28601">
      <c r="A28601" s="39"/>
      <c r="E28601" s="40" t="s">
        <v>11404</v>
      </c>
      <c r="F28601" s="40" t="s">
        <v>11404</v>
      </c>
      <c r="G28601" s="40" t="s">
        <v>11404</v>
      </c>
      <c r="H28601" s="40" t="s">
        <v>11404</v>
      </c>
    </row>
    <row r="28602">
      <c r="A28602" s="39"/>
      <c r="E28602" s="40" t="s">
        <v>11404</v>
      </c>
      <c r="F28602" s="40" t="s">
        <v>11404</v>
      </c>
      <c r="G28602" s="40" t="s">
        <v>11404</v>
      </c>
      <c r="H28602" s="40" t="s">
        <v>11404</v>
      </c>
    </row>
    <row r="28603">
      <c r="A28603" s="39"/>
      <c r="E28603" s="40" t="s">
        <v>11404</v>
      </c>
      <c r="F28603" s="40" t="s">
        <v>11404</v>
      </c>
      <c r="G28603" s="40" t="s">
        <v>11404</v>
      </c>
      <c r="H28603" s="40" t="s">
        <v>11404</v>
      </c>
    </row>
    <row r="28604">
      <c r="A28604" s="39"/>
      <c r="E28604" s="40" t="s">
        <v>11404</v>
      </c>
      <c r="F28604" s="40" t="s">
        <v>11404</v>
      </c>
      <c r="G28604" s="40" t="s">
        <v>11404</v>
      </c>
      <c r="H28604" s="40" t="s">
        <v>11404</v>
      </c>
    </row>
    <row r="28605">
      <c r="A28605" s="39"/>
      <c r="E28605" s="40" t="s">
        <v>11404</v>
      </c>
      <c r="F28605" s="40" t="s">
        <v>11404</v>
      </c>
      <c r="G28605" s="40" t="s">
        <v>11404</v>
      </c>
      <c r="H28605" s="40" t="s">
        <v>11404</v>
      </c>
    </row>
    <row r="28606">
      <c r="A28606" s="39"/>
      <c r="E28606" s="40" t="s">
        <v>11404</v>
      </c>
      <c r="F28606" s="40" t="s">
        <v>11404</v>
      </c>
      <c r="G28606" s="40" t="s">
        <v>11404</v>
      </c>
      <c r="H28606" s="40" t="s">
        <v>11404</v>
      </c>
    </row>
    <row r="28607">
      <c r="A28607" s="39"/>
      <c r="E28607" s="40" t="s">
        <v>11404</v>
      </c>
      <c r="F28607" s="40" t="s">
        <v>11404</v>
      </c>
      <c r="G28607" s="40" t="s">
        <v>11404</v>
      </c>
      <c r="H28607" s="40" t="s">
        <v>11404</v>
      </c>
    </row>
    <row r="28608">
      <c r="A28608" s="39"/>
      <c r="E28608" s="40" t="s">
        <v>11404</v>
      </c>
      <c r="F28608" s="40" t="s">
        <v>11404</v>
      </c>
      <c r="G28608" s="40" t="s">
        <v>11404</v>
      </c>
      <c r="H28608" s="40" t="s">
        <v>11404</v>
      </c>
    </row>
    <row r="28609">
      <c r="A28609" s="39"/>
      <c r="E28609" s="40" t="s">
        <v>11404</v>
      </c>
      <c r="F28609" s="40" t="s">
        <v>11404</v>
      </c>
      <c r="G28609" s="40" t="s">
        <v>11404</v>
      </c>
      <c r="H28609" s="40" t="s">
        <v>11404</v>
      </c>
    </row>
    <row r="28610">
      <c r="A28610" s="39"/>
      <c r="E28610" s="40" t="s">
        <v>11404</v>
      </c>
      <c r="F28610" s="40" t="s">
        <v>11404</v>
      </c>
      <c r="G28610" s="40" t="s">
        <v>11404</v>
      </c>
      <c r="H28610" s="40" t="s">
        <v>11404</v>
      </c>
    </row>
    <row r="28611">
      <c r="A28611" s="39"/>
      <c r="E28611" s="40" t="s">
        <v>11404</v>
      </c>
      <c r="F28611" s="40" t="s">
        <v>11404</v>
      </c>
      <c r="G28611" s="40" t="s">
        <v>11404</v>
      </c>
      <c r="H28611" s="40" t="s">
        <v>11404</v>
      </c>
    </row>
    <row r="28612">
      <c r="A28612" s="39"/>
      <c r="E28612" s="40" t="s">
        <v>11404</v>
      </c>
      <c r="F28612" s="40" t="s">
        <v>11404</v>
      </c>
      <c r="G28612" s="40" t="s">
        <v>11404</v>
      </c>
      <c r="H28612" s="40" t="s">
        <v>11404</v>
      </c>
    </row>
    <row r="28613">
      <c r="A28613" s="39"/>
      <c r="E28613" s="40" t="s">
        <v>11404</v>
      </c>
      <c r="F28613" s="40" t="s">
        <v>11404</v>
      </c>
      <c r="G28613" s="40" t="s">
        <v>11404</v>
      </c>
      <c r="H28613" s="40" t="s">
        <v>11404</v>
      </c>
    </row>
    <row r="28614">
      <c r="A28614" s="39"/>
      <c r="E28614" s="40" t="s">
        <v>11404</v>
      </c>
      <c r="F28614" s="40" t="s">
        <v>11404</v>
      </c>
      <c r="G28614" s="40" t="s">
        <v>11404</v>
      </c>
      <c r="H28614" s="40" t="s">
        <v>11404</v>
      </c>
    </row>
    <row r="28615">
      <c r="A28615" s="39"/>
      <c r="E28615" s="40" t="s">
        <v>11404</v>
      </c>
      <c r="F28615" s="40" t="s">
        <v>11404</v>
      </c>
      <c r="G28615" s="40" t="s">
        <v>11404</v>
      </c>
      <c r="H28615" s="40" t="s">
        <v>11404</v>
      </c>
    </row>
    <row r="28616">
      <c r="A28616" s="39"/>
      <c r="E28616" s="40" t="s">
        <v>11404</v>
      </c>
      <c r="F28616" s="40" t="s">
        <v>11404</v>
      </c>
      <c r="G28616" s="40" t="s">
        <v>11404</v>
      </c>
      <c r="H28616" s="40" t="s">
        <v>11404</v>
      </c>
    </row>
    <row r="28617">
      <c r="A28617" s="39"/>
      <c r="E28617" s="40" t="s">
        <v>11404</v>
      </c>
      <c r="F28617" s="40" t="s">
        <v>11404</v>
      </c>
      <c r="G28617" s="40" t="s">
        <v>11404</v>
      </c>
      <c r="H28617" s="40" t="s">
        <v>11404</v>
      </c>
    </row>
    <row r="28618">
      <c r="A28618" s="39"/>
      <c r="E28618" s="40" t="s">
        <v>11404</v>
      </c>
      <c r="F28618" s="40" t="s">
        <v>11404</v>
      </c>
      <c r="G28618" s="40" t="s">
        <v>11404</v>
      </c>
      <c r="H28618" s="40" t="s">
        <v>11404</v>
      </c>
    </row>
    <row r="28619">
      <c r="A28619" s="39"/>
      <c r="E28619" s="40" t="s">
        <v>11404</v>
      </c>
      <c r="F28619" s="40" t="s">
        <v>11404</v>
      </c>
      <c r="G28619" s="40" t="s">
        <v>11404</v>
      </c>
      <c r="H28619" s="40" t="s">
        <v>11404</v>
      </c>
    </row>
    <row r="28620">
      <c r="A28620" s="39"/>
      <c r="E28620" s="40" t="s">
        <v>11404</v>
      </c>
      <c r="F28620" s="40" t="s">
        <v>11404</v>
      </c>
      <c r="G28620" s="40" t="s">
        <v>11404</v>
      </c>
      <c r="H28620" s="40" t="s">
        <v>11404</v>
      </c>
    </row>
    <row r="28621">
      <c r="A28621" s="39"/>
      <c r="E28621" s="40" t="s">
        <v>11404</v>
      </c>
      <c r="F28621" s="40" t="s">
        <v>11404</v>
      </c>
      <c r="G28621" s="40" t="s">
        <v>11404</v>
      </c>
      <c r="H28621" s="40" t="s">
        <v>11404</v>
      </c>
    </row>
    <row r="28622">
      <c r="A28622" s="39"/>
      <c r="E28622" s="40" t="s">
        <v>11404</v>
      </c>
      <c r="F28622" s="40" t="s">
        <v>11404</v>
      </c>
      <c r="G28622" s="40" t="s">
        <v>11404</v>
      </c>
      <c r="H28622" s="40" t="s">
        <v>11404</v>
      </c>
    </row>
    <row r="28623">
      <c r="A28623" s="39"/>
      <c r="E28623" s="40" t="s">
        <v>11404</v>
      </c>
      <c r="F28623" s="40" t="s">
        <v>11404</v>
      </c>
      <c r="G28623" s="40" t="s">
        <v>11404</v>
      </c>
      <c r="H28623" s="40" t="s">
        <v>11404</v>
      </c>
    </row>
    <row r="28624">
      <c r="A28624" s="39"/>
      <c r="E28624" s="40" t="s">
        <v>11404</v>
      </c>
      <c r="F28624" s="40" t="s">
        <v>11404</v>
      </c>
      <c r="G28624" s="40" t="s">
        <v>11404</v>
      </c>
      <c r="H28624" s="40" t="s">
        <v>11404</v>
      </c>
    </row>
    <row r="28625">
      <c r="A28625" s="39"/>
      <c r="E28625" s="40" t="s">
        <v>11404</v>
      </c>
      <c r="F28625" s="40" t="s">
        <v>11404</v>
      </c>
      <c r="G28625" s="40" t="s">
        <v>11404</v>
      </c>
      <c r="H28625" s="40" t="s">
        <v>11404</v>
      </c>
    </row>
    <row r="28626">
      <c r="A28626" s="39"/>
      <c r="E28626" s="40" t="s">
        <v>11404</v>
      </c>
      <c r="F28626" s="40" t="s">
        <v>11404</v>
      </c>
      <c r="G28626" s="40" t="s">
        <v>11404</v>
      </c>
      <c r="H28626" s="40" t="s">
        <v>11404</v>
      </c>
    </row>
    <row r="28627">
      <c r="A28627" s="39"/>
      <c r="E28627" s="40" t="s">
        <v>11404</v>
      </c>
      <c r="F28627" s="40" t="s">
        <v>11404</v>
      </c>
      <c r="G28627" s="40" t="s">
        <v>11404</v>
      </c>
      <c r="H28627" s="40" t="s">
        <v>11404</v>
      </c>
    </row>
    <row r="28628">
      <c r="A28628" s="39"/>
      <c r="E28628" s="40" t="s">
        <v>11404</v>
      </c>
      <c r="F28628" s="40" t="s">
        <v>11404</v>
      </c>
      <c r="G28628" s="40" t="s">
        <v>11404</v>
      </c>
      <c r="H28628" s="40" t="s">
        <v>11404</v>
      </c>
    </row>
    <row r="28629">
      <c r="A28629" s="39"/>
      <c r="E28629" s="40" t="s">
        <v>11404</v>
      </c>
      <c r="F28629" s="40" t="s">
        <v>11404</v>
      </c>
      <c r="G28629" s="40" t="s">
        <v>11404</v>
      </c>
      <c r="H28629" s="40" t="s">
        <v>11404</v>
      </c>
    </row>
    <row r="28630">
      <c r="A28630" s="39"/>
      <c r="E28630" s="40" t="s">
        <v>11404</v>
      </c>
      <c r="F28630" s="40" t="s">
        <v>11404</v>
      </c>
      <c r="G28630" s="40" t="s">
        <v>11404</v>
      </c>
      <c r="H28630" s="40" t="s">
        <v>11404</v>
      </c>
    </row>
    <row r="28631">
      <c r="A28631" s="39"/>
      <c r="E28631" s="40" t="s">
        <v>11404</v>
      </c>
      <c r="F28631" s="40" t="s">
        <v>11404</v>
      </c>
      <c r="G28631" s="40" t="s">
        <v>11404</v>
      </c>
      <c r="H28631" s="40" t="s">
        <v>11404</v>
      </c>
    </row>
    <row r="28632">
      <c r="A28632" s="39"/>
      <c r="E28632" s="40" t="s">
        <v>11404</v>
      </c>
      <c r="F28632" s="40" t="s">
        <v>11404</v>
      </c>
      <c r="G28632" s="40" t="s">
        <v>11404</v>
      </c>
      <c r="H28632" s="40" t="s">
        <v>11404</v>
      </c>
    </row>
    <row r="28633">
      <c r="A28633" s="39"/>
      <c r="E28633" s="40" t="s">
        <v>11404</v>
      </c>
      <c r="F28633" s="40" t="s">
        <v>11404</v>
      </c>
      <c r="G28633" s="40" t="s">
        <v>11404</v>
      </c>
      <c r="H28633" s="40" t="s">
        <v>11404</v>
      </c>
    </row>
    <row r="28634">
      <c r="A28634" s="39"/>
      <c r="E28634" s="40" t="s">
        <v>11404</v>
      </c>
      <c r="F28634" s="40" t="s">
        <v>11404</v>
      </c>
      <c r="G28634" s="40" t="s">
        <v>11404</v>
      </c>
      <c r="H28634" s="40" t="s">
        <v>11404</v>
      </c>
    </row>
    <row r="28635">
      <c r="A28635" s="39"/>
      <c r="E28635" s="40" t="s">
        <v>11404</v>
      </c>
      <c r="F28635" s="40" t="s">
        <v>11404</v>
      </c>
      <c r="G28635" s="40" t="s">
        <v>11404</v>
      </c>
      <c r="H28635" s="40" t="s">
        <v>11404</v>
      </c>
    </row>
    <row r="28636">
      <c r="A28636" s="39"/>
      <c r="E28636" s="40" t="s">
        <v>11404</v>
      </c>
      <c r="F28636" s="40" t="s">
        <v>11404</v>
      </c>
      <c r="G28636" s="40" t="s">
        <v>11404</v>
      </c>
      <c r="H28636" s="40" t="s">
        <v>11404</v>
      </c>
    </row>
    <row r="28637">
      <c r="A28637" s="39"/>
      <c r="E28637" s="40" t="s">
        <v>11404</v>
      </c>
      <c r="F28637" s="40" t="s">
        <v>11404</v>
      </c>
      <c r="G28637" s="40" t="s">
        <v>11404</v>
      </c>
      <c r="H28637" s="40" t="s">
        <v>11404</v>
      </c>
    </row>
    <row r="28638">
      <c r="A28638" s="39"/>
      <c r="E28638" s="40" t="s">
        <v>11404</v>
      </c>
      <c r="F28638" s="40" t="s">
        <v>11404</v>
      </c>
      <c r="G28638" s="40" t="s">
        <v>11404</v>
      </c>
      <c r="H28638" s="40" t="s">
        <v>11404</v>
      </c>
    </row>
    <row r="28639">
      <c r="A28639" s="39"/>
      <c r="E28639" s="40" t="s">
        <v>11404</v>
      </c>
      <c r="F28639" s="40" t="s">
        <v>11404</v>
      </c>
      <c r="G28639" s="40" t="s">
        <v>11404</v>
      </c>
      <c r="H28639" s="40" t="s">
        <v>11404</v>
      </c>
    </row>
    <row r="28640">
      <c r="A28640" s="39"/>
      <c r="E28640" s="40" t="s">
        <v>11404</v>
      </c>
      <c r="F28640" s="40" t="s">
        <v>11404</v>
      </c>
      <c r="G28640" s="40" t="s">
        <v>11404</v>
      </c>
      <c r="H28640" s="40" t="s">
        <v>11404</v>
      </c>
    </row>
    <row r="28641">
      <c r="A28641" s="39"/>
      <c r="E28641" s="40" t="s">
        <v>11404</v>
      </c>
      <c r="F28641" s="40" t="s">
        <v>11404</v>
      </c>
      <c r="G28641" s="40" t="s">
        <v>11404</v>
      </c>
      <c r="H28641" s="40" t="s">
        <v>11404</v>
      </c>
    </row>
    <row r="28642">
      <c r="A28642" s="39"/>
      <c r="E28642" s="40" t="s">
        <v>11404</v>
      </c>
      <c r="F28642" s="40" t="s">
        <v>11404</v>
      </c>
      <c r="G28642" s="40" t="s">
        <v>11404</v>
      </c>
      <c r="H28642" s="40" t="s">
        <v>11404</v>
      </c>
    </row>
    <row r="28643">
      <c r="A28643" s="39"/>
      <c r="E28643" s="40" t="s">
        <v>11404</v>
      </c>
      <c r="F28643" s="40" t="s">
        <v>11404</v>
      </c>
      <c r="G28643" s="40" t="s">
        <v>11404</v>
      </c>
      <c r="H28643" s="40" t="s">
        <v>11404</v>
      </c>
    </row>
    <row r="28644">
      <c r="A28644" s="39"/>
      <c r="E28644" s="40" t="s">
        <v>11404</v>
      </c>
      <c r="F28644" s="40" t="s">
        <v>11404</v>
      </c>
      <c r="G28644" s="40" t="s">
        <v>11404</v>
      </c>
      <c r="H28644" s="40" t="s">
        <v>11404</v>
      </c>
    </row>
    <row r="28645">
      <c r="A28645" s="39"/>
      <c r="E28645" s="40" t="s">
        <v>11404</v>
      </c>
      <c r="F28645" s="40" t="s">
        <v>11404</v>
      </c>
      <c r="G28645" s="40" t="s">
        <v>11404</v>
      </c>
      <c r="H28645" s="40" t="s">
        <v>11404</v>
      </c>
    </row>
    <row r="28646">
      <c r="A28646" s="39"/>
      <c r="E28646" s="40" t="s">
        <v>11404</v>
      </c>
      <c r="F28646" s="40" t="s">
        <v>11404</v>
      </c>
      <c r="G28646" s="40" t="s">
        <v>11404</v>
      </c>
      <c r="H28646" s="40" t="s">
        <v>11404</v>
      </c>
    </row>
    <row r="28647">
      <c r="A28647" s="39"/>
      <c r="E28647" s="40" t="s">
        <v>11404</v>
      </c>
      <c r="F28647" s="40" t="s">
        <v>11404</v>
      </c>
      <c r="G28647" s="40" t="s">
        <v>11404</v>
      </c>
      <c r="H28647" s="40" t="s">
        <v>11404</v>
      </c>
    </row>
    <row r="28648">
      <c r="A28648" s="39"/>
      <c r="E28648" s="40" t="s">
        <v>11404</v>
      </c>
      <c r="F28648" s="40" t="s">
        <v>11404</v>
      </c>
      <c r="G28648" s="40" t="s">
        <v>11404</v>
      </c>
      <c r="H28648" s="40" t="s">
        <v>11404</v>
      </c>
    </row>
    <row r="28649">
      <c r="A28649" s="39"/>
      <c r="E28649" s="40" t="s">
        <v>11404</v>
      </c>
      <c r="F28649" s="40" t="s">
        <v>11404</v>
      </c>
      <c r="G28649" s="40" t="s">
        <v>11404</v>
      </c>
      <c r="H28649" s="40" t="s">
        <v>11404</v>
      </c>
    </row>
    <row r="28650">
      <c r="A28650" s="39"/>
      <c r="E28650" s="40" t="s">
        <v>11404</v>
      </c>
      <c r="F28650" s="40" t="s">
        <v>11404</v>
      </c>
      <c r="G28650" s="40" t="s">
        <v>11404</v>
      </c>
      <c r="H28650" s="40" t="s">
        <v>11404</v>
      </c>
    </row>
    <row r="28651">
      <c r="A28651" s="39"/>
      <c r="E28651" s="40" t="s">
        <v>11404</v>
      </c>
      <c r="F28651" s="40" t="s">
        <v>11404</v>
      </c>
      <c r="G28651" s="40" t="s">
        <v>11404</v>
      </c>
      <c r="H28651" s="40" t="s">
        <v>11404</v>
      </c>
    </row>
    <row r="28652">
      <c r="A28652" s="39"/>
      <c r="E28652" s="40" t="s">
        <v>11404</v>
      </c>
      <c r="F28652" s="40" t="s">
        <v>11404</v>
      </c>
      <c r="G28652" s="40" t="s">
        <v>11404</v>
      </c>
      <c r="H28652" s="40" t="s">
        <v>11404</v>
      </c>
    </row>
    <row r="28653">
      <c r="A28653" s="39"/>
      <c r="E28653" s="40" t="s">
        <v>11404</v>
      </c>
      <c r="F28653" s="40" t="s">
        <v>11404</v>
      </c>
      <c r="G28653" s="40" t="s">
        <v>11404</v>
      </c>
      <c r="H28653" s="40" t="s">
        <v>11404</v>
      </c>
    </row>
    <row r="28654">
      <c r="A28654" s="39"/>
      <c r="E28654" s="40" t="s">
        <v>11404</v>
      </c>
      <c r="F28654" s="40" t="s">
        <v>11404</v>
      </c>
      <c r="G28654" s="40" t="s">
        <v>11404</v>
      </c>
      <c r="H28654" s="40" t="s">
        <v>11404</v>
      </c>
    </row>
    <row r="28655">
      <c r="A28655" s="39"/>
      <c r="E28655" s="40" t="s">
        <v>11404</v>
      </c>
      <c r="F28655" s="40" t="s">
        <v>11404</v>
      </c>
      <c r="G28655" s="40" t="s">
        <v>11404</v>
      </c>
      <c r="H28655" s="40" t="s">
        <v>11404</v>
      </c>
    </row>
    <row r="28656">
      <c r="A28656" s="39"/>
      <c r="E28656" s="40" t="s">
        <v>11404</v>
      </c>
      <c r="F28656" s="40" t="s">
        <v>11404</v>
      </c>
      <c r="G28656" s="40" t="s">
        <v>11404</v>
      </c>
      <c r="H28656" s="40" t="s">
        <v>11404</v>
      </c>
    </row>
    <row r="28657">
      <c r="A28657" s="39"/>
      <c r="E28657" s="40" t="s">
        <v>11404</v>
      </c>
      <c r="F28657" s="40" t="s">
        <v>11404</v>
      </c>
      <c r="G28657" s="40" t="s">
        <v>11404</v>
      </c>
      <c r="H28657" s="40" t="s">
        <v>11404</v>
      </c>
    </row>
    <row r="28658">
      <c r="A28658" s="39"/>
      <c r="E28658" s="40" t="s">
        <v>11404</v>
      </c>
      <c r="F28658" s="40" t="s">
        <v>11404</v>
      </c>
      <c r="G28658" s="40" t="s">
        <v>11404</v>
      </c>
      <c r="H28658" s="40" t="s">
        <v>11404</v>
      </c>
    </row>
    <row r="28659">
      <c r="A28659" s="39"/>
      <c r="E28659" s="40" t="s">
        <v>11404</v>
      </c>
      <c r="F28659" s="40" t="s">
        <v>11404</v>
      </c>
      <c r="G28659" s="40" t="s">
        <v>11404</v>
      </c>
      <c r="H28659" s="40" t="s">
        <v>11404</v>
      </c>
    </row>
    <row r="28660">
      <c r="A28660" s="39"/>
      <c r="E28660" s="40" t="s">
        <v>11404</v>
      </c>
      <c r="F28660" s="40" t="s">
        <v>11404</v>
      </c>
      <c r="G28660" s="40" t="s">
        <v>11404</v>
      </c>
      <c r="H28660" s="40" t="s">
        <v>11404</v>
      </c>
    </row>
    <row r="28661">
      <c r="A28661" s="39"/>
      <c r="E28661" s="40" t="s">
        <v>11404</v>
      </c>
      <c r="F28661" s="40" t="s">
        <v>11404</v>
      </c>
      <c r="G28661" s="40" t="s">
        <v>11404</v>
      </c>
      <c r="H28661" s="40" t="s">
        <v>11404</v>
      </c>
    </row>
    <row r="28662">
      <c r="A28662" s="39"/>
      <c r="E28662" s="40" t="s">
        <v>11404</v>
      </c>
      <c r="F28662" s="40" t="s">
        <v>11404</v>
      </c>
      <c r="G28662" s="40" t="s">
        <v>11404</v>
      </c>
      <c r="H28662" s="40" t="s">
        <v>11404</v>
      </c>
    </row>
    <row r="28663">
      <c r="A28663" s="39"/>
      <c r="E28663" s="40" t="s">
        <v>11404</v>
      </c>
      <c r="F28663" s="40" t="s">
        <v>11404</v>
      </c>
      <c r="G28663" s="40" t="s">
        <v>11404</v>
      </c>
      <c r="H28663" s="40" t="s">
        <v>11404</v>
      </c>
    </row>
    <row r="28664">
      <c r="A28664" s="39"/>
      <c r="E28664" s="40" t="s">
        <v>11404</v>
      </c>
      <c r="F28664" s="40" t="s">
        <v>11404</v>
      </c>
      <c r="G28664" s="40" t="s">
        <v>11404</v>
      </c>
      <c r="H28664" s="40" t="s">
        <v>11404</v>
      </c>
    </row>
    <row r="28665">
      <c r="A28665" s="39"/>
      <c r="E28665" s="40" t="s">
        <v>11404</v>
      </c>
      <c r="F28665" s="40" t="s">
        <v>11404</v>
      </c>
      <c r="G28665" s="40" t="s">
        <v>11404</v>
      </c>
      <c r="H28665" s="40" t="s">
        <v>11404</v>
      </c>
    </row>
    <row r="28666">
      <c r="A28666" s="39"/>
      <c r="E28666" s="40" t="s">
        <v>11404</v>
      </c>
      <c r="F28666" s="40" t="s">
        <v>11404</v>
      </c>
      <c r="G28666" s="40" t="s">
        <v>11404</v>
      </c>
      <c r="H28666" s="40" t="s">
        <v>11404</v>
      </c>
    </row>
    <row r="28667">
      <c r="A28667" s="39"/>
      <c r="E28667" s="40" t="s">
        <v>11404</v>
      </c>
      <c r="F28667" s="40" t="s">
        <v>11404</v>
      </c>
      <c r="G28667" s="40" t="s">
        <v>11404</v>
      </c>
      <c r="H28667" s="40" t="s">
        <v>11404</v>
      </c>
    </row>
    <row r="28668">
      <c r="A28668" s="39"/>
      <c r="E28668" s="40" t="s">
        <v>11404</v>
      </c>
      <c r="F28668" s="40" t="s">
        <v>11404</v>
      </c>
      <c r="G28668" s="40" t="s">
        <v>11404</v>
      </c>
      <c r="H28668" s="40" t="s">
        <v>11404</v>
      </c>
    </row>
    <row r="28669">
      <c r="A28669" s="39"/>
      <c r="E28669" s="40" t="s">
        <v>11404</v>
      </c>
      <c r="F28669" s="40" t="s">
        <v>11404</v>
      </c>
      <c r="G28669" s="40" t="s">
        <v>11404</v>
      </c>
      <c r="H28669" s="40" t="s">
        <v>11404</v>
      </c>
    </row>
    <row r="28670">
      <c r="A28670" s="39"/>
      <c r="E28670" s="40" t="s">
        <v>11404</v>
      </c>
      <c r="F28670" s="40" t="s">
        <v>11404</v>
      </c>
      <c r="G28670" s="40" t="s">
        <v>11404</v>
      </c>
      <c r="H28670" s="40" t="s">
        <v>11404</v>
      </c>
    </row>
    <row r="28671">
      <c r="A28671" s="39"/>
      <c r="E28671" s="40" t="s">
        <v>11404</v>
      </c>
      <c r="F28671" s="40" t="s">
        <v>11404</v>
      </c>
      <c r="G28671" s="40" t="s">
        <v>11404</v>
      </c>
      <c r="H28671" s="40" t="s">
        <v>11404</v>
      </c>
    </row>
    <row r="28672">
      <c r="A28672" s="39"/>
      <c r="E28672" s="40" t="s">
        <v>11404</v>
      </c>
      <c r="F28672" s="40" t="s">
        <v>11404</v>
      </c>
      <c r="G28672" s="40" t="s">
        <v>11404</v>
      </c>
      <c r="H28672" s="40" t="s">
        <v>11404</v>
      </c>
    </row>
    <row r="28673">
      <c r="A28673" s="39"/>
      <c r="E28673" s="40" t="s">
        <v>11404</v>
      </c>
      <c r="F28673" s="40" t="s">
        <v>11404</v>
      </c>
      <c r="G28673" s="40" t="s">
        <v>11404</v>
      </c>
      <c r="H28673" s="40" t="s">
        <v>11404</v>
      </c>
    </row>
    <row r="28674">
      <c r="A28674" s="39"/>
      <c r="E28674" s="40" t="s">
        <v>11404</v>
      </c>
      <c r="F28674" s="40" t="s">
        <v>11404</v>
      </c>
      <c r="G28674" s="40" t="s">
        <v>11404</v>
      </c>
      <c r="H28674" s="40" t="s">
        <v>11404</v>
      </c>
    </row>
    <row r="28675">
      <c r="A28675" s="39"/>
      <c r="E28675" s="40" t="s">
        <v>11404</v>
      </c>
      <c r="F28675" s="40" t="s">
        <v>11404</v>
      </c>
      <c r="G28675" s="40" t="s">
        <v>11404</v>
      </c>
      <c r="H28675" s="40" t="s">
        <v>11404</v>
      </c>
    </row>
    <row r="28676">
      <c r="A28676" s="39"/>
      <c r="E28676" s="40" t="s">
        <v>11404</v>
      </c>
      <c r="F28676" s="40" t="s">
        <v>11404</v>
      </c>
      <c r="G28676" s="40" t="s">
        <v>11404</v>
      </c>
      <c r="H28676" s="40" t="s">
        <v>11404</v>
      </c>
    </row>
    <row r="28677">
      <c r="A28677" s="39"/>
      <c r="E28677" s="40" t="s">
        <v>11404</v>
      </c>
      <c r="F28677" s="40" t="s">
        <v>11404</v>
      </c>
      <c r="G28677" s="40" t="s">
        <v>11404</v>
      </c>
      <c r="H28677" s="40" t="s">
        <v>11404</v>
      </c>
    </row>
    <row r="28678">
      <c r="A28678" s="39"/>
      <c r="E28678" s="40" t="s">
        <v>11404</v>
      </c>
      <c r="F28678" s="40" t="s">
        <v>11404</v>
      </c>
      <c r="G28678" s="40" t="s">
        <v>11404</v>
      </c>
      <c r="H28678" s="40" t="s">
        <v>11404</v>
      </c>
    </row>
    <row r="28679">
      <c r="A28679" s="39"/>
      <c r="E28679" s="40" t="s">
        <v>11404</v>
      </c>
      <c r="F28679" s="40" t="s">
        <v>11404</v>
      </c>
      <c r="G28679" s="40" t="s">
        <v>11404</v>
      </c>
      <c r="H28679" s="40" t="s">
        <v>11404</v>
      </c>
    </row>
    <row r="28680">
      <c r="A28680" s="39"/>
      <c r="E28680" s="40" t="s">
        <v>11404</v>
      </c>
      <c r="F28680" s="40" t="s">
        <v>11404</v>
      </c>
      <c r="G28680" s="40" t="s">
        <v>11404</v>
      </c>
      <c r="H28680" s="40" t="s">
        <v>11404</v>
      </c>
    </row>
    <row r="28681">
      <c r="A28681" s="39"/>
      <c r="E28681" s="40" t="s">
        <v>11404</v>
      </c>
      <c r="F28681" s="40" t="s">
        <v>11404</v>
      </c>
      <c r="G28681" s="40" t="s">
        <v>11404</v>
      </c>
      <c r="H28681" s="40" t="s">
        <v>11404</v>
      </c>
    </row>
    <row r="28682">
      <c r="A28682" s="39"/>
      <c r="E28682" s="40" t="s">
        <v>11404</v>
      </c>
      <c r="F28682" s="40" t="s">
        <v>11404</v>
      </c>
      <c r="G28682" s="40" t="s">
        <v>11404</v>
      </c>
      <c r="H28682" s="40" t="s">
        <v>11404</v>
      </c>
    </row>
    <row r="28683">
      <c r="A28683" s="39"/>
      <c r="E28683" s="40" t="s">
        <v>11404</v>
      </c>
      <c r="F28683" s="40" t="s">
        <v>11404</v>
      </c>
      <c r="G28683" s="40" t="s">
        <v>11404</v>
      </c>
      <c r="H28683" s="40" t="s">
        <v>11404</v>
      </c>
    </row>
    <row r="28684">
      <c r="A28684" s="39"/>
      <c r="E28684" s="40" t="s">
        <v>11404</v>
      </c>
      <c r="F28684" s="40" t="s">
        <v>11404</v>
      </c>
      <c r="G28684" s="40" t="s">
        <v>11404</v>
      </c>
      <c r="H28684" s="40" t="s">
        <v>11404</v>
      </c>
    </row>
    <row r="28685">
      <c r="A28685" s="39"/>
      <c r="E28685" s="40" t="s">
        <v>11404</v>
      </c>
      <c r="F28685" s="40" t="s">
        <v>11404</v>
      </c>
      <c r="G28685" s="40" t="s">
        <v>11404</v>
      </c>
      <c r="H28685" s="40" t="s">
        <v>11404</v>
      </c>
    </row>
    <row r="28686">
      <c r="A28686" s="39"/>
      <c r="E28686" s="40" t="s">
        <v>11404</v>
      </c>
      <c r="F28686" s="40" t="s">
        <v>11404</v>
      </c>
      <c r="G28686" s="40" t="s">
        <v>11404</v>
      </c>
      <c r="H28686" s="40" t="s">
        <v>11404</v>
      </c>
    </row>
    <row r="28687">
      <c r="A28687" s="39"/>
      <c r="E28687" s="40" t="s">
        <v>11404</v>
      </c>
      <c r="F28687" s="40" t="s">
        <v>11404</v>
      </c>
      <c r="G28687" s="40" t="s">
        <v>11404</v>
      </c>
      <c r="H28687" s="40" t="s">
        <v>11404</v>
      </c>
    </row>
    <row r="28688">
      <c r="A28688" s="39"/>
      <c r="E28688" s="40" t="s">
        <v>11404</v>
      </c>
      <c r="F28688" s="40" t="s">
        <v>11404</v>
      </c>
      <c r="G28688" s="40" t="s">
        <v>11404</v>
      </c>
      <c r="H28688" s="40" t="s">
        <v>11404</v>
      </c>
    </row>
    <row r="28689">
      <c r="A28689" s="39"/>
      <c r="E28689" s="40" t="s">
        <v>11404</v>
      </c>
      <c r="F28689" s="40" t="s">
        <v>11404</v>
      </c>
      <c r="G28689" s="40" t="s">
        <v>11404</v>
      </c>
      <c r="H28689" s="40" t="s">
        <v>11404</v>
      </c>
    </row>
    <row r="28690">
      <c r="A28690" s="39"/>
      <c r="E28690" s="40" t="s">
        <v>11404</v>
      </c>
      <c r="F28690" s="40" t="s">
        <v>11404</v>
      </c>
      <c r="G28690" s="40" t="s">
        <v>11404</v>
      </c>
      <c r="H28690" s="40" t="s">
        <v>11404</v>
      </c>
    </row>
    <row r="28691">
      <c r="A28691" s="39"/>
      <c r="E28691" s="40" t="s">
        <v>11404</v>
      </c>
      <c r="F28691" s="40" t="s">
        <v>11404</v>
      </c>
      <c r="G28691" s="40" t="s">
        <v>11404</v>
      </c>
      <c r="H28691" s="40" t="s">
        <v>11404</v>
      </c>
    </row>
    <row r="28692">
      <c r="A28692" s="39"/>
      <c r="E28692" s="40" t="s">
        <v>11404</v>
      </c>
      <c r="F28692" s="40" t="s">
        <v>11404</v>
      </c>
      <c r="G28692" s="40" t="s">
        <v>11404</v>
      </c>
      <c r="H28692" s="40" t="s">
        <v>11404</v>
      </c>
    </row>
    <row r="28693">
      <c r="A28693" s="39"/>
      <c r="E28693" s="40" t="s">
        <v>11404</v>
      </c>
      <c r="F28693" s="40" t="s">
        <v>11404</v>
      </c>
      <c r="G28693" s="40" t="s">
        <v>11404</v>
      </c>
      <c r="H28693" s="40" t="s">
        <v>11404</v>
      </c>
    </row>
    <row r="28694">
      <c r="A28694" s="39"/>
      <c r="E28694" s="40" t="s">
        <v>11404</v>
      </c>
      <c r="F28694" s="40" t="s">
        <v>11404</v>
      </c>
      <c r="G28694" s="40" t="s">
        <v>11404</v>
      </c>
      <c r="H28694" s="40" t="s">
        <v>11404</v>
      </c>
    </row>
    <row r="28695">
      <c r="A28695" s="39"/>
      <c r="E28695" s="40" t="s">
        <v>11404</v>
      </c>
      <c r="F28695" s="40" t="s">
        <v>11404</v>
      </c>
      <c r="G28695" s="40" t="s">
        <v>11404</v>
      </c>
      <c r="H28695" s="40" t="s">
        <v>11404</v>
      </c>
    </row>
    <row r="28696">
      <c r="A28696" s="39"/>
      <c r="E28696" s="40" t="s">
        <v>11404</v>
      </c>
      <c r="F28696" s="40" t="s">
        <v>11404</v>
      </c>
      <c r="G28696" s="40" t="s">
        <v>11404</v>
      </c>
      <c r="H28696" s="40" t="s">
        <v>11404</v>
      </c>
    </row>
    <row r="28697">
      <c r="A28697" s="39"/>
      <c r="E28697" s="40" t="s">
        <v>11404</v>
      </c>
      <c r="F28697" s="40" t="s">
        <v>11404</v>
      </c>
      <c r="G28697" s="40" t="s">
        <v>11404</v>
      </c>
      <c r="H28697" s="40" t="s">
        <v>11404</v>
      </c>
    </row>
    <row r="28698">
      <c r="A28698" s="39"/>
      <c r="E28698" s="40" t="s">
        <v>11404</v>
      </c>
      <c r="F28698" s="40" t="s">
        <v>11404</v>
      </c>
      <c r="G28698" s="40" t="s">
        <v>11404</v>
      </c>
      <c r="H28698" s="40" t="s">
        <v>11404</v>
      </c>
    </row>
    <row r="28699">
      <c r="A28699" s="39"/>
      <c r="E28699" s="40" t="s">
        <v>11404</v>
      </c>
      <c r="F28699" s="40" t="s">
        <v>11404</v>
      </c>
      <c r="G28699" s="40" t="s">
        <v>11404</v>
      </c>
      <c r="H28699" s="40" t="s">
        <v>11404</v>
      </c>
    </row>
    <row r="28700">
      <c r="A28700" s="39"/>
      <c r="E28700" s="40" t="s">
        <v>11404</v>
      </c>
      <c r="F28700" s="40" t="s">
        <v>11404</v>
      </c>
      <c r="G28700" s="40" t="s">
        <v>11404</v>
      </c>
      <c r="H28700" s="40" t="s">
        <v>11404</v>
      </c>
    </row>
    <row r="28701">
      <c r="A28701" s="39"/>
      <c r="E28701" s="40" t="s">
        <v>11404</v>
      </c>
      <c r="F28701" s="40" t="s">
        <v>11404</v>
      </c>
      <c r="G28701" s="40" t="s">
        <v>11404</v>
      </c>
      <c r="H28701" s="40" t="s">
        <v>11404</v>
      </c>
    </row>
    <row r="28702">
      <c r="A28702" s="39"/>
      <c r="E28702" s="40" t="s">
        <v>11404</v>
      </c>
      <c r="F28702" s="40" t="s">
        <v>11404</v>
      </c>
      <c r="G28702" s="40" t="s">
        <v>11404</v>
      </c>
      <c r="H28702" s="40" t="s">
        <v>11404</v>
      </c>
    </row>
    <row r="28703">
      <c r="A28703" s="39"/>
      <c r="E28703" s="40" t="s">
        <v>11404</v>
      </c>
      <c r="F28703" s="40" t="s">
        <v>11404</v>
      </c>
      <c r="G28703" s="40" t="s">
        <v>11404</v>
      </c>
      <c r="H28703" s="40" t="s">
        <v>11404</v>
      </c>
    </row>
    <row r="28704">
      <c r="A28704" s="39"/>
      <c r="E28704" s="40" t="s">
        <v>11404</v>
      </c>
      <c r="F28704" s="40" t="s">
        <v>11404</v>
      </c>
      <c r="G28704" s="40" t="s">
        <v>11404</v>
      </c>
      <c r="H28704" s="40" t="s">
        <v>11404</v>
      </c>
    </row>
    <row r="28705">
      <c r="A28705" s="39"/>
      <c r="E28705" s="40" t="s">
        <v>11404</v>
      </c>
      <c r="F28705" s="40" t="s">
        <v>11404</v>
      </c>
      <c r="G28705" s="40" t="s">
        <v>11404</v>
      </c>
      <c r="H28705" s="40" t="s">
        <v>11404</v>
      </c>
    </row>
    <row r="28706">
      <c r="A28706" s="39"/>
      <c r="E28706" s="40" t="s">
        <v>11404</v>
      </c>
      <c r="F28706" s="40" t="s">
        <v>11404</v>
      </c>
      <c r="G28706" s="40" t="s">
        <v>11404</v>
      </c>
      <c r="H28706" s="40" t="s">
        <v>11404</v>
      </c>
    </row>
    <row r="28707">
      <c r="A28707" s="39"/>
      <c r="E28707" s="40" t="s">
        <v>11404</v>
      </c>
      <c r="F28707" s="40" t="s">
        <v>11404</v>
      </c>
      <c r="G28707" s="40" t="s">
        <v>11404</v>
      </c>
      <c r="H28707" s="40" t="s">
        <v>11404</v>
      </c>
    </row>
    <row r="28708">
      <c r="A28708" s="39"/>
      <c r="E28708" s="40" t="s">
        <v>11404</v>
      </c>
      <c r="F28708" s="40" t="s">
        <v>11404</v>
      </c>
      <c r="G28708" s="40" t="s">
        <v>11404</v>
      </c>
      <c r="H28708" s="40" t="s">
        <v>11404</v>
      </c>
    </row>
    <row r="28709">
      <c r="A28709" s="39"/>
      <c r="E28709" s="40" t="s">
        <v>11404</v>
      </c>
      <c r="F28709" s="40" t="s">
        <v>11404</v>
      </c>
      <c r="G28709" s="40" t="s">
        <v>11404</v>
      </c>
      <c r="H28709" s="40" t="s">
        <v>11404</v>
      </c>
    </row>
    <row r="28710">
      <c r="A28710" s="39"/>
      <c r="E28710" s="40" t="s">
        <v>11404</v>
      </c>
      <c r="F28710" s="40" t="s">
        <v>11404</v>
      </c>
      <c r="G28710" s="40" t="s">
        <v>11404</v>
      </c>
      <c r="H28710" s="40" t="s">
        <v>11404</v>
      </c>
    </row>
    <row r="28711">
      <c r="A28711" s="39"/>
      <c r="E28711" s="40" t="s">
        <v>11404</v>
      </c>
      <c r="F28711" s="40" t="s">
        <v>11404</v>
      </c>
      <c r="G28711" s="40" t="s">
        <v>11404</v>
      </c>
      <c r="H28711" s="40" t="s">
        <v>11404</v>
      </c>
    </row>
    <row r="28712">
      <c r="A28712" s="39"/>
      <c r="E28712" s="40" t="s">
        <v>11404</v>
      </c>
      <c r="F28712" s="40" t="s">
        <v>11404</v>
      </c>
      <c r="G28712" s="40" t="s">
        <v>11404</v>
      </c>
      <c r="H28712" s="40" t="s">
        <v>11404</v>
      </c>
    </row>
    <row r="28713">
      <c r="A28713" s="39"/>
      <c r="E28713" s="40" t="s">
        <v>11404</v>
      </c>
      <c r="F28713" s="40" t="s">
        <v>11404</v>
      </c>
      <c r="G28713" s="40" t="s">
        <v>11404</v>
      </c>
      <c r="H28713" s="40" t="s">
        <v>11404</v>
      </c>
    </row>
    <row r="28714">
      <c r="A28714" s="39"/>
      <c r="E28714" s="40" t="s">
        <v>11404</v>
      </c>
      <c r="F28714" s="40" t="s">
        <v>11404</v>
      </c>
      <c r="G28714" s="40" t="s">
        <v>11404</v>
      </c>
      <c r="H28714" s="40" t="s">
        <v>11404</v>
      </c>
    </row>
    <row r="28715">
      <c r="A28715" s="39"/>
      <c r="E28715" s="40" t="s">
        <v>11404</v>
      </c>
      <c r="F28715" s="40" t="s">
        <v>11404</v>
      </c>
      <c r="G28715" s="40" t="s">
        <v>11404</v>
      </c>
      <c r="H28715" s="40" t="s">
        <v>11404</v>
      </c>
    </row>
    <row r="28716">
      <c r="A28716" s="39"/>
      <c r="E28716" s="40" t="s">
        <v>11404</v>
      </c>
      <c r="F28716" s="40" t="s">
        <v>11404</v>
      </c>
      <c r="G28716" s="40" t="s">
        <v>11404</v>
      </c>
      <c r="H28716" s="40" t="s">
        <v>11404</v>
      </c>
    </row>
    <row r="28717">
      <c r="A28717" s="39"/>
      <c r="E28717" s="40" t="s">
        <v>11404</v>
      </c>
      <c r="F28717" s="40" t="s">
        <v>11404</v>
      </c>
      <c r="G28717" s="40" t="s">
        <v>11404</v>
      </c>
      <c r="H28717" s="40" t="s">
        <v>11404</v>
      </c>
    </row>
    <row r="28718">
      <c r="A28718" s="39"/>
      <c r="E28718" s="40" t="s">
        <v>11404</v>
      </c>
      <c r="F28718" s="40" t="s">
        <v>11404</v>
      </c>
      <c r="G28718" s="40" t="s">
        <v>11404</v>
      </c>
      <c r="H28718" s="40" t="s">
        <v>11404</v>
      </c>
    </row>
    <row r="28719">
      <c r="A28719" s="39"/>
      <c r="E28719" s="40" t="s">
        <v>11404</v>
      </c>
      <c r="F28719" s="40" t="s">
        <v>11404</v>
      </c>
      <c r="G28719" s="40" t="s">
        <v>11404</v>
      </c>
      <c r="H28719" s="40" t="s">
        <v>11404</v>
      </c>
    </row>
    <row r="28720">
      <c r="A28720" s="39"/>
      <c r="E28720" s="40" t="s">
        <v>11404</v>
      </c>
      <c r="F28720" s="40" t="s">
        <v>11404</v>
      </c>
      <c r="G28720" s="40" t="s">
        <v>11404</v>
      </c>
      <c r="H28720" s="40" t="s">
        <v>11404</v>
      </c>
    </row>
    <row r="28721">
      <c r="A28721" s="39"/>
      <c r="E28721" s="40" t="s">
        <v>11404</v>
      </c>
      <c r="F28721" s="40" t="s">
        <v>11404</v>
      </c>
      <c r="G28721" s="40" t="s">
        <v>11404</v>
      </c>
      <c r="H28721" s="40" t="s">
        <v>11404</v>
      </c>
    </row>
    <row r="28722">
      <c r="A28722" s="39"/>
      <c r="E28722" s="40" t="s">
        <v>11404</v>
      </c>
      <c r="F28722" s="40" t="s">
        <v>11404</v>
      </c>
      <c r="G28722" s="40" t="s">
        <v>11404</v>
      </c>
      <c r="H28722" s="40" t="s">
        <v>11404</v>
      </c>
    </row>
    <row r="28723">
      <c r="A28723" s="39"/>
      <c r="E28723" s="40" t="s">
        <v>11404</v>
      </c>
      <c r="F28723" s="40" t="s">
        <v>11404</v>
      </c>
      <c r="G28723" s="40" t="s">
        <v>11404</v>
      </c>
      <c r="H28723" s="40" t="s">
        <v>11404</v>
      </c>
    </row>
    <row r="28724">
      <c r="A28724" s="39"/>
      <c r="E28724" s="40" t="s">
        <v>11404</v>
      </c>
      <c r="F28724" s="40" t="s">
        <v>11404</v>
      </c>
      <c r="G28724" s="40" t="s">
        <v>11404</v>
      </c>
      <c r="H28724" s="40" t="s">
        <v>11404</v>
      </c>
    </row>
    <row r="28725">
      <c r="A28725" s="39"/>
      <c r="E28725" s="40" t="s">
        <v>11404</v>
      </c>
      <c r="F28725" s="40" t="s">
        <v>11404</v>
      </c>
      <c r="G28725" s="40" t="s">
        <v>11404</v>
      </c>
      <c r="H28725" s="40" t="s">
        <v>11404</v>
      </c>
    </row>
    <row r="28726">
      <c r="A28726" s="39"/>
      <c r="E28726" s="40" t="s">
        <v>11404</v>
      </c>
      <c r="F28726" s="40" t="s">
        <v>11404</v>
      </c>
      <c r="G28726" s="40" t="s">
        <v>11404</v>
      </c>
      <c r="H28726" s="40" t="s">
        <v>11404</v>
      </c>
    </row>
    <row r="28727">
      <c r="A28727" s="39"/>
      <c r="E28727" s="40" t="s">
        <v>11404</v>
      </c>
      <c r="F28727" s="40" t="s">
        <v>11404</v>
      </c>
      <c r="G28727" s="40" t="s">
        <v>11404</v>
      </c>
      <c r="H28727" s="40" t="s">
        <v>11404</v>
      </c>
    </row>
    <row r="28728">
      <c r="A28728" s="39"/>
      <c r="E28728" s="40" t="s">
        <v>11404</v>
      </c>
      <c r="F28728" s="40" t="s">
        <v>11404</v>
      </c>
      <c r="G28728" s="40" t="s">
        <v>11404</v>
      </c>
      <c r="H28728" s="40" t="s">
        <v>11404</v>
      </c>
    </row>
    <row r="28729">
      <c r="A28729" s="39"/>
      <c r="E28729" s="40" t="s">
        <v>11404</v>
      </c>
      <c r="F28729" s="40" t="s">
        <v>11404</v>
      </c>
      <c r="G28729" s="40" t="s">
        <v>11404</v>
      </c>
      <c r="H28729" s="40" t="s">
        <v>11404</v>
      </c>
    </row>
    <row r="28730">
      <c r="A28730" s="39"/>
      <c r="E28730" s="40" t="s">
        <v>11404</v>
      </c>
      <c r="F28730" s="40" t="s">
        <v>11404</v>
      </c>
      <c r="G28730" s="40" t="s">
        <v>11404</v>
      </c>
      <c r="H28730" s="40" t="s">
        <v>11404</v>
      </c>
    </row>
    <row r="28731">
      <c r="A28731" s="39"/>
      <c r="E28731" s="40" t="s">
        <v>11404</v>
      </c>
      <c r="F28731" s="40" t="s">
        <v>11404</v>
      </c>
      <c r="G28731" s="40" t="s">
        <v>11404</v>
      </c>
      <c r="H28731" s="40" t="s">
        <v>11404</v>
      </c>
    </row>
    <row r="28732">
      <c r="A28732" s="39"/>
      <c r="E28732" s="40" t="s">
        <v>11404</v>
      </c>
      <c r="F28732" s="40" t="s">
        <v>11404</v>
      </c>
      <c r="G28732" s="40" t="s">
        <v>11404</v>
      </c>
      <c r="H28732" s="40" t="s">
        <v>11404</v>
      </c>
    </row>
    <row r="28733">
      <c r="A28733" s="39"/>
      <c r="E28733" s="40" t="s">
        <v>11404</v>
      </c>
      <c r="F28733" s="40" t="s">
        <v>11404</v>
      </c>
      <c r="G28733" s="40" t="s">
        <v>11404</v>
      </c>
      <c r="H28733" s="40" t="s">
        <v>11404</v>
      </c>
    </row>
    <row r="28734">
      <c r="A28734" s="39"/>
      <c r="E28734" s="40" t="s">
        <v>11404</v>
      </c>
      <c r="F28734" s="40" t="s">
        <v>11404</v>
      </c>
      <c r="G28734" s="40" t="s">
        <v>11404</v>
      </c>
      <c r="H28734" s="40" t="s">
        <v>11404</v>
      </c>
    </row>
    <row r="28735">
      <c r="A28735" s="39"/>
      <c r="E28735" s="40" t="s">
        <v>11404</v>
      </c>
      <c r="F28735" s="40" t="s">
        <v>11404</v>
      </c>
      <c r="G28735" s="40" t="s">
        <v>11404</v>
      </c>
      <c r="H28735" s="40" t="s">
        <v>11404</v>
      </c>
    </row>
    <row r="28736">
      <c r="A28736" s="39"/>
      <c r="E28736" s="40" t="s">
        <v>11404</v>
      </c>
      <c r="F28736" s="40" t="s">
        <v>11404</v>
      </c>
      <c r="G28736" s="40" t="s">
        <v>11404</v>
      </c>
      <c r="H28736" s="40" t="s">
        <v>11404</v>
      </c>
    </row>
    <row r="28737">
      <c r="A28737" s="39"/>
      <c r="E28737" s="40" t="s">
        <v>11404</v>
      </c>
      <c r="F28737" s="40" t="s">
        <v>11404</v>
      </c>
      <c r="G28737" s="40" t="s">
        <v>11404</v>
      </c>
      <c r="H28737" s="40" t="s">
        <v>11404</v>
      </c>
    </row>
    <row r="28738">
      <c r="A28738" s="39"/>
      <c r="E28738" s="40" t="s">
        <v>11404</v>
      </c>
      <c r="F28738" s="40" t="s">
        <v>11404</v>
      </c>
      <c r="G28738" s="40" t="s">
        <v>11404</v>
      </c>
      <c r="H28738" s="40" t="s">
        <v>11404</v>
      </c>
    </row>
    <row r="28739">
      <c r="A28739" s="39"/>
      <c r="E28739" s="40" t="s">
        <v>11404</v>
      </c>
      <c r="F28739" s="40" t="s">
        <v>11404</v>
      </c>
      <c r="G28739" s="40" t="s">
        <v>11404</v>
      </c>
      <c r="H28739" s="40" t="s">
        <v>11404</v>
      </c>
    </row>
    <row r="28740">
      <c r="A28740" s="39"/>
      <c r="E28740" s="40" t="s">
        <v>11404</v>
      </c>
      <c r="F28740" s="40" t="s">
        <v>11404</v>
      </c>
      <c r="G28740" s="40" t="s">
        <v>11404</v>
      </c>
      <c r="H28740" s="40" t="s">
        <v>11404</v>
      </c>
    </row>
    <row r="28741">
      <c r="A28741" s="39"/>
      <c r="E28741" s="40" t="s">
        <v>11404</v>
      </c>
      <c r="F28741" s="40" t="s">
        <v>11404</v>
      </c>
      <c r="G28741" s="40" t="s">
        <v>11404</v>
      </c>
      <c r="H28741" s="40" t="s">
        <v>11404</v>
      </c>
    </row>
    <row r="28742">
      <c r="A28742" s="39"/>
      <c r="E28742" s="40" t="s">
        <v>11404</v>
      </c>
      <c r="F28742" s="40" t="s">
        <v>11404</v>
      </c>
      <c r="G28742" s="40" t="s">
        <v>11404</v>
      </c>
      <c r="H28742" s="40" t="s">
        <v>11404</v>
      </c>
    </row>
    <row r="28743">
      <c r="A28743" s="39"/>
      <c r="E28743" s="40" t="s">
        <v>11404</v>
      </c>
      <c r="F28743" s="40" t="s">
        <v>11404</v>
      </c>
      <c r="G28743" s="40" t="s">
        <v>11404</v>
      </c>
      <c r="H28743" s="40" t="s">
        <v>11404</v>
      </c>
    </row>
    <row r="28744">
      <c r="A28744" s="39"/>
      <c r="E28744" s="40" t="s">
        <v>11404</v>
      </c>
      <c r="F28744" s="40" t="s">
        <v>11404</v>
      </c>
      <c r="G28744" s="40" t="s">
        <v>11404</v>
      </c>
      <c r="H28744" s="40" t="s">
        <v>11404</v>
      </c>
    </row>
    <row r="28745">
      <c r="A28745" s="39"/>
      <c r="E28745" s="40" t="s">
        <v>11404</v>
      </c>
      <c r="F28745" s="40" t="s">
        <v>11404</v>
      </c>
      <c r="G28745" s="40" t="s">
        <v>11404</v>
      </c>
      <c r="H28745" s="40" t="s">
        <v>11404</v>
      </c>
    </row>
    <row r="28746">
      <c r="A28746" s="39"/>
      <c r="E28746" s="40" t="s">
        <v>11404</v>
      </c>
      <c r="F28746" s="40" t="s">
        <v>11404</v>
      </c>
      <c r="G28746" s="40" t="s">
        <v>11404</v>
      </c>
      <c r="H28746" s="40" t="s">
        <v>11404</v>
      </c>
    </row>
    <row r="28747">
      <c r="A28747" s="39"/>
      <c r="E28747" s="40" t="s">
        <v>11404</v>
      </c>
      <c r="F28747" s="40" t="s">
        <v>11404</v>
      </c>
      <c r="G28747" s="40" t="s">
        <v>11404</v>
      </c>
      <c r="H28747" s="40" t="s">
        <v>11404</v>
      </c>
    </row>
    <row r="28748">
      <c r="A28748" s="39"/>
      <c r="E28748" s="40" t="s">
        <v>11404</v>
      </c>
      <c r="F28748" s="40" t="s">
        <v>11404</v>
      </c>
      <c r="G28748" s="40" t="s">
        <v>11404</v>
      </c>
      <c r="H28748" s="40" t="s">
        <v>11404</v>
      </c>
    </row>
    <row r="28749">
      <c r="A28749" s="39"/>
      <c r="E28749" s="40" t="s">
        <v>11404</v>
      </c>
      <c r="F28749" s="40" t="s">
        <v>11404</v>
      </c>
      <c r="G28749" s="40" t="s">
        <v>11404</v>
      </c>
      <c r="H28749" s="40" t="s">
        <v>11404</v>
      </c>
    </row>
    <row r="28750">
      <c r="A28750" s="39"/>
      <c r="E28750" s="40" t="s">
        <v>11404</v>
      </c>
      <c r="F28750" s="40" t="s">
        <v>11404</v>
      </c>
      <c r="G28750" s="40" t="s">
        <v>11404</v>
      </c>
      <c r="H28750" s="40" t="s">
        <v>11404</v>
      </c>
    </row>
    <row r="28751">
      <c r="A28751" s="39"/>
      <c r="E28751" s="40" t="s">
        <v>11404</v>
      </c>
      <c r="F28751" s="40" t="s">
        <v>11404</v>
      </c>
      <c r="G28751" s="40" t="s">
        <v>11404</v>
      </c>
      <c r="H28751" s="40" t="s">
        <v>11404</v>
      </c>
    </row>
    <row r="28752">
      <c r="A28752" s="39"/>
      <c r="E28752" s="40" t="s">
        <v>11404</v>
      </c>
      <c r="F28752" s="40" t="s">
        <v>11404</v>
      </c>
      <c r="G28752" s="40" t="s">
        <v>11404</v>
      </c>
      <c r="H28752" s="40" t="s">
        <v>11404</v>
      </c>
    </row>
    <row r="28753">
      <c r="A28753" s="39"/>
      <c r="E28753" s="40" t="s">
        <v>11404</v>
      </c>
      <c r="F28753" s="40" t="s">
        <v>11404</v>
      </c>
      <c r="G28753" s="40" t="s">
        <v>11404</v>
      </c>
      <c r="H28753" s="40" t="s">
        <v>11404</v>
      </c>
    </row>
    <row r="28754">
      <c r="A28754" s="39"/>
      <c r="E28754" s="40" t="s">
        <v>11404</v>
      </c>
      <c r="F28754" s="40" t="s">
        <v>11404</v>
      </c>
      <c r="G28754" s="40" t="s">
        <v>11404</v>
      </c>
      <c r="H28754" s="40" t="s">
        <v>11404</v>
      </c>
    </row>
    <row r="28755">
      <c r="A28755" s="39"/>
      <c r="E28755" s="40" t="s">
        <v>11404</v>
      </c>
      <c r="F28755" s="40" t="s">
        <v>11404</v>
      </c>
      <c r="G28755" s="40" t="s">
        <v>11404</v>
      </c>
      <c r="H28755" s="40" t="s">
        <v>11404</v>
      </c>
    </row>
    <row r="28756">
      <c r="A28756" s="39"/>
      <c r="E28756" s="40" t="s">
        <v>11404</v>
      </c>
      <c r="F28756" s="40" t="s">
        <v>11404</v>
      </c>
      <c r="G28756" s="40" t="s">
        <v>11404</v>
      </c>
      <c r="H28756" s="40" t="s">
        <v>11404</v>
      </c>
    </row>
    <row r="28757">
      <c r="A28757" s="39"/>
      <c r="E28757" s="40" t="s">
        <v>11404</v>
      </c>
      <c r="F28757" s="40" t="s">
        <v>11404</v>
      </c>
      <c r="G28757" s="40" t="s">
        <v>11404</v>
      </c>
      <c r="H28757" s="40" t="s">
        <v>11404</v>
      </c>
    </row>
    <row r="28758">
      <c r="A28758" s="39"/>
      <c r="E28758" s="40" t="s">
        <v>11404</v>
      </c>
      <c r="F28758" s="40" t="s">
        <v>11404</v>
      </c>
      <c r="G28758" s="40" t="s">
        <v>11404</v>
      </c>
      <c r="H28758" s="40" t="s">
        <v>11404</v>
      </c>
    </row>
    <row r="28759">
      <c r="A28759" s="39"/>
      <c r="E28759" s="40" t="s">
        <v>11404</v>
      </c>
      <c r="F28759" s="40" t="s">
        <v>11404</v>
      </c>
      <c r="G28759" s="40" t="s">
        <v>11404</v>
      </c>
      <c r="H28759" s="40" t="s">
        <v>11404</v>
      </c>
    </row>
    <row r="28760">
      <c r="A28760" s="39"/>
      <c r="E28760" s="40" t="s">
        <v>11404</v>
      </c>
      <c r="F28760" s="40" t="s">
        <v>11404</v>
      </c>
      <c r="G28760" s="40" t="s">
        <v>11404</v>
      </c>
      <c r="H28760" s="40" t="s">
        <v>11404</v>
      </c>
    </row>
    <row r="28761">
      <c r="A28761" s="39"/>
      <c r="E28761" s="40" t="s">
        <v>11404</v>
      </c>
      <c r="F28761" s="40" t="s">
        <v>11404</v>
      </c>
      <c r="G28761" s="40" t="s">
        <v>11404</v>
      </c>
      <c r="H28761" s="40" t="s">
        <v>11404</v>
      </c>
    </row>
    <row r="28762">
      <c r="A28762" s="39"/>
      <c r="E28762" s="40" t="s">
        <v>11404</v>
      </c>
      <c r="F28762" s="40" t="s">
        <v>11404</v>
      </c>
      <c r="G28762" s="40" t="s">
        <v>11404</v>
      </c>
      <c r="H28762" s="40" t="s">
        <v>11404</v>
      </c>
    </row>
    <row r="28763">
      <c r="A28763" s="39"/>
      <c r="E28763" s="40" t="s">
        <v>11404</v>
      </c>
      <c r="F28763" s="40" t="s">
        <v>11404</v>
      </c>
      <c r="G28763" s="40" t="s">
        <v>11404</v>
      </c>
      <c r="H28763" s="40" t="s">
        <v>11404</v>
      </c>
    </row>
    <row r="28764">
      <c r="A28764" s="39"/>
      <c r="E28764" s="40" t="s">
        <v>11404</v>
      </c>
      <c r="F28764" s="40" t="s">
        <v>11404</v>
      </c>
      <c r="G28764" s="40" t="s">
        <v>11404</v>
      </c>
      <c r="H28764" s="40" t="s">
        <v>11404</v>
      </c>
    </row>
    <row r="28765">
      <c r="A28765" s="39"/>
      <c r="E28765" s="40" t="s">
        <v>11404</v>
      </c>
      <c r="F28765" s="40" t="s">
        <v>11404</v>
      </c>
      <c r="G28765" s="40" t="s">
        <v>11404</v>
      </c>
      <c r="H28765" s="40" t="s">
        <v>11404</v>
      </c>
    </row>
    <row r="28766">
      <c r="A28766" s="39"/>
      <c r="E28766" s="40" t="s">
        <v>11404</v>
      </c>
      <c r="F28766" s="40" t="s">
        <v>11404</v>
      </c>
      <c r="G28766" s="40" t="s">
        <v>11404</v>
      </c>
      <c r="H28766" s="40" t="s">
        <v>11404</v>
      </c>
    </row>
    <row r="28767">
      <c r="A28767" s="39"/>
      <c r="E28767" s="40" t="s">
        <v>11404</v>
      </c>
      <c r="F28767" s="40" t="s">
        <v>11404</v>
      </c>
      <c r="G28767" s="40" t="s">
        <v>11404</v>
      </c>
      <c r="H28767" s="40" t="s">
        <v>11404</v>
      </c>
    </row>
    <row r="28768">
      <c r="A28768" s="39"/>
      <c r="E28768" s="40" t="s">
        <v>11404</v>
      </c>
      <c r="F28768" s="40" t="s">
        <v>11404</v>
      </c>
      <c r="G28768" s="40" t="s">
        <v>11404</v>
      </c>
      <c r="H28768" s="40" t="s">
        <v>11404</v>
      </c>
    </row>
    <row r="28769">
      <c r="A28769" s="39"/>
      <c r="E28769" s="40" t="s">
        <v>11404</v>
      </c>
      <c r="F28769" s="40" t="s">
        <v>11404</v>
      </c>
      <c r="G28769" s="40" t="s">
        <v>11404</v>
      </c>
      <c r="H28769" s="40" t="s">
        <v>11404</v>
      </c>
    </row>
    <row r="28770">
      <c r="A28770" s="39"/>
      <c r="E28770" s="40" t="s">
        <v>11404</v>
      </c>
      <c r="F28770" s="40" t="s">
        <v>11404</v>
      </c>
      <c r="G28770" s="40" t="s">
        <v>11404</v>
      </c>
      <c r="H28770" s="40" t="s">
        <v>11404</v>
      </c>
    </row>
    <row r="28771">
      <c r="A28771" s="39"/>
      <c r="E28771" s="40" t="s">
        <v>11404</v>
      </c>
      <c r="F28771" s="40" t="s">
        <v>11404</v>
      </c>
      <c r="G28771" s="40" t="s">
        <v>11404</v>
      </c>
      <c r="H28771" s="40" t="s">
        <v>11404</v>
      </c>
    </row>
    <row r="28772">
      <c r="A28772" s="39"/>
      <c r="E28772" s="40" t="s">
        <v>11404</v>
      </c>
      <c r="F28772" s="40" t="s">
        <v>11404</v>
      </c>
      <c r="G28772" s="40" t="s">
        <v>11404</v>
      </c>
      <c r="H28772" s="40" t="s">
        <v>11404</v>
      </c>
    </row>
    <row r="28773">
      <c r="A28773" s="39"/>
      <c r="E28773" s="40" t="s">
        <v>11404</v>
      </c>
      <c r="F28773" s="40" t="s">
        <v>11404</v>
      </c>
      <c r="G28773" s="40" t="s">
        <v>11404</v>
      </c>
      <c r="H28773" s="40" t="s">
        <v>11404</v>
      </c>
    </row>
    <row r="28774">
      <c r="A28774" s="39"/>
      <c r="E28774" s="40" t="s">
        <v>11404</v>
      </c>
      <c r="F28774" s="40" t="s">
        <v>11404</v>
      </c>
      <c r="G28774" s="40" t="s">
        <v>11404</v>
      </c>
      <c r="H28774" s="40" t="s">
        <v>11404</v>
      </c>
    </row>
    <row r="28775">
      <c r="A28775" s="39"/>
      <c r="E28775" s="40" t="s">
        <v>11404</v>
      </c>
      <c r="F28775" s="40" t="s">
        <v>11404</v>
      </c>
      <c r="G28775" s="40" t="s">
        <v>11404</v>
      </c>
      <c r="H28775" s="40" t="s">
        <v>11404</v>
      </c>
    </row>
    <row r="28776">
      <c r="A28776" s="39"/>
      <c r="E28776" s="40" t="s">
        <v>11404</v>
      </c>
      <c r="F28776" s="40" t="s">
        <v>11404</v>
      </c>
      <c r="G28776" s="40" t="s">
        <v>11404</v>
      </c>
      <c r="H28776" s="40" t="s">
        <v>11404</v>
      </c>
    </row>
    <row r="28777">
      <c r="A28777" s="39"/>
      <c r="E28777" s="40" t="s">
        <v>11404</v>
      </c>
      <c r="F28777" s="40" t="s">
        <v>11404</v>
      </c>
      <c r="G28777" s="40" t="s">
        <v>11404</v>
      </c>
      <c r="H28777" s="40" t="s">
        <v>11404</v>
      </c>
    </row>
    <row r="28778">
      <c r="A28778" s="39"/>
      <c r="E28778" s="40" t="s">
        <v>11404</v>
      </c>
      <c r="F28778" s="40" t="s">
        <v>11404</v>
      </c>
      <c r="G28778" s="40" t="s">
        <v>11404</v>
      </c>
      <c r="H28778" s="40" t="s">
        <v>11404</v>
      </c>
    </row>
    <row r="28779">
      <c r="A28779" s="39"/>
      <c r="E28779" s="40" t="s">
        <v>11404</v>
      </c>
      <c r="F28779" s="40" t="s">
        <v>11404</v>
      </c>
      <c r="G28779" s="40" t="s">
        <v>11404</v>
      </c>
      <c r="H28779" s="40" t="s">
        <v>11404</v>
      </c>
    </row>
    <row r="28780">
      <c r="A28780" s="39"/>
      <c r="E28780" s="40" t="s">
        <v>11404</v>
      </c>
      <c r="F28780" s="40" t="s">
        <v>11404</v>
      </c>
      <c r="G28780" s="40" t="s">
        <v>11404</v>
      </c>
      <c r="H28780" s="40" t="s">
        <v>11404</v>
      </c>
    </row>
    <row r="28781">
      <c r="A28781" s="39"/>
      <c r="E28781" s="40" t="s">
        <v>11404</v>
      </c>
      <c r="F28781" s="40" t="s">
        <v>11404</v>
      </c>
      <c r="G28781" s="40" t="s">
        <v>11404</v>
      </c>
      <c r="H28781" s="40" t="s">
        <v>11404</v>
      </c>
    </row>
    <row r="28782">
      <c r="A28782" s="39"/>
      <c r="E28782" s="40" t="s">
        <v>11404</v>
      </c>
      <c r="F28782" s="40" t="s">
        <v>11404</v>
      </c>
      <c r="G28782" s="40" t="s">
        <v>11404</v>
      </c>
      <c r="H28782" s="40" t="s">
        <v>11404</v>
      </c>
    </row>
    <row r="28783">
      <c r="A28783" s="39"/>
      <c r="E28783" s="40" t="s">
        <v>11404</v>
      </c>
      <c r="F28783" s="40" t="s">
        <v>11404</v>
      </c>
      <c r="G28783" s="40" t="s">
        <v>11404</v>
      </c>
      <c r="H28783" s="40" t="s">
        <v>11404</v>
      </c>
    </row>
    <row r="28784">
      <c r="A28784" s="39"/>
      <c r="E28784" s="40" t="s">
        <v>11404</v>
      </c>
      <c r="F28784" s="40" t="s">
        <v>11404</v>
      </c>
      <c r="G28784" s="40" t="s">
        <v>11404</v>
      </c>
      <c r="H28784" s="40" t="s">
        <v>11404</v>
      </c>
    </row>
    <row r="28785">
      <c r="A28785" s="39"/>
      <c r="E28785" s="40" t="s">
        <v>11404</v>
      </c>
      <c r="F28785" s="40" t="s">
        <v>11404</v>
      </c>
      <c r="G28785" s="40" t="s">
        <v>11404</v>
      </c>
      <c r="H28785" s="40" t="s">
        <v>11404</v>
      </c>
    </row>
    <row r="28786">
      <c r="A28786" s="39"/>
      <c r="E28786" s="40" t="s">
        <v>11404</v>
      </c>
      <c r="F28786" s="40" t="s">
        <v>11404</v>
      </c>
      <c r="G28786" s="40" t="s">
        <v>11404</v>
      </c>
      <c r="H28786" s="40" t="s">
        <v>11404</v>
      </c>
    </row>
    <row r="28787">
      <c r="A28787" s="39"/>
      <c r="E28787" s="40" t="s">
        <v>11404</v>
      </c>
      <c r="F28787" s="40" t="s">
        <v>11404</v>
      </c>
      <c r="G28787" s="40" t="s">
        <v>11404</v>
      </c>
      <c r="H28787" s="40" t="s">
        <v>11404</v>
      </c>
    </row>
    <row r="28788">
      <c r="A28788" s="39"/>
      <c r="E28788" s="40" t="s">
        <v>11404</v>
      </c>
      <c r="F28788" s="40" t="s">
        <v>11404</v>
      </c>
      <c r="G28788" s="40" t="s">
        <v>11404</v>
      </c>
      <c r="H28788" s="40" t="s">
        <v>11404</v>
      </c>
    </row>
    <row r="28789">
      <c r="A28789" s="39"/>
      <c r="E28789" s="40" t="s">
        <v>11404</v>
      </c>
      <c r="F28789" s="40" t="s">
        <v>11404</v>
      </c>
      <c r="G28789" s="40" t="s">
        <v>11404</v>
      </c>
      <c r="H28789" s="40" t="s">
        <v>11404</v>
      </c>
    </row>
    <row r="28790">
      <c r="A28790" s="39"/>
      <c r="E28790" s="40" t="s">
        <v>11404</v>
      </c>
      <c r="F28790" s="40" t="s">
        <v>11404</v>
      </c>
      <c r="G28790" s="40" t="s">
        <v>11404</v>
      </c>
      <c r="H28790" s="40" t="s">
        <v>11404</v>
      </c>
    </row>
    <row r="28791">
      <c r="A28791" s="39"/>
      <c r="E28791" s="40" t="s">
        <v>11404</v>
      </c>
      <c r="F28791" s="40" t="s">
        <v>11404</v>
      </c>
      <c r="G28791" s="40" t="s">
        <v>11404</v>
      </c>
      <c r="H28791" s="40" t="s">
        <v>11404</v>
      </c>
    </row>
    <row r="28792">
      <c r="A28792" s="39"/>
      <c r="E28792" s="40" t="s">
        <v>11404</v>
      </c>
      <c r="F28792" s="40" t="s">
        <v>11404</v>
      </c>
      <c r="G28792" s="40" t="s">
        <v>11404</v>
      </c>
      <c r="H28792" s="40" t="s">
        <v>11404</v>
      </c>
    </row>
    <row r="28793">
      <c r="A28793" s="39"/>
      <c r="E28793" s="40" t="s">
        <v>11404</v>
      </c>
      <c r="F28793" s="40" t="s">
        <v>11404</v>
      </c>
      <c r="G28793" s="40" t="s">
        <v>11404</v>
      </c>
      <c r="H28793" s="40" t="s">
        <v>11404</v>
      </c>
    </row>
    <row r="28794">
      <c r="A28794" s="39"/>
      <c r="E28794" s="40" t="s">
        <v>11404</v>
      </c>
      <c r="F28794" s="40" t="s">
        <v>11404</v>
      </c>
      <c r="G28794" s="40" t="s">
        <v>11404</v>
      </c>
      <c r="H28794" s="40" t="s">
        <v>11404</v>
      </c>
    </row>
    <row r="28795">
      <c r="A28795" s="39"/>
      <c r="E28795" s="40" t="s">
        <v>11404</v>
      </c>
      <c r="F28795" s="40" t="s">
        <v>11404</v>
      </c>
      <c r="G28795" s="40" t="s">
        <v>11404</v>
      </c>
      <c r="H28795" s="40" t="s">
        <v>11404</v>
      </c>
    </row>
    <row r="28796">
      <c r="A28796" s="39"/>
      <c r="E28796" s="40" t="s">
        <v>11404</v>
      </c>
      <c r="F28796" s="40" t="s">
        <v>11404</v>
      </c>
      <c r="G28796" s="40" t="s">
        <v>11404</v>
      </c>
      <c r="H28796" s="40" t="s">
        <v>11404</v>
      </c>
    </row>
    <row r="28797">
      <c r="A28797" s="39"/>
      <c r="E28797" s="40" t="s">
        <v>11404</v>
      </c>
      <c r="F28797" s="40" t="s">
        <v>11404</v>
      </c>
      <c r="G28797" s="40" t="s">
        <v>11404</v>
      </c>
      <c r="H28797" s="40" t="s">
        <v>11404</v>
      </c>
    </row>
    <row r="28798">
      <c r="A28798" s="39"/>
      <c r="E28798" s="40" t="s">
        <v>11404</v>
      </c>
      <c r="F28798" s="40" t="s">
        <v>11404</v>
      </c>
      <c r="G28798" s="40" t="s">
        <v>11404</v>
      </c>
      <c r="H28798" s="40" t="s">
        <v>11404</v>
      </c>
    </row>
    <row r="28799">
      <c r="A28799" s="39"/>
      <c r="E28799" s="40" t="s">
        <v>11404</v>
      </c>
      <c r="F28799" s="40" t="s">
        <v>11404</v>
      </c>
      <c r="G28799" s="40" t="s">
        <v>11404</v>
      </c>
      <c r="H28799" s="40" t="s">
        <v>11404</v>
      </c>
    </row>
    <row r="28800">
      <c r="A28800" s="39"/>
      <c r="E28800" s="40" t="s">
        <v>11404</v>
      </c>
      <c r="F28800" s="40" t="s">
        <v>11404</v>
      </c>
      <c r="G28800" s="40" t="s">
        <v>11404</v>
      </c>
      <c r="H28800" s="40" t="s">
        <v>11404</v>
      </c>
    </row>
    <row r="28801">
      <c r="A28801" s="39"/>
      <c r="E28801" s="40" t="s">
        <v>11404</v>
      </c>
      <c r="F28801" s="40" t="s">
        <v>11404</v>
      </c>
      <c r="G28801" s="40" t="s">
        <v>11404</v>
      </c>
      <c r="H28801" s="40" t="s">
        <v>11404</v>
      </c>
    </row>
    <row r="28802">
      <c r="A28802" s="39"/>
      <c r="E28802" s="40" t="s">
        <v>11404</v>
      </c>
      <c r="F28802" s="40" t="s">
        <v>11404</v>
      </c>
      <c r="G28802" s="40" t="s">
        <v>11404</v>
      </c>
      <c r="H28802" s="40" t="s">
        <v>11404</v>
      </c>
    </row>
    <row r="28803">
      <c r="A28803" s="39"/>
      <c r="E28803" s="40" t="s">
        <v>11404</v>
      </c>
      <c r="F28803" s="40" t="s">
        <v>11404</v>
      </c>
      <c r="G28803" s="40" t="s">
        <v>11404</v>
      </c>
      <c r="H28803" s="40" t="s">
        <v>11404</v>
      </c>
    </row>
    <row r="28804">
      <c r="A28804" s="39"/>
      <c r="E28804" s="40" t="s">
        <v>11404</v>
      </c>
      <c r="F28804" s="40" t="s">
        <v>11404</v>
      </c>
      <c r="G28804" s="40" t="s">
        <v>11404</v>
      </c>
      <c r="H28804" s="40" t="s">
        <v>11404</v>
      </c>
    </row>
    <row r="28805">
      <c r="A28805" s="39"/>
      <c r="E28805" s="40" t="s">
        <v>11404</v>
      </c>
      <c r="F28805" s="40" t="s">
        <v>11404</v>
      </c>
      <c r="G28805" s="40" t="s">
        <v>11404</v>
      </c>
      <c r="H28805" s="40" t="s">
        <v>11404</v>
      </c>
    </row>
    <row r="28806">
      <c r="A28806" s="39"/>
      <c r="E28806" s="40" t="s">
        <v>11404</v>
      </c>
      <c r="F28806" s="40" t="s">
        <v>11404</v>
      </c>
      <c r="G28806" s="40" t="s">
        <v>11404</v>
      </c>
      <c r="H28806" s="40" t="s">
        <v>11404</v>
      </c>
    </row>
    <row r="28807">
      <c r="A28807" s="39"/>
      <c r="E28807" s="40" t="s">
        <v>11404</v>
      </c>
      <c r="F28807" s="40" t="s">
        <v>11404</v>
      </c>
      <c r="G28807" s="40" t="s">
        <v>11404</v>
      </c>
      <c r="H28807" s="40" t="s">
        <v>11404</v>
      </c>
    </row>
    <row r="28808">
      <c r="A28808" s="39"/>
      <c r="E28808" s="40" t="s">
        <v>11404</v>
      </c>
      <c r="F28808" s="40" t="s">
        <v>11404</v>
      </c>
      <c r="G28808" s="40" t="s">
        <v>11404</v>
      </c>
      <c r="H28808" s="40" t="s">
        <v>11404</v>
      </c>
    </row>
    <row r="28809">
      <c r="A28809" s="39"/>
      <c r="E28809" s="40" t="s">
        <v>11404</v>
      </c>
      <c r="F28809" s="40" t="s">
        <v>11404</v>
      </c>
      <c r="G28809" s="40" t="s">
        <v>11404</v>
      </c>
      <c r="H28809" s="40" t="s">
        <v>11404</v>
      </c>
    </row>
    <row r="28810">
      <c r="A28810" s="39"/>
      <c r="E28810" s="40" t="s">
        <v>11404</v>
      </c>
      <c r="F28810" s="40" t="s">
        <v>11404</v>
      </c>
      <c r="G28810" s="40" t="s">
        <v>11404</v>
      </c>
      <c r="H28810" s="40" t="s">
        <v>11404</v>
      </c>
    </row>
    <row r="28811">
      <c r="A28811" s="39"/>
      <c r="E28811" s="40" t="s">
        <v>11404</v>
      </c>
      <c r="F28811" s="40" t="s">
        <v>11404</v>
      </c>
      <c r="G28811" s="40" t="s">
        <v>11404</v>
      </c>
      <c r="H28811" s="40" t="s">
        <v>11404</v>
      </c>
    </row>
    <row r="28812">
      <c r="A28812" s="39"/>
      <c r="E28812" s="40" t="s">
        <v>11404</v>
      </c>
      <c r="F28812" s="40" t="s">
        <v>11404</v>
      </c>
      <c r="G28812" s="40" t="s">
        <v>11404</v>
      </c>
      <c r="H28812" s="40" t="s">
        <v>11404</v>
      </c>
    </row>
    <row r="28813">
      <c r="A28813" s="39"/>
      <c r="E28813" s="40" t="s">
        <v>11404</v>
      </c>
      <c r="F28813" s="40" t="s">
        <v>11404</v>
      </c>
      <c r="G28813" s="40" t="s">
        <v>11404</v>
      </c>
      <c r="H28813" s="40" t="s">
        <v>11404</v>
      </c>
    </row>
    <row r="28814">
      <c r="A28814" s="39"/>
      <c r="E28814" s="40" t="s">
        <v>11404</v>
      </c>
      <c r="F28814" s="40" t="s">
        <v>11404</v>
      </c>
      <c r="G28814" s="40" t="s">
        <v>11404</v>
      </c>
      <c r="H28814" s="40" t="s">
        <v>11404</v>
      </c>
    </row>
    <row r="28815">
      <c r="A28815" s="39"/>
      <c r="E28815" s="40" t="s">
        <v>11404</v>
      </c>
      <c r="F28815" s="40" t="s">
        <v>11404</v>
      </c>
      <c r="G28815" s="40" t="s">
        <v>11404</v>
      </c>
      <c r="H28815" s="40" t="s">
        <v>11404</v>
      </c>
    </row>
    <row r="28816">
      <c r="A28816" s="39"/>
      <c r="E28816" s="40" t="s">
        <v>11404</v>
      </c>
      <c r="F28816" s="40" t="s">
        <v>11404</v>
      </c>
      <c r="G28816" s="40" t="s">
        <v>11404</v>
      </c>
      <c r="H28816" s="40" t="s">
        <v>11404</v>
      </c>
    </row>
    <row r="28817">
      <c r="A28817" s="39"/>
      <c r="E28817" s="40" t="s">
        <v>11404</v>
      </c>
      <c r="F28817" s="40" t="s">
        <v>11404</v>
      </c>
      <c r="G28817" s="40" t="s">
        <v>11404</v>
      </c>
      <c r="H28817" s="40" t="s">
        <v>11404</v>
      </c>
    </row>
    <row r="28818">
      <c r="A28818" s="39"/>
      <c r="E28818" s="40" t="s">
        <v>11404</v>
      </c>
      <c r="F28818" s="40" t="s">
        <v>11404</v>
      </c>
      <c r="G28818" s="40" t="s">
        <v>11404</v>
      </c>
      <c r="H28818" s="40" t="s">
        <v>11404</v>
      </c>
    </row>
    <row r="28819">
      <c r="A28819" s="39"/>
      <c r="E28819" s="40" t="s">
        <v>11404</v>
      </c>
      <c r="F28819" s="40" t="s">
        <v>11404</v>
      </c>
      <c r="G28819" s="40" t="s">
        <v>11404</v>
      </c>
      <c r="H28819" s="40" t="s">
        <v>11404</v>
      </c>
    </row>
    <row r="28820">
      <c r="A28820" s="39"/>
      <c r="E28820" s="40" t="s">
        <v>11404</v>
      </c>
      <c r="F28820" s="40" t="s">
        <v>11404</v>
      </c>
      <c r="G28820" s="40" t="s">
        <v>11404</v>
      </c>
      <c r="H28820" s="40" t="s">
        <v>11404</v>
      </c>
    </row>
    <row r="28821">
      <c r="A28821" s="39"/>
      <c r="E28821" s="40" t="s">
        <v>11404</v>
      </c>
      <c r="F28821" s="40" t="s">
        <v>11404</v>
      </c>
      <c r="G28821" s="40" t="s">
        <v>11404</v>
      </c>
      <c r="H28821" s="40" t="s">
        <v>11404</v>
      </c>
    </row>
    <row r="28822">
      <c r="A28822" s="39"/>
      <c r="E28822" s="40" t="s">
        <v>11404</v>
      </c>
      <c r="F28822" s="40" t="s">
        <v>11404</v>
      </c>
      <c r="G28822" s="40" t="s">
        <v>11404</v>
      </c>
      <c r="H28822" s="40" t="s">
        <v>11404</v>
      </c>
    </row>
    <row r="28823">
      <c r="A28823" s="39"/>
      <c r="E28823" s="40" t="s">
        <v>11404</v>
      </c>
      <c r="F28823" s="40" t="s">
        <v>11404</v>
      </c>
      <c r="G28823" s="40" t="s">
        <v>11404</v>
      </c>
      <c r="H28823" s="40" t="s">
        <v>11404</v>
      </c>
    </row>
    <row r="28824">
      <c r="A28824" s="39"/>
      <c r="E28824" s="40" t="s">
        <v>11404</v>
      </c>
      <c r="F28824" s="40" t="s">
        <v>11404</v>
      </c>
      <c r="G28824" s="40" t="s">
        <v>11404</v>
      </c>
      <c r="H28824" s="40" t="s">
        <v>11404</v>
      </c>
    </row>
    <row r="28825">
      <c r="A28825" s="39"/>
      <c r="E28825" s="40" t="s">
        <v>11404</v>
      </c>
      <c r="F28825" s="40" t="s">
        <v>11404</v>
      </c>
      <c r="G28825" s="40" t="s">
        <v>11404</v>
      </c>
      <c r="H28825" s="40" t="s">
        <v>11404</v>
      </c>
    </row>
    <row r="28826">
      <c r="A28826" s="39"/>
      <c r="E28826" s="40" t="s">
        <v>11404</v>
      </c>
      <c r="F28826" s="40" t="s">
        <v>11404</v>
      </c>
      <c r="G28826" s="40" t="s">
        <v>11404</v>
      </c>
      <c r="H28826" s="40" t="s">
        <v>11404</v>
      </c>
    </row>
    <row r="28827">
      <c r="A28827" s="39"/>
      <c r="E28827" s="40" t="s">
        <v>11404</v>
      </c>
      <c r="F28827" s="40" t="s">
        <v>11404</v>
      </c>
      <c r="G28827" s="40" t="s">
        <v>11404</v>
      </c>
      <c r="H28827" s="40" t="s">
        <v>11404</v>
      </c>
    </row>
    <row r="28828">
      <c r="A28828" s="39"/>
      <c r="E28828" s="40" t="s">
        <v>11404</v>
      </c>
      <c r="F28828" s="40" t="s">
        <v>11404</v>
      </c>
      <c r="G28828" s="40" t="s">
        <v>11404</v>
      </c>
      <c r="H28828" s="40" t="s">
        <v>11404</v>
      </c>
    </row>
    <row r="28829">
      <c r="A28829" s="39"/>
      <c r="E28829" s="40" t="s">
        <v>11404</v>
      </c>
      <c r="F28829" s="40" t="s">
        <v>11404</v>
      </c>
      <c r="G28829" s="40" t="s">
        <v>11404</v>
      </c>
      <c r="H28829" s="40" t="s">
        <v>11404</v>
      </c>
    </row>
    <row r="28830">
      <c r="A28830" s="39"/>
      <c r="E28830" s="40" t="s">
        <v>11404</v>
      </c>
      <c r="F28830" s="40" t="s">
        <v>11404</v>
      </c>
      <c r="G28830" s="40" t="s">
        <v>11404</v>
      </c>
      <c r="H28830" s="40" t="s">
        <v>11404</v>
      </c>
    </row>
    <row r="28831">
      <c r="A28831" s="39"/>
      <c r="E28831" s="40" t="s">
        <v>11404</v>
      </c>
      <c r="F28831" s="40" t="s">
        <v>11404</v>
      </c>
      <c r="G28831" s="40" t="s">
        <v>11404</v>
      </c>
      <c r="H28831" s="40" t="s">
        <v>11404</v>
      </c>
    </row>
    <row r="28832">
      <c r="A28832" s="39"/>
      <c r="E28832" s="40" t="s">
        <v>11404</v>
      </c>
      <c r="F28832" s="40" t="s">
        <v>11404</v>
      </c>
      <c r="G28832" s="40" t="s">
        <v>11404</v>
      </c>
      <c r="H28832" s="40" t="s">
        <v>11404</v>
      </c>
    </row>
    <row r="28833">
      <c r="A28833" s="39"/>
      <c r="E28833" s="40" t="s">
        <v>11404</v>
      </c>
      <c r="F28833" s="40" t="s">
        <v>11404</v>
      </c>
      <c r="G28833" s="40" t="s">
        <v>11404</v>
      </c>
      <c r="H28833" s="40" t="s">
        <v>11404</v>
      </c>
    </row>
    <row r="28834">
      <c r="A28834" s="39"/>
      <c r="E28834" s="40" t="s">
        <v>11404</v>
      </c>
      <c r="F28834" s="40" t="s">
        <v>11404</v>
      </c>
      <c r="G28834" s="40" t="s">
        <v>11404</v>
      </c>
      <c r="H28834" s="40" t="s">
        <v>11404</v>
      </c>
    </row>
    <row r="28835">
      <c r="A28835" s="39"/>
      <c r="E28835" s="40" t="s">
        <v>11404</v>
      </c>
      <c r="F28835" s="40" t="s">
        <v>11404</v>
      </c>
      <c r="G28835" s="40" t="s">
        <v>11404</v>
      </c>
      <c r="H28835" s="40" t="s">
        <v>11404</v>
      </c>
    </row>
    <row r="28836">
      <c r="A28836" s="39"/>
      <c r="E28836" s="40" t="s">
        <v>11404</v>
      </c>
      <c r="F28836" s="40" t="s">
        <v>11404</v>
      </c>
      <c r="G28836" s="40" t="s">
        <v>11404</v>
      </c>
      <c r="H28836" s="40" t="s">
        <v>11404</v>
      </c>
    </row>
    <row r="28837">
      <c r="A28837" s="39"/>
      <c r="E28837" s="40" t="s">
        <v>11404</v>
      </c>
      <c r="F28837" s="40" t="s">
        <v>11404</v>
      </c>
      <c r="G28837" s="40" t="s">
        <v>11404</v>
      </c>
      <c r="H28837" s="40" t="s">
        <v>11404</v>
      </c>
    </row>
    <row r="28838">
      <c r="A28838" s="39"/>
      <c r="E28838" s="40" t="s">
        <v>11404</v>
      </c>
      <c r="F28838" s="40" t="s">
        <v>11404</v>
      </c>
      <c r="G28838" s="40" t="s">
        <v>11404</v>
      </c>
      <c r="H28838" s="40" t="s">
        <v>11404</v>
      </c>
    </row>
    <row r="28839">
      <c r="A28839" s="39"/>
      <c r="E28839" s="40" t="s">
        <v>11404</v>
      </c>
      <c r="F28839" s="40" t="s">
        <v>11404</v>
      </c>
      <c r="G28839" s="40" t="s">
        <v>11404</v>
      </c>
      <c r="H28839" s="40" t="s">
        <v>11404</v>
      </c>
    </row>
    <row r="28840">
      <c r="A28840" s="39"/>
      <c r="E28840" s="40" t="s">
        <v>11404</v>
      </c>
      <c r="F28840" s="40" t="s">
        <v>11404</v>
      </c>
      <c r="G28840" s="40" t="s">
        <v>11404</v>
      </c>
      <c r="H28840" s="40" t="s">
        <v>11404</v>
      </c>
    </row>
    <row r="28841">
      <c r="A28841" s="39"/>
      <c r="E28841" s="40" t="s">
        <v>11404</v>
      </c>
      <c r="F28841" s="40" t="s">
        <v>11404</v>
      </c>
      <c r="G28841" s="40" t="s">
        <v>11404</v>
      </c>
      <c r="H28841" s="40" t="s">
        <v>11404</v>
      </c>
    </row>
    <row r="28842">
      <c r="A28842" s="39"/>
      <c r="E28842" s="40" t="s">
        <v>11404</v>
      </c>
      <c r="F28842" s="40" t="s">
        <v>11404</v>
      </c>
      <c r="G28842" s="40" t="s">
        <v>11404</v>
      </c>
      <c r="H28842" s="40" t="s">
        <v>11404</v>
      </c>
    </row>
    <row r="28843">
      <c r="A28843" s="39"/>
      <c r="E28843" s="40" t="s">
        <v>11404</v>
      </c>
      <c r="F28843" s="40" t="s">
        <v>11404</v>
      </c>
      <c r="G28843" s="40" t="s">
        <v>11404</v>
      </c>
      <c r="H28843" s="40" t="s">
        <v>11404</v>
      </c>
    </row>
    <row r="28844">
      <c r="A28844" s="39"/>
      <c r="E28844" s="40" t="s">
        <v>11404</v>
      </c>
      <c r="F28844" s="40" t="s">
        <v>11404</v>
      </c>
      <c r="G28844" s="40" t="s">
        <v>11404</v>
      </c>
      <c r="H28844" s="40" t="s">
        <v>11404</v>
      </c>
    </row>
    <row r="28845">
      <c r="A28845" s="39"/>
      <c r="E28845" s="40" t="s">
        <v>11404</v>
      </c>
      <c r="F28845" s="40" t="s">
        <v>11404</v>
      </c>
      <c r="G28845" s="40" t="s">
        <v>11404</v>
      </c>
      <c r="H28845" s="40" t="s">
        <v>11404</v>
      </c>
    </row>
    <row r="28846">
      <c r="A28846" s="39"/>
      <c r="E28846" s="40" t="s">
        <v>11404</v>
      </c>
      <c r="F28846" s="40" t="s">
        <v>11404</v>
      </c>
      <c r="G28846" s="40" t="s">
        <v>11404</v>
      </c>
      <c r="H28846" s="40" t="s">
        <v>11404</v>
      </c>
    </row>
    <row r="28847">
      <c r="A28847" s="39"/>
      <c r="E28847" s="40" t="s">
        <v>11404</v>
      </c>
      <c r="F28847" s="40" t="s">
        <v>11404</v>
      </c>
      <c r="G28847" s="40" t="s">
        <v>11404</v>
      </c>
      <c r="H28847" s="40" t="s">
        <v>11404</v>
      </c>
    </row>
    <row r="28848">
      <c r="A28848" s="39"/>
      <c r="E28848" s="40" t="s">
        <v>11404</v>
      </c>
      <c r="F28848" s="40" t="s">
        <v>11404</v>
      </c>
      <c r="G28848" s="40" t="s">
        <v>11404</v>
      </c>
      <c r="H28848" s="40" t="s">
        <v>11404</v>
      </c>
    </row>
    <row r="28849">
      <c r="A28849" s="39"/>
      <c r="E28849" s="40" t="s">
        <v>11404</v>
      </c>
      <c r="F28849" s="40" t="s">
        <v>11404</v>
      </c>
      <c r="G28849" s="40" t="s">
        <v>11404</v>
      </c>
      <c r="H28849" s="40" t="s">
        <v>11404</v>
      </c>
    </row>
    <row r="28850">
      <c r="A28850" s="39"/>
      <c r="E28850" s="40" t="s">
        <v>11404</v>
      </c>
      <c r="F28850" s="40" t="s">
        <v>11404</v>
      </c>
      <c r="G28850" s="40" t="s">
        <v>11404</v>
      </c>
      <c r="H28850" s="40" t="s">
        <v>11404</v>
      </c>
    </row>
    <row r="28851">
      <c r="A28851" s="39"/>
      <c r="E28851" s="40" t="s">
        <v>11404</v>
      </c>
      <c r="F28851" s="40" t="s">
        <v>11404</v>
      </c>
      <c r="G28851" s="40" t="s">
        <v>11404</v>
      </c>
      <c r="H28851" s="40" t="s">
        <v>11404</v>
      </c>
    </row>
    <row r="28852">
      <c r="A28852" s="39"/>
      <c r="E28852" s="40" t="s">
        <v>11404</v>
      </c>
      <c r="F28852" s="40" t="s">
        <v>11404</v>
      </c>
      <c r="G28852" s="40" t="s">
        <v>11404</v>
      </c>
      <c r="H28852" s="40" t="s">
        <v>11404</v>
      </c>
    </row>
    <row r="28853">
      <c r="A28853" s="39"/>
      <c r="E28853" s="40" t="s">
        <v>11404</v>
      </c>
      <c r="F28853" s="40" t="s">
        <v>11404</v>
      </c>
      <c r="G28853" s="40" t="s">
        <v>11404</v>
      </c>
      <c r="H28853" s="40" t="s">
        <v>11404</v>
      </c>
    </row>
    <row r="28854">
      <c r="A28854" s="39"/>
      <c r="E28854" s="40" t="s">
        <v>11404</v>
      </c>
      <c r="F28854" s="40" t="s">
        <v>11404</v>
      </c>
      <c r="G28854" s="40" t="s">
        <v>11404</v>
      </c>
      <c r="H28854" s="40" t="s">
        <v>11404</v>
      </c>
    </row>
    <row r="28855">
      <c r="A28855" s="39"/>
      <c r="E28855" s="40" t="s">
        <v>11404</v>
      </c>
      <c r="F28855" s="40" t="s">
        <v>11404</v>
      </c>
      <c r="G28855" s="40" t="s">
        <v>11404</v>
      </c>
      <c r="H28855" s="40" t="s">
        <v>11404</v>
      </c>
    </row>
    <row r="28856">
      <c r="A28856" s="39"/>
      <c r="E28856" s="40" t="s">
        <v>11404</v>
      </c>
      <c r="F28856" s="40" t="s">
        <v>11404</v>
      </c>
      <c r="G28856" s="40" t="s">
        <v>11404</v>
      </c>
      <c r="H28856" s="40" t="s">
        <v>11404</v>
      </c>
    </row>
    <row r="28857">
      <c r="A28857" s="39"/>
      <c r="E28857" s="40" t="s">
        <v>11404</v>
      </c>
      <c r="F28857" s="40" t="s">
        <v>11404</v>
      </c>
      <c r="G28857" s="40" t="s">
        <v>11404</v>
      </c>
      <c r="H28857" s="40" t="s">
        <v>11404</v>
      </c>
    </row>
    <row r="28858">
      <c r="A28858" s="39"/>
      <c r="E28858" s="40" t="s">
        <v>11404</v>
      </c>
      <c r="F28858" s="40" t="s">
        <v>11404</v>
      </c>
      <c r="G28858" s="40" t="s">
        <v>11404</v>
      </c>
      <c r="H28858" s="40" t="s">
        <v>11404</v>
      </c>
    </row>
    <row r="28859">
      <c r="A28859" s="39"/>
      <c r="E28859" s="40" t="s">
        <v>11404</v>
      </c>
      <c r="F28859" s="40" t="s">
        <v>11404</v>
      </c>
      <c r="G28859" s="40" t="s">
        <v>11404</v>
      </c>
      <c r="H28859" s="40" t="s">
        <v>11404</v>
      </c>
    </row>
    <row r="28860">
      <c r="A28860" s="39"/>
      <c r="E28860" s="40" t="s">
        <v>11404</v>
      </c>
      <c r="F28860" s="40" t="s">
        <v>11404</v>
      </c>
      <c r="G28860" s="40" t="s">
        <v>11404</v>
      </c>
      <c r="H28860" s="40" t="s">
        <v>11404</v>
      </c>
    </row>
    <row r="28861">
      <c r="A28861" s="39"/>
      <c r="E28861" s="40" t="s">
        <v>11404</v>
      </c>
      <c r="F28861" s="40" t="s">
        <v>11404</v>
      </c>
      <c r="G28861" s="40" t="s">
        <v>11404</v>
      </c>
      <c r="H28861" s="40" t="s">
        <v>11404</v>
      </c>
    </row>
    <row r="28862">
      <c r="A28862" s="39"/>
      <c r="E28862" s="40" t="s">
        <v>11404</v>
      </c>
      <c r="F28862" s="40" t="s">
        <v>11404</v>
      </c>
      <c r="G28862" s="40" t="s">
        <v>11404</v>
      </c>
      <c r="H28862" s="40" t="s">
        <v>11404</v>
      </c>
    </row>
    <row r="28863">
      <c r="A28863" s="39"/>
      <c r="E28863" s="40" t="s">
        <v>11404</v>
      </c>
      <c r="F28863" s="40" t="s">
        <v>11404</v>
      </c>
      <c r="G28863" s="40" t="s">
        <v>11404</v>
      </c>
      <c r="H28863" s="40" t="s">
        <v>11404</v>
      </c>
    </row>
    <row r="28864">
      <c r="A28864" s="39"/>
      <c r="E28864" s="40" t="s">
        <v>11404</v>
      </c>
      <c r="F28864" s="40" t="s">
        <v>11404</v>
      </c>
      <c r="G28864" s="40" t="s">
        <v>11404</v>
      </c>
      <c r="H28864" s="40" t="s">
        <v>11404</v>
      </c>
    </row>
    <row r="28865">
      <c r="A28865" s="39"/>
      <c r="E28865" s="40" t="s">
        <v>11404</v>
      </c>
      <c r="F28865" s="40" t="s">
        <v>11404</v>
      </c>
      <c r="G28865" s="40" t="s">
        <v>11404</v>
      </c>
      <c r="H28865" s="40" t="s">
        <v>11404</v>
      </c>
    </row>
    <row r="28866">
      <c r="A28866" s="39"/>
      <c r="E28866" s="40" t="s">
        <v>11404</v>
      </c>
      <c r="F28866" s="40" t="s">
        <v>11404</v>
      </c>
      <c r="G28866" s="40" t="s">
        <v>11404</v>
      </c>
      <c r="H28866" s="40" t="s">
        <v>11404</v>
      </c>
    </row>
    <row r="28867">
      <c r="A28867" s="39"/>
      <c r="E28867" s="40" t="s">
        <v>11404</v>
      </c>
      <c r="F28867" s="40" t="s">
        <v>11404</v>
      </c>
      <c r="G28867" s="40" t="s">
        <v>11404</v>
      </c>
      <c r="H28867" s="40" t="s">
        <v>11404</v>
      </c>
    </row>
    <row r="28868">
      <c r="A28868" s="39"/>
      <c r="E28868" s="40" t="s">
        <v>11404</v>
      </c>
      <c r="F28868" s="40" t="s">
        <v>11404</v>
      </c>
      <c r="G28868" s="40" t="s">
        <v>11404</v>
      </c>
      <c r="H28868" s="40" t="s">
        <v>11404</v>
      </c>
    </row>
    <row r="28869">
      <c r="A28869" s="39"/>
      <c r="E28869" s="40" t="s">
        <v>11404</v>
      </c>
      <c r="F28869" s="40" t="s">
        <v>11404</v>
      </c>
      <c r="G28869" s="40" t="s">
        <v>11404</v>
      </c>
      <c r="H28869" s="40" t="s">
        <v>11404</v>
      </c>
    </row>
    <row r="28870">
      <c r="A28870" s="39"/>
      <c r="E28870" s="40" t="s">
        <v>11404</v>
      </c>
      <c r="F28870" s="40" t="s">
        <v>11404</v>
      </c>
      <c r="G28870" s="40" t="s">
        <v>11404</v>
      </c>
      <c r="H28870" s="40" t="s">
        <v>11404</v>
      </c>
    </row>
    <row r="28871">
      <c r="A28871" s="39"/>
      <c r="E28871" s="40" t="s">
        <v>11404</v>
      </c>
      <c r="F28871" s="40" t="s">
        <v>11404</v>
      </c>
      <c r="G28871" s="40" t="s">
        <v>11404</v>
      </c>
      <c r="H28871" s="40" t="s">
        <v>11404</v>
      </c>
    </row>
    <row r="28872">
      <c r="A28872" s="39"/>
      <c r="E28872" s="40" t="s">
        <v>11404</v>
      </c>
      <c r="F28872" s="40" t="s">
        <v>11404</v>
      </c>
      <c r="G28872" s="40" t="s">
        <v>11404</v>
      </c>
      <c r="H28872" s="40" t="s">
        <v>11404</v>
      </c>
    </row>
    <row r="28873">
      <c r="A28873" s="39"/>
      <c r="E28873" s="40" t="s">
        <v>11404</v>
      </c>
      <c r="F28873" s="40" t="s">
        <v>11404</v>
      </c>
      <c r="G28873" s="40" t="s">
        <v>11404</v>
      </c>
      <c r="H28873" s="40" t="s">
        <v>11404</v>
      </c>
    </row>
    <row r="28874">
      <c r="A28874" s="39"/>
      <c r="E28874" s="40" t="s">
        <v>11404</v>
      </c>
      <c r="F28874" s="40" t="s">
        <v>11404</v>
      </c>
      <c r="G28874" s="40" t="s">
        <v>11404</v>
      </c>
      <c r="H28874" s="40" t="s">
        <v>11404</v>
      </c>
    </row>
    <row r="28875">
      <c r="A28875" s="39"/>
      <c r="E28875" s="40" t="s">
        <v>11404</v>
      </c>
      <c r="F28875" s="40" t="s">
        <v>11404</v>
      </c>
      <c r="G28875" s="40" t="s">
        <v>11404</v>
      </c>
      <c r="H28875" s="40" t="s">
        <v>11404</v>
      </c>
    </row>
    <row r="28876">
      <c r="A28876" s="39"/>
      <c r="E28876" s="40" t="s">
        <v>11404</v>
      </c>
      <c r="F28876" s="40" t="s">
        <v>11404</v>
      </c>
      <c r="G28876" s="40" t="s">
        <v>11404</v>
      </c>
      <c r="H28876" s="40" t="s">
        <v>11404</v>
      </c>
    </row>
    <row r="28877">
      <c r="A28877" s="39"/>
      <c r="E28877" s="40" t="s">
        <v>11404</v>
      </c>
      <c r="F28877" s="40" t="s">
        <v>11404</v>
      </c>
      <c r="G28877" s="40" t="s">
        <v>11404</v>
      </c>
      <c r="H28877" s="40" t="s">
        <v>11404</v>
      </c>
    </row>
    <row r="28878">
      <c r="A28878" s="39"/>
      <c r="E28878" s="40" t="s">
        <v>11404</v>
      </c>
      <c r="F28878" s="40" t="s">
        <v>11404</v>
      </c>
      <c r="G28878" s="40" t="s">
        <v>11404</v>
      </c>
      <c r="H28878" s="40" t="s">
        <v>11404</v>
      </c>
    </row>
    <row r="28879">
      <c r="A28879" s="39"/>
      <c r="E28879" s="40" t="s">
        <v>11404</v>
      </c>
      <c r="F28879" s="40" t="s">
        <v>11404</v>
      </c>
      <c r="G28879" s="40" t="s">
        <v>11404</v>
      </c>
      <c r="H28879" s="40" t="s">
        <v>11404</v>
      </c>
    </row>
    <row r="28880">
      <c r="A28880" s="39"/>
      <c r="E28880" s="40" t="s">
        <v>11404</v>
      </c>
      <c r="F28880" s="40" t="s">
        <v>11404</v>
      </c>
      <c r="G28880" s="40" t="s">
        <v>11404</v>
      </c>
      <c r="H28880" s="40" t="s">
        <v>11404</v>
      </c>
    </row>
    <row r="28881">
      <c r="A28881" s="39"/>
      <c r="E28881" s="40" t="s">
        <v>11404</v>
      </c>
      <c r="F28881" s="40" t="s">
        <v>11404</v>
      </c>
      <c r="G28881" s="40" t="s">
        <v>11404</v>
      </c>
      <c r="H28881" s="40" t="s">
        <v>11404</v>
      </c>
    </row>
    <row r="28882">
      <c r="A28882" s="39"/>
      <c r="E28882" s="40" t="s">
        <v>11404</v>
      </c>
      <c r="F28882" s="40" t="s">
        <v>11404</v>
      </c>
      <c r="G28882" s="40" t="s">
        <v>11404</v>
      </c>
      <c r="H28882" s="40" t="s">
        <v>11404</v>
      </c>
    </row>
    <row r="28883">
      <c r="A28883" s="39"/>
      <c r="E28883" s="40" t="s">
        <v>11404</v>
      </c>
      <c r="F28883" s="40" t="s">
        <v>11404</v>
      </c>
      <c r="G28883" s="40" t="s">
        <v>11404</v>
      </c>
      <c r="H28883" s="40" t="s">
        <v>11404</v>
      </c>
    </row>
    <row r="28884">
      <c r="A28884" s="39"/>
      <c r="E28884" s="40" t="s">
        <v>11404</v>
      </c>
      <c r="F28884" s="40" t="s">
        <v>11404</v>
      </c>
      <c r="G28884" s="40" t="s">
        <v>11404</v>
      </c>
      <c r="H28884" s="40" t="s">
        <v>11404</v>
      </c>
    </row>
    <row r="28885">
      <c r="A28885" s="39"/>
      <c r="E28885" s="40" t="s">
        <v>11404</v>
      </c>
      <c r="F28885" s="40" t="s">
        <v>11404</v>
      </c>
      <c r="G28885" s="40" t="s">
        <v>11404</v>
      </c>
      <c r="H28885" s="40" t="s">
        <v>11404</v>
      </c>
    </row>
    <row r="28886">
      <c r="A28886" s="39"/>
      <c r="E28886" s="40" t="s">
        <v>11404</v>
      </c>
      <c r="F28886" s="40" t="s">
        <v>11404</v>
      </c>
      <c r="G28886" s="40" t="s">
        <v>11404</v>
      </c>
      <c r="H28886" s="40" t="s">
        <v>11404</v>
      </c>
    </row>
    <row r="28887">
      <c r="A28887" s="39"/>
      <c r="E28887" s="40" t="s">
        <v>11404</v>
      </c>
      <c r="F28887" s="40" t="s">
        <v>11404</v>
      </c>
      <c r="G28887" s="40" t="s">
        <v>11404</v>
      </c>
      <c r="H28887" s="40" t="s">
        <v>11404</v>
      </c>
    </row>
    <row r="28888">
      <c r="A28888" s="39"/>
      <c r="E28888" s="40" t="s">
        <v>11404</v>
      </c>
      <c r="F28888" s="40" t="s">
        <v>11404</v>
      </c>
      <c r="G28888" s="40" t="s">
        <v>11404</v>
      </c>
      <c r="H28888" s="40" t="s">
        <v>11404</v>
      </c>
    </row>
    <row r="28889">
      <c r="A28889" s="39"/>
      <c r="E28889" s="40" t="s">
        <v>11404</v>
      </c>
      <c r="F28889" s="40" t="s">
        <v>11404</v>
      </c>
      <c r="G28889" s="40" t="s">
        <v>11404</v>
      </c>
      <c r="H28889" s="40" t="s">
        <v>11404</v>
      </c>
    </row>
    <row r="28890">
      <c r="A28890" s="39"/>
      <c r="E28890" s="40" t="s">
        <v>11404</v>
      </c>
      <c r="F28890" s="40" t="s">
        <v>11404</v>
      </c>
      <c r="G28890" s="40" t="s">
        <v>11404</v>
      </c>
      <c r="H28890" s="40" t="s">
        <v>11404</v>
      </c>
    </row>
    <row r="28891">
      <c r="A28891" s="39"/>
      <c r="E28891" s="40" t="s">
        <v>11404</v>
      </c>
      <c r="F28891" s="40" t="s">
        <v>11404</v>
      </c>
      <c r="G28891" s="40" t="s">
        <v>11404</v>
      </c>
      <c r="H28891" s="40" t="s">
        <v>11404</v>
      </c>
    </row>
    <row r="28892">
      <c r="A28892" s="39"/>
      <c r="E28892" s="40" t="s">
        <v>11404</v>
      </c>
      <c r="F28892" s="40" t="s">
        <v>11404</v>
      </c>
      <c r="G28892" s="40" t="s">
        <v>11404</v>
      </c>
      <c r="H28892" s="40" t="s">
        <v>11404</v>
      </c>
    </row>
    <row r="28893">
      <c r="A28893" s="39"/>
      <c r="E28893" s="40" t="s">
        <v>11404</v>
      </c>
      <c r="F28893" s="40" t="s">
        <v>11404</v>
      </c>
      <c r="G28893" s="40" t="s">
        <v>11404</v>
      </c>
      <c r="H28893" s="40" t="s">
        <v>11404</v>
      </c>
    </row>
    <row r="28894">
      <c r="A28894" s="39"/>
      <c r="E28894" s="40" t="s">
        <v>11404</v>
      </c>
      <c r="F28894" s="40" t="s">
        <v>11404</v>
      </c>
      <c r="G28894" s="40" t="s">
        <v>11404</v>
      </c>
      <c r="H28894" s="40" t="s">
        <v>11404</v>
      </c>
    </row>
    <row r="28895">
      <c r="A28895" s="39"/>
      <c r="E28895" s="40" t="s">
        <v>11404</v>
      </c>
      <c r="F28895" s="40" t="s">
        <v>11404</v>
      </c>
      <c r="G28895" s="40" t="s">
        <v>11404</v>
      </c>
      <c r="H28895" s="40" t="s">
        <v>11404</v>
      </c>
    </row>
    <row r="28896">
      <c r="A28896" s="39"/>
      <c r="E28896" s="40" t="s">
        <v>11404</v>
      </c>
      <c r="F28896" s="40" t="s">
        <v>11404</v>
      </c>
      <c r="G28896" s="40" t="s">
        <v>11404</v>
      </c>
      <c r="H28896" s="40" t="s">
        <v>11404</v>
      </c>
    </row>
    <row r="28897">
      <c r="A28897" s="39"/>
      <c r="E28897" s="40" t="s">
        <v>11404</v>
      </c>
      <c r="F28897" s="40" t="s">
        <v>11404</v>
      </c>
      <c r="G28897" s="40" t="s">
        <v>11404</v>
      </c>
      <c r="H28897" s="40" t="s">
        <v>11404</v>
      </c>
    </row>
    <row r="28898">
      <c r="A28898" s="39"/>
      <c r="E28898" s="40" t="s">
        <v>11404</v>
      </c>
      <c r="F28898" s="40" t="s">
        <v>11404</v>
      </c>
      <c r="G28898" s="40" t="s">
        <v>11404</v>
      </c>
      <c r="H28898" s="40" t="s">
        <v>11404</v>
      </c>
    </row>
    <row r="28899">
      <c r="A28899" s="39"/>
      <c r="E28899" s="40" t="s">
        <v>11404</v>
      </c>
      <c r="F28899" s="40" t="s">
        <v>11404</v>
      </c>
      <c r="G28899" s="40" t="s">
        <v>11404</v>
      </c>
      <c r="H28899" s="40" t="s">
        <v>11404</v>
      </c>
    </row>
    <row r="28900">
      <c r="A28900" s="39"/>
      <c r="E28900" s="40" t="s">
        <v>11404</v>
      </c>
      <c r="F28900" s="40" t="s">
        <v>11404</v>
      </c>
      <c r="G28900" s="40" t="s">
        <v>11404</v>
      </c>
      <c r="H28900" s="40" t="s">
        <v>11404</v>
      </c>
    </row>
    <row r="28901">
      <c r="A28901" s="39"/>
      <c r="E28901" s="40" t="s">
        <v>11404</v>
      </c>
      <c r="F28901" s="40" t="s">
        <v>11404</v>
      </c>
      <c r="G28901" s="40" t="s">
        <v>11404</v>
      </c>
      <c r="H28901" s="40" t="s">
        <v>11404</v>
      </c>
    </row>
    <row r="28902">
      <c r="A28902" s="39"/>
      <c r="E28902" s="40" t="s">
        <v>11404</v>
      </c>
      <c r="F28902" s="40" t="s">
        <v>11404</v>
      </c>
      <c r="G28902" s="40" t="s">
        <v>11404</v>
      </c>
      <c r="H28902" s="40" t="s">
        <v>11404</v>
      </c>
    </row>
    <row r="28903">
      <c r="A28903" s="39"/>
      <c r="E28903" s="40" t="s">
        <v>11404</v>
      </c>
      <c r="F28903" s="40" t="s">
        <v>11404</v>
      </c>
      <c r="G28903" s="40" t="s">
        <v>11404</v>
      </c>
      <c r="H28903" s="40" t="s">
        <v>11404</v>
      </c>
    </row>
    <row r="28904">
      <c r="A28904" s="39"/>
      <c r="E28904" s="40" t="s">
        <v>11404</v>
      </c>
      <c r="F28904" s="40" t="s">
        <v>11404</v>
      </c>
      <c r="G28904" s="40" t="s">
        <v>11404</v>
      </c>
      <c r="H28904" s="40" t="s">
        <v>11404</v>
      </c>
    </row>
    <row r="28905">
      <c r="A28905" s="39"/>
      <c r="E28905" s="40" t="s">
        <v>11404</v>
      </c>
      <c r="F28905" s="40" t="s">
        <v>11404</v>
      </c>
      <c r="G28905" s="40" t="s">
        <v>11404</v>
      </c>
      <c r="H28905" s="40" t="s">
        <v>11404</v>
      </c>
    </row>
    <row r="28906">
      <c r="A28906" s="39"/>
      <c r="E28906" s="40" t="s">
        <v>11404</v>
      </c>
      <c r="F28906" s="40" t="s">
        <v>11404</v>
      </c>
      <c r="G28906" s="40" t="s">
        <v>11404</v>
      </c>
      <c r="H28906" s="40" t="s">
        <v>11404</v>
      </c>
    </row>
    <row r="28907">
      <c r="A28907" s="39"/>
      <c r="E28907" s="40" t="s">
        <v>11404</v>
      </c>
      <c r="F28907" s="40" t="s">
        <v>11404</v>
      </c>
      <c r="G28907" s="40" t="s">
        <v>11404</v>
      </c>
      <c r="H28907" s="40" t="s">
        <v>11404</v>
      </c>
    </row>
    <row r="28908">
      <c r="A28908" s="39"/>
      <c r="E28908" s="40" t="s">
        <v>11404</v>
      </c>
      <c r="F28908" s="40" t="s">
        <v>11404</v>
      </c>
      <c r="G28908" s="40" t="s">
        <v>11404</v>
      </c>
      <c r="H28908" s="40" t="s">
        <v>11404</v>
      </c>
    </row>
    <row r="28909">
      <c r="A28909" s="39"/>
      <c r="E28909" s="40" t="s">
        <v>11404</v>
      </c>
      <c r="F28909" s="40" t="s">
        <v>11404</v>
      </c>
      <c r="G28909" s="40" t="s">
        <v>11404</v>
      </c>
      <c r="H28909" s="40" t="s">
        <v>11404</v>
      </c>
    </row>
    <row r="28910">
      <c r="A28910" s="39"/>
      <c r="E28910" s="40" t="s">
        <v>11404</v>
      </c>
      <c r="F28910" s="40" t="s">
        <v>11404</v>
      </c>
      <c r="G28910" s="40" t="s">
        <v>11404</v>
      </c>
      <c r="H28910" s="40" t="s">
        <v>11404</v>
      </c>
    </row>
    <row r="28911">
      <c r="A28911" s="39"/>
      <c r="E28911" s="40" t="s">
        <v>11404</v>
      </c>
      <c r="F28911" s="40" t="s">
        <v>11404</v>
      </c>
      <c r="G28911" s="40" t="s">
        <v>11404</v>
      </c>
      <c r="H28911" s="40" t="s">
        <v>11404</v>
      </c>
    </row>
    <row r="28912">
      <c r="A28912" s="39"/>
      <c r="E28912" s="40" t="s">
        <v>11404</v>
      </c>
      <c r="F28912" s="40" t="s">
        <v>11404</v>
      </c>
      <c r="G28912" s="40" t="s">
        <v>11404</v>
      </c>
      <c r="H28912" s="40" t="s">
        <v>11404</v>
      </c>
    </row>
    <row r="28913">
      <c r="A28913" s="39"/>
      <c r="E28913" s="40" t="s">
        <v>11404</v>
      </c>
      <c r="F28913" s="40" t="s">
        <v>11404</v>
      </c>
      <c r="G28913" s="40" t="s">
        <v>11404</v>
      </c>
      <c r="H28913" s="40" t="s">
        <v>11404</v>
      </c>
    </row>
    <row r="28914">
      <c r="A28914" s="39"/>
      <c r="E28914" s="40" t="s">
        <v>11404</v>
      </c>
      <c r="F28914" s="40" t="s">
        <v>11404</v>
      </c>
      <c r="G28914" s="40" t="s">
        <v>11404</v>
      </c>
      <c r="H28914" s="40" t="s">
        <v>11404</v>
      </c>
    </row>
    <row r="28915">
      <c r="A28915" s="39"/>
      <c r="E28915" s="40" t="s">
        <v>11404</v>
      </c>
      <c r="F28915" s="40" t="s">
        <v>11404</v>
      </c>
      <c r="G28915" s="40" t="s">
        <v>11404</v>
      </c>
      <c r="H28915" s="40" t="s">
        <v>11404</v>
      </c>
    </row>
    <row r="28916">
      <c r="A28916" s="39"/>
      <c r="E28916" s="40" t="s">
        <v>11404</v>
      </c>
      <c r="F28916" s="40" t="s">
        <v>11404</v>
      </c>
      <c r="G28916" s="40" t="s">
        <v>11404</v>
      </c>
      <c r="H28916" s="40" t="s">
        <v>11404</v>
      </c>
    </row>
    <row r="28917">
      <c r="A28917" s="39"/>
      <c r="E28917" s="40" t="s">
        <v>11404</v>
      </c>
      <c r="F28917" s="40" t="s">
        <v>11404</v>
      </c>
      <c r="G28917" s="40" t="s">
        <v>11404</v>
      </c>
      <c r="H28917" s="40" t="s">
        <v>11404</v>
      </c>
    </row>
    <row r="28918">
      <c r="A28918" s="39"/>
      <c r="E28918" s="40" t="s">
        <v>11404</v>
      </c>
      <c r="F28918" s="40" t="s">
        <v>11404</v>
      </c>
      <c r="G28918" s="40" t="s">
        <v>11404</v>
      </c>
      <c r="H28918" s="40" t="s">
        <v>11404</v>
      </c>
    </row>
    <row r="28919">
      <c r="A28919" s="39"/>
      <c r="E28919" s="40" t="s">
        <v>11404</v>
      </c>
      <c r="F28919" s="40" t="s">
        <v>11404</v>
      </c>
      <c r="G28919" s="40" t="s">
        <v>11404</v>
      </c>
      <c r="H28919" s="40" t="s">
        <v>11404</v>
      </c>
    </row>
    <row r="28920">
      <c r="A28920" s="39"/>
      <c r="E28920" s="40" t="s">
        <v>11404</v>
      </c>
      <c r="F28920" s="40" t="s">
        <v>11404</v>
      </c>
      <c r="G28920" s="40" t="s">
        <v>11404</v>
      </c>
      <c r="H28920" s="40" t="s">
        <v>11404</v>
      </c>
    </row>
    <row r="28921">
      <c r="A28921" s="39"/>
      <c r="E28921" s="40" t="s">
        <v>11404</v>
      </c>
      <c r="F28921" s="40" t="s">
        <v>11404</v>
      </c>
      <c r="G28921" s="40" t="s">
        <v>11404</v>
      </c>
      <c r="H28921" s="40" t="s">
        <v>11404</v>
      </c>
    </row>
    <row r="28922">
      <c r="A28922" s="39"/>
      <c r="E28922" s="40" t="s">
        <v>11404</v>
      </c>
      <c r="F28922" s="40" t="s">
        <v>11404</v>
      </c>
      <c r="G28922" s="40" t="s">
        <v>11404</v>
      </c>
      <c r="H28922" s="40" t="s">
        <v>11404</v>
      </c>
    </row>
    <row r="28923">
      <c r="A28923" s="39"/>
      <c r="E28923" s="40" t="s">
        <v>11404</v>
      </c>
      <c r="F28923" s="40" t="s">
        <v>11404</v>
      </c>
      <c r="G28923" s="40" t="s">
        <v>11404</v>
      </c>
      <c r="H28923" s="40" t="s">
        <v>11404</v>
      </c>
    </row>
    <row r="28924">
      <c r="A28924" s="39"/>
      <c r="E28924" s="40" t="s">
        <v>11404</v>
      </c>
      <c r="F28924" s="40" t="s">
        <v>11404</v>
      </c>
      <c r="G28924" s="40" t="s">
        <v>11404</v>
      </c>
      <c r="H28924" s="40" t="s">
        <v>11404</v>
      </c>
    </row>
    <row r="28925">
      <c r="A28925" s="39"/>
      <c r="E28925" s="40" t="s">
        <v>11404</v>
      </c>
      <c r="F28925" s="40" t="s">
        <v>11404</v>
      </c>
      <c r="G28925" s="40" t="s">
        <v>11404</v>
      </c>
      <c r="H28925" s="40" t="s">
        <v>11404</v>
      </c>
    </row>
    <row r="28926">
      <c r="A28926" s="39"/>
      <c r="E28926" s="40" t="s">
        <v>11404</v>
      </c>
      <c r="F28926" s="40" t="s">
        <v>11404</v>
      </c>
      <c r="G28926" s="40" t="s">
        <v>11404</v>
      </c>
      <c r="H28926" s="40" t="s">
        <v>11404</v>
      </c>
    </row>
    <row r="28927">
      <c r="A28927" s="39"/>
      <c r="E28927" s="40" t="s">
        <v>11404</v>
      </c>
      <c r="F28927" s="40" t="s">
        <v>11404</v>
      </c>
      <c r="G28927" s="40" t="s">
        <v>11404</v>
      </c>
      <c r="H28927" s="40" t="s">
        <v>11404</v>
      </c>
    </row>
    <row r="28928">
      <c r="A28928" s="39"/>
      <c r="E28928" s="40" t="s">
        <v>11404</v>
      </c>
      <c r="F28928" s="40" t="s">
        <v>11404</v>
      </c>
      <c r="G28928" s="40" t="s">
        <v>11404</v>
      </c>
      <c r="H28928" s="40" t="s">
        <v>11404</v>
      </c>
    </row>
    <row r="28929">
      <c r="A28929" s="39"/>
      <c r="E28929" s="40" t="s">
        <v>11404</v>
      </c>
      <c r="F28929" s="40" t="s">
        <v>11404</v>
      </c>
      <c r="G28929" s="40" t="s">
        <v>11404</v>
      </c>
      <c r="H28929" s="40" t="s">
        <v>11404</v>
      </c>
    </row>
    <row r="28930">
      <c r="A28930" s="39"/>
      <c r="E28930" s="40" t="s">
        <v>11404</v>
      </c>
      <c r="F28930" s="40" t="s">
        <v>11404</v>
      </c>
      <c r="G28930" s="40" t="s">
        <v>11404</v>
      </c>
      <c r="H28930" s="40" t="s">
        <v>11404</v>
      </c>
    </row>
    <row r="28931">
      <c r="A28931" s="39"/>
      <c r="E28931" s="40" t="s">
        <v>11404</v>
      </c>
      <c r="F28931" s="40" t="s">
        <v>11404</v>
      </c>
      <c r="G28931" s="40" t="s">
        <v>11404</v>
      </c>
      <c r="H28931" s="40" t="s">
        <v>11404</v>
      </c>
    </row>
    <row r="28932">
      <c r="A28932" s="39"/>
      <c r="E28932" s="40" t="s">
        <v>11404</v>
      </c>
      <c r="F28932" s="40" t="s">
        <v>11404</v>
      </c>
      <c r="G28932" s="40" t="s">
        <v>11404</v>
      </c>
      <c r="H28932" s="40" t="s">
        <v>11404</v>
      </c>
    </row>
    <row r="28933">
      <c r="A28933" s="39"/>
      <c r="E28933" s="40" t="s">
        <v>11404</v>
      </c>
      <c r="F28933" s="40" t="s">
        <v>11404</v>
      </c>
      <c r="G28933" s="40" t="s">
        <v>11404</v>
      </c>
      <c r="H28933" s="40" t="s">
        <v>11404</v>
      </c>
    </row>
    <row r="28934">
      <c r="A28934" s="39"/>
      <c r="E28934" s="40" t="s">
        <v>11404</v>
      </c>
      <c r="F28934" s="40" t="s">
        <v>11404</v>
      </c>
      <c r="G28934" s="40" t="s">
        <v>11404</v>
      </c>
      <c r="H28934" s="40" t="s">
        <v>11404</v>
      </c>
    </row>
    <row r="28935">
      <c r="A28935" s="39"/>
      <c r="E28935" s="40" t="s">
        <v>11404</v>
      </c>
      <c r="F28935" s="40" t="s">
        <v>11404</v>
      </c>
      <c r="G28935" s="40" t="s">
        <v>11404</v>
      </c>
      <c r="H28935" s="40" t="s">
        <v>11404</v>
      </c>
    </row>
    <row r="28936">
      <c r="A28936" s="39"/>
      <c r="E28936" s="40" t="s">
        <v>11404</v>
      </c>
      <c r="F28936" s="40" t="s">
        <v>11404</v>
      </c>
      <c r="G28936" s="40" t="s">
        <v>11404</v>
      </c>
      <c r="H28936" s="40" t="s">
        <v>11404</v>
      </c>
    </row>
    <row r="28937">
      <c r="A28937" s="39"/>
      <c r="E28937" s="40" t="s">
        <v>11404</v>
      </c>
      <c r="F28937" s="40" t="s">
        <v>11404</v>
      </c>
      <c r="G28937" s="40" t="s">
        <v>11404</v>
      </c>
      <c r="H28937" s="40" t="s">
        <v>11404</v>
      </c>
    </row>
    <row r="28938">
      <c r="A28938" s="39"/>
      <c r="E28938" s="40" t="s">
        <v>11404</v>
      </c>
      <c r="F28938" s="40" t="s">
        <v>11404</v>
      </c>
      <c r="G28938" s="40" t="s">
        <v>11404</v>
      </c>
      <c r="H28938" s="40" t="s">
        <v>11404</v>
      </c>
    </row>
    <row r="28939">
      <c r="A28939" s="39"/>
      <c r="E28939" s="40" t="s">
        <v>11404</v>
      </c>
      <c r="F28939" s="40" t="s">
        <v>11404</v>
      </c>
      <c r="G28939" s="40" t="s">
        <v>11404</v>
      </c>
      <c r="H28939" s="40" t="s">
        <v>11404</v>
      </c>
    </row>
    <row r="28940">
      <c r="A28940" s="39"/>
      <c r="E28940" s="40" t="s">
        <v>11404</v>
      </c>
      <c r="F28940" s="40" t="s">
        <v>11404</v>
      </c>
      <c r="G28940" s="40" t="s">
        <v>11404</v>
      </c>
      <c r="H28940" s="40" t="s">
        <v>11404</v>
      </c>
    </row>
    <row r="28941">
      <c r="A28941" s="39"/>
      <c r="E28941" s="40" t="s">
        <v>11404</v>
      </c>
      <c r="F28941" s="40" t="s">
        <v>11404</v>
      </c>
      <c r="G28941" s="40" t="s">
        <v>11404</v>
      </c>
      <c r="H28941" s="40" t="s">
        <v>11404</v>
      </c>
    </row>
    <row r="28942">
      <c r="A28942" s="39"/>
      <c r="E28942" s="40" t="s">
        <v>11404</v>
      </c>
      <c r="F28942" s="40" t="s">
        <v>11404</v>
      </c>
      <c r="G28942" s="40" t="s">
        <v>11404</v>
      </c>
      <c r="H28942" s="40" t="s">
        <v>11404</v>
      </c>
    </row>
    <row r="28943">
      <c r="A28943" s="39"/>
      <c r="E28943" s="40" t="s">
        <v>11404</v>
      </c>
      <c r="F28943" s="40" t="s">
        <v>11404</v>
      </c>
      <c r="G28943" s="40" t="s">
        <v>11404</v>
      </c>
      <c r="H28943" s="40" t="s">
        <v>11404</v>
      </c>
    </row>
    <row r="28944">
      <c r="A28944" s="39"/>
      <c r="E28944" s="40" t="s">
        <v>11404</v>
      </c>
      <c r="F28944" s="40" t="s">
        <v>11404</v>
      </c>
      <c r="G28944" s="40" t="s">
        <v>11404</v>
      </c>
      <c r="H28944" s="40" t="s">
        <v>11404</v>
      </c>
    </row>
    <row r="28945">
      <c r="A28945" s="39"/>
      <c r="E28945" s="40" t="s">
        <v>11404</v>
      </c>
      <c r="F28945" s="40" t="s">
        <v>11404</v>
      </c>
      <c r="G28945" s="40" t="s">
        <v>11404</v>
      </c>
      <c r="H28945" s="40" t="s">
        <v>11404</v>
      </c>
    </row>
    <row r="28946">
      <c r="A28946" s="39"/>
      <c r="E28946" s="40" t="s">
        <v>11404</v>
      </c>
      <c r="F28946" s="40" t="s">
        <v>11404</v>
      </c>
      <c r="G28946" s="40" t="s">
        <v>11404</v>
      </c>
      <c r="H28946" s="40" t="s">
        <v>11404</v>
      </c>
    </row>
    <row r="28947">
      <c r="A28947" s="39"/>
      <c r="E28947" s="40" t="s">
        <v>11404</v>
      </c>
      <c r="F28947" s="40" t="s">
        <v>11404</v>
      </c>
      <c r="G28947" s="40" t="s">
        <v>11404</v>
      </c>
      <c r="H28947" s="40" t="s">
        <v>11404</v>
      </c>
    </row>
    <row r="28948">
      <c r="A28948" s="39"/>
      <c r="E28948" s="40" t="s">
        <v>11404</v>
      </c>
      <c r="F28948" s="40" t="s">
        <v>11404</v>
      </c>
      <c r="G28948" s="40" t="s">
        <v>11404</v>
      </c>
      <c r="H28948" s="40" t="s">
        <v>11404</v>
      </c>
    </row>
    <row r="28949">
      <c r="A28949" s="39"/>
      <c r="E28949" s="40" t="s">
        <v>11404</v>
      </c>
      <c r="F28949" s="40" t="s">
        <v>11404</v>
      </c>
      <c r="G28949" s="40" t="s">
        <v>11404</v>
      </c>
      <c r="H28949" s="40" t="s">
        <v>11404</v>
      </c>
    </row>
    <row r="28950">
      <c r="A28950" s="39"/>
      <c r="E28950" s="40" t="s">
        <v>11404</v>
      </c>
      <c r="F28950" s="40" t="s">
        <v>11404</v>
      </c>
      <c r="G28950" s="40" t="s">
        <v>11404</v>
      </c>
      <c r="H28950" s="40" t="s">
        <v>11404</v>
      </c>
    </row>
    <row r="28951">
      <c r="A28951" s="39"/>
      <c r="E28951" s="40" t="s">
        <v>11404</v>
      </c>
      <c r="F28951" s="40" t="s">
        <v>11404</v>
      </c>
      <c r="G28951" s="40" t="s">
        <v>11404</v>
      </c>
      <c r="H28951" s="40" t="s">
        <v>11404</v>
      </c>
    </row>
    <row r="28952">
      <c r="A28952" s="39"/>
      <c r="E28952" s="40" t="s">
        <v>11404</v>
      </c>
      <c r="F28952" s="40" t="s">
        <v>11404</v>
      </c>
      <c r="G28952" s="40" t="s">
        <v>11404</v>
      </c>
      <c r="H28952" s="40" t="s">
        <v>11404</v>
      </c>
    </row>
    <row r="28953">
      <c r="A28953" s="39"/>
      <c r="E28953" s="40" t="s">
        <v>11404</v>
      </c>
      <c r="F28953" s="40" t="s">
        <v>11404</v>
      </c>
      <c r="G28953" s="40" t="s">
        <v>11404</v>
      </c>
      <c r="H28953" s="40" t="s">
        <v>11404</v>
      </c>
    </row>
    <row r="28954">
      <c r="A28954" s="39"/>
      <c r="E28954" s="40" t="s">
        <v>11404</v>
      </c>
      <c r="F28954" s="40" t="s">
        <v>11404</v>
      </c>
      <c r="G28954" s="40" t="s">
        <v>11404</v>
      </c>
      <c r="H28954" s="40" t="s">
        <v>11404</v>
      </c>
    </row>
    <row r="28955">
      <c r="A28955" s="39"/>
      <c r="E28955" s="40" t="s">
        <v>11404</v>
      </c>
      <c r="F28955" s="40" t="s">
        <v>11404</v>
      </c>
      <c r="G28955" s="40" t="s">
        <v>11404</v>
      </c>
      <c r="H28955" s="40" t="s">
        <v>11404</v>
      </c>
    </row>
    <row r="28956">
      <c r="A28956" s="39"/>
      <c r="E28956" s="40" t="s">
        <v>11404</v>
      </c>
      <c r="F28956" s="40" t="s">
        <v>11404</v>
      </c>
      <c r="G28956" s="40" t="s">
        <v>11404</v>
      </c>
      <c r="H28956" s="40" t="s">
        <v>11404</v>
      </c>
    </row>
    <row r="28957">
      <c r="A28957" s="39"/>
      <c r="E28957" s="40" t="s">
        <v>11404</v>
      </c>
      <c r="F28957" s="40" t="s">
        <v>11404</v>
      </c>
      <c r="G28957" s="40" t="s">
        <v>11404</v>
      </c>
      <c r="H28957" s="40" t="s">
        <v>11404</v>
      </c>
    </row>
    <row r="28958">
      <c r="A28958" s="39"/>
      <c r="E28958" s="40" t="s">
        <v>11404</v>
      </c>
      <c r="F28958" s="40" t="s">
        <v>11404</v>
      </c>
      <c r="G28958" s="40" t="s">
        <v>11404</v>
      </c>
      <c r="H28958" s="40" t="s">
        <v>11404</v>
      </c>
    </row>
    <row r="28959">
      <c r="A28959" s="39"/>
      <c r="E28959" s="40" t="s">
        <v>11404</v>
      </c>
      <c r="F28959" s="40" t="s">
        <v>11404</v>
      </c>
      <c r="G28959" s="40" t="s">
        <v>11404</v>
      </c>
      <c r="H28959" s="40" t="s">
        <v>11404</v>
      </c>
    </row>
    <row r="28960">
      <c r="A28960" s="39"/>
      <c r="E28960" s="40" t="s">
        <v>11404</v>
      </c>
      <c r="F28960" s="40" t="s">
        <v>11404</v>
      </c>
      <c r="G28960" s="40" t="s">
        <v>11404</v>
      </c>
      <c r="H28960" s="40" t="s">
        <v>11404</v>
      </c>
    </row>
    <row r="28961">
      <c r="A28961" s="39"/>
      <c r="E28961" s="40" t="s">
        <v>11404</v>
      </c>
      <c r="F28961" s="40" t="s">
        <v>11404</v>
      </c>
      <c r="G28961" s="40" t="s">
        <v>11404</v>
      </c>
      <c r="H28961" s="40" t="s">
        <v>11404</v>
      </c>
    </row>
    <row r="28962">
      <c r="A28962" s="39"/>
      <c r="E28962" s="40" t="s">
        <v>11404</v>
      </c>
      <c r="F28962" s="40" t="s">
        <v>11404</v>
      </c>
      <c r="G28962" s="40" t="s">
        <v>11404</v>
      </c>
      <c r="H28962" s="40" t="s">
        <v>11404</v>
      </c>
    </row>
    <row r="28963">
      <c r="A28963" s="39"/>
      <c r="E28963" s="40" t="s">
        <v>11404</v>
      </c>
      <c r="F28963" s="40" t="s">
        <v>11404</v>
      </c>
      <c r="G28963" s="40" t="s">
        <v>11404</v>
      </c>
      <c r="H28963" s="40" t="s">
        <v>11404</v>
      </c>
    </row>
    <row r="28964">
      <c r="A28964" s="39"/>
      <c r="E28964" s="40" t="s">
        <v>11404</v>
      </c>
      <c r="F28964" s="40" t="s">
        <v>11404</v>
      </c>
      <c r="G28964" s="40" t="s">
        <v>11404</v>
      </c>
      <c r="H28964" s="40" t="s">
        <v>11404</v>
      </c>
    </row>
    <row r="28965">
      <c r="A28965" s="39"/>
      <c r="E28965" s="40" t="s">
        <v>11404</v>
      </c>
      <c r="F28965" s="40" t="s">
        <v>11404</v>
      </c>
      <c r="G28965" s="40" t="s">
        <v>11404</v>
      </c>
      <c r="H28965" s="40" t="s">
        <v>11404</v>
      </c>
    </row>
    <row r="28966">
      <c r="A28966" s="39"/>
      <c r="E28966" s="40" t="s">
        <v>11404</v>
      </c>
      <c r="F28966" s="40" t="s">
        <v>11404</v>
      </c>
      <c r="G28966" s="40" t="s">
        <v>11404</v>
      </c>
      <c r="H28966" s="40" t="s">
        <v>11404</v>
      </c>
    </row>
    <row r="28967">
      <c r="A28967" s="39"/>
      <c r="E28967" s="40" t="s">
        <v>11404</v>
      </c>
      <c r="F28967" s="40" t="s">
        <v>11404</v>
      </c>
      <c r="G28967" s="40" t="s">
        <v>11404</v>
      </c>
      <c r="H28967" s="40" t="s">
        <v>11404</v>
      </c>
    </row>
    <row r="28968">
      <c r="A28968" s="39"/>
      <c r="E28968" s="40" t="s">
        <v>11404</v>
      </c>
      <c r="F28968" s="40" t="s">
        <v>11404</v>
      </c>
      <c r="G28968" s="40" t="s">
        <v>11404</v>
      </c>
      <c r="H28968" s="40" t="s">
        <v>11404</v>
      </c>
    </row>
    <row r="28969">
      <c r="A28969" s="39"/>
      <c r="E28969" s="40" t="s">
        <v>11404</v>
      </c>
      <c r="F28969" s="40" t="s">
        <v>11404</v>
      </c>
      <c r="G28969" s="40" t="s">
        <v>11404</v>
      </c>
      <c r="H28969" s="40" t="s">
        <v>11404</v>
      </c>
    </row>
    <row r="28970">
      <c r="A28970" s="39"/>
      <c r="E28970" s="40" t="s">
        <v>11404</v>
      </c>
      <c r="F28970" s="40" t="s">
        <v>11404</v>
      </c>
      <c r="G28970" s="40" t="s">
        <v>11404</v>
      </c>
      <c r="H28970" s="40" t="s">
        <v>11404</v>
      </c>
    </row>
    <row r="28971">
      <c r="A28971" s="39"/>
      <c r="E28971" s="40" t="s">
        <v>11404</v>
      </c>
      <c r="F28971" s="40" t="s">
        <v>11404</v>
      </c>
      <c r="G28971" s="40" t="s">
        <v>11404</v>
      </c>
      <c r="H28971" s="40" t="s">
        <v>11404</v>
      </c>
    </row>
    <row r="28972">
      <c r="A28972" s="39"/>
      <c r="E28972" s="40" t="s">
        <v>11404</v>
      </c>
      <c r="F28972" s="40" t="s">
        <v>11404</v>
      </c>
      <c r="G28972" s="40" t="s">
        <v>11404</v>
      </c>
      <c r="H28972" s="40" t="s">
        <v>11404</v>
      </c>
    </row>
    <row r="28973">
      <c r="A28973" s="39"/>
      <c r="E28973" s="40" t="s">
        <v>11404</v>
      </c>
      <c r="F28973" s="40" t="s">
        <v>11404</v>
      </c>
      <c r="G28973" s="40" t="s">
        <v>11404</v>
      </c>
      <c r="H28973" s="40" t="s">
        <v>11404</v>
      </c>
    </row>
    <row r="28974">
      <c r="A28974" s="39"/>
      <c r="E28974" s="40" t="s">
        <v>11404</v>
      </c>
      <c r="F28974" s="40" t="s">
        <v>11404</v>
      </c>
      <c r="G28974" s="40" t="s">
        <v>11404</v>
      </c>
      <c r="H28974" s="40" t="s">
        <v>11404</v>
      </c>
    </row>
    <row r="28975">
      <c r="A28975" s="39"/>
      <c r="E28975" s="40" t="s">
        <v>11404</v>
      </c>
      <c r="F28975" s="40" t="s">
        <v>11404</v>
      </c>
      <c r="G28975" s="40" t="s">
        <v>11404</v>
      </c>
      <c r="H28975" s="40" t="s">
        <v>11404</v>
      </c>
    </row>
    <row r="28976">
      <c r="A28976" s="39"/>
      <c r="E28976" s="40" t="s">
        <v>11404</v>
      </c>
      <c r="F28976" s="40" t="s">
        <v>11404</v>
      </c>
      <c r="G28976" s="40" t="s">
        <v>11404</v>
      </c>
      <c r="H28976" s="40" t="s">
        <v>11404</v>
      </c>
    </row>
    <row r="28977">
      <c r="A28977" s="39"/>
      <c r="E28977" s="40" t="s">
        <v>11404</v>
      </c>
      <c r="F28977" s="40" t="s">
        <v>11404</v>
      </c>
      <c r="G28977" s="40" t="s">
        <v>11404</v>
      </c>
      <c r="H28977" s="40" t="s">
        <v>11404</v>
      </c>
    </row>
    <row r="28978">
      <c r="A28978" s="39"/>
      <c r="E28978" s="40" t="s">
        <v>11404</v>
      </c>
      <c r="F28978" s="40" t="s">
        <v>11404</v>
      </c>
      <c r="G28978" s="40" t="s">
        <v>11404</v>
      </c>
      <c r="H28978" s="40" t="s">
        <v>11404</v>
      </c>
    </row>
    <row r="28979">
      <c r="A28979" s="39"/>
      <c r="E28979" s="40" t="s">
        <v>11404</v>
      </c>
      <c r="F28979" s="40" t="s">
        <v>11404</v>
      </c>
      <c r="G28979" s="40" t="s">
        <v>11404</v>
      </c>
      <c r="H28979" s="40" t="s">
        <v>11404</v>
      </c>
    </row>
    <row r="28980">
      <c r="A28980" s="39"/>
      <c r="E28980" s="40" t="s">
        <v>11404</v>
      </c>
      <c r="F28980" s="40" t="s">
        <v>11404</v>
      </c>
      <c r="G28980" s="40" t="s">
        <v>11404</v>
      </c>
      <c r="H28980" s="40" t="s">
        <v>11404</v>
      </c>
    </row>
    <row r="28981">
      <c r="A28981" s="39"/>
      <c r="E28981" s="40" t="s">
        <v>11404</v>
      </c>
      <c r="F28981" s="40" t="s">
        <v>11404</v>
      </c>
      <c r="G28981" s="40" t="s">
        <v>11404</v>
      </c>
      <c r="H28981" s="40" t="s">
        <v>11404</v>
      </c>
    </row>
    <row r="28982">
      <c r="A28982" s="39"/>
      <c r="E28982" s="40" t="s">
        <v>11404</v>
      </c>
      <c r="F28982" s="40" t="s">
        <v>11404</v>
      </c>
      <c r="G28982" s="40" t="s">
        <v>11404</v>
      </c>
      <c r="H28982" s="40" t="s">
        <v>11404</v>
      </c>
    </row>
    <row r="28983">
      <c r="A28983" s="39"/>
      <c r="E28983" s="40" t="s">
        <v>11404</v>
      </c>
      <c r="F28983" s="40" t="s">
        <v>11404</v>
      </c>
      <c r="G28983" s="40" t="s">
        <v>11404</v>
      </c>
      <c r="H28983" s="40" t="s">
        <v>11404</v>
      </c>
    </row>
    <row r="28984">
      <c r="A28984" s="39"/>
      <c r="E28984" s="40" t="s">
        <v>11404</v>
      </c>
      <c r="F28984" s="40" t="s">
        <v>11404</v>
      </c>
      <c r="G28984" s="40" t="s">
        <v>11404</v>
      </c>
      <c r="H28984" s="40" t="s">
        <v>11404</v>
      </c>
    </row>
    <row r="28985">
      <c r="A28985" s="39"/>
      <c r="E28985" s="40" t="s">
        <v>11404</v>
      </c>
      <c r="F28985" s="40" t="s">
        <v>11404</v>
      </c>
      <c r="G28985" s="40" t="s">
        <v>11404</v>
      </c>
      <c r="H28985" s="40" t="s">
        <v>11404</v>
      </c>
    </row>
    <row r="28986">
      <c r="A28986" s="39"/>
      <c r="E28986" s="40" t="s">
        <v>11404</v>
      </c>
      <c r="F28986" s="40" t="s">
        <v>11404</v>
      </c>
      <c r="G28986" s="40" t="s">
        <v>11404</v>
      </c>
      <c r="H28986" s="40" t="s">
        <v>11404</v>
      </c>
    </row>
    <row r="28987">
      <c r="A28987" s="39"/>
      <c r="E28987" s="40" t="s">
        <v>11404</v>
      </c>
      <c r="F28987" s="40" t="s">
        <v>11404</v>
      </c>
      <c r="G28987" s="40" t="s">
        <v>11404</v>
      </c>
      <c r="H28987" s="40" t="s">
        <v>11404</v>
      </c>
    </row>
    <row r="28988">
      <c r="A28988" s="39"/>
      <c r="E28988" s="40" t="s">
        <v>11404</v>
      </c>
      <c r="F28988" s="40" t="s">
        <v>11404</v>
      </c>
      <c r="G28988" s="40" t="s">
        <v>11404</v>
      </c>
      <c r="H28988" s="40" t="s">
        <v>11404</v>
      </c>
    </row>
    <row r="28989">
      <c r="A28989" s="39"/>
      <c r="E28989" s="40" t="s">
        <v>11404</v>
      </c>
      <c r="F28989" s="40" t="s">
        <v>11404</v>
      </c>
      <c r="G28989" s="40" t="s">
        <v>11404</v>
      </c>
      <c r="H28989" s="40" t="s">
        <v>11404</v>
      </c>
    </row>
    <row r="28990">
      <c r="A28990" s="39"/>
      <c r="E28990" s="40" t="s">
        <v>11404</v>
      </c>
      <c r="F28990" s="40" t="s">
        <v>11404</v>
      </c>
      <c r="G28990" s="40" t="s">
        <v>11404</v>
      </c>
      <c r="H28990" s="40" t="s">
        <v>11404</v>
      </c>
    </row>
    <row r="28991">
      <c r="A28991" s="39"/>
      <c r="E28991" s="40" t="s">
        <v>11404</v>
      </c>
      <c r="F28991" s="40" t="s">
        <v>11404</v>
      </c>
      <c r="G28991" s="40" t="s">
        <v>11404</v>
      </c>
      <c r="H28991" s="40" t="s">
        <v>11404</v>
      </c>
    </row>
    <row r="28992">
      <c r="A28992" s="39"/>
      <c r="E28992" s="40" t="s">
        <v>11404</v>
      </c>
      <c r="F28992" s="40" t="s">
        <v>11404</v>
      </c>
      <c r="G28992" s="40" t="s">
        <v>11404</v>
      </c>
      <c r="H28992" s="40" t="s">
        <v>11404</v>
      </c>
    </row>
    <row r="28993">
      <c r="A28993" s="39"/>
      <c r="E28993" s="40" t="s">
        <v>11404</v>
      </c>
      <c r="F28993" s="40" t="s">
        <v>11404</v>
      </c>
      <c r="G28993" s="40" t="s">
        <v>11404</v>
      </c>
      <c r="H28993" s="40" t="s">
        <v>11404</v>
      </c>
    </row>
    <row r="28994">
      <c r="A28994" s="39"/>
      <c r="E28994" s="40" t="s">
        <v>11404</v>
      </c>
      <c r="F28994" s="40" t="s">
        <v>11404</v>
      </c>
      <c r="G28994" s="40" t="s">
        <v>11404</v>
      </c>
      <c r="H28994" s="40" t="s">
        <v>11404</v>
      </c>
    </row>
    <row r="28995">
      <c r="A28995" s="39"/>
      <c r="E28995" s="40" t="s">
        <v>11404</v>
      </c>
      <c r="F28995" s="40" t="s">
        <v>11404</v>
      </c>
      <c r="G28995" s="40" t="s">
        <v>11404</v>
      </c>
      <c r="H28995" s="40" t="s">
        <v>11404</v>
      </c>
    </row>
    <row r="28996">
      <c r="A28996" s="39"/>
      <c r="E28996" s="40" t="s">
        <v>11404</v>
      </c>
      <c r="F28996" s="40" t="s">
        <v>11404</v>
      </c>
      <c r="G28996" s="40" t="s">
        <v>11404</v>
      </c>
      <c r="H28996" s="40" t="s">
        <v>11404</v>
      </c>
    </row>
    <row r="28997">
      <c r="A28997" s="39"/>
      <c r="E28997" s="40" t="s">
        <v>11404</v>
      </c>
      <c r="F28997" s="40" t="s">
        <v>11404</v>
      </c>
      <c r="G28997" s="40" t="s">
        <v>11404</v>
      </c>
      <c r="H28997" s="40" t="s">
        <v>11404</v>
      </c>
    </row>
    <row r="28998">
      <c r="A28998" s="39"/>
      <c r="E28998" s="40" t="s">
        <v>11404</v>
      </c>
      <c r="F28998" s="40" t="s">
        <v>11404</v>
      </c>
      <c r="G28998" s="40" t="s">
        <v>11404</v>
      </c>
      <c r="H28998" s="40" t="s">
        <v>11404</v>
      </c>
    </row>
    <row r="28999">
      <c r="A28999" s="39"/>
      <c r="E28999" s="40" t="s">
        <v>11404</v>
      </c>
      <c r="F28999" s="40" t="s">
        <v>11404</v>
      </c>
      <c r="G28999" s="40" t="s">
        <v>11404</v>
      </c>
      <c r="H28999" s="40" t="s">
        <v>11404</v>
      </c>
    </row>
    <row r="29000">
      <c r="A29000" s="39"/>
      <c r="E29000" s="40" t="s">
        <v>11404</v>
      </c>
      <c r="F29000" s="40" t="s">
        <v>11404</v>
      </c>
      <c r="G29000" s="40" t="s">
        <v>11404</v>
      </c>
      <c r="H29000" s="40" t="s">
        <v>11404</v>
      </c>
    </row>
    <row r="29001">
      <c r="A29001" s="39"/>
      <c r="E29001" s="40" t="s">
        <v>11404</v>
      </c>
      <c r="F29001" s="40" t="s">
        <v>11404</v>
      </c>
      <c r="G29001" s="40" t="s">
        <v>11404</v>
      </c>
      <c r="H29001" s="40" t="s">
        <v>11404</v>
      </c>
    </row>
    <row r="29002">
      <c r="A29002" s="39"/>
      <c r="E29002" s="40" t="s">
        <v>11404</v>
      </c>
      <c r="F29002" s="40" t="s">
        <v>11404</v>
      </c>
      <c r="G29002" s="40" t="s">
        <v>11404</v>
      </c>
      <c r="H29002" s="40" t="s">
        <v>11404</v>
      </c>
    </row>
    <row r="29003">
      <c r="A29003" s="39"/>
      <c r="E29003" s="40" t="s">
        <v>11404</v>
      </c>
      <c r="F29003" s="40" t="s">
        <v>11404</v>
      </c>
      <c r="G29003" s="40" t="s">
        <v>11404</v>
      </c>
      <c r="H29003" s="40" t="s">
        <v>11404</v>
      </c>
    </row>
    <row r="29004">
      <c r="A29004" s="39"/>
      <c r="E29004" s="40" t="s">
        <v>11404</v>
      </c>
      <c r="F29004" s="40" t="s">
        <v>11404</v>
      </c>
      <c r="G29004" s="40" t="s">
        <v>11404</v>
      </c>
      <c r="H29004" s="40" t="s">
        <v>11404</v>
      </c>
    </row>
    <row r="29005">
      <c r="A29005" s="39"/>
      <c r="E29005" s="40" t="s">
        <v>11404</v>
      </c>
      <c r="F29005" s="40" t="s">
        <v>11404</v>
      </c>
      <c r="G29005" s="40" t="s">
        <v>11404</v>
      </c>
      <c r="H29005" s="40" t="s">
        <v>11404</v>
      </c>
    </row>
    <row r="29006">
      <c r="A29006" s="39"/>
      <c r="E29006" s="40" t="s">
        <v>11404</v>
      </c>
      <c r="F29006" s="40" t="s">
        <v>11404</v>
      </c>
      <c r="G29006" s="40" t="s">
        <v>11404</v>
      </c>
      <c r="H29006" s="40" t="s">
        <v>11404</v>
      </c>
    </row>
    <row r="29007">
      <c r="A29007" s="39"/>
      <c r="E29007" s="40" t="s">
        <v>11404</v>
      </c>
      <c r="F29007" s="40" t="s">
        <v>11404</v>
      </c>
      <c r="G29007" s="40" t="s">
        <v>11404</v>
      </c>
      <c r="H29007" s="40" t="s">
        <v>11404</v>
      </c>
    </row>
    <row r="29008">
      <c r="A29008" s="39"/>
      <c r="E29008" s="40" t="s">
        <v>11404</v>
      </c>
      <c r="F29008" s="40" t="s">
        <v>11404</v>
      </c>
      <c r="G29008" s="40" t="s">
        <v>11404</v>
      </c>
      <c r="H29008" s="40" t="s">
        <v>11404</v>
      </c>
    </row>
    <row r="29009">
      <c r="A29009" s="39"/>
      <c r="E29009" s="40" t="s">
        <v>11404</v>
      </c>
      <c r="F29009" s="40" t="s">
        <v>11404</v>
      </c>
      <c r="G29009" s="40" t="s">
        <v>11404</v>
      </c>
      <c r="H29009" s="40" t="s">
        <v>11404</v>
      </c>
    </row>
    <row r="29010">
      <c r="A29010" s="39"/>
      <c r="E29010" s="40" t="s">
        <v>11404</v>
      </c>
      <c r="F29010" s="40" t="s">
        <v>11404</v>
      </c>
      <c r="G29010" s="40" t="s">
        <v>11404</v>
      </c>
      <c r="H29010" s="40" t="s">
        <v>11404</v>
      </c>
    </row>
    <row r="29011">
      <c r="A29011" s="39"/>
      <c r="E29011" s="40" t="s">
        <v>11404</v>
      </c>
      <c r="F29011" s="40" t="s">
        <v>11404</v>
      </c>
      <c r="G29011" s="40" t="s">
        <v>11404</v>
      </c>
      <c r="H29011" s="40" t="s">
        <v>11404</v>
      </c>
    </row>
    <row r="29012">
      <c r="A29012" s="39"/>
      <c r="E29012" s="40" t="s">
        <v>11404</v>
      </c>
      <c r="F29012" s="40" t="s">
        <v>11404</v>
      </c>
      <c r="G29012" s="40" t="s">
        <v>11404</v>
      </c>
      <c r="H29012" s="40" t="s">
        <v>11404</v>
      </c>
    </row>
    <row r="29013">
      <c r="A29013" s="39"/>
      <c r="E29013" s="40" t="s">
        <v>11404</v>
      </c>
      <c r="F29013" s="40" t="s">
        <v>11404</v>
      </c>
      <c r="G29013" s="40" t="s">
        <v>11404</v>
      </c>
      <c r="H29013" s="40" t="s">
        <v>11404</v>
      </c>
    </row>
    <row r="29014">
      <c r="A29014" s="39"/>
      <c r="E29014" s="40" t="s">
        <v>11404</v>
      </c>
      <c r="F29014" s="40" t="s">
        <v>11404</v>
      </c>
      <c r="G29014" s="40" t="s">
        <v>11404</v>
      </c>
      <c r="H29014" s="40" t="s">
        <v>11404</v>
      </c>
    </row>
    <row r="29015">
      <c r="A29015" s="39"/>
      <c r="E29015" s="40" t="s">
        <v>11404</v>
      </c>
      <c r="F29015" s="40" t="s">
        <v>11404</v>
      </c>
      <c r="G29015" s="40" t="s">
        <v>11404</v>
      </c>
      <c r="H29015" s="40" t="s">
        <v>11404</v>
      </c>
    </row>
    <row r="29016">
      <c r="A29016" s="39"/>
      <c r="E29016" s="40" t="s">
        <v>11404</v>
      </c>
      <c r="F29016" s="40" t="s">
        <v>11404</v>
      </c>
      <c r="G29016" s="40" t="s">
        <v>11404</v>
      </c>
      <c r="H29016" s="40" t="s">
        <v>11404</v>
      </c>
    </row>
    <row r="29017">
      <c r="A29017" s="39"/>
      <c r="E29017" s="40" t="s">
        <v>11404</v>
      </c>
      <c r="F29017" s="40" t="s">
        <v>11404</v>
      </c>
      <c r="G29017" s="40" t="s">
        <v>11404</v>
      </c>
      <c r="H29017" s="40" t="s">
        <v>11404</v>
      </c>
    </row>
    <row r="29018">
      <c r="A29018" s="39"/>
      <c r="E29018" s="40" t="s">
        <v>11404</v>
      </c>
      <c r="F29018" s="40" t="s">
        <v>11404</v>
      </c>
      <c r="G29018" s="40" t="s">
        <v>11404</v>
      </c>
      <c r="H29018" s="40" t="s">
        <v>11404</v>
      </c>
    </row>
    <row r="29019">
      <c r="A29019" s="39"/>
      <c r="E29019" s="40" t="s">
        <v>11404</v>
      </c>
      <c r="F29019" s="40" t="s">
        <v>11404</v>
      </c>
      <c r="G29019" s="40" t="s">
        <v>11404</v>
      </c>
      <c r="H29019" s="40" t="s">
        <v>11404</v>
      </c>
    </row>
    <row r="29020">
      <c r="A29020" s="39"/>
      <c r="E29020" s="40" t="s">
        <v>11404</v>
      </c>
      <c r="F29020" s="40" t="s">
        <v>11404</v>
      </c>
      <c r="G29020" s="40" t="s">
        <v>11404</v>
      </c>
      <c r="H29020" s="40" t="s">
        <v>11404</v>
      </c>
    </row>
    <row r="29021">
      <c r="A29021" s="39"/>
      <c r="E29021" s="40" t="s">
        <v>11404</v>
      </c>
      <c r="F29021" s="40" t="s">
        <v>11404</v>
      </c>
      <c r="G29021" s="40" t="s">
        <v>11404</v>
      </c>
      <c r="H29021" s="40" t="s">
        <v>11404</v>
      </c>
    </row>
    <row r="29022">
      <c r="A29022" s="39"/>
      <c r="E29022" s="40" t="s">
        <v>11404</v>
      </c>
      <c r="F29022" s="40" t="s">
        <v>11404</v>
      </c>
      <c r="G29022" s="40" t="s">
        <v>11404</v>
      </c>
      <c r="H29022" s="40" t="s">
        <v>11404</v>
      </c>
    </row>
    <row r="29023">
      <c r="A29023" s="39"/>
      <c r="E29023" s="40" t="s">
        <v>11404</v>
      </c>
      <c r="F29023" s="40" t="s">
        <v>11404</v>
      </c>
      <c r="G29023" s="40" t="s">
        <v>11404</v>
      </c>
      <c r="H29023" s="40" t="s">
        <v>11404</v>
      </c>
    </row>
    <row r="29024">
      <c r="A29024" s="39"/>
      <c r="E29024" s="40" t="s">
        <v>11404</v>
      </c>
      <c r="F29024" s="40" t="s">
        <v>11404</v>
      </c>
      <c r="G29024" s="40" t="s">
        <v>11404</v>
      </c>
      <c r="H29024" s="40" t="s">
        <v>11404</v>
      </c>
    </row>
    <row r="29025">
      <c r="A29025" s="39"/>
      <c r="E29025" s="40" t="s">
        <v>11404</v>
      </c>
      <c r="F29025" s="40" t="s">
        <v>11404</v>
      </c>
      <c r="G29025" s="40" t="s">
        <v>11404</v>
      </c>
      <c r="H29025" s="40" t="s">
        <v>11404</v>
      </c>
    </row>
    <row r="29026">
      <c r="A29026" s="39"/>
      <c r="E29026" s="40" t="s">
        <v>11404</v>
      </c>
      <c r="F29026" s="40" t="s">
        <v>11404</v>
      </c>
      <c r="G29026" s="40" t="s">
        <v>11404</v>
      </c>
      <c r="H29026" s="40" t="s">
        <v>11404</v>
      </c>
    </row>
    <row r="29027">
      <c r="A29027" s="39"/>
      <c r="E29027" s="40" t="s">
        <v>11404</v>
      </c>
      <c r="F29027" s="40" t="s">
        <v>11404</v>
      </c>
      <c r="G29027" s="40" t="s">
        <v>11404</v>
      </c>
      <c r="H29027" s="40" t="s">
        <v>11404</v>
      </c>
    </row>
    <row r="29028">
      <c r="A29028" s="39"/>
      <c r="E29028" s="40" t="s">
        <v>11404</v>
      </c>
      <c r="F29028" s="40" t="s">
        <v>11404</v>
      </c>
      <c r="G29028" s="40" t="s">
        <v>11404</v>
      </c>
      <c r="H29028" s="40" t="s">
        <v>11404</v>
      </c>
    </row>
    <row r="29029">
      <c r="A29029" s="39"/>
      <c r="E29029" s="40" t="s">
        <v>11404</v>
      </c>
      <c r="F29029" s="40" t="s">
        <v>11404</v>
      </c>
      <c r="G29029" s="40" t="s">
        <v>11404</v>
      </c>
      <c r="H29029" s="40" t="s">
        <v>11404</v>
      </c>
    </row>
    <row r="29030">
      <c r="A29030" s="39"/>
      <c r="E29030" s="40" t="s">
        <v>11404</v>
      </c>
      <c r="F29030" s="40" t="s">
        <v>11404</v>
      </c>
      <c r="G29030" s="40" t="s">
        <v>11404</v>
      </c>
      <c r="H29030" s="40" t="s">
        <v>11404</v>
      </c>
    </row>
    <row r="29031">
      <c r="A29031" s="39"/>
      <c r="E29031" s="40" t="s">
        <v>11404</v>
      </c>
      <c r="F29031" s="40" t="s">
        <v>11404</v>
      </c>
      <c r="G29031" s="40" t="s">
        <v>11404</v>
      </c>
      <c r="H29031" s="40" t="s">
        <v>11404</v>
      </c>
    </row>
    <row r="29032">
      <c r="A29032" s="39"/>
      <c r="E29032" s="40" t="s">
        <v>11404</v>
      </c>
      <c r="F29032" s="40" t="s">
        <v>11404</v>
      </c>
      <c r="G29032" s="40" t="s">
        <v>11404</v>
      </c>
      <c r="H29032" s="40" t="s">
        <v>11404</v>
      </c>
    </row>
    <row r="29033">
      <c r="A29033" s="39"/>
      <c r="E29033" s="40" t="s">
        <v>11404</v>
      </c>
      <c r="F29033" s="40" t="s">
        <v>11404</v>
      </c>
      <c r="G29033" s="40" t="s">
        <v>11404</v>
      </c>
      <c r="H29033" s="40" t="s">
        <v>11404</v>
      </c>
    </row>
    <row r="29034">
      <c r="A29034" s="39"/>
      <c r="E29034" s="40" t="s">
        <v>11404</v>
      </c>
      <c r="F29034" s="40" t="s">
        <v>11404</v>
      </c>
      <c r="G29034" s="40" t="s">
        <v>11404</v>
      </c>
      <c r="H29034" s="40" t="s">
        <v>11404</v>
      </c>
    </row>
    <row r="29035">
      <c r="A29035" s="39"/>
      <c r="E29035" s="40" t="s">
        <v>11404</v>
      </c>
      <c r="F29035" s="40" t="s">
        <v>11404</v>
      </c>
      <c r="G29035" s="40" t="s">
        <v>11404</v>
      </c>
      <c r="H29035" s="40" t="s">
        <v>11404</v>
      </c>
    </row>
    <row r="29036">
      <c r="A29036" s="39"/>
      <c r="E29036" s="40" t="s">
        <v>11404</v>
      </c>
      <c r="F29036" s="40" t="s">
        <v>11404</v>
      </c>
      <c r="G29036" s="40" t="s">
        <v>11404</v>
      </c>
      <c r="H29036" s="40" t="s">
        <v>11404</v>
      </c>
    </row>
    <row r="29037">
      <c r="A29037" s="39"/>
      <c r="E29037" s="40" t="s">
        <v>11404</v>
      </c>
      <c r="F29037" s="40" t="s">
        <v>11404</v>
      </c>
      <c r="G29037" s="40" t="s">
        <v>11404</v>
      </c>
      <c r="H29037" s="40" t="s">
        <v>11404</v>
      </c>
    </row>
    <row r="29038">
      <c r="A29038" s="39"/>
      <c r="E29038" s="40" t="s">
        <v>11404</v>
      </c>
      <c r="F29038" s="40" t="s">
        <v>11404</v>
      </c>
      <c r="G29038" s="40" t="s">
        <v>11404</v>
      </c>
      <c r="H29038" s="40" t="s">
        <v>11404</v>
      </c>
    </row>
    <row r="29039">
      <c r="A29039" s="39"/>
      <c r="E29039" s="40" t="s">
        <v>11404</v>
      </c>
      <c r="F29039" s="40" t="s">
        <v>11404</v>
      </c>
      <c r="G29039" s="40" t="s">
        <v>11404</v>
      </c>
      <c r="H29039" s="40" t="s">
        <v>11404</v>
      </c>
    </row>
    <row r="29040">
      <c r="A29040" s="39"/>
      <c r="E29040" s="40" t="s">
        <v>11404</v>
      </c>
      <c r="F29040" s="40" t="s">
        <v>11404</v>
      </c>
      <c r="G29040" s="40" t="s">
        <v>11404</v>
      </c>
      <c r="H29040" s="40" t="s">
        <v>11404</v>
      </c>
    </row>
    <row r="29041">
      <c r="A29041" s="39"/>
      <c r="E29041" s="40" t="s">
        <v>11404</v>
      </c>
      <c r="F29041" s="40" t="s">
        <v>11404</v>
      </c>
      <c r="G29041" s="40" t="s">
        <v>11404</v>
      </c>
      <c r="H29041" s="40" t="s">
        <v>11404</v>
      </c>
    </row>
    <row r="29042">
      <c r="A29042" s="39"/>
      <c r="E29042" s="40" t="s">
        <v>11404</v>
      </c>
      <c r="F29042" s="40" t="s">
        <v>11404</v>
      </c>
      <c r="G29042" s="40" t="s">
        <v>11404</v>
      </c>
      <c r="H29042" s="40" t="s">
        <v>11404</v>
      </c>
    </row>
    <row r="29043">
      <c r="A29043" s="39"/>
      <c r="E29043" s="40" t="s">
        <v>11404</v>
      </c>
      <c r="F29043" s="40" t="s">
        <v>11404</v>
      </c>
      <c r="G29043" s="40" t="s">
        <v>11404</v>
      </c>
      <c r="H29043" s="40" t="s">
        <v>11404</v>
      </c>
    </row>
    <row r="29044">
      <c r="A29044" s="39"/>
      <c r="E29044" s="40" t="s">
        <v>11404</v>
      </c>
      <c r="F29044" s="40" t="s">
        <v>11404</v>
      </c>
      <c r="G29044" s="40" t="s">
        <v>11404</v>
      </c>
      <c r="H29044" s="40" t="s">
        <v>11404</v>
      </c>
    </row>
    <row r="29045">
      <c r="A29045" s="39"/>
      <c r="E29045" s="40" t="s">
        <v>11404</v>
      </c>
      <c r="F29045" s="40" t="s">
        <v>11404</v>
      </c>
      <c r="G29045" s="40" t="s">
        <v>11404</v>
      </c>
      <c r="H29045" s="40" t="s">
        <v>11404</v>
      </c>
    </row>
    <row r="29046">
      <c r="A29046" s="39"/>
      <c r="E29046" s="40" t="s">
        <v>11404</v>
      </c>
      <c r="F29046" s="40" t="s">
        <v>11404</v>
      </c>
      <c r="G29046" s="40" t="s">
        <v>11404</v>
      </c>
      <c r="H29046" s="40" t="s">
        <v>11404</v>
      </c>
    </row>
    <row r="29047">
      <c r="A29047" s="39"/>
      <c r="E29047" s="40" t="s">
        <v>11404</v>
      </c>
      <c r="F29047" s="40" t="s">
        <v>11404</v>
      </c>
      <c r="G29047" s="40" t="s">
        <v>11404</v>
      </c>
      <c r="H29047" s="40" t="s">
        <v>11404</v>
      </c>
    </row>
    <row r="29048">
      <c r="A29048" s="39"/>
      <c r="E29048" s="40" t="s">
        <v>11404</v>
      </c>
      <c r="F29048" s="40" t="s">
        <v>11404</v>
      </c>
      <c r="G29048" s="40" t="s">
        <v>11404</v>
      </c>
      <c r="H29048" s="40" t="s">
        <v>11404</v>
      </c>
    </row>
    <row r="29049">
      <c r="A29049" s="39"/>
      <c r="E29049" s="40" t="s">
        <v>11404</v>
      </c>
      <c r="F29049" s="40" t="s">
        <v>11404</v>
      </c>
      <c r="G29049" s="40" t="s">
        <v>11404</v>
      </c>
      <c r="H29049" s="40" t="s">
        <v>11404</v>
      </c>
    </row>
    <row r="29050">
      <c r="A29050" s="39"/>
      <c r="E29050" s="40" t="s">
        <v>11404</v>
      </c>
      <c r="F29050" s="40" t="s">
        <v>11404</v>
      </c>
      <c r="G29050" s="40" t="s">
        <v>11404</v>
      </c>
      <c r="H29050" s="40" t="s">
        <v>11404</v>
      </c>
    </row>
    <row r="29051">
      <c r="A29051" s="39"/>
      <c r="E29051" s="40" t="s">
        <v>11404</v>
      </c>
      <c r="F29051" s="40" t="s">
        <v>11404</v>
      </c>
      <c r="G29051" s="40" t="s">
        <v>11404</v>
      </c>
      <c r="H29051" s="40" t="s">
        <v>11404</v>
      </c>
    </row>
    <row r="29052">
      <c r="A29052" s="39"/>
      <c r="E29052" s="40" t="s">
        <v>11404</v>
      </c>
      <c r="F29052" s="40" t="s">
        <v>11404</v>
      </c>
      <c r="G29052" s="40" t="s">
        <v>11404</v>
      </c>
      <c r="H29052" s="40" t="s">
        <v>11404</v>
      </c>
    </row>
    <row r="29053">
      <c r="A29053" s="39"/>
      <c r="E29053" s="40" t="s">
        <v>11404</v>
      </c>
      <c r="F29053" s="40" t="s">
        <v>11404</v>
      </c>
      <c r="G29053" s="40" t="s">
        <v>11404</v>
      </c>
      <c r="H29053" s="40" t="s">
        <v>11404</v>
      </c>
    </row>
    <row r="29054">
      <c r="A29054" s="39"/>
      <c r="E29054" s="40" t="s">
        <v>11404</v>
      </c>
      <c r="F29054" s="40" t="s">
        <v>11404</v>
      </c>
      <c r="G29054" s="40" t="s">
        <v>11404</v>
      </c>
      <c r="H29054" s="40" t="s">
        <v>11404</v>
      </c>
    </row>
    <row r="29055">
      <c r="A29055" s="39"/>
      <c r="E29055" s="40" t="s">
        <v>11404</v>
      </c>
      <c r="F29055" s="40" t="s">
        <v>11404</v>
      </c>
      <c r="G29055" s="40" t="s">
        <v>11404</v>
      </c>
      <c r="H29055" s="40" t="s">
        <v>11404</v>
      </c>
    </row>
    <row r="29056">
      <c r="A29056" s="39"/>
      <c r="E29056" s="40" t="s">
        <v>11404</v>
      </c>
      <c r="F29056" s="40" t="s">
        <v>11404</v>
      </c>
      <c r="G29056" s="40" t="s">
        <v>11404</v>
      </c>
      <c r="H29056" s="40" t="s">
        <v>11404</v>
      </c>
    </row>
    <row r="29057">
      <c r="A29057" s="39"/>
      <c r="E29057" s="40" t="s">
        <v>11404</v>
      </c>
      <c r="F29057" s="40" t="s">
        <v>11404</v>
      </c>
      <c r="G29057" s="40" t="s">
        <v>11404</v>
      </c>
      <c r="H29057" s="40" t="s">
        <v>11404</v>
      </c>
    </row>
    <row r="29058">
      <c r="A29058" s="39"/>
      <c r="E29058" s="40" t="s">
        <v>11404</v>
      </c>
      <c r="F29058" s="40" t="s">
        <v>11404</v>
      </c>
      <c r="G29058" s="40" t="s">
        <v>11404</v>
      </c>
      <c r="H29058" s="40" t="s">
        <v>11404</v>
      </c>
    </row>
    <row r="29059">
      <c r="A29059" s="39"/>
      <c r="E29059" s="40" t="s">
        <v>11404</v>
      </c>
      <c r="F29059" s="40" t="s">
        <v>11404</v>
      </c>
      <c r="G29059" s="40" t="s">
        <v>11404</v>
      </c>
      <c r="H29059" s="40" t="s">
        <v>11404</v>
      </c>
    </row>
    <row r="29060">
      <c r="A29060" s="39"/>
      <c r="E29060" s="40" t="s">
        <v>11404</v>
      </c>
      <c r="F29060" s="40" t="s">
        <v>11404</v>
      </c>
      <c r="G29060" s="40" t="s">
        <v>11404</v>
      </c>
      <c r="H29060" s="40" t="s">
        <v>11404</v>
      </c>
    </row>
    <row r="29061">
      <c r="A29061" s="39"/>
      <c r="E29061" s="40" t="s">
        <v>11404</v>
      </c>
      <c r="F29061" s="40" t="s">
        <v>11404</v>
      </c>
      <c r="G29061" s="40" t="s">
        <v>11404</v>
      </c>
      <c r="H29061" s="40" t="s">
        <v>11404</v>
      </c>
    </row>
    <row r="29062">
      <c r="A29062" s="39"/>
      <c r="E29062" s="40" t="s">
        <v>11404</v>
      </c>
      <c r="F29062" s="40" t="s">
        <v>11404</v>
      </c>
      <c r="G29062" s="40" t="s">
        <v>11404</v>
      </c>
      <c r="H29062" s="40" t="s">
        <v>11404</v>
      </c>
    </row>
    <row r="29063">
      <c r="A29063" s="39"/>
      <c r="E29063" s="40" t="s">
        <v>11404</v>
      </c>
      <c r="F29063" s="40" t="s">
        <v>11404</v>
      </c>
      <c r="G29063" s="40" t="s">
        <v>11404</v>
      </c>
      <c r="H29063" s="40" t="s">
        <v>11404</v>
      </c>
    </row>
    <row r="29064">
      <c r="A29064" s="39"/>
      <c r="E29064" s="40" t="s">
        <v>11404</v>
      </c>
      <c r="F29064" s="40" t="s">
        <v>11404</v>
      </c>
      <c r="G29064" s="40" t="s">
        <v>11404</v>
      </c>
      <c r="H29064" s="40" t="s">
        <v>11404</v>
      </c>
    </row>
    <row r="29065">
      <c r="A29065" s="39"/>
      <c r="E29065" s="40" t="s">
        <v>11404</v>
      </c>
      <c r="F29065" s="40" t="s">
        <v>11404</v>
      </c>
      <c r="G29065" s="40" t="s">
        <v>11404</v>
      </c>
      <c r="H29065" s="40" t="s">
        <v>11404</v>
      </c>
    </row>
    <row r="29066">
      <c r="A29066" s="39"/>
      <c r="E29066" s="40" t="s">
        <v>11404</v>
      </c>
      <c r="F29066" s="40" t="s">
        <v>11404</v>
      </c>
      <c r="G29066" s="40" t="s">
        <v>11404</v>
      </c>
      <c r="H29066" s="40" t="s">
        <v>11404</v>
      </c>
    </row>
    <row r="29067">
      <c r="A29067" s="39"/>
      <c r="E29067" s="40" t="s">
        <v>11404</v>
      </c>
      <c r="F29067" s="40" t="s">
        <v>11404</v>
      </c>
      <c r="G29067" s="40" t="s">
        <v>11404</v>
      </c>
      <c r="H29067" s="40" t="s">
        <v>11404</v>
      </c>
    </row>
    <row r="29068">
      <c r="A29068" s="39"/>
      <c r="E29068" s="40" t="s">
        <v>11404</v>
      </c>
      <c r="F29068" s="40" t="s">
        <v>11404</v>
      </c>
      <c r="G29068" s="40" t="s">
        <v>11404</v>
      </c>
      <c r="H29068" s="40" t="s">
        <v>11404</v>
      </c>
    </row>
    <row r="29069">
      <c r="A29069" s="39"/>
      <c r="E29069" s="40" t="s">
        <v>11404</v>
      </c>
      <c r="F29069" s="40" t="s">
        <v>11404</v>
      </c>
      <c r="G29069" s="40" t="s">
        <v>11404</v>
      </c>
      <c r="H29069" s="40" t="s">
        <v>11404</v>
      </c>
    </row>
    <row r="29070">
      <c r="A29070" s="39"/>
      <c r="E29070" s="40" t="s">
        <v>11404</v>
      </c>
      <c r="F29070" s="40" t="s">
        <v>11404</v>
      </c>
      <c r="G29070" s="40" t="s">
        <v>11404</v>
      </c>
      <c r="H29070" s="40" t="s">
        <v>11404</v>
      </c>
    </row>
    <row r="29071">
      <c r="A29071" s="39"/>
      <c r="E29071" s="40" t="s">
        <v>11404</v>
      </c>
      <c r="F29071" s="40" t="s">
        <v>11404</v>
      </c>
      <c r="G29071" s="40" t="s">
        <v>11404</v>
      </c>
      <c r="H29071" s="40" t="s">
        <v>11404</v>
      </c>
    </row>
    <row r="29072">
      <c r="A29072" s="39"/>
      <c r="E29072" s="40" t="s">
        <v>11404</v>
      </c>
      <c r="F29072" s="40" t="s">
        <v>11404</v>
      </c>
      <c r="G29072" s="40" t="s">
        <v>11404</v>
      </c>
      <c r="H29072" s="40" t="s">
        <v>11404</v>
      </c>
    </row>
    <row r="29073">
      <c r="A29073" s="39"/>
      <c r="E29073" s="40" t="s">
        <v>11404</v>
      </c>
      <c r="F29073" s="40" t="s">
        <v>11404</v>
      </c>
      <c r="G29073" s="40" t="s">
        <v>11404</v>
      </c>
      <c r="H29073" s="40" t="s">
        <v>11404</v>
      </c>
    </row>
    <row r="29074">
      <c r="A29074" s="39"/>
      <c r="E29074" s="40" t="s">
        <v>11404</v>
      </c>
      <c r="F29074" s="40" t="s">
        <v>11404</v>
      </c>
      <c r="G29074" s="40" t="s">
        <v>11404</v>
      </c>
      <c r="H29074" s="40" t="s">
        <v>11404</v>
      </c>
    </row>
    <row r="29075">
      <c r="A29075" s="39"/>
      <c r="E29075" s="40" t="s">
        <v>11404</v>
      </c>
      <c r="F29075" s="40" t="s">
        <v>11404</v>
      </c>
      <c r="G29075" s="40" t="s">
        <v>11404</v>
      </c>
      <c r="H29075" s="40" t="s">
        <v>11404</v>
      </c>
    </row>
    <row r="29076">
      <c r="A29076" s="39"/>
      <c r="E29076" s="40" t="s">
        <v>11404</v>
      </c>
      <c r="F29076" s="40" t="s">
        <v>11404</v>
      </c>
      <c r="G29076" s="40" t="s">
        <v>11404</v>
      </c>
      <c r="H29076" s="40" t="s">
        <v>11404</v>
      </c>
    </row>
    <row r="29077">
      <c r="A29077" s="39"/>
      <c r="E29077" s="40" t="s">
        <v>11404</v>
      </c>
      <c r="F29077" s="40" t="s">
        <v>11404</v>
      </c>
      <c r="G29077" s="40" t="s">
        <v>11404</v>
      </c>
      <c r="H29077" s="40" t="s">
        <v>11404</v>
      </c>
    </row>
    <row r="29078">
      <c r="A29078" s="39"/>
      <c r="E29078" s="40" t="s">
        <v>11404</v>
      </c>
      <c r="F29078" s="40" t="s">
        <v>11404</v>
      </c>
      <c r="G29078" s="40" t="s">
        <v>11404</v>
      </c>
      <c r="H29078" s="40" t="s">
        <v>11404</v>
      </c>
    </row>
    <row r="29079">
      <c r="A29079" s="39"/>
      <c r="E29079" s="40" t="s">
        <v>11404</v>
      </c>
      <c r="F29079" s="40" t="s">
        <v>11404</v>
      </c>
      <c r="G29079" s="40" t="s">
        <v>11404</v>
      </c>
      <c r="H29079" s="40" t="s">
        <v>11404</v>
      </c>
    </row>
    <row r="29080">
      <c r="A29080" s="39"/>
      <c r="E29080" s="40" t="s">
        <v>11404</v>
      </c>
      <c r="F29080" s="40" t="s">
        <v>11404</v>
      </c>
      <c r="G29080" s="40" t="s">
        <v>11404</v>
      </c>
      <c r="H29080" s="40" t="s">
        <v>11404</v>
      </c>
    </row>
    <row r="29081">
      <c r="A29081" s="39"/>
      <c r="E29081" s="40" t="s">
        <v>11404</v>
      </c>
      <c r="F29081" s="40" t="s">
        <v>11404</v>
      </c>
      <c r="G29081" s="40" t="s">
        <v>11404</v>
      </c>
      <c r="H29081" s="40" t="s">
        <v>11404</v>
      </c>
    </row>
    <row r="29082">
      <c r="A29082" s="39"/>
      <c r="E29082" s="40" t="s">
        <v>11404</v>
      </c>
      <c r="F29082" s="40" t="s">
        <v>11404</v>
      </c>
      <c r="G29082" s="40" t="s">
        <v>11404</v>
      </c>
      <c r="H29082" s="40" t="s">
        <v>11404</v>
      </c>
    </row>
    <row r="29083">
      <c r="A29083" s="39"/>
      <c r="E29083" s="40" t="s">
        <v>11404</v>
      </c>
      <c r="F29083" s="40" t="s">
        <v>11404</v>
      </c>
      <c r="G29083" s="40" t="s">
        <v>11404</v>
      </c>
      <c r="H29083" s="40" t="s">
        <v>11404</v>
      </c>
    </row>
    <row r="29084">
      <c r="A29084" s="39"/>
      <c r="E29084" s="40" t="s">
        <v>11404</v>
      </c>
      <c r="F29084" s="40" t="s">
        <v>11404</v>
      </c>
      <c r="G29084" s="40" t="s">
        <v>11404</v>
      </c>
      <c r="H29084" s="40" t="s">
        <v>11404</v>
      </c>
    </row>
    <row r="29085">
      <c r="A29085" s="39"/>
      <c r="E29085" s="40" t="s">
        <v>11404</v>
      </c>
      <c r="F29085" s="40" t="s">
        <v>11404</v>
      </c>
      <c r="G29085" s="40" t="s">
        <v>11404</v>
      </c>
      <c r="H29085" s="40" t="s">
        <v>11404</v>
      </c>
    </row>
    <row r="29086">
      <c r="A29086" s="39"/>
      <c r="E29086" s="40" t="s">
        <v>11404</v>
      </c>
      <c r="F29086" s="40" t="s">
        <v>11404</v>
      </c>
      <c r="G29086" s="40" t="s">
        <v>11404</v>
      </c>
      <c r="H29086" s="40" t="s">
        <v>11404</v>
      </c>
    </row>
    <row r="29087">
      <c r="A29087" s="39"/>
      <c r="E29087" s="40" t="s">
        <v>11404</v>
      </c>
      <c r="F29087" s="40" t="s">
        <v>11404</v>
      </c>
      <c r="G29087" s="40" t="s">
        <v>11404</v>
      </c>
      <c r="H29087" s="40" t="s">
        <v>11404</v>
      </c>
    </row>
    <row r="29088">
      <c r="A29088" s="39"/>
      <c r="E29088" s="40" t="s">
        <v>11404</v>
      </c>
      <c r="F29088" s="40" t="s">
        <v>11404</v>
      </c>
      <c r="G29088" s="40" t="s">
        <v>11404</v>
      </c>
      <c r="H29088" s="40" t="s">
        <v>11404</v>
      </c>
    </row>
    <row r="29089">
      <c r="A29089" s="39"/>
      <c r="E29089" s="40" t="s">
        <v>11404</v>
      </c>
      <c r="F29089" s="40" t="s">
        <v>11404</v>
      </c>
      <c r="G29089" s="40" t="s">
        <v>11404</v>
      </c>
      <c r="H29089" s="40" t="s">
        <v>11404</v>
      </c>
    </row>
    <row r="29090">
      <c r="A29090" s="39"/>
      <c r="E29090" s="40" t="s">
        <v>11404</v>
      </c>
      <c r="F29090" s="40" t="s">
        <v>11404</v>
      </c>
      <c r="G29090" s="40" t="s">
        <v>11404</v>
      </c>
      <c r="H29090" s="40" t="s">
        <v>11404</v>
      </c>
    </row>
    <row r="29091">
      <c r="A29091" s="39"/>
      <c r="E29091" s="40" t="s">
        <v>11404</v>
      </c>
      <c r="F29091" s="40" t="s">
        <v>11404</v>
      </c>
      <c r="G29091" s="40" t="s">
        <v>11404</v>
      </c>
      <c r="H29091" s="40" t="s">
        <v>11404</v>
      </c>
    </row>
    <row r="29092">
      <c r="A29092" s="39"/>
      <c r="E29092" s="40" t="s">
        <v>11404</v>
      </c>
      <c r="F29092" s="40" t="s">
        <v>11404</v>
      </c>
      <c r="G29092" s="40" t="s">
        <v>11404</v>
      </c>
      <c r="H29092" s="40" t="s">
        <v>11404</v>
      </c>
    </row>
    <row r="29093">
      <c r="A29093" s="39"/>
      <c r="E29093" s="40" t="s">
        <v>11404</v>
      </c>
      <c r="F29093" s="40" t="s">
        <v>11404</v>
      </c>
      <c r="G29093" s="40" t="s">
        <v>11404</v>
      </c>
      <c r="H29093" s="40" t="s">
        <v>11404</v>
      </c>
    </row>
    <row r="29094">
      <c r="A29094" s="39"/>
      <c r="E29094" s="40" t="s">
        <v>11404</v>
      </c>
      <c r="F29094" s="40" t="s">
        <v>11404</v>
      </c>
      <c r="G29094" s="40" t="s">
        <v>11404</v>
      </c>
      <c r="H29094" s="40" t="s">
        <v>11404</v>
      </c>
    </row>
    <row r="29095">
      <c r="A29095" s="39"/>
      <c r="E29095" s="40" t="s">
        <v>11404</v>
      </c>
      <c r="F29095" s="40" t="s">
        <v>11404</v>
      </c>
      <c r="G29095" s="40" t="s">
        <v>11404</v>
      </c>
      <c r="H29095" s="40" t="s">
        <v>11404</v>
      </c>
    </row>
    <row r="29096">
      <c r="A29096" s="39"/>
      <c r="E29096" s="40" t="s">
        <v>11404</v>
      </c>
      <c r="F29096" s="40" t="s">
        <v>11404</v>
      </c>
      <c r="G29096" s="40" t="s">
        <v>11404</v>
      </c>
      <c r="H29096" s="40" t="s">
        <v>11404</v>
      </c>
    </row>
    <row r="29097">
      <c r="A29097" s="39"/>
      <c r="E29097" s="40" t="s">
        <v>11404</v>
      </c>
      <c r="F29097" s="40" t="s">
        <v>11404</v>
      </c>
      <c r="G29097" s="40" t="s">
        <v>11404</v>
      </c>
      <c r="H29097" s="40" t="s">
        <v>11404</v>
      </c>
    </row>
    <row r="29098">
      <c r="A29098" s="39"/>
      <c r="E29098" s="40" t="s">
        <v>11404</v>
      </c>
      <c r="F29098" s="40" t="s">
        <v>11404</v>
      </c>
      <c r="G29098" s="40" t="s">
        <v>11404</v>
      </c>
      <c r="H29098" s="40" t="s">
        <v>11404</v>
      </c>
    </row>
    <row r="29099">
      <c r="A29099" s="39"/>
      <c r="E29099" s="40" t="s">
        <v>11404</v>
      </c>
      <c r="F29099" s="40" t="s">
        <v>11404</v>
      </c>
      <c r="G29099" s="40" t="s">
        <v>11404</v>
      </c>
      <c r="H29099" s="40" t="s">
        <v>11404</v>
      </c>
    </row>
    <row r="29100">
      <c r="A29100" s="39"/>
      <c r="E29100" s="40" t="s">
        <v>11404</v>
      </c>
      <c r="F29100" s="40" t="s">
        <v>11404</v>
      </c>
      <c r="G29100" s="40" t="s">
        <v>11404</v>
      </c>
      <c r="H29100" s="40" t="s">
        <v>11404</v>
      </c>
    </row>
    <row r="29101">
      <c r="A29101" s="39"/>
      <c r="E29101" s="40" t="s">
        <v>11404</v>
      </c>
      <c r="F29101" s="40" t="s">
        <v>11404</v>
      </c>
      <c r="G29101" s="40" t="s">
        <v>11404</v>
      </c>
      <c r="H29101" s="40" t="s">
        <v>11404</v>
      </c>
    </row>
    <row r="29102">
      <c r="A29102" s="39"/>
      <c r="E29102" s="40" t="s">
        <v>11404</v>
      </c>
      <c r="F29102" s="40" t="s">
        <v>11404</v>
      </c>
      <c r="G29102" s="40" t="s">
        <v>11404</v>
      </c>
      <c r="H29102" s="40" t="s">
        <v>11404</v>
      </c>
    </row>
    <row r="29103">
      <c r="A29103" s="39"/>
      <c r="E29103" s="40" t="s">
        <v>11404</v>
      </c>
      <c r="F29103" s="40" t="s">
        <v>11404</v>
      </c>
      <c r="G29103" s="40" t="s">
        <v>11404</v>
      </c>
      <c r="H29103" s="40" t="s">
        <v>11404</v>
      </c>
    </row>
    <row r="29104">
      <c r="A29104" s="39"/>
      <c r="E29104" s="40" t="s">
        <v>11404</v>
      </c>
      <c r="F29104" s="40" t="s">
        <v>11404</v>
      </c>
      <c r="G29104" s="40" t="s">
        <v>11404</v>
      </c>
      <c r="H29104" s="40" t="s">
        <v>11404</v>
      </c>
    </row>
    <row r="29105">
      <c r="A29105" s="39"/>
      <c r="E29105" s="40" t="s">
        <v>11404</v>
      </c>
      <c r="F29105" s="40" t="s">
        <v>11404</v>
      </c>
      <c r="G29105" s="40" t="s">
        <v>11404</v>
      </c>
      <c r="H29105" s="40" t="s">
        <v>11404</v>
      </c>
    </row>
    <row r="29106">
      <c r="A29106" s="39"/>
      <c r="E29106" s="40" t="s">
        <v>11404</v>
      </c>
      <c r="F29106" s="40" t="s">
        <v>11404</v>
      </c>
      <c r="G29106" s="40" t="s">
        <v>11404</v>
      </c>
      <c r="H29106" s="40" t="s">
        <v>11404</v>
      </c>
    </row>
    <row r="29107">
      <c r="A29107" s="39"/>
      <c r="E29107" s="40" t="s">
        <v>11404</v>
      </c>
      <c r="F29107" s="40" t="s">
        <v>11404</v>
      </c>
      <c r="G29107" s="40" t="s">
        <v>11404</v>
      </c>
      <c r="H29107" s="40" t="s">
        <v>11404</v>
      </c>
    </row>
    <row r="29108">
      <c r="A29108" s="39"/>
      <c r="E29108" s="40" t="s">
        <v>11404</v>
      </c>
      <c r="F29108" s="40" t="s">
        <v>11404</v>
      </c>
      <c r="G29108" s="40" t="s">
        <v>11404</v>
      </c>
      <c r="H29108" s="40" t="s">
        <v>11404</v>
      </c>
    </row>
    <row r="29109">
      <c r="A29109" s="39"/>
      <c r="E29109" s="40" t="s">
        <v>11404</v>
      </c>
      <c r="F29109" s="40" t="s">
        <v>11404</v>
      </c>
      <c r="G29109" s="40" t="s">
        <v>11404</v>
      </c>
      <c r="H29109" s="40" t="s">
        <v>11404</v>
      </c>
    </row>
    <row r="29110">
      <c r="A29110" s="39"/>
      <c r="E29110" s="40" t="s">
        <v>11404</v>
      </c>
      <c r="F29110" s="40" t="s">
        <v>11404</v>
      </c>
      <c r="G29110" s="40" t="s">
        <v>11404</v>
      </c>
      <c r="H29110" s="40" t="s">
        <v>11404</v>
      </c>
    </row>
    <row r="29111">
      <c r="A29111" s="39"/>
      <c r="E29111" s="40" t="s">
        <v>11404</v>
      </c>
      <c r="F29111" s="40" t="s">
        <v>11404</v>
      </c>
      <c r="G29111" s="40" t="s">
        <v>11404</v>
      </c>
      <c r="H29111" s="40" t="s">
        <v>11404</v>
      </c>
    </row>
    <row r="29112">
      <c r="A29112" s="39"/>
      <c r="E29112" s="40" t="s">
        <v>11404</v>
      </c>
      <c r="F29112" s="40" t="s">
        <v>11404</v>
      </c>
      <c r="G29112" s="40" t="s">
        <v>11404</v>
      </c>
      <c r="H29112" s="40" t="s">
        <v>11404</v>
      </c>
    </row>
    <row r="29113">
      <c r="A29113" s="39"/>
      <c r="E29113" s="40" t="s">
        <v>11404</v>
      </c>
      <c r="F29113" s="40" t="s">
        <v>11404</v>
      </c>
      <c r="G29113" s="40" t="s">
        <v>11404</v>
      </c>
      <c r="H29113" s="40" t="s">
        <v>11404</v>
      </c>
    </row>
    <row r="29114">
      <c r="A29114" s="39"/>
      <c r="E29114" s="40" t="s">
        <v>11404</v>
      </c>
      <c r="F29114" s="40" t="s">
        <v>11404</v>
      </c>
      <c r="G29114" s="40" t="s">
        <v>11404</v>
      </c>
      <c r="H29114" s="40" t="s">
        <v>11404</v>
      </c>
    </row>
    <row r="29115">
      <c r="A29115" s="39"/>
      <c r="E29115" s="40" t="s">
        <v>11404</v>
      </c>
      <c r="F29115" s="40" t="s">
        <v>11404</v>
      </c>
      <c r="G29115" s="40" t="s">
        <v>11404</v>
      </c>
      <c r="H29115" s="40" t="s">
        <v>11404</v>
      </c>
    </row>
    <row r="29116">
      <c r="A29116" s="39"/>
      <c r="E29116" s="40" t="s">
        <v>11404</v>
      </c>
      <c r="F29116" s="40" t="s">
        <v>11404</v>
      </c>
      <c r="G29116" s="40" t="s">
        <v>11404</v>
      </c>
      <c r="H29116" s="40" t="s">
        <v>11404</v>
      </c>
    </row>
    <row r="29117">
      <c r="A29117" s="39"/>
      <c r="E29117" s="40" t="s">
        <v>11404</v>
      </c>
      <c r="F29117" s="40" t="s">
        <v>11404</v>
      </c>
      <c r="G29117" s="40" t="s">
        <v>11404</v>
      </c>
      <c r="H29117" s="40" t="s">
        <v>11404</v>
      </c>
    </row>
    <row r="29118">
      <c r="A29118" s="39"/>
      <c r="E29118" s="40" t="s">
        <v>11404</v>
      </c>
      <c r="F29118" s="40" t="s">
        <v>11404</v>
      </c>
      <c r="G29118" s="40" t="s">
        <v>11404</v>
      </c>
      <c r="H29118" s="40" t="s">
        <v>11404</v>
      </c>
    </row>
    <row r="29119">
      <c r="A29119" s="39"/>
      <c r="E29119" s="40" t="s">
        <v>11404</v>
      </c>
      <c r="F29119" s="40" t="s">
        <v>11404</v>
      </c>
      <c r="G29119" s="40" t="s">
        <v>11404</v>
      </c>
      <c r="H29119" s="40" t="s">
        <v>11404</v>
      </c>
    </row>
    <row r="29120">
      <c r="A29120" s="39"/>
      <c r="E29120" s="40" t="s">
        <v>11404</v>
      </c>
      <c r="F29120" s="40" t="s">
        <v>11404</v>
      </c>
      <c r="G29120" s="40" t="s">
        <v>11404</v>
      </c>
      <c r="H29120" s="40" t="s">
        <v>11404</v>
      </c>
    </row>
    <row r="29121">
      <c r="A29121" s="39"/>
      <c r="E29121" s="40" t="s">
        <v>11404</v>
      </c>
      <c r="F29121" s="40" t="s">
        <v>11404</v>
      </c>
      <c r="G29121" s="40" t="s">
        <v>11404</v>
      </c>
      <c r="H29121" s="40" t="s">
        <v>11404</v>
      </c>
    </row>
    <row r="29122">
      <c r="A29122" s="39"/>
      <c r="E29122" s="40" t="s">
        <v>11404</v>
      </c>
      <c r="F29122" s="40" t="s">
        <v>11404</v>
      </c>
      <c r="G29122" s="40" t="s">
        <v>11404</v>
      </c>
      <c r="H29122" s="40" t="s">
        <v>11404</v>
      </c>
    </row>
    <row r="29123">
      <c r="A29123" s="39"/>
      <c r="E29123" s="40" t="s">
        <v>11404</v>
      </c>
      <c r="F29123" s="40" t="s">
        <v>11404</v>
      </c>
      <c r="G29123" s="40" t="s">
        <v>11404</v>
      </c>
      <c r="H29123" s="40" t="s">
        <v>11404</v>
      </c>
    </row>
    <row r="29124">
      <c r="A29124" s="39"/>
      <c r="E29124" s="40" t="s">
        <v>11404</v>
      </c>
      <c r="F29124" s="40" t="s">
        <v>11404</v>
      </c>
      <c r="G29124" s="40" t="s">
        <v>11404</v>
      </c>
      <c r="H29124" s="40" t="s">
        <v>11404</v>
      </c>
    </row>
    <row r="29125">
      <c r="A29125" s="39"/>
      <c r="E29125" s="40" t="s">
        <v>11404</v>
      </c>
      <c r="F29125" s="40" t="s">
        <v>11404</v>
      </c>
      <c r="G29125" s="40" t="s">
        <v>11404</v>
      </c>
      <c r="H29125" s="40" t="s">
        <v>11404</v>
      </c>
    </row>
    <row r="29126">
      <c r="A29126" s="39"/>
      <c r="E29126" s="40" t="s">
        <v>11404</v>
      </c>
      <c r="F29126" s="40" t="s">
        <v>11404</v>
      </c>
      <c r="G29126" s="40" t="s">
        <v>11404</v>
      </c>
      <c r="H29126" s="40" t="s">
        <v>11404</v>
      </c>
    </row>
    <row r="29127">
      <c r="A29127" s="39"/>
      <c r="E29127" s="40" t="s">
        <v>11404</v>
      </c>
      <c r="F29127" s="40" t="s">
        <v>11404</v>
      </c>
      <c r="G29127" s="40" t="s">
        <v>11404</v>
      </c>
      <c r="H29127" s="40" t="s">
        <v>11404</v>
      </c>
    </row>
    <row r="29128">
      <c r="A29128" s="39"/>
      <c r="E29128" s="40" t="s">
        <v>11404</v>
      </c>
      <c r="F29128" s="40" t="s">
        <v>11404</v>
      </c>
      <c r="G29128" s="40" t="s">
        <v>11404</v>
      </c>
      <c r="H29128" s="40" t="s">
        <v>11404</v>
      </c>
    </row>
    <row r="29129">
      <c r="A29129" s="39"/>
      <c r="E29129" s="40" t="s">
        <v>11404</v>
      </c>
      <c r="F29129" s="40" t="s">
        <v>11404</v>
      </c>
      <c r="G29129" s="40" t="s">
        <v>11404</v>
      </c>
      <c r="H29129" s="40" t="s">
        <v>11404</v>
      </c>
    </row>
    <row r="29130">
      <c r="A29130" s="39"/>
      <c r="E29130" s="40" t="s">
        <v>11404</v>
      </c>
      <c r="F29130" s="40" t="s">
        <v>11404</v>
      </c>
      <c r="G29130" s="40" t="s">
        <v>11404</v>
      </c>
      <c r="H29130" s="40" t="s">
        <v>11404</v>
      </c>
    </row>
    <row r="29131">
      <c r="A29131" s="39"/>
      <c r="E29131" s="40" t="s">
        <v>11404</v>
      </c>
      <c r="F29131" s="40" t="s">
        <v>11404</v>
      </c>
      <c r="G29131" s="40" t="s">
        <v>11404</v>
      </c>
      <c r="H29131" s="40" t="s">
        <v>11404</v>
      </c>
    </row>
    <row r="29132">
      <c r="A29132" s="39"/>
      <c r="E29132" s="40" t="s">
        <v>11404</v>
      </c>
      <c r="F29132" s="40" t="s">
        <v>11404</v>
      </c>
      <c r="G29132" s="40" t="s">
        <v>11404</v>
      </c>
      <c r="H29132" s="40" t="s">
        <v>11404</v>
      </c>
    </row>
    <row r="29133">
      <c r="A29133" s="39"/>
      <c r="E29133" s="40" t="s">
        <v>11404</v>
      </c>
      <c r="F29133" s="40" t="s">
        <v>11404</v>
      </c>
      <c r="G29133" s="40" t="s">
        <v>11404</v>
      </c>
      <c r="H29133" s="40" t="s">
        <v>11404</v>
      </c>
    </row>
    <row r="29134">
      <c r="A29134" s="39"/>
      <c r="E29134" s="40" t="s">
        <v>11404</v>
      </c>
      <c r="F29134" s="40" t="s">
        <v>11404</v>
      </c>
      <c r="G29134" s="40" t="s">
        <v>11404</v>
      </c>
      <c r="H29134" s="40" t="s">
        <v>11404</v>
      </c>
    </row>
    <row r="29135">
      <c r="A29135" s="39"/>
      <c r="E29135" s="40" t="s">
        <v>11404</v>
      </c>
      <c r="F29135" s="40" t="s">
        <v>11404</v>
      </c>
      <c r="G29135" s="40" t="s">
        <v>11404</v>
      </c>
      <c r="H29135" s="40" t="s">
        <v>11404</v>
      </c>
    </row>
    <row r="29136">
      <c r="A29136" s="39"/>
      <c r="E29136" s="40" t="s">
        <v>11404</v>
      </c>
      <c r="F29136" s="40" t="s">
        <v>11404</v>
      </c>
      <c r="G29136" s="40" t="s">
        <v>11404</v>
      </c>
      <c r="H29136" s="40" t="s">
        <v>11404</v>
      </c>
    </row>
    <row r="29137">
      <c r="A29137" s="39"/>
      <c r="E29137" s="40" t="s">
        <v>11404</v>
      </c>
      <c r="F29137" s="40" t="s">
        <v>11404</v>
      </c>
      <c r="G29137" s="40" t="s">
        <v>11404</v>
      </c>
      <c r="H29137" s="40" t="s">
        <v>11404</v>
      </c>
    </row>
    <row r="29138">
      <c r="A29138" s="39"/>
      <c r="E29138" s="40" t="s">
        <v>11404</v>
      </c>
      <c r="F29138" s="40" t="s">
        <v>11404</v>
      </c>
      <c r="G29138" s="40" t="s">
        <v>11404</v>
      </c>
      <c r="H29138" s="40" t="s">
        <v>11404</v>
      </c>
    </row>
    <row r="29139">
      <c r="A29139" s="39"/>
      <c r="E29139" s="40" t="s">
        <v>11404</v>
      </c>
      <c r="F29139" s="40" t="s">
        <v>11404</v>
      </c>
      <c r="G29139" s="40" t="s">
        <v>11404</v>
      </c>
      <c r="H29139" s="40" t="s">
        <v>11404</v>
      </c>
    </row>
    <row r="29140">
      <c r="A29140" s="39"/>
      <c r="E29140" s="40" t="s">
        <v>11404</v>
      </c>
      <c r="F29140" s="40" t="s">
        <v>11404</v>
      </c>
      <c r="G29140" s="40" t="s">
        <v>11404</v>
      </c>
      <c r="H29140" s="40" t="s">
        <v>11404</v>
      </c>
    </row>
    <row r="29141">
      <c r="A29141" s="39"/>
      <c r="E29141" s="40" t="s">
        <v>11404</v>
      </c>
      <c r="F29141" s="40" t="s">
        <v>11404</v>
      </c>
      <c r="G29141" s="40" t="s">
        <v>11404</v>
      </c>
      <c r="H29141" s="40" t="s">
        <v>11404</v>
      </c>
    </row>
    <row r="29142">
      <c r="A29142" s="39"/>
      <c r="E29142" s="40" t="s">
        <v>11404</v>
      </c>
      <c r="F29142" s="40" t="s">
        <v>11404</v>
      </c>
      <c r="G29142" s="40" t="s">
        <v>11404</v>
      </c>
      <c r="H29142" s="40" t="s">
        <v>11404</v>
      </c>
    </row>
    <row r="29143">
      <c r="A29143" s="39"/>
      <c r="E29143" s="40" t="s">
        <v>11404</v>
      </c>
      <c r="F29143" s="40" t="s">
        <v>11404</v>
      </c>
      <c r="G29143" s="40" t="s">
        <v>11404</v>
      </c>
      <c r="H29143" s="40" t="s">
        <v>11404</v>
      </c>
    </row>
    <row r="29144">
      <c r="A29144" s="39"/>
      <c r="E29144" s="40" t="s">
        <v>11404</v>
      </c>
      <c r="F29144" s="40" t="s">
        <v>11404</v>
      </c>
      <c r="G29144" s="40" t="s">
        <v>11404</v>
      </c>
      <c r="H29144" s="40" t="s">
        <v>11404</v>
      </c>
    </row>
    <row r="29145">
      <c r="A29145" s="39"/>
      <c r="E29145" s="40" t="s">
        <v>11404</v>
      </c>
      <c r="F29145" s="40" t="s">
        <v>11404</v>
      </c>
      <c r="G29145" s="40" t="s">
        <v>11404</v>
      </c>
      <c r="H29145" s="40" t="s">
        <v>11404</v>
      </c>
    </row>
    <row r="29146">
      <c r="A29146" s="39"/>
      <c r="E29146" s="40" t="s">
        <v>11404</v>
      </c>
      <c r="F29146" s="40" t="s">
        <v>11404</v>
      </c>
      <c r="G29146" s="40" t="s">
        <v>11404</v>
      </c>
      <c r="H29146" s="40" t="s">
        <v>11404</v>
      </c>
    </row>
    <row r="29147">
      <c r="A29147" s="39"/>
      <c r="E29147" s="40" t="s">
        <v>11404</v>
      </c>
      <c r="F29147" s="40" t="s">
        <v>11404</v>
      </c>
      <c r="G29147" s="40" t="s">
        <v>11404</v>
      </c>
      <c r="H29147" s="40" t="s">
        <v>11404</v>
      </c>
    </row>
    <row r="29148">
      <c r="A29148" s="39"/>
      <c r="E29148" s="40" t="s">
        <v>11404</v>
      </c>
      <c r="F29148" s="40" t="s">
        <v>11404</v>
      </c>
      <c r="G29148" s="40" t="s">
        <v>11404</v>
      </c>
      <c r="H29148" s="40" t="s">
        <v>11404</v>
      </c>
    </row>
    <row r="29149">
      <c r="A29149" s="39"/>
      <c r="E29149" s="40" t="s">
        <v>11404</v>
      </c>
      <c r="F29149" s="40" t="s">
        <v>11404</v>
      </c>
      <c r="G29149" s="40" t="s">
        <v>11404</v>
      </c>
      <c r="H29149" s="40" t="s">
        <v>11404</v>
      </c>
    </row>
    <row r="29150">
      <c r="A29150" s="39"/>
      <c r="E29150" s="40" t="s">
        <v>11404</v>
      </c>
      <c r="F29150" s="40" t="s">
        <v>11404</v>
      </c>
      <c r="G29150" s="40" t="s">
        <v>11404</v>
      </c>
      <c r="H29150" s="40" t="s">
        <v>11404</v>
      </c>
    </row>
    <row r="29151">
      <c r="A29151" s="39"/>
      <c r="E29151" s="40" t="s">
        <v>11404</v>
      </c>
      <c r="F29151" s="40" t="s">
        <v>11404</v>
      </c>
      <c r="G29151" s="40" t="s">
        <v>11404</v>
      </c>
      <c r="H29151" s="40" t="s">
        <v>11404</v>
      </c>
    </row>
    <row r="29152">
      <c r="A29152" s="39"/>
      <c r="E29152" s="40" t="s">
        <v>11404</v>
      </c>
      <c r="F29152" s="40" t="s">
        <v>11404</v>
      </c>
      <c r="G29152" s="40" t="s">
        <v>11404</v>
      </c>
      <c r="H29152" s="40" t="s">
        <v>11404</v>
      </c>
    </row>
    <row r="29153">
      <c r="A29153" s="39"/>
      <c r="E29153" s="40" t="s">
        <v>11404</v>
      </c>
      <c r="F29153" s="40" t="s">
        <v>11404</v>
      </c>
      <c r="G29153" s="40" t="s">
        <v>11404</v>
      </c>
      <c r="H29153" s="40" t="s">
        <v>11404</v>
      </c>
    </row>
    <row r="29154">
      <c r="A29154" s="39"/>
      <c r="E29154" s="40" t="s">
        <v>11404</v>
      </c>
      <c r="F29154" s="40" t="s">
        <v>11404</v>
      </c>
      <c r="G29154" s="40" t="s">
        <v>11404</v>
      </c>
      <c r="H29154" s="40" t="s">
        <v>11404</v>
      </c>
    </row>
    <row r="29155">
      <c r="A29155" s="39"/>
      <c r="E29155" s="40" t="s">
        <v>11404</v>
      </c>
      <c r="F29155" s="40" t="s">
        <v>11404</v>
      </c>
      <c r="G29155" s="40" t="s">
        <v>11404</v>
      </c>
      <c r="H29155" s="40" t="s">
        <v>11404</v>
      </c>
    </row>
    <row r="29156">
      <c r="A29156" s="39"/>
      <c r="E29156" s="40" t="s">
        <v>11404</v>
      </c>
      <c r="F29156" s="40" t="s">
        <v>11404</v>
      </c>
      <c r="G29156" s="40" t="s">
        <v>11404</v>
      </c>
      <c r="H29156" s="40" t="s">
        <v>11404</v>
      </c>
    </row>
    <row r="29157">
      <c r="A29157" s="39"/>
      <c r="E29157" s="40" t="s">
        <v>11404</v>
      </c>
      <c r="F29157" s="40" t="s">
        <v>11404</v>
      </c>
      <c r="G29157" s="40" t="s">
        <v>11404</v>
      </c>
      <c r="H29157" s="40" t="s">
        <v>11404</v>
      </c>
    </row>
    <row r="29158">
      <c r="A29158" s="39"/>
      <c r="E29158" s="40" t="s">
        <v>11404</v>
      </c>
      <c r="F29158" s="40" t="s">
        <v>11404</v>
      </c>
      <c r="G29158" s="40" t="s">
        <v>11404</v>
      </c>
      <c r="H29158" s="40" t="s">
        <v>11404</v>
      </c>
    </row>
    <row r="29159">
      <c r="A29159" s="39"/>
      <c r="E29159" s="40" t="s">
        <v>11404</v>
      </c>
      <c r="F29159" s="40" t="s">
        <v>11404</v>
      </c>
      <c r="G29159" s="40" t="s">
        <v>11404</v>
      </c>
      <c r="H29159" s="40" t="s">
        <v>11404</v>
      </c>
    </row>
    <row r="29160">
      <c r="A29160" s="39"/>
      <c r="E29160" s="40" t="s">
        <v>11404</v>
      </c>
      <c r="F29160" s="40" t="s">
        <v>11404</v>
      </c>
      <c r="G29160" s="40" t="s">
        <v>11404</v>
      </c>
      <c r="H29160" s="40" t="s">
        <v>11404</v>
      </c>
    </row>
    <row r="29161">
      <c r="A29161" s="39"/>
      <c r="E29161" s="40" t="s">
        <v>11404</v>
      </c>
      <c r="F29161" s="40" t="s">
        <v>11404</v>
      </c>
      <c r="G29161" s="40" t="s">
        <v>11404</v>
      </c>
      <c r="H29161" s="40" t="s">
        <v>11404</v>
      </c>
    </row>
    <row r="29162">
      <c r="A29162" s="39"/>
      <c r="E29162" s="40" t="s">
        <v>11404</v>
      </c>
      <c r="F29162" s="40" t="s">
        <v>11404</v>
      </c>
      <c r="G29162" s="40" t="s">
        <v>11404</v>
      </c>
      <c r="H29162" s="40" t="s">
        <v>11404</v>
      </c>
    </row>
    <row r="29163">
      <c r="A29163" s="39"/>
      <c r="E29163" s="40" t="s">
        <v>11404</v>
      </c>
      <c r="F29163" s="40" t="s">
        <v>11404</v>
      </c>
      <c r="G29163" s="40" t="s">
        <v>11404</v>
      </c>
      <c r="H29163" s="40" t="s">
        <v>11404</v>
      </c>
    </row>
    <row r="29164">
      <c r="A29164" s="39"/>
      <c r="E29164" s="40" t="s">
        <v>11404</v>
      </c>
      <c r="F29164" s="40" t="s">
        <v>11404</v>
      </c>
      <c r="G29164" s="40" t="s">
        <v>11404</v>
      </c>
      <c r="H29164" s="40" t="s">
        <v>11404</v>
      </c>
    </row>
    <row r="29165">
      <c r="A29165" s="39"/>
      <c r="E29165" s="40" t="s">
        <v>11404</v>
      </c>
      <c r="F29165" s="40" t="s">
        <v>11404</v>
      </c>
      <c r="G29165" s="40" t="s">
        <v>11404</v>
      </c>
      <c r="H29165" s="40" t="s">
        <v>11404</v>
      </c>
    </row>
    <row r="29166">
      <c r="A29166" s="39"/>
      <c r="E29166" s="40" t="s">
        <v>11404</v>
      </c>
      <c r="F29166" s="40" t="s">
        <v>11404</v>
      </c>
      <c r="G29166" s="40" t="s">
        <v>11404</v>
      </c>
      <c r="H29166" s="40" t="s">
        <v>11404</v>
      </c>
    </row>
    <row r="29167">
      <c r="A29167" s="39"/>
      <c r="E29167" s="40" t="s">
        <v>11404</v>
      </c>
      <c r="F29167" s="40" t="s">
        <v>11404</v>
      </c>
      <c r="G29167" s="40" t="s">
        <v>11404</v>
      </c>
      <c r="H29167" s="40" t="s">
        <v>11404</v>
      </c>
    </row>
    <row r="29168">
      <c r="A29168" s="39"/>
      <c r="E29168" s="40" t="s">
        <v>11404</v>
      </c>
      <c r="F29168" s="40" t="s">
        <v>11404</v>
      </c>
      <c r="G29168" s="40" t="s">
        <v>11404</v>
      </c>
      <c r="H29168" s="40" t="s">
        <v>11404</v>
      </c>
    </row>
    <row r="29169">
      <c r="A29169" s="39"/>
      <c r="E29169" s="40" t="s">
        <v>11404</v>
      </c>
      <c r="F29169" s="40" t="s">
        <v>11404</v>
      </c>
      <c r="G29169" s="40" t="s">
        <v>11404</v>
      </c>
      <c r="H29169" s="40" t="s">
        <v>11404</v>
      </c>
    </row>
    <row r="29170">
      <c r="A29170" s="39"/>
      <c r="E29170" s="40" t="s">
        <v>11404</v>
      </c>
      <c r="F29170" s="40" t="s">
        <v>11404</v>
      </c>
      <c r="G29170" s="40" t="s">
        <v>11404</v>
      </c>
      <c r="H29170" s="40" t="s">
        <v>11404</v>
      </c>
    </row>
    <row r="29171">
      <c r="A29171" s="39"/>
      <c r="E29171" s="40" t="s">
        <v>11404</v>
      </c>
      <c r="F29171" s="40" t="s">
        <v>11404</v>
      </c>
      <c r="G29171" s="40" t="s">
        <v>11404</v>
      </c>
      <c r="H29171" s="40" t="s">
        <v>11404</v>
      </c>
    </row>
    <row r="29172">
      <c r="A29172" s="39"/>
      <c r="E29172" s="40" t="s">
        <v>11404</v>
      </c>
      <c r="F29172" s="40" t="s">
        <v>11404</v>
      </c>
      <c r="G29172" s="40" t="s">
        <v>11404</v>
      </c>
      <c r="H29172" s="40" t="s">
        <v>11404</v>
      </c>
    </row>
    <row r="29173">
      <c r="A29173" s="39"/>
      <c r="E29173" s="40" t="s">
        <v>11404</v>
      </c>
      <c r="F29173" s="40" t="s">
        <v>11404</v>
      </c>
      <c r="G29173" s="40" t="s">
        <v>11404</v>
      </c>
      <c r="H29173" s="40" t="s">
        <v>11404</v>
      </c>
    </row>
    <row r="29174">
      <c r="A29174" s="39"/>
      <c r="E29174" s="40" t="s">
        <v>11404</v>
      </c>
      <c r="F29174" s="40" t="s">
        <v>11404</v>
      </c>
      <c r="G29174" s="40" t="s">
        <v>11404</v>
      </c>
      <c r="H29174" s="40" t="s">
        <v>11404</v>
      </c>
    </row>
    <row r="29175">
      <c r="A29175" s="39"/>
      <c r="E29175" s="40" t="s">
        <v>11404</v>
      </c>
      <c r="F29175" s="40" t="s">
        <v>11404</v>
      </c>
      <c r="G29175" s="40" t="s">
        <v>11404</v>
      </c>
      <c r="H29175" s="40" t="s">
        <v>11404</v>
      </c>
    </row>
    <row r="29176">
      <c r="A29176" s="39"/>
      <c r="E29176" s="40" t="s">
        <v>11404</v>
      </c>
      <c r="F29176" s="40" t="s">
        <v>11404</v>
      </c>
      <c r="G29176" s="40" t="s">
        <v>11404</v>
      </c>
      <c r="H29176" s="40" t="s">
        <v>11404</v>
      </c>
    </row>
    <row r="29177">
      <c r="A29177" s="39"/>
      <c r="E29177" s="40" t="s">
        <v>11404</v>
      </c>
      <c r="F29177" s="40" t="s">
        <v>11404</v>
      </c>
      <c r="G29177" s="40" t="s">
        <v>11404</v>
      </c>
      <c r="H29177" s="40" t="s">
        <v>11404</v>
      </c>
    </row>
    <row r="29178">
      <c r="A29178" s="39"/>
      <c r="E29178" s="40" t="s">
        <v>11404</v>
      </c>
      <c r="F29178" s="40" t="s">
        <v>11404</v>
      </c>
      <c r="G29178" s="40" t="s">
        <v>11404</v>
      </c>
      <c r="H29178" s="40" t="s">
        <v>11404</v>
      </c>
    </row>
    <row r="29179">
      <c r="A29179" s="39"/>
      <c r="E29179" s="40" t="s">
        <v>11404</v>
      </c>
      <c r="F29179" s="40" t="s">
        <v>11404</v>
      </c>
      <c r="G29179" s="40" t="s">
        <v>11404</v>
      </c>
      <c r="H29179" s="40" t="s">
        <v>11404</v>
      </c>
    </row>
    <row r="29180">
      <c r="A29180" s="39"/>
      <c r="E29180" s="40" t="s">
        <v>11404</v>
      </c>
      <c r="F29180" s="40" t="s">
        <v>11404</v>
      </c>
      <c r="G29180" s="40" t="s">
        <v>11404</v>
      </c>
      <c r="H29180" s="40" t="s">
        <v>11404</v>
      </c>
    </row>
    <row r="29181">
      <c r="A29181" s="39"/>
      <c r="E29181" s="40" t="s">
        <v>11404</v>
      </c>
      <c r="F29181" s="40" t="s">
        <v>11404</v>
      </c>
      <c r="G29181" s="40" t="s">
        <v>11404</v>
      </c>
      <c r="H29181" s="40" t="s">
        <v>11404</v>
      </c>
    </row>
    <row r="29182">
      <c r="A29182" s="39"/>
      <c r="E29182" s="40" t="s">
        <v>11404</v>
      </c>
      <c r="F29182" s="40" t="s">
        <v>11404</v>
      </c>
      <c r="G29182" s="40" t="s">
        <v>11404</v>
      </c>
      <c r="H29182" s="40" t="s">
        <v>11404</v>
      </c>
    </row>
    <row r="29183">
      <c r="A29183" s="39"/>
      <c r="E29183" s="40" t="s">
        <v>11404</v>
      </c>
      <c r="F29183" s="40" t="s">
        <v>11404</v>
      </c>
      <c r="G29183" s="40" t="s">
        <v>11404</v>
      </c>
      <c r="H29183" s="40" t="s">
        <v>11404</v>
      </c>
    </row>
    <row r="29184">
      <c r="A29184" s="39"/>
      <c r="E29184" s="40" t="s">
        <v>11404</v>
      </c>
      <c r="F29184" s="40" t="s">
        <v>11404</v>
      </c>
      <c r="G29184" s="40" t="s">
        <v>11404</v>
      </c>
      <c r="H29184" s="40" t="s">
        <v>11404</v>
      </c>
    </row>
    <row r="29185">
      <c r="A29185" s="39"/>
      <c r="E29185" s="40" t="s">
        <v>11404</v>
      </c>
      <c r="F29185" s="40" t="s">
        <v>11404</v>
      </c>
      <c r="G29185" s="40" t="s">
        <v>11404</v>
      </c>
      <c r="H29185" s="40" t="s">
        <v>11404</v>
      </c>
    </row>
    <row r="29186">
      <c r="A29186" s="39"/>
      <c r="E29186" s="40" t="s">
        <v>11404</v>
      </c>
      <c r="F29186" s="40" t="s">
        <v>11404</v>
      </c>
      <c r="G29186" s="40" t="s">
        <v>11404</v>
      </c>
      <c r="H29186" s="40" t="s">
        <v>11404</v>
      </c>
    </row>
    <row r="29187">
      <c r="A29187" s="39"/>
      <c r="E29187" s="40" t="s">
        <v>11404</v>
      </c>
      <c r="F29187" s="40" t="s">
        <v>11404</v>
      </c>
      <c r="G29187" s="40" t="s">
        <v>11404</v>
      </c>
      <c r="H29187" s="40" t="s">
        <v>11404</v>
      </c>
    </row>
    <row r="29188">
      <c r="A29188" s="39"/>
      <c r="E29188" s="40" t="s">
        <v>11404</v>
      </c>
      <c r="F29188" s="40" t="s">
        <v>11404</v>
      </c>
      <c r="G29188" s="40" t="s">
        <v>11404</v>
      </c>
      <c r="H29188" s="40" t="s">
        <v>11404</v>
      </c>
    </row>
    <row r="29189">
      <c r="A29189" s="39"/>
      <c r="E29189" s="40" t="s">
        <v>11404</v>
      </c>
      <c r="F29189" s="40" t="s">
        <v>11404</v>
      </c>
      <c r="G29189" s="40" t="s">
        <v>11404</v>
      </c>
      <c r="H29189" s="40" t="s">
        <v>11404</v>
      </c>
    </row>
    <row r="29190">
      <c r="A29190" s="39"/>
      <c r="E29190" s="40" t="s">
        <v>11404</v>
      </c>
      <c r="F29190" s="40" t="s">
        <v>11404</v>
      </c>
      <c r="G29190" s="40" t="s">
        <v>11404</v>
      </c>
      <c r="H29190" s="40" t="s">
        <v>11404</v>
      </c>
    </row>
    <row r="29191">
      <c r="A29191" s="39"/>
      <c r="E29191" s="40" t="s">
        <v>11404</v>
      </c>
      <c r="F29191" s="40" t="s">
        <v>11404</v>
      </c>
      <c r="G29191" s="40" t="s">
        <v>11404</v>
      </c>
      <c r="H29191" s="40" t="s">
        <v>11404</v>
      </c>
    </row>
    <row r="29192">
      <c r="A29192" s="39"/>
      <c r="E29192" s="40" t="s">
        <v>11404</v>
      </c>
      <c r="F29192" s="40" t="s">
        <v>11404</v>
      </c>
      <c r="G29192" s="40" t="s">
        <v>11404</v>
      </c>
      <c r="H29192" s="40" t="s">
        <v>11404</v>
      </c>
    </row>
    <row r="29193">
      <c r="A29193" s="39"/>
      <c r="E29193" s="40" t="s">
        <v>11404</v>
      </c>
      <c r="F29193" s="40" t="s">
        <v>11404</v>
      </c>
      <c r="G29193" s="40" t="s">
        <v>11404</v>
      </c>
      <c r="H29193" s="40" t="s">
        <v>11404</v>
      </c>
    </row>
    <row r="29194">
      <c r="A29194" s="39"/>
      <c r="E29194" s="40" t="s">
        <v>11404</v>
      </c>
      <c r="F29194" s="40" t="s">
        <v>11404</v>
      </c>
      <c r="G29194" s="40" t="s">
        <v>11404</v>
      </c>
      <c r="H29194" s="40" t="s">
        <v>11404</v>
      </c>
    </row>
    <row r="29195">
      <c r="A29195" s="39"/>
      <c r="E29195" s="40" t="s">
        <v>11404</v>
      </c>
      <c r="F29195" s="40" t="s">
        <v>11404</v>
      </c>
      <c r="G29195" s="40" t="s">
        <v>11404</v>
      </c>
      <c r="H29195" s="40" t="s">
        <v>11404</v>
      </c>
    </row>
    <row r="29196">
      <c r="A29196" s="39"/>
      <c r="E29196" s="40" t="s">
        <v>11404</v>
      </c>
      <c r="F29196" s="40" t="s">
        <v>11404</v>
      </c>
      <c r="G29196" s="40" t="s">
        <v>11404</v>
      </c>
      <c r="H29196" s="40" t="s">
        <v>11404</v>
      </c>
    </row>
    <row r="29197">
      <c r="A29197" s="39"/>
      <c r="E29197" s="40" t="s">
        <v>11404</v>
      </c>
      <c r="F29197" s="40" t="s">
        <v>11404</v>
      </c>
      <c r="G29197" s="40" t="s">
        <v>11404</v>
      </c>
      <c r="H29197" s="40" t="s">
        <v>11404</v>
      </c>
    </row>
    <row r="29198">
      <c r="A29198" s="39"/>
      <c r="E29198" s="40" t="s">
        <v>11404</v>
      </c>
      <c r="F29198" s="40" t="s">
        <v>11404</v>
      </c>
      <c r="G29198" s="40" t="s">
        <v>11404</v>
      </c>
      <c r="H29198" s="40" t="s">
        <v>11404</v>
      </c>
    </row>
    <row r="29199">
      <c r="A29199" s="39"/>
      <c r="E29199" s="40" t="s">
        <v>11404</v>
      </c>
      <c r="F29199" s="40" t="s">
        <v>11404</v>
      </c>
      <c r="G29199" s="40" t="s">
        <v>11404</v>
      </c>
      <c r="H29199" s="40" t="s">
        <v>11404</v>
      </c>
    </row>
    <row r="29200">
      <c r="A29200" s="39"/>
      <c r="E29200" s="40" t="s">
        <v>11404</v>
      </c>
      <c r="F29200" s="40" t="s">
        <v>11404</v>
      </c>
      <c r="G29200" s="40" t="s">
        <v>11404</v>
      </c>
      <c r="H29200" s="40" t="s">
        <v>11404</v>
      </c>
    </row>
    <row r="29201">
      <c r="A29201" s="39"/>
      <c r="E29201" s="40" t="s">
        <v>11404</v>
      </c>
      <c r="F29201" s="40" t="s">
        <v>11404</v>
      </c>
      <c r="G29201" s="40" t="s">
        <v>11404</v>
      </c>
      <c r="H29201" s="40" t="s">
        <v>11404</v>
      </c>
    </row>
    <row r="29202">
      <c r="A29202" s="39"/>
      <c r="E29202" s="40" t="s">
        <v>11404</v>
      </c>
      <c r="F29202" s="40" t="s">
        <v>11404</v>
      </c>
      <c r="G29202" s="40" t="s">
        <v>11404</v>
      </c>
      <c r="H29202" s="40" t="s">
        <v>11404</v>
      </c>
    </row>
    <row r="29203">
      <c r="A29203" s="39"/>
      <c r="E29203" s="40" t="s">
        <v>11404</v>
      </c>
      <c r="F29203" s="40" t="s">
        <v>11404</v>
      </c>
      <c r="G29203" s="40" t="s">
        <v>11404</v>
      </c>
      <c r="H29203" s="40" t="s">
        <v>11404</v>
      </c>
    </row>
    <row r="29204">
      <c r="A29204" s="39"/>
      <c r="E29204" s="40" t="s">
        <v>11404</v>
      </c>
      <c r="F29204" s="40" t="s">
        <v>11404</v>
      </c>
      <c r="G29204" s="40" t="s">
        <v>11404</v>
      </c>
      <c r="H29204" s="40" t="s">
        <v>11404</v>
      </c>
    </row>
    <row r="29205">
      <c r="A29205" s="39"/>
      <c r="E29205" s="40" t="s">
        <v>11404</v>
      </c>
      <c r="F29205" s="40" t="s">
        <v>11404</v>
      </c>
      <c r="G29205" s="40" t="s">
        <v>11404</v>
      </c>
      <c r="H29205" s="40" t="s">
        <v>11404</v>
      </c>
    </row>
    <row r="29206">
      <c r="A29206" s="39"/>
      <c r="E29206" s="40" t="s">
        <v>11404</v>
      </c>
      <c r="F29206" s="40" t="s">
        <v>11404</v>
      </c>
      <c r="G29206" s="40" t="s">
        <v>11404</v>
      </c>
      <c r="H29206" s="40" t="s">
        <v>11404</v>
      </c>
    </row>
    <row r="29207">
      <c r="A29207" s="39"/>
      <c r="E29207" s="40" t="s">
        <v>11404</v>
      </c>
      <c r="F29207" s="40" t="s">
        <v>11404</v>
      </c>
      <c r="G29207" s="40" t="s">
        <v>11404</v>
      </c>
      <c r="H29207" s="40" t="s">
        <v>11404</v>
      </c>
    </row>
    <row r="29208">
      <c r="A29208" s="39"/>
      <c r="E29208" s="40" t="s">
        <v>11404</v>
      </c>
      <c r="F29208" s="40" t="s">
        <v>11404</v>
      </c>
      <c r="G29208" s="40" t="s">
        <v>11404</v>
      </c>
      <c r="H29208" s="40" t="s">
        <v>11404</v>
      </c>
    </row>
    <row r="29209">
      <c r="A29209" s="39"/>
      <c r="E29209" s="40" t="s">
        <v>11404</v>
      </c>
      <c r="F29209" s="40" t="s">
        <v>11404</v>
      </c>
      <c r="G29209" s="40" t="s">
        <v>11404</v>
      </c>
      <c r="H29209" s="40" t="s">
        <v>11404</v>
      </c>
    </row>
    <row r="29210">
      <c r="A29210" s="39"/>
      <c r="E29210" s="40" t="s">
        <v>11404</v>
      </c>
      <c r="F29210" s="40" t="s">
        <v>11404</v>
      </c>
      <c r="G29210" s="40" t="s">
        <v>11404</v>
      </c>
      <c r="H29210" s="40" t="s">
        <v>11404</v>
      </c>
    </row>
    <row r="29211">
      <c r="A29211" s="39"/>
      <c r="E29211" s="40" t="s">
        <v>11404</v>
      </c>
      <c r="F29211" s="40" t="s">
        <v>11404</v>
      </c>
      <c r="G29211" s="40" t="s">
        <v>11404</v>
      </c>
      <c r="H29211" s="40" t="s">
        <v>11404</v>
      </c>
    </row>
    <row r="29212">
      <c r="A29212" s="39"/>
      <c r="E29212" s="40" t="s">
        <v>11404</v>
      </c>
      <c r="F29212" s="40" t="s">
        <v>11404</v>
      </c>
      <c r="G29212" s="40" t="s">
        <v>11404</v>
      </c>
      <c r="H29212" s="40" t="s">
        <v>11404</v>
      </c>
    </row>
    <row r="29213">
      <c r="A29213" s="39"/>
      <c r="E29213" s="40" t="s">
        <v>11404</v>
      </c>
      <c r="F29213" s="40" t="s">
        <v>11404</v>
      </c>
      <c r="G29213" s="40" t="s">
        <v>11404</v>
      </c>
      <c r="H29213" s="40" t="s">
        <v>11404</v>
      </c>
    </row>
    <row r="29214">
      <c r="A29214" s="39"/>
      <c r="E29214" s="40" t="s">
        <v>11404</v>
      </c>
      <c r="F29214" s="40" t="s">
        <v>11404</v>
      </c>
      <c r="G29214" s="40" t="s">
        <v>11404</v>
      </c>
      <c r="H29214" s="40" t="s">
        <v>11404</v>
      </c>
    </row>
    <row r="29215">
      <c r="A29215" s="39"/>
      <c r="E29215" s="40" t="s">
        <v>11404</v>
      </c>
      <c r="F29215" s="40" t="s">
        <v>11404</v>
      </c>
      <c r="G29215" s="40" t="s">
        <v>11404</v>
      </c>
      <c r="H29215" s="40" t="s">
        <v>11404</v>
      </c>
    </row>
    <row r="29216">
      <c r="A29216" s="39"/>
      <c r="E29216" s="40" t="s">
        <v>11404</v>
      </c>
      <c r="F29216" s="40" t="s">
        <v>11404</v>
      </c>
      <c r="G29216" s="40" t="s">
        <v>11404</v>
      </c>
      <c r="H29216" s="40" t="s">
        <v>11404</v>
      </c>
    </row>
    <row r="29217">
      <c r="A29217" s="39"/>
      <c r="E29217" s="40" t="s">
        <v>11404</v>
      </c>
      <c r="F29217" s="40" t="s">
        <v>11404</v>
      </c>
      <c r="G29217" s="40" t="s">
        <v>11404</v>
      </c>
      <c r="H29217" s="40" t="s">
        <v>11404</v>
      </c>
    </row>
    <row r="29218">
      <c r="A29218" s="39"/>
      <c r="E29218" s="40" t="s">
        <v>11404</v>
      </c>
      <c r="F29218" s="40" t="s">
        <v>11404</v>
      </c>
      <c r="G29218" s="40" t="s">
        <v>11404</v>
      </c>
      <c r="H29218" s="40" t="s">
        <v>11404</v>
      </c>
    </row>
    <row r="29219">
      <c r="A29219" s="39"/>
      <c r="E29219" s="40" t="s">
        <v>11404</v>
      </c>
      <c r="F29219" s="40" t="s">
        <v>11404</v>
      </c>
      <c r="G29219" s="40" t="s">
        <v>11404</v>
      </c>
      <c r="H29219" s="40" t="s">
        <v>11404</v>
      </c>
    </row>
    <row r="29220">
      <c r="A29220" s="39"/>
      <c r="E29220" s="40" t="s">
        <v>11404</v>
      </c>
      <c r="F29220" s="40" t="s">
        <v>11404</v>
      </c>
      <c r="G29220" s="40" t="s">
        <v>11404</v>
      </c>
      <c r="H29220" s="40" t="s">
        <v>11404</v>
      </c>
    </row>
    <row r="29221">
      <c r="A29221" s="39"/>
      <c r="E29221" s="40" t="s">
        <v>11404</v>
      </c>
      <c r="F29221" s="40" t="s">
        <v>11404</v>
      </c>
      <c r="G29221" s="40" t="s">
        <v>11404</v>
      </c>
      <c r="H29221" s="40" t="s">
        <v>11404</v>
      </c>
    </row>
    <row r="29222">
      <c r="A29222" s="39"/>
      <c r="E29222" s="40" t="s">
        <v>11404</v>
      </c>
      <c r="F29222" s="40" t="s">
        <v>11404</v>
      </c>
      <c r="G29222" s="40" t="s">
        <v>11404</v>
      </c>
      <c r="H29222" s="40" t="s">
        <v>11404</v>
      </c>
    </row>
    <row r="29223">
      <c r="A29223" s="39"/>
      <c r="E29223" s="40" t="s">
        <v>11404</v>
      </c>
      <c r="F29223" s="40" t="s">
        <v>11404</v>
      </c>
      <c r="G29223" s="40" t="s">
        <v>11404</v>
      </c>
      <c r="H29223" s="40" t="s">
        <v>11404</v>
      </c>
    </row>
    <row r="29224">
      <c r="A29224" s="39"/>
      <c r="E29224" s="40" t="s">
        <v>11404</v>
      </c>
      <c r="F29224" s="40" t="s">
        <v>11404</v>
      </c>
      <c r="G29224" s="40" t="s">
        <v>11404</v>
      </c>
      <c r="H29224" s="40" t="s">
        <v>11404</v>
      </c>
    </row>
    <row r="29225">
      <c r="A29225" s="39"/>
      <c r="E29225" s="40" t="s">
        <v>11404</v>
      </c>
      <c r="F29225" s="40" t="s">
        <v>11404</v>
      </c>
      <c r="G29225" s="40" t="s">
        <v>11404</v>
      </c>
      <c r="H29225" s="40" t="s">
        <v>11404</v>
      </c>
    </row>
    <row r="29226">
      <c r="A29226" s="39"/>
      <c r="E29226" s="40" t="s">
        <v>11404</v>
      </c>
      <c r="F29226" s="40" t="s">
        <v>11404</v>
      </c>
      <c r="G29226" s="40" t="s">
        <v>11404</v>
      </c>
      <c r="H29226" s="40" t="s">
        <v>11404</v>
      </c>
    </row>
    <row r="29227">
      <c r="A29227" s="39"/>
      <c r="E29227" s="40" t="s">
        <v>11404</v>
      </c>
      <c r="F29227" s="40" t="s">
        <v>11404</v>
      </c>
      <c r="G29227" s="40" t="s">
        <v>11404</v>
      </c>
      <c r="H29227" s="40" t="s">
        <v>11404</v>
      </c>
    </row>
    <row r="29228">
      <c r="A29228" s="39"/>
      <c r="E29228" s="40" t="s">
        <v>11404</v>
      </c>
      <c r="F29228" s="40" t="s">
        <v>11404</v>
      </c>
      <c r="G29228" s="40" t="s">
        <v>11404</v>
      </c>
      <c r="H29228" s="40" t="s">
        <v>11404</v>
      </c>
    </row>
    <row r="29229">
      <c r="A29229" s="39"/>
      <c r="E29229" s="40" t="s">
        <v>11404</v>
      </c>
      <c r="F29229" s="40" t="s">
        <v>11404</v>
      </c>
      <c r="G29229" s="40" t="s">
        <v>11404</v>
      </c>
      <c r="H29229" s="40" t="s">
        <v>11404</v>
      </c>
    </row>
    <row r="29230">
      <c r="A29230" s="39"/>
      <c r="E29230" s="40" t="s">
        <v>11404</v>
      </c>
      <c r="F29230" s="40" t="s">
        <v>11404</v>
      </c>
      <c r="G29230" s="40" t="s">
        <v>11404</v>
      </c>
      <c r="H29230" s="40" t="s">
        <v>11404</v>
      </c>
    </row>
    <row r="29231">
      <c r="A29231" s="39"/>
      <c r="E29231" s="40" t="s">
        <v>11404</v>
      </c>
      <c r="F29231" s="40" t="s">
        <v>11404</v>
      </c>
      <c r="G29231" s="40" t="s">
        <v>11404</v>
      </c>
      <c r="H29231" s="40" t="s">
        <v>11404</v>
      </c>
    </row>
    <row r="29232">
      <c r="A29232" s="39"/>
      <c r="E29232" s="40" t="s">
        <v>11404</v>
      </c>
      <c r="F29232" s="40" t="s">
        <v>11404</v>
      </c>
      <c r="G29232" s="40" t="s">
        <v>11404</v>
      </c>
      <c r="H29232" s="40" t="s">
        <v>11404</v>
      </c>
    </row>
    <row r="29233">
      <c r="A29233" s="39"/>
      <c r="E29233" s="40" t="s">
        <v>11404</v>
      </c>
      <c r="F29233" s="40" t="s">
        <v>11404</v>
      </c>
      <c r="G29233" s="40" t="s">
        <v>11404</v>
      </c>
      <c r="H29233" s="40" t="s">
        <v>11404</v>
      </c>
    </row>
    <row r="29234">
      <c r="A29234" s="39"/>
      <c r="E29234" s="40" t="s">
        <v>11404</v>
      </c>
      <c r="F29234" s="40" t="s">
        <v>11404</v>
      </c>
      <c r="G29234" s="40" t="s">
        <v>11404</v>
      </c>
      <c r="H29234" s="40" t="s">
        <v>11404</v>
      </c>
    </row>
    <row r="29235">
      <c r="A29235" s="39"/>
      <c r="E29235" s="40" t="s">
        <v>11404</v>
      </c>
      <c r="F29235" s="40" t="s">
        <v>11404</v>
      </c>
      <c r="G29235" s="40" t="s">
        <v>11404</v>
      </c>
      <c r="H29235" s="40" t="s">
        <v>11404</v>
      </c>
    </row>
    <row r="29236">
      <c r="A29236" s="39"/>
      <c r="E29236" s="40" t="s">
        <v>11404</v>
      </c>
      <c r="F29236" s="40" t="s">
        <v>11404</v>
      </c>
      <c r="G29236" s="40" t="s">
        <v>11404</v>
      </c>
      <c r="H29236" s="40" t="s">
        <v>11404</v>
      </c>
    </row>
    <row r="29237">
      <c r="A29237" s="39"/>
      <c r="E29237" s="40" t="s">
        <v>11404</v>
      </c>
      <c r="F29237" s="40" t="s">
        <v>11404</v>
      </c>
      <c r="G29237" s="40" t="s">
        <v>11404</v>
      </c>
      <c r="H29237" s="40" t="s">
        <v>11404</v>
      </c>
    </row>
    <row r="29238">
      <c r="A29238" s="39"/>
      <c r="E29238" s="40" t="s">
        <v>11404</v>
      </c>
      <c r="F29238" s="40" t="s">
        <v>11404</v>
      </c>
      <c r="G29238" s="40" t="s">
        <v>11404</v>
      </c>
      <c r="H29238" s="40" t="s">
        <v>11404</v>
      </c>
    </row>
    <row r="29239">
      <c r="A29239" s="39"/>
      <c r="E29239" s="40" t="s">
        <v>11404</v>
      </c>
      <c r="F29239" s="40" t="s">
        <v>11404</v>
      </c>
      <c r="G29239" s="40" t="s">
        <v>11404</v>
      </c>
      <c r="H29239" s="40" t="s">
        <v>11404</v>
      </c>
    </row>
    <row r="29240">
      <c r="A29240" s="39"/>
      <c r="E29240" s="40" t="s">
        <v>11404</v>
      </c>
      <c r="F29240" s="40" t="s">
        <v>11404</v>
      </c>
      <c r="G29240" s="40" t="s">
        <v>11404</v>
      </c>
      <c r="H29240" s="40" t="s">
        <v>11404</v>
      </c>
    </row>
    <row r="29241">
      <c r="A29241" s="39"/>
      <c r="E29241" s="40" t="s">
        <v>11404</v>
      </c>
      <c r="F29241" s="40" t="s">
        <v>11404</v>
      </c>
      <c r="G29241" s="40" t="s">
        <v>11404</v>
      </c>
      <c r="H29241" s="40" t="s">
        <v>11404</v>
      </c>
    </row>
    <row r="29242">
      <c r="A29242" s="39"/>
      <c r="E29242" s="40" t="s">
        <v>11404</v>
      </c>
      <c r="F29242" s="40" t="s">
        <v>11404</v>
      </c>
      <c r="G29242" s="40" t="s">
        <v>11404</v>
      </c>
      <c r="H29242" s="40" t="s">
        <v>11404</v>
      </c>
    </row>
    <row r="29243">
      <c r="A29243" s="39"/>
      <c r="E29243" s="40" t="s">
        <v>11404</v>
      </c>
      <c r="F29243" s="40" t="s">
        <v>11404</v>
      </c>
      <c r="G29243" s="40" t="s">
        <v>11404</v>
      </c>
      <c r="H29243" s="40" t="s">
        <v>11404</v>
      </c>
    </row>
    <row r="29244">
      <c r="A29244" s="39"/>
      <c r="E29244" s="40" t="s">
        <v>11404</v>
      </c>
      <c r="F29244" s="40" t="s">
        <v>11404</v>
      </c>
      <c r="G29244" s="40" t="s">
        <v>11404</v>
      </c>
      <c r="H29244" s="40" t="s">
        <v>11404</v>
      </c>
    </row>
    <row r="29245">
      <c r="A29245" s="39"/>
      <c r="E29245" s="40" t="s">
        <v>11404</v>
      </c>
      <c r="F29245" s="40" t="s">
        <v>11404</v>
      </c>
      <c r="G29245" s="40" t="s">
        <v>11404</v>
      </c>
      <c r="H29245" s="40" t="s">
        <v>11404</v>
      </c>
    </row>
    <row r="29246">
      <c r="A29246" s="39"/>
      <c r="E29246" s="40" t="s">
        <v>11404</v>
      </c>
      <c r="F29246" s="40" t="s">
        <v>11404</v>
      </c>
      <c r="G29246" s="40" t="s">
        <v>11404</v>
      </c>
      <c r="H29246" s="40" t="s">
        <v>11404</v>
      </c>
    </row>
    <row r="29247">
      <c r="A29247" s="39"/>
      <c r="E29247" s="40" t="s">
        <v>11404</v>
      </c>
      <c r="F29247" s="40" t="s">
        <v>11404</v>
      </c>
      <c r="G29247" s="40" t="s">
        <v>11404</v>
      </c>
      <c r="H29247" s="40" t="s">
        <v>11404</v>
      </c>
    </row>
    <row r="29248">
      <c r="A29248" s="39"/>
      <c r="E29248" s="40" t="s">
        <v>11404</v>
      </c>
      <c r="F29248" s="40" t="s">
        <v>11404</v>
      </c>
      <c r="G29248" s="40" t="s">
        <v>11404</v>
      </c>
      <c r="H29248" s="40" t="s">
        <v>11404</v>
      </c>
    </row>
    <row r="29249">
      <c r="A29249" s="39"/>
      <c r="E29249" s="40" t="s">
        <v>11404</v>
      </c>
      <c r="F29249" s="40" t="s">
        <v>11404</v>
      </c>
      <c r="G29249" s="40" t="s">
        <v>11404</v>
      </c>
      <c r="H29249" s="40" t="s">
        <v>11404</v>
      </c>
    </row>
    <row r="29250">
      <c r="A29250" s="39"/>
      <c r="E29250" s="40" t="s">
        <v>11404</v>
      </c>
      <c r="F29250" s="40" t="s">
        <v>11404</v>
      </c>
      <c r="G29250" s="40" t="s">
        <v>11404</v>
      </c>
      <c r="H29250" s="40" t="s">
        <v>11404</v>
      </c>
    </row>
    <row r="29251">
      <c r="A29251" s="39"/>
      <c r="E29251" s="40" t="s">
        <v>11404</v>
      </c>
      <c r="F29251" s="40" t="s">
        <v>11404</v>
      </c>
      <c r="G29251" s="40" t="s">
        <v>11404</v>
      </c>
      <c r="H29251" s="40" t="s">
        <v>11404</v>
      </c>
    </row>
    <row r="29252">
      <c r="A29252" s="39"/>
      <c r="E29252" s="40" t="s">
        <v>11404</v>
      </c>
      <c r="F29252" s="40" t="s">
        <v>11404</v>
      </c>
      <c r="G29252" s="40" t="s">
        <v>11404</v>
      </c>
      <c r="H29252" s="40" t="s">
        <v>11404</v>
      </c>
    </row>
    <row r="29253">
      <c r="A29253" s="39"/>
      <c r="E29253" s="40" t="s">
        <v>11404</v>
      </c>
      <c r="F29253" s="40" t="s">
        <v>11404</v>
      </c>
      <c r="G29253" s="40" t="s">
        <v>11404</v>
      </c>
      <c r="H29253" s="40" t="s">
        <v>11404</v>
      </c>
    </row>
    <row r="29254">
      <c r="A29254" s="39"/>
      <c r="E29254" s="40" t="s">
        <v>11404</v>
      </c>
      <c r="F29254" s="40" t="s">
        <v>11404</v>
      </c>
      <c r="G29254" s="40" t="s">
        <v>11404</v>
      </c>
      <c r="H29254" s="40" t="s">
        <v>11404</v>
      </c>
    </row>
    <row r="29255">
      <c r="A29255" s="39"/>
      <c r="E29255" s="40" t="s">
        <v>11404</v>
      </c>
      <c r="F29255" s="40" t="s">
        <v>11404</v>
      </c>
      <c r="G29255" s="40" t="s">
        <v>11404</v>
      </c>
      <c r="H29255" s="40" t="s">
        <v>11404</v>
      </c>
    </row>
    <row r="29256">
      <c r="A29256" s="39"/>
      <c r="E29256" s="40" t="s">
        <v>11404</v>
      </c>
      <c r="F29256" s="40" t="s">
        <v>11404</v>
      </c>
      <c r="G29256" s="40" t="s">
        <v>11404</v>
      </c>
      <c r="H29256" s="40" t="s">
        <v>11404</v>
      </c>
    </row>
    <row r="29257">
      <c r="A29257" s="39"/>
      <c r="E29257" s="40" t="s">
        <v>11404</v>
      </c>
      <c r="F29257" s="40" t="s">
        <v>11404</v>
      </c>
      <c r="G29257" s="40" t="s">
        <v>11404</v>
      </c>
      <c r="H29257" s="40" t="s">
        <v>11404</v>
      </c>
    </row>
    <row r="29258">
      <c r="A29258" s="39"/>
      <c r="E29258" s="40" t="s">
        <v>11404</v>
      </c>
      <c r="F29258" s="40" t="s">
        <v>11404</v>
      </c>
      <c r="G29258" s="40" t="s">
        <v>11404</v>
      </c>
      <c r="H29258" s="40" t="s">
        <v>11404</v>
      </c>
    </row>
    <row r="29259">
      <c r="A29259" s="39"/>
      <c r="E29259" s="40" t="s">
        <v>11404</v>
      </c>
      <c r="F29259" s="40" t="s">
        <v>11404</v>
      </c>
      <c r="G29259" s="40" t="s">
        <v>11404</v>
      </c>
      <c r="H29259" s="40" t="s">
        <v>11404</v>
      </c>
    </row>
    <row r="29260">
      <c r="A29260" s="39"/>
      <c r="E29260" s="40" t="s">
        <v>11404</v>
      </c>
      <c r="F29260" s="40" t="s">
        <v>11404</v>
      </c>
      <c r="G29260" s="40" t="s">
        <v>11404</v>
      </c>
      <c r="H29260" s="40" t="s">
        <v>11404</v>
      </c>
    </row>
    <row r="29261">
      <c r="A29261" s="39"/>
      <c r="E29261" s="40" t="s">
        <v>11404</v>
      </c>
      <c r="F29261" s="40" t="s">
        <v>11404</v>
      </c>
      <c r="G29261" s="40" t="s">
        <v>11404</v>
      </c>
      <c r="H29261" s="40" t="s">
        <v>11404</v>
      </c>
    </row>
    <row r="29262">
      <c r="A29262" s="39"/>
      <c r="E29262" s="40" t="s">
        <v>11404</v>
      </c>
      <c r="F29262" s="40" t="s">
        <v>11404</v>
      </c>
      <c r="G29262" s="40" t="s">
        <v>11404</v>
      </c>
      <c r="H29262" s="40" t="s">
        <v>11404</v>
      </c>
    </row>
    <row r="29263">
      <c r="A29263" s="39"/>
      <c r="E29263" s="40" t="s">
        <v>11404</v>
      </c>
      <c r="F29263" s="40" t="s">
        <v>11404</v>
      </c>
      <c r="G29263" s="40" t="s">
        <v>11404</v>
      </c>
      <c r="H29263" s="40" t="s">
        <v>11404</v>
      </c>
    </row>
    <row r="29264">
      <c r="A29264" s="39"/>
      <c r="E29264" s="40" t="s">
        <v>11404</v>
      </c>
      <c r="F29264" s="40" t="s">
        <v>11404</v>
      </c>
      <c r="G29264" s="40" t="s">
        <v>11404</v>
      </c>
      <c r="H29264" s="40" t="s">
        <v>11404</v>
      </c>
    </row>
    <row r="29265">
      <c r="A29265" s="39"/>
      <c r="E29265" s="40" t="s">
        <v>11404</v>
      </c>
      <c r="F29265" s="40" t="s">
        <v>11404</v>
      </c>
      <c r="G29265" s="40" t="s">
        <v>11404</v>
      </c>
      <c r="H29265" s="40" t="s">
        <v>11404</v>
      </c>
    </row>
    <row r="29266">
      <c r="A29266" s="39"/>
      <c r="E29266" s="40" t="s">
        <v>11404</v>
      </c>
      <c r="F29266" s="40" t="s">
        <v>11404</v>
      </c>
      <c r="G29266" s="40" t="s">
        <v>11404</v>
      </c>
      <c r="H29266" s="40" t="s">
        <v>11404</v>
      </c>
    </row>
    <row r="29267">
      <c r="A29267" s="39"/>
      <c r="E29267" s="40" t="s">
        <v>11404</v>
      </c>
      <c r="F29267" s="40" t="s">
        <v>11404</v>
      </c>
      <c r="G29267" s="40" t="s">
        <v>11404</v>
      </c>
      <c r="H29267" s="40" t="s">
        <v>11404</v>
      </c>
    </row>
    <row r="29268">
      <c r="A29268" s="39"/>
      <c r="E29268" s="40" t="s">
        <v>11404</v>
      </c>
      <c r="F29268" s="40" t="s">
        <v>11404</v>
      </c>
      <c r="G29268" s="40" t="s">
        <v>11404</v>
      </c>
      <c r="H29268" s="40" t="s">
        <v>11404</v>
      </c>
    </row>
    <row r="29269">
      <c r="A29269" s="39"/>
      <c r="E29269" s="40" t="s">
        <v>11404</v>
      </c>
      <c r="F29269" s="40" t="s">
        <v>11404</v>
      </c>
      <c r="G29269" s="40" t="s">
        <v>11404</v>
      </c>
      <c r="H29269" s="40" t="s">
        <v>11404</v>
      </c>
    </row>
    <row r="29270">
      <c r="A29270" s="39"/>
      <c r="E29270" s="40" t="s">
        <v>11404</v>
      </c>
      <c r="F29270" s="40" t="s">
        <v>11404</v>
      </c>
      <c r="G29270" s="40" t="s">
        <v>11404</v>
      </c>
      <c r="H29270" s="40" t="s">
        <v>11404</v>
      </c>
    </row>
    <row r="29271">
      <c r="A29271" s="39"/>
      <c r="E29271" s="40" t="s">
        <v>11404</v>
      </c>
      <c r="F29271" s="40" t="s">
        <v>11404</v>
      </c>
      <c r="G29271" s="40" t="s">
        <v>11404</v>
      </c>
      <c r="H29271" s="40" t="s">
        <v>11404</v>
      </c>
    </row>
    <row r="29272">
      <c r="A29272" s="39"/>
      <c r="E29272" s="40" t="s">
        <v>11404</v>
      </c>
      <c r="F29272" s="40" t="s">
        <v>11404</v>
      </c>
      <c r="G29272" s="40" t="s">
        <v>11404</v>
      </c>
      <c r="H29272" s="40" t="s">
        <v>11404</v>
      </c>
    </row>
    <row r="29273">
      <c r="A29273" s="39"/>
      <c r="E29273" s="40" t="s">
        <v>11404</v>
      </c>
      <c r="F29273" s="40" t="s">
        <v>11404</v>
      </c>
      <c r="G29273" s="40" t="s">
        <v>11404</v>
      </c>
      <c r="H29273" s="40" t="s">
        <v>11404</v>
      </c>
    </row>
    <row r="29274">
      <c r="A29274" s="39"/>
      <c r="E29274" s="40" t="s">
        <v>11404</v>
      </c>
      <c r="F29274" s="40" t="s">
        <v>11404</v>
      </c>
      <c r="G29274" s="40" t="s">
        <v>11404</v>
      </c>
      <c r="H29274" s="40" t="s">
        <v>11404</v>
      </c>
    </row>
    <row r="29275">
      <c r="A29275" s="39"/>
      <c r="E29275" s="40" t="s">
        <v>11404</v>
      </c>
      <c r="F29275" s="40" t="s">
        <v>11404</v>
      </c>
      <c r="G29275" s="40" t="s">
        <v>11404</v>
      </c>
      <c r="H29275" s="40" t="s">
        <v>11404</v>
      </c>
    </row>
    <row r="29276">
      <c r="A29276" s="39"/>
      <c r="E29276" s="40" t="s">
        <v>11404</v>
      </c>
      <c r="F29276" s="40" t="s">
        <v>11404</v>
      </c>
      <c r="G29276" s="40" t="s">
        <v>11404</v>
      </c>
      <c r="H29276" s="40" t="s">
        <v>11404</v>
      </c>
    </row>
    <row r="29277">
      <c r="A29277" s="39"/>
      <c r="E29277" s="40" t="s">
        <v>11404</v>
      </c>
      <c r="F29277" s="40" t="s">
        <v>11404</v>
      </c>
      <c r="G29277" s="40" t="s">
        <v>11404</v>
      </c>
      <c r="H29277" s="40" t="s">
        <v>11404</v>
      </c>
    </row>
    <row r="29278">
      <c r="A29278" s="39"/>
      <c r="E29278" s="40" t="s">
        <v>11404</v>
      </c>
      <c r="F29278" s="40" t="s">
        <v>11404</v>
      </c>
      <c r="G29278" s="40" t="s">
        <v>11404</v>
      </c>
      <c r="H29278" s="40" t="s">
        <v>11404</v>
      </c>
    </row>
    <row r="29279">
      <c r="A29279" s="39"/>
      <c r="E29279" s="40" t="s">
        <v>11404</v>
      </c>
      <c r="F29279" s="40" t="s">
        <v>11404</v>
      </c>
      <c r="G29279" s="40" t="s">
        <v>11404</v>
      </c>
      <c r="H29279" s="40" t="s">
        <v>11404</v>
      </c>
    </row>
    <row r="29280">
      <c r="A29280" s="39"/>
      <c r="E29280" s="40" t="s">
        <v>11404</v>
      </c>
      <c r="F29280" s="40" t="s">
        <v>11404</v>
      </c>
      <c r="G29280" s="40" t="s">
        <v>11404</v>
      </c>
      <c r="H29280" s="40" t="s">
        <v>11404</v>
      </c>
    </row>
    <row r="29281">
      <c r="A29281" s="39"/>
      <c r="E29281" s="40" t="s">
        <v>11404</v>
      </c>
      <c r="F29281" s="40" t="s">
        <v>11404</v>
      </c>
      <c r="G29281" s="40" t="s">
        <v>11404</v>
      </c>
      <c r="H29281" s="40" t="s">
        <v>11404</v>
      </c>
    </row>
    <row r="29282">
      <c r="A29282" s="39"/>
      <c r="E29282" s="40" t="s">
        <v>11404</v>
      </c>
      <c r="F29282" s="40" t="s">
        <v>11404</v>
      </c>
      <c r="G29282" s="40" t="s">
        <v>11404</v>
      </c>
      <c r="H29282" s="40" t="s">
        <v>11404</v>
      </c>
    </row>
    <row r="29283">
      <c r="A29283" s="39"/>
      <c r="E29283" s="40" t="s">
        <v>11404</v>
      </c>
      <c r="F29283" s="40" t="s">
        <v>11404</v>
      </c>
      <c r="G29283" s="40" t="s">
        <v>11404</v>
      </c>
      <c r="H29283" s="40" t="s">
        <v>11404</v>
      </c>
    </row>
    <row r="29284">
      <c r="A29284" s="39"/>
      <c r="E29284" s="40" t="s">
        <v>11404</v>
      </c>
      <c r="F29284" s="40" t="s">
        <v>11404</v>
      </c>
      <c r="G29284" s="40" t="s">
        <v>11404</v>
      </c>
      <c r="H29284" s="40" t="s">
        <v>11404</v>
      </c>
    </row>
    <row r="29285">
      <c r="A29285" s="39"/>
      <c r="E29285" s="40" t="s">
        <v>11404</v>
      </c>
      <c r="F29285" s="40" t="s">
        <v>11404</v>
      </c>
      <c r="G29285" s="40" t="s">
        <v>11404</v>
      </c>
      <c r="H29285" s="40" t="s">
        <v>11404</v>
      </c>
    </row>
    <row r="29286">
      <c r="A29286" s="39"/>
      <c r="E29286" s="40" t="s">
        <v>11404</v>
      </c>
      <c r="F29286" s="40" t="s">
        <v>11404</v>
      </c>
      <c r="G29286" s="40" t="s">
        <v>11404</v>
      </c>
      <c r="H29286" s="40" t="s">
        <v>11404</v>
      </c>
    </row>
    <row r="29287">
      <c r="A29287" s="39"/>
      <c r="E29287" s="40" t="s">
        <v>11404</v>
      </c>
      <c r="F29287" s="40" t="s">
        <v>11404</v>
      </c>
      <c r="G29287" s="40" t="s">
        <v>11404</v>
      </c>
      <c r="H29287" s="40" t="s">
        <v>11404</v>
      </c>
    </row>
    <row r="29288">
      <c r="A29288" s="39"/>
      <c r="E29288" s="40" t="s">
        <v>11404</v>
      </c>
      <c r="F29288" s="40" t="s">
        <v>11404</v>
      </c>
      <c r="G29288" s="40" t="s">
        <v>11404</v>
      </c>
      <c r="H29288" s="40" t="s">
        <v>11404</v>
      </c>
    </row>
    <row r="29289">
      <c r="A29289" s="39"/>
      <c r="E29289" s="40" t="s">
        <v>11404</v>
      </c>
      <c r="F29289" s="40" t="s">
        <v>11404</v>
      </c>
      <c r="G29289" s="40" t="s">
        <v>11404</v>
      </c>
      <c r="H29289" s="40" t="s">
        <v>11404</v>
      </c>
    </row>
    <row r="29290">
      <c r="A29290" s="39"/>
      <c r="E29290" s="40" t="s">
        <v>11404</v>
      </c>
      <c r="F29290" s="40" t="s">
        <v>11404</v>
      </c>
      <c r="G29290" s="40" t="s">
        <v>11404</v>
      </c>
      <c r="H29290" s="40" t="s">
        <v>11404</v>
      </c>
    </row>
    <row r="29291">
      <c r="A29291" s="39"/>
      <c r="E29291" s="40" t="s">
        <v>11404</v>
      </c>
      <c r="F29291" s="40" t="s">
        <v>11404</v>
      </c>
      <c r="G29291" s="40" t="s">
        <v>11404</v>
      </c>
      <c r="H29291" s="40" t="s">
        <v>11404</v>
      </c>
    </row>
    <row r="29292">
      <c r="A29292" s="39"/>
      <c r="E29292" s="40" t="s">
        <v>11404</v>
      </c>
      <c r="F29292" s="40" t="s">
        <v>11404</v>
      </c>
      <c r="G29292" s="40" t="s">
        <v>11404</v>
      </c>
      <c r="H29292" s="40" t="s">
        <v>11404</v>
      </c>
    </row>
    <row r="29293">
      <c r="A29293" s="39"/>
      <c r="E29293" s="40" t="s">
        <v>11404</v>
      </c>
      <c r="F29293" s="40" t="s">
        <v>11404</v>
      </c>
      <c r="G29293" s="40" t="s">
        <v>11404</v>
      </c>
      <c r="H29293" s="40" t="s">
        <v>11404</v>
      </c>
    </row>
    <row r="29294">
      <c r="A29294" s="39"/>
      <c r="E29294" s="40" t="s">
        <v>11404</v>
      </c>
      <c r="F29294" s="40" t="s">
        <v>11404</v>
      </c>
      <c r="G29294" s="40" t="s">
        <v>11404</v>
      </c>
      <c r="H29294" s="40" t="s">
        <v>11404</v>
      </c>
    </row>
    <row r="29295">
      <c r="A29295" s="39"/>
      <c r="E29295" s="40" t="s">
        <v>11404</v>
      </c>
      <c r="F29295" s="40" t="s">
        <v>11404</v>
      </c>
      <c r="G29295" s="40" t="s">
        <v>11404</v>
      </c>
      <c r="H29295" s="40" t="s">
        <v>11404</v>
      </c>
    </row>
    <row r="29296">
      <c r="A29296" s="39"/>
      <c r="E29296" s="40" t="s">
        <v>11404</v>
      </c>
      <c r="F29296" s="40" t="s">
        <v>11404</v>
      </c>
      <c r="G29296" s="40" t="s">
        <v>11404</v>
      </c>
      <c r="H29296" s="40" t="s">
        <v>11404</v>
      </c>
    </row>
    <row r="29297">
      <c r="A29297" s="39"/>
      <c r="E29297" s="40" t="s">
        <v>11404</v>
      </c>
      <c r="F29297" s="40" t="s">
        <v>11404</v>
      </c>
      <c r="G29297" s="40" t="s">
        <v>11404</v>
      </c>
      <c r="H29297" s="40" t="s">
        <v>11404</v>
      </c>
    </row>
    <row r="29298">
      <c r="A29298" s="39"/>
      <c r="E29298" s="40" t="s">
        <v>11404</v>
      </c>
      <c r="F29298" s="40" t="s">
        <v>11404</v>
      </c>
      <c r="G29298" s="40" t="s">
        <v>11404</v>
      </c>
      <c r="H29298" s="40" t="s">
        <v>11404</v>
      </c>
    </row>
    <row r="29299">
      <c r="A29299" s="39"/>
      <c r="E29299" s="40" t="s">
        <v>11404</v>
      </c>
      <c r="F29299" s="40" t="s">
        <v>11404</v>
      </c>
      <c r="G29299" s="40" t="s">
        <v>11404</v>
      </c>
      <c r="H29299" s="40" t="s">
        <v>11404</v>
      </c>
    </row>
    <row r="29300">
      <c r="A29300" s="39"/>
      <c r="E29300" s="40" t="s">
        <v>11404</v>
      </c>
      <c r="F29300" s="40" t="s">
        <v>11404</v>
      </c>
      <c r="G29300" s="40" t="s">
        <v>11404</v>
      </c>
      <c r="H29300" s="40" t="s">
        <v>11404</v>
      </c>
    </row>
    <row r="29301">
      <c r="A29301" s="39"/>
      <c r="E29301" s="40" t="s">
        <v>11404</v>
      </c>
      <c r="F29301" s="40" t="s">
        <v>11404</v>
      </c>
      <c r="G29301" s="40" t="s">
        <v>11404</v>
      </c>
      <c r="H29301" s="40" t="s">
        <v>11404</v>
      </c>
    </row>
    <row r="29302">
      <c r="A29302" s="39"/>
      <c r="E29302" s="40" t="s">
        <v>11404</v>
      </c>
      <c r="F29302" s="40" t="s">
        <v>11404</v>
      </c>
      <c r="G29302" s="40" t="s">
        <v>11404</v>
      </c>
      <c r="H29302" s="40" t="s">
        <v>11404</v>
      </c>
    </row>
    <row r="29303">
      <c r="A29303" s="39"/>
      <c r="E29303" s="40" t="s">
        <v>11404</v>
      </c>
      <c r="F29303" s="40" t="s">
        <v>11404</v>
      </c>
      <c r="G29303" s="40" t="s">
        <v>11404</v>
      </c>
      <c r="H29303" s="40" t="s">
        <v>11404</v>
      </c>
    </row>
    <row r="29304">
      <c r="A29304" s="39"/>
      <c r="E29304" s="40" t="s">
        <v>11404</v>
      </c>
      <c r="F29304" s="40" t="s">
        <v>11404</v>
      </c>
      <c r="G29304" s="40" t="s">
        <v>11404</v>
      </c>
      <c r="H29304" s="40" t="s">
        <v>11404</v>
      </c>
    </row>
    <row r="29305">
      <c r="A29305" s="39"/>
      <c r="E29305" s="40" t="s">
        <v>11404</v>
      </c>
      <c r="F29305" s="40" t="s">
        <v>11404</v>
      </c>
      <c r="G29305" s="40" t="s">
        <v>11404</v>
      </c>
      <c r="H29305" s="40" t="s">
        <v>11404</v>
      </c>
    </row>
    <row r="29306">
      <c r="A29306" s="39"/>
      <c r="E29306" s="40" t="s">
        <v>11404</v>
      </c>
      <c r="F29306" s="40" t="s">
        <v>11404</v>
      </c>
      <c r="G29306" s="40" t="s">
        <v>11404</v>
      </c>
      <c r="H29306" s="40" t="s">
        <v>11404</v>
      </c>
    </row>
    <row r="29307">
      <c r="A29307" s="39"/>
      <c r="E29307" s="40" t="s">
        <v>11404</v>
      </c>
      <c r="F29307" s="40" t="s">
        <v>11404</v>
      </c>
      <c r="G29307" s="40" t="s">
        <v>11404</v>
      </c>
      <c r="H29307" s="40" t="s">
        <v>11404</v>
      </c>
    </row>
    <row r="29308">
      <c r="A29308" s="39"/>
      <c r="E29308" s="40" t="s">
        <v>11404</v>
      </c>
      <c r="F29308" s="40" t="s">
        <v>11404</v>
      </c>
      <c r="G29308" s="40" t="s">
        <v>11404</v>
      </c>
      <c r="H29308" s="40" t="s">
        <v>11404</v>
      </c>
    </row>
    <row r="29309">
      <c r="A29309" s="39"/>
      <c r="E29309" s="40" t="s">
        <v>11404</v>
      </c>
      <c r="F29309" s="40" t="s">
        <v>11404</v>
      </c>
      <c r="G29309" s="40" t="s">
        <v>11404</v>
      </c>
      <c r="H29309" s="40" t="s">
        <v>11404</v>
      </c>
    </row>
    <row r="29310">
      <c r="A29310" s="39"/>
      <c r="E29310" s="40" t="s">
        <v>11404</v>
      </c>
      <c r="F29310" s="40" t="s">
        <v>11404</v>
      </c>
      <c r="G29310" s="40" t="s">
        <v>11404</v>
      </c>
      <c r="H29310" s="40" t="s">
        <v>11404</v>
      </c>
    </row>
    <row r="29311">
      <c r="A29311" s="39"/>
      <c r="E29311" s="40" t="s">
        <v>11404</v>
      </c>
      <c r="F29311" s="40" t="s">
        <v>11404</v>
      </c>
      <c r="G29311" s="40" t="s">
        <v>11404</v>
      </c>
      <c r="H29311" s="40" t="s">
        <v>11404</v>
      </c>
    </row>
    <row r="29312">
      <c r="A29312" s="39"/>
      <c r="E29312" s="40" t="s">
        <v>11404</v>
      </c>
      <c r="F29312" s="40" t="s">
        <v>11404</v>
      </c>
      <c r="G29312" s="40" t="s">
        <v>11404</v>
      </c>
      <c r="H29312" s="40" t="s">
        <v>11404</v>
      </c>
    </row>
    <row r="29313">
      <c r="A29313" s="39"/>
      <c r="E29313" s="40" t="s">
        <v>11404</v>
      </c>
      <c r="F29313" s="40" t="s">
        <v>11404</v>
      </c>
      <c r="G29313" s="40" t="s">
        <v>11404</v>
      </c>
      <c r="H29313" s="40" t="s">
        <v>11404</v>
      </c>
    </row>
    <row r="29314">
      <c r="A29314" s="39"/>
      <c r="E29314" s="40" t="s">
        <v>11404</v>
      </c>
      <c r="F29314" s="40" t="s">
        <v>11404</v>
      </c>
      <c r="G29314" s="40" t="s">
        <v>11404</v>
      </c>
      <c r="H29314" s="40" t="s">
        <v>11404</v>
      </c>
    </row>
    <row r="29315">
      <c r="A29315" s="39"/>
      <c r="E29315" s="40" t="s">
        <v>11404</v>
      </c>
      <c r="F29315" s="40" t="s">
        <v>11404</v>
      </c>
      <c r="G29315" s="40" t="s">
        <v>11404</v>
      </c>
      <c r="H29315" s="40" t="s">
        <v>11404</v>
      </c>
    </row>
    <row r="29316">
      <c r="A29316" s="39"/>
      <c r="E29316" s="40" t="s">
        <v>11404</v>
      </c>
      <c r="F29316" s="40" t="s">
        <v>11404</v>
      </c>
      <c r="G29316" s="40" t="s">
        <v>11404</v>
      </c>
      <c r="H29316" s="40" t="s">
        <v>11404</v>
      </c>
    </row>
    <row r="29317">
      <c r="A29317" s="39"/>
      <c r="E29317" s="40" t="s">
        <v>11404</v>
      </c>
      <c r="F29317" s="40" t="s">
        <v>11404</v>
      </c>
      <c r="G29317" s="40" t="s">
        <v>11404</v>
      </c>
      <c r="H29317" s="40" t="s">
        <v>11404</v>
      </c>
    </row>
    <row r="29318">
      <c r="A29318" s="39"/>
      <c r="E29318" s="40" t="s">
        <v>11404</v>
      </c>
      <c r="F29318" s="40" t="s">
        <v>11404</v>
      </c>
      <c r="G29318" s="40" t="s">
        <v>11404</v>
      </c>
      <c r="H29318" s="40" t="s">
        <v>11404</v>
      </c>
    </row>
    <row r="29319">
      <c r="A29319" s="39"/>
      <c r="E29319" s="40" t="s">
        <v>11404</v>
      </c>
      <c r="F29319" s="40" t="s">
        <v>11404</v>
      </c>
      <c r="G29319" s="40" t="s">
        <v>11404</v>
      </c>
      <c r="H29319" s="40" t="s">
        <v>11404</v>
      </c>
    </row>
    <row r="29320">
      <c r="A29320" s="39"/>
      <c r="E29320" s="40" t="s">
        <v>11404</v>
      </c>
      <c r="F29320" s="40" t="s">
        <v>11404</v>
      </c>
      <c r="G29320" s="40" t="s">
        <v>11404</v>
      </c>
      <c r="H29320" s="40" t="s">
        <v>11404</v>
      </c>
    </row>
    <row r="29321">
      <c r="A29321" s="39"/>
      <c r="E29321" s="40" t="s">
        <v>11404</v>
      </c>
      <c r="F29321" s="40" t="s">
        <v>11404</v>
      </c>
      <c r="G29321" s="40" t="s">
        <v>11404</v>
      </c>
      <c r="H29321" s="40" t="s">
        <v>11404</v>
      </c>
    </row>
    <row r="29322">
      <c r="A29322" s="39"/>
      <c r="E29322" s="40" t="s">
        <v>11404</v>
      </c>
      <c r="F29322" s="40" t="s">
        <v>11404</v>
      </c>
      <c r="G29322" s="40" t="s">
        <v>11404</v>
      </c>
      <c r="H29322" s="40" t="s">
        <v>11404</v>
      </c>
    </row>
    <row r="29323">
      <c r="A29323" s="39"/>
      <c r="E29323" s="40" t="s">
        <v>11404</v>
      </c>
      <c r="F29323" s="40" t="s">
        <v>11404</v>
      </c>
      <c r="G29323" s="40" t="s">
        <v>11404</v>
      </c>
      <c r="H29323" s="40" t="s">
        <v>11404</v>
      </c>
    </row>
    <row r="29324">
      <c r="A29324" s="39"/>
      <c r="E29324" s="40" t="s">
        <v>11404</v>
      </c>
      <c r="F29324" s="40" t="s">
        <v>11404</v>
      </c>
      <c r="G29324" s="40" t="s">
        <v>11404</v>
      </c>
      <c r="H29324" s="40" t="s">
        <v>11404</v>
      </c>
    </row>
    <row r="29325">
      <c r="A29325" s="39"/>
      <c r="E29325" s="40" t="s">
        <v>11404</v>
      </c>
      <c r="F29325" s="40" t="s">
        <v>11404</v>
      </c>
      <c r="G29325" s="40" t="s">
        <v>11404</v>
      </c>
      <c r="H29325" s="40" t="s">
        <v>11404</v>
      </c>
    </row>
    <row r="29326">
      <c r="A29326" s="39"/>
      <c r="E29326" s="40" t="s">
        <v>11404</v>
      </c>
      <c r="F29326" s="40" t="s">
        <v>11404</v>
      </c>
      <c r="G29326" s="40" t="s">
        <v>11404</v>
      </c>
      <c r="H29326" s="40" t="s">
        <v>11404</v>
      </c>
    </row>
    <row r="29327">
      <c r="A29327" s="39"/>
      <c r="E29327" s="40" t="s">
        <v>11404</v>
      </c>
      <c r="F29327" s="40" t="s">
        <v>11404</v>
      </c>
      <c r="G29327" s="40" t="s">
        <v>11404</v>
      </c>
      <c r="H29327" s="40" t="s">
        <v>11404</v>
      </c>
    </row>
    <row r="29328">
      <c r="A29328" s="39"/>
      <c r="E29328" s="40" t="s">
        <v>11404</v>
      </c>
      <c r="F29328" s="40" t="s">
        <v>11404</v>
      </c>
      <c r="G29328" s="40" t="s">
        <v>11404</v>
      </c>
      <c r="H29328" s="40" t="s">
        <v>11404</v>
      </c>
    </row>
    <row r="29329">
      <c r="A29329" s="39"/>
      <c r="E29329" s="40" t="s">
        <v>11404</v>
      </c>
      <c r="F29329" s="40" t="s">
        <v>11404</v>
      </c>
      <c r="G29329" s="40" t="s">
        <v>11404</v>
      </c>
      <c r="H29329" s="40" t="s">
        <v>11404</v>
      </c>
    </row>
    <row r="29330">
      <c r="A29330" s="39"/>
      <c r="E29330" s="40" t="s">
        <v>11404</v>
      </c>
      <c r="F29330" s="40" t="s">
        <v>11404</v>
      </c>
      <c r="G29330" s="40" t="s">
        <v>11404</v>
      </c>
      <c r="H29330" s="40" t="s">
        <v>11404</v>
      </c>
    </row>
    <row r="29331">
      <c r="A29331" s="39"/>
      <c r="E29331" s="40" t="s">
        <v>11404</v>
      </c>
      <c r="F29331" s="40" t="s">
        <v>11404</v>
      </c>
      <c r="G29331" s="40" t="s">
        <v>11404</v>
      </c>
      <c r="H29331" s="40" t="s">
        <v>11404</v>
      </c>
    </row>
    <row r="29332">
      <c r="A29332" s="39"/>
      <c r="E29332" s="40" t="s">
        <v>11404</v>
      </c>
      <c r="F29332" s="40" t="s">
        <v>11404</v>
      </c>
      <c r="G29332" s="40" t="s">
        <v>11404</v>
      </c>
      <c r="H29332" s="40" t="s">
        <v>11404</v>
      </c>
    </row>
    <row r="29333">
      <c r="A29333" s="39"/>
      <c r="E29333" s="40" t="s">
        <v>11404</v>
      </c>
      <c r="F29333" s="40" t="s">
        <v>11404</v>
      </c>
      <c r="G29333" s="40" t="s">
        <v>11404</v>
      </c>
      <c r="H29333" s="40" t="s">
        <v>11404</v>
      </c>
    </row>
    <row r="29334">
      <c r="A29334" s="39"/>
      <c r="E29334" s="40" t="s">
        <v>11404</v>
      </c>
      <c r="F29334" s="40" t="s">
        <v>11404</v>
      </c>
      <c r="G29334" s="40" t="s">
        <v>11404</v>
      </c>
      <c r="H29334" s="40" t="s">
        <v>11404</v>
      </c>
    </row>
    <row r="29335">
      <c r="A29335" s="39"/>
      <c r="E29335" s="40" t="s">
        <v>11404</v>
      </c>
      <c r="F29335" s="40" t="s">
        <v>11404</v>
      </c>
      <c r="G29335" s="40" t="s">
        <v>11404</v>
      </c>
      <c r="H29335" s="40" t="s">
        <v>11404</v>
      </c>
    </row>
    <row r="29336">
      <c r="A29336" s="39"/>
      <c r="E29336" s="40" t="s">
        <v>11404</v>
      </c>
      <c r="F29336" s="40" t="s">
        <v>11404</v>
      </c>
      <c r="G29336" s="40" t="s">
        <v>11404</v>
      </c>
      <c r="H29336" s="40" t="s">
        <v>11404</v>
      </c>
    </row>
    <row r="29337">
      <c r="A29337" s="39"/>
      <c r="E29337" s="40" t="s">
        <v>11404</v>
      </c>
      <c r="F29337" s="40" t="s">
        <v>11404</v>
      </c>
      <c r="G29337" s="40" t="s">
        <v>11404</v>
      </c>
      <c r="H29337" s="40" t="s">
        <v>11404</v>
      </c>
    </row>
    <row r="29338">
      <c r="A29338" s="39"/>
      <c r="E29338" s="40" t="s">
        <v>11404</v>
      </c>
      <c r="F29338" s="40" t="s">
        <v>11404</v>
      </c>
      <c r="G29338" s="40" t="s">
        <v>11404</v>
      </c>
      <c r="H29338" s="40" t="s">
        <v>11404</v>
      </c>
    </row>
    <row r="29339">
      <c r="A29339" s="39"/>
      <c r="E29339" s="40" t="s">
        <v>11404</v>
      </c>
      <c r="F29339" s="40" t="s">
        <v>11404</v>
      </c>
      <c r="G29339" s="40" t="s">
        <v>11404</v>
      </c>
      <c r="H29339" s="40" t="s">
        <v>11404</v>
      </c>
    </row>
    <row r="29340">
      <c r="A29340" s="39"/>
      <c r="E29340" s="40" t="s">
        <v>11404</v>
      </c>
      <c r="F29340" s="40" t="s">
        <v>11404</v>
      </c>
      <c r="G29340" s="40" t="s">
        <v>11404</v>
      </c>
      <c r="H29340" s="40" t="s">
        <v>11404</v>
      </c>
    </row>
    <row r="29341">
      <c r="A29341" s="39"/>
      <c r="E29341" s="40" t="s">
        <v>11404</v>
      </c>
      <c r="F29341" s="40" t="s">
        <v>11404</v>
      </c>
      <c r="G29341" s="40" t="s">
        <v>11404</v>
      </c>
      <c r="H29341" s="40" t="s">
        <v>11404</v>
      </c>
    </row>
    <row r="29342">
      <c r="A29342" s="39"/>
      <c r="E29342" s="40" t="s">
        <v>11404</v>
      </c>
      <c r="F29342" s="40" t="s">
        <v>11404</v>
      </c>
      <c r="G29342" s="40" t="s">
        <v>11404</v>
      </c>
      <c r="H29342" s="40" t="s">
        <v>11404</v>
      </c>
    </row>
    <row r="29343">
      <c r="A29343" s="39"/>
      <c r="E29343" s="40" t="s">
        <v>11404</v>
      </c>
      <c r="F29343" s="40" t="s">
        <v>11404</v>
      </c>
      <c r="G29343" s="40" t="s">
        <v>11404</v>
      </c>
      <c r="H29343" s="40" t="s">
        <v>11404</v>
      </c>
    </row>
    <row r="29344">
      <c r="A29344" s="39"/>
      <c r="E29344" s="40" t="s">
        <v>11404</v>
      </c>
      <c r="F29344" s="40" t="s">
        <v>11404</v>
      </c>
      <c r="G29344" s="40" t="s">
        <v>11404</v>
      </c>
      <c r="H29344" s="40" t="s">
        <v>11404</v>
      </c>
    </row>
    <row r="29345">
      <c r="A29345" s="39"/>
      <c r="E29345" s="40" t="s">
        <v>11404</v>
      </c>
      <c r="F29345" s="40" t="s">
        <v>11404</v>
      </c>
      <c r="G29345" s="40" t="s">
        <v>11404</v>
      </c>
      <c r="H29345" s="40" t="s">
        <v>11404</v>
      </c>
    </row>
    <row r="29346">
      <c r="A29346" s="39"/>
      <c r="E29346" s="40" t="s">
        <v>11404</v>
      </c>
      <c r="F29346" s="40" t="s">
        <v>11404</v>
      </c>
      <c r="G29346" s="40" t="s">
        <v>11404</v>
      </c>
      <c r="H29346" s="40" t="s">
        <v>11404</v>
      </c>
    </row>
    <row r="29347">
      <c r="A29347" s="39"/>
      <c r="E29347" s="40" t="s">
        <v>11404</v>
      </c>
      <c r="F29347" s="40" t="s">
        <v>11404</v>
      </c>
      <c r="G29347" s="40" t="s">
        <v>11404</v>
      </c>
      <c r="H29347" s="40" t="s">
        <v>11404</v>
      </c>
    </row>
    <row r="29348">
      <c r="A29348" s="39"/>
      <c r="E29348" s="40" t="s">
        <v>11404</v>
      </c>
      <c r="F29348" s="40" t="s">
        <v>11404</v>
      </c>
      <c r="G29348" s="40" t="s">
        <v>11404</v>
      </c>
      <c r="H29348" s="40" t="s">
        <v>11404</v>
      </c>
    </row>
    <row r="29349">
      <c r="A29349" s="39"/>
      <c r="E29349" s="40" t="s">
        <v>11404</v>
      </c>
      <c r="F29349" s="40" t="s">
        <v>11404</v>
      </c>
      <c r="G29349" s="40" t="s">
        <v>11404</v>
      </c>
      <c r="H29349" s="40" t="s">
        <v>11404</v>
      </c>
    </row>
    <row r="29350">
      <c r="A29350" s="39"/>
      <c r="E29350" s="40" t="s">
        <v>11404</v>
      </c>
      <c r="F29350" s="40" t="s">
        <v>11404</v>
      </c>
      <c r="G29350" s="40" t="s">
        <v>11404</v>
      </c>
      <c r="H29350" s="40" t="s">
        <v>11404</v>
      </c>
    </row>
    <row r="29351">
      <c r="A29351" s="39"/>
      <c r="E29351" s="40" t="s">
        <v>11404</v>
      </c>
      <c r="F29351" s="40" t="s">
        <v>11404</v>
      </c>
      <c r="G29351" s="40" t="s">
        <v>11404</v>
      </c>
      <c r="H29351" s="40" t="s">
        <v>11404</v>
      </c>
    </row>
    <row r="29352">
      <c r="A29352" s="39"/>
      <c r="E29352" s="40" t="s">
        <v>11404</v>
      </c>
      <c r="F29352" s="40" t="s">
        <v>11404</v>
      </c>
      <c r="G29352" s="40" t="s">
        <v>11404</v>
      </c>
      <c r="H29352" s="40" t="s">
        <v>11404</v>
      </c>
    </row>
    <row r="29353">
      <c r="A29353" s="39"/>
      <c r="E29353" s="40" t="s">
        <v>11404</v>
      </c>
      <c r="F29353" s="40" t="s">
        <v>11404</v>
      </c>
      <c r="G29353" s="40" t="s">
        <v>11404</v>
      </c>
      <c r="H29353" s="40" t="s">
        <v>11404</v>
      </c>
    </row>
    <row r="29354">
      <c r="A29354" s="39"/>
      <c r="E29354" s="40" t="s">
        <v>11404</v>
      </c>
      <c r="F29354" s="40" t="s">
        <v>11404</v>
      </c>
      <c r="G29354" s="40" t="s">
        <v>11404</v>
      </c>
      <c r="H29354" s="40" t="s">
        <v>11404</v>
      </c>
    </row>
    <row r="29355">
      <c r="A29355" s="39"/>
      <c r="E29355" s="40" t="s">
        <v>11404</v>
      </c>
      <c r="F29355" s="40" t="s">
        <v>11404</v>
      </c>
      <c r="G29355" s="40" t="s">
        <v>11404</v>
      </c>
      <c r="H29355" s="40" t="s">
        <v>11404</v>
      </c>
    </row>
    <row r="29356">
      <c r="A29356" s="39"/>
      <c r="E29356" s="40" t="s">
        <v>11404</v>
      </c>
      <c r="F29356" s="40" t="s">
        <v>11404</v>
      </c>
      <c r="G29356" s="40" t="s">
        <v>11404</v>
      </c>
      <c r="H29356" s="40" t="s">
        <v>11404</v>
      </c>
    </row>
    <row r="29357">
      <c r="A29357" s="39"/>
      <c r="E29357" s="40" t="s">
        <v>11404</v>
      </c>
      <c r="F29357" s="40" t="s">
        <v>11404</v>
      </c>
      <c r="G29357" s="40" t="s">
        <v>11404</v>
      </c>
      <c r="H29357" s="40" t="s">
        <v>11404</v>
      </c>
    </row>
    <row r="29358">
      <c r="A29358" s="39"/>
      <c r="E29358" s="40" t="s">
        <v>11404</v>
      </c>
      <c r="F29358" s="40" t="s">
        <v>11404</v>
      </c>
      <c r="G29358" s="40" t="s">
        <v>11404</v>
      </c>
      <c r="H29358" s="40" t="s">
        <v>11404</v>
      </c>
    </row>
    <row r="29359">
      <c r="A29359" s="39"/>
      <c r="E29359" s="40" t="s">
        <v>11404</v>
      </c>
      <c r="F29359" s="40" t="s">
        <v>11404</v>
      </c>
      <c r="G29359" s="40" t="s">
        <v>11404</v>
      </c>
      <c r="H29359" s="40" t="s">
        <v>11404</v>
      </c>
    </row>
    <row r="29360">
      <c r="A29360" s="39"/>
      <c r="E29360" s="40" t="s">
        <v>11404</v>
      </c>
      <c r="F29360" s="40" t="s">
        <v>11404</v>
      </c>
      <c r="G29360" s="40" t="s">
        <v>11404</v>
      </c>
      <c r="H29360" s="40" t="s">
        <v>11404</v>
      </c>
    </row>
    <row r="29361">
      <c r="A29361" s="39"/>
      <c r="E29361" s="40" t="s">
        <v>11404</v>
      </c>
      <c r="F29361" s="40" t="s">
        <v>11404</v>
      </c>
      <c r="G29361" s="40" t="s">
        <v>11404</v>
      </c>
      <c r="H29361" s="40" t="s">
        <v>11404</v>
      </c>
    </row>
    <row r="29362">
      <c r="A29362" s="39"/>
      <c r="E29362" s="40" t="s">
        <v>11404</v>
      </c>
      <c r="F29362" s="40" t="s">
        <v>11404</v>
      </c>
      <c r="G29362" s="40" t="s">
        <v>11404</v>
      </c>
      <c r="H29362" s="40" t="s">
        <v>11404</v>
      </c>
    </row>
    <row r="29363">
      <c r="A29363" s="39"/>
      <c r="E29363" s="40" t="s">
        <v>11404</v>
      </c>
      <c r="F29363" s="40" t="s">
        <v>11404</v>
      </c>
      <c r="G29363" s="40" t="s">
        <v>11404</v>
      </c>
      <c r="H29363" s="40" t="s">
        <v>11404</v>
      </c>
    </row>
    <row r="29364">
      <c r="A29364" s="39"/>
      <c r="E29364" s="40" t="s">
        <v>11404</v>
      </c>
      <c r="F29364" s="40" t="s">
        <v>11404</v>
      </c>
      <c r="G29364" s="40" t="s">
        <v>11404</v>
      </c>
      <c r="H29364" s="40" t="s">
        <v>11404</v>
      </c>
    </row>
    <row r="29365">
      <c r="A29365" s="39"/>
      <c r="E29365" s="40" t="s">
        <v>11404</v>
      </c>
      <c r="F29365" s="40" t="s">
        <v>11404</v>
      </c>
      <c r="G29365" s="40" t="s">
        <v>11404</v>
      </c>
      <c r="H29365" s="40" t="s">
        <v>11404</v>
      </c>
    </row>
    <row r="29366">
      <c r="A29366" s="39"/>
      <c r="E29366" s="40" t="s">
        <v>11404</v>
      </c>
      <c r="F29366" s="40" t="s">
        <v>11404</v>
      </c>
      <c r="G29366" s="40" t="s">
        <v>11404</v>
      </c>
      <c r="H29366" s="40" t="s">
        <v>11404</v>
      </c>
    </row>
    <row r="29367">
      <c r="A29367" s="39"/>
      <c r="E29367" s="40" t="s">
        <v>11404</v>
      </c>
      <c r="F29367" s="40" t="s">
        <v>11404</v>
      </c>
      <c r="G29367" s="40" t="s">
        <v>11404</v>
      </c>
      <c r="H29367" s="40" t="s">
        <v>11404</v>
      </c>
    </row>
    <row r="29368">
      <c r="A29368" s="39"/>
      <c r="E29368" s="40" t="s">
        <v>11404</v>
      </c>
      <c r="F29368" s="40" t="s">
        <v>11404</v>
      </c>
      <c r="G29368" s="40" t="s">
        <v>11404</v>
      </c>
      <c r="H29368" s="40" t="s">
        <v>11404</v>
      </c>
    </row>
    <row r="29369">
      <c r="A29369" s="39"/>
      <c r="E29369" s="40" t="s">
        <v>11404</v>
      </c>
      <c r="F29369" s="40" t="s">
        <v>11404</v>
      </c>
      <c r="G29369" s="40" t="s">
        <v>11404</v>
      </c>
      <c r="H29369" s="40" t="s">
        <v>11404</v>
      </c>
    </row>
    <row r="29370">
      <c r="A29370" s="39"/>
      <c r="E29370" s="40" t="s">
        <v>11404</v>
      </c>
      <c r="F29370" s="40" t="s">
        <v>11404</v>
      </c>
      <c r="G29370" s="40" t="s">
        <v>11404</v>
      </c>
      <c r="H29370" s="40" t="s">
        <v>11404</v>
      </c>
    </row>
    <row r="29371">
      <c r="A29371" s="39"/>
      <c r="E29371" s="40" t="s">
        <v>11404</v>
      </c>
      <c r="F29371" s="40" t="s">
        <v>11404</v>
      </c>
      <c r="G29371" s="40" t="s">
        <v>11404</v>
      </c>
      <c r="H29371" s="40" t="s">
        <v>11404</v>
      </c>
    </row>
    <row r="29372">
      <c r="A29372" s="39"/>
      <c r="E29372" s="40" t="s">
        <v>11404</v>
      </c>
      <c r="F29372" s="40" t="s">
        <v>11404</v>
      </c>
      <c r="G29372" s="40" t="s">
        <v>11404</v>
      </c>
      <c r="H29372" s="40" t="s">
        <v>11404</v>
      </c>
    </row>
    <row r="29373">
      <c r="A29373" s="39"/>
      <c r="E29373" s="40" t="s">
        <v>11404</v>
      </c>
      <c r="F29373" s="40" t="s">
        <v>11404</v>
      </c>
      <c r="G29373" s="40" t="s">
        <v>11404</v>
      </c>
      <c r="H29373" s="40" t="s">
        <v>11404</v>
      </c>
    </row>
    <row r="29374">
      <c r="A29374" s="39"/>
      <c r="E29374" s="40" t="s">
        <v>11404</v>
      </c>
      <c r="F29374" s="40" t="s">
        <v>11404</v>
      </c>
      <c r="G29374" s="40" t="s">
        <v>11404</v>
      </c>
      <c r="H29374" s="40" t="s">
        <v>11404</v>
      </c>
    </row>
    <row r="29375">
      <c r="A29375" s="39"/>
      <c r="E29375" s="40" t="s">
        <v>11404</v>
      </c>
      <c r="F29375" s="40" t="s">
        <v>11404</v>
      </c>
      <c r="G29375" s="40" t="s">
        <v>11404</v>
      </c>
      <c r="H29375" s="40" t="s">
        <v>11404</v>
      </c>
    </row>
    <row r="29376">
      <c r="A29376" s="39"/>
      <c r="E29376" s="40" t="s">
        <v>11404</v>
      </c>
      <c r="F29376" s="40" t="s">
        <v>11404</v>
      </c>
      <c r="G29376" s="40" t="s">
        <v>11404</v>
      </c>
      <c r="H29376" s="40" t="s">
        <v>11404</v>
      </c>
    </row>
    <row r="29377">
      <c r="A29377" s="39"/>
      <c r="E29377" s="40" t="s">
        <v>11404</v>
      </c>
      <c r="F29377" s="40" t="s">
        <v>11404</v>
      </c>
      <c r="G29377" s="40" t="s">
        <v>11404</v>
      </c>
      <c r="H29377" s="40" t="s">
        <v>11404</v>
      </c>
    </row>
    <row r="29378">
      <c r="A29378" s="39"/>
      <c r="E29378" s="40" t="s">
        <v>11404</v>
      </c>
      <c r="F29378" s="40" t="s">
        <v>11404</v>
      </c>
      <c r="G29378" s="40" t="s">
        <v>11404</v>
      </c>
      <c r="H29378" s="40" t="s">
        <v>11404</v>
      </c>
    </row>
    <row r="29379">
      <c r="A29379" s="39"/>
      <c r="E29379" s="40" t="s">
        <v>11404</v>
      </c>
      <c r="F29379" s="40" t="s">
        <v>11404</v>
      </c>
      <c r="G29379" s="40" t="s">
        <v>11404</v>
      </c>
      <c r="H29379" s="40" t="s">
        <v>11404</v>
      </c>
    </row>
    <row r="29380">
      <c r="A29380" s="39"/>
      <c r="E29380" s="40" t="s">
        <v>11404</v>
      </c>
      <c r="F29380" s="40" t="s">
        <v>11404</v>
      </c>
      <c r="G29380" s="40" t="s">
        <v>11404</v>
      </c>
      <c r="H29380" s="40" t="s">
        <v>11404</v>
      </c>
    </row>
    <row r="29381">
      <c r="A29381" s="39"/>
      <c r="E29381" s="40" t="s">
        <v>11404</v>
      </c>
      <c r="F29381" s="40" t="s">
        <v>11404</v>
      </c>
      <c r="G29381" s="40" t="s">
        <v>11404</v>
      </c>
      <c r="H29381" s="40" t="s">
        <v>11404</v>
      </c>
    </row>
    <row r="29382">
      <c r="A29382" s="39"/>
      <c r="E29382" s="40" t="s">
        <v>11404</v>
      </c>
      <c r="F29382" s="40" t="s">
        <v>11404</v>
      </c>
      <c r="G29382" s="40" t="s">
        <v>11404</v>
      </c>
      <c r="H29382" s="40" t="s">
        <v>11404</v>
      </c>
    </row>
    <row r="29383">
      <c r="A29383" s="39"/>
      <c r="E29383" s="40" t="s">
        <v>11404</v>
      </c>
      <c r="F29383" s="40" t="s">
        <v>11404</v>
      </c>
      <c r="G29383" s="40" t="s">
        <v>11404</v>
      </c>
      <c r="H29383" s="40" t="s">
        <v>11404</v>
      </c>
    </row>
    <row r="29384">
      <c r="A29384" s="39"/>
      <c r="E29384" s="40" t="s">
        <v>11404</v>
      </c>
      <c r="F29384" s="40" t="s">
        <v>11404</v>
      </c>
      <c r="G29384" s="40" t="s">
        <v>11404</v>
      </c>
      <c r="H29384" s="40" t="s">
        <v>11404</v>
      </c>
    </row>
    <row r="29385">
      <c r="A29385" s="39"/>
      <c r="E29385" s="40" t="s">
        <v>11404</v>
      </c>
      <c r="F29385" s="40" t="s">
        <v>11404</v>
      </c>
      <c r="G29385" s="40" t="s">
        <v>11404</v>
      </c>
      <c r="H29385" s="40" t="s">
        <v>11404</v>
      </c>
    </row>
    <row r="29386">
      <c r="A29386" s="39"/>
      <c r="E29386" s="40" t="s">
        <v>11404</v>
      </c>
      <c r="F29386" s="40" t="s">
        <v>11404</v>
      </c>
      <c r="G29386" s="40" t="s">
        <v>11404</v>
      </c>
      <c r="H29386" s="40" t="s">
        <v>11404</v>
      </c>
    </row>
    <row r="29387">
      <c r="A29387" s="39"/>
      <c r="E29387" s="40" t="s">
        <v>11404</v>
      </c>
      <c r="F29387" s="40" t="s">
        <v>11404</v>
      </c>
      <c r="G29387" s="40" t="s">
        <v>11404</v>
      </c>
      <c r="H29387" s="40" t="s">
        <v>11404</v>
      </c>
    </row>
    <row r="29388">
      <c r="A29388" s="39"/>
      <c r="E29388" s="40" t="s">
        <v>11404</v>
      </c>
      <c r="F29388" s="40" t="s">
        <v>11404</v>
      </c>
      <c r="G29388" s="40" t="s">
        <v>11404</v>
      </c>
      <c r="H29388" s="40" t="s">
        <v>11404</v>
      </c>
    </row>
    <row r="29389">
      <c r="A29389" s="39"/>
      <c r="E29389" s="40" t="s">
        <v>11404</v>
      </c>
      <c r="F29389" s="40" t="s">
        <v>11404</v>
      </c>
      <c r="G29389" s="40" t="s">
        <v>11404</v>
      </c>
      <c r="H29389" s="40" t="s">
        <v>11404</v>
      </c>
    </row>
    <row r="29390">
      <c r="A29390" s="39"/>
      <c r="E29390" s="40" t="s">
        <v>11404</v>
      </c>
      <c r="F29390" s="40" t="s">
        <v>11404</v>
      </c>
      <c r="G29390" s="40" t="s">
        <v>11404</v>
      </c>
      <c r="H29390" s="40" t="s">
        <v>11404</v>
      </c>
    </row>
    <row r="29391">
      <c r="A29391" s="39"/>
      <c r="E29391" s="40" t="s">
        <v>11404</v>
      </c>
      <c r="F29391" s="40" t="s">
        <v>11404</v>
      </c>
      <c r="G29391" s="40" t="s">
        <v>11404</v>
      </c>
      <c r="H29391" s="40" t="s">
        <v>11404</v>
      </c>
    </row>
    <row r="29392">
      <c r="A29392" s="39"/>
      <c r="E29392" s="40" t="s">
        <v>11404</v>
      </c>
      <c r="F29392" s="40" t="s">
        <v>11404</v>
      </c>
      <c r="G29392" s="40" t="s">
        <v>11404</v>
      </c>
      <c r="H29392" s="40" t="s">
        <v>11404</v>
      </c>
    </row>
    <row r="29393">
      <c r="A29393" s="39"/>
      <c r="E29393" s="40" t="s">
        <v>11404</v>
      </c>
      <c r="F29393" s="40" t="s">
        <v>11404</v>
      </c>
      <c r="G29393" s="40" t="s">
        <v>11404</v>
      </c>
      <c r="H29393" s="40" t="s">
        <v>11404</v>
      </c>
    </row>
    <row r="29394">
      <c r="A29394" s="39"/>
      <c r="E29394" s="40" t="s">
        <v>11404</v>
      </c>
      <c r="F29394" s="40" t="s">
        <v>11404</v>
      </c>
      <c r="G29394" s="40" t="s">
        <v>11404</v>
      </c>
      <c r="H29394" s="40" t="s">
        <v>11404</v>
      </c>
    </row>
    <row r="29395">
      <c r="A29395" s="39"/>
      <c r="E29395" s="40" t="s">
        <v>11404</v>
      </c>
      <c r="F29395" s="40" t="s">
        <v>11404</v>
      </c>
      <c r="G29395" s="40" t="s">
        <v>11404</v>
      </c>
      <c r="H29395" s="40" t="s">
        <v>11404</v>
      </c>
    </row>
    <row r="29396">
      <c r="A29396" s="39"/>
      <c r="E29396" s="40" t="s">
        <v>11404</v>
      </c>
      <c r="F29396" s="40" t="s">
        <v>11404</v>
      </c>
      <c r="G29396" s="40" t="s">
        <v>11404</v>
      </c>
      <c r="H29396" s="40" t="s">
        <v>11404</v>
      </c>
    </row>
    <row r="29397">
      <c r="A29397" s="39"/>
      <c r="E29397" s="40" t="s">
        <v>11404</v>
      </c>
      <c r="F29397" s="40" t="s">
        <v>11404</v>
      </c>
      <c r="G29397" s="40" t="s">
        <v>11404</v>
      </c>
      <c r="H29397" s="40" t="s">
        <v>11404</v>
      </c>
    </row>
    <row r="29398">
      <c r="A29398" s="39"/>
      <c r="E29398" s="40" t="s">
        <v>11404</v>
      </c>
      <c r="F29398" s="40" t="s">
        <v>11404</v>
      </c>
      <c r="G29398" s="40" t="s">
        <v>11404</v>
      </c>
      <c r="H29398" s="40" t="s">
        <v>11404</v>
      </c>
    </row>
    <row r="29399">
      <c r="A29399" s="39"/>
      <c r="E29399" s="40" t="s">
        <v>11404</v>
      </c>
      <c r="F29399" s="40" t="s">
        <v>11404</v>
      </c>
      <c r="G29399" s="40" t="s">
        <v>11404</v>
      </c>
      <c r="H29399" s="40" t="s">
        <v>11404</v>
      </c>
    </row>
    <row r="29400">
      <c r="A29400" s="39"/>
      <c r="E29400" s="40" t="s">
        <v>11404</v>
      </c>
      <c r="F29400" s="40" t="s">
        <v>11404</v>
      </c>
      <c r="G29400" s="40" t="s">
        <v>11404</v>
      </c>
      <c r="H29400" s="40" t="s">
        <v>11404</v>
      </c>
    </row>
    <row r="29401">
      <c r="A29401" s="39"/>
      <c r="E29401" s="40" t="s">
        <v>11404</v>
      </c>
      <c r="F29401" s="40" t="s">
        <v>11404</v>
      </c>
      <c r="G29401" s="40" t="s">
        <v>11404</v>
      </c>
      <c r="H29401" s="40" t="s">
        <v>11404</v>
      </c>
    </row>
    <row r="29402">
      <c r="A29402" s="39"/>
      <c r="E29402" s="40" t="s">
        <v>11404</v>
      </c>
      <c r="F29402" s="40" t="s">
        <v>11404</v>
      </c>
      <c r="G29402" s="40" t="s">
        <v>11404</v>
      </c>
      <c r="H29402" s="40" t="s">
        <v>11404</v>
      </c>
    </row>
    <row r="29403">
      <c r="A29403" s="39"/>
      <c r="E29403" s="40" t="s">
        <v>11404</v>
      </c>
      <c r="F29403" s="40" t="s">
        <v>11404</v>
      </c>
      <c r="G29403" s="40" t="s">
        <v>11404</v>
      </c>
      <c r="H29403" s="40" t="s">
        <v>11404</v>
      </c>
    </row>
    <row r="29404">
      <c r="A29404" s="39"/>
      <c r="E29404" s="40" t="s">
        <v>11404</v>
      </c>
      <c r="F29404" s="40" t="s">
        <v>11404</v>
      </c>
      <c r="G29404" s="40" t="s">
        <v>11404</v>
      </c>
      <c r="H29404" s="40" t="s">
        <v>11404</v>
      </c>
    </row>
    <row r="29405">
      <c r="A29405" s="39"/>
      <c r="E29405" s="40" t="s">
        <v>11404</v>
      </c>
      <c r="F29405" s="40" t="s">
        <v>11404</v>
      </c>
      <c r="G29405" s="40" t="s">
        <v>11404</v>
      </c>
      <c r="H29405" s="40" t="s">
        <v>11404</v>
      </c>
    </row>
    <row r="29406">
      <c r="A29406" s="39"/>
      <c r="E29406" s="40" t="s">
        <v>11404</v>
      </c>
      <c r="F29406" s="40" t="s">
        <v>11404</v>
      </c>
      <c r="G29406" s="40" t="s">
        <v>11404</v>
      </c>
      <c r="H29406" s="40" t="s">
        <v>11404</v>
      </c>
    </row>
    <row r="29407">
      <c r="A29407" s="39"/>
      <c r="E29407" s="40" t="s">
        <v>11404</v>
      </c>
      <c r="F29407" s="40" t="s">
        <v>11404</v>
      </c>
      <c r="G29407" s="40" t="s">
        <v>11404</v>
      </c>
      <c r="H29407" s="40" t="s">
        <v>11404</v>
      </c>
    </row>
    <row r="29408">
      <c r="A29408" s="39"/>
      <c r="E29408" s="40" t="s">
        <v>11404</v>
      </c>
      <c r="F29408" s="40" t="s">
        <v>11404</v>
      </c>
      <c r="G29408" s="40" t="s">
        <v>11404</v>
      </c>
      <c r="H29408" s="40" t="s">
        <v>11404</v>
      </c>
    </row>
    <row r="29409">
      <c r="A29409" s="39"/>
      <c r="E29409" s="40" t="s">
        <v>11404</v>
      </c>
      <c r="F29409" s="40" t="s">
        <v>11404</v>
      </c>
      <c r="G29409" s="40" t="s">
        <v>11404</v>
      </c>
      <c r="H29409" s="40" t="s">
        <v>11404</v>
      </c>
    </row>
    <row r="29410">
      <c r="A29410" s="39"/>
      <c r="E29410" s="40" t="s">
        <v>11404</v>
      </c>
      <c r="F29410" s="40" t="s">
        <v>11404</v>
      </c>
      <c r="G29410" s="40" t="s">
        <v>11404</v>
      </c>
      <c r="H29410" s="40" t="s">
        <v>11404</v>
      </c>
    </row>
    <row r="29411">
      <c r="A29411" s="39"/>
      <c r="E29411" s="40" t="s">
        <v>11404</v>
      </c>
      <c r="F29411" s="40" t="s">
        <v>11404</v>
      </c>
      <c r="G29411" s="40" t="s">
        <v>11404</v>
      </c>
      <c r="H29411" s="40" t="s">
        <v>11404</v>
      </c>
    </row>
    <row r="29412">
      <c r="A29412" s="39"/>
      <c r="E29412" s="40" t="s">
        <v>11404</v>
      </c>
      <c r="F29412" s="40" t="s">
        <v>11404</v>
      </c>
      <c r="G29412" s="40" t="s">
        <v>11404</v>
      </c>
      <c r="H29412" s="40" t="s">
        <v>11404</v>
      </c>
    </row>
    <row r="29413">
      <c r="A29413" s="39"/>
      <c r="E29413" s="40" t="s">
        <v>11404</v>
      </c>
      <c r="F29413" s="40" t="s">
        <v>11404</v>
      </c>
      <c r="G29413" s="40" t="s">
        <v>11404</v>
      </c>
      <c r="H29413" s="40" t="s">
        <v>11404</v>
      </c>
    </row>
    <row r="29414">
      <c r="A29414" s="39"/>
      <c r="E29414" s="40" t="s">
        <v>11404</v>
      </c>
      <c r="F29414" s="40" t="s">
        <v>11404</v>
      </c>
      <c r="G29414" s="40" t="s">
        <v>11404</v>
      </c>
      <c r="H29414" s="40" t="s">
        <v>11404</v>
      </c>
    </row>
    <row r="29415">
      <c r="A29415" s="39"/>
      <c r="E29415" s="40" t="s">
        <v>11404</v>
      </c>
      <c r="F29415" s="40" t="s">
        <v>11404</v>
      </c>
      <c r="G29415" s="40" t="s">
        <v>11404</v>
      </c>
      <c r="H29415" s="40" t="s">
        <v>11404</v>
      </c>
    </row>
    <row r="29416">
      <c r="A29416" s="39"/>
      <c r="E29416" s="40" t="s">
        <v>11404</v>
      </c>
      <c r="F29416" s="40" t="s">
        <v>11404</v>
      </c>
      <c r="G29416" s="40" t="s">
        <v>11404</v>
      </c>
      <c r="H29416" s="40" t="s">
        <v>11404</v>
      </c>
    </row>
    <row r="29417">
      <c r="A29417" s="39"/>
      <c r="E29417" s="40" t="s">
        <v>11404</v>
      </c>
      <c r="F29417" s="40" t="s">
        <v>11404</v>
      </c>
      <c r="G29417" s="40" t="s">
        <v>11404</v>
      </c>
      <c r="H29417" s="40" t="s">
        <v>11404</v>
      </c>
    </row>
    <row r="29418">
      <c r="A29418" s="39"/>
      <c r="E29418" s="40" t="s">
        <v>11404</v>
      </c>
      <c r="F29418" s="40" t="s">
        <v>11404</v>
      </c>
      <c r="G29418" s="40" t="s">
        <v>11404</v>
      </c>
      <c r="H29418" s="40" t="s">
        <v>11404</v>
      </c>
    </row>
    <row r="29419">
      <c r="A29419" s="39"/>
      <c r="E29419" s="40" t="s">
        <v>11404</v>
      </c>
      <c r="F29419" s="40" t="s">
        <v>11404</v>
      </c>
      <c r="G29419" s="40" t="s">
        <v>11404</v>
      </c>
      <c r="H29419" s="40" t="s">
        <v>11404</v>
      </c>
    </row>
    <row r="29420">
      <c r="A29420" s="39"/>
      <c r="E29420" s="40" t="s">
        <v>11404</v>
      </c>
      <c r="F29420" s="40" t="s">
        <v>11404</v>
      </c>
      <c r="G29420" s="40" t="s">
        <v>11404</v>
      </c>
      <c r="H29420" s="40" t="s">
        <v>11404</v>
      </c>
    </row>
    <row r="29421">
      <c r="A29421" s="39"/>
      <c r="E29421" s="40" t="s">
        <v>11404</v>
      </c>
      <c r="F29421" s="40" t="s">
        <v>11404</v>
      </c>
      <c r="G29421" s="40" t="s">
        <v>11404</v>
      </c>
      <c r="H29421" s="40" t="s">
        <v>11404</v>
      </c>
    </row>
    <row r="29422">
      <c r="A29422" s="39"/>
      <c r="E29422" s="40" t="s">
        <v>11404</v>
      </c>
      <c r="F29422" s="40" t="s">
        <v>11404</v>
      </c>
      <c r="G29422" s="40" t="s">
        <v>11404</v>
      </c>
      <c r="H29422" s="40" t="s">
        <v>11404</v>
      </c>
    </row>
    <row r="29423">
      <c r="A29423" s="39"/>
      <c r="E29423" s="40" t="s">
        <v>11404</v>
      </c>
      <c r="F29423" s="40" t="s">
        <v>11404</v>
      </c>
      <c r="G29423" s="40" t="s">
        <v>11404</v>
      </c>
      <c r="H29423" s="40" t="s">
        <v>11404</v>
      </c>
    </row>
    <row r="29424">
      <c r="A29424" s="39"/>
      <c r="E29424" s="40" t="s">
        <v>11404</v>
      </c>
      <c r="F29424" s="40" t="s">
        <v>11404</v>
      </c>
      <c r="G29424" s="40" t="s">
        <v>11404</v>
      </c>
      <c r="H29424" s="40" t="s">
        <v>11404</v>
      </c>
    </row>
    <row r="29425">
      <c r="A29425" s="39"/>
      <c r="E29425" s="40" t="s">
        <v>11404</v>
      </c>
      <c r="F29425" s="40" t="s">
        <v>11404</v>
      </c>
      <c r="G29425" s="40" t="s">
        <v>11404</v>
      </c>
      <c r="H29425" s="40" t="s">
        <v>11404</v>
      </c>
    </row>
    <row r="29426">
      <c r="A29426" s="39"/>
      <c r="E29426" s="40" t="s">
        <v>11404</v>
      </c>
      <c r="F29426" s="40" t="s">
        <v>11404</v>
      </c>
      <c r="G29426" s="40" t="s">
        <v>11404</v>
      </c>
      <c r="H29426" s="40" t="s">
        <v>11404</v>
      </c>
    </row>
    <row r="29427">
      <c r="A29427" s="39"/>
      <c r="E29427" s="40" t="s">
        <v>11404</v>
      </c>
      <c r="F29427" s="40" t="s">
        <v>11404</v>
      </c>
      <c r="G29427" s="40" t="s">
        <v>11404</v>
      </c>
      <c r="H29427" s="40" t="s">
        <v>11404</v>
      </c>
    </row>
    <row r="29428">
      <c r="A29428" s="39"/>
      <c r="E29428" s="40" t="s">
        <v>11404</v>
      </c>
      <c r="F29428" s="40" t="s">
        <v>11404</v>
      </c>
      <c r="G29428" s="40" t="s">
        <v>11404</v>
      </c>
      <c r="H29428" s="40" t="s">
        <v>11404</v>
      </c>
    </row>
    <row r="29429">
      <c r="A29429" s="39"/>
      <c r="E29429" s="40" t="s">
        <v>11404</v>
      </c>
      <c r="F29429" s="40" t="s">
        <v>11404</v>
      </c>
      <c r="G29429" s="40" t="s">
        <v>11404</v>
      </c>
      <c r="H29429" s="40" t="s">
        <v>11404</v>
      </c>
    </row>
    <row r="29430">
      <c r="A29430" s="39"/>
      <c r="E29430" s="40" t="s">
        <v>11404</v>
      </c>
      <c r="F29430" s="40" t="s">
        <v>11404</v>
      </c>
      <c r="G29430" s="40" t="s">
        <v>11404</v>
      </c>
      <c r="H29430" s="40" t="s">
        <v>11404</v>
      </c>
    </row>
    <row r="29431">
      <c r="A29431" s="39"/>
      <c r="E29431" s="40" t="s">
        <v>11404</v>
      </c>
      <c r="F29431" s="40" t="s">
        <v>11404</v>
      </c>
      <c r="G29431" s="40" t="s">
        <v>11404</v>
      </c>
      <c r="H29431" s="40" t="s">
        <v>11404</v>
      </c>
    </row>
    <row r="29432">
      <c r="A29432" s="39"/>
      <c r="E29432" s="40" t="s">
        <v>11404</v>
      </c>
      <c r="F29432" s="40" t="s">
        <v>11404</v>
      </c>
      <c r="G29432" s="40" t="s">
        <v>11404</v>
      </c>
      <c r="H29432" s="40" t="s">
        <v>11404</v>
      </c>
    </row>
    <row r="29433">
      <c r="A29433" s="39"/>
      <c r="E29433" s="40" t="s">
        <v>11404</v>
      </c>
      <c r="F29433" s="40" t="s">
        <v>11404</v>
      </c>
      <c r="G29433" s="40" t="s">
        <v>11404</v>
      </c>
      <c r="H29433" s="40" t="s">
        <v>11404</v>
      </c>
    </row>
    <row r="29434">
      <c r="A29434" s="39"/>
      <c r="E29434" s="40" t="s">
        <v>11404</v>
      </c>
      <c r="F29434" s="40" t="s">
        <v>11404</v>
      </c>
      <c r="G29434" s="40" t="s">
        <v>11404</v>
      </c>
      <c r="H29434" s="40" t="s">
        <v>11404</v>
      </c>
    </row>
    <row r="29435">
      <c r="A29435" s="39"/>
      <c r="E29435" s="40" t="s">
        <v>11404</v>
      </c>
      <c r="F29435" s="40" t="s">
        <v>11404</v>
      </c>
      <c r="G29435" s="40" t="s">
        <v>11404</v>
      </c>
      <c r="H29435" s="40" t="s">
        <v>11404</v>
      </c>
    </row>
    <row r="29436">
      <c r="A29436" s="39"/>
      <c r="E29436" s="40" t="s">
        <v>11404</v>
      </c>
      <c r="F29436" s="40" t="s">
        <v>11404</v>
      </c>
      <c r="G29436" s="40" t="s">
        <v>11404</v>
      </c>
      <c r="H29436" s="40" t="s">
        <v>11404</v>
      </c>
    </row>
    <row r="29437">
      <c r="A29437" s="39"/>
      <c r="E29437" s="40" t="s">
        <v>11404</v>
      </c>
      <c r="F29437" s="40" t="s">
        <v>11404</v>
      </c>
      <c r="G29437" s="40" t="s">
        <v>11404</v>
      </c>
      <c r="H29437" s="40" t="s">
        <v>11404</v>
      </c>
    </row>
    <row r="29438">
      <c r="A29438" s="39"/>
      <c r="E29438" s="40" t="s">
        <v>11404</v>
      </c>
      <c r="F29438" s="40" t="s">
        <v>11404</v>
      </c>
      <c r="G29438" s="40" t="s">
        <v>11404</v>
      </c>
      <c r="H29438" s="40" t="s">
        <v>11404</v>
      </c>
    </row>
    <row r="29439">
      <c r="A29439" s="39"/>
      <c r="E29439" s="40" t="s">
        <v>11404</v>
      </c>
      <c r="F29439" s="40" t="s">
        <v>11404</v>
      </c>
      <c r="G29439" s="40" t="s">
        <v>11404</v>
      </c>
      <c r="H29439" s="40" t="s">
        <v>11404</v>
      </c>
    </row>
    <row r="29440">
      <c r="A29440" s="39"/>
      <c r="E29440" s="40" t="s">
        <v>11404</v>
      </c>
      <c r="F29440" s="40" t="s">
        <v>11404</v>
      </c>
      <c r="G29440" s="40" t="s">
        <v>11404</v>
      </c>
      <c r="H29440" s="40" t="s">
        <v>11404</v>
      </c>
    </row>
    <row r="29441">
      <c r="A29441" s="39"/>
      <c r="E29441" s="40" t="s">
        <v>11404</v>
      </c>
      <c r="F29441" s="40" t="s">
        <v>11404</v>
      </c>
      <c r="G29441" s="40" t="s">
        <v>11404</v>
      </c>
      <c r="H29441" s="40" t="s">
        <v>11404</v>
      </c>
    </row>
    <row r="29442">
      <c r="A29442" s="39"/>
      <c r="E29442" s="40" t="s">
        <v>11404</v>
      </c>
      <c r="F29442" s="40" t="s">
        <v>11404</v>
      </c>
      <c r="G29442" s="40" t="s">
        <v>11404</v>
      </c>
      <c r="H29442" s="40" t="s">
        <v>11404</v>
      </c>
    </row>
    <row r="29443">
      <c r="A29443" s="39"/>
      <c r="E29443" s="40" t="s">
        <v>11404</v>
      </c>
      <c r="F29443" s="40" t="s">
        <v>11404</v>
      </c>
      <c r="G29443" s="40" t="s">
        <v>11404</v>
      </c>
      <c r="H29443" s="40" t="s">
        <v>11404</v>
      </c>
    </row>
    <row r="29444">
      <c r="A29444" s="39"/>
      <c r="E29444" s="40" t="s">
        <v>11404</v>
      </c>
      <c r="F29444" s="40" t="s">
        <v>11404</v>
      </c>
      <c r="G29444" s="40" t="s">
        <v>11404</v>
      </c>
      <c r="H29444" s="40" t="s">
        <v>11404</v>
      </c>
    </row>
    <row r="29445">
      <c r="A29445" s="39"/>
      <c r="E29445" s="40" t="s">
        <v>11404</v>
      </c>
      <c r="F29445" s="40" t="s">
        <v>11404</v>
      </c>
      <c r="G29445" s="40" t="s">
        <v>11404</v>
      </c>
      <c r="H29445" s="40" t="s">
        <v>11404</v>
      </c>
    </row>
    <row r="29446">
      <c r="A29446" s="39"/>
      <c r="E29446" s="40" t="s">
        <v>11404</v>
      </c>
      <c r="F29446" s="40" t="s">
        <v>11404</v>
      </c>
      <c r="G29446" s="40" t="s">
        <v>11404</v>
      </c>
      <c r="H29446" s="40" t="s">
        <v>11404</v>
      </c>
    </row>
    <row r="29447">
      <c r="A29447" s="39"/>
      <c r="E29447" s="40" t="s">
        <v>11404</v>
      </c>
      <c r="F29447" s="40" t="s">
        <v>11404</v>
      </c>
      <c r="G29447" s="40" t="s">
        <v>11404</v>
      </c>
      <c r="H29447" s="40" t="s">
        <v>11404</v>
      </c>
    </row>
    <row r="29448">
      <c r="A29448" s="39"/>
      <c r="E29448" s="40" t="s">
        <v>11404</v>
      </c>
      <c r="F29448" s="40" t="s">
        <v>11404</v>
      </c>
      <c r="G29448" s="40" t="s">
        <v>11404</v>
      </c>
      <c r="H29448" s="40" t="s">
        <v>11404</v>
      </c>
    </row>
    <row r="29449">
      <c r="A29449" s="39"/>
      <c r="E29449" s="40" t="s">
        <v>11404</v>
      </c>
      <c r="F29449" s="40" t="s">
        <v>11404</v>
      </c>
      <c r="G29449" s="40" t="s">
        <v>11404</v>
      </c>
      <c r="H29449" s="40" t="s">
        <v>11404</v>
      </c>
    </row>
    <row r="29450">
      <c r="A29450" s="39"/>
      <c r="E29450" s="40" t="s">
        <v>11404</v>
      </c>
      <c r="F29450" s="40" t="s">
        <v>11404</v>
      </c>
      <c r="G29450" s="40" t="s">
        <v>11404</v>
      </c>
      <c r="H29450" s="40" t="s">
        <v>11404</v>
      </c>
    </row>
    <row r="29451">
      <c r="A29451" s="39"/>
      <c r="E29451" s="40" t="s">
        <v>11404</v>
      </c>
      <c r="F29451" s="40" t="s">
        <v>11404</v>
      </c>
      <c r="G29451" s="40" t="s">
        <v>11404</v>
      </c>
      <c r="H29451" s="40" t="s">
        <v>11404</v>
      </c>
    </row>
    <row r="29452">
      <c r="A29452" s="39"/>
      <c r="E29452" s="40" t="s">
        <v>11404</v>
      </c>
      <c r="F29452" s="40" t="s">
        <v>11404</v>
      </c>
      <c r="G29452" s="40" t="s">
        <v>11404</v>
      </c>
      <c r="H29452" s="40" t="s">
        <v>11404</v>
      </c>
    </row>
    <row r="29453">
      <c r="A29453" s="39"/>
      <c r="E29453" s="40" t="s">
        <v>11404</v>
      </c>
      <c r="F29453" s="40" t="s">
        <v>11404</v>
      </c>
      <c r="G29453" s="40" t="s">
        <v>11404</v>
      </c>
      <c r="H29453" s="40" t="s">
        <v>11404</v>
      </c>
    </row>
    <row r="29454">
      <c r="A29454" s="39"/>
      <c r="E29454" s="40" t="s">
        <v>11404</v>
      </c>
      <c r="F29454" s="40" t="s">
        <v>11404</v>
      </c>
      <c r="G29454" s="40" t="s">
        <v>11404</v>
      </c>
      <c r="H29454" s="40" t="s">
        <v>11404</v>
      </c>
    </row>
    <row r="29455">
      <c r="A29455" s="39"/>
      <c r="E29455" s="40" t="s">
        <v>11404</v>
      </c>
      <c r="F29455" s="40" t="s">
        <v>11404</v>
      </c>
      <c r="G29455" s="40" t="s">
        <v>11404</v>
      </c>
      <c r="H29455" s="40" t="s">
        <v>11404</v>
      </c>
    </row>
    <row r="29456">
      <c r="A29456" s="39"/>
      <c r="E29456" s="40" t="s">
        <v>11404</v>
      </c>
      <c r="F29456" s="40" t="s">
        <v>11404</v>
      </c>
      <c r="G29456" s="40" t="s">
        <v>11404</v>
      </c>
      <c r="H29456" s="40" t="s">
        <v>11404</v>
      </c>
    </row>
    <row r="29457">
      <c r="A29457" s="39"/>
      <c r="E29457" s="40" t="s">
        <v>11404</v>
      </c>
      <c r="F29457" s="40" t="s">
        <v>11404</v>
      </c>
      <c r="G29457" s="40" t="s">
        <v>11404</v>
      </c>
      <c r="H29457" s="40" t="s">
        <v>11404</v>
      </c>
    </row>
    <row r="29458">
      <c r="A29458" s="39"/>
      <c r="E29458" s="40" t="s">
        <v>11404</v>
      </c>
      <c r="F29458" s="40" t="s">
        <v>11404</v>
      </c>
      <c r="G29458" s="40" t="s">
        <v>11404</v>
      </c>
      <c r="H29458" s="40" t="s">
        <v>11404</v>
      </c>
    </row>
    <row r="29459">
      <c r="A29459" s="39"/>
      <c r="E29459" s="40" t="s">
        <v>11404</v>
      </c>
      <c r="F29459" s="40" t="s">
        <v>11404</v>
      </c>
      <c r="G29459" s="40" t="s">
        <v>11404</v>
      </c>
      <c r="H29459" s="40" t="s">
        <v>11404</v>
      </c>
    </row>
    <row r="29460">
      <c r="A29460" s="39"/>
      <c r="E29460" s="40" t="s">
        <v>11404</v>
      </c>
      <c r="F29460" s="40" t="s">
        <v>11404</v>
      </c>
      <c r="G29460" s="40" t="s">
        <v>11404</v>
      </c>
      <c r="H29460" s="40" t="s">
        <v>11404</v>
      </c>
    </row>
    <row r="29461">
      <c r="A29461" s="39"/>
      <c r="E29461" s="40" t="s">
        <v>11404</v>
      </c>
      <c r="F29461" s="40" t="s">
        <v>11404</v>
      </c>
      <c r="G29461" s="40" t="s">
        <v>11404</v>
      </c>
      <c r="H29461" s="40" t="s">
        <v>11404</v>
      </c>
    </row>
    <row r="29462">
      <c r="A29462" s="39"/>
      <c r="E29462" s="40" t="s">
        <v>11404</v>
      </c>
      <c r="F29462" s="40" t="s">
        <v>11404</v>
      </c>
      <c r="G29462" s="40" t="s">
        <v>11404</v>
      </c>
      <c r="H29462" s="40" t="s">
        <v>11404</v>
      </c>
    </row>
    <row r="29463">
      <c r="A29463" s="39"/>
      <c r="E29463" s="40" t="s">
        <v>11404</v>
      </c>
      <c r="F29463" s="40" t="s">
        <v>11404</v>
      </c>
      <c r="G29463" s="40" t="s">
        <v>11404</v>
      </c>
      <c r="H29463" s="40" t="s">
        <v>11404</v>
      </c>
    </row>
    <row r="29464">
      <c r="A29464" s="39"/>
      <c r="E29464" s="40" t="s">
        <v>11404</v>
      </c>
      <c r="F29464" s="40" t="s">
        <v>11404</v>
      </c>
      <c r="G29464" s="40" t="s">
        <v>11404</v>
      </c>
      <c r="H29464" s="40" t="s">
        <v>11404</v>
      </c>
    </row>
    <row r="29465">
      <c r="A29465" s="39"/>
      <c r="E29465" s="40" t="s">
        <v>11404</v>
      </c>
      <c r="F29465" s="40" t="s">
        <v>11404</v>
      </c>
      <c r="G29465" s="40" t="s">
        <v>11404</v>
      </c>
      <c r="H29465" s="40" t="s">
        <v>11404</v>
      </c>
    </row>
    <row r="29466">
      <c r="A29466" s="39"/>
      <c r="E29466" s="40" t="s">
        <v>11404</v>
      </c>
      <c r="F29466" s="40" t="s">
        <v>11404</v>
      </c>
      <c r="G29466" s="40" t="s">
        <v>11404</v>
      </c>
      <c r="H29466" s="40" t="s">
        <v>11404</v>
      </c>
    </row>
    <row r="29467">
      <c r="A29467" s="39"/>
      <c r="E29467" s="40" t="s">
        <v>11404</v>
      </c>
      <c r="F29467" s="40" t="s">
        <v>11404</v>
      </c>
      <c r="G29467" s="40" t="s">
        <v>11404</v>
      </c>
      <c r="H29467" s="40" t="s">
        <v>11404</v>
      </c>
    </row>
    <row r="29468">
      <c r="A29468" s="39"/>
      <c r="E29468" s="40" t="s">
        <v>11404</v>
      </c>
      <c r="F29468" s="40" t="s">
        <v>11404</v>
      </c>
      <c r="G29468" s="40" t="s">
        <v>11404</v>
      </c>
      <c r="H29468" s="40" t="s">
        <v>11404</v>
      </c>
    </row>
    <row r="29469">
      <c r="A29469" s="39"/>
      <c r="E29469" s="40" t="s">
        <v>11404</v>
      </c>
      <c r="F29469" s="40" t="s">
        <v>11404</v>
      </c>
      <c r="G29469" s="40" t="s">
        <v>11404</v>
      </c>
      <c r="H29469" s="40" t="s">
        <v>11404</v>
      </c>
    </row>
    <row r="29470">
      <c r="A29470" s="39"/>
      <c r="E29470" s="40" t="s">
        <v>11404</v>
      </c>
      <c r="F29470" s="40" t="s">
        <v>11404</v>
      </c>
      <c r="G29470" s="40" t="s">
        <v>11404</v>
      </c>
      <c r="H29470" s="40" t="s">
        <v>11404</v>
      </c>
    </row>
    <row r="29471">
      <c r="A29471" s="39"/>
      <c r="E29471" s="40" t="s">
        <v>11404</v>
      </c>
      <c r="F29471" s="40" t="s">
        <v>11404</v>
      </c>
      <c r="G29471" s="40" t="s">
        <v>11404</v>
      </c>
      <c r="H29471" s="40" t="s">
        <v>11404</v>
      </c>
    </row>
    <row r="29472">
      <c r="A29472" s="39"/>
      <c r="E29472" s="40" t="s">
        <v>11404</v>
      </c>
      <c r="F29472" s="40" t="s">
        <v>11404</v>
      </c>
      <c r="G29472" s="40" t="s">
        <v>11404</v>
      </c>
      <c r="H29472" s="40" t="s">
        <v>11404</v>
      </c>
    </row>
    <row r="29473">
      <c r="A29473" s="39"/>
      <c r="E29473" s="40" t="s">
        <v>11404</v>
      </c>
      <c r="F29473" s="40" t="s">
        <v>11404</v>
      </c>
      <c r="G29473" s="40" t="s">
        <v>11404</v>
      </c>
      <c r="H29473" s="40" t="s">
        <v>11404</v>
      </c>
    </row>
    <row r="29474">
      <c r="A29474" s="39"/>
      <c r="E29474" s="40" t="s">
        <v>11404</v>
      </c>
      <c r="F29474" s="40" t="s">
        <v>11404</v>
      </c>
      <c r="G29474" s="40" t="s">
        <v>11404</v>
      </c>
      <c r="H29474" s="40" t="s">
        <v>11404</v>
      </c>
    </row>
    <row r="29475">
      <c r="A29475" s="39"/>
      <c r="E29475" s="40" t="s">
        <v>11404</v>
      </c>
      <c r="F29475" s="40" t="s">
        <v>11404</v>
      </c>
      <c r="G29475" s="40" t="s">
        <v>11404</v>
      </c>
      <c r="H29475" s="40" t="s">
        <v>11404</v>
      </c>
    </row>
    <row r="29476">
      <c r="A29476" s="39"/>
      <c r="E29476" s="40" t="s">
        <v>11404</v>
      </c>
      <c r="F29476" s="40" t="s">
        <v>11404</v>
      </c>
      <c r="G29476" s="40" t="s">
        <v>11404</v>
      </c>
      <c r="H29476" s="40" t="s">
        <v>11404</v>
      </c>
    </row>
    <row r="29477">
      <c r="A29477" s="39"/>
      <c r="E29477" s="40" t="s">
        <v>11404</v>
      </c>
      <c r="F29477" s="40" t="s">
        <v>11404</v>
      </c>
      <c r="G29477" s="40" t="s">
        <v>11404</v>
      </c>
      <c r="H29477" s="40" t="s">
        <v>11404</v>
      </c>
    </row>
    <row r="29478">
      <c r="A29478" s="39"/>
      <c r="E29478" s="40" t="s">
        <v>11404</v>
      </c>
      <c r="F29478" s="40" t="s">
        <v>11404</v>
      </c>
      <c r="G29478" s="40" t="s">
        <v>11404</v>
      </c>
      <c r="H29478" s="40" t="s">
        <v>11404</v>
      </c>
    </row>
    <row r="29479">
      <c r="A29479" s="39"/>
      <c r="E29479" s="40" t="s">
        <v>11404</v>
      </c>
      <c r="F29479" s="40" t="s">
        <v>11404</v>
      </c>
      <c r="G29479" s="40" t="s">
        <v>11404</v>
      </c>
      <c r="H29479" s="40" t="s">
        <v>11404</v>
      </c>
    </row>
    <row r="29480">
      <c r="A29480" s="39"/>
      <c r="E29480" s="40" t="s">
        <v>11404</v>
      </c>
      <c r="F29480" s="40" t="s">
        <v>11404</v>
      </c>
      <c r="G29480" s="40" t="s">
        <v>11404</v>
      </c>
      <c r="H29480" s="40" t="s">
        <v>11404</v>
      </c>
    </row>
    <row r="29481">
      <c r="A29481" s="39"/>
      <c r="E29481" s="40" t="s">
        <v>11404</v>
      </c>
      <c r="F29481" s="40" t="s">
        <v>11404</v>
      </c>
      <c r="G29481" s="40" t="s">
        <v>11404</v>
      </c>
      <c r="H29481" s="40" t="s">
        <v>11404</v>
      </c>
    </row>
    <row r="29482">
      <c r="A29482" s="39"/>
      <c r="E29482" s="40" t="s">
        <v>11404</v>
      </c>
      <c r="F29482" s="40" t="s">
        <v>11404</v>
      </c>
      <c r="G29482" s="40" t="s">
        <v>11404</v>
      </c>
      <c r="H29482" s="40" t="s">
        <v>11404</v>
      </c>
    </row>
    <row r="29483">
      <c r="A29483" s="39"/>
      <c r="E29483" s="40" t="s">
        <v>11404</v>
      </c>
      <c r="F29483" s="40" t="s">
        <v>11404</v>
      </c>
      <c r="G29483" s="40" t="s">
        <v>11404</v>
      </c>
      <c r="H29483" s="40" t="s">
        <v>11404</v>
      </c>
    </row>
    <row r="29484">
      <c r="A29484" s="39"/>
      <c r="E29484" s="40" t="s">
        <v>11404</v>
      </c>
      <c r="F29484" s="40" t="s">
        <v>11404</v>
      </c>
      <c r="G29484" s="40" t="s">
        <v>11404</v>
      </c>
      <c r="H29484" s="40" t="s">
        <v>11404</v>
      </c>
    </row>
    <row r="29485">
      <c r="A29485" s="39"/>
      <c r="E29485" s="40" t="s">
        <v>11404</v>
      </c>
      <c r="F29485" s="40" t="s">
        <v>11404</v>
      </c>
      <c r="G29485" s="40" t="s">
        <v>11404</v>
      </c>
      <c r="H29485" s="40" t="s">
        <v>11404</v>
      </c>
    </row>
    <row r="29486">
      <c r="A29486" s="39"/>
      <c r="E29486" s="40" t="s">
        <v>11404</v>
      </c>
      <c r="F29486" s="40" t="s">
        <v>11404</v>
      </c>
      <c r="G29486" s="40" t="s">
        <v>11404</v>
      </c>
      <c r="H29486" s="40" t="s">
        <v>11404</v>
      </c>
    </row>
    <row r="29487">
      <c r="A29487" s="39"/>
      <c r="E29487" s="40" t="s">
        <v>11404</v>
      </c>
      <c r="F29487" s="40" t="s">
        <v>11404</v>
      </c>
      <c r="G29487" s="40" t="s">
        <v>11404</v>
      </c>
      <c r="H29487" s="40" t="s">
        <v>11404</v>
      </c>
    </row>
    <row r="29488">
      <c r="A29488" s="39"/>
      <c r="E29488" s="40" t="s">
        <v>11404</v>
      </c>
      <c r="F29488" s="40" t="s">
        <v>11404</v>
      </c>
      <c r="G29488" s="40" t="s">
        <v>11404</v>
      </c>
      <c r="H29488" s="40" t="s">
        <v>11404</v>
      </c>
    </row>
    <row r="29489">
      <c r="A29489" s="39"/>
      <c r="E29489" s="40" t="s">
        <v>11404</v>
      </c>
      <c r="F29489" s="40" t="s">
        <v>11404</v>
      </c>
      <c r="G29489" s="40" t="s">
        <v>11404</v>
      </c>
      <c r="H29489" s="40" t="s">
        <v>11404</v>
      </c>
    </row>
    <row r="29490">
      <c r="A29490" s="39"/>
      <c r="E29490" s="40" t="s">
        <v>11404</v>
      </c>
      <c r="F29490" s="40" t="s">
        <v>11404</v>
      </c>
      <c r="G29490" s="40" t="s">
        <v>11404</v>
      </c>
      <c r="H29490" s="40" t="s">
        <v>11404</v>
      </c>
    </row>
    <row r="29491">
      <c r="A29491" s="39"/>
      <c r="E29491" s="40" t="s">
        <v>11404</v>
      </c>
      <c r="F29491" s="40" t="s">
        <v>11404</v>
      </c>
      <c r="G29491" s="40" t="s">
        <v>11404</v>
      </c>
      <c r="H29491" s="40" t="s">
        <v>11404</v>
      </c>
    </row>
    <row r="29492">
      <c r="A29492" s="39"/>
      <c r="E29492" s="40" t="s">
        <v>11404</v>
      </c>
      <c r="F29492" s="40" t="s">
        <v>11404</v>
      </c>
      <c r="G29492" s="40" t="s">
        <v>11404</v>
      </c>
      <c r="H29492" s="40" t="s">
        <v>11404</v>
      </c>
    </row>
    <row r="29493">
      <c r="A29493" s="39"/>
      <c r="E29493" s="40" t="s">
        <v>11404</v>
      </c>
      <c r="F29493" s="40" t="s">
        <v>11404</v>
      </c>
      <c r="G29493" s="40" t="s">
        <v>11404</v>
      </c>
      <c r="H29493" s="40" t="s">
        <v>11404</v>
      </c>
    </row>
    <row r="29494">
      <c r="A29494" s="39"/>
      <c r="E29494" s="40" t="s">
        <v>11404</v>
      </c>
      <c r="F29494" s="40" t="s">
        <v>11404</v>
      </c>
      <c r="G29494" s="40" t="s">
        <v>11404</v>
      </c>
      <c r="H29494" s="40" t="s">
        <v>11404</v>
      </c>
    </row>
    <row r="29495">
      <c r="A29495" s="39"/>
      <c r="E29495" s="40" t="s">
        <v>11404</v>
      </c>
      <c r="F29495" s="40" t="s">
        <v>11404</v>
      </c>
      <c r="G29495" s="40" t="s">
        <v>11404</v>
      </c>
      <c r="H29495" s="40" t="s">
        <v>11404</v>
      </c>
    </row>
    <row r="29496">
      <c r="A29496" s="39"/>
      <c r="E29496" s="40" t="s">
        <v>11404</v>
      </c>
      <c r="F29496" s="40" t="s">
        <v>11404</v>
      </c>
      <c r="G29496" s="40" t="s">
        <v>11404</v>
      </c>
      <c r="H29496" s="40" t="s">
        <v>11404</v>
      </c>
    </row>
    <row r="29497">
      <c r="A29497" s="39"/>
      <c r="E29497" s="40" t="s">
        <v>11404</v>
      </c>
      <c r="F29497" s="40" t="s">
        <v>11404</v>
      </c>
      <c r="G29497" s="40" t="s">
        <v>11404</v>
      </c>
      <c r="H29497" s="40" t="s">
        <v>11404</v>
      </c>
    </row>
    <row r="29498">
      <c r="A29498" s="39"/>
      <c r="E29498" s="40" t="s">
        <v>11404</v>
      </c>
      <c r="F29498" s="40" t="s">
        <v>11404</v>
      </c>
      <c r="G29498" s="40" t="s">
        <v>11404</v>
      </c>
      <c r="H29498" s="40" t="s">
        <v>11404</v>
      </c>
    </row>
    <row r="29499">
      <c r="A29499" s="39"/>
      <c r="E29499" s="40" t="s">
        <v>11404</v>
      </c>
      <c r="F29499" s="40" t="s">
        <v>11404</v>
      </c>
      <c r="G29499" s="40" t="s">
        <v>11404</v>
      </c>
      <c r="H29499" s="40" t="s">
        <v>11404</v>
      </c>
    </row>
    <row r="29500">
      <c r="A29500" s="39"/>
      <c r="E29500" s="40" t="s">
        <v>11404</v>
      </c>
      <c r="F29500" s="40" t="s">
        <v>11404</v>
      </c>
      <c r="G29500" s="40" t="s">
        <v>11404</v>
      </c>
      <c r="H29500" s="40" t="s">
        <v>11404</v>
      </c>
    </row>
    <row r="29501">
      <c r="A29501" s="39"/>
      <c r="E29501" s="40" t="s">
        <v>11404</v>
      </c>
      <c r="F29501" s="40" t="s">
        <v>11404</v>
      </c>
      <c r="G29501" s="40" t="s">
        <v>11404</v>
      </c>
      <c r="H29501" s="40" t="s">
        <v>11404</v>
      </c>
    </row>
    <row r="29502">
      <c r="A29502" s="39"/>
      <c r="E29502" s="40" t="s">
        <v>11404</v>
      </c>
      <c r="F29502" s="40" t="s">
        <v>11404</v>
      </c>
      <c r="G29502" s="40" t="s">
        <v>11404</v>
      </c>
      <c r="H29502" s="40" t="s">
        <v>11404</v>
      </c>
    </row>
    <row r="29503">
      <c r="A29503" s="39"/>
      <c r="E29503" s="40" t="s">
        <v>11404</v>
      </c>
      <c r="F29503" s="40" t="s">
        <v>11404</v>
      </c>
      <c r="G29503" s="40" t="s">
        <v>11404</v>
      </c>
      <c r="H29503" s="40" t="s">
        <v>11404</v>
      </c>
    </row>
    <row r="29504">
      <c r="A29504" s="39"/>
      <c r="E29504" s="40" t="s">
        <v>11404</v>
      </c>
      <c r="F29504" s="40" t="s">
        <v>11404</v>
      </c>
      <c r="G29504" s="40" t="s">
        <v>11404</v>
      </c>
      <c r="H29504" s="40" t="s">
        <v>11404</v>
      </c>
    </row>
    <row r="29505">
      <c r="A29505" s="39"/>
      <c r="E29505" s="40" t="s">
        <v>11404</v>
      </c>
      <c r="F29505" s="40" t="s">
        <v>11404</v>
      </c>
      <c r="G29505" s="40" t="s">
        <v>11404</v>
      </c>
      <c r="H29505" s="40" t="s">
        <v>11404</v>
      </c>
    </row>
    <row r="29506">
      <c r="A29506" s="39"/>
      <c r="E29506" s="40" t="s">
        <v>11404</v>
      </c>
      <c r="F29506" s="40" t="s">
        <v>11404</v>
      </c>
      <c r="G29506" s="40" t="s">
        <v>11404</v>
      </c>
      <c r="H29506" s="40" t="s">
        <v>11404</v>
      </c>
    </row>
    <row r="29507">
      <c r="A29507" s="39"/>
      <c r="E29507" s="40" t="s">
        <v>11404</v>
      </c>
      <c r="F29507" s="40" t="s">
        <v>11404</v>
      </c>
      <c r="G29507" s="40" t="s">
        <v>11404</v>
      </c>
      <c r="H29507" s="40" t="s">
        <v>11404</v>
      </c>
    </row>
    <row r="29508">
      <c r="A29508" s="39"/>
      <c r="E29508" s="40" t="s">
        <v>11404</v>
      </c>
      <c r="F29508" s="40" t="s">
        <v>11404</v>
      </c>
      <c r="G29508" s="40" t="s">
        <v>11404</v>
      </c>
      <c r="H29508" s="40" t="s">
        <v>11404</v>
      </c>
    </row>
    <row r="29509">
      <c r="A29509" s="39"/>
      <c r="E29509" s="40" t="s">
        <v>11404</v>
      </c>
      <c r="F29509" s="40" t="s">
        <v>11404</v>
      </c>
      <c r="G29509" s="40" t="s">
        <v>11404</v>
      </c>
      <c r="H29509" s="40" t="s">
        <v>11404</v>
      </c>
    </row>
    <row r="29510">
      <c r="A29510" s="39"/>
      <c r="E29510" s="40" t="s">
        <v>11404</v>
      </c>
      <c r="F29510" s="40" t="s">
        <v>11404</v>
      </c>
      <c r="G29510" s="40" t="s">
        <v>11404</v>
      </c>
      <c r="H29510" s="40" t="s">
        <v>11404</v>
      </c>
    </row>
    <row r="29511">
      <c r="A29511" s="39"/>
      <c r="E29511" s="40" t="s">
        <v>11404</v>
      </c>
      <c r="F29511" s="40" t="s">
        <v>11404</v>
      </c>
      <c r="G29511" s="40" t="s">
        <v>11404</v>
      </c>
      <c r="H29511" s="40" t="s">
        <v>11404</v>
      </c>
    </row>
    <row r="29512">
      <c r="A29512" s="39"/>
      <c r="E29512" s="40" t="s">
        <v>11404</v>
      </c>
      <c r="F29512" s="40" t="s">
        <v>11404</v>
      </c>
      <c r="G29512" s="40" t="s">
        <v>11404</v>
      </c>
      <c r="H29512" s="40" t="s">
        <v>11404</v>
      </c>
    </row>
    <row r="29513">
      <c r="A29513" s="39"/>
      <c r="E29513" s="40" t="s">
        <v>11404</v>
      </c>
      <c r="F29513" s="40" t="s">
        <v>11404</v>
      </c>
      <c r="G29513" s="40" t="s">
        <v>11404</v>
      </c>
      <c r="H29513" s="40" t="s">
        <v>11404</v>
      </c>
    </row>
    <row r="29514">
      <c r="A29514" s="39"/>
      <c r="E29514" s="40" t="s">
        <v>11404</v>
      </c>
      <c r="F29514" s="40" t="s">
        <v>11404</v>
      </c>
      <c r="G29514" s="40" t="s">
        <v>11404</v>
      </c>
      <c r="H29514" s="40" t="s">
        <v>11404</v>
      </c>
    </row>
    <row r="29515">
      <c r="A29515" s="39"/>
      <c r="E29515" s="40" t="s">
        <v>11404</v>
      </c>
      <c r="F29515" s="40" t="s">
        <v>11404</v>
      </c>
      <c r="G29515" s="40" t="s">
        <v>11404</v>
      </c>
      <c r="H29515" s="40" t="s">
        <v>11404</v>
      </c>
    </row>
    <row r="29516">
      <c r="A29516" s="39"/>
      <c r="E29516" s="40" t="s">
        <v>11404</v>
      </c>
      <c r="F29516" s="40" t="s">
        <v>11404</v>
      </c>
      <c r="G29516" s="40" t="s">
        <v>11404</v>
      </c>
      <c r="H29516" s="40" t="s">
        <v>11404</v>
      </c>
    </row>
    <row r="29517">
      <c r="A29517" s="39"/>
      <c r="E29517" s="40" t="s">
        <v>11404</v>
      </c>
      <c r="F29517" s="40" t="s">
        <v>11404</v>
      </c>
      <c r="G29517" s="40" t="s">
        <v>11404</v>
      </c>
      <c r="H29517" s="40" t="s">
        <v>11404</v>
      </c>
    </row>
    <row r="29518">
      <c r="A29518" s="39"/>
      <c r="E29518" s="40" t="s">
        <v>11404</v>
      </c>
      <c r="F29518" s="40" t="s">
        <v>11404</v>
      </c>
      <c r="G29518" s="40" t="s">
        <v>11404</v>
      </c>
      <c r="H29518" s="40" t="s">
        <v>11404</v>
      </c>
    </row>
    <row r="29519">
      <c r="A29519" s="39"/>
      <c r="E29519" s="40" t="s">
        <v>11404</v>
      </c>
      <c r="F29519" s="40" t="s">
        <v>11404</v>
      </c>
      <c r="G29519" s="40" t="s">
        <v>11404</v>
      </c>
      <c r="H29519" s="40" t="s">
        <v>11404</v>
      </c>
    </row>
    <row r="29520">
      <c r="A29520" s="39"/>
      <c r="E29520" s="40" t="s">
        <v>11404</v>
      </c>
      <c r="F29520" s="40" t="s">
        <v>11404</v>
      </c>
      <c r="G29520" s="40" t="s">
        <v>11404</v>
      </c>
      <c r="H29520" s="40" t="s">
        <v>11404</v>
      </c>
    </row>
    <row r="29521">
      <c r="A29521" s="39"/>
      <c r="E29521" s="40" t="s">
        <v>11404</v>
      </c>
      <c r="F29521" s="40" t="s">
        <v>11404</v>
      </c>
      <c r="G29521" s="40" t="s">
        <v>11404</v>
      </c>
      <c r="H29521" s="40" t="s">
        <v>11404</v>
      </c>
    </row>
    <row r="29522">
      <c r="A29522" s="39"/>
      <c r="E29522" s="40" t="s">
        <v>11404</v>
      </c>
      <c r="F29522" s="40" t="s">
        <v>11404</v>
      </c>
      <c r="G29522" s="40" t="s">
        <v>11404</v>
      </c>
      <c r="H29522" s="40" t="s">
        <v>11404</v>
      </c>
    </row>
    <row r="29523">
      <c r="A29523" s="39"/>
      <c r="E29523" s="40" t="s">
        <v>11404</v>
      </c>
      <c r="F29523" s="40" t="s">
        <v>11404</v>
      </c>
      <c r="G29523" s="40" t="s">
        <v>11404</v>
      </c>
      <c r="H29523" s="40" t="s">
        <v>11404</v>
      </c>
    </row>
    <row r="29524">
      <c r="A29524" s="39"/>
      <c r="E29524" s="40" t="s">
        <v>11404</v>
      </c>
      <c r="F29524" s="40" t="s">
        <v>11404</v>
      </c>
      <c r="G29524" s="40" t="s">
        <v>11404</v>
      </c>
      <c r="H29524" s="40" t="s">
        <v>11404</v>
      </c>
    </row>
    <row r="29525">
      <c r="A29525" s="39"/>
      <c r="E29525" s="40" t="s">
        <v>11404</v>
      </c>
      <c r="F29525" s="40" t="s">
        <v>11404</v>
      </c>
      <c r="G29525" s="40" t="s">
        <v>11404</v>
      </c>
      <c r="H29525" s="40" t="s">
        <v>11404</v>
      </c>
    </row>
    <row r="29526">
      <c r="A29526" s="39"/>
      <c r="E29526" s="40" t="s">
        <v>11404</v>
      </c>
      <c r="F29526" s="40" t="s">
        <v>11404</v>
      </c>
      <c r="G29526" s="40" t="s">
        <v>11404</v>
      </c>
      <c r="H29526" s="40" t="s">
        <v>11404</v>
      </c>
    </row>
    <row r="29527">
      <c r="A29527" s="39"/>
      <c r="E29527" s="40" t="s">
        <v>11404</v>
      </c>
      <c r="F29527" s="40" t="s">
        <v>11404</v>
      </c>
      <c r="G29527" s="40" t="s">
        <v>11404</v>
      </c>
      <c r="H29527" s="40" t="s">
        <v>11404</v>
      </c>
    </row>
    <row r="29528">
      <c r="A29528" s="39"/>
      <c r="E29528" s="40" t="s">
        <v>11404</v>
      </c>
      <c r="F29528" s="40" t="s">
        <v>11404</v>
      </c>
      <c r="G29528" s="40" t="s">
        <v>11404</v>
      </c>
      <c r="H29528" s="40" t="s">
        <v>11404</v>
      </c>
    </row>
    <row r="29529">
      <c r="A29529" s="39"/>
      <c r="E29529" s="40" t="s">
        <v>11404</v>
      </c>
      <c r="F29529" s="40" t="s">
        <v>11404</v>
      </c>
      <c r="G29529" s="40" t="s">
        <v>11404</v>
      </c>
      <c r="H29529" s="40" t="s">
        <v>11404</v>
      </c>
    </row>
    <row r="29530">
      <c r="A29530" s="39"/>
      <c r="E29530" s="40" t="s">
        <v>11404</v>
      </c>
      <c r="F29530" s="40" t="s">
        <v>11404</v>
      </c>
      <c r="G29530" s="40" t="s">
        <v>11404</v>
      </c>
      <c r="H29530" s="40" t="s">
        <v>11404</v>
      </c>
    </row>
    <row r="29531">
      <c r="A29531" s="39"/>
      <c r="E29531" s="40" t="s">
        <v>11404</v>
      </c>
      <c r="F29531" s="40" t="s">
        <v>11404</v>
      </c>
      <c r="G29531" s="40" t="s">
        <v>11404</v>
      </c>
      <c r="H29531" s="40" t="s">
        <v>11404</v>
      </c>
    </row>
    <row r="29532">
      <c r="A29532" s="39"/>
      <c r="E29532" s="40" t="s">
        <v>11404</v>
      </c>
      <c r="F29532" s="40" t="s">
        <v>11404</v>
      </c>
      <c r="G29532" s="40" t="s">
        <v>11404</v>
      </c>
      <c r="H29532" s="40" t="s">
        <v>11404</v>
      </c>
    </row>
    <row r="29533">
      <c r="A29533" s="39"/>
      <c r="E29533" s="40" t="s">
        <v>11404</v>
      </c>
      <c r="F29533" s="40" t="s">
        <v>11404</v>
      </c>
      <c r="G29533" s="40" t="s">
        <v>11404</v>
      </c>
      <c r="H29533" s="40" t="s">
        <v>11404</v>
      </c>
    </row>
    <row r="29534">
      <c r="A29534" s="39"/>
      <c r="E29534" s="40" t="s">
        <v>11404</v>
      </c>
      <c r="F29534" s="40" t="s">
        <v>11404</v>
      </c>
      <c r="G29534" s="40" t="s">
        <v>11404</v>
      </c>
      <c r="H29534" s="40" t="s">
        <v>11404</v>
      </c>
    </row>
    <row r="29535">
      <c r="A29535" s="39"/>
      <c r="E29535" s="40" t="s">
        <v>11404</v>
      </c>
      <c r="F29535" s="40" t="s">
        <v>11404</v>
      </c>
      <c r="G29535" s="40" t="s">
        <v>11404</v>
      </c>
      <c r="H29535" s="40" t="s">
        <v>11404</v>
      </c>
    </row>
    <row r="29536">
      <c r="A29536" s="39"/>
      <c r="E29536" s="40" t="s">
        <v>11404</v>
      </c>
      <c r="F29536" s="40" t="s">
        <v>11404</v>
      </c>
      <c r="G29536" s="40" t="s">
        <v>11404</v>
      </c>
      <c r="H29536" s="40" t="s">
        <v>11404</v>
      </c>
    </row>
    <row r="29537">
      <c r="A29537" s="39"/>
      <c r="E29537" s="40" t="s">
        <v>11404</v>
      </c>
      <c r="F29537" s="40" t="s">
        <v>11404</v>
      </c>
      <c r="G29537" s="40" t="s">
        <v>11404</v>
      </c>
      <c r="H29537" s="40" t="s">
        <v>11404</v>
      </c>
    </row>
    <row r="29538">
      <c r="A29538" s="39"/>
      <c r="E29538" s="40" t="s">
        <v>11404</v>
      </c>
      <c r="F29538" s="40" t="s">
        <v>11404</v>
      </c>
      <c r="G29538" s="40" t="s">
        <v>11404</v>
      </c>
      <c r="H29538" s="40" t="s">
        <v>11404</v>
      </c>
    </row>
    <row r="29539">
      <c r="A29539" s="39"/>
      <c r="E29539" s="40" t="s">
        <v>11404</v>
      </c>
      <c r="F29539" s="40" t="s">
        <v>11404</v>
      </c>
      <c r="G29539" s="40" t="s">
        <v>11404</v>
      </c>
      <c r="H29539" s="40" t="s">
        <v>11404</v>
      </c>
    </row>
    <row r="29540">
      <c r="A29540" s="39"/>
      <c r="E29540" s="40" t="s">
        <v>11404</v>
      </c>
      <c r="F29540" s="40" t="s">
        <v>11404</v>
      </c>
      <c r="G29540" s="40" t="s">
        <v>11404</v>
      </c>
      <c r="H29540" s="40" t="s">
        <v>11404</v>
      </c>
    </row>
    <row r="29541">
      <c r="A29541" s="39"/>
      <c r="E29541" s="40" t="s">
        <v>11404</v>
      </c>
      <c r="F29541" s="40" t="s">
        <v>11404</v>
      </c>
      <c r="G29541" s="40" t="s">
        <v>11404</v>
      </c>
      <c r="H29541" s="40" t="s">
        <v>11404</v>
      </c>
    </row>
    <row r="29542">
      <c r="A29542" s="39"/>
      <c r="E29542" s="40" t="s">
        <v>11404</v>
      </c>
      <c r="F29542" s="40" t="s">
        <v>11404</v>
      </c>
      <c r="G29542" s="40" t="s">
        <v>11404</v>
      </c>
      <c r="H29542" s="40" t="s">
        <v>11404</v>
      </c>
    </row>
    <row r="29543">
      <c r="A29543" s="39"/>
      <c r="E29543" s="40" t="s">
        <v>11404</v>
      </c>
      <c r="F29543" s="40" t="s">
        <v>11404</v>
      </c>
      <c r="G29543" s="40" t="s">
        <v>11404</v>
      </c>
      <c r="H29543" s="40" t="s">
        <v>11404</v>
      </c>
    </row>
    <row r="29544">
      <c r="A29544" s="39"/>
      <c r="E29544" s="40" t="s">
        <v>11404</v>
      </c>
      <c r="F29544" s="40" t="s">
        <v>11404</v>
      </c>
      <c r="G29544" s="40" t="s">
        <v>11404</v>
      </c>
      <c r="H29544" s="40" t="s">
        <v>11404</v>
      </c>
    </row>
    <row r="29545">
      <c r="A29545" s="39"/>
      <c r="E29545" s="40" t="s">
        <v>11404</v>
      </c>
      <c r="F29545" s="40" t="s">
        <v>11404</v>
      </c>
      <c r="G29545" s="40" t="s">
        <v>11404</v>
      </c>
      <c r="H29545" s="40" t="s">
        <v>11404</v>
      </c>
    </row>
    <row r="29546">
      <c r="A29546" s="39"/>
      <c r="E29546" s="40" t="s">
        <v>11404</v>
      </c>
      <c r="F29546" s="40" t="s">
        <v>11404</v>
      </c>
      <c r="G29546" s="40" t="s">
        <v>11404</v>
      </c>
      <c r="H29546" s="40" t="s">
        <v>11404</v>
      </c>
    </row>
    <row r="29547">
      <c r="A29547" s="39"/>
      <c r="E29547" s="40" t="s">
        <v>11404</v>
      </c>
      <c r="F29547" s="40" t="s">
        <v>11404</v>
      </c>
      <c r="G29547" s="40" t="s">
        <v>11404</v>
      </c>
      <c r="H29547" s="40" t="s">
        <v>11404</v>
      </c>
    </row>
    <row r="29548">
      <c r="A29548" s="39"/>
      <c r="E29548" s="40" t="s">
        <v>11404</v>
      </c>
      <c r="F29548" s="40" t="s">
        <v>11404</v>
      </c>
      <c r="G29548" s="40" t="s">
        <v>11404</v>
      </c>
      <c r="H29548" s="40" t="s">
        <v>11404</v>
      </c>
    </row>
    <row r="29549">
      <c r="A29549" s="39"/>
      <c r="E29549" s="40" t="s">
        <v>11404</v>
      </c>
      <c r="F29549" s="40" t="s">
        <v>11404</v>
      </c>
      <c r="G29549" s="40" t="s">
        <v>11404</v>
      </c>
      <c r="H29549" s="40" t="s">
        <v>11404</v>
      </c>
    </row>
    <row r="29550">
      <c r="A29550" s="39"/>
      <c r="E29550" s="40" t="s">
        <v>11404</v>
      </c>
      <c r="F29550" s="40" t="s">
        <v>11404</v>
      </c>
      <c r="G29550" s="40" t="s">
        <v>11404</v>
      </c>
      <c r="H29550" s="40" t="s">
        <v>11404</v>
      </c>
    </row>
    <row r="29551">
      <c r="A29551" s="39"/>
      <c r="E29551" s="40" t="s">
        <v>11404</v>
      </c>
      <c r="F29551" s="40" t="s">
        <v>11404</v>
      </c>
      <c r="G29551" s="40" t="s">
        <v>11404</v>
      </c>
      <c r="H29551" s="40" t="s">
        <v>11404</v>
      </c>
    </row>
    <row r="29552">
      <c r="A29552" s="39"/>
      <c r="E29552" s="40" t="s">
        <v>11404</v>
      </c>
      <c r="F29552" s="40" t="s">
        <v>11404</v>
      </c>
      <c r="G29552" s="40" t="s">
        <v>11404</v>
      </c>
      <c r="H29552" s="40" t="s">
        <v>11404</v>
      </c>
    </row>
    <row r="29553">
      <c r="A29553" s="39"/>
      <c r="E29553" s="40" t="s">
        <v>11404</v>
      </c>
      <c r="F29553" s="40" t="s">
        <v>11404</v>
      </c>
      <c r="G29553" s="40" t="s">
        <v>11404</v>
      </c>
      <c r="H29553" s="40" t="s">
        <v>11404</v>
      </c>
    </row>
    <row r="29554">
      <c r="A29554" s="39"/>
      <c r="E29554" s="40" t="s">
        <v>11404</v>
      </c>
      <c r="F29554" s="40" t="s">
        <v>11404</v>
      </c>
      <c r="G29554" s="40" t="s">
        <v>11404</v>
      </c>
      <c r="H29554" s="40" t="s">
        <v>11404</v>
      </c>
    </row>
    <row r="29555">
      <c r="A29555" s="39"/>
      <c r="E29555" s="40" t="s">
        <v>11404</v>
      </c>
      <c r="F29555" s="40" t="s">
        <v>11404</v>
      </c>
      <c r="G29555" s="40" t="s">
        <v>11404</v>
      </c>
      <c r="H29555" s="40" t="s">
        <v>11404</v>
      </c>
    </row>
    <row r="29556">
      <c r="A29556" s="39"/>
      <c r="E29556" s="40" t="s">
        <v>11404</v>
      </c>
      <c r="F29556" s="40" t="s">
        <v>11404</v>
      </c>
      <c r="G29556" s="40" t="s">
        <v>11404</v>
      </c>
      <c r="H29556" s="40" t="s">
        <v>11404</v>
      </c>
    </row>
    <row r="29557">
      <c r="A29557" s="39"/>
      <c r="E29557" s="40" t="s">
        <v>11404</v>
      </c>
      <c r="F29557" s="40" t="s">
        <v>11404</v>
      </c>
      <c r="G29557" s="40" t="s">
        <v>11404</v>
      </c>
      <c r="H29557" s="40" t="s">
        <v>11404</v>
      </c>
    </row>
    <row r="29558">
      <c r="A29558" s="39"/>
      <c r="E29558" s="40" t="s">
        <v>11404</v>
      </c>
      <c r="F29558" s="40" t="s">
        <v>11404</v>
      </c>
      <c r="G29558" s="40" t="s">
        <v>11404</v>
      </c>
      <c r="H29558" s="40" t="s">
        <v>11404</v>
      </c>
    </row>
    <row r="29559">
      <c r="A29559" s="39"/>
      <c r="E29559" s="40" t="s">
        <v>11404</v>
      </c>
      <c r="F29559" s="40" t="s">
        <v>11404</v>
      </c>
      <c r="G29559" s="40" t="s">
        <v>11404</v>
      </c>
      <c r="H29559" s="40" t="s">
        <v>11404</v>
      </c>
    </row>
    <row r="29560">
      <c r="A29560" s="39"/>
      <c r="E29560" s="40" t="s">
        <v>11404</v>
      </c>
      <c r="F29560" s="40" t="s">
        <v>11404</v>
      </c>
      <c r="G29560" s="40" t="s">
        <v>11404</v>
      </c>
      <c r="H29560" s="40" t="s">
        <v>11404</v>
      </c>
    </row>
    <row r="29561">
      <c r="A29561" s="39"/>
      <c r="E29561" s="40" t="s">
        <v>11404</v>
      </c>
      <c r="F29561" s="40" t="s">
        <v>11404</v>
      </c>
      <c r="G29561" s="40" t="s">
        <v>11404</v>
      </c>
      <c r="H29561" s="40" t="s">
        <v>11404</v>
      </c>
    </row>
    <row r="29562">
      <c r="A29562" s="39"/>
      <c r="E29562" s="40" t="s">
        <v>11404</v>
      </c>
      <c r="F29562" s="40" t="s">
        <v>11404</v>
      </c>
      <c r="G29562" s="40" t="s">
        <v>11404</v>
      </c>
      <c r="H29562" s="40" t="s">
        <v>11404</v>
      </c>
    </row>
    <row r="29563">
      <c r="A29563" s="39"/>
      <c r="E29563" s="40" t="s">
        <v>11404</v>
      </c>
      <c r="F29563" s="40" t="s">
        <v>11404</v>
      </c>
      <c r="G29563" s="40" t="s">
        <v>11404</v>
      </c>
      <c r="H29563" s="40" t="s">
        <v>11404</v>
      </c>
    </row>
    <row r="29564">
      <c r="A29564" s="39"/>
      <c r="E29564" s="40" t="s">
        <v>11404</v>
      </c>
      <c r="F29564" s="40" t="s">
        <v>11404</v>
      </c>
      <c r="G29564" s="40" t="s">
        <v>11404</v>
      </c>
      <c r="H29564" s="40" t="s">
        <v>11404</v>
      </c>
    </row>
    <row r="29565">
      <c r="A29565" s="39"/>
      <c r="E29565" s="40" t="s">
        <v>11404</v>
      </c>
      <c r="F29565" s="40" t="s">
        <v>11404</v>
      </c>
      <c r="G29565" s="40" t="s">
        <v>11404</v>
      </c>
      <c r="H29565" s="40" t="s">
        <v>11404</v>
      </c>
    </row>
    <row r="29566">
      <c r="A29566" s="39"/>
      <c r="E29566" s="40" t="s">
        <v>11404</v>
      </c>
      <c r="F29566" s="40" t="s">
        <v>11404</v>
      </c>
      <c r="G29566" s="40" t="s">
        <v>11404</v>
      </c>
      <c r="H29566" s="40" t="s">
        <v>11404</v>
      </c>
    </row>
    <row r="29567">
      <c r="A29567" s="39"/>
      <c r="E29567" s="40" t="s">
        <v>11404</v>
      </c>
      <c r="F29567" s="40" t="s">
        <v>11404</v>
      </c>
      <c r="G29567" s="40" t="s">
        <v>11404</v>
      </c>
      <c r="H29567" s="40" t="s">
        <v>11404</v>
      </c>
    </row>
    <row r="29568">
      <c r="A29568" s="39"/>
      <c r="E29568" s="40" t="s">
        <v>11404</v>
      </c>
      <c r="F29568" s="40" t="s">
        <v>11404</v>
      </c>
      <c r="G29568" s="40" t="s">
        <v>11404</v>
      </c>
      <c r="H29568" s="40" t="s">
        <v>11404</v>
      </c>
    </row>
    <row r="29569">
      <c r="A29569" s="39"/>
      <c r="E29569" s="40" t="s">
        <v>11404</v>
      </c>
      <c r="F29569" s="40" t="s">
        <v>11404</v>
      </c>
      <c r="G29569" s="40" t="s">
        <v>11404</v>
      </c>
      <c r="H29569" s="40" t="s">
        <v>11404</v>
      </c>
    </row>
    <row r="29570">
      <c r="A29570" s="39"/>
      <c r="E29570" s="40" t="s">
        <v>11404</v>
      </c>
      <c r="F29570" s="40" t="s">
        <v>11404</v>
      </c>
      <c r="G29570" s="40" t="s">
        <v>11404</v>
      </c>
      <c r="H29570" s="40" t="s">
        <v>11404</v>
      </c>
    </row>
    <row r="29571">
      <c r="A29571" s="39"/>
      <c r="E29571" s="40" t="s">
        <v>11404</v>
      </c>
      <c r="F29571" s="40" t="s">
        <v>11404</v>
      </c>
      <c r="G29571" s="40" t="s">
        <v>11404</v>
      </c>
      <c r="H29571" s="40" t="s">
        <v>11404</v>
      </c>
    </row>
    <row r="29572">
      <c r="A29572" s="39"/>
      <c r="E29572" s="40" t="s">
        <v>11404</v>
      </c>
      <c r="F29572" s="40" t="s">
        <v>11404</v>
      </c>
      <c r="G29572" s="40" t="s">
        <v>11404</v>
      </c>
      <c r="H29572" s="40" t="s">
        <v>11404</v>
      </c>
    </row>
    <row r="29573">
      <c r="A29573" s="39"/>
      <c r="E29573" s="40" t="s">
        <v>11404</v>
      </c>
      <c r="F29573" s="40" t="s">
        <v>11404</v>
      </c>
      <c r="G29573" s="40" t="s">
        <v>11404</v>
      </c>
      <c r="H29573" s="40" t="s">
        <v>11404</v>
      </c>
    </row>
    <row r="29574">
      <c r="A29574" s="39"/>
      <c r="E29574" s="40" t="s">
        <v>11404</v>
      </c>
      <c r="F29574" s="40" t="s">
        <v>11404</v>
      </c>
      <c r="G29574" s="40" t="s">
        <v>11404</v>
      </c>
      <c r="H29574" s="40" t="s">
        <v>11404</v>
      </c>
    </row>
    <row r="29575">
      <c r="A29575" s="39"/>
      <c r="E29575" s="40" t="s">
        <v>11404</v>
      </c>
      <c r="F29575" s="40" t="s">
        <v>11404</v>
      </c>
      <c r="G29575" s="40" t="s">
        <v>11404</v>
      </c>
      <c r="H29575" s="40" t="s">
        <v>11404</v>
      </c>
    </row>
    <row r="29576">
      <c r="A29576" s="39"/>
      <c r="E29576" s="40" t="s">
        <v>11404</v>
      </c>
      <c r="F29576" s="40" t="s">
        <v>11404</v>
      </c>
      <c r="G29576" s="40" t="s">
        <v>11404</v>
      </c>
      <c r="H29576" s="40" t="s">
        <v>11404</v>
      </c>
    </row>
    <row r="29577">
      <c r="A29577" s="39"/>
      <c r="E29577" s="40" t="s">
        <v>11404</v>
      </c>
      <c r="F29577" s="40" t="s">
        <v>11404</v>
      </c>
      <c r="G29577" s="40" t="s">
        <v>11404</v>
      </c>
      <c r="H29577" s="40" t="s">
        <v>11404</v>
      </c>
    </row>
    <row r="29578">
      <c r="A29578" s="39"/>
      <c r="E29578" s="40" t="s">
        <v>11404</v>
      </c>
      <c r="F29578" s="40" t="s">
        <v>11404</v>
      </c>
      <c r="G29578" s="40" t="s">
        <v>11404</v>
      </c>
      <c r="H29578" s="40" t="s">
        <v>11404</v>
      </c>
    </row>
    <row r="29579">
      <c r="A29579" s="39"/>
      <c r="E29579" s="40" t="s">
        <v>11404</v>
      </c>
      <c r="F29579" s="40" t="s">
        <v>11404</v>
      </c>
      <c r="G29579" s="40" t="s">
        <v>11404</v>
      </c>
      <c r="H29579" s="40" t="s">
        <v>11404</v>
      </c>
    </row>
    <row r="29580">
      <c r="A29580" s="39"/>
      <c r="E29580" s="40" t="s">
        <v>11404</v>
      </c>
      <c r="F29580" s="40" t="s">
        <v>11404</v>
      </c>
      <c r="G29580" s="40" t="s">
        <v>11404</v>
      </c>
      <c r="H29580" s="40" t="s">
        <v>11404</v>
      </c>
    </row>
    <row r="29581">
      <c r="A29581" s="39"/>
      <c r="E29581" s="40" t="s">
        <v>11404</v>
      </c>
      <c r="F29581" s="40" t="s">
        <v>11404</v>
      </c>
      <c r="G29581" s="40" t="s">
        <v>11404</v>
      </c>
      <c r="H29581" s="40" t="s">
        <v>11404</v>
      </c>
    </row>
    <row r="29582">
      <c r="A29582" s="39"/>
      <c r="E29582" s="40" t="s">
        <v>11404</v>
      </c>
      <c r="F29582" s="40" t="s">
        <v>11404</v>
      </c>
      <c r="G29582" s="40" t="s">
        <v>11404</v>
      </c>
      <c r="H29582" s="40" t="s">
        <v>11404</v>
      </c>
    </row>
    <row r="29583">
      <c r="A29583" s="39"/>
      <c r="E29583" s="40" t="s">
        <v>11404</v>
      </c>
      <c r="F29583" s="40" t="s">
        <v>11404</v>
      </c>
      <c r="G29583" s="40" t="s">
        <v>11404</v>
      </c>
      <c r="H29583" s="40" t="s">
        <v>11404</v>
      </c>
    </row>
    <row r="29584">
      <c r="A29584" s="39"/>
      <c r="E29584" s="40" t="s">
        <v>11404</v>
      </c>
      <c r="F29584" s="40" t="s">
        <v>11404</v>
      </c>
      <c r="G29584" s="40" t="s">
        <v>11404</v>
      </c>
      <c r="H29584" s="40" t="s">
        <v>11404</v>
      </c>
    </row>
    <row r="29585">
      <c r="A29585" s="39"/>
      <c r="E29585" s="40" t="s">
        <v>11404</v>
      </c>
      <c r="F29585" s="40" t="s">
        <v>11404</v>
      </c>
      <c r="G29585" s="40" t="s">
        <v>11404</v>
      </c>
      <c r="H29585" s="40" t="s">
        <v>11404</v>
      </c>
    </row>
    <row r="29586">
      <c r="A29586" s="39"/>
      <c r="E29586" s="40" t="s">
        <v>11404</v>
      </c>
      <c r="F29586" s="40" t="s">
        <v>11404</v>
      </c>
      <c r="G29586" s="40" t="s">
        <v>11404</v>
      </c>
      <c r="H29586" s="40" t="s">
        <v>11404</v>
      </c>
    </row>
    <row r="29587">
      <c r="A29587" s="39"/>
      <c r="E29587" s="40" t="s">
        <v>11404</v>
      </c>
      <c r="F29587" s="40" t="s">
        <v>11404</v>
      </c>
      <c r="G29587" s="40" t="s">
        <v>11404</v>
      </c>
      <c r="H29587" s="40" t="s">
        <v>11404</v>
      </c>
    </row>
    <row r="29588">
      <c r="A29588" s="39"/>
      <c r="E29588" s="40" t="s">
        <v>11404</v>
      </c>
      <c r="F29588" s="40" t="s">
        <v>11404</v>
      </c>
      <c r="G29588" s="40" t="s">
        <v>11404</v>
      </c>
      <c r="H29588" s="40" t="s">
        <v>11404</v>
      </c>
    </row>
    <row r="29589">
      <c r="A29589" s="39"/>
      <c r="E29589" s="40" t="s">
        <v>11404</v>
      </c>
      <c r="F29589" s="40" t="s">
        <v>11404</v>
      </c>
      <c r="G29589" s="40" t="s">
        <v>11404</v>
      </c>
      <c r="H29589" s="40" t="s">
        <v>11404</v>
      </c>
    </row>
    <row r="29590">
      <c r="A29590" s="39"/>
      <c r="E29590" s="40" t="s">
        <v>11404</v>
      </c>
      <c r="F29590" s="40" t="s">
        <v>11404</v>
      </c>
      <c r="G29590" s="40" t="s">
        <v>11404</v>
      </c>
      <c r="H29590" s="40" t="s">
        <v>11404</v>
      </c>
    </row>
    <row r="29591">
      <c r="A29591" s="39"/>
      <c r="E29591" s="40" t="s">
        <v>11404</v>
      </c>
      <c r="F29591" s="40" t="s">
        <v>11404</v>
      </c>
      <c r="G29591" s="40" t="s">
        <v>11404</v>
      </c>
      <c r="H29591" s="40" t="s">
        <v>11404</v>
      </c>
    </row>
    <row r="29592">
      <c r="A29592" s="39"/>
      <c r="E29592" s="40" t="s">
        <v>11404</v>
      </c>
      <c r="F29592" s="40" t="s">
        <v>11404</v>
      </c>
      <c r="G29592" s="40" t="s">
        <v>11404</v>
      </c>
      <c r="H29592" s="40" t="s">
        <v>11404</v>
      </c>
    </row>
    <row r="29593">
      <c r="A29593" s="39"/>
      <c r="E29593" s="40" t="s">
        <v>11404</v>
      </c>
      <c r="F29593" s="40" t="s">
        <v>11404</v>
      </c>
      <c r="G29593" s="40" t="s">
        <v>11404</v>
      </c>
      <c r="H29593" s="40" t="s">
        <v>11404</v>
      </c>
    </row>
    <row r="29594">
      <c r="A29594" s="39"/>
      <c r="E29594" s="40" t="s">
        <v>11404</v>
      </c>
      <c r="F29594" s="40" t="s">
        <v>11404</v>
      </c>
      <c r="G29594" s="40" t="s">
        <v>11404</v>
      </c>
      <c r="H29594" s="40" t="s">
        <v>11404</v>
      </c>
    </row>
    <row r="29595">
      <c r="A29595" s="39"/>
      <c r="E29595" s="40" t="s">
        <v>11404</v>
      </c>
      <c r="F29595" s="40" t="s">
        <v>11404</v>
      </c>
      <c r="G29595" s="40" t="s">
        <v>11404</v>
      </c>
      <c r="H29595" s="40" t="s">
        <v>11404</v>
      </c>
    </row>
    <row r="29596">
      <c r="A29596" s="39"/>
      <c r="E29596" s="40" t="s">
        <v>11404</v>
      </c>
      <c r="F29596" s="40" t="s">
        <v>11404</v>
      </c>
      <c r="G29596" s="40" t="s">
        <v>11404</v>
      </c>
      <c r="H29596" s="40" t="s">
        <v>11404</v>
      </c>
    </row>
    <row r="29597">
      <c r="A29597" s="39"/>
      <c r="E29597" s="40" t="s">
        <v>11404</v>
      </c>
      <c r="F29597" s="40" t="s">
        <v>11404</v>
      </c>
      <c r="G29597" s="40" t="s">
        <v>11404</v>
      </c>
      <c r="H29597" s="40" t="s">
        <v>11404</v>
      </c>
    </row>
    <row r="29598">
      <c r="A29598" s="39"/>
      <c r="E29598" s="40" t="s">
        <v>11404</v>
      </c>
      <c r="F29598" s="40" t="s">
        <v>11404</v>
      </c>
      <c r="G29598" s="40" t="s">
        <v>11404</v>
      </c>
      <c r="H29598" s="40" t="s">
        <v>11404</v>
      </c>
    </row>
    <row r="29599">
      <c r="A29599" s="39"/>
      <c r="E29599" s="40" t="s">
        <v>11404</v>
      </c>
      <c r="F29599" s="40" t="s">
        <v>11404</v>
      </c>
      <c r="G29599" s="40" t="s">
        <v>11404</v>
      </c>
      <c r="H29599" s="40" t="s">
        <v>11404</v>
      </c>
    </row>
    <row r="29600">
      <c r="A29600" s="39"/>
      <c r="E29600" s="40" t="s">
        <v>11404</v>
      </c>
      <c r="F29600" s="40" t="s">
        <v>11404</v>
      </c>
      <c r="G29600" s="40" t="s">
        <v>11404</v>
      </c>
      <c r="H29600" s="40" t="s">
        <v>11404</v>
      </c>
    </row>
    <row r="29601">
      <c r="A29601" s="39"/>
      <c r="E29601" s="40" t="s">
        <v>11404</v>
      </c>
      <c r="F29601" s="40" t="s">
        <v>11404</v>
      </c>
      <c r="G29601" s="40" t="s">
        <v>11404</v>
      </c>
      <c r="H29601" s="40" t="s">
        <v>11404</v>
      </c>
    </row>
    <row r="29602">
      <c r="A29602" s="39"/>
      <c r="E29602" s="40" t="s">
        <v>11404</v>
      </c>
      <c r="F29602" s="40" t="s">
        <v>11404</v>
      </c>
      <c r="G29602" s="40" t="s">
        <v>11404</v>
      </c>
      <c r="H29602" s="40" t="s">
        <v>11404</v>
      </c>
    </row>
    <row r="29603">
      <c r="A29603" s="39"/>
      <c r="E29603" s="40" t="s">
        <v>11404</v>
      </c>
      <c r="F29603" s="40" t="s">
        <v>11404</v>
      </c>
      <c r="G29603" s="40" t="s">
        <v>11404</v>
      </c>
      <c r="H29603" s="40" t="s">
        <v>11404</v>
      </c>
    </row>
    <row r="29604">
      <c r="A29604" s="39"/>
      <c r="E29604" s="40" t="s">
        <v>11404</v>
      </c>
      <c r="F29604" s="40" t="s">
        <v>11404</v>
      </c>
      <c r="G29604" s="40" t="s">
        <v>11404</v>
      </c>
      <c r="H29604" s="40" t="s">
        <v>11404</v>
      </c>
    </row>
    <row r="29605">
      <c r="A29605" s="39"/>
      <c r="E29605" s="40" t="s">
        <v>11404</v>
      </c>
      <c r="F29605" s="40" t="s">
        <v>11404</v>
      </c>
      <c r="G29605" s="40" t="s">
        <v>11404</v>
      </c>
      <c r="H29605" s="40" t="s">
        <v>11404</v>
      </c>
    </row>
    <row r="29606">
      <c r="A29606" s="39"/>
      <c r="E29606" s="40" t="s">
        <v>11404</v>
      </c>
      <c r="F29606" s="40" t="s">
        <v>11404</v>
      </c>
      <c r="G29606" s="40" t="s">
        <v>11404</v>
      </c>
      <c r="H29606" s="40" t="s">
        <v>11404</v>
      </c>
    </row>
    <row r="29607">
      <c r="A29607" s="39"/>
      <c r="E29607" s="40" t="s">
        <v>11404</v>
      </c>
      <c r="F29607" s="40" t="s">
        <v>11404</v>
      </c>
      <c r="G29607" s="40" t="s">
        <v>11404</v>
      </c>
      <c r="H29607" s="40" t="s">
        <v>11404</v>
      </c>
    </row>
    <row r="29608">
      <c r="A29608" s="39"/>
      <c r="E29608" s="40" t="s">
        <v>11404</v>
      </c>
      <c r="F29608" s="40" t="s">
        <v>11404</v>
      </c>
      <c r="G29608" s="40" t="s">
        <v>11404</v>
      </c>
      <c r="H29608" s="40" t="s">
        <v>11404</v>
      </c>
    </row>
    <row r="29609">
      <c r="A29609" s="39"/>
      <c r="E29609" s="40" t="s">
        <v>11404</v>
      </c>
      <c r="F29609" s="40" t="s">
        <v>11404</v>
      </c>
      <c r="G29609" s="40" t="s">
        <v>11404</v>
      </c>
      <c r="H29609" s="40" t="s">
        <v>11404</v>
      </c>
    </row>
    <row r="29610">
      <c r="A29610" s="39"/>
      <c r="E29610" s="40" t="s">
        <v>11404</v>
      </c>
      <c r="F29610" s="40" t="s">
        <v>11404</v>
      </c>
      <c r="G29610" s="40" t="s">
        <v>11404</v>
      </c>
      <c r="H29610" s="40" t="s">
        <v>11404</v>
      </c>
    </row>
    <row r="29611">
      <c r="A29611" s="39"/>
      <c r="E29611" s="40" t="s">
        <v>11404</v>
      </c>
      <c r="F29611" s="40" t="s">
        <v>11404</v>
      </c>
      <c r="G29611" s="40" t="s">
        <v>11404</v>
      </c>
      <c r="H29611" s="40" t="s">
        <v>11404</v>
      </c>
    </row>
    <row r="29612">
      <c r="A29612" s="39"/>
      <c r="E29612" s="40" t="s">
        <v>11404</v>
      </c>
      <c r="F29612" s="40" t="s">
        <v>11404</v>
      </c>
      <c r="G29612" s="40" t="s">
        <v>11404</v>
      </c>
      <c r="H29612" s="40" t="s">
        <v>11404</v>
      </c>
    </row>
    <row r="29613">
      <c r="A29613" s="39"/>
      <c r="E29613" s="40" t="s">
        <v>11404</v>
      </c>
      <c r="F29613" s="40" t="s">
        <v>11404</v>
      </c>
      <c r="G29613" s="40" t="s">
        <v>11404</v>
      </c>
      <c r="H29613" s="40" t="s">
        <v>11404</v>
      </c>
    </row>
    <row r="29614">
      <c r="A29614" s="39"/>
      <c r="E29614" s="40" t="s">
        <v>11404</v>
      </c>
      <c r="F29614" s="40" t="s">
        <v>11404</v>
      </c>
      <c r="G29614" s="40" t="s">
        <v>11404</v>
      </c>
      <c r="H29614" s="40" t="s">
        <v>11404</v>
      </c>
    </row>
    <row r="29615">
      <c r="A29615" s="39"/>
      <c r="E29615" s="40" t="s">
        <v>11404</v>
      </c>
      <c r="F29615" s="40" t="s">
        <v>11404</v>
      </c>
      <c r="G29615" s="40" t="s">
        <v>11404</v>
      </c>
      <c r="H29615" s="40" t="s">
        <v>11404</v>
      </c>
    </row>
    <row r="29616">
      <c r="A29616" s="39"/>
      <c r="E29616" s="40" t="s">
        <v>11404</v>
      </c>
      <c r="F29616" s="40" t="s">
        <v>11404</v>
      </c>
      <c r="G29616" s="40" t="s">
        <v>11404</v>
      </c>
      <c r="H29616" s="40" t="s">
        <v>11404</v>
      </c>
    </row>
    <row r="29617">
      <c r="A29617" s="39"/>
      <c r="E29617" s="40" t="s">
        <v>11404</v>
      </c>
      <c r="F29617" s="40" t="s">
        <v>11404</v>
      </c>
      <c r="G29617" s="40" t="s">
        <v>11404</v>
      </c>
      <c r="H29617" s="40" t="s">
        <v>11404</v>
      </c>
    </row>
    <row r="29618">
      <c r="A29618" s="39"/>
      <c r="E29618" s="40" t="s">
        <v>11404</v>
      </c>
      <c r="F29618" s="40" t="s">
        <v>11404</v>
      </c>
      <c r="G29618" s="40" t="s">
        <v>11404</v>
      </c>
      <c r="H29618" s="40" t="s">
        <v>11404</v>
      </c>
    </row>
    <row r="29619">
      <c r="A29619" s="39"/>
      <c r="E29619" s="40" t="s">
        <v>11404</v>
      </c>
      <c r="F29619" s="40" t="s">
        <v>11404</v>
      </c>
      <c r="G29619" s="40" t="s">
        <v>11404</v>
      </c>
      <c r="H29619" s="40" t="s">
        <v>11404</v>
      </c>
    </row>
    <row r="29620">
      <c r="A29620" s="39"/>
      <c r="E29620" s="40" t="s">
        <v>11404</v>
      </c>
      <c r="F29620" s="40" t="s">
        <v>11404</v>
      </c>
      <c r="G29620" s="40" t="s">
        <v>11404</v>
      </c>
      <c r="H29620" s="40" t="s">
        <v>11404</v>
      </c>
    </row>
    <row r="29621">
      <c r="A29621" s="39"/>
      <c r="E29621" s="40" t="s">
        <v>11404</v>
      </c>
      <c r="F29621" s="40" t="s">
        <v>11404</v>
      </c>
      <c r="G29621" s="40" t="s">
        <v>11404</v>
      </c>
      <c r="H29621" s="40" t="s">
        <v>11404</v>
      </c>
    </row>
    <row r="29622">
      <c r="A29622" s="39"/>
      <c r="E29622" s="40" t="s">
        <v>11404</v>
      </c>
      <c r="F29622" s="40" t="s">
        <v>11404</v>
      </c>
      <c r="G29622" s="40" t="s">
        <v>11404</v>
      </c>
      <c r="H29622" s="40" t="s">
        <v>11404</v>
      </c>
    </row>
    <row r="29623">
      <c r="A29623" s="39"/>
      <c r="E29623" s="40" t="s">
        <v>11404</v>
      </c>
      <c r="F29623" s="40" t="s">
        <v>11404</v>
      </c>
      <c r="G29623" s="40" t="s">
        <v>11404</v>
      </c>
      <c r="H29623" s="40" t="s">
        <v>11404</v>
      </c>
    </row>
    <row r="29624">
      <c r="A29624" s="39"/>
      <c r="E29624" s="40" t="s">
        <v>11404</v>
      </c>
      <c r="F29624" s="40" t="s">
        <v>11404</v>
      </c>
      <c r="G29624" s="40" t="s">
        <v>11404</v>
      </c>
      <c r="H29624" s="40" t="s">
        <v>11404</v>
      </c>
    </row>
    <row r="29625">
      <c r="A29625" s="39"/>
      <c r="E29625" s="40" t="s">
        <v>11404</v>
      </c>
      <c r="F29625" s="40" t="s">
        <v>11404</v>
      </c>
      <c r="G29625" s="40" t="s">
        <v>11404</v>
      </c>
      <c r="H29625" s="40" t="s">
        <v>11404</v>
      </c>
    </row>
    <row r="29626">
      <c r="A29626" s="39"/>
      <c r="E29626" s="40" t="s">
        <v>11404</v>
      </c>
      <c r="F29626" s="40" t="s">
        <v>11404</v>
      </c>
      <c r="G29626" s="40" t="s">
        <v>11404</v>
      </c>
      <c r="H29626" s="40" t="s">
        <v>11404</v>
      </c>
    </row>
    <row r="29627">
      <c r="A29627" s="39"/>
      <c r="E29627" s="40" t="s">
        <v>11404</v>
      </c>
      <c r="F29627" s="40" t="s">
        <v>11404</v>
      </c>
      <c r="G29627" s="40" t="s">
        <v>11404</v>
      </c>
      <c r="H29627" s="40" t="s">
        <v>11404</v>
      </c>
    </row>
    <row r="29628">
      <c r="A29628" s="39"/>
      <c r="E29628" s="40" t="s">
        <v>11404</v>
      </c>
      <c r="F29628" s="40" t="s">
        <v>11404</v>
      </c>
      <c r="G29628" s="40" t="s">
        <v>11404</v>
      </c>
      <c r="H29628" s="40" t="s">
        <v>11404</v>
      </c>
    </row>
    <row r="29629">
      <c r="A29629" s="39"/>
      <c r="E29629" s="40" t="s">
        <v>11404</v>
      </c>
      <c r="F29629" s="40" t="s">
        <v>11404</v>
      </c>
      <c r="G29629" s="40" t="s">
        <v>11404</v>
      </c>
      <c r="H29629" s="40" t="s">
        <v>11404</v>
      </c>
    </row>
    <row r="29630">
      <c r="A29630" s="39"/>
      <c r="E29630" s="40" t="s">
        <v>11404</v>
      </c>
      <c r="F29630" s="40" t="s">
        <v>11404</v>
      </c>
      <c r="G29630" s="40" t="s">
        <v>11404</v>
      </c>
      <c r="H29630" s="40" t="s">
        <v>11404</v>
      </c>
    </row>
    <row r="29631">
      <c r="A29631" s="39"/>
      <c r="E29631" s="40" t="s">
        <v>11404</v>
      </c>
      <c r="F29631" s="40" t="s">
        <v>11404</v>
      </c>
      <c r="G29631" s="40" t="s">
        <v>11404</v>
      </c>
      <c r="H29631" s="40" t="s">
        <v>11404</v>
      </c>
    </row>
    <row r="29632">
      <c r="A29632" s="39"/>
      <c r="E29632" s="40" t="s">
        <v>11404</v>
      </c>
      <c r="F29632" s="40" t="s">
        <v>11404</v>
      </c>
      <c r="G29632" s="40" t="s">
        <v>11404</v>
      </c>
      <c r="H29632" s="40" t="s">
        <v>11404</v>
      </c>
    </row>
    <row r="29633">
      <c r="A29633" s="39"/>
      <c r="E29633" s="40" t="s">
        <v>11404</v>
      </c>
      <c r="F29633" s="40" t="s">
        <v>11404</v>
      </c>
      <c r="G29633" s="40" t="s">
        <v>11404</v>
      </c>
      <c r="H29633" s="40" t="s">
        <v>11404</v>
      </c>
    </row>
    <row r="29634">
      <c r="A29634" s="39"/>
      <c r="E29634" s="40" t="s">
        <v>11404</v>
      </c>
      <c r="F29634" s="40" t="s">
        <v>11404</v>
      </c>
      <c r="G29634" s="40" t="s">
        <v>11404</v>
      </c>
      <c r="H29634" s="40" t="s">
        <v>11404</v>
      </c>
    </row>
    <row r="29635">
      <c r="A29635" s="39"/>
      <c r="E29635" s="40" t="s">
        <v>11404</v>
      </c>
      <c r="F29635" s="40" t="s">
        <v>11404</v>
      </c>
      <c r="G29635" s="40" t="s">
        <v>11404</v>
      </c>
      <c r="H29635" s="40" t="s">
        <v>11404</v>
      </c>
    </row>
    <row r="29636">
      <c r="A29636" s="39"/>
      <c r="E29636" s="40" t="s">
        <v>11404</v>
      </c>
      <c r="F29636" s="40" t="s">
        <v>11404</v>
      </c>
      <c r="G29636" s="40" t="s">
        <v>11404</v>
      </c>
      <c r="H29636" s="40" t="s">
        <v>11404</v>
      </c>
    </row>
    <row r="29637">
      <c r="A29637" s="39"/>
      <c r="E29637" s="40" t="s">
        <v>11404</v>
      </c>
      <c r="F29637" s="40" t="s">
        <v>11404</v>
      </c>
      <c r="G29637" s="40" t="s">
        <v>11404</v>
      </c>
      <c r="H29637" s="40" t="s">
        <v>11404</v>
      </c>
    </row>
    <row r="29638">
      <c r="A29638" s="39"/>
      <c r="E29638" s="40" t="s">
        <v>11404</v>
      </c>
      <c r="F29638" s="40" t="s">
        <v>11404</v>
      </c>
      <c r="G29638" s="40" t="s">
        <v>11404</v>
      </c>
      <c r="H29638" s="40" t="s">
        <v>11404</v>
      </c>
    </row>
    <row r="29639">
      <c r="A29639" s="39"/>
      <c r="E29639" s="40" t="s">
        <v>11404</v>
      </c>
      <c r="F29639" s="40" t="s">
        <v>11404</v>
      </c>
      <c r="G29639" s="40" t="s">
        <v>11404</v>
      </c>
      <c r="H29639" s="40" t="s">
        <v>11404</v>
      </c>
    </row>
    <row r="29640">
      <c r="A29640" s="39"/>
      <c r="E29640" s="40" t="s">
        <v>11404</v>
      </c>
      <c r="F29640" s="40" t="s">
        <v>11404</v>
      </c>
      <c r="G29640" s="40" t="s">
        <v>11404</v>
      </c>
      <c r="H29640" s="40" t="s">
        <v>11404</v>
      </c>
    </row>
    <row r="29641">
      <c r="A29641" s="39"/>
      <c r="E29641" s="40" t="s">
        <v>11404</v>
      </c>
      <c r="F29641" s="40" t="s">
        <v>11404</v>
      </c>
      <c r="G29641" s="40" t="s">
        <v>11404</v>
      </c>
      <c r="H29641" s="40" t="s">
        <v>11404</v>
      </c>
    </row>
    <row r="29642">
      <c r="A29642" s="39"/>
      <c r="E29642" s="40" t="s">
        <v>11404</v>
      </c>
      <c r="F29642" s="40" t="s">
        <v>11404</v>
      </c>
      <c r="G29642" s="40" t="s">
        <v>11404</v>
      </c>
      <c r="H29642" s="40" t="s">
        <v>11404</v>
      </c>
    </row>
    <row r="29643">
      <c r="A29643" s="39"/>
      <c r="E29643" s="40" t="s">
        <v>11404</v>
      </c>
      <c r="F29643" s="40" t="s">
        <v>11404</v>
      </c>
      <c r="G29643" s="40" t="s">
        <v>11404</v>
      </c>
      <c r="H29643" s="40" t="s">
        <v>11404</v>
      </c>
    </row>
    <row r="29644">
      <c r="A29644" s="39"/>
      <c r="E29644" s="40" t="s">
        <v>11404</v>
      </c>
      <c r="F29644" s="40" t="s">
        <v>11404</v>
      </c>
      <c r="G29644" s="40" t="s">
        <v>11404</v>
      </c>
      <c r="H29644" s="40" t="s">
        <v>11404</v>
      </c>
    </row>
    <row r="29645">
      <c r="A29645" s="39"/>
      <c r="E29645" s="40" t="s">
        <v>11404</v>
      </c>
      <c r="F29645" s="40" t="s">
        <v>11404</v>
      </c>
      <c r="G29645" s="40" t="s">
        <v>11404</v>
      </c>
      <c r="H29645" s="40" t="s">
        <v>11404</v>
      </c>
    </row>
    <row r="29646">
      <c r="A29646" s="39"/>
      <c r="E29646" s="40" t="s">
        <v>11404</v>
      </c>
      <c r="F29646" s="40" t="s">
        <v>11404</v>
      </c>
      <c r="G29646" s="40" t="s">
        <v>11404</v>
      </c>
      <c r="H29646" s="40" t="s">
        <v>11404</v>
      </c>
    </row>
    <row r="29647">
      <c r="A29647" s="39"/>
      <c r="E29647" s="40" t="s">
        <v>11404</v>
      </c>
      <c r="F29647" s="40" t="s">
        <v>11404</v>
      </c>
      <c r="G29647" s="40" t="s">
        <v>11404</v>
      </c>
      <c r="H29647" s="40" t="s">
        <v>11404</v>
      </c>
    </row>
    <row r="29648">
      <c r="A29648" s="39"/>
      <c r="E29648" s="40" t="s">
        <v>11404</v>
      </c>
      <c r="F29648" s="40" t="s">
        <v>11404</v>
      </c>
      <c r="G29648" s="40" t="s">
        <v>11404</v>
      </c>
      <c r="H29648" s="40" t="s">
        <v>11404</v>
      </c>
    </row>
    <row r="29649">
      <c r="A29649" s="39"/>
      <c r="E29649" s="40" t="s">
        <v>11404</v>
      </c>
      <c r="F29649" s="40" t="s">
        <v>11404</v>
      </c>
      <c r="G29649" s="40" t="s">
        <v>11404</v>
      </c>
      <c r="H29649" s="40" t="s">
        <v>11404</v>
      </c>
    </row>
    <row r="29650">
      <c r="A29650" s="39"/>
      <c r="E29650" s="40" t="s">
        <v>11404</v>
      </c>
      <c r="F29650" s="40" t="s">
        <v>11404</v>
      </c>
      <c r="G29650" s="40" t="s">
        <v>11404</v>
      </c>
      <c r="H29650" s="40" t="s">
        <v>11404</v>
      </c>
    </row>
    <row r="29651">
      <c r="A29651" s="39"/>
      <c r="E29651" s="40" t="s">
        <v>11404</v>
      </c>
      <c r="F29651" s="40" t="s">
        <v>11404</v>
      </c>
      <c r="G29651" s="40" t="s">
        <v>11404</v>
      </c>
      <c r="H29651" s="40" t="s">
        <v>11404</v>
      </c>
    </row>
    <row r="29652">
      <c r="A29652" s="39"/>
      <c r="E29652" s="40" t="s">
        <v>11404</v>
      </c>
      <c r="F29652" s="40" t="s">
        <v>11404</v>
      </c>
      <c r="G29652" s="40" t="s">
        <v>11404</v>
      </c>
      <c r="H29652" s="40" t="s">
        <v>11404</v>
      </c>
    </row>
    <row r="29653">
      <c r="A29653" s="39"/>
      <c r="E29653" s="40" t="s">
        <v>11404</v>
      </c>
      <c r="F29653" s="40" t="s">
        <v>11404</v>
      </c>
      <c r="G29653" s="40" t="s">
        <v>11404</v>
      </c>
      <c r="H29653" s="40" t="s">
        <v>11404</v>
      </c>
    </row>
    <row r="29654">
      <c r="A29654" s="39"/>
      <c r="E29654" s="40" t="s">
        <v>11404</v>
      </c>
      <c r="F29654" s="40" t="s">
        <v>11404</v>
      </c>
      <c r="G29654" s="40" t="s">
        <v>11404</v>
      </c>
      <c r="H29654" s="40" t="s">
        <v>11404</v>
      </c>
    </row>
    <row r="29655">
      <c r="A29655" s="39"/>
      <c r="E29655" s="40" t="s">
        <v>11404</v>
      </c>
      <c r="F29655" s="40" t="s">
        <v>11404</v>
      </c>
      <c r="G29655" s="40" t="s">
        <v>11404</v>
      </c>
      <c r="H29655" s="40" t="s">
        <v>11404</v>
      </c>
    </row>
    <row r="29656">
      <c r="A29656" s="39"/>
      <c r="E29656" s="40" t="s">
        <v>11404</v>
      </c>
      <c r="F29656" s="40" t="s">
        <v>11404</v>
      </c>
      <c r="G29656" s="40" t="s">
        <v>11404</v>
      </c>
      <c r="H29656" s="40" t="s">
        <v>11404</v>
      </c>
    </row>
    <row r="29657">
      <c r="A29657" s="39"/>
      <c r="E29657" s="40" t="s">
        <v>11404</v>
      </c>
      <c r="F29657" s="40" t="s">
        <v>11404</v>
      </c>
      <c r="G29657" s="40" t="s">
        <v>11404</v>
      </c>
      <c r="H29657" s="40" t="s">
        <v>11404</v>
      </c>
    </row>
    <row r="29658">
      <c r="A29658" s="39"/>
      <c r="E29658" s="40" t="s">
        <v>11404</v>
      </c>
      <c r="F29658" s="40" t="s">
        <v>11404</v>
      </c>
      <c r="G29658" s="40" t="s">
        <v>11404</v>
      </c>
      <c r="H29658" s="40" t="s">
        <v>11404</v>
      </c>
    </row>
    <row r="29659">
      <c r="A29659" s="39"/>
      <c r="E29659" s="40" t="s">
        <v>11404</v>
      </c>
      <c r="F29659" s="40" t="s">
        <v>11404</v>
      </c>
      <c r="G29659" s="40" t="s">
        <v>11404</v>
      </c>
      <c r="H29659" s="40" t="s">
        <v>11404</v>
      </c>
    </row>
    <row r="29660">
      <c r="A29660" s="39"/>
      <c r="E29660" s="40" t="s">
        <v>11404</v>
      </c>
      <c r="F29660" s="40" t="s">
        <v>11404</v>
      </c>
      <c r="G29660" s="40" t="s">
        <v>11404</v>
      </c>
      <c r="H29660" s="40" t="s">
        <v>11404</v>
      </c>
    </row>
    <row r="29661">
      <c r="A29661" s="39"/>
      <c r="E29661" s="40" t="s">
        <v>11404</v>
      </c>
      <c r="F29661" s="40" t="s">
        <v>11404</v>
      </c>
      <c r="G29661" s="40" t="s">
        <v>11404</v>
      </c>
      <c r="H29661" s="40" t="s">
        <v>11404</v>
      </c>
    </row>
    <row r="29662">
      <c r="A29662" s="39"/>
      <c r="E29662" s="40" t="s">
        <v>11404</v>
      </c>
      <c r="F29662" s="40" t="s">
        <v>11404</v>
      </c>
      <c r="G29662" s="40" t="s">
        <v>11404</v>
      </c>
      <c r="H29662" s="40" t="s">
        <v>11404</v>
      </c>
    </row>
    <row r="29663">
      <c r="A29663" s="39"/>
      <c r="E29663" s="40" t="s">
        <v>11404</v>
      </c>
      <c r="F29663" s="40" t="s">
        <v>11404</v>
      </c>
      <c r="G29663" s="40" t="s">
        <v>11404</v>
      </c>
      <c r="H29663" s="40" t="s">
        <v>11404</v>
      </c>
    </row>
    <row r="29664">
      <c r="A29664" s="39"/>
      <c r="E29664" s="40" t="s">
        <v>11404</v>
      </c>
      <c r="F29664" s="40" t="s">
        <v>11404</v>
      </c>
      <c r="G29664" s="40" t="s">
        <v>11404</v>
      </c>
      <c r="H29664" s="40" t="s">
        <v>11404</v>
      </c>
    </row>
    <row r="29665">
      <c r="A29665" s="39"/>
      <c r="E29665" s="40" t="s">
        <v>11404</v>
      </c>
      <c r="F29665" s="40" t="s">
        <v>11404</v>
      </c>
      <c r="G29665" s="40" t="s">
        <v>11404</v>
      </c>
      <c r="H29665" s="40" t="s">
        <v>11404</v>
      </c>
    </row>
    <row r="29666">
      <c r="A29666" s="39"/>
      <c r="E29666" s="40" t="s">
        <v>11404</v>
      </c>
      <c r="F29666" s="40" t="s">
        <v>11404</v>
      </c>
      <c r="G29666" s="40" t="s">
        <v>11404</v>
      </c>
      <c r="H29666" s="40" t="s">
        <v>11404</v>
      </c>
    </row>
    <row r="29667">
      <c r="A29667" s="39"/>
      <c r="E29667" s="40" t="s">
        <v>11404</v>
      </c>
      <c r="F29667" s="40" t="s">
        <v>11404</v>
      </c>
      <c r="G29667" s="40" t="s">
        <v>11404</v>
      </c>
      <c r="H29667" s="40" t="s">
        <v>11404</v>
      </c>
    </row>
    <row r="29668">
      <c r="A29668" s="39"/>
      <c r="E29668" s="40" t="s">
        <v>11404</v>
      </c>
      <c r="F29668" s="40" t="s">
        <v>11404</v>
      </c>
      <c r="G29668" s="40" t="s">
        <v>11404</v>
      </c>
      <c r="H29668" s="40" t="s">
        <v>11404</v>
      </c>
    </row>
    <row r="29669">
      <c r="A29669" s="39"/>
      <c r="E29669" s="40" t="s">
        <v>11404</v>
      </c>
      <c r="F29669" s="40" t="s">
        <v>11404</v>
      </c>
      <c r="G29669" s="40" t="s">
        <v>11404</v>
      </c>
      <c r="H29669" s="40" t="s">
        <v>11404</v>
      </c>
    </row>
    <row r="29670">
      <c r="A29670" s="39"/>
      <c r="E29670" s="40" t="s">
        <v>11404</v>
      </c>
      <c r="F29670" s="40" t="s">
        <v>11404</v>
      </c>
      <c r="G29670" s="40" t="s">
        <v>11404</v>
      </c>
      <c r="H29670" s="40" t="s">
        <v>11404</v>
      </c>
    </row>
    <row r="29671">
      <c r="A29671" s="39"/>
      <c r="E29671" s="40" t="s">
        <v>11404</v>
      </c>
      <c r="F29671" s="40" t="s">
        <v>11404</v>
      </c>
      <c r="G29671" s="40" t="s">
        <v>11404</v>
      </c>
      <c r="H29671" s="40" t="s">
        <v>11404</v>
      </c>
    </row>
    <row r="29672">
      <c r="A29672" s="39"/>
      <c r="E29672" s="40" t="s">
        <v>11404</v>
      </c>
      <c r="F29672" s="40" t="s">
        <v>11404</v>
      </c>
      <c r="G29672" s="40" t="s">
        <v>11404</v>
      </c>
      <c r="H29672" s="40" t="s">
        <v>11404</v>
      </c>
    </row>
    <row r="29673">
      <c r="A29673" s="39"/>
      <c r="E29673" s="40" t="s">
        <v>11404</v>
      </c>
      <c r="F29673" s="40" t="s">
        <v>11404</v>
      </c>
      <c r="G29673" s="40" t="s">
        <v>11404</v>
      </c>
      <c r="H29673" s="40" t="s">
        <v>11404</v>
      </c>
    </row>
    <row r="29674">
      <c r="A29674" s="39"/>
      <c r="E29674" s="40" t="s">
        <v>11404</v>
      </c>
      <c r="F29674" s="40" t="s">
        <v>11404</v>
      </c>
      <c r="G29674" s="40" t="s">
        <v>11404</v>
      </c>
      <c r="H29674" s="40" t="s">
        <v>11404</v>
      </c>
    </row>
    <row r="29675">
      <c r="A29675" s="39"/>
      <c r="E29675" s="40" t="s">
        <v>11404</v>
      </c>
      <c r="F29675" s="40" t="s">
        <v>11404</v>
      </c>
      <c r="G29675" s="40" t="s">
        <v>11404</v>
      </c>
      <c r="H29675" s="40" t="s">
        <v>11404</v>
      </c>
    </row>
    <row r="29676">
      <c r="A29676" s="39"/>
      <c r="E29676" s="40" t="s">
        <v>11404</v>
      </c>
      <c r="F29676" s="40" t="s">
        <v>11404</v>
      </c>
      <c r="G29676" s="40" t="s">
        <v>11404</v>
      </c>
      <c r="H29676" s="40" t="s">
        <v>11404</v>
      </c>
    </row>
    <row r="29677">
      <c r="A29677" s="39"/>
      <c r="E29677" s="40" t="s">
        <v>11404</v>
      </c>
      <c r="F29677" s="40" t="s">
        <v>11404</v>
      </c>
      <c r="G29677" s="40" t="s">
        <v>11404</v>
      </c>
      <c r="H29677" s="40" t="s">
        <v>11404</v>
      </c>
    </row>
    <row r="29678">
      <c r="A29678" s="39"/>
      <c r="E29678" s="40" t="s">
        <v>11404</v>
      </c>
      <c r="F29678" s="40" t="s">
        <v>11404</v>
      </c>
      <c r="G29678" s="40" t="s">
        <v>11404</v>
      </c>
      <c r="H29678" s="40" t="s">
        <v>11404</v>
      </c>
    </row>
    <row r="29679">
      <c r="A29679" s="39"/>
      <c r="E29679" s="40" t="s">
        <v>11404</v>
      </c>
      <c r="F29679" s="40" t="s">
        <v>11404</v>
      </c>
      <c r="G29679" s="40" t="s">
        <v>11404</v>
      </c>
      <c r="H29679" s="40" t="s">
        <v>11404</v>
      </c>
    </row>
    <row r="29680">
      <c r="A29680" s="39"/>
      <c r="E29680" s="40" t="s">
        <v>11404</v>
      </c>
      <c r="F29680" s="40" t="s">
        <v>11404</v>
      </c>
      <c r="G29680" s="40" t="s">
        <v>11404</v>
      </c>
      <c r="H29680" s="40" t="s">
        <v>11404</v>
      </c>
    </row>
    <row r="29681">
      <c r="A29681" s="39"/>
      <c r="E29681" s="40" t="s">
        <v>11404</v>
      </c>
      <c r="F29681" s="40" t="s">
        <v>11404</v>
      </c>
      <c r="G29681" s="40" t="s">
        <v>11404</v>
      </c>
      <c r="H29681" s="40" t="s">
        <v>11404</v>
      </c>
    </row>
    <row r="29682">
      <c r="A29682" s="39"/>
      <c r="E29682" s="40" t="s">
        <v>11404</v>
      </c>
      <c r="F29682" s="40" t="s">
        <v>11404</v>
      </c>
      <c r="G29682" s="40" t="s">
        <v>11404</v>
      </c>
      <c r="H29682" s="40" t="s">
        <v>11404</v>
      </c>
    </row>
    <row r="29683">
      <c r="A29683" s="39"/>
      <c r="E29683" s="40" t="s">
        <v>11404</v>
      </c>
      <c r="F29683" s="40" t="s">
        <v>11404</v>
      </c>
      <c r="G29683" s="40" t="s">
        <v>11404</v>
      </c>
      <c r="H29683" s="40" t="s">
        <v>11404</v>
      </c>
    </row>
    <row r="29684">
      <c r="A29684" s="39"/>
      <c r="E29684" s="40" t="s">
        <v>11404</v>
      </c>
      <c r="F29684" s="40" t="s">
        <v>11404</v>
      </c>
      <c r="G29684" s="40" t="s">
        <v>11404</v>
      </c>
      <c r="H29684" s="40" t="s">
        <v>11404</v>
      </c>
    </row>
    <row r="29685">
      <c r="A29685" s="39"/>
      <c r="E29685" s="40" t="s">
        <v>11404</v>
      </c>
      <c r="F29685" s="40" t="s">
        <v>11404</v>
      </c>
      <c r="G29685" s="40" t="s">
        <v>11404</v>
      </c>
      <c r="H29685" s="40" t="s">
        <v>11404</v>
      </c>
    </row>
    <row r="29686">
      <c r="A29686" s="39"/>
      <c r="E29686" s="40" t="s">
        <v>11404</v>
      </c>
      <c r="F29686" s="40" t="s">
        <v>11404</v>
      </c>
      <c r="G29686" s="40" t="s">
        <v>11404</v>
      </c>
      <c r="H29686" s="40" t="s">
        <v>11404</v>
      </c>
    </row>
    <row r="29687">
      <c r="A29687" s="39"/>
      <c r="E29687" s="40" t="s">
        <v>11404</v>
      </c>
      <c r="F29687" s="40" t="s">
        <v>11404</v>
      </c>
      <c r="G29687" s="40" t="s">
        <v>11404</v>
      </c>
      <c r="H29687" s="40" t="s">
        <v>11404</v>
      </c>
    </row>
    <row r="29688">
      <c r="A29688" s="39"/>
      <c r="E29688" s="40" t="s">
        <v>11404</v>
      </c>
      <c r="F29688" s="40" t="s">
        <v>11404</v>
      </c>
      <c r="G29688" s="40" t="s">
        <v>11404</v>
      </c>
      <c r="H29688" s="40" t="s">
        <v>11404</v>
      </c>
    </row>
    <row r="29689">
      <c r="A29689" s="39"/>
      <c r="E29689" s="40" t="s">
        <v>11404</v>
      </c>
      <c r="F29689" s="40" t="s">
        <v>11404</v>
      </c>
      <c r="G29689" s="40" t="s">
        <v>11404</v>
      </c>
      <c r="H29689" s="40" t="s">
        <v>11404</v>
      </c>
    </row>
    <row r="29690">
      <c r="A29690" s="39"/>
      <c r="E29690" s="40" t="s">
        <v>11404</v>
      </c>
      <c r="F29690" s="40" t="s">
        <v>11404</v>
      </c>
      <c r="G29690" s="40" t="s">
        <v>11404</v>
      </c>
      <c r="H29690" s="40" t="s">
        <v>11404</v>
      </c>
    </row>
    <row r="29691">
      <c r="A29691" s="39"/>
      <c r="E29691" s="40" t="s">
        <v>11404</v>
      </c>
      <c r="F29691" s="40" t="s">
        <v>11404</v>
      </c>
      <c r="G29691" s="40" t="s">
        <v>11404</v>
      </c>
      <c r="H29691" s="40" t="s">
        <v>11404</v>
      </c>
    </row>
    <row r="29692">
      <c r="A29692" s="39"/>
      <c r="E29692" s="40" t="s">
        <v>11404</v>
      </c>
      <c r="F29692" s="40" t="s">
        <v>11404</v>
      </c>
      <c r="G29692" s="40" t="s">
        <v>11404</v>
      </c>
      <c r="H29692" s="40" t="s">
        <v>11404</v>
      </c>
    </row>
    <row r="29693">
      <c r="A29693" s="39"/>
      <c r="E29693" s="40" t="s">
        <v>11404</v>
      </c>
      <c r="F29693" s="40" t="s">
        <v>11404</v>
      </c>
      <c r="G29693" s="40" t="s">
        <v>11404</v>
      </c>
      <c r="H29693" s="40" t="s">
        <v>11404</v>
      </c>
    </row>
    <row r="29694">
      <c r="A29694" s="39"/>
      <c r="E29694" s="40" t="s">
        <v>11404</v>
      </c>
      <c r="F29694" s="40" t="s">
        <v>11404</v>
      </c>
      <c r="G29694" s="40" t="s">
        <v>11404</v>
      </c>
      <c r="H29694" s="40" t="s">
        <v>11404</v>
      </c>
    </row>
    <row r="29695">
      <c r="A29695" s="39"/>
      <c r="E29695" s="40" t="s">
        <v>11404</v>
      </c>
      <c r="F29695" s="40" t="s">
        <v>11404</v>
      </c>
      <c r="G29695" s="40" t="s">
        <v>11404</v>
      </c>
      <c r="H29695" s="40" t="s">
        <v>11404</v>
      </c>
    </row>
    <row r="29696">
      <c r="A29696" s="39"/>
      <c r="E29696" s="40" t="s">
        <v>11404</v>
      </c>
      <c r="F29696" s="40" t="s">
        <v>11404</v>
      </c>
      <c r="G29696" s="40" t="s">
        <v>11404</v>
      </c>
      <c r="H29696" s="40" t="s">
        <v>11404</v>
      </c>
    </row>
    <row r="29697">
      <c r="A29697" s="39"/>
      <c r="E29697" s="40" t="s">
        <v>11404</v>
      </c>
      <c r="F29697" s="40" t="s">
        <v>11404</v>
      </c>
      <c r="G29697" s="40" t="s">
        <v>11404</v>
      </c>
      <c r="H29697" s="40" t="s">
        <v>11404</v>
      </c>
    </row>
    <row r="29698">
      <c r="A29698" s="39"/>
      <c r="E29698" s="40" t="s">
        <v>11404</v>
      </c>
      <c r="F29698" s="40" t="s">
        <v>11404</v>
      </c>
      <c r="G29698" s="40" t="s">
        <v>11404</v>
      </c>
      <c r="H29698" s="40" t="s">
        <v>11404</v>
      </c>
    </row>
    <row r="29699">
      <c r="A29699" s="39"/>
      <c r="E29699" s="40" t="s">
        <v>11404</v>
      </c>
      <c r="F29699" s="40" t="s">
        <v>11404</v>
      </c>
      <c r="G29699" s="40" t="s">
        <v>11404</v>
      </c>
      <c r="H29699" s="40" t="s">
        <v>11404</v>
      </c>
    </row>
    <row r="29700">
      <c r="A29700" s="39"/>
      <c r="E29700" s="40" t="s">
        <v>11404</v>
      </c>
      <c r="F29700" s="40" t="s">
        <v>11404</v>
      </c>
      <c r="G29700" s="40" t="s">
        <v>11404</v>
      </c>
      <c r="H29700" s="40" t="s">
        <v>11404</v>
      </c>
    </row>
    <row r="29701">
      <c r="A29701" s="39"/>
      <c r="E29701" s="40" t="s">
        <v>11404</v>
      </c>
      <c r="F29701" s="40" t="s">
        <v>11404</v>
      </c>
      <c r="G29701" s="40" t="s">
        <v>11404</v>
      </c>
      <c r="H29701" s="40" t="s">
        <v>11404</v>
      </c>
    </row>
    <row r="29702">
      <c r="A29702" s="39"/>
      <c r="E29702" s="40" t="s">
        <v>11404</v>
      </c>
      <c r="F29702" s="40" t="s">
        <v>11404</v>
      </c>
      <c r="G29702" s="40" t="s">
        <v>11404</v>
      </c>
      <c r="H29702" s="40" t="s">
        <v>11404</v>
      </c>
    </row>
    <row r="29703">
      <c r="A29703" s="39"/>
      <c r="E29703" s="40" t="s">
        <v>11404</v>
      </c>
      <c r="F29703" s="40" t="s">
        <v>11404</v>
      </c>
      <c r="G29703" s="40" t="s">
        <v>11404</v>
      </c>
      <c r="H29703" s="40" t="s">
        <v>11404</v>
      </c>
    </row>
    <row r="29704">
      <c r="A29704" s="39"/>
      <c r="E29704" s="40" t="s">
        <v>11404</v>
      </c>
      <c r="F29704" s="40" t="s">
        <v>11404</v>
      </c>
      <c r="G29704" s="40" t="s">
        <v>11404</v>
      </c>
      <c r="H29704" s="40" t="s">
        <v>11404</v>
      </c>
    </row>
    <row r="29705">
      <c r="A29705" s="39"/>
      <c r="E29705" s="40" t="s">
        <v>11404</v>
      </c>
      <c r="F29705" s="40" t="s">
        <v>11404</v>
      </c>
      <c r="G29705" s="40" t="s">
        <v>11404</v>
      </c>
      <c r="H29705" s="40" t="s">
        <v>11404</v>
      </c>
    </row>
    <row r="29706">
      <c r="A29706" s="39"/>
      <c r="E29706" s="40" t="s">
        <v>11404</v>
      </c>
      <c r="F29706" s="40" t="s">
        <v>11404</v>
      </c>
      <c r="G29706" s="40" t="s">
        <v>11404</v>
      </c>
      <c r="H29706" s="40" t="s">
        <v>11404</v>
      </c>
    </row>
    <row r="29707">
      <c r="A29707" s="39"/>
      <c r="E29707" s="40" t="s">
        <v>11404</v>
      </c>
      <c r="F29707" s="40" t="s">
        <v>11404</v>
      </c>
      <c r="G29707" s="40" t="s">
        <v>11404</v>
      </c>
      <c r="H29707" s="40" t="s">
        <v>11404</v>
      </c>
    </row>
    <row r="29708">
      <c r="A29708" s="39"/>
      <c r="E29708" s="40" t="s">
        <v>11404</v>
      </c>
      <c r="F29708" s="40" t="s">
        <v>11404</v>
      </c>
      <c r="G29708" s="40" t="s">
        <v>11404</v>
      </c>
      <c r="H29708" s="40" t="s">
        <v>11404</v>
      </c>
    </row>
    <row r="29709">
      <c r="A29709" s="39"/>
      <c r="E29709" s="40" t="s">
        <v>11404</v>
      </c>
      <c r="F29709" s="40" t="s">
        <v>11404</v>
      </c>
      <c r="G29709" s="40" t="s">
        <v>11404</v>
      </c>
      <c r="H29709" s="40" t="s">
        <v>11404</v>
      </c>
    </row>
    <row r="29710">
      <c r="A29710" s="39"/>
      <c r="E29710" s="40" t="s">
        <v>11404</v>
      </c>
      <c r="F29710" s="40" t="s">
        <v>11404</v>
      </c>
      <c r="G29710" s="40" t="s">
        <v>11404</v>
      </c>
      <c r="H29710" s="40" t="s">
        <v>11404</v>
      </c>
    </row>
    <row r="29711">
      <c r="A29711" s="39"/>
      <c r="E29711" s="40" t="s">
        <v>11404</v>
      </c>
      <c r="F29711" s="40" t="s">
        <v>11404</v>
      </c>
      <c r="G29711" s="40" t="s">
        <v>11404</v>
      </c>
      <c r="H29711" s="40" t="s">
        <v>11404</v>
      </c>
    </row>
    <row r="29712">
      <c r="A29712" s="39"/>
      <c r="E29712" s="40" t="s">
        <v>11404</v>
      </c>
      <c r="F29712" s="40" t="s">
        <v>11404</v>
      </c>
      <c r="G29712" s="40" t="s">
        <v>11404</v>
      </c>
      <c r="H29712" s="40" t="s">
        <v>11404</v>
      </c>
    </row>
    <row r="29713">
      <c r="A29713" s="39"/>
      <c r="E29713" s="40" t="s">
        <v>11404</v>
      </c>
      <c r="F29713" s="40" t="s">
        <v>11404</v>
      </c>
      <c r="G29713" s="40" t="s">
        <v>11404</v>
      </c>
      <c r="H29713" s="40" t="s">
        <v>11404</v>
      </c>
    </row>
    <row r="29714">
      <c r="A29714" s="39"/>
      <c r="E29714" s="40" t="s">
        <v>11404</v>
      </c>
      <c r="F29714" s="40" t="s">
        <v>11404</v>
      </c>
      <c r="G29714" s="40" t="s">
        <v>11404</v>
      </c>
      <c r="H29714" s="40" t="s">
        <v>11404</v>
      </c>
    </row>
    <row r="29715">
      <c r="A29715" s="39"/>
      <c r="E29715" s="40" t="s">
        <v>11404</v>
      </c>
      <c r="F29715" s="40" t="s">
        <v>11404</v>
      </c>
      <c r="G29715" s="40" t="s">
        <v>11404</v>
      </c>
      <c r="H29715" s="40" t="s">
        <v>11404</v>
      </c>
    </row>
    <row r="29716">
      <c r="A29716" s="39"/>
      <c r="E29716" s="40" t="s">
        <v>11404</v>
      </c>
      <c r="F29716" s="40" t="s">
        <v>11404</v>
      </c>
      <c r="G29716" s="40" t="s">
        <v>11404</v>
      </c>
      <c r="H29716" s="40" t="s">
        <v>11404</v>
      </c>
    </row>
    <row r="29717">
      <c r="A29717" s="39"/>
      <c r="E29717" s="40" t="s">
        <v>11404</v>
      </c>
      <c r="F29717" s="40" t="s">
        <v>11404</v>
      </c>
      <c r="G29717" s="40" t="s">
        <v>11404</v>
      </c>
      <c r="H29717" s="40" t="s">
        <v>11404</v>
      </c>
    </row>
    <row r="29718">
      <c r="A29718" s="39"/>
      <c r="E29718" s="40" t="s">
        <v>11404</v>
      </c>
      <c r="F29718" s="40" t="s">
        <v>11404</v>
      </c>
      <c r="G29718" s="40" t="s">
        <v>11404</v>
      </c>
      <c r="H29718" s="40" t="s">
        <v>11404</v>
      </c>
    </row>
    <row r="29719">
      <c r="A29719" s="39"/>
      <c r="E29719" s="40" t="s">
        <v>11404</v>
      </c>
      <c r="F29719" s="40" t="s">
        <v>11404</v>
      </c>
      <c r="G29719" s="40" t="s">
        <v>11404</v>
      </c>
      <c r="H29719" s="40" t="s">
        <v>11404</v>
      </c>
    </row>
    <row r="29720">
      <c r="A29720" s="39"/>
      <c r="E29720" s="40" t="s">
        <v>11404</v>
      </c>
      <c r="F29720" s="40" t="s">
        <v>11404</v>
      </c>
      <c r="G29720" s="40" t="s">
        <v>11404</v>
      </c>
      <c r="H29720" s="40" t="s">
        <v>11404</v>
      </c>
    </row>
    <row r="29721">
      <c r="A29721" s="39"/>
      <c r="E29721" s="40" t="s">
        <v>11404</v>
      </c>
      <c r="F29721" s="40" t="s">
        <v>11404</v>
      </c>
      <c r="G29721" s="40" t="s">
        <v>11404</v>
      </c>
      <c r="H29721" s="40" t="s">
        <v>11404</v>
      </c>
    </row>
    <row r="29722">
      <c r="A29722" s="39"/>
      <c r="E29722" s="40" t="s">
        <v>11404</v>
      </c>
      <c r="F29722" s="40" t="s">
        <v>11404</v>
      </c>
      <c r="G29722" s="40" t="s">
        <v>11404</v>
      </c>
      <c r="H29722" s="40" t="s">
        <v>11404</v>
      </c>
    </row>
    <row r="29723">
      <c r="A29723" s="39"/>
      <c r="E29723" s="40" t="s">
        <v>11404</v>
      </c>
      <c r="F29723" s="40" t="s">
        <v>11404</v>
      </c>
      <c r="G29723" s="40" t="s">
        <v>11404</v>
      </c>
      <c r="H29723" s="40" t="s">
        <v>11404</v>
      </c>
    </row>
    <row r="29724">
      <c r="A29724" s="39"/>
      <c r="E29724" s="40" t="s">
        <v>11404</v>
      </c>
      <c r="F29724" s="40" t="s">
        <v>11404</v>
      </c>
      <c r="G29724" s="40" t="s">
        <v>11404</v>
      </c>
      <c r="H29724" s="40" t="s">
        <v>11404</v>
      </c>
    </row>
    <row r="29725">
      <c r="A29725" s="39"/>
      <c r="E29725" s="40" t="s">
        <v>11404</v>
      </c>
      <c r="F29725" s="40" t="s">
        <v>11404</v>
      </c>
      <c r="G29725" s="40" t="s">
        <v>11404</v>
      </c>
      <c r="H29725" s="40" t="s">
        <v>11404</v>
      </c>
    </row>
    <row r="29726">
      <c r="A29726" s="39"/>
      <c r="E29726" s="40" t="s">
        <v>11404</v>
      </c>
      <c r="F29726" s="40" t="s">
        <v>11404</v>
      </c>
      <c r="G29726" s="40" t="s">
        <v>11404</v>
      </c>
      <c r="H29726" s="40" t="s">
        <v>11404</v>
      </c>
    </row>
    <row r="29727">
      <c r="A29727" s="39"/>
      <c r="E29727" s="40" t="s">
        <v>11404</v>
      </c>
      <c r="F29727" s="40" t="s">
        <v>11404</v>
      </c>
      <c r="G29727" s="40" t="s">
        <v>11404</v>
      </c>
      <c r="H29727" s="40" t="s">
        <v>11404</v>
      </c>
    </row>
    <row r="29728">
      <c r="A29728" s="39"/>
      <c r="E29728" s="40" t="s">
        <v>11404</v>
      </c>
      <c r="F29728" s="40" t="s">
        <v>11404</v>
      </c>
      <c r="G29728" s="40" t="s">
        <v>11404</v>
      </c>
      <c r="H29728" s="40" t="s">
        <v>11404</v>
      </c>
    </row>
    <row r="29729">
      <c r="A29729" s="39"/>
      <c r="E29729" s="40" t="s">
        <v>11404</v>
      </c>
      <c r="F29729" s="40" t="s">
        <v>11404</v>
      </c>
      <c r="G29729" s="40" t="s">
        <v>11404</v>
      </c>
      <c r="H29729" s="40" t="s">
        <v>11404</v>
      </c>
    </row>
    <row r="29730">
      <c r="A29730" s="39"/>
      <c r="E29730" s="40" t="s">
        <v>11404</v>
      </c>
      <c r="F29730" s="40" t="s">
        <v>11404</v>
      </c>
      <c r="G29730" s="40" t="s">
        <v>11404</v>
      </c>
      <c r="H29730" s="40" t="s">
        <v>11404</v>
      </c>
    </row>
    <row r="29731">
      <c r="A29731" s="39"/>
      <c r="E29731" s="40" t="s">
        <v>11404</v>
      </c>
      <c r="F29731" s="40" t="s">
        <v>11404</v>
      </c>
      <c r="G29731" s="40" t="s">
        <v>11404</v>
      </c>
      <c r="H29731" s="40" t="s">
        <v>11404</v>
      </c>
    </row>
    <row r="29732">
      <c r="A29732" s="39"/>
      <c r="E29732" s="40" t="s">
        <v>11404</v>
      </c>
      <c r="F29732" s="40" t="s">
        <v>11404</v>
      </c>
      <c r="G29732" s="40" t="s">
        <v>11404</v>
      </c>
      <c r="H29732" s="40" t="s">
        <v>11404</v>
      </c>
    </row>
    <row r="29733">
      <c r="A29733" s="39"/>
      <c r="E29733" s="40" t="s">
        <v>11404</v>
      </c>
      <c r="F29733" s="40" t="s">
        <v>11404</v>
      </c>
      <c r="G29733" s="40" t="s">
        <v>11404</v>
      </c>
      <c r="H29733" s="40" t="s">
        <v>11404</v>
      </c>
    </row>
    <row r="29734">
      <c r="A29734" s="39"/>
      <c r="E29734" s="40" t="s">
        <v>11404</v>
      </c>
      <c r="F29734" s="40" t="s">
        <v>11404</v>
      </c>
      <c r="G29734" s="40" t="s">
        <v>11404</v>
      </c>
      <c r="H29734" s="40" t="s">
        <v>11404</v>
      </c>
    </row>
    <row r="29735">
      <c r="A29735" s="39"/>
      <c r="E29735" s="40" t="s">
        <v>11404</v>
      </c>
      <c r="F29735" s="40" t="s">
        <v>11404</v>
      </c>
      <c r="G29735" s="40" t="s">
        <v>11404</v>
      </c>
      <c r="H29735" s="40" t="s">
        <v>11404</v>
      </c>
    </row>
    <row r="29736">
      <c r="A29736" s="39"/>
      <c r="E29736" s="40" t="s">
        <v>11404</v>
      </c>
      <c r="F29736" s="40" t="s">
        <v>11404</v>
      </c>
      <c r="G29736" s="40" t="s">
        <v>11404</v>
      </c>
      <c r="H29736" s="40" t="s">
        <v>11404</v>
      </c>
    </row>
    <row r="29737">
      <c r="A29737" s="39"/>
      <c r="E29737" s="40" t="s">
        <v>11404</v>
      </c>
      <c r="F29737" s="40" t="s">
        <v>11404</v>
      </c>
      <c r="G29737" s="40" t="s">
        <v>11404</v>
      </c>
      <c r="H29737" s="40" t="s">
        <v>11404</v>
      </c>
    </row>
    <row r="29738">
      <c r="A29738" s="39"/>
      <c r="E29738" s="40" t="s">
        <v>11404</v>
      </c>
      <c r="F29738" s="40" t="s">
        <v>11404</v>
      </c>
      <c r="G29738" s="40" t="s">
        <v>11404</v>
      </c>
      <c r="H29738" s="40" t="s">
        <v>11404</v>
      </c>
    </row>
    <row r="29739">
      <c r="A29739" s="39"/>
      <c r="E29739" s="40" t="s">
        <v>11404</v>
      </c>
      <c r="F29739" s="40" t="s">
        <v>11404</v>
      </c>
      <c r="G29739" s="40" t="s">
        <v>11404</v>
      </c>
      <c r="H29739" s="40" t="s">
        <v>11404</v>
      </c>
    </row>
    <row r="29740">
      <c r="A29740" s="39"/>
      <c r="E29740" s="40" t="s">
        <v>11404</v>
      </c>
      <c r="F29740" s="40" t="s">
        <v>11404</v>
      </c>
      <c r="G29740" s="40" t="s">
        <v>11404</v>
      </c>
      <c r="H29740" s="40" t="s">
        <v>11404</v>
      </c>
    </row>
    <row r="29741">
      <c r="A29741" s="39"/>
      <c r="E29741" s="40" t="s">
        <v>11404</v>
      </c>
      <c r="F29741" s="40" t="s">
        <v>11404</v>
      </c>
      <c r="G29741" s="40" t="s">
        <v>11404</v>
      </c>
      <c r="H29741" s="40" t="s">
        <v>11404</v>
      </c>
    </row>
    <row r="29742">
      <c r="A29742" s="39"/>
      <c r="E29742" s="40" t="s">
        <v>11404</v>
      </c>
      <c r="F29742" s="40" t="s">
        <v>11404</v>
      </c>
      <c r="G29742" s="40" t="s">
        <v>11404</v>
      </c>
      <c r="H29742" s="40" t="s">
        <v>11404</v>
      </c>
    </row>
    <row r="29743">
      <c r="A29743" s="39"/>
      <c r="E29743" s="40" t="s">
        <v>11404</v>
      </c>
      <c r="F29743" s="40" t="s">
        <v>11404</v>
      </c>
      <c r="G29743" s="40" t="s">
        <v>11404</v>
      </c>
      <c r="H29743" s="40" t="s">
        <v>11404</v>
      </c>
    </row>
    <row r="29744">
      <c r="A29744" s="39"/>
      <c r="E29744" s="40" t="s">
        <v>11404</v>
      </c>
      <c r="F29744" s="40" t="s">
        <v>11404</v>
      </c>
      <c r="G29744" s="40" t="s">
        <v>11404</v>
      </c>
      <c r="H29744" s="40" t="s">
        <v>11404</v>
      </c>
    </row>
    <row r="29745">
      <c r="A29745" s="39"/>
      <c r="E29745" s="40" t="s">
        <v>11404</v>
      </c>
      <c r="F29745" s="40" t="s">
        <v>11404</v>
      </c>
      <c r="G29745" s="40" t="s">
        <v>11404</v>
      </c>
      <c r="H29745" s="40" t="s">
        <v>11404</v>
      </c>
    </row>
    <row r="29746">
      <c r="A29746" s="39"/>
      <c r="E29746" s="40" t="s">
        <v>11404</v>
      </c>
      <c r="F29746" s="40" t="s">
        <v>11404</v>
      </c>
      <c r="G29746" s="40" t="s">
        <v>11404</v>
      </c>
      <c r="H29746" s="40" t="s">
        <v>11404</v>
      </c>
    </row>
    <row r="29747">
      <c r="A29747" s="39"/>
      <c r="E29747" s="40" t="s">
        <v>11404</v>
      </c>
      <c r="F29747" s="40" t="s">
        <v>11404</v>
      </c>
      <c r="G29747" s="40" t="s">
        <v>11404</v>
      </c>
      <c r="H29747" s="40" t="s">
        <v>11404</v>
      </c>
    </row>
    <row r="29748">
      <c r="A29748" s="39"/>
      <c r="E29748" s="40" t="s">
        <v>11404</v>
      </c>
      <c r="F29748" s="40" t="s">
        <v>11404</v>
      </c>
      <c r="G29748" s="40" t="s">
        <v>11404</v>
      </c>
      <c r="H29748" s="40" t="s">
        <v>11404</v>
      </c>
    </row>
    <row r="29749">
      <c r="A29749" s="39"/>
      <c r="E29749" s="40" t="s">
        <v>11404</v>
      </c>
      <c r="F29749" s="40" t="s">
        <v>11404</v>
      </c>
      <c r="G29749" s="40" t="s">
        <v>11404</v>
      </c>
      <c r="H29749" s="40" t="s">
        <v>11404</v>
      </c>
    </row>
    <row r="29750">
      <c r="A29750" s="39"/>
      <c r="E29750" s="40" t="s">
        <v>11404</v>
      </c>
      <c r="F29750" s="40" t="s">
        <v>11404</v>
      </c>
      <c r="G29750" s="40" t="s">
        <v>11404</v>
      </c>
      <c r="H29750" s="40" t="s">
        <v>11404</v>
      </c>
    </row>
    <row r="29751">
      <c r="A29751" s="39"/>
      <c r="E29751" s="40" t="s">
        <v>11404</v>
      </c>
      <c r="F29751" s="40" t="s">
        <v>11404</v>
      </c>
      <c r="G29751" s="40" t="s">
        <v>11404</v>
      </c>
      <c r="H29751" s="40" t="s">
        <v>11404</v>
      </c>
    </row>
    <row r="29752">
      <c r="A29752" s="39"/>
      <c r="E29752" s="40" t="s">
        <v>11404</v>
      </c>
      <c r="F29752" s="40" t="s">
        <v>11404</v>
      </c>
      <c r="G29752" s="40" t="s">
        <v>11404</v>
      </c>
      <c r="H29752" s="40" t="s">
        <v>11404</v>
      </c>
    </row>
    <row r="29753">
      <c r="A29753" s="39"/>
      <c r="E29753" s="40" t="s">
        <v>11404</v>
      </c>
      <c r="F29753" s="40" t="s">
        <v>11404</v>
      </c>
      <c r="G29753" s="40" t="s">
        <v>11404</v>
      </c>
      <c r="H29753" s="40" t="s">
        <v>11404</v>
      </c>
    </row>
    <row r="29754">
      <c r="A29754" s="39"/>
      <c r="E29754" s="40" t="s">
        <v>11404</v>
      </c>
      <c r="F29754" s="40" t="s">
        <v>11404</v>
      </c>
      <c r="G29754" s="40" t="s">
        <v>11404</v>
      </c>
      <c r="H29754" s="40" t="s">
        <v>11404</v>
      </c>
    </row>
    <row r="29755">
      <c r="A29755" s="39"/>
      <c r="E29755" s="40" t="s">
        <v>11404</v>
      </c>
      <c r="F29755" s="40" t="s">
        <v>11404</v>
      </c>
      <c r="G29755" s="40" t="s">
        <v>11404</v>
      </c>
      <c r="H29755" s="40" t="s">
        <v>11404</v>
      </c>
    </row>
    <row r="29756">
      <c r="A29756" s="39"/>
      <c r="E29756" s="40" t="s">
        <v>11404</v>
      </c>
      <c r="F29756" s="40" t="s">
        <v>11404</v>
      </c>
      <c r="G29756" s="40" t="s">
        <v>11404</v>
      </c>
      <c r="H29756" s="40" t="s">
        <v>11404</v>
      </c>
    </row>
    <row r="29757">
      <c r="A29757" s="39"/>
      <c r="E29757" s="40" t="s">
        <v>11404</v>
      </c>
      <c r="F29757" s="40" t="s">
        <v>11404</v>
      </c>
      <c r="G29757" s="40" t="s">
        <v>11404</v>
      </c>
      <c r="H29757" s="40" t="s">
        <v>11404</v>
      </c>
    </row>
    <row r="29758">
      <c r="A29758" s="39"/>
      <c r="E29758" s="40" t="s">
        <v>11404</v>
      </c>
      <c r="F29758" s="40" t="s">
        <v>11404</v>
      </c>
      <c r="G29758" s="40" t="s">
        <v>11404</v>
      </c>
      <c r="H29758" s="40" t="s">
        <v>11404</v>
      </c>
    </row>
    <row r="29759">
      <c r="A29759" s="39"/>
      <c r="E29759" s="40" t="s">
        <v>11404</v>
      </c>
      <c r="F29759" s="40" t="s">
        <v>11404</v>
      </c>
      <c r="G29759" s="40" t="s">
        <v>11404</v>
      </c>
      <c r="H29759" s="40" t="s">
        <v>11404</v>
      </c>
    </row>
    <row r="29760">
      <c r="A29760" s="39"/>
      <c r="E29760" s="40" t="s">
        <v>11404</v>
      </c>
      <c r="F29760" s="40" t="s">
        <v>11404</v>
      </c>
      <c r="G29760" s="40" t="s">
        <v>11404</v>
      </c>
      <c r="H29760" s="40" t="s">
        <v>11404</v>
      </c>
    </row>
    <row r="29761">
      <c r="A29761" s="39"/>
      <c r="E29761" s="40" t="s">
        <v>11404</v>
      </c>
      <c r="F29761" s="40" t="s">
        <v>11404</v>
      </c>
      <c r="G29761" s="40" t="s">
        <v>11404</v>
      </c>
      <c r="H29761" s="40" t="s">
        <v>11404</v>
      </c>
    </row>
    <row r="29762">
      <c r="A29762" s="39"/>
      <c r="E29762" s="40" t="s">
        <v>11404</v>
      </c>
      <c r="F29762" s="40" t="s">
        <v>11404</v>
      </c>
      <c r="G29762" s="40" t="s">
        <v>11404</v>
      </c>
      <c r="H29762" s="40" t="s">
        <v>11404</v>
      </c>
    </row>
    <row r="29763">
      <c r="A29763" s="39"/>
      <c r="E29763" s="40" t="s">
        <v>11404</v>
      </c>
      <c r="F29763" s="40" t="s">
        <v>11404</v>
      </c>
      <c r="G29763" s="40" t="s">
        <v>11404</v>
      </c>
      <c r="H29763" s="40" t="s">
        <v>11404</v>
      </c>
    </row>
    <row r="29764">
      <c r="A29764" s="39"/>
      <c r="E29764" s="40" t="s">
        <v>11404</v>
      </c>
      <c r="F29764" s="40" t="s">
        <v>11404</v>
      </c>
      <c r="G29764" s="40" t="s">
        <v>11404</v>
      </c>
      <c r="H29764" s="40" t="s">
        <v>11404</v>
      </c>
    </row>
    <row r="29765">
      <c r="A29765" s="39"/>
      <c r="E29765" s="40" t="s">
        <v>11404</v>
      </c>
      <c r="F29765" s="40" t="s">
        <v>11404</v>
      </c>
      <c r="G29765" s="40" t="s">
        <v>11404</v>
      </c>
      <c r="H29765" s="40" t="s">
        <v>11404</v>
      </c>
    </row>
    <row r="29766">
      <c r="A29766" s="39"/>
      <c r="E29766" s="40" t="s">
        <v>11404</v>
      </c>
      <c r="F29766" s="40" t="s">
        <v>11404</v>
      </c>
      <c r="G29766" s="40" t="s">
        <v>11404</v>
      </c>
      <c r="H29766" s="40" t="s">
        <v>11404</v>
      </c>
    </row>
    <row r="29767">
      <c r="A29767" s="39"/>
      <c r="E29767" s="40" t="s">
        <v>11404</v>
      </c>
      <c r="F29767" s="40" t="s">
        <v>11404</v>
      </c>
      <c r="G29767" s="40" t="s">
        <v>11404</v>
      </c>
      <c r="H29767" s="40" t="s">
        <v>11404</v>
      </c>
    </row>
    <row r="29768">
      <c r="A29768" s="39"/>
      <c r="E29768" s="40" t="s">
        <v>11404</v>
      </c>
      <c r="F29768" s="40" t="s">
        <v>11404</v>
      </c>
      <c r="G29768" s="40" t="s">
        <v>11404</v>
      </c>
      <c r="H29768" s="40" t="s">
        <v>11404</v>
      </c>
    </row>
    <row r="29769">
      <c r="A29769" s="39"/>
      <c r="E29769" s="40" t="s">
        <v>11404</v>
      </c>
      <c r="F29769" s="40" t="s">
        <v>11404</v>
      </c>
      <c r="G29769" s="40" t="s">
        <v>11404</v>
      </c>
      <c r="H29769" s="40" t="s">
        <v>11404</v>
      </c>
    </row>
    <row r="29770">
      <c r="A29770" s="39"/>
      <c r="E29770" s="40" t="s">
        <v>11404</v>
      </c>
      <c r="F29770" s="40" t="s">
        <v>11404</v>
      </c>
      <c r="G29770" s="40" t="s">
        <v>11404</v>
      </c>
      <c r="H29770" s="40" t="s">
        <v>11404</v>
      </c>
    </row>
    <row r="29771">
      <c r="A29771" s="39"/>
      <c r="E29771" s="40" t="s">
        <v>11404</v>
      </c>
      <c r="F29771" s="40" t="s">
        <v>11404</v>
      </c>
      <c r="G29771" s="40" t="s">
        <v>11404</v>
      </c>
      <c r="H29771" s="40" t="s">
        <v>11404</v>
      </c>
    </row>
    <row r="29772">
      <c r="A29772" s="39"/>
      <c r="E29772" s="40" t="s">
        <v>11404</v>
      </c>
      <c r="F29772" s="40" t="s">
        <v>11404</v>
      </c>
      <c r="G29772" s="40" t="s">
        <v>11404</v>
      </c>
      <c r="H29772" s="40" t="s">
        <v>11404</v>
      </c>
    </row>
    <row r="29773">
      <c r="A29773" s="39"/>
      <c r="E29773" s="40" t="s">
        <v>11404</v>
      </c>
      <c r="F29773" s="40" t="s">
        <v>11404</v>
      </c>
      <c r="G29773" s="40" t="s">
        <v>11404</v>
      </c>
      <c r="H29773" s="40" t="s">
        <v>11404</v>
      </c>
    </row>
    <row r="29774">
      <c r="A29774" s="39"/>
      <c r="E29774" s="40" t="s">
        <v>11404</v>
      </c>
      <c r="F29774" s="40" t="s">
        <v>11404</v>
      </c>
      <c r="G29774" s="40" t="s">
        <v>11404</v>
      </c>
      <c r="H29774" s="40" t="s">
        <v>11404</v>
      </c>
    </row>
    <row r="29775">
      <c r="A29775" s="39"/>
      <c r="E29775" s="40" t="s">
        <v>11404</v>
      </c>
      <c r="F29775" s="40" t="s">
        <v>11404</v>
      </c>
      <c r="G29775" s="40" t="s">
        <v>11404</v>
      </c>
      <c r="H29775" s="40" t="s">
        <v>11404</v>
      </c>
    </row>
    <row r="29776">
      <c r="A29776" s="39"/>
      <c r="E29776" s="40" t="s">
        <v>11404</v>
      </c>
      <c r="F29776" s="40" t="s">
        <v>11404</v>
      </c>
      <c r="G29776" s="40" t="s">
        <v>11404</v>
      </c>
      <c r="H29776" s="40" t="s">
        <v>11404</v>
      </c>
    </row>
    <row r="29777">
      <c r="A29777" s="39"/>
      <c r="E29777" s="40" t="s">
        <v>11404</v>
      </c>
      <c r="F29777" s="40" t="s">
        <v>11404</v>
      </c>
      <c r="G29777" s="40" t="s">
        <v>11404</v>
      </c>
      <c r="H29777" s="40" t="s">
        <v>11404</v>
      </c>
    </row>
    <row r="29778">
      <c r="A29778" s="39"/>
      <c r="E29778" s="40" t="s">
        <v>11404</v>
      </c>
      <c r="F29778" s="40" t="s">
        <v>11404</v>
      </c>
      <c r="G29778" s="40" t="s">
        <v>11404</v>
      </c>
      <c r="H29778" s="40" t="s">
        <v>11404</v>
      </c>
    </row>
    <row r="29779">
      <c r="A29779" s="39"/>
      <c r="E29779" s="40" t="s">
        <v>11404</v>
      </c>
      <c r="F29779" s="40" t="s">
        <v>11404</v>
      </c>
      <c r="G29779" s="40" t="s">
        <v>11404</v>
      </c>
      <c r="H29779" s="40" t="s">
        <v>11404</v>
      </c>
    </row>
    <row r="29780">
      <c r="A29780" s="39"/>
      <c r="E29780" s="40" t="s">
        <v>11404</v>
      </c>
      <c r="F29780" s="40" t="s">
        <v>11404</v>
      </c>
      <c r="G29780" s="40" t="s">
        <v>11404</v>
      </c>
      <c r="H29780" s="40" t="s">
        <v>11404</v>
      </c>
    </row>
    <row r="29781">
      <c r="A29781" s="39"/>
      <c r="E29781" s="40" t="s">
        <v>11404</v>
      </c>
      <c r="F29781" s="40" t="s">
        <v>11404</v>
      </c>
      <c r="G29781" s="40" t="s">
        <v>11404</v>
      </c>
      <c r="H29781" s="40" t="s">
        <v>11404</v>
      </c>
    </row>
    <row r="29782">
      <c r="A29782" s="39"/>
      <c r="E29782" s="40" t="s">
        <v>11404</v>
      </c>
      <c r="F29782" s="40" t="s">
        <v>11404</v>
      </c>
      <c r="G29782" s="40" t="s">
        <v>11404</v>
      </c>
      <c r="H29782" s="40" t="s">
        <v>11404</v>
      </c>
    </row>
    <row r="29783">
      <c r="A29783" s="39"/>
      <c r="E29783" s="40" t="s">
        <v>11404</v>
      </c>
      <c r="F29783" s="40" t="s">
        <v>11404</v>
      </c>
      <c r="G29783" s="40" t="s">
        <v>11404</v>
      </c>
      <c r="H29783" s="40" t="s">
        <v>11404</v>
      </c>
    </row>
    <row r="29784">
      <c r="A29784" s="39"/>
      <c r="E29784" s="40" t="s">
        <v>11404</v>
      </c>
      <c r="F29784" s="40" t="s">
        <v>11404</v>
      </c>
      <c r="G29784" s="40" t="s">
        <v>11404</v>
      </c>
      <c r="H29784" s="40" t="s">
        <v>11404</v>
      </c>
    </row>
    <row r="29785">
      <c r="A29785" s="39"/>
      <c r="E29785" s="40" t="s">
        <v>11404</v>
      </c>
      <c r="F29785" s="40" t="s">
        <v>11404</v>
      </c>
      <c r="G29785" s="40" t="s">
        <v>11404</v>
      </c>
      <c r="H29785" s="40" t="s">
        <v>11404</v>
      </c>
    </row>
    <row r="29786">
      <c r="A29786" s="39"/>
      <c r="E29786" s="40" t="s">
        <v>11404</v>
      </c>
      <c r="F29786" s="40" t="s">
        <v>11404</v>
      </c>
      <c r="G29786" s="40" t="s">
        <v>11404</v>
      </c>
      <c r="H29786" s="40" t="s">
        <v>11404</v>
      </c>
    </row>
    <row r="29787">
      <c r="A29787" s="39"/>
      <c r="E29787" s="40" t="s">
        <v>11404</v>
      </c>
      <c r="F29787" s="40" t="s">
        <v>11404</v>
      </c>
      <c r="G29787" s="40" t="s">
        <v>11404</v>
      </c>
      <c r="H29787" s="40" t="s">
        <v>11404</v>
      </c>
    </row>
    <row r="29788">
      <c r="A29788" s="39"/>
      <c r="E29788" s="40" t="s">
        <v>11404</v>
      </c>
      <c r="F29788" s="40" t="s">
        <v>11404</v>
      </c>
      <c r="G29788" s="40" t="s">
        <v>11404</v>
      </c>
      <c r="H29788" s="40" t="s">
        <v>11404</v>
      </c>
    </row>
    <row r="29789">
      <c r="A29789" s="39"/>
      <c r="E29789" s="40" t="s">
        <v>11404</v>
      </c>
      <c r="F29789" s="40" t="s">
        <v>11404</v>
      </c>
      <c r="G29789" s="40" t="s">
        <v>11404</v>
      </c>
      <c r="H29789" s="40" t="s">
        <v>11404</v>
      </c>
    </row>
    <row r="29790">
      <c r="A29790" s="39"/>
      <c r="E29790" s="40" t="s">
        <v>11404</v>
      </c>
      <c r="F29790" s="40" t="s">
        <v>11404</v>
      </c>
      <c r="G29790" s="40" t="s">
        <v>11404</v>
      </c>
      <c r="H29790" s="40" t="s">
        <v>11404</v>
      </c>
    </row>
    <row r="29791">
      <c r="A29791" s="39"/>
      <c r="E29791" s="40" t="s">
        <v>11404</v>
      </c>
      <c r="F29791" s="40" t="s">
        <v>11404</v>
      </c>
      <c r="G29791" s="40" t="s">
        <v>11404</v>
      </c>
      <c r="H29791" s="40" t="s">
        <v>11404</v>
      </c>
    </row>
    <row r="29792">
      <c r="A29792" s="39"/>
      <c r="E29792" s="40" t="s">
        <v>11404</v>
      </c>
      <c r="F29792" s="40" t="s">
        <v>11404</v>
      </c>
      <c r="G29792" s="40" t="s">
        <v>11404</v>
      </c>
      <c r="H29792" s="40" t="s">
        <v>11404</v>
      </c>
    </row>
    <row r="29793">
      <c r="A29793" s="39"/>
      <c r="E29793" s="40" t="s">
        <v>11404</v>
      </c>
      <c r="F29793" s="40" t="s">
        <v>11404</v>
      </c>
      <c r="G29793" s="40" t="s">
        <v>11404</v>
      </c>
      <c r="H29793" s="40" t="s">
        <v>11404</v>
      </c>
    </row>
    <row r="29794">
      <c r="A29794" s="39"/>
      <c r="E29794" s="40" t="s">
        <v>11404</v>
      </c>
      <c r="F29794" s="40" t="s">
        <v>11404</v>
      </c>
      <c r="G29794" s="40" t="s">
        <v>11404</v>
      </c>
      <c r="H29794" s="40" t="s">
        <v>11404</v>
      </c>
    </row>
    <row r="29795">
      <c r="A29795" s="39"/>
      <c r="E29795" s="40" t="s">
        <v>11404</v>
      </c>
      <c r="F29795" s="40" t="s">
        <v>11404</v>
      </c>
      <c r="G29795" s="40" t="s">
        <v>11404</v>
      </c>
      <c r="H29795" s="40" t="s">
        <v>11404</v>
      </c>
    </row>
    <row r="29796">
      <c r="A29796" s="39"/>
      <c r="E29796" s="40" t="s">
        <v>11404</v>
      </c>
      <c r="F29796" s="40" t="s">
        <v>11404</v>
      </c>
      <c r="G29796" s="40" t="s">
        <v>11404</v>
      </c>
      <c r="H29796" s="40" t="s">
        <v>11404</v>
      </c>
    </row>
    <row r="29797">
      <c r="A29797" s="39"/>
      <c r="E29797" s="40" t="s">
        <v>11404</v>
      </c>
      <c r="F29797" s="40" t="s">
        <v>11404</v>
      </c>
      <c r="G29797" s="40" t="s">
        <v>11404</v>
      </c>
      <c r="H29797" s="40" t="s">
        <v>11404</v>
      </c>
    </row>
    <row r="29798">
      <c r="A29798" s="39"/>
      <c r="E29798" s="40" t="s">
        <v>11404</v>
      </c>
      <c r="F29798" s="40" t="s">
        <v>11404</v>
      </c>
      <c r="G29798" s="40" t="s">
        <v>11404</v>
      </c>
      <c r="H29798" s="40" t="s">
        <v>11404</v>
      </c>
    </row>
    <row r="29799">
      <c r="A29799" s="39"/>
      <c r="E29799" s="40" t="s">
        <v>11404</v>
      </c>
      <c r="F29799" s="40" t="s">
        <v>11404</v>
      </c>
      <c r="G29799" s="40" t="s">
        <v>11404</v>
      </c>
      <c r="H29799" s="40" t="s">
        <v>11404</v>
      </c>
    </row>
    <row r="29800">
      <c r="A29800" s="39"/>
      <c r="E29800" s="40" t="s">
        <v>11404</v>
      </c>
      <c r="F29800" s="40" t="s">
        <v>11404</v>
      </c>
      <c r="G29800" s="40" t="s">
        <v>11404</v>
      </c>
      <c r="H29800" s="40" t="s">
        <v>11404</v>
      </c>
    </row>
    <row r="29801">
      <c r="A29801" s="39"/>
      <c r="E29801" s="40" t="s">
        <v>11404</v>
      </c>
      <c r="F29801" s="40" t="s">
        <v>11404</v>
      </c>
      <c r="G29801" s="40" t="s">
        <v>11404</v>
      </c>
      <c r="H29801" s="40" t="s">
        <v>11404</v>
      </c>
    </row>
    <row r="29802">
      <c r="A29802" s="39"/>
      <c r="E29802" s="40" t="s">
        <v>11404</v>
      </c>
      <c r="F29802" s="40" t="s">
        <v>11404</v>
      </c>
      <c r="G29802" s="40" t="s">
        <v>11404</v>
      </c>
      <c r="H29802" s="40" t="s">
        <v>11404</v>
      </c>
    </row>
    <row r="29803">
      <c r="A29803" s="39"/>
      <c r="E29803" s="40" t="s">
        <v>11404</v>
      </c>
      <c r="F29803" s="40" t="s">
        <v>11404</v>
      </c>
      <c r="G29803" s="40" t="s">
        <v>11404</v>
      </c>
      <c r="H29803" s="40" t="s">
        <v>11404</v>
      </c>
    </row>
    <row r="29804">
      <c r="A29804" s="39"/>
      <c r="E29804" s="40" t="s">
        <v>11404</v>
      </c>
      <c r="F29804" s="40" t="s">
        <v>11404</v>
      </c>
      <c r="G29804" s="40" t="s">
        <v>11404</v>
      </c>
      <c r="H29804" s="40" t="s">
        <v>11404</v>
      </c>
    </row>
    <row r="29805">
      <c r="A29805" s="39"/>
      <c r="E29805" s="40" t="s">
        <v>11404</v>
      </c>
      <c r="F29805" s="40" t="s">
        <v>11404</v>
      </c>
      <c r="G29805" s="40" t="s">
        <v>11404</v>
      </c>
      <c r="H29805" s="40" t="s">
        <v>11404</v>
      </c>
    </row>
    <row r="29806">
      <c r="A29806" s="39"/>
      <c r="E29806" s="40" t="s">
        <v>11404</v>
      </c>
      <c r="F29806" s="40" t="s">
        <v>11404</v>
      </c>
      <c r="G29806" s="40" t="s">
        <v>11404</v>
      </c>
      <c r="H29806" s="40" t="s">
        <v>11404</v>
      </c>
    </row>
    <row r="29807">
      <c r="A29807" s="39"/>
      <c r="E29807" s="40" t="s">
        <v>11404</v>
      </c>
      <c r="F29807" s="40" t="s">
        <v>11404</v>
      </c>
      <c r="G29807" s="40" t="s">
        <v>11404</v>
      </c>
      <c r="H29807" s="40" t="s">
        <v>11404</v>
      </c>
    </row>
    <row r="29808">
      <c r="A29808" s="39"/>
      <c r="E29808" s="40" t="s">
        <v>11404</v>
      </c>
      <c r="F29808" s="40" t="s">
        <v>11404</v>
      </c>
      <c r="G29808" s="40" t="s">
        <v>11404</v>
      </c>
      <c r="H29808" s="40" t="s">
        <v>11404</v>
      </c>
    </row>
    <row r="29809">
      <c r="A29809" s="39"/>
      <c r="E29809" s="40" t="s">
        <v>11404</v>
      </c>
      <c r="F29809" s="40" t="s">
        <v>11404</v>
      </c>
      <c r="G29809" s="40" t="s">
        <v>11404</v>
      </c>
      <c r="H29809" s="40" t="s">
        <v>11404</v>
      </c>
    </row>
    <row r="29810">
      <c r="A29810" s="39"/>
      <c r="E29810" s="40" t="s">
        <v>11404</v>
      </c>
      <c r="F29810" s="40" t="s">
        <v>11404</v>
      </c>
      <c r="G29810" s="40" t="s">
        <v>11404</v>
      </c>
      <c r="H29810" s="40" t="s">
        <v>11404</v>
      </c>
    </row>
    <row r="29811">
      <c r="A29811" s="39"/>
      <c r="E29811" s="40" t="s">
        <v>11404</v>
      </c>
      <c r="F29811" s="40" t="s">
        <v>11404</v>
      </c>
      <c r="G29811" s="40" t="s">
        <v>11404</v>
      </c>
      <c r="H29811" s="40" t="s">
        <v>11404</v>
      </c>
    </row>
    <row r="29812">
      <c r="A29812" s="39"/>
      <c r="E29812" s="40" t="s">
        <v>11404</v>
      </c>
      <c r="F29812" s="40" t="s">
        <v>11404</v>
      </c>
      <c r="G29812" s="40" t="s">
        <v>11404</v>
      </c>
      <c r="H29812" s="40" t="s">
        <v>11404</v>
      </c>
    </row>
    <row r="29813">
      <c r="A29813" s="39"/>
      <c r="E29813" s="40" t="s">
        <v>11404</v>
      </c>
      <c r="F29813" s="40" t="s">
        <v>11404</v>
      </c>
      <c r="G29813" s="40" t="s">
        <v>11404</v>
      </c>
      <c r="H29813" s="40" t="s">
        <v>11404</v>
      </c>
    </row>
    <row r="29814">
      <c r="A29814" s="39"/>
      <c r="E29814" s="40" t="s">
        <v>11404</v>
      </c>
      <c r="F29814" s="40" t="s">
        <v>11404</v>
      </c>
      <c r="G29814" s="40" t="s">
        <v>11404</v>
      </c>
      <c r="H29814" s="40" t="s">
        <v>11404</v>
      </c>
    </row>
    <row r="29815">
      <c r="A29815" s="39"/>
      <c r="E29815" s="40" t="s">
        <v>11404</v>
      </c>
      <c r="F29815" s="40" t="s">
        <v>11404</v>
      </c>
      <c r="G29815" s="40" t="s">
        <v>11404</v>
      </c>
      <c r="H29815" s="40" t="s">
        <v>11404</v>
      </c>
    </row>
    <row r="29816">
      <c r="A29816" s="39"/>
      <c r="E29816" s="40" t="s">
        <v>11404</v>
      </c>
      <c r="F29816" s="40" t="s">
        <v>11404</v>
      </c>
      <c r="G29816" s="40" t="s">
        <v>11404</v>
      </c>
      <c r="H29816" s="40" t="s">
        <v>11404</v>
      </c>
    </row>
    <row r="29817">
      <c r="A29817" s="39"/>
      <c r="E29817" s="40" t="s">
        <v>11404</v>
      </c>
      <c r="F29817" s="40" t="s">
        <v>11404</v>
      </c>
      <c r="G29817" s="40" t="s">
        <v>11404</v>
      </c>
      <c r="H29817" s="40" t="s">
        <v>11404</v>
      </c>
    </row>
    <row r="29818">
      <c r="A29818" s="39"/>
      <c r="E29818" s="40" t="s">
        <v>11404</v>
      </c>
      <c r="F29818" s="40" t="s">
        <v>11404</v>
      </c>
      <c r="G29818" s="40" t="s">
        <v>11404</v>
      </c>
      <c r="H29818" s="40" t="s">
        <v>11404</v>
      </c>
    </row>
    <row r="29819">
      <c r="A29819" s="39"/>
      <c r="E29819" s="40" t="s">
        <v>11404</v>
      </c>
      <c r="F29819" s="40" t="s">
        <v>11404</v>
      </c>
      <c r="G29819" s="40" t="s">
        <v>11404</v>
      </c>
      <c r="H29819" s="40" t="s">
        <v>11404</v>
      </c>
    </row>
    <row r="29820">
      <c r="A29820" s="39"/>
      <c r="E29820" s="40" t="s">
        <v>11404</v>
      </c>
      <c r="F29820" s="40" t="s">
        <v>11404</v>
      </c>
      <c r="G29820" s="40" t="s">
        <v>11404</v>
      </c>
      <c r="H29820" s="40" t="s">
        <v>11404</v>
      </c>
    </row>
    <row r="29821">
      <c r="A29821" s="39"/>
      <c r="E29821" s="40" t="s">
        <v>11404</v>
      </c>
      <c r="F29821" s="40" t="s">
        <v>11404</v>
      </c>
      <c r="G29821" s="40" t="s">
        <v>11404</v>
      </c>
      <c r="H29821" s="40" t="s">
        <v>11404</v>
      </c>
    </row>
    <row r="29822">
      <c r="A29822" s="39"/>
      <c r="E29822" s="40" t="s">
        <v>11404</v>
      </c>
      <c r="F29822" s="40" t="s">
        <v>11404</v>
      </c>
      <c r="G29822" s="40" t="s">
        <v>11404</v>
      </c>
      <c r="H29822" s="40" t="s">
        <v>11404</v>
      </c>
    </row>
    <row r="29823">
      <c r="A29823" s="39"/>
      <c r="E29823" s="40" t="s">
        <v>11404</v>
      </c>
      <c r="F29823" s="40" t="s">
        <v>11404</v>
      </c>
      <c r="G29823" s="40" t="s">
        <v>11404</v>
      </c>
      <c r="H29823" s="40" t="s">
        <v>11404</v>
      </c>
    </row>
    <row r="29824">
      <c r="A29824" s="39"/>
      <c r="E29824" s="40" t="s">
        <v>11404</v>
      </c>
      <c r="F29824" s="40" t="s">
        <v>11404</v>
      </c>
      <c r="G29824" s="40" t="s">
        <v>11404</v>
      </c>
      <c r="H29824" s="40" t="s">
        <v>11404</v>
      </c>
    </row>
    <row r="29825">
      <c r="A29825" s="39"/>
      <c r="E29825" s="40" t="s">
        <v>11404</v>
      </c>
      <c r="F29825" s="40" t="s">
        <v>11404</v>
      </c>
      <c r="G29825" s="40" t="s">
        <v>11404</v>
      </c>
      <c r="H29825" s="40" t="s">
        <v>11404</v>
      </c>
    </row>
    <row r="29826">
      <c r="A29826" s="39"/>
      <c r="E29826" s="40" t="s">
        <v>11404</v>
      </c>
      <c r="F29826" s="40" t="s">
        <v>11404</v>
      </c>
      <c r="G29826" s="40" t="s">
        <v>11404</v>
      </c>
      <c r="H29826" s="40" t="s">
        <v>11404</v>
      </c>
    </row>
    <row r="29827">
      <c r="A29827" s="39"/>
      <c r="E29827" s="40" t="s">
        <v>11404</v>
      </c>
      <c r="F29827" s="40" t="s">
        <v>11404</v>
      </c>
      <c r="G29827" s="40" t="s">
        <v>11404</v>
      </c>
      <c r="H29827" s="40" t="s">
        <v>11404</v>
      </c>
    </row>
    <row r="29828">
      <c r="A29828" s="39"/>
      <c r="E29828" s="40" t="s">
        <v>11404</v>
      </c>
      <c r="F29828" s="40" t="s">
        <v>11404</v>
      </c>
      <c r="G29828" s="40" t="s">
        <v>11404</v>
      </c>
      <c r="H29828" s="40" t="s">
        <v>11404</v>
      </c>
    </row>
    <row r="29829">
      <c r="A29829" s="39"/>
      <c r="E29829" s="40" t="s">
        <v>11404</v>
      </c>
      <c r="F29829" s="40" t="s">
        <v>11404</v>
      </c>
      <c r="G29829" s="40" t="s">
        <v>11404</v>
      </c>
      <c r="H29829" s="40" t="s">
        <v>11404</v>
      </c>
    </row>
    <row r="29830">
      <c r="A29830" s="39"/>
      <c r="E29830" s="40" t="s">
        <v>11404</v>
      </c>
      <c r="F29830" s="40" t="s">
        <v>11404</v>
      </c>
      <c r="G29830" s="40" t="s">
        <v>11404</v>
      </c>
      <c r="H29830" s="40" t="s">
        <v>11404</v>
      </c>
    </row>
    <row r="29831">
      <c r="A29831" s="39"/>
      <c r="E29831" s="40" t="s">
        <v>11404</v>
      </c>
      <c r="F29831" s="40" t="s">
        <v>11404</v>
      </c>
      <c r="G29831" s="40" t="s">
        <v>11404</v>
      </c>
      <c r="H29831" s="40" t="s">
        <v>11404</v>
      </c>
    </row>
    <row r="29832">
      <c r="A29832" s="39"/>
      <c r="E29832" s="40" t="s">
        <v>11404</v>
      </c>
      <c r="F29832" s="40" t="s">
        <v>11404</v>
      </c>
      <c r="G29832" s="40" t="s">
        <v>11404</v>
      </c>
      <c r="H29832" s="40" t="s">
        <v>11404</v>
      </c>
    </row>
    <row r="29833">
      <c r="A29833" s="39"/>
      <c r="E29833" s="40" t="s">
        <v>11404</v>
      </c>
      <c r="F29833" s="40" t="s">
        <v>11404</v>
      </c>
      <c r="G29833" s="40" t="s">
        <v>11404</v>
      </c>
      <c r="H29833" s="40" t="s">
        <v>11404</v>
      </c>
    </row>
    <row r="29834">
      <c r="A29834" s="39"/>
      <c r="E29834" s="40" t="s">
        <v>11404</v>
      </c>
      <c r="F29834" s="40" t="s">
        <v>11404</v>
      </c>
      <c r="G29834" s="40" t="s">
        <v>11404</v>
      </c>
      <c r="H29834" s="40" t="s">
        <v>11404</v>
      </c>
    </row>
    <row r="29835">
      <c r="A29835" s="39"/>
      <c r="E29835" s="40" t="s">
        <v>11404</v>
      </c>
      <c r="F29835" s="40" t="s">
        <v>11404</v>
      </c>
      <c r="G29835" s="40" t="s">
        <v>11404</v>
      </c>
      <c r="H29835" s="40" t="s">
        <v>11404</v>
      </c>
    </row>
    <row r="29836">
      <c r="A29836" s="39"/>
      <c r="E29836" s="40" t="s">
        <v>11404</v>
      </c>
      <c r="F29836" s="40" t="s">
        <v>11404</v>
      </c>
      <c r="G29836" s="40" t="s">
        <v>11404</v>
      </c>
      <c r="H29836" s="40" t="s">
        <v>11404</v>
      </c>
    </row>
    <row r="29837">
      <c r="A29837" s="39"/>
      <c r="E29837" s="40" t="s">
        <v>11404</v>
      </c>
      <c r="F29837" s="40" t="s">
        <v>11404</v>
      </c>
      <c r="G29837" s="40" t="s">
        <v>11404</v>
      </c>
      <c r="H29837" s="40" t="s">
        <v>11404</v>
      </c>
    </row>
    <row r="29838">
      <c r="A29838" s="39"/>
      <c r="E29838" s="40" t="s">
        <v>11404</v>
      </c>
      <c r="F29838" s="40" t="s">
        <v>11404</v>
      </c>
      <c r="G29838" s="40" t="s">
        <v>11404</v>
      </c>
      <c r="H29838" s="40" t="s">
        <v>11404</v>
      </c>
    </row>
    <row r="29839">
      <c r="A29839" s="39"/>
      <c r="E29839" s="40" t="s">
        <v>11404</v>
      </c>
      <c r="F29839" s="40" t="s">
        <v>11404</v>
      </c>
      <c r="G29839" s="40" t="s">
        <v>11404</v>
      </c>
      <c r="H29839" s="40" t="s">
        <v>11404</v>
      </c>
    </row>
    <row r="29840">
      <c r="A29840" s="39"/>
      <c r="E29840" s="40" t="s">
        <v>11404</v>
      </c>
      <c r="F29840" s="40" t="s">
        <v>11404</v>
      </c>
      <c r="G29840" s="40" t="s">
        <v>11404</v>
      </c>
      <c r="H29840" s="40" t="s">
        <v>11404</v>
      </c>
    </row>
    <row r="29841">
      <c r="A29841" s="39"/>
      <c r="E29841" s="40" t="s">
        <v>11404</v>
      </c>
      <c r="F29841" s="40" t="s">
        <v>11404</v>
      </c>
      <c r="G29841" s="40" t="s">
        <v>11404</v>
      </c>
      <c r="H29841" s="40" t="s">
        <v>11404</v>
      </c>
    </row>
    <row r="29842">
      <c r="A29842" s="39"/>
      <c r="E29842" s="40" t="s">
        <v>11404</v>
      </c>
      <c r="F29842" s="40" t="s">
        <v>11404</v>
      </c>
      <c r="G29842" s="40" t="s">
        <v>11404</v>
      </c>
      <c r="H29842" s="40" t="s">
        <v>11404</v>
      </c>
    </row>
    <row r="29843">
      <c r="A29843" s="39"/>
      <c r="E29843" s="40" t="s">
        <v>11404</v>
      </c>
      <c r="F29843" s="40" t="s">
        <v>11404</v>
      </c>
      <c r="G29843" s="40" t="s">
        <v>11404</v>
      </c>
      <c r="H29843" s="40" t="s">
        <v>11404</v>
      </c>
    </row>
    <row r="29844">
      <c r="A29844" s="39"/>
      <c r="E29844" s="40" t="s">
        <v>11404</v>
      </c>
      <c r="F29844" s="40" t="s">
        <v>11404</v>
      </c>
      <c r="G29844" s="40" t="s">
        <v>11404</v>
      </c>
      <c r="H29844" s="40" t="s">
        <v>11404</v>
      </c>
    </row>
    <row r="29845">
      <c r="A29845" s="39"/>
      <c r="E29845" s="40" t="s">
        <v>11404</v>
      </c>
      <c r="F29845" s="40" t="s">
        <v>11404</v>
      </c>
      <c r="G29845" s="40" t="s">
        <v>11404</v>
      </c>
      <c r="H29845" s="40" t="s">
        <v>11404</v>
      </c>
    </row>
    <row r="29846">
      <c r="A29846" s="39"/>
      <c r="E29846" s="40" t="s">
        <v>11404</v>
      </c>
      <c r="F29846" s="40" t="s">
        <v>11404</v>
      </c>
      <c r="G29846" s="40" t="s">
        <v>11404</v>
      </c>
      <c r="H29846" s="40" t="s">
        <v>11404</v>
      </c>
    </row>
    <row r="29847">
      <c r="A29847" s="39"/>
      <c r="E29847" s="40" t="s">
        <v>11404</v>
      </c>
      <c r="F29847" s="40" t="s">
        <v>11404</v>
      </c>
      <c r="G29847" s="40" t="s">
        <v>11404</v>
      </c>
      <c r="H29847" s="40" t="s">
        <v>11404</v>
      </c>
    </row>
    <row r="29848">
      <c r="A29848" s="39"/>
      <c r="E29848" s="40" t="s">
        <v>11404</v>
      </c>
      <c r="F29848" s="40" t="s">
        <v>11404</v>
      </c>
      <c r="G29848" s="40" t="s">
        <v>11404</v>
      </c>
      <c r="H29848" s="40" t="s">
        <v>11404</v>
      </c>
    </row>
    <row r="29849">
      <c r="A29849" s="39"/>
      <c r="E29849" s="40" t="s">
        <v>11404</v>
      </c>
      <c r="F29849" s="40" t="s">
        <v>11404</v>
      </c>
      <c r="G29849" s="40" t="s">
        <v>11404</v>
      </c>
      <c r="H29849" s="40" t="s">
        <v>11404</v>
      </c>
    </row>
    <row r="29850">
      <c r="A29850" s="39"/>
      <c r="E29850" s="40" t="s">
        <v>11404</v>
      </c>
      <c r="F29850" s="40" t="s">
        <v>11404</v>
      </c>
      <c r="G29850" s="40" t="s">
        <v>11404</v>
      </c>
      <c r="H29850" s="40" t="s">
        <v>11404</v>
      </c>
    </row>
    <row r="29851">
      <c r="A29851" s="39"/>
      <c r="E29851" s="40" t="s">
        <v>11404</v>
      </c>
      <c r="F29851" s="40" t="s">
        <v>11404</v>
      </c>
      <c r="G29851" s="40" t="s">
        <v>11404</v>
      </c>
      <c r="H29851" s="40" t="s">
        <v>11404</v>
      </c>
    </row>
    <row r="29852">
      <c r="A29852" s="39"/>
      <c r="E29852" s="40" t="s">
        <v>11404</v>
      </c>
      <c r="F29852" s="40" t="s">
        <v>11404</v>
      </c>
      <c r="G29852" s="40" t="s">
        <v>11404</v>
      </c>
      <c r="H29852" s="40" t="s">
        <v>11404</v>
      </c>
    </row>
    <row r="29853">
      <c r="A29853" s="39"/>
      <c r="E29853" s="40" t="s">
        <v>11404</v>
      </c>
      <c r="F29853" s="40" t="s">
        <v>11404</v>
      </c>
      <c r="G29853" s="40" t="s">
        <v>11404</v>
      </c>
      <c r="H29853" s="40" t="s">
        <v>11404</v>
      </c>
    </row>
    <row r="29854">
      <c r="A29854" s="39"/>
      <c r="E29854" s="40" t="s">
        <v>11404</v>
      </c>
      <c r="F29854" s="40" t="s">
        <v>11404</v>
      </c>
      <c r="G29854" s="40" t="s">
        <v>11404</v>
      </c>
      <c r="H29854" s="40" t="s">
        <v>11404</v>
      </c>
    </row>
    <row r="29855">
      <c r="A29855" s="39"/>
      <c r="E29855" s="40" t="s">
        <v>11404</v>
      </c>
      <c r="F29855" s="40" t="s">
        <v>11404</v>
      </c>
      <c r="G29855" s="40" t="s">
        <v>11404</v>
      </c>
      <c r="H29855" s="40" t="s">
        <v>11404</v>
      </c>
    </row>
    <row r="29856">
      <c r="A29856" s="39"/>
      <c r="E29856" s="40" t="s">
        <v>11404</v>
      </c>
      <c r="F29856" s="40" t="s">
        <v>11404</v>
      </c>
      <c r="G29856" s="40" t="s">
        <v>11404</v>
      </c>
      <c r="H29856" s="40" t="s">
        <v>11404</v>
      </c>
    </row>
    <row r="29857">
      <c r="A29857" s="39"/>
      <c r="E29857" s="40" t="s">
        <v>11404</v>
      </c>
      <c r="F29857" s="40" t="s">
        <v>11404</v>
      </c>
      <c r="G29857" s="40" t="s">
        <v>11404</v>
      </c>
      <c r="H29857" s="40" t="s">
        <v>11404</v>
      </c>
    </row>
    <row r="29858">
      <c r="A29858" s="39"/>
      <c r="E29858" s="40" t="s">
        <v>11404</v>
      </c>
      <c r="F29858" s="40" t="s">
        <v>11404</v>
      </c>
      <c r="G29858" s="40" t="s">
        <v>11404</v>
      </c>
      <c r="H29858" s="40" t="s">
        <v>11404</v>
      </c>
    </row>
    <row r="29859">
      <c r="A29859" s="39"/>
      <c r="E29859" s="40" t="s">
        <v>11404</v>
      </c>
      <c r="F29859" s="40" t="s">
        <v>11404</v>
      </c>
      <c r="G29859" s="40" t="s">
        <v>11404</v>
      </c>
      <c r="H29859" s="40" t="s">
        <v>11404</v>
      </c>
    </row>
    <row r="29860">
      <c r="A29860" s="39"/>
      <c r="E29860" s="40" t="s">
        <v>11404</v>
      </c>
      <c r="F29860" s="40" t="s">
        <v>11404</v>
      </c>
      <c r="G29860" s="40" t="s">
        <v>11404</v>
      </c>
      <c r="H29860" s="40" t="s">
        <v>11404</v>
      </c>
    </row>
    <row r="29861">
      <c r="A29861" s="39"/>
      <c r="E29861" s="40" t="s">
        <v>11404</v>
      </c>
      <c r="F29861" s="40" t="s">
        <v>11404</v>
      </c>
      <c r="G29861" s="40" t="s">
        <v>11404</v>
      </c>
      <c r="H29861" s="40" t="s">
        <v>11404</v>
      </c>
    </row>
    <row r="29862">
      <c r="A29862" s="39"/>
      <c r="E29862" s="40" t="s">
        <v>11404</v>
      </c>
      <c r="F29862" s="40" t="s">
        <v>11404</v>
      </c>
      <c r="G29862" s="40" t="s">
        <v>11404</v>
      </c>
      <c r="H29862" s="40" t="s">
        <v>11404</v>
      </c>
    </row>
    <row r="29863">
      <c r="A29863" s="39"/>
      <c r="E29863" s="40" t="s">
        <v>11404</v>
      </c>
      <c r="F29863" s="40" t="s">
        <v>11404</v>
      </c>
      <c r="G29863" s="40" t="s">
        <v>11404</v>
      </c>
      <c r="H29863" s="40" t="s">
        <v>11404</v>
      </c>
    </row>
    <row r="29864">
      <c r="A29864" s="39"/>
      <c r="E29864" s="40" t="s">
        <v>11404</v>
      </c>
      <c r="F29864" s="40" t="s">
        <v>11404</v>
      </c>
      <c r="G29864" s="40" t="s">
        <v>11404</v>
      </c>
      <c r="H29864" s="40" t="s">
        <v>11404</v>
      </c>
    </row>
    <row r="29865">
      <c r="A29865" s="39"/>
      <c r="E29865" s="40" t="s">
        <v>11404</v>
      </c>
      <c r="F29865" s="40" t="s">
        <v>11404</v>
      </c>
      <c r="G29865" s="40" t="s">
        <v>11404</v>
      </c>
      <c r="H29865" s="40" t="s">
        <v>11404</v>
      </c>
    </row>
    <row r="29866">
      <c r="A29866" s="39"/>
      <c r="E29866" s="40" t="s">
        <v>11404</v>
      </c>
      <c r="F29866" s="40" t="s">
        <v>11404</v>
      </c>
      <c r="G29866" s="40" t="s">
        <v>11404</v>
      </c>
      <c r="H29866" s="40" t="s">
        <v>11404</v>
      </c>
    </row>
    <row r="29867">
      <c r="A29867" s="39"/>
      <c r="E29867" s="40" t="s">
        <v>11404</v>
      </c>
      <c r="F29867" s="40" t="s">
        <v>11404</v>
      </c>
      <c r="G29867" s="40" t="s">
        <v>11404</v>
      </c>
      <c r="H29867" s="40" t="s">
        <v>11404</v>
      </c>
    </row>
    <row r="29868">
      <c r="A29868" s="39"/>
      <c r="E29868" s="40" t="s">
        <v>11404</v>
      </c>
      <c r="F29868" s="40" t="s">
        <v>11404</v>
      </c>
      <c r="G29868" s="40" t="s">
        <v>11404</v>
      </c>
      <c r="H29868" s="40" t="s">
        <v>11404</v>
      </c>
    </row>
    <row r="29869">
      <c r="A29869" s="39"/>
      <c r="E29869" s="40" t="s">
        <v>11404</v>
      </c>
      <c r="F29869" s="40" t="s">
        <v>11404</v>
      </c>
      <c r="G29869" s="40" t="s">
        <v>11404</v>
      </c>
      <c r="H29869" s="40" t="s">
        <v>11404</v>
      </c>
    </row>
    <row r="29870">
      <c r="A29870" s="39"/>
      <c r="E29870" s="40" t="s">
        <v>11404</v>
      </c>
      <c r="F29870" s="40" t="s">
        <v>11404</v>
      </c>
      <c r="G29870" s="40" t="s">
        <v>11404</v>
      </c>
      <c r="H29870" s="40" t="s">
        <v>11404</v>
      </c>
    </row>
    <row r="29871">
      <c r="A29871" s="39"/>
      <c r="E29871" s="40" t="s">
        <v>11404</v>
      </c>
      <c r="F29871" s="40" t="s">
        <v>11404</v>
      </c>
      <c r="G29871" s="40" t="s">
        <v>11404</v>
      </c>
      <c r="H29871" s="40" t="s">
        <v>11404</v>
      </c>
    </row>
    <row r="29872">
      <c r="A29872" s="39"/>
      <c r="E29872" s="40" t="s">
        <v>11404</v>
      </c>
      <c r="F29872" s="40" t="s">
        <v>11404</v>
      </c>
      <c r="G29872" s="40" t="s">
        <v>11404</v>
      </c>
      <c r="H29872" s="40" t="s">
        <v>11404</v>
      </c>
    </row>
    <row r="29873">
      <c r="A29873" s="39"/>
      <c r="E29873" s="40" t="s">
        <v>11404</v>
      </c>
      <c r="F29873" s="40" t="s">
        <v>11404</v>
      </c>
      <c r="G29873" s="40" t="s">
        <v>11404</v>
      </c>
      <c r="H29873" s="40" t="s">
        <v>11404</v>
      </c>
    </row>
    <row r="29874">
      <c r="A29874" s="39"/>
      <c r="E29874" s="40" t="s">
        <v>11404</v>
      </c>
      <c r="F29874" s="40" t="s">
        <v>11404</v>
      </c>
      <c r="G29874" s="40" t="s">
        <v>11404</v>
      </c>
      <c r="H29874" s="40" t="s">
        <v>11404</v>
      </c>
    </row>
    <row r="29875">
      <c r="A29875" s="39"/>
      <c r="E29875" s="40" t="s">
        <v>11404</v>
      </c>
      <c r="F29875" s="40" t="s">
        <v>11404</v>
      </c>
      <c r="G29875" s="40" t="s">
        <v>11404</v>
      </c>
      <c r="H29875" s="40" t="s">
        <v>11404</v>
      </c>
    </row>
    <row r="29876">
      <c r="A29876" s="39"/>
      <c r="E29876" s="40" t="s">
        <v>11404</v>
      </c>
      <c r="F29876" s="40" t="s">
        <v>11404</v>
      </c>
      <c r="G29876" s="40" t="s">
        <v>11404</v>
      </c>
      <c r="H29876" s="40" t="s">
        <v>11404</v>
      </c>
    </row>
    <row r="29877">
      <c r="A29877" s="39"/>
      <c r="E29877" s="40" t="s">
        <v>11404</v>
      </c>
      <c r="F29877" s="40" t="s">
        <v>11404</v>
      </c>
      <c r="G29877" s="40" t="s">
        <v>11404</v>
      </c>
      <c r="H29877" s="40" t="s">
        <v>11404</v>
      </c>
    </row>
    <row r="29878">
      <c r="A29878" s="39"/>
      <c r="E29878" s="40" t="s">
        <v>11404</v>
      </c>
      <c r="F29878" s="40" t="s">
        <v>11404</v>
      </c>
      <c r="G29878" s="40" t="s">
        <v>11404</v>
      </c>
      <c r="H29878" s="40" t="s">
        <v>11404</v>
      </c>
    </row>
    <row r="29879">
      <c r="A29879" s="39"/>
      <c r="E29879" s="40" t="s">
        <v>11404</v>
      </c>
      <c r="F29879" s="40" t="s">
        <v>11404</v>
      </c>
      <c r="G29879" s="40" t="s">
        <v>11404</v>
      </c>
      <c r="H29879" s="40" t="s">
        <v>11404</v>
      </c>
    </row>
    <row r="29880">
      <c r="A29880" s="39"/>
      <c r="E29880" s="40" t="s">
        <v>11404</v>
      </c>
      <c r="F29880" s="40" t="s">
        <v>11404</v>
      </c>
      <c r="G29880" s="40" t="s">
        <v>11404</v>
      </c>
      <c r="H29880" s="40" t="s">
        <v>11404</v>
      </c>
    </row>
    <row r="29881">
      <c r="A29881" s="39"/>
      <c r="E29881" s="40" t="s">
        <v>11404</v>
      </c>
      <c r="F29881" s="40" t="s">
        <v>11404</v>
      </c>
      <c r="G29881" s="40" t="s">
        <v>11404</v>
      </c>
      <c r="H29881" s="40" t="s">
        <v>11404</v>
      </c>
    </row>
    <row r="29882">
      <c r="A29882" s="39"/>
      <c r="E29882" s="40" t="s">
        <v>11404</v>
      </c>
      <c r="F29882" s="40" t="s">
        <v>11404</v>
      </c>
      <c r="G29882" s="40" t="s">
        <v>11404</v>
      </c>
      <c r="H29882" s="40" t="s">
        <v>11404</v>
      </c>
    </row>
    <row r="29883">
      <c r="A29883" s="39"/>
      <c r="E29883" s="40" t="s">
        <v>11404</v>
      </c>
      <c r="F29883" s="40" t="s">
        <v>11404</v>
      </c>
      <c r="G29883" s="40" t="s">
        <v>11404</v>
      </c>
      <c r="H29883" s="40" t="s">
        <v>11404</v>
      </c>
    </row>
    <row r="29884">
      <c r="A29884" s="39"/>
      <c r="E29884" s="40" t="s">
        <v>11404</v>
      </c>
      <c r="F29884" s="40" t="s">
        <v>11404</v>
      </c>
      <c r="G29884" s="40" t="s">
        <v>11404</v>
      </c>
      <c r="H29884" s="40" t="s">
        <v>11404</v>
      </c>
    </row>
    <row r="29885">
      <c r="A29885" s="39"/>
      <c r="E29885" s="40" t="s">
        <v>11404</v>
      </c>
      <c r="F29885" s="40" t="s">
        <v>11404</v>
      </c>
      <c r="G29885" s="40" t="s">
        <v>11404</v>
      </c>
      <c r="H29885" s="40" t="s">
        <v>11404</v>
      </c>
    </row>
    <row r="29886">
      <c r="A29886" s="39"/>
      <c r="E29886" s="40" t="s">
        <v>11404</v>
      </c>
      <c r="F29886" s="40" t="s">
        <v>11404</v>
      </c>
      <c r="G29886" s="40" t="s">
        <v>11404</v>
      </c>
      <c r="H29886" s="40" t="s">
        <v>11404</v>
      </c>
    </row>
    <row r="29887">
      <c r="A29887" s="39"/>
      <c r="E29887" s="40" t="s">
        <v>11404</v>
      </c>
      <c r="F29887" s="40" t="s">
        <v>11404</v>
      </c>
      <c r="G29887" s="40" t="s">
        <v>11404</v>
      </c>
      <c r="H29887" s="40" t="s">
        <v>11404</v>
      </c>
    </row>
    <row r="29888">
      <c r="A29888" s="39"/>
      <c r="E29888" s="40" t="s">
        <v>11404</v>
      </c>
      <c r="F29888" s="40" t="s">
        <v>11404</v>
      </c>
      <c r="G29888" s="40" t="s">
        <v>11404</v>
      </c>
      <c r="H29888" s="40" t="s">
        <v>11404</v>
      </c>
    </row>
    <row r="29889">
      <c r="A29889" s="39"/>
      <c r="E29889" s="40" t="s">
        <v>11404</v>
      </c>
      <c r="F29889" s="40" t="s">
        <v>11404</v>
      </c>
      <c r="G29889" s="40" t="s">
        <v>11404</v>
      </c>
      <c r="H29889" s="40" t="s">
        <v>11404</v>
      </c>
    </row>
    <row r="29890">
      <c r="A29890" s="39"/>
      <c r="E29890" s="40" t="s">
        <v>11404</v>
      </c>
      <c r="F29890" s="40" t="s">
        <v>11404</v>
      </c>
      <c r="G29890" s="40" t="s">
        <v>11404</v>
      </c>
      <c r="H29890" s="40" t="s">
        <v>11404</v>
      </c>
    </row>
    <row r="29891">
      <c r="A29891" s="39"/>
      <c r="E29891" s="40" t="s">
        <v>11404</v>
      </c>
      <c r="F29891" s="40" t="s">
        <v>11404</v>
      </c>
      <c r="G29891" s="40" t="s">
        <v>11404</v>
      </c>
      <c r="H29891" s="40" t="s">
        <v>11404</v>
      </c>
    </row>
    <row r="29892">
      <c r="A29892" s="39"/>
      <c r="E29892" s="40" t="s">
        <v>11404</v>
      </c>
      <c r="F29892" s="40" t="s">
        <v>11404</v>
      </c>
      <c r="G29892" s="40" t="s">
        <v>11404</v>
      </c>
      <c r="H29892" s="40" t="s">
        <v>11404</v>
      </c>
    </row>
    <row r="29893">
      <c r="A29893" s="39"/>
      <c r="E29893" s="40" t="s">
        <v>11404</v>
      </c>
      <c r="F29893" s="40" t="s">
        <v>11404</v>
      </c>
      <c r="G29893" s="40" t="s">
        <v>11404</v>
      </c>
      <c r="H29893" s="40" t="s">
        <v>11404</v>
      </c>
    </row>
    <row r="29894">
      <c r="A29894" s="39"/>
      <c r="E29894" s="40" t="s">
        <v>11404</v>
      </c>
      <c r="F29894" s="40" t="s">
        <v>11404</v>
      </c>
      <c r="G29894" s="40" t="s">
        <v>11404</v>
      </c>
      <c r="H29894" s="40" t="s">
        <v>11404</v>
      </c>
    </row>
    <row r="29895">
      <c r="A29895" s="39"/>
      <c r="E29895" s="40" t="s">
        <v>11404</v>
      </c>
      <c r="F29895" s="40" t="s">
        <v>11404</v>
      </c>
      <c r="G29895" s="40" t="s">
        <v>11404</v>
      </c>
      <c r="H29895" s="40" t="s">
        <v>11404</v>
      </c>
    </row>
    <row r="29896">
      <c r="A29896" s="39"/>
      <c r="E29896" s="40" t="s">
        <v>11404</v>
      </c>
      <c r="F29896" s="40" t="s">
        <v>11404</v>
      </c>
      <c r="G29896" s="40" t="s">
        <v>11404</v>
      </c>
      <c r="H29896" s="40" t="s">
        <v>11404</v>
      </c>
    </row>
    <row r="29897">
      <c r="A29897" s="39"/>
      <c r="E29897" s="40" t="s">
        <v>11404</v>
      </c>
      <c r="F29897" s="40" t="s">
        <v>11404</v>
      </c>
      <c r="G29897" s="40" t="s">
        <v>11404</v>
      </c>
      <c r="H29897" s="40" t="s">
        <v>11404</v>
      </c>
    </row>
    <row r="29898">
      <c r="A29898" s="39"/>
      <c r="E29898" s="40" t="s">
        <v>11404</v>
      </c>
      <c r="F29898" s="40" t="s">
        <v>11404</v>
      </c>
      <c r="G29898" s="40" t="s">
        <v>11404</v>
      </c>
      <c r="H29898" s="40" t="s">
        <v>11404</v>
      </c>
    </row>
    <row r="29899">
      <c r="A29899" s="39"/>
      <c r="E29899" s="40" t="s">
        <v>11404</v>
      </c>
      <c r="F29899" s="40" t="s">
        <v>11404</v>
      </c>
      <c r="G29899" s="40" t="s">
        <v>11404</v>
      </c>
      <c r="H29899" s="40" t="s">
        <v>11404</v>
      </c>
    </row>
    <row r="29900">
      <c r="A29900" s="39"/>
      <c r="E29900" s="40" t="s">
        <v>11404</v>
      </c>
      <c r="F29900" s="40" t="s">
        <v>11404</v>
      </c>
      <c r="G29900" s="40" t="s">
        <v>11404</v>
      </c>
      <c r="H29900" s="40" t="s">
        <v>11404</v>
      </c>
    </row>
    <row r="29901">
      <c r="A29901" s="39"/>
      <c r="E29901" s="40" t="s">
        <v>11404</v>
      </c>
      <c r="F29901" s="40" t="s">
        <v>11404</v>
      </c>
      <c r="G29901" s="40" t="s">
        <v>11404</v>
      </c>
      <c r="H29901" s="40" t="s">
        <v>11404</v>
      </c>
    </row>
    <row r="29902">
      <c r="A29902" s="39"/>
      <c r="E29902" s="40" t="s">
        <v>11404</v>
      </c>
      <c r="F29902" s="40" t="s">
        <v>11404</v>
      </c>
      <c r="G29902" s="40" t="s">
        <v>11404</v>
      </c>
      <c r="H29902" s="40" t="s">
        <v>11404</v>
      </c>
    </row>
    <row r="29903">
      <c r="A29903" s="39"/>
      <c r="E29903" s="40" t="s">
        <v>11404</v>
      </c>
      <c r="F29903" s="40" t="s">
        <v>11404</v>
      </c>
      <c r="G29903" s="40" t="s">
        <v>11404</v>
      </c>
      <c r="H29903" s="40" t="s">
        <v>11404</v>
      </c>
    </row>
    <row r="29904">
      <c r="A29904" s="39"/>
      <c r="E29904" s="40" t="s">
        <v>11404</v>
      </c>
      <c r="F29904" s="40" t="s">
        <v>11404</v>
      </c>
      <c r="G29904" s="40" t="s">
        <v>11404</v>
      </c>
      <c r="H29904" s="40" t="s">
        <v>11404</v>
      </c>
    </row>
    <row r="29905">
      <c r="A29905" s="39"/>
      <c r="E29905" s="40" t="s">
        <v>11404</v>
      </c>
      <c r="F29905" s="40" t="s">
        <v>11404</v>
      </c>
      <c r="G29905" s="40" t="s">
        <v>11404</v>
      </c>
      <c r="H29905" s="40" t="s">
        <v>11404</v>
      </c>
    </row>
    <row r="29906">
      <c r="A29906" s="39"/>
      <c r="E29906" s="40" t="s">
        <v>11404</v>
      </c>
      <c r="F29906" s="40" t="s">
        <v>11404</v>
      </c>
      <c r="G29906" s="40" t="s">
        <v>11404</v>
      </c>
      <c r="H29906" s="40" t="s">
        <v>11404</v>
      </c>
    </row>
    <row r="29907">
      <c r="A29907" s="39"/>
      <c r="E29907" s="40" t="s">
        <v>11404</v>
      </c>
      <c r="F29907" s="40" t="s">
        <v>11404</v>
      </c>
      <c r="G29907" s="40" t="s">
        <v>11404</v>
      </c>
      <c r="H29907" s="40" t="s">
        <v>11404</v>
      </c>
    </row>
    <row r="29908">
      <c r="A29908" s="39"/>
      <c r="E29908" s="40" t="s">
        <v>11404</v>
      </c>
      <c r="F29908" s="40" t="s">
        <v>11404</v>
      </c>
      <c r="G29908" s="40" t="s">
        <v>11404</v>
      </c>
      <c r="H29908" s="40" t="s">
        <v>11404</v>
      </c>
    </row>
    <row r="29909">
      <c r="A29909" s="39"/>
      <c r="E29909" s="40" t="s">
        <v>11404</v>
      </c>
      <c r="F29909" s="40" t="s">
        <v>11404</v>
      </c>
      <c r="G29909" s="40" t="s">
        <v>11404</v>
      </c>
      <c r="H29909" s="40" t="s">
        <v>11404</v>
      </c>
    </row>
    <row r="29910">
      <c r="A29910" s="39"/>
      <c r="E29910" s="40" t="s">
        <v>11404</v>
      </c>
      <c r="F29910" s="40" t="s">
        <v>11404</v>
      </c>
      <c r="G29910" s="40" t="s">
        <v>11404</v>
      </c>
      <c r="H29910" s="40" t="s">
        <v>11404</v>
      </c>
    </row>
    <row r="29911">
      <c r="A29911" s="39"/>
      <c r="E29911" s="40" t="s">
        <v>11404</v>
      </c>
      <c r="F29911" s="40" t="s">
        <v>11404</v>
      </c>
      <c r="G29911" s="40" t="s">
        <v>11404</v>
      </c>
      <c r="H29911" s="40" t="s">
        <v>11404</v>
      </c>
    </row>
    <row r="29912">
      <c r="A29912" s="39"/>
      <c r="E29912" s="40" t="s">
        <v>11404</v>
      </c>
      <c r="F29912" s="40" t="s">
        <v>11404</v>
      </c>
      <c r="G29912" s="40" t="s">
        <v>11404</v>
      </c>
      <c r="H29912" s="40" t="s">
        <v>11404</v>
      </c>
    </row>
    <row r="29913">
      <c r="A29913" s="39"/>
      <c r="E29913" s="40" t="s">
        <v>11404</v>
      </c>
      <c r="F29913" s="40" t="s">
        <v>11404</v>
      </c>
      <c r="G29913" s="40" t="s">
        <v>11404</v>
      </c>
      <c r="H29913" s="40" t="s">
        <v>11404</v>
      </c>
    </row>
    <row r="29914">
      <c r="A29914" s="39"/>
      <c r="E29914" s="40" t="s">
        <v>11404</v>
      </c>
      <c r="F29914" s="40" t="s">
        <v>11404</v>
      </c>
      <c r="G29914" s="40" t="s">
        <v>11404</v>
      </c>
      <c r="H29914" s="40" t="s">
        <v>11404</v>
      </c>
    </row>
    <row r="29915">
      <c r="A29915" s="39"/>
      <c r="E29915" s="40" t="s">
        <v>11404</v>
      </c>
      <c r="F29915" s="40" t="s">
        <v>11404</v>
      </c>
      <c r="G29915" s="40" t="s">
        <v>11404</v>
      </c>
      <c r="H29915" s="40" t="s">
        <v>11404</v>
      </c>
    </row>
    <row r="29916">
      <c r="A29916" s="39"/>
      <c r="E29916" s="40" t="s">
        <v>11404</v>
      </c>
      <c r="F29916" s="40" t="s">
        <v>11404</v>
      </c>
      <c r="G29916" s="40" t="s">
        <v>11404</v>
      </c>
      <c r="H29916" s="40" t="s">
        <v>11404</v>
      </c>
    </row>
    <row r="29917">
      <c r="A29917" s="39"/>
      <c r="E29917" s="40" t="s">
        <v>11404</v>
      </c>
      <c r="F29917" s="40" t="s">
        <v>11404</v>
      </c>
      <c r="G29917" s="40" t="s">
        <v>11404</v>
      </c>
      <c r="H29917" s="40" t="s">
        <v>11404</v>
      </c>
    </row>
    <row r="29918">
      <c r="A29918" s="39"/>
      <c r="E29918" s="40" t="s">
        <v>11404</v>
      </c>
      <c r="F29918" s="40" t="s">
        <v>11404</v>
      </c>
      <c r="G29918" s="40" t="s">
        <v>11404</v>
      </c>
      <c r="H29918" s="40" t="s">
        <v>11404</v>
      </c>
    </row>
    <row r="29919">
      <c r="A29919" s="39"/>
      <c r="E29919" s="40" t="s">
        <v>11404</v>
      </c>
      <c r="F29919" s="40" t="s">
        <v>11404</v>
      </c>
      <c r="G29919" s="40" t="s">
        <v>11404</v>
      </c>
      <c r="H29919" s="40" t="s">
        <v>11404</v>
      </c>
    </row>
    <row r="29920">
      <c r="A29920" s="39"/>
      <c r="E29920" s="40" t="s">
        <v>11404</v>
      </c>
      <c r="F29920" s="40" t="s">
        <v>11404</v>
      </c>
      <c r="G29920" s="40" t="s">
        <v>11404</v>
      </c>
      <c r="H29920" s="40" t="s">
        <v>11404</v>
      </c>
    </row>
    <row r="29921">
      <c r="A29921" s="39"/>
      <c r="E29921" s="40" t="s">
        <v>11404</v>
      </c>
      <c r="F29921" s="40" t="s">
        <v>11404</v>
      </c>
      <c r="G29921" s="40" t="s">
        <v>11404</v>
      </c>
      <c r="H29921" s="40" t="s">
        <v>11404</v>
      </c>
    </row>
    <row r="29922">
      <c r="A29922" s="39"/>
      <c r="E29922" s="40" t="s">
        <v>11404</v>
      </c>
      <c r="F29922" s="40" t="s">
        <v>11404</v>
      </c>
      <c r="G29922" s="40" t="s">
        <v>11404</v>
      </c>
      <c r="H29922" s="40" t="s">
        <v>11404</v>
      </c>
    </row>
    <row r="29923">
      <c r="A29923" s="39"/>
      <c r="E29923" s="40" t="s">
        <v>11404</v>
      </c>
      <c r="F29923" s="40" t="s">
        <v>11404</v>
      </c>
      <c r="G29923" s="40" t="s">
        <v>11404</v>
      </c>
      <c r="H29923" s="40" t="s">
        <v>11404</v>
      </c>
    </row>
    <row r="29924">
      <c r="A29924" s="39"/>
      <c r="E29924" s="40" t="s">
        <v>11404</v>
      </c>
      <c r="F29924" s="40" t="s">
        <v>11404</v>
      </c>
      <c r="G29924" s="40" t="s">
        <v>11404</v>
      </c>
      <c r="H29924" s="40" t="s">
        <v>11404</v>
      </c>
    </row>
    <row r="29925">
      <c r="A29925" s="39"/>
      <c r="E29925" s="40" t="s">
        <v>11404</v>
      </c>
      <c r="F29925" s="40" t="s">
        <v>11404</v>
      </c>
      <c r="G29925" s="40" t="s">
        <v>11404</v>
      </c>
      <c r="H29925" s="40" t="s">
        <v>11404</v>
      </c>
    </row>
    <row r="29926">
      <c r="A29926" s="39"/>
      <c r="E29926" s="40" t="s">
        <v>11404</v>
      </c>
      <c r="F29926" s="40" t="s">
        <v>11404</v>
      </c>
      <c r="G29926" s="40" t="s">
        <v>11404</v>
      </c>
      <c r="H29926" s="40" t="s">
        <v>11404</v>
      </c>
    </row>
    <row r="29927">
      <c r="A29927" s="39"/>
      <c r="E29927" s="40" t="s">
        <v>11404</v>
      </c>
      <c r="F29927" s="40" t="s">
        <v>11404</v>
      </c>
      <c r="G29927" s="40" t="s">
        <v>11404</v>
      </c>
      <c r="H29927" s="40" t="s">
        <v>11404</v>
      </c>
    </row>
    <row r="29928">
      <c r="A29928" s="39"/>
      <c r="E29928" s="40" t="s">
        <v>11404</v>
      </c>
      <c r="F29928" s="40" t="s">
        <v>11404</v>
      </c>
      <c r="G29928" s="40" t="s">
        <v>11404</v>
      </c>
      <c r="H29928" s="40" t="s">
        <v>11404</v>
      </c>
    </row>
    <row r="29929">
      <c r="A29929" s="39"/>
      <c r="E29929" s="40" t="s">
        <v>11404</v>
      </c>
      <c r="F29929" s="40" t="s">
        <v>11404</v>
      </c>
      <c r="G29929" s="40" t="s">
        <v>11404</v>
      </c>
      <c r="H29929" s="40" t="s">
        <v>11404</v>
      </c>
    </row>
    <row r="29930">
      <c r="A29930" s="39"/>
      <c r="E29930" s="40" t="s">
        <v>11404</v>
      </c>
      <c r="F29930" s="40" t="s">
        <v>11404</v>
      </c>
      <c r="G29930" s="40" t="s">
        <v>11404</v>
      </c>
      <c r="H29930" s="40" t="s">
        <v>11404</v>
      </c>
    </row>
    <row r="29931">
      <c r="A29931" s="39"/>
      <c r="E29931" s="40" t="s">
        <v>11404</v>
      </c>
      <c r="F29931" s="40" t="s">
        <v>11404</v>
      </c>
      <c r="G29931" s="40" t="s">
        <v>11404</v>
      </c>
      <c r="H29931" s="40" t="s">
        <v>11404</v>
      </c>
    </row>
    <row r="29932">
      <c r="A29932" s="39"/>
      <c r="E29932" s="40" t="s">
        <v>11404</v>
      </c>
      <c r="F29932" s="40" t="s">
        <v>11404</v>
      </c>
      <c r="G29932" s="40" t="s">
        <v>11404</v>
      </c>
      <c r="H29932" s="40" t="s">
        <v>11404</v>
      </c>
    </row>
    <row r="29933">
      <c r="A29933" s="39"/>
      <c r="E29933" s="40" t="s">
        <v>11404</v>
      </c>
      <c r="F29933" s="40" t="s">
        <v>11404</v>
      </c>
      <c r="G29933" s="40" t="s">
        <v>11404</v>
      </c>
      <c r="H29933" s="40" t="s">
        <v>11404</v>
      </c>
    </row>
    <row r="29934">
      <c r="A29934" s="39"/>
      <c r="E29934" s="40" t="s">
        <v>11404</v>
      </c>
      <c r="F29934" s="40" t="s">
        <v>11404</v>
      </c>
      <c r="G29934" s="40" t="s">
        <v>11404</v>
      </c>
      <c r="H29934" s="40" t="s">
        <v>11404</v>
      </c>
    </row>
    <row r="29935">
      <c r="A29935" s="39"/>
      <c r="E29935" s="40" t="s">
        <v>11404</v>
      </c>
      <c r="F29935" s="40" t="s">
        <v>11404</v>
      </c>
      <c r="G29935" s="40" t="s">
        <v>11404</v>
      </c>
      <c r="H29935" s="40" t="s">
        <v>11404</v>
      </c>
    </row>
    <row r="29936">
      <c r="A29936" s="39"/>
      <c r="E29936" s="40" t="s">
        <v>11404</v>
      </c>
      <c r="F29936" s="40" t="s">
        <v>11404</v>
      </c>
      <c r="G29936" s="40" t="s">
        <v>11404</v>
      </c>
      <c r="H29936" s="40" t="s">
        <v>11404</v>
      </c>
    </row>
    <row r="29937">
      <c r="A29937" s="39"/>
      <c r="E29937" s="40" t="s">
        <v>11404</v>
      </c>
      <c r="F29937" s="40" t="s">
        <v>11404</v>
      </c>
      <c r="G29937" s="40" t="s">
        <v>11404</v>
      </c>
      <c r="H29937" s="40" t="s">
        <v>11404</v>
      </c>
    </row>
    <row r="29938">
      <c r="A29938" s="39"/>
      <c r="E29938" s="40" t="s">
        <v>11404</v>
      </c>
      <c r="F29938" s="40" t="s">
        <v>11404</v>
      </c>
      <c r="G29938" s="40" t="s">
        <v>11404</v>
      </c>
      <c r="H29938" s="40" t="s">
        <v>11404</v>
      </c>
    </row>
    <row r="29939">
      <c r="A29939" s="39"/>
      <c r="E29939" s="40" t="s">
        <v>11404</v>
      </c>
      <c r="F29939" s="40" t="s">
        <v>11404</v>
      </c>
      <c r="G29939" s="40" t="s">
        <v>11404</v>
      </c>
      <c r="H29939" s="40" t="s">
        <v>11404</v>
      </c>
    </row>
    <row r="29940">
      <c r="A29940" s="39"/>
      <c r="E29940" s="40" t="s">
        <v>11404</v>
      </c>
      <c r="F29940" s="40" t="s">
        <v>11404</v>
      </c>
      <c r="G29940" s="40" t="s">
        <v>11404</v>
      </c>
      <c r="H29940" s="40" t="s">
        <v>11404</v>
      </c>
    </row>
    <row r="29941">
      <c r="A29941" s="39"/>
      <c r="E29941" s="40" t="s">
        <v>11404</v>
      </c>
      <c r="F29941" s="40" t="s">
        <v>11404</v>
      </c>
      <c r="G29941" s="40" t="s">
        <v>11404</v>
      </c>
      <c r="H29941" s="40" t="s">
        <v>11404</v>
      </c>
    </row>
    <row r="29942">
      <c r="A29942" s="39"/>
      <c r="E29942" s="40" t="s">
        <v>11404</v>
      </c>
      <c r="F29942" s="40" t="s">
        <v>11404</v>
      </c>
      <c r="G29942" s="40" t="s">
        <v>11404</v>
      </c>
      <c r="H29942" s="40" t="s">
        <v>11404</v>
      </c>
    </row>
    <row r="29943">
      <c r="A29943" s="39"/>
      <c r="E29943" s="40" t="s">
        <v>11404</v>
      </c>
      <c r="F29943" s="40" t="s">
        <v>11404</v>
      </c>
      <c r="G29943" s="40" t="s">
        <v>11404</v>
      </c>
      <c r="H29943" s="40" t="s">
        <v>11404</v>
      </c>
    </row>
    <row r="29944">
      <c r="A29944" s="39"/>
      <c r="E29944" s="40" t="s">
        <v>11404</v>
      </c>
      <c r="F29944" s="40" t="s">
        <v>11404</v>
      </c>
      <c r="G29944" s="40" t="s">
        <v>11404</v>
      </c>
      <c r="H29944" s="40" t="s">
        <v>11404</v>
      </c>
    </row>
    <row r="29945">
      <c r="A29945" s="39"/>
      <c r="E29945" s="40" t="s">
        <v>11404</v>
      </c>
      <c r="F29945" s="40" t="s">
        <v>11404</v>
      </c>
      <c r="G29945" s="40" t="s">
        <v>11404</v>
      </c>
      <c r="H29945" s="40" t="s">
        <v>11404</v>
      </c>
    </row>
    <row r="29946">
      <c r="A29946" s="39"/>
      <c r="E29946" s="40" t="s">
        <v>11404</v>
      </c>
      <c r="F29946" s="40" t="s">
        <v>11404</v>
      </c>
      <c r="G29946" s="40" t="s">
        <v>11404</v>
      </c>
      <c r="H29946" s="40" t="s">
        <v>11404</v>
      </c>
    </row>
    <row r="29947">
      <c r="A29947" s="39"/>
      <c r="E29947" s="40" t="s">
        <v>11404</v>
      </c>
      <c r="F29947" s="40" t="s">
        <v>11404</v>
      </c>
      <c r="G29947" s="40" t="s">
        <v>11404</v>
      </c>
      <c r="H29947" s="40" t="s">
        <v>11404</v>
      </c>
    </row>
    <row r="29948">
      <c r="A29948" s="39"/>
      <c r="E29948" s="40" t="s">
        <v>11404</v>
      </c>
      <c r="F29948" s="40" t="s">
        <v>11404</v>
      </c>
      <c r="G29948" s="40" t="s">
        <v>11404</v>
      </c>
      <c r="H29948" s="40" t="s">
        <v>11404</v>
      </c>
    </row>
    <row r="29949">
      <c r="A29949" s="39"/>
      <c r="E29949" s="40" t="s">
        <v>11404</v>
      </c>
      <c r="F29949" s="40" t="s">
        <v>11404</v>
      </c>
      <c r="G29949" s="40" t="s">
        <v>11404</v>
      </c>
      <c r="H29949" s="40" t="s">
        <v>11404</v>
      </c>
    </row>
    <row r="29950">
      <c r="A29950" s="39"/>
      <c r="E29950" s="40" t="s">
        <v>11404</v>
      </c>
      <c r="F29950" s="40" t="s">
        <v>11404</v>
      </c>
      <c r="G29950" s="40" t="s">
        <v>11404</v>
      </c>
      <c r="H29950" s="40" t="s">
        <v>11404</v>
      </c>
    </row>
    <row r="29951">
      <c r="A29951" s="39"/>
      <c r="E29951" s="40" t="s">
        <v>11404</v>
      </c>
      <c r="F29951" s="40" t="s">
        <v>11404</v>
      </c>
      <c r="G29951" s="40" t="s">
        <v>11404</v>
      </c>
      <c r="H29951" s="40" t="s">
        <v>11404</v>
      </c>
    </row>
    <row r="29952">
      <c r="A29952" s="39"/>
      <c r="E29952" s="40" t="s">
        <v>11404</v>
      </c>
      <c r="F29952" s="40" t="s">
        <v>11404</v>
      </c>
      <c r="G29952" s="40" t="s">
        <v>11404</v>
      </c>
      <c r="H29952" s="40" t="s">
        <v>11404</v>
      </c>
    </row>
    <row r="29953">
      <c r="A29953" s="39"/>
      <c r="E29953" s="40" t="s">
        <v>11404</v>
      </c>
      <c r="F29953" s="40" t="s">
        <v>11404</v>
      </c>
      <c r="G29953" s="40" t="s">
        <v>11404</v>
      </c>
      <c r="H29953" s="40" t="s">
        <v>11404</v>
      </c>
    </row>
    <row r="29954">
      <c r="A29954" s="39"/>
      <c r="E29954" s="40" t="s">
        <v>11404</v>
      </c>
      <c r="F29954" s="40" t="s">
        <v>11404</v>
      </c>
      <c r="G29954" s="40" t="s">
        <v>11404</v>
      </c>
      <c r="H29954" s="40" t="s">
        <v>11404</v>
      </c>
    </row>
    <row r="29955">
      <c r="A29955" s="39"/>
      <c r="E29955" s="40" t="s">
        <v>11404</v>
      </c>
      <c r="F29955" s="40" t="s">
        <v>11404</v>
      </c>
      <c r="G29955" s="40" t="s">
        <v>11404</v>
      </c>
      <c r="H29955" s="40" t="s">
        <v>11404</v>
      </c>
    </row>
    <row r="29956">
      <c r="A29956" s="39"/>
      <c r="E29956" s="40" t="s">
        <v>11404</v>
      </c>
      <c r="F29956" s="40" t="s">
        <v>11404</v>
      </c>
      <c r="G29956" s="40" t="s">
        <v>11404</v>
      </c>
      <c r="H29956" s="40" t="s">
        <v>11404</v>
      </c>
    </row>
    <row r="29957">
      <c r="A29957" s="39"/>
      <c r="E29957" s="40" t="s">
        <v>11404</v>
      </c>
      <c r="F29957" s="40" t="s">
        <v>11404</v>
      </c>
      <c r="G29957" s="40" t="s">
        <v>11404</v>
      </c>
      <c r="H29957" s="40" t="s">
        <v>11404</v>
      </c>
    </row>
    <row r="29958">
      <c r="A29958" s="39"/>
      <c r="E29958" s="40" t="s">
        <v>11404</v>
      </c>
      <c r="F29958" s="40" t="s">
        <v>11404</v>
      </c>
      <c r="G29958" s="40" t="s">
        <v>11404</v>
      </c>
      <c r="H29958" s="40" t="s">
        <v>11404</v>
      </c>
    </row>
    <row r="29959">
      <c r="A29959" s="39"/>
      <c r="E29959" s="40" t="s">
        <v>11404</v>
      </c>
      <c r="F29959" s="40" t="s">
        <v>11404</v>
      </c>
      <c r="G29959" s="40" t="s">
        <v>11404</v>
      </c>
      <c r="H29959" s="40" t="s">
        <v>11404</v>
      </c>
    </row>
    <row r="29960">
      <c r="A29960" s="39"/>
      <c r="E29960" s="40" t="s">
        <v>11404</v>
      </c>
      <c r="F29960" s="40" t="s">
        <v>11404</v>
      </c>
      <c r="G29960" s="40" t="s">
        <v>11404</v>
      </c>
      <c r="H29960" s="40" t="s">
        <v>11404</v>
      </c>
    </row>
    <row r="29961">
      <c r="A29961" s="39"/>
      <c r="E29961" s="40" t="s">
        <v>11404</v>
      </c>
      <c r="F29961" s="40" t="s">
        <v>11404</v>
      </c>
      <c r="G29961" s="40" t="s">
        <v>11404</v>
      </c>
      <c r="H29961" s="40" t="s">
        <v>11404</v>
      </c>
    </row>
    <row r="29962">
      <c r="A29962" s="39"/>
      <c r="E29962" s="40" t="s">
        <v>11404</v>
      </c>
      <c r="F29962" s="40" t="s">
        <v>11404</v>
      </c>
      <c r="G29962" s="40" t="s">
        <v>11404</v>
      </c>
      <c r="H29962" s="40" t="s">
        <v>11404</v>
      </c>
    </row>
    <row r="29963">
      <c r="A29963" s="39"/>
      <c r="E29963" s="40" t="s">
        <v>11404</v>
      </c>
      <c r="F29963" s="40" t="s">
        <v>11404</v>
      </c>
      <c r="G29963" s="40" t="s">
        <v>11404</v>
      </c>
      <c r="H29963" s="40" t="s">
        <v>11404</v>
      </c>
    </row>
    <row r="29964">
      <c r="A29964" s="39"/>
      <c r="E29964" s="40" t="s">
        <v>11404</v>
      </c>
      <c r="F29964" s="40" t="s">
        <v>11404</v>
      </c>
      <c r="G29964" s="40" t="s">
        <v>11404</v>
      </c>
      <c r="H29964" s="40" t="s">
        <v>11404</v>
      </c>
    </row>
    <row r="29965">
      <c r="A29965" s="39"/>
      <c r="E29965" s="40" t="s">
        <v>11404</v>
      </c>
      <c r="F29965" s="40" t="s">
        <v>11404</v>
      </c>
      <c r="G29965" s="40" t="s">
        <v>11404</v>
      </c>
      <c r="H29965" s="40" t="s">
        <v>11404</v>
      </c>
    </row>
    <row r="29966">
      <c r="A29966" s="39"/>
      <c r="E29966" s="40" t="s">
        <v>11404</v>
      </c>
      <c r="F29966" s="40" t="s">
        <v>11404</v>
      </c>
      <c r="G29966" s="40" t="s">
        <v>11404</v>
      </c>
      <c r="H29966" s="40" t="s">
        <v>11404</v>
      </c>
    </row>
    <row r="29967">
      <c r="A29967" s="39"/>
      <c r="E29967" s="40" t="s">
        <v>11404</v>
      </c>
      <c r="F29967" s="40" t="s">
        <v>11404</v>
      </c>
      <c r="G29967" s="40" t="s">
        <v>11404</v>
      </c>
      <c r="H29967" s="40" t="s">
        <v>11404</v>
      </c>
    </row>
    <row r="29968">
      <c r="A29968" s="39"/>
      <c r="E29968" s="40" t="s">
        <v>11404</v>
      </c>
      <c r="F29968" s="40" t="s">
        <v>11404</v>
      </c>
      <c r="G29968" s="40" t="s">
        <v>11404</v>
      </c>
      <c r="H29968" s="40" t="s">
        <v>11404</v>
      </c>
    </row>
    <row r="29969">
      <c r="A29969" s="39"/>
      <c r="E29969" s="40" t="s">
        <v>11404</v>
      </c>
      <c r="F29969" s="40" t="s">
        <v>11404</v>
      </c>
      <c r="G29969" s="40" t="s">
        <v>11404</v>
      </c>
      <c r="H29969" s="40" t="s">
        <v>11404</v>
      </c>
    </row>
    <row r="29970">
      <c r="A29970" s="39"/>
      <c r="E29970" s="40" t="s">
        <v>11404</v>
      </c>
      <c r="F29970" s="40" t="s">
        <v>11404</v>
      </c>
      <c r="G29970" s="40" t="s">
        <v>11404</v>
      </c>
      <c r="H29970" s="40" t="s">
        <v>11404</v>
      </c>
    </row>
    <row r="29971">
      <c r="A29971" s="39"/>
      <c r="E29971" s="40" t="s">
        <v>11404</v>
      </c>
      <c r="F29971" s="40" t="s">
        <v>11404</v>
      </c>
      <c r="G29971" s="40" t="s">
        <v>11404</v>
      </c>
      <c r="H29971" s="40" t="s">
        <v>11404</v>
      </c>
    </row>
    <row r="29972">
      <c r="A29972" s="39"/>
      <c r="E29972" s="40" t="s">
        <v>11404</v>
      </c>
      <c r="F29972" s="40" t="s">
        <v>11404</v>
      </c>
      <c r="G29972" s="40" t="s">
        <v>11404</v>
      </c>
      <c r="H29972" s="40" t="s">
        <v>11404</v>
      </c>
    </row>
    <row r="29973">
      <c r="A29973" s="39"/>
      <c r="E29973" s="40" t="s">
        <v>11404</v>
      </c>
      <c r="F29973" s="40" t="s">
        <v>11404</v>
      </c>
      <c r="G29973" s="40" t="s">
        <v>11404</v>
      </c>
      <c r="H29973" s="40" t="s">
        <v>11404</v>
      </c>
    </row>
    <row r="29974">
      <c r="A29974" s="39"/>
      <c r="E29974" s="40" t="s">
        <v>11404</v>
      </c>
      <c r="F29974" s="40" t="s">
        <v>11404</v>
      </c>
      <c r="G29974" s="40" t="s">
        <v>11404</v>
      </c>
      <c r="H29974" s="40" t="s">
        <v>11404</v>
      </c>
    </row>
    <row r="29975">
      <c r="A29975" s="39"/>
      <c r="E29975" s="40" t="s">
        <v>11404</v>
      </c>
      <c r="F29975" s="40" t="s">
        <v>11404</v>
      </c>
      <c r="G29975" s="40" t="s">
        <v>11404</v>
      </c>
      <c r="H29975" s="40" t="s">
        <v>11404</v>
      </c>
    </row>
    <row r="29976">
      <c r="A29976" s="39"/>
      <c r="E29976" s="40" t="s">
        <v>11404</v>
      </c>
      <c r="F29976" s="40" t="s">
        <v>11404</v>
      </c>
      <c r="G29976" s="40" t="s">
        <v>11404</v>
      </c>
      <c r="H29976" s="40" t="s">
        <v>11404</v>
      </c>
    </row>
    <row r="29977">
      <c r="A29977" s="39"/>
      <c r="E29977" s="40" t="s">
        <v>11404</v>
      </c>
      <c r="F29977" s="40" t="s">
        <v>11404</v>
      </c>
      <c r="G29977" s="40" t="s">
        <v>11404</v>
      </c>
      <c r="H29977" s="40" t="s">
        <v>11404</v>
      </c>
    </row>
    <row r="29978">
      <c r="A29978" s="39"/>
      <c r="E29978" s="40" t="s">
        <v>11404</v>
      </c>
      <c r="F29978" s="40" t="s">
        <v>11404</v>
      </c>
      <c r="G29978" s="40" t="s">
        <v>11404</v>
      </c>
      <c r="H29978" s="40" t="s">
        <v>11404</v>
      </c>
    </row>
    <row r="29979">
      <c r="A29979" s="39"/>
      <c r="E29979" s="40" t="s">
        <v>11404</v>
      </c>
      <c r="F29979" s="40" t="s">
        <v>11404</v>
      </c>
      <c r="G29979" s="40" t="s">
        <v>11404</v>
      </c>
      <c r="H29979" s="40" t="s">
        <v>11404</v>
      </c>
    </row>
    <row r="29980">
      <c r="A29980" s="39"/>
      <c r="E29980" s="40" t="s">
        <v>11404</v>
      </c>
      <c r="F29980" s="40" t="s">
        <v>11404</v>
      </c>
      <c r="G29980" s="40" t="s">
        <v>11404</v>
      </c>
      <c r="H29980" s="40" t="s">
        <v>11404</v>
      </c>
    </row>
    <row r="29981">
      <c r="A29981" s="39"/>
      <c r="E29981" s="40" t="s">
        <v>11404</v>
      </c>
      <c r="F29981" s="40" t="s">
        <v>11404</v>
      </c>
      <c r="G29981" s="40" t="s">
        <v>11404</v>
      </c>
      <c r="H29981" s="40" t="s">
        <v>11404</v>
      </c>
    </row>
    <row r="29982">
      <c r="A29982" s="39"/>
      <c r="E29982" s="40" t="s">
        <v>11404</v>
      </c>
      <c r="F29982" s="40" t="s">
        <v>11404</v>
      </c>
      <c r="G29982" s="40" t="s">
        <v>11404</v>
      </c>
      <c r="H29982" s="40" t="s">
        <v>11404</v>
      </c>
    </row>
    <row r="29983">
      <c r="A29983" s="39"/>
      <c r="E29983" s="40" t="s">
        <v>11404</v>
      </c>
      <c r="F29983" s="40" t="s">
        <v>11404</v>
      </c>
      <c r="G29983" s="40" t="s">
        <v>11404</v>
      </c>
      <c r="H29983" s="40" t="s">
        <v>11404</v>
      </c>
    </row>
    <row r="29984">
      <c r="A29984" s="39"/>
      <c r="E29984" s="40" t="s">
        <v>11404</v>
      </c>
      <c r="F29984" s="40" t="s">
        <v>11404</v>
      </c>
      <c r="G29984" s="40" t="s">
        <v>11404</v>
      </c>
      <c r="H29984" s="40" t="s">
        <v>11404</v>
      </c>
    </row>
    <row r="29985">
      <c r="A29985" s="39"/>
      <c r="E29985" s="40" t="s">
        <v>11404</v>
      </c>
      <c r="F29985" s="40" t="s">
        <v>11404</v>
      </c>
      <c r="G29985" s="40" t="s">
        <v>11404</v>
      </c>
      <c r="H29985" s="40" t="s">
        <v>11404</v>
      </c>
    </row>
    <row r="29986">
      <c r="A29986" s="39"/>
      <c r="E29986" s="40" t="s">
        <v>11404</v>
      </c>
      <c r="F29986" s="40" t="s">
        <v>11404</v>
      </c>
      <c r="G29986" s="40" t="s">
        <v>11404</v>
      </c>
      <c r="H29986" s="40" t="s">
        <v>11404</v>
      </c>
    </row>
    <row r="29987">
      <c r="A29987" s="39"/>
      <c r="E29987" s="40" t="s">
        <v>11404</v>
      </c>
      <c r="F29987" s="40" t="s">
        <v>11404</v>
      </c>
      <c r="G29987" s="40" t="s">
        <v>11404</v>
      </c>
      <c r="H29987" s="40" t="s">
        <v>11404</v>
      </c>
    </row>
    <row r="29988">
      <c r="A29988" s="39"/>
      <c r="E29988" s="40" t="s">
        <v>11404</v>
      </c>
      <c r="F29988" s="40" t="s">
        <v>11404</v>
      </c>
      <c r="G29988" s="40" t="s">
        <v>11404</v>
      </c>
      <c r="H29988" s="40" t="s">
        <v>11404</v>
      </c>
    </row>
    <row r="29989">
      <c r="A29989" s="39"/>
      <c r="E29989" s="40" t="s">
        <v>11404</v>
      </c>
      <c r="F29989" s="40" t="s">
        <v>11404</v>
      </c>
      <c r="G29989" s="40" t="s">
        <v>11404</v>
      </c>
      <c r="H29989" s="40" t="s">
        <v>11404</v>
      </c>
    </row>
    <row r="29990">
      <c r="A29990" s="39"/>
      <c r="E29990" s="40" t="s">
        <v>11404</v>
      </c>
      <c r="F29990" s="40" t="s">
        <v>11404</v>
      </c>
      <c r="G29990" s="40" t="s">
        <v>11404</v>
      </c>
      <c r="H29990" s="40" t="s">
        <v>11404</v>
      </c>
    </row>
    <row r="29991">
      <c r="A29991" s="39"/>
      <c r="E29991" s="40" t="s">
        <v>11404</v>
      </c>
      <c r="F29991" s="40" t="s">
        <v>11404</v>
      </c>
      <c r="G29991" s="40" t="s">
        <v>11404</v>
      </c>
      <c r="H29991" s="40" t="s">
        <v>11404</v>
      </c>
    </row>
    <row r="29992">
      <c r="A29992" s="39"/>
      <c r="E29992" s="40" t="s">
        <v>11404</v>
      </c>
      <c r="F29992" s="40" t="s">
        <v>11404</v>
      </c>
      <c r="G29992" s="40" t="s">
        <v>11404</v>
      </c>
      <c r="H29992" s="40" t="s">
        <v>11404</v>
      </c>
    </row>
    <row r="29993">
      <c r="A29993" s="39"/>
      <c r="E29993" s="40" t="s">
        <v>11404</v>
      </c>
      <c r="F29993" s="40" t="s">
        <v>11404</v>
      </c>
      <c r="G29993" s="40" t="s">
        <v>11404</v>
      </c>
      <c r="H29993" s="40" t="s">
        <v>11404</v>
      </c>
    </row>
    <row r="29994">
      <c r="A29994" s="39"/>
      <c r="E29994" s="40" t="s">
        <v>11404</v>
      </c>
      <c r="F29994" s="40" t="s">
        <v>11404</v>
      </c>
      <c r="G29994" s="40" t="s">
        <v>11404</v>
      </c>
      <c r="H29994" s="40" t="s">
        <v>11404</v>
      </c>
    </row>
    <row r="29995">
      <c r="A29995" s="39"/>
      <c r="E29995" s="40" t="s">
        <v>11404</v>
      </c>
      <c r="F29995" s="40" t="s">
        <v>11404</v>
      </c>
      <c r="G29995" s="40" t="s">
        <v>11404</v>
      </c>
      <c r="H29995" s="40" t="s">
        <v>11404</v>
      </c>
    </row>
    <row r="29996">
      <c r="A29996" s="39"/>
      <c r="E29996" s="40" t="s">
        <v>11404</v>
      </c>
      <c r="F29996" s="40" t="s">
        <v>11404</v>
      </c>
      <c r="G29996" s="40" t="s">
        <v>11404</v>
      </c>
      <c r="H29996" s="40" t="s">
        <v>11404</v>
      </c>
    </row>
    <row r="29997">
      <c r="A29997" s="39"/>
      <c r="E29997" s="40" t="s">
        <v>11404</v>
      </c>
      <c r="F29997" s="40" t="s">
        <v>11404</v>
      </c>
      <c r="G29997" s="40" t="s">
        <v>11404</v>
      </c>
      <c r="H29997" s="40" t="s">
        <v>11404</v>
      </c>
    </row>
    <row r="29998">
      <c r="A29998" s="39"/>
      <c r="E29998" s="40" t="s">
        <v>11404</v>
      </c>
      <c r="F29998" s="40" t="s">
        <v>11404</v>
      </c>
      <c r="G29998" s="40" t="s">
        <v>11404</v>
      </c>
      <c r="H29998" s="40" t="s">
        <v>11404</v>
      </c>
    </row>
    <row r="29999">
      <c r="A29999" s="39"/>
      <c r="E29999" s="40" t="s">
        <v>11404</v>
      </c>
      <c r="F29999" s="40" t="s">
        <v>11404</v>
      </c>
      <c r="G29999" s="40" t="s">
        <v>11404</v>
      </c>
      <c r="H29999" s="40" t="s">
        <v>11404</v>
      </c>
    </row>
    <row r="30000">
      <c r="A30000" s="39"/>
      <c r="E30000" s="40" t="s">
        <v>11404</v>
      </c>
      <c r="F30000" s="40" t="s">
        <v>11404</v>
      </c>
      <c r="G30000" s="40" t="s">
        <v>11404</v>
      </c>
      <c r="H30000" s="40" t="s">
        <v>11404</v>
      </c>
    </row>
    <row r="30001">
      <c r="A30001" s="39"/>
      <c r="E30001" s="40" t="s">
        <v>11404</v>
      </c>
      <c r="F30001" s="40" t="s">
        <v>11404</v>
      </c>
      <c r="G30001" s="40" t="s">
        <v>11404</v>
      </c>
      <c r="H30001" s="40" t="s">
        <v>11404</v>
      </c>
    </row>
    <row r="30002">
      <c r="A30002" s="39"/>
      <c r="E30002" s="40" t="s">
        <v>11404</v>
      </c>
      <c r="F30002" s="40" t="s">
        <v>11404</v>
      </c>
      <c r="G30002" s="40" t="s">
        <v>11404</v>
      </c>
      <c r="H30002" s="40" t="s">
        <v>11404</v>
      </c>
    </row>
    <row r="30003">
      <c r="A30003" s="39"/>
      <c r="E30003" s="40" t="s">
        <v>11404</v>
      </c>
      <c r="F30003" s="40" t="s">
        <v>11404</v>
      </c>
      <c r="G30003" s="40" t="s">
        <v>11404</v>
      </c>
      <c r="H30003" s="40" t="s">
        <v>11404</v>
      </c>
    </row>
    <row r="30004">
      <c r="A30004" s="39"/>
      <c r="E30004" s="40" t="s">
        <v>11404</v>
      </c>
      <c r="F30004" s="40" t="s">
        <v>11404</v>
      </c>
      <c r="G30004" s="40" t="s">
        <v>11404</v>
      </c>
      <c r="H30004" s="40" t="s">
        <v>11404</v>
      </c>
    </row>
    <row r="30005">
      <c r="A30005" s="39"/>
      <c r="E30005" s="40" t="s">
        <v>11404</v>
      </c>
      <c r="F30005" s="40" t="s">
        <v>11404</v>
      </c>
      <c r="G30005" s="40" t="s">
        <v>11404</v>
      </c>
      <c r="H30005" s="40" t="s">
        <v>11404</v>
      </c>
    </row>
    <row r="30006">
      <c r="A30006" s="39"/>
      <c r="E30006" s="40" t="s">
        <v>11404</v>
      </c>
      <c r="F30006" s="40" t="s">
        <v>11404</v>
      </c>
      <c r="G30006" s="40" t="s">
        <v>11404</v>
      </c>
      <c r="H30006" s="40" t="s">
        <v>11404</v>
      </c>
    </row>
    <row r="30007">
      <c r="A30007" s="39"/>
      <c r="E30007" s="40" t="s">
        <v>11404</v>
      </c>
      <c r="F30007" s="40" t="s">
        <v>11404</v>
      </c>
      <c r="G30007" s="40" t="s">
        <v>11404</v>
      </c>
      <c r="H30007" s="40" t="s">
        <v>11404</v>
      </c>
    </row>
    <row r="30008">
      <c r="A30008" s="39"/>
      <c r="E30008" s="40" t="s">
        <v>11404</v>
      </c>
      <c r="F30008" s="40" t="s">
        <v>11404</v>
      </c>
      <c r="G30008" s="40" t="s">
        <v>11404</v>
      </c>
      <c r="H30008" s="40" t="s">
        <v>11404</v>
      </c>
    </row>
    <row r="30009">
      <c r="A30009" s="39"/>
      <c r="E30009" s="40" t="s">
        <v>11404</v>
      </c>
      <c r="F30009" s="40" t="s">
        <v>11404</v>
      </c>
      <c r="G30009" s="40" t="s">
        <v>11404</v>
      </c>
      <c r="H30009" s="40" t="s">
        <v>11404</v>
      </c>
    </row>
    <row r="30010">
      <c r="A30010" s="39"/>
      <c r="E30010" s="40" t="s">
        <v>11404</v>
      </c>
      <c r="F30010" s="40" t="s">
        <v>11404</v>
      </c>
      <c r="G30010" s="40" t="s">
        <v>11404</v>
      </c>
      <c r="H30010" s="40" t="s">
        <v>11404</v>
      </c>
    </row>
    <row r="30011">
      <c r="A30011" s="39"/>
      <c r="E30011" s="40" t="s">
        <v>11404</v>
      </c>
      <c r="F30011" s="40" t="s">
        <v>11404</v>
      </c>
      <c r="G30011" s="40" t="s">
        <v>11404</v>
      </c>
      <c r="H30011" s="40" t="s">
        <v>11404</v>
      </c>
    </row>
    <row r="30012">
      <c r="A30012" s="39"/>
      <c r="E30012" s="40" t="s">
        <v>11404</v>
      </c>
      <c r="F30012" s="40" t="s">
        <v>11404</v>
      </c>
      <c r="G30012" s="40" t="s">
        <v>11404</v>
      </c>
      <c r="H30012" s="40" t="s">
        <v>11404</v>
      </c>
    </row>
    <row r="30013">
      <c r="A30013" s="39"/>
      <c r="E30013" s="40" t="s">
        <v>11404</v>
      </c>
      <c r="F30013" s="40" t="s">
        <v>11404</v>
      </c>
      <c r="G30013" s="40" t="s">
        <v>11404</v>
      </c>
      <c r="H30013" s="40" t="s">
        <v>11404</v>
      </c>
    </row>
    <row r="30014">
      <c r="A30014" s="39"/>
      <c r="E30014" s="40" t="s">
        <v>11404</v>
      </c>
      <c r="F30014" s="40" t="s">
        <v>11404</v>
      </c>
      <c r="G30014" s="40" t="s">
        <v>11404</v>
      </c>
      <c r="H30014" s="40" t="s">
        <v>11404</v>
      </c>
    </row>
    <row r="30015">
      <c r="A30015" s="39"/>
      <c r="E30015" s="40" t="s">
        <v>11404</v>
      </c>
      <c r="F30015" s="40" t="s">
        <v>11404</v>
      </c>
      <c r="G30015" s="40" t="s">
        <v>11404</v>
      </c>
      <c r="H30015" s="40" t="s">
        <v>11404</v>
      </c>
    </row>
    <row r="30016">
      <c r="A30016" s="39"/>
      <c r="E30016" s="40" t="s">
        <v>11404</v>
      </c>
      <c r="F30016" s="40" t="s">
        <v>11404</v>
      </c>
      <c r="G30016" s="40" t="s">
        <v>11404</v>
      </c>
      <c r="H30016" s="40" t="s">
        <v>11404</v>
      </c>
    </row>
    <row r="30017">
      <c r="A30017" s="39"/>
      <c r="E30017" s="40" t="s">
        <v>11404</v>
      </c>
      <c r="F30017" s="40" t="s">
        <v>11404</v>
      </c>
      <c r="G30017" s="40" t="s">
        <v>11404</v>
      </c>
      <c r="H30017" s="40" t="s">
        <v>11404</v>
      </c>
    </row>
    <row r="30018">
      <c r="A30018" s="39"/>
      <c r="E30018" s="40" t="s">
        <v>11404</v>
      </c>
      <c r="F30018" s="40" t="s">
        <v>11404</v>
      </c>
      <c r="G30018" s="40" t="s">
        <v>11404</v>
      </c>
      <c r="H30018" s="40" t="s">
        <v>11404</v>
      </c>
    </row>
    <row r="30019">
      <c r="A30019" s="39"/>
      <c r="E30019" s="40" t="s">
        <v>11404</v>
      </c>
      <c r="F30019" s="40" t="s">
        <v>11404</v>
      </c>
      <c r="G30019" s="40" t="s">
        <v>11404</v>
      </c>
      <c r="H30019" s="40" t="s">
        <v>11404</v>
      </c>
    </row>
    <row r="30020">
      <c r="A30020" s="39"/>
      <c r="E30020" s="40" t="s">
        <v>11404</v>
      </c>
      <c r="F30020" s="40" t="s">
        <v>11404</v>
      </c>
      <c r="G30020" s="40" t="s">
        <v>11404</v>
      </c>
      <c r="H30020" s="40" t="s">
        <v>11404</v>
      </c>
    </row>
    <row r="30021">
      <c r="A30021" s="39"/>
      <c r="E30021" s="40" t="s">
        <v>11404</v>
      </c>
      <c r="F30021" s="40" t="s">
        <v>11404</v>
      </c>
      <c r="G30021" s="40" t="s">
        <v>11404</v>
      </c>
      <c r="H30021" s="40" t="s">
        <v>11404</v>
      </c>
    </row>
    <row r="30022">
      <c r="A30022" s="39"/>
      <c r="E30022" s="40" t="s">
        <v>11404</v>
      </c>
      <c r="F30022" s="40" t="s">
        <v>11404</v>
      </c>
      <c r="G30022" s="40" t="s">
        <v>11404</v>
      </c>
      <c r="H30022" s="40" t="s">
        <v>11404</v>
      </c>
    </row>
    <row r="30023">
      <c r="A30023" s="39"/>
      <c r="E30023" s="40" t="s">
        <v>11404</v>
      </c>
      <c r="F30023" s="40" t="s">
        <v>11404</v>
      </c>
      <c r="G30023" s="40" t="s">
        <v>11404</v>
      </c>
      <c r="H30023" s="40" t="s">
        <v>11404</v>
      </c>
    </row>
    <row r="30024">
      <c r="A30024" s="39"/>
      <c r="E30024" s="40" t="s">
        <v>11404</v>
      </c>
      <c r="F30024" s="40" t="s">
        <v>11404</v>
      </c>
      <c r="G30024" s="40" t="s">
        <v>11404</v>
      </c>
      <c r="H30024" s="40" t="s">
        <v>11404</v>
      </c>
    </row>
    <row r="30025">
      <c r="A30025" s="39"/>
      <c r="E30025" s="40" t="s">
        <v>11404</v>
      </c>
      <c r="F30025" s="40" t="s">
        <v>11404</v>
      </c>
      <c r="G30025" s="40" t="s">
        <v>11404</v>
      </c>
      <c r="H30025" s="40" t="s">
        <v>11404</v>
      </c>
    </row>
    <row r="30026">
      <c r="A30026" s="39"/>
      <c r="E30026" s="40" t="s">
        <v>11404</v>
      </c>
      <c r="F30026" s="40" t="s">
        <v>11404</v>
      </c>
      <c r="G30026" s="40" t="s">
        <v>11404</v>
      </c>
      <c r="H30026" s="40" t="s">
        <v>11404</v>
      </c>
    </row>
    <row r="30027">
      <c r="A30027" s="39"/>
      <c r="E30027" s="40" t="s">
        <v>11404</v>
      </c>
      <c r="F30027" s="40" t="s">
        <v>11404</v>
      </c>
      <c r="G30027" s="40" t="s">
        <v>11404</v>
      </c>
      <c r="H30027" s="40" t="s">
        <v>11404</v>
      </c>
    </row>
    <row r="30028">
      <c r="A30028" s="39"/>
      <c r="E30028" s="40" t="s">
        <v>11404</v>
      </c>
      <c r="F30028" s="40" t="s">
        <v>11404</v>
      </c>
      <c r="G30028" s="40" t="s">
        <v>11404</v>
      </c>
      <c r="H30028" s="40" t="s">
        <v>11404</v>
      </c>
    </row>
    <row r="30029">
      <c r="A30029" s="39"/>
      <c r="E30029" s="40" t="s">
        <v>11404</v>
      </c>
      <c r="F30029" s="40" t="s">
        <v>11404</v>
      </c>
      <c r="G30029" s="40" t="s">
        <v>11404</v>
      </c>
      <c r="H30029" s="40" t="s">
        <v>11404</v>
      </c>
    </row>
    <row r="30030">
      <c r="A30030" s="39"/>
      <c r="E30030" s="40" t="s">
        <v>11404</v>
      </c>
      <c r="F30030" s="40" t="s">
        <v>11404</v>
      </c>
      <c r="G30030" s="40" t="s">
        <v>11404</v>
      </c>
      <c r="H30030" s="40" t="s">
        <v>11404</v>
      </c>
    </row>
    <row r="30031">
      <c r="A30031" s="39"/>
      <c r="E30031" s="40" t="s">
        <v>11404</v>
      </c>
      <c r="F30031" s="40" t="s">
        <v>11404</v>
      </c>
      <c r="G30031" s="40" t="s">
        <v>11404</v>
      </c>
      <c r="H30031" s="40" t="s">
        <v>11404</v>
      </c>
    </row>
    <row r="30032">
      <c r="A30032" s="39"/>
      <c r="E30032" s="40" t="s">
        <v>11404</v>
      </c>
      <c r="F30032" s="40" t="s">
        <v>11404</v>
      </c>
      <c r="G30032" s="40" t="s">
        <v>11404</v>
      </c>
      <c r="H30032" s="40" t="s">
        <v>11404</v>
      </c>
    </row>
    <row r="30033">
      <c r="A30033" s="39"/>
      <c r="E30033" s="40" t="s">
        <v>11404</v>
      </c>
      <c r="F30033" s="40" t="s">
        <v>11404</v>
      </c>
      <c r="G30033" s="40" t="s">
        <v>11404</v>
      </c>
      <c r="H30033" s="40" t="s">
        <v>11404</v>
      </c>
    </row>
    <row r="30034">
      <c r="A30034" s="39"/>
      <c r="E30034" s="40" t="s">
        <v>11404</v>
      </c>
      <c r="F30034" s="40" t="s">
        <v>11404</v>
      </c>
      <c r="G30034" s="40" t="s">
        <v>11404</v>
      </c>
      <c r="H30034" s="40" t="s">
        <v>11404</v>
      </c>
    </row>
    <row r="30035">
      <c r="A30035" s="39"/>
      <c r="E30035" s="40" t="s">
        <v>11404</v>
      </c>
      <c r="F30035" s="40" t="s">
        <v>11404</v>
      </c>
      <c r="G30035" s="40" t="s">
        <v>11404</v>
      </c>
      <c r="H30035" s="40" t="s">
        <v>11404</v>
      </c>
    </row>
    <row r="30036">
      <c r="A30036" s="39"/>
      <c r="E30036" s="40" t="s">
        <v>11404</v>
      </c>
      <c r="F30036" s="40" t="s">
        <v>11404</v>
      </c>
      <c r="G30036" s="40" t="s">
        <v>11404</v>
      </c>
      <c r="H30036" s="40" t="s">
        <v>11404</v>
      </c>
    </row>
    <row r="30037">
      <c r="A30037" s="39"/>
      <c r="E30037" s="40" t="s">
        <v>11404</v>
      </c>
      <c r="F30037" s="40" t="s">
        <v>11404</v>
      </c>
      <c r="G30037" s="40" t="s">
        <v>11404</v>
      </c>
      <c r="H30037" s="40" t="s">
        <v>11404</v>
      </c>
    </row>
    <row r="30038">
      <c r="A30038" s="39"/>
      <c r="E30038" s="40" t="s">
        <v>11404</v>
      </c>
      <c r="F30038" s="40" t="s">
        <v>11404</v>
      </c>
      <c r="G30038" s="40" t="s">
        <v>11404</v>
      </c>
      <c r="H30038" s="40" t="s">
        <v>11404</v>
      </c>
    </row>
    <row r="30039">
      <c r="A30039" s="39"/>
      <c r="E30039" s="40" t="s">
        <v>11404</v>
      </c>
      <c r="F30039" s="40" t="s">
        <v>11404</v>
      </c>
      <c r="G30039" s="40" t="s">
        <v>11404</v>
      </c>
      <c r="H30039" s="40" t="s">
        <v>11404</v>
      </c>
    </row>
    <row r="30040">
      <c r="A30040" s="39"/>
      <c r="E30040" s="40" t="s">
        <v>11404</v>
      </c>
      <c r="F30040" s="40" t="s">
        <v>11404</v>
      </c>
      <c r="G30040" s="40" t="s">
        <v>11404</v>
      </c>
      <c r="H30040" s="40" t="s">
        <v>11404</v>
      </c>
    </row>
    <row r="30041">
      <c r="A30041" s="39"/>
      <c r="E30041" s="40" t="s">
        <v>11404</v>
      </c>
      <c r="F30041" s="40" t="s">
        <v>11404</v>
      </c>
      <c r="G30041" s="40" t="s">
        <v>11404</v>
      </c>
      <c r="H30041" s="40" t="s">
        <v>11404</v>
      </c>
    </row>
    <row r="30042">
      <c r="A30042" s="39"/>
      <c r="E30042" s="40" t="s">
        <v>11404</v>
      </c>
      <c r="F30042" s="40" t="s">
        <v>11404</v>
      </c>
      <c r="G30042" s="40" t="s">
        <v>11404</v>
      </c>
      <c r="H30042" s="40" t="s">
        <v>11404</v>
      </c>
    </row>
    <row r="30043">
      <c r="A30043" s="39"/>
      <c r="E30043" s="40" t="s">
        <v>11404</v>
      </c>
      <c r="F30043" s="40" t="s">
        <v>11404</v>
      </c>
      <c r="G30043" s="40" t="s">
        <v>11404</v>
      </c>
      <c r="H30043" s="40" t="s">
        <v>11404</v>
      </c>
    </row>
    <row r="30044">
      <c r="A30044" s="39"/>
      <c r="E30044" s="40" t="s">
        <v>11404</v>
      </c>
      <c r="F30044" s="40" t="s">
        <v>11404</v>
      </c>
      <c r="G30044" s="40" t="s">
        <v>11404</v>
      </c>
      <c r="H30044" s="40" t="s">
        <v>11404</v>
      </c>
    </row>
    <row r="30045">
      <c r="A30045" s="39"/>
      <c r="E30045" s="40" t="s">
        <v>11404</v>
      </c>
      <c r="F30045" s="40" t="s">
        <v>11404</v>
      </c>
      <c r="G30045" s="40" t="s">
        <v>11404</v>
      </c>
      <c r="H30045" s="40" t="s">
        <v>11404</v>
      </c>
    </row>
    <row r="30046">
      <c r="A30046" s="39"/>
      <c r="E30046" s="40" t="s">
        <v>11404</v>
      </c>
      <c r="F30046" s="40" t="s">
        <v>11404</v>
      </c>
      <c r="G30046" s="40" t="s">
        <v>11404</v>
      </c>
      <c r="H30046" s="40" t="s">
        <v>11404</v>
      </c>
    </row>
    <row r="30047">
      <c r="A30047" s="39"/>
      <c r="E30047" s="40" t="s">
        <v>11404</v>
      </c>
      <c r="F30047" s="40" t="s">
        <v>11404</v>
      </c>
      <c r="G30047" s="40" t="s">
        <v>11404</v>
      </c>
      <c r="H30047" s="40" t="s">
        <v>11404</v>
      </c>
    </row>
    <row r="30048">
      <c r="A30048" s="39"/>
      <c r="E30048" s="40" t="s">
        <v>11404</v>
      </c>
      <c r="F30048" s="40" t="s">
        <v>11404</v>
      </c>
      <c r="G30048" s="40" t="s">
        <v>11404</v>
      </c>
      <c r="H30048" s="40" t="s">
        <v>11404</v>
      </c>
    </row>
    <row r="30049">
      <c r="A30049" s="39"/>
      <c r="E30049" s="40" t="s">
        <v>11404</v>
      </c>
      <c r="F30049" s="40" t="s">
        <v>11404</v>
      </c>
      <c r="G30049" s="40" t="s">
        <v>11404</v>
      </c>
      <c r="H30049" s="40" t="s">
        <v>11404</v>
      </c>
    </row>
    <row r="30050">
      <c r="A30050" s="39"/>
      <c r="E30050" s="40" t="s">
        <v>11404</v>
      </c>
      <c r="F30050" s="40" t="s">
        <v>11404</v>
      </c>
      <c r="G30050" s="40" t="s">
        <v>11404</v>
      </c>
      <c r="H30050" s="40" t="s">
        <v>11404</v>
      </c>
    </row>
    <row r="30051">
      <c r="A30051" s="39"/>
      <c r="E30051" s="40" t="s">
        <v>11404</v>
      </c>
      <c r="F30051" s="40" t="s">
        <v>11404</v>
      </c>
      <c r="G30051" s="40" t="s">
        <v>11404</v>
      </c>
      <c r="H30051" s="40" t="s">
        <v>11404</v>
      </c>
    </row>
    <row r="30052">
      <c r="A30052" s="39"/>
      <c r="E30052" s="40" t="s">
        <v>11404</v>
      </c>
      <c r="F30052" s="40" t="s">
        <v>11404</v>
      </c>
      <c r="G30052" s="40" t="s">
        <v>11404</v>
      </c>
      <c r="H30052" s="40" t="s">
        <v>11404</v>
      </c>
    </row>
    <row r="30053">
      <c r="A30053" s="39"/>
      <c r="E30053" s="40" t="s">
        <v>11404</v>
      </c>
      <c r="F30053" s="40" t="s">
        <v>11404</v>
      </c>
      <c r="G30053" s="40" t="s">
        <v>11404</v>
      </c>
      <c r="H30053" s="40" t="s">
        <v>11404</v>
      </c>
    </row>
    <row r="30054">
      <c r="A30054" s="39"/>
      <c r="E30054" s="40" t="s">
        <v>11404</v>
      </c>
      <c r="F30054" s="40" t="s">
        <v>11404</v>
      </c>
      <c r="G30054" s="40" t="s">
        <v>11404</v>
      </c>
      <c r="H30054" s="40" t="s">
        <v>11404</v>
      </c>
    </row>
    <row r="30055">
      <c r="A30055" s="39"/>
      <c r="E30055" s="40" t="s">
        <v>11404</v>
      </c>
      <c r="F30055" s="40" t="s">
        <v>11404</v>
      </c>
      <c r="G30055" s="40" t="s">
        <v>11404</v>
      </c>
      <c r="H30055" s="40" t="s">
        <v>11404</v>
      </c>
    </row>
    <row r="30056">
      <c r="A30056" s="39"/>
      <c r="E30056" s="40" t="s">
        <v>11404</v>
      </c>
      <c r="F30056" s="40" t="s">
        <v>11404</v>
      </c>
      <c r="G30056" s="40" t="s">
        <v>11404</v>
      </c>
      <c r="H30056" s="40" t="s">
        <v>11404</v>
      </c>
    </row>
    <row r="30057">
      <c r="A30057" s="39"/>
      <c r="E30057" s="40" t="s">
        <v>11404</v>
      </c>
      <c r="F30057" s="40" t="s">
        <v>11404</v>
      </c>
      <c r="G30057" s="40" t="s">
        <v>11404</v>
      </c>
      <c r="H30057" s="40" t="s">
        <v>11404</v>
      </c>
    </row>
    <row r="30058">
      <c r="A30058" s="39"/>
      <c r="E30058" s="40" t="s">
        <v>11404</v>
      </c>
      <c r="F30058" s="40" t="s">
        <v>11404</v>
      </c>
      <c r="G30058" s="40" t="s">
        <v>11404</v>
      </c>
      <c r="H30058" s="40" t="s">
        <v>11404</v>
      </c>
    </row>
    <row r="30059">
      <c r="A30059" s="39"/>
      <c r="E30059" s="40" t="s">
        <v>11404</v>
      </c>
      <c r="F30059" s="40" t="s">
        <v>11404</v>
      </c>
      <c r="G30059" s="40" t="s">
        <v>11404</v>
      </c>
      <c r="H30059" s="40" t="s">
        <v>11404</v>
      </c>
    </row>
    <row r="30060">
      <c r="A30060" s="39"/>
      <c r="E30060" s="40" t="s">
        <v>11404</v>
      </c>
      <c r="F30060" s="40" t="s">
        <v>11404</v>
      </c>
      <c r="G30060" s="40" t="s">
        <v>11404</v>
      </c>
      <c r="H30060" s="40" t="s">
        <v>11404</v>
      </c>
    </row>
    <row r="30061">
      <c r="A30061" s="39"/>
      <c r="E30061" s="40" t="s">
        <v>11404</v>
      </c>
      <c r="F30061" s="40" t="s">
        <v>11404</v>
      </c>
      <c r="G30061" s="40" t="s">
        <v>11404</v>
      </c>
      <c r="H30061" s="40" t="s">
        <v>11404</v>
      </c>
    </row>
    <row r="30062">
      <c r="A30062" s="39"/>
      <c r="E30062" s="40" t="s">
        <v>11404</v>
      </c>
      <c r="F30062" s="40" t="s">
        <v>11404</v>
      </c>
      <c r="G30062" s="40" t="s">
        <v>11404</v>
      </c>
      <c r="H30062" s="40" t="s">
        <v>11404</v>
      </c>
    </row>
    <row r="30063">
      <c r="A30063" s="39"/>
      <c r="E30063" s="40" t="s">
        <v>11404</v>
      </c>
      <c r="F30063" s="40" t="s">
        <v>11404</v>
      </c>
      <c r="G30063" s="40" t="s">
        <v>11404</v>
      </c>
      <c r="H30063" s="40" t="s">
        <v>11404</v>
      </c>
    </row>
    <row r="30064">
      <c r="A30064" s="39"/>
      <c r="E30064" s="40" t="s">
        <v>11404</v>
      </c>
      <c r="F30064" s="40" t="s">
        <v>11404</v>
      </c>
      <c r="G30064" s="40" t="s">
        <v>11404</v>
      </c>
      <c r="H30064" s="40" t="s">
        <v>11404</v>
      </c>
    </row>
    <row r="30065">
      <c r="A30065" s="39"/>
      <c r="E30065" s="40" t="s">
        <v>11404</v>
      </c>
      <c r="F30065" s="40" t="s">
        <v>11404</v>
      </c>
      <c r="G30065" s="40" t="s">
        <v>11404</v>
      </c>
      <c r="H30065" s="40" t="s">
        <v>11404</v>
      </c>
    </row>
    <row r="30066">
      <c r="A30066" s="39"/>
      <c r="E30066" s="40" t="s">
        <v>11404</v>
      </c>
      <c r="F30066" s="40" t="s">
        <v>11404</v>
      </c>
      <c r="G30066" s="40" t="s">
        <v>11404</v>
      </c>
      <c r="H30066" s="40" t="s">
        <v>11404</v>
      </c>
    </row>
    <row r="30067">
      <c r="A30067" s="39"/>
      <c r="E30067" s="40" t="s">
        <v>11404</v>
      </c>
      <c r="F30067" s="40" t="s">
        <v>11404</v>
      </c>
      <c r="G30067" s="40" t="s">
        <v>11404</v>
      </c>
      <c r="H30067" s="40" t="s">
        <v>11404</v>
      </c>
    </row>
    <row r="30068">
      <c r="A30068" s="39"/>
      <c r="E30068" s="40" t="s">
        <v>11404</v>
      </c>
      <c r="F30068" s="40" t="s">
        <v>11404</v>
      </c>
      <c r="G30068" s="40" t="s">
        <v>11404</v>
      </c>
      <c r="H30068" s="40" t="s">
        <v>11404</v>
      </c>
    </row>
    <row r="30069">
      <c r="A30069" s="39"/>
      <c r="E30069" s="40" t="s">
        <v>11404</v>
      </c>
      <c r="F30069" s="40" t="s">
        <v>11404</v>
      </c>
      <c r="G30069" s="40" t="s">
        <v>11404</v>
      </c>
      <c r="H30069" s="40" t="s">
        <v>11404</v>
      </c>
    </row>
    <row r="30070">
      <c r="A30070" s="39"/>
      <c r="E30070" s="40" t="s">
        <v>11404</v>
      </c>
      <c r="F30070" s="40" t="s">
        <v>11404</v>
      </c>
      <c r="G30070" s="40" t="s">
        <v>11404</v>
      </c>
      <c r="H30070" s="40" t="s">
        <v>11404</v>
      </c>
    </row>
    <row r="30071">
      <c r="A30071" s="39"/>
      <c r="E30071" s="40" t="s">
        <v>11404</v>
      </c>
      <c r="F30071" s="40" t="s">
        <v>11404</v>
      </c>
      <c r="G30071" s="40" t="s">
        <v>11404</v>
      </c>
      <c r="H30071" s="40" t="s">
        <v>11404</v>
      </c>
    </row>
    <row r="30072">
      <c r="A30072" s="39"/>
      <c r="E30072" s="40" t="s">
        <v>11404</v>
      </c>
      <c r="F30072" s="40" t="s">
        <v>11404</v>
      </c>
      <c r="G30072" s="40" t="s">
        <v>11404</v>
      </c>
      <c r="H30072" s="40" t="s">
        <v>11404</v>
      </c>
    </row>
    <row r="30073">
      <c r="A30073" s="39"/>
      <c r="E30073" s="40" t="s">
        <v>11404</v>
      </c>
      <c r="F30073" s="40" t="s">
        <v>11404</v>
      </c>
      <c r="G30073" s="40" t="s">
        <v>11404</v>
      </c>
      <c r="H30073" s="40" t="s">
        <v>11404</v>
      </c>
    </row>
    <row r="30074">
      <c r="A30074" s="39"/>
      <c r="E30074" s="40" t="s">
        <v>11404</v>
      </c>
      <c r="F30074" s="40" t="s">
        <v>11404</v>
      </c>
      <c r="G30074" s="40" t="s">
        <v>11404</v>
      </c>
      <c r="H30074" s="40" t="s">
        <v>11404</v>
      </c>
    </row>
    <row r="30075">
      <c r="A30075" s="39"/>
      <c r="E30075" s="40" t="s">
        <v>11404</v>
      </c>
      <c r="F30075" s="40" t="s">
        <v>11404</v>
      </c>
      <c r="G30075" s="40" t="s">
        <v>11404</v>
      </c>
      <c r="H30075" s="40" t="s">
        <v>11404</v>
      </c>
    </row>
    <row r="30076">
      <c r="A30076" s="39"/>
      <c r="E30076" s="40" t="s">
        <v>11404</v>
      </c>
      <c r="F30076" s="40" t="s">
        <v>11404</v>
      </c>
      <c r="G30076" s="40" t="s">
        <v>11404</v>
      </c>
      <c r="H30076" s="40" t="s">
        <v>11404</v>
      </c>
    </row>
    <row r="30077">
      <c r="A30077" s="39"/>
      <c r="E30077" s="40" t="s">
        <v>11404</v>
      </c>
      <c r="F30077" s="40" t="s">
        <v>11404</v>
      </c>
      <c r="G30077" s="40" t="s">
        <v>11404</v>
      </c>
      <c r="H30077" s="40" t="s">
        <v>11404</v>
      </c>
    </row>
    <row r="30078">
      <c r="A30078" s="39"/>
      <c r="E30078" s="40" t="s">
        <v>11404</v>
      </c>
      <c r="F30078" s="40" t="s">
        <v>11404</v>
      </c>
      <c r="G30078" s="40" t="s">
        <v>11404</v>
      </c>
      <c r="H30078" s="40" t="s">
        <v>11404</v>
      </c>
    </row>
    <row r="30079">
      <c r="A30079" s="39"/>
      <c r="E30079" s="40" t="s">
        <v>11404</v>
      </c>
      <c r="F30079" s="40" t="s">
        <v>11404</v>
      </c>
      <c r="G30079" s="40" t="s">
        <v>11404</v>
      </c>
      <c r="H30079" s="40" t="s">
        <v>11404</v>
      </c>
    </row>
    <row r="30080">
      <c r="A30080" s="39"/>
      <c r="E30080" s="40" t="s">
        <v>11404</v>
      </c>
      <c r="F30080" s="40" t="s">
        <v>11404</v>
      </c>
      <c r="G30080" s="40" t="s">
        <v>11404</v>
      </c>
      <c r="H30080" s="40" t="s">
        <v>11404</v>
      </c>
    </row>
    <row r="30081">
      <c r="A30081" s="39"/>
      <c r="E30081" s="40" t="s">
        <v>11404</v>
      </c>
      <c r="F30081" s="40" t="s">
        <v>11404</v>
      </c>
      <c r="G30081" s="40" t="s">
        <v>11404</v>
      </c>
      <c r="H30081" s="40" t="s">
        <v>11404</v>
      </c>
    </row>
    <row r="30082">
      <c r="A30082" s="39"/>
      <c r="E30082" s="40" t="s">
        <v>11404</v>
      </c>
      <c r="F30082" s="40" t="s">
        <v>11404</v>
      </c>
      <c r="G30082" s="40" t="s">
        <v>11404</v>
      </c>
      <c r="H30082" s="40" t="s">
        <v>11404</v>
      </c>
    </row>
    <row r="30083">
      <c r="A30083" s="39"/>
      <c r="E30083" s="40" t="s">
        <v>11404</v>
      </c>
      <c r="F30083" s="40" t="s">
        <v>11404</v>
      </c>
      <c r="G30083" s="40" t="s">
        <v>11404</v>
      </c>
      <c r="H30083" s="40" t="s">
        <v>11404</v>
      </c>
    </row>
    <row r="30084">
      <c r="A30084" s="39"/>
      <c r="E30084" s="40" t="s">
        <v>11404</v>
      </c>
      <c r="F30084" s="40" t="s">
        <v>11404</v>
      </c>
      <c r="G30084" s="40" t="s">
        <v>11404</v>
      </c>
      <c r="H30084" s="40" t="s">
        <v>11404</v>
      </c>
    </row>
    <row r="30085">
      <c r="A30085" s="39"/>
      <c r="E30085" s="40" t="s">
        <v>11404</v>
      </c>
      <c r="F30085" s="40" t="s">
        <v>11404</v>
      </c>
      <c r="G30085" s="40" t="s">
        <v>11404</v>
      </c>
      <c r="H30085" s="40" t="s">
        <v>11404</v>
      </c>
    </row>
    <row r="30086">
      <c r="A30086" s="39"/>
      <c r="E30086" s="40" t="s">
        <v>11404</v>
      </c>
      <c r="F30086" s="40" t="s">
        <v>11404</v>
      </c>
      <c r="G30086" s="40" t="s">
        <v>11404</v>
      </c>
      <c r="H30086" s="40" t="s">
        <v>11404</v>
      </c>
    </row>
    <row r="30087">
      <c r="A30087" s="39"/>
      <c r="E30087" s="40" t="s">
        <v>11404</v>
      </c>
      <c r="F30087" s="40" t="s">
        <v>11404</v>
      </c>
      <c r="G30087" s="40" t="s">
        <v>11404</v>
      </c>
      <c r="H30087" s="40" t="s">
        <v>11404</v>
      </c>
    </row>
    <row r="30088">
      <c r="A30088" s="39"/>
      <c r="E30088" s="40" t="s">
        <v>11404</v>
      </c>
      <c r="F30088" s="40" t="s">
        <v>11404</v>
      </c>
      <c r="G30088" s="40" t="s">
        <v>11404</v>
      </c>
      <c r="H30088" s="40" t="s">
        <v>11404</v>
      </c>
    </row>
    <row r="30089">
      <c r="A30089" s="39"/>
      <c r="E30089" s="40" t="s">
        <v>11404</v>
      </c>
      <c r="F30089" s="40" t="s">
        <v>11404</v>
      </c>
      <c r="G30089" s="40" t="s">
        <v>11404</v>
      </c>
      <c r="H30089" s="40" t="s">
        <v>11404</v>
      </c>
    </row>
    <row r="30090">
      <c r="A30090" s="39"/>
      <c r="E30090" s="40" t="s">
        <v>11404</v>
      </c>
      <c r="F30090" s="40" t="s">
        <v>11404</v>
      </c>
      <c r="G30090" s="40" t="s">
        <v>11404</v>
      </c>
      <c r="H30090" s="40" t="s">
        <v>11404</v>
      </c>
    </row>
    <row r="30091">
      <c r="A30091" s="39"/>
      <c r="E30091" s="40" t="s">
        <v>11404</v>
      </c>
      <c r="F30091" s="40" t="s">
        <v>11404</v>
      </c>
      <c r="G30091" s="40" t="s">
        <v>11404</v>
      </c>
      <c r="H30091" s="40" t="s">
        <v>11404</v>
      </c>
    </row>
    <row r="30092">
      <c r="A30092" s="39"/>
      <c r="E30092" s="40" t="s">
        <v>11404</v>
      </c>
      <c r="F30092" s="40" t="s">
        <v>11404</v>
      </c>
      <c r="G30092" s="40" t="s">
        <v>11404</v>
      </c>
      <c r="H30092" s="40" t="s">
        <v>11404</v>
      </c>
    </row>
    <row r="30093">
      <c r="A30093" s="39"/>
      <c r="E30093" s="40" t="s">
        <v>11404</v>
      </c>
      <c r="F30093" s="40" t="s">
        <v>11404</v>
      </c>
      <c r="G30093" s="40" t="s">
        <v>11404</v>
      </c>
      <c r="H30093" s="40" t="s">
        <v>11404</v>
      </c>
    </row>
    <row r="30094">
      <c r="A30094" s="39"/>
      <c r="E30094" s="40" t="s">
        <v>11404</v>
      </c>
      <c r="F30094" s="40" t="s">
        <v>11404</v>
      </c>
      <c r="G30094" s="40" t="s">
        <v>11404</v>
      </c>
      <c r="H30094" s="40" t="s">
        <v>11404</v>
      </c>
    </row>
    <row r="30095">
      <c r="A30095" s="39"/>
      <c r="E30095" s="40" t="s">
        <v>11404</v>
      </c>
      <c r="F30095" s="40" t="s">
        <v>11404</v>
      </c>
      <c r="G30095" s="40" t="s">
        <v>11404</v>
      </c>
      <c r="H30095" s="40" t="s">
        <v>11404</v>
      </c>
    </row>
    <row r="30096">
      <c r="A30096" s="39"/>
      <c r="E30096" s="40" t="s">
        <v>11404</v>
      </c>
      <c r="F30096" s="40" t="s">
        <v>11404</v>
      </c>
      <c r="G30096" s="40" t="s">
        <v>11404</v>
      </c>
      <c r="H30096" s="40" t="s">
        <v>11404</v>
      </c>
    </row>
    <row r="30097">
      <c r="A30097" s="39"/>
      <c r="E30097" s="40" t="s">
        <v>11404</v>
      </c>
      <c r="F30097" s="40" t="s">
        <v>11404</v>
      </c>
      <c r="G30097" s="40" t="s">
        <v>11404</v>
      </c>
      <c r="H30097" s="40" t="s">
        <v>11404</v>
      </c>
    </row>
    <row r="30098">
      <c r="A30098" s="39"/>
      <c r="E30098" s="40" t="s">
        <v>11404</v>
      </c>
      <c r="F30098" s="40" t="s">
        <v>11404</v>
      </c>
      <c r="G30098" s="40" t="s">
        <v>11404</v>
      </c>
      <c r="H30098" s="40" t="s">
        <v>11404</v>
      </c>
    </row>
    <row r="30099">
      <c r="A30099" s="39"/>
      <c r="E30099" s="40" t="s">
        <v>11404</v>
      </c>
      <c r="F30099" s="40" t="s">
        <v>11404</v>
      </c>
      <c r="G30099" s="40" t="s">
        <v>11404</v>
      </c>
      <c r="H30099" s="40" t="s">
        <v>11404</v>
      </c>
    </row>
    <row r="30100">
      <c r="A30100" s="39"/>
      <c r="E30100" s="40" t="s">
        <v>11404</v>
      </c>
      <c r="F30100" s="40" t="s">
        <v>11404</v>
      </c>
      <c r="G30100" s="40" t="s">
        <v>11404</v>
      </c>
      <c r="H30100" s="40" t="s">
        <v>11404</v>
      </c>
    </row>
    <row r="30101">
      <c r="A30101" s="39"/>
      <c r="E30101" s="40" t="s">
        <v>11404</v>
      </c>
      <c r="F30101" s="40" t="s">
        <v>11404</v>
      </c>
      <c r="G30101" s="40" t="s">
        <v>11404</v>
      </c>
      <c r="H30101" s="40" t="s">
        <v>11404</v>
      </c>
    </row>
    <row r="30102">
      <c r="A30102" s="39"/>
      <c r="E30102" s="40" t="s">
        <v>11404</v>
      </c>
      <c r="F30102" s="40" t="s">
        <v>11404</v>
      </c>
      <c r="G30102" s="40" t="s">
        <v>11404</v>
      </c>
      <c r="H30102" s="40" t="s">
        <v>11404</v>
      </c>
    </row>
    <row r="30103">
      <c r="A30103" s="39"/>
      <c r="E30103" s="40" t="s">
        <v>11404</v>
      </c>
      <c r="F30103" s="40" t="s">
        <v>11404</v>
      </c>
      <c r="G30103" s="40" t="s">
        <v>11404</v>
      </c>
      <c r="H30103" s="40" t="s">
        <v>11404</v>
      </c>
    </row>
    <row r="30104">
      <c r="A30104" s="39"/>
      <c r="E30104" s="40" t="s">
        <v>11404</v>
      </c>
      <c r="F30104" s="40" t="s">
        <v>11404</v>
      </c>
      <c r="G30104" s="40" t="s">
        <v>11404</v>
      </c>
      <c r="H30104" s="40" t="s">
        <v>11404</v>
      </c>
    </row>
    <row r="30105">
      <c r="A30105" s="39"/>
      <c r="E30105" s="40" t="s">
        <v>11404</v>
      </c>
      <c r="F30105" s="40" t="s">
        <v>11404</v>
      </c>
      <c r="G30105" s="40" t="s">
        <v>11404</v>
      </c>
      <c r="H30105" s="40" t="s">
        <v>11404</v>
      </c>
    </row>
    <row r="30106">
      <c r="A30106" s="39"/>
      <c r="E30106" s="40" t="s">
        <v>11404</v>
      </c>
      <c r="F30106" s="40" t="s">
        <v>11404</v>
      </c>
      <c r="G30106" s="40" t="s">
        <v>11404</v>
      </c>
      <c r="H30106" s="40" t="s">
        <v>11404</v>
      </c>
    </row>
    <row r="30107">
      <c r="A30107" s="39"/>
      <c r="E30107" s="40" t="s">
        <v>11404</v>
      </c>
      <c r="F30107" s="40" t="s">
        <v>11404</v>
      </c>
      <c r="G30107" s="40" t="s">
        <v>11404</v>
      </c>
      <c r="H30107" s="40" t="s">
        <v>11404</v>
      </c>
    </row>
    <row r="30108">
      <c r="A30108" s="39"/>
      <c r="E30108" s="40" t="s">
        <v>11404</v>
      </c>
      <c r="F30108" s="40" t="s">
        <v>11404</v>
      </c>
      <c r="G30108" s="40" t="s">
        <v>11404</v>
      </c>
      <c r="H30108" s="40" t="s">
        <v>11404</v>
      </c>
    </row>
    <row r="30109">
      <c r="A30109" s="39"/>
      <c r="E30109" s="40" t="s">
        <v>11404</v>
      </c>
      <c r="F30109" s="40" t="s">
        <v>11404</v>
      </c>
      <c r="G30109" s="40" t="s">
        <v>11404</v>
      </c>
      <c r="H30109" s="40" t="s">
        <v>11404</v>
      </c>
    </row>
    <row r="30110">
      <c r="A30110" s="39"/>
      <c r="E30110" s="40" t="s">
        <v>11404</v>
      </c>
      <c r="F30110" s="40" t="s">
        <v>11404</v>
      </c>
      <c r="G30110" s="40" t="s">
        <v>11404</v>
      </c>
      <c r="H30110" s="40" t="s">
        <v>11404</v>
      </c>
    </row>
    <row r="30111">
      <c r="A30111" s="39"/>
      <c r="E30111" s="40" t="s">
        <v>11404</v>
      </c>
      <c r="F30111" s="40" t="s">
        <v>11404</v>
      </c>
      <c r="G30111" s="40" t="s">
        <v>11404</v>
      </c>
      <c r="H30111" s="40" t="s">
        <v>11404</v>
      </c>
    </row>
    <row r="30112">
      <c r="A30112" s="39"/>
      <c r="E30112" s="40" t="s">
        <v>11404</v>
      </c>
      <c r="F30112" s="40" t="s">
        <v>11404</v>
      </c>
      <c r="G30112" s="40" t="s">
        <v>11404</v>
      </c>
      <c r="H30112" s="40" t="s">
        <v>11404</v>
      </c>
    </row>
    <row r="30113">
      <c r="A30113" s="39"/>
      <c r="E30113" s="40" t="s">
        <v>11404</v>
      </c>
      <c r="F30113" s="40" t="s">
        <v>11404</v>
      </c>
      <c r="G30113" s="40" t="s">
        <v>11404</v>
      </c>
      <c r="H30113" s="40" t="s">
        <v>11404</v>
      </c>
    </row>
    <row r="30114">
      <c r="A30114" s="39"/>
      <c r="E30114" s="40" t="s">
        <v>11404</v>
      </c>
      <c r="F30114" s="40" t="s">
        <v>11404</v>
      </c>
      <c r="G30114" s="40" t="s">
        <v>11404</v>
      </c>
      <c r="H30114" s="40" t="s">
        <v>11404</v>
      </c>
    </row>
    <row r="30115">
      <c r="A30115" s="39"/>
      <c r="E30115" s="40" t="s">
        <v>11404</v>
      </c>
      <c r="F30115" s="40" t="s">
        <v>11404</v>
      </c>
      <c r="G30115" s="40" t="s">
        <v>11404</v>
      </c>
      <c r="H30115" s="40" t="s">
        <v>11404</v>
      </c>
    </row>
    <row r="30116">
      <c r="A30116" s="39"/>
      <c r="E30116" s="40" t="s">
        <v>11404</v>
      </c>
      <c r="F30116" s="40" t="s">
        <v>11404</v>
      </c>
      <c r="G30116" s="40" t="s">
        <v>11404</v>
      </c>
      <c r="H30116" s="40" t="s">
        <v>11404</v>
      </c>
    </row>
    <row r="30117">
      <c r="A30117" s="39"/>
      <c r="E30117" s="40" t="s">
        <v>11404</v>
      </c>
      <c r="F30117" s="40" t="s">
        <v>11404</v>
      </c>
      <c r="G30117" s="40" t="s">
        <v>11404</v>
      </c>
      <c r="H30117" s="40" t="s">
        <v>11404</v>
      </c>
    </row>
    <row r="30118">
      <c r="A30118" s="39"/>
      <c r="E30118" s="40" t="s">
        <v>11404</v>
      </c>
      <c r="F30118" s="40" t="s">
        <v>11404</v>
      </c>
      <c r="G30118" s="40" t="s">
        <v>11404</v>
      </c>
      <c r="H30118" s="40" t="s">
        <v>11404</v>
      </c>
    </row>
    <row r="30119">
      <c r="A30119" s="39"/>
      <c r="E30119" s="40" t="s">
        <v>11404</v>
      </c>
      <c r="F30119" s="40" t="s">
        <v>11404</v>
      </c>
      <c r="G30119" s="40" t="s">
        <v>11404</v>
      </c>
      <c r="H30119" s="40" t="s">
        <v>11404</v>
      </c>
    </row>
    <row r="30120">
      <c r="A30120" s="39"/>
      <c r="E30120" s="40" t="s">
        <v>11404</v>
      </c>
      <c r="F30120" s="40" t="s">
        <v>11404</v>
      </c>
      <c r="G30120" s="40" t="s">
        <v>11404</v>
      </c>
      <c r="H30120" s="40" t="s">
        <v>11404</v>
      </c>
    </row>
    <row r="30121">
      <c r="A30121" s="39"/>
      <c r="E30121" s="40" t="s">
        <v>11404</v>
      </c>
      <c r="F30121" s="40" t="s">
        <v>11404</v>
      </c>
      <c r="G30121" s="40" t="s">
        <v>11404</v>
      </c>
      <c r="H30121" s="40" t="s">
        <v>11404</v>
      </c>
    </row>
    <row r="30122">
      <c r="A30122" s="39"/>
      <c r="E30122" s="40" t="s">
        <v>11404</v>
      </c>
      <c r="F30122" s="40" t="s">
        <v>11404</v>
      </c>
      <c r="G30122" s="40" t="s">
        <v>11404</v>
      </c>
      <c r="H30122" s="40" t="s">
        <v>11404</v>
      </c>
    </row>
    <row r="30123">
      <c r="A30123" s="39"/>
      <c r="E30123" s="40" t="s">
        <v>11404</v>
      </c>
      <c r="F30123" s="40" t="s">
        <v>11404</v>
      </c>
      <c r="G30123" s="40" t="s">
        <v>11404</v>
      </c>
      <c r="H30123" s="40" t="s">
        <v>11404</v>
      </c>
    </row>
    <row r="30124">
      <c r="A30124" s="39"/>
      <c r="E30124" s="40" t="s">
        <v>11404</v>
      </c>
      <c r="F30124" s="40" t="s">
        <v>11404</v>
      </c>
      <c r="G30124" s="40" t="s">
        <v>11404</v>
      </c>
      <c r="H30124" s="40" t="s">
        <v>11404</v>
      </c>
    </row>
    <row r="30125">
      <c r="A30125" s="39"/>
      <c r="E30125" s="40" t="s">
        <v>11404</v>
      </c>
      <c r="F30125" s="40" t="s">
        <v>11404</v>
      </c>
      <c r="G30125" s="40" t="s">
        <v>11404</v>
      </c>
      <c r="H30125" s="40" t="s">
        <v>11404</v>
      </c>
    </row>
    <row r="30126">
      <c r="A30126" s="39"/>
      <c r="E30126" s="40" t="s">
        <v>11404</v>
      </c>
      <c r="F30126" s="40" t="s">
        <v>11404</v>
      </c>
      <c r="G30126" s="40" t="s">
        <v>11404</v>
      </c>
      <c r="H30126" s="40" t="s">
        <v>11404</v>
      </c>
    </row>
    <row r="30127">
      <c r="A30127" s="39"/>
      <c r="E30127" s="40" t="s">
        <v>11404</v>
      </c>
      <c r="F30127" s="40" t="s">
        <v>11404</v>
      </c>
      <c r="G30127" s="40" t="s">
        <v>11404</v>
      </c>
      <c r="H30127" s="40" t="s">
        <v>11404</v>
      </c>
    </row>
    <row r="30128">
      <c r="A30128" s="39"/>
      <c r="E30128" s="40" t="s">
        <v>11404</v>
      </c>
      <c r="F30128" s="40" t="s">
        <v>11404</v>
      </c>
      <c r="G30128" s="40" t="s">
        <v>11404</v>
      </c>
      <c r="H30128" s="40" t="s">
        <v>11404</v>
      </c>
    </row>
    <row r="30129">
      <c r="A30129" s="39"/>
      <c r="E30129" s="40" t="s">
        <v>11404</v>
      </c>
      <c r="F30129" s="40" t="s">
        <v>11404</v>
      </c>
      <c r="G30129" s="40" t="s">
        <v>11404</v>
      </c>
      <c r="H30129" s="40" t="s">
        <v>11404</v>
      </c>
    </row>
    <row r="30130">
      <c r="A30130" s="39"/>
      <c r="E30130" s="40" t="s">
        <v>11404</v>
      </c>
      <c r="F30130" s="40" t="s">
        <v>11404</v>
      </c>
      <c r="G30130" s="40" t="s">
        <v>11404</v>
      </c>
      <c r="H30130" s="40" t="s">
        <v>11404</v>
      </c>
    </row>
    <row r="30131">
      <c r="A30131" s="39"/>
      <c r="E30131" s="40" t="s">
        <v>11404</v>
      </c>
      <c r="F30131" s="40" t="s">
        <v>11404</v>
      </c>
      <c r="G30131" s="40" t="s">
        <v>11404</v>
      </c>
      <c r="H30131" s="40" t="s">
        <v>11404</v>
      </c>
    </row>
    <row r="30132">
      <c r="A30132" s="39"/>
      <c r="E30132" s="40" t="s">
        <v>11404</v>
      </c>
      <c r="F30132" s="40" t="s">
        <v>11404</v>
      </c>
      <c r="G30132" s="40" t="s">
        <v>11404</v>
      </c>
      <c r="H30132" s="40" t="s">
        <v>11404</v>
      </c>
    </row>
    <row r="30133">
      <c r="A30133" s="39"/>
      <c r="E30133" s="40" t="s">
        <v>11404</v>
      </c>
      <c r="F30133" s="40" t="s">
        <v>11404</v>
      </c>
      <c r="G30133" s="40" t="s">
        <v>11404</v>
      </c>
      <c r="H30133" s="40" t="s">
        <v>11404</v>
      </c>
    </row>
    <row r="30134">
      <c r="A30134" s="39"/>
      <c r="E30134" s="40" t="s">
        <v>11404</v>
      </c>
      <c r="F30134" s="40" t="s">
        <v>11404</v>
      </c>
      <c r="G30134" s="40" t="s">
        <v>11404</v>
      </c>
      <c r="H30134" s="40" t="s">
        <v>11404</v>
      </c>
    </row>
    <row r="30135">
      <c r="A30135" s="39"/>
      <c r="E30135" s="40" t="s">
        <v>11404</v>
      </c>
      <c r="F30135" s="40" t="s">
        <v>11404</v>
      </c>
      <c r="G30135" s="40" t="s">
        <v>11404</v>
      </c>
      <c r="H30135" s="40" t="s">
        <v>11404</v>
      </c>
    </row>
    <row r="30136">
      <c r="A30136" s="39"/>
      <c r="E30136" s="40" t="s">
        <v>11404</v>
      </c>
      <c r="F30136" s="40" t="s">
        <v>11404</v>
      </c>
      <c r="G30136" s="40" t="s">
        <v>11404</v>
      </c>
      <c r="H30136" s="40" t="s">
        <v>11404</v>
      </c>
    </row>
    <row r="30137">
      <c r="A30137" s="39"/>
      <c r="E30137" s="40" t="s">
        <v>11404</v>
      </c>
      <c r="F30137" s="40" t="s">
        <v>11404</v>
      </c>
      <c r="G30137" s="40" t="s">
        <v>11404</v>
      </c>
      <c r="H30137" s="40" t="s">
        <v>11404</v>
      </c>
    </row>
    <row r="30138">
      <c r="A30138" s="39"/>
      <c r="E30138" s="40" t="s">
        <v>11404</v>
      </c>
      <c r="F30138" s="40" t="s">
        <v>11404</v>
      </c>
      <c r="G30138" s="40" t="s">
        <v>11404</v>
      </c>
      <c r="H30138" s="40" t="s">
        <v>11404</v>
      </c>
    </row>
    <row r="30139">
      <c r="A30139" s="39"/>
      <c r="E30139" s="40" t="s">
        <v>11404</v>
      </c>
      <c r="F30139" s="40" t="s">
        <v>11404</v>
      </c>
      <c r="G30139" s="40" t="s">
        <v>11404</v>
      </c>
      <c r="H30139" s="40" t="s">
        <v>11404</v>
      </c>
    </row>
    <row r="30140">
      <c r="A30140" s="39"/>
      <c r="E30140" s="40" t="s">
        <v>11404</v>
      </c>
      <c r="F30140" s="40" t="s">
        <v>11404</v>
      </c>
      <c r="G30140" s="40" t="s">
        <v>11404</v>
      </c>
      <c r="H30140" s="40" t="s">
        <v>11404</v>
      </c>
    </row>
    <row r="30141">
      <c r="A30141" s="39"/>
      <c r="E30141" s="40" t="s">
        <v>11404</v>
      </c>
      <c r="F30141" s="40" t="s">
        <v>11404</v>
      </c>
      <c r="G30141" s="40" t="s">
        <v>11404</v>
      </c>
      <c r="H30141" s="40" t="s">
        <v>11404</v>
      </c>
    </row>
    <row r="30142">
      <c r="A30142" s="39"/>
      <c r="E30142" s="40" t="s">
        <v>11404</v>
      </c>
      <c r="F30142" s="40" t="s">
        <v>11404</v>
      </c>
      <c r="G30142" s="40" t="s">
        <v>11404</v>
      </c>
      <c r="H30142" s="40" t="s">
        <v>11404</v>
      </c>
    </row>
    <row r="30143">
      <c r="A30143" s="39"/>
      <c r="E30143" s="40" t="s">
        <v>11404</v>
      </c>
      <c r="F30143" s="40" t="s">
        <v>11404</v>
      </c>
      <c r="G30143" s="40" t="s">
        <v>11404</v>
      </c>
      <c r="H30143" s="40" t="s">
        <v>11404</v>
      </c>
    </row>
    <row r="30144">
      <c r="A30144" s="39"/>
      <c r="E30144" s="40" t="s">
        <v>11404</v>
      </c>
      <c r="F30144" s="40" t="s">
        <v>11404</v>
      </c>
      <c r="G30144" s="40" t="s">
        <v>11404</v>
      </c>
      <c r="H30144" s="40" t="s">
        <v>11404</v>
      </c>
    </row>
    <row r="30145">
      <c r="A30145" s="39"/>
      <c r="E30145" s="40" t="s">
        <v>11404</v>
      </c>
      <c r="F30145" s="40" t="s">
        <v>11404</v>
      </c>
      <c r="G30145" s="40" t="s">
        <v>11404</v>
      </c>
      <c r="H30145" s="40" t="s">
        <v>11404</v>
      </c>
    </row>
    <row r="30146">
      <c r="A30146" s="39"/>
      <c r="E30146" s="40" t="s">
        <v>11404</v>
      </c>
      <c r="F30146" s="40" t="s">
        <v>11404</v>
      </c>
      <c r="G30146" s="40" t="s">
        <v>11404</v>
      </c>
      <c r="H30146" s="40" t="s">
        <v>11404</v>
      </c>
    </row>
    <row r="30147">
      <c r="A30147" s="39"/>
      <c r="E30147" s="40" t="s">
        <v>11404</v>
      </c>
      <c r="F30147" s="40" t="s">
        <v>11404</v>
      </c>
      <c r="G30147" s="40" t="s">
        <v>11404</v>
      </c>
      <c r="H30147" s="40" t="s">
        <v>11404</v>
      </c>
    </row>
    <row r="30148">
      <c r="A30148" s="39"/>
      <c r="E30148" s="40" t="s">
        <v>11404</v>
      </c>
      <c r="F30148" s="40" t="s">
        <v>11404</v>
      </c>
      <c r="G30148" s="40" t="s">
        <v>11404</v>
      </c>
      <c r="H30148" s="40" t="s">
        <v>11404</v>
      </c>
    </row>
    <row r="30149">
      <c r="A30149" s="39"/>
      <c r="E30149" s="40" t="s">
        <v>11404</v>
      </c>
      <c r="F30149" s="40" t="s">
        <v>11404</v>
      </c>
      <c r="G30149" s="40" t="s">
        <v>11404</v>
      </c>
      <c r="H30149" s="40" t="s">
        <v>11404</v>
      </c>
    </row>
    <row r="30150">
      <c r="A30150" s="39"/>
      <c r="E30150" s="40" t="s">
        <v>11404</v>
      </c>
      <c r="F30150" s="40" t="s">
        <v>11404</v>
      </c>
      <c r="G30150" s="40" t="s">
        <v>11404</v>
      </c>
      <c r="H30150" s="40" t="s">
        <v>11404</v>
      </c>
    </row>
    <row r="30151">
      <c r="A30151" s="39"/>
      <c r="E30151" s="40" t="s">
        <v>11404</v>
      </c>
      <c r="F30151" s="40" t="s">
        <v>11404</v>
      </c>
      <c r="G30151" s="40" t="s">
        <v>11404</v>
      </c>
      <c r="H30151" s="40" t="s">
        <v>11404</v>
      </c>
    </row>
    <row r="30152">
      <c r="A30152" s="39"/>
      <c r="E30152" s="40" t="s">
        <v>11404</v>
      </c>
      <c r="F30152" s="40" t="s">
        <v>11404</v>
      </c>
      <c r="G30152" s="40" t="s">
        <v>11404</v>
      </c>
      <c r="H30152" s="40" t="s">
        <v>11404</v>
      </c>
    </row>
    <row r="30153">
      <c r="A30153" s="39"/>
      <c r="E30153" s="40" t="s">
        <v>11404</v>
      </c>
      <c r="F30153" s="40" t="s">
        <v>11404</v>
      </c>
      <c r="G30153" s="40" t="s">
        <v>11404</v>
      </c>
      <c r="H30153" s="40" t="s">
        <v>11404</v>
      </c>
    </row>
    <row r="30154">
      <c r="A30154" s="39"/>
      <c r="E30154" s="40" t="s">
        <v>11404</v>
      </c>
      <c r="F30154" s="40" t="s">
        <v>11404</v>
      </c>
      <c r="G30154" s="40" t="s">
        <v>11404</v>
      </c>
      <c r="H30154" s="40" t="s">
        <v>11404</v>
      </c>
    </row>
    <row r="30155">
      <c r="A30155" s="39"/>
      <c r="E30155" s="40" t="s">
        <v>11404</v>
      </c>
      <c r="F30155" s="40" t="s">
        <v>11404</v>
      </c>
      <c r="G30155" s="40" t="s">
        <v>11404</v>
      </c>
      <c r="H30155" s="40" t="s">
        <v>11404</v>
      </c>
    </row>
    <row r="30156">
      <c r="A30156" s="39"/>
      <c r="E30156" s="40" t="s">
        <v>11404</v>
      </c>
      <c r="F30156" s="40" t="s">
        <v>11404</v>
      </c>
      <c r="G30156" s="40" t="s">
        <v>11404</v>
      </c>
      <c r="H30156" s="40" t="s">
        <v>11404</v>
      </c>
    </row>
    <row r="30157">
      <c r="A30157" s="39"/>
      <c r="E30157" s="40" t="s">
        <v>11404</v>
      </c>
      <c r="F30157" s="40" t="s">
        <v>11404</v>
      </c>
      <c r="G30157" s="40" t="s">
        <v>11404</v>
      </c>
      <c r="H30157" s="40" t="s">
        <v>11404</v>
      </c>
    </row>
    <row r="30158">
      <c r="A30158" s="39"/>
      <c r="E30158" s="40" t="s">
        <v>11404</v>
      </c>
      <c r="F30158" s="40" t="s">
        <v>11404</v>
      </c>
      <c r="G30158" s="40" t="s">
        <v>11404</v>
      </c>
      <c r="H30158" s="40" t="s">
        <v>11404</v>
      </c>
    </row>
    <row r="30159">
      <c r="A30159" s="39"/>
      <c r="E30159" s="40" t="s">
        <v>11404</v>
      </c>
      <c r="F30159" s="40" t="s">
        <v>11404</v>
      </c>
      <c r="G30159" s="40" t="s">
        <v>11404</v>
      </c>
      <c r="H30159" s="40" t="s">
        <v>11404</v>
      </c>
    </row>
    <row r="30160">
      <c r="A30160" s="39"/>
      <c r="E30160" s="40" t="s">
        <v>11404</v>
      </c>
      <c r="F30160" s="40" t="s">
        <v>11404</v>
      </c>
      <c r="G30160" s="40" t="s">
        <v>11404</v>
      </c>
      <c r="H30160" s="40" t="s">
        <v>11404</v>
      </c>
    </row>
    <row r="30161">
      <c r="A30161" s="39"/>
      <c r="E30161" s="40" t="s">
        <v>11404</v>
      </c>
      <c r="F30161" s="40" t="s">
        <v>11404</v>
      </c>
      <c r="G30161" s="40" t="s">
        <v>11404</v>
      </c>
      <c r="H30161" s="40" t="s">
        <v>11404</v>
      </c>
    </row>
    <row r="30162">
      <c r="A30162" s="39"/>
      <c r="E30162" s="40" t="s">
        <v>11404</v>
      </c>
      <c r="F30162" s="40" t="s">
        <v>11404</v>
      </c>
      <c r="G30162" s="40" t="s">
        <v>11404</v>
      </c>
      <c r="H30162" s="40" t="s">
        <v>11404</v>
      </c>
    </row>
    <row r="30163">
      <c r="A30163" s="39"/>
      <c r="E30163" s="40" t="s">
        <v>11404</v>
      </c>
      <c r="F30163" s="40" t="s">
        <v>11404</v>
      </c>
      <c r="G30163" s="40" t="s">
        <v>11404</v>
      </c>
      <c r="H30163" s="40" t="s">
        <v>11404</v>
      </c>
    </row>
    <row r="30164">
      <c r="A30164" s="39"/>
      <c r="E30164" s="40" t="s">
        <v>11404</v>
      </c>
      <c r="F30164" s="40" t="s">
        <v>11404</v>
      </c>
      <c r="G30164" s="40" t="s">
        <v>11404</v>
      </c>
      <c r="H30164" s="40" t="s">
        <v>11404</v>
      </c>
    </row>
    <row r="30165">
      <c r="A30165" s="39"/>
      <c r="E30165" s="40" t="s">
        <v>11404</v>
      </c>
      <c r="F30165" s="40" t="s">
        <v>11404</v>
      </c>
      <c r="G30165" s="40" t="s">
        <v>11404</v>
      </c>
      <c r="H30165" s="40" t="s">
        <v>11404</v>
      </c>
    </row>
    <row r="30166">
      <c r="A30166" s="39"/>
      <c r="E30166" s="40" t="s">
        <v>11404</v>
      </c>
      <c r="F30166" s="40" t="s">
        <v>11404</v>
      </c>
      <c r="G30166" s="40" t="s">
        <v>11404</v>
      </c>
      <c r="H30166" s="40" t="s">
        <v>11404</v>
      </c>
    </row>
    <row r="30167">
      <c r="A30167" s="39"/>
      <c r="E30167" s="40" t="s">
        <v>11404</v>
      </c>
      <c r="F30167" s="40" t="s">
        <v>11404</v>
      </c>
      <c r="G30167" s="40" t="s">
        <v>11404</v>
      </c>
      <c r="H30167" s="40" t="s">
        <v>11404</v>
      </c>
    </row>
    <row r="30168">
      <c r="A30168" s="39"/>
      <c r="E30168" s="40" t="s">
        <v>11404</v>
      </c>
      <c r="F30168" s="40" t="s">
        <v>11404</v>
      </c>
      <c r="G30168" s="40" t="s">
        <v>11404</v>
      </c>
      <c r="H30168" s="40" t="s">
        <v>11404</v>
      </c>
    </row>
    <row r="30169">
      <c r="A30169" s="39"/>
      <c r="E30169" s="40" t="s">
        <v>11404</v>
      </c>
      <c r="F30169" s="40" t="s">
        <v>11404</v>
      </c>
      <c r="G30169" s="40" t="s">
        <v>11404</v>
      </c>
      <c r="H30169" s="40" t="s">
        <v>11404</v>
      </c>
    </row>
    <row r="30170">
      <c r="A30170" s="39"/>
      <c r="E30170" s="40" t="s">
        <v>11404</v>
      </c>
      <c r="F30170" s="40" t="s">
        <v>11404</v>
      </c>
      <c r="G30170" s="40" t="s">
        <v>11404</v>
      </c>
      <c r="H30170" s="40" t="s">
        <v>11404</v>
      </c>
    </row>
    <row r="30171">
      <c r="A30171" s="39"/>
      <c r="E30171" s="40" t="s">
        <v>11404</v>
      </c>
      <c r="F30171" s="40" t="s">
        <v>11404</v>
      </c>
      <c r="G30171" s="40" t="s">
        <v>11404</v>
      </c>
      <c r="H30171" s="40" t="s">
        <v>11404</v>
      </c>
    </row>
    <row r="30172">
      <c r="A30172" s="39"/>
      <c r="E30172" s="40" t="s">
        <v>11404</v>
      </c>
      <c r="F30172" s="40" t="s">
        <v>11404</v>
      </c>
      <c r="G30172" s="40" t="s">
        <v>11404</v>
      </c>
      <c r="H30172" s="40" t="s">
        <v>11404</v>
      </c>
    </row>
    <row r="30173">
      <c r="A30173" s="39"/>
      <c r="E30173" s="40" t="s">
        <v>11404</v>
      </c>
      <c r="F30173" s="40" t="s">
        <v>11404</v>
      </c>
      <c r="G30173" s="40" t="s">
        <v>11404</v>
      </c>
      <c r="H30173" s="40" t="s">
        <v>11404</v>
      </c>
    </row>
    <row r="30174">
      <c r="A30174" s="39"/>
      <c r="E30174" s="40" t="s">
        <v>11404</v>
      </c>
      <c r="F30174" s="40" t="s">
        <v>11404</v>
      </c>
      <c r="G30174" s="40" t="s">
        <v>11404</v>
      </c>
      <c r="H30174" s="40" t="s">
        <v>11404</v>
      </c>
    </row>
    <row r="30175">
      <c r="A30175" s="39"/>
      <c r="E30175" s="40" t="s">
        <v>11404</v>
      </c>
      <c r="F30175" s="40" t="s">
        <v>11404</v>
      </c>
      <c r="G30175" s="40" t="s">
        <v>11404</v>
      </c>
      <c r="H30175" s="40" t="s">
        <v>11404</v>
      </c>
    </row>
    <row r="30176">
      <c r="A30176" s="39"/>
      <c r="E30176" s="40" t="s">
        <v>11404</v>
      </c>
      <c r="F30176" s="40" t="s">
        <v>11404</v>
      </c>
      <c r="G30176" s="40" t="s">
        <v>11404</v>
      </c>
      <c r="H30176" s="40" t="s">
        <v>11404</v>
      </c>
    </row>
    <row r="30177">
      <c r="A30177" s="39"/>
      <c r="E30177" s="40" t="s">
        <v>11404</v>
      </c>
      <c r="F30177" s="40" t="s">
        <v>11404</v>
      </c>
      <c r="G30177" s="40" t="s">
        <v>11404</v>
      </c>
      <c r="H30177" s="40" t="s">
        <v>11404</v>
      </c>
    </row>
    <row r="30178">
      <c r="A30178" s="39"/>
      <c r="E30178" s="40" t="s">
        <v>11404</v>
      </c>
      <c r="F30178" s="40" t="s">
        <v>11404</v>
      </c>
      <c r="G30178" s="40" t="s">
        <v>11404</v>
      </c>
      <c r="H30178" s="40" t="s">
        <v>11404</v>
      </c>
    </row>
    <row r="30179">
      <c r="A30179" s="39"/>
      <c r="E30179" s="40" t="s">
        <v>11404</v>
      </c>
      <c r="F30179" s="40" t="s">
        <v>11404</v>
      </c>
      <c r="G30179" s="40" t="s">
        <v>11404</v>
      </c>
      <c r="H30179" s="40" t="s">
        <v>11404</v>
      </c>
    </row>
    <row r="30180">
      <c r="A30180" s="39"/>
      <c r="E30180" s="40" t="s">
        <v>11404</v>
      </c>
      <c r="F30180" s="40" t="s">
        <v>11404</v>
      </c>
      <c r="G30180" s="40" t="s">
        <v>11404</v>
      </c>
      <c r="H30180" s="40" t="s">
        <v>11404</v>
      </c>
    </row>
    <row r="30181">
      <c r="A30181" s="39"/>
      <c r="E30181" s="40" t="s">
        <v>11404</v>
      </c>
      <c r="F30181" s="40" t="s">
        <v>11404</v>
      </c>
      <c r="G30181" s="40" t="s">
        <v>11404</v>
      </c>
      <c r="H30181" s="40" t="s">
        <v>11404</v>
      </c>
    </row>
    <row r="30182">
      <c r="A30182" s="39"/>
      <c r="E30182" s="40" t="s">
        <v>11404</v>
      </c>
      <c r="F30182" s="40" t="s">
        <v>11404</v>
      </c>
      <c r="G30182" s="40" t="s">
        <v>11404</v>
      </c>
      <c r="H30182" s="40" t="s">
        <v>11404</v>
      </c>
    </row>
    <row r="30183">
      <c r="A30183" s="39"/>
      <c r="E30183" s="40" t="s">
        <v>11404</v>
      </c>
      <c r="F30183" s="40" t="s">
        <v>11404</v>
      </c>
      <c r="G30183" s="40" t="s">
        <v>11404</v>
      </c>
      <c r="H30183" s="40" t="s">
        <v>11404</v>
      </c>
    </row>
    <row r="30184">
      <c r="A30184" s="39"/>
      <c r="E30184" s="40" t="s">
        <v>11404</v>
      </c>
      <c r="F30184" s="40" t="s">
        <v>11404</v>
      </c>
      <c r="G30184" s="40" t="s">
        <v>11404</v>
      </c>
      <c r="H30184" s="40" t="s">
        <v>11404</v>
      </c>
    </row>
    <row r="30185">
      <c r="A30185" s="39"/>
      <c r="E30185" s="40" t="s">
        <v>11404</v>
      </c>
      <c r="F30185" s="40" t="s">
        <v>11404</v>
      </c>
      <c r="G30185" s="40" t="s">
        <v>11404</v>
      </c>
      <c r="H30185" s="40" t="s">
        <v>11404</v>
      </c>
    </row>
    <row r="30186">
      <c r="A30186" s="39"/>
      <c r="E30186" s="40" t="s">
        <v>11404</v>
      </c>
      <c r="F30186" s="40" t="s">
        <v>11404</v>
      </c>
      <c r="G30186" s="40" t="s">
        <v>11404</v>
      </c>
      <c r="H30186" s="40" t="s">
        <v>11404</v>
      </c>
    </row>
    <row r="30187">
      <c r="A30187" s="39"/>
      <c r="E30187" s="40" t="s">
        <v>11404</v>
      </c>
      <c r="F30187" s="40" t="s">
        <v>11404</v>
      </c>
      <c r="G30187" s="40" t="s">
        <v>11404</v>
      </c>
      <c r="H30187" s="40" t="s">
        <v>11404</v>
      </c>
    </row>
    <row r="30188">
      <c r="A30188" s="39"/>
      <c r="E30188" s="40" t="s">
        <v>11404</v>
      </c>
      <c r="F30188" s="40" t="s">
        <v>11404</v>
      </c>
      <c r="G30188" s="40" t="s">
        <v>11404</v>
      </c>
      <c r="H30188" s="40" t="s">
        <v>11404</v>
      </c>
    </row>
    <row r="30189">
      <c r="A30189" s="39"/>
      <c r="E30189" s="40" t="s">
        <v>11404</v>
      </c>
      <c r="F30189" s="40" t="s">
        <v>11404</v>
      </c>
      <c r="G30189" s="40" t="s">
        <v>11404</v>
      </c>
      <c r="H30189" s="40" t="s">
        <v>11404</v>
      </c>
    </row>
    <row r="30190">
      <c r="A30190" s="39"/>
      <c r="E30190" s="40" t="s">
        <v>11404</v>
      </c>
      <c r="F30190" s="40" t="s">
        <v>11404</v>
      </c>
      <c r="G30190" s="40" t="s">
        <v>11404</v>
      </c>
      <c r="H30190" s="40" t="s">
        <v>11404</v>
      </c>
    </row>
    <row r="30191">
      <c r="A30191" s="39"/>
      <c r="E30191" s="40" t="s">
        <v>11404</v>
      </c>
      <c r="F30191" s="40" t="s">
        <v>11404</v>
      </c>
      <c r="G30191" s="40" t="s">
        <v>11404</v>
      </c>
      <c r="H30191" s="40" t="s">
        <v>11404</v>
      </c>
    </row>
    <row r="30192">
      <c r="A30192" s="39"/>
      <c r="E30192" s="40" t="s">
        <v>11404</v>
      </c>
      <c r="F30192" s="40" t="s">
        <v>11404</v>
      </c>
      <c r="G30192" s="40" t="s">
        <v>11404</v>
      </c>
      <c r="H30192" s="40" t="s">
        <v>11404</v>
      </c>
    </row>
    <row r="30193">
      <c r="A30193" s="39"/>
      <c r="E30193" s="40" t="s">
        <v>11404</v>
      </c>
      <c r="F30193" s="40" t="s">
        <v>11404</v>
      </c>
      <c r="G30193" s="40" t="s">
        <v>11404</v>
      </c>
      <c r="H30193" s="40" t="s">
        <v>11404</v>
      </c>
    </row>
    <row r="30194">
      <c r="A30194" s="39"/>
      <c r="E30194" s="40" t="s">
        <v>11404</v>
      </c>
      <c r="F30194" s="40" t="s">
        <v>11404</v>
      </c>
      <c r="G30194" s="40" t="s">
        <v>11404</v>
      </c>
      <c r="H30194" s="40" t="s">
        <v>11404</v>
      </c>
    </row>
    <row r="30195">
      <c r="A30195" s="39"/>
      <c r="E30195" s="40" t="s">
        <v>11404</v>
      </c>
      <c r="F30195" s="40" t="s">
        <v>11404</v>
      </c>
      <c r="G30195" s="40" t="s">
        <v>11404</v>
      </c>
      <c r="H30195" s="40" t="s">
        <v>11404</v>
      </c>
    </row>
    <row r="30196">
      <c r="A30196" s="39"/>
      <c r="E30196" s="40" t="s">
        <v>11404</v>
      </c>
      <c r="F30196" s="40" t="s">
        <v>11404</v>
      </c>
      <c r="G30196" s="40" t="s">
        <v>11404</v>
      </c>
      <c r="H30196" s="40" t="s">
        <v>11404</v>
      </c>
    </row>
    <row r="30197">
      <c r="A30197" s="39"/>
      <c r="E30197" s="40" t="s">
        <v>11404</v>
      </c>
      <c r="F30197" s="40" t="s">
        <v>11404</v>
      </c>
      <c r="G30197" s="40" t="s">
        <v>11404</v>
      </c>
      <c r="H30197" s="40" t="s">
        <v>11404</v>
      </c>
    </row>
    <row r="30198">
      <c r="A30198" s="39"/>
      <c r="E30198" s="40" t="s">
        <v>11404</v>
      </c>
      <c r="F30198" s="40" t="s">
        <v>11404</v>
      </c>
      <c r="G30198" s="40" t="s">
        <v>11404</v>
      </c>
      <c r="H30198" s="40" t="s">
        <v>11404</v>
      </c>
    </row>
    <row r="30199">
      <c r="A30199" s="39"/>
      <c r="E30199" s="40" t="s">
        <v>11404</v>
      </c>
      <c r="F30199" s="40" t="s">
        <v>11404</v>
      </c>
      <c r="G30199" s="40" t="s">
        <v>11404</v>
      </c>
      <c r="H30199" s="40" t="s">
        <v>11404</v>
      </c>
    </row>
    <row r="30200">
      <c r="A30200" s="39"/>
      <c r="E30200" s="40" t="s">
        <v>11404</v>
      </c>
      <c r="F30200" s="40" t="s">
        <v>11404</v>
      </c>
      <c r="G30200" s="40" t="s">
        <v>11404</v>
      </c>
      <c r="H30200" s="40" t="s">
        <v>11404</v>
      </c>
    </row>
    <row r="30201">
      <c r="A30201" s="39"/>
      <c r="E30201" s="40" t="s">
        <v>11404</v>
      </c>
      <c r="F30201" s="40" t="s">
        <v>11404</v>
      </c>
      <c r="G30201" s="40" t="s">
        <v>11404</v>
      </c>
      <c r="H30201" s="40" t="s">
        <v>11404</v>
      </c>
    </row>
    <row r="30202">
      <c r="A30202" s="39"/>
      <c r="E30202" s="40" t="s">
        <v>11404</v>
      </c>
      <c r="F30202" s="40" t="s">
        <v>11404</v>
      </c>
      <c r="G30202" s="40" t="s">
        <v>11404</v>
      </c>
      <c r="H30202" s="40" t="s">
        <v>11404</v>
      </c>
    </row>
    <row r="30203">
      <c r="A30203" s="39"/>
      <c r="E30203" s="40" t="s">
        <v>11404</v>
      </c>
      <c r="F30203" s="40" t="s">
        <v>11404</v>
      </c>
      <c r="G30203" s="40" t="s">
        <v>11404</v>
      </c>
      <c r="H30203" s="40" t="s">
        <v>11404</v>
      </c>
    </row>
    <row r="30204">
      <c r="A30204" s="39"/>
      <c r="E30204" s="40" t="s">
        <v>11404</v>
      </c>
      <c r="F30204" s="40" t="s">
        <v>11404</v>
      </c>
      <c r="G30204" s="40" t="s">
        <v>11404</v>
      </c>
      <c r="H30204" s="40" t="s">
        <v>11404</v>
      </c>
    </row>
    <row r="30205">
      <c r="A30205" s="39"/>
      <c r="E30205" s="40" t="s">
        <v>11404</v>
      </c>
      <c r="F30205" s="40" t="s">
        <v>11404</v>
      </c>
      <c r="G30205" s="40" t="s">
        <v>11404</v>
      </c>
      <c r="H30205" s="40" t="s">
        <v>11404</v>
      </c>
    </row>
    <row r="30206">
      <c r="A30206" s="39"/>
      <c r="E30206" s="40" t="s">
        <v>11404</v>
      </c>
      <c r="F30206" s="40" t="s">
        <v>11404</v>
      </c>
      <c r="G30206" s="40" t="s">
        <v>11404</v>
      </c>
      <c r="H30206" s="40" t="s">
        <v>11404</v>
      </c>
    </row>
    <row r="30207">
      <c r="A30207" s="39"/>
      <c r="E30207" s="40" t="s">
        <v>11404</v>
      </c>
      <c r="F30207" s="40" t="s">
        <v>11404</v>
      </c>
      <c r="G30207" s="40" t="s">
        <v>11404</v>
      </c>
      <c r="H30207" s="40" t="s">
        <v>11404</v>
      </c>
    </row>
    <row r="30208">
      <c r="A30208" s="39"/>
      <c r="E30208" s="40" t="s">
        <v>11404</v>
      </c>
      <c r="F30208" s="40" t="s">
        <v>11404</v>
      </c>
      <c r="G30208" s="40" t="s">
        <v>11404</v>
      </c>
      <c r="H30208" s="40" t="s">
        <v>11404</v>
      </c>
    </row>
    <row r="30209">
      <c r="A30209" s="39"/>
      <c r="E30209" s="40" t="s">
        <v>11404</v>
      </c>
      <c r="F30209" s="40" t="s">
        <v>11404</v>
      </c>
      <c r="G30209" s="40" t="s">
        <v>11404</v>
      </c>
      <c r="H30209" s="40" t="s">
        <v>11404</v>
      </c>
    </row>
    <row r="30210">
      <c r="A30210" s="39"/>
      <c r="E30210" s="40" t="s">
        <v>11404</v>
      </c>
      <c r="F30210" s="40" t="s">
        <v>11404</v>
      </c>
      <c r="G30210" s="40" t="s">
        <v>11404</v>
      </c>
      <c r="H30210" s="40" t="s">
        <v>11404</v>
      </c>
    </row>
    <row r="30211">
      <c r="A30211" s="39"/>
      <c r="E30211" s="40" t="s">
        <v>11404</v>
      </c>
      <c r="F30211" s="40" t="s">
        <v>11404</v>
      </c>
      <c r="G30211" s="40" t="s">
        <v>11404</v>
      </c>
      <c r="H30211" s="40" t="s">
        <v>11404</v>
      </c>
    </row>
    <row r="30212">
      <c r="A30212" s="39"/>
      <c r="E30212" s="40" t="s">
        <v>11404</v>
      </c>
      <c r="F30212" s="40" t="s">
        <v>11404</v>
      </c>
      <c r="G30212" s="40" t="s">
        <v>11404</v>
      </c>
      <c r="H30212" s="40" t="s">
        <v>11404</v>
      </c>
    </row>
    <row r="30213">
      <c r="A30213" s="39"/>
      <c r="E30213" s="40" t="s">
        <v>11404</v>
      </c>
      <c r="F30213" s="40" t="s">
        <v>11404</v>
      </c>
      <c r="G30213" s="40" t="s">
        <v>11404</v>
      </c>
      <c r="H30213" s="40" t="s">
        <v>11404</v>
      </c>
    </row>
    <row r="30214">
      <c r="A30214" s="39"/>
      <c r="E30214" s="40" t="s">
        <v>11404</v>
      </c>
      <c r="F30214" s="40" t="s">
        <v>11404</v>
      </c>
      <c r="G30214" s="40" t="s">
        <v>11404</v>
      </c>
      <c r="H30214" s="40" t="s">
        <v>11404</v>
      </c>
    </row>
    <row r="30215">
      <c r="A30215" s="39"/>
      <c r="E30215" s="40" t="s">
        <v>11404</v>
      </c>
      <c r="F30215" s="40" t="s">
        <v>11404</v>
      </c>
      <c r="G30215" s="40" t="s">
        <v>11404</v>
      </c>
      <c r="H30215" s="40" t="s">
        <v>11404</v>
      </c>
    </row>
    <row r="30216">
      <c r="A30216" s="39"/>
      <c r="E30216" s="40" t="s">
        <v>11404</v>
      </c>
      <c r="F30216" s="40" t="s">
        <v>11404</v>
      </c>
      <c r="G30216" s="40" t="s">
        <v>11404</v>
      </c>
      <c r="H30216" s="40" t="s">
        <v>11404</v>
      </c>
    </row>
    <row r="30217">
      <c r="A30217" s="39"/>
      <c r="E30217" s="40" t="s">
        <v>11404</v>
      </c>
      <c r="F30217" s="40" t="s">
        <v>11404</v>
      </c>
      <c r="G30217" s="40" t="s">
        <v>11404</v>
      </c>
      <c r="H30217" s="40" t="s">
        <v>11404</v>
      </c>
    </row>
    <row r="30218">
      <c r="A30218" s="39"/>
      <c r="E30218" s="40" t="s">
        <v>11404</v>
      </c>
      <c r="F30218" s="40" t="s">
        <v>11404</v>
      </c>
      <c r="G30218" s="40" t="s">
        <v>11404</v>
      </c>
      <c r="H30218" s="40" t="s">
        <v>11404</v>
      </c>
    </row>
    <row r="30219">
      <c r="A30219" s="39"/>
      <c r="E30219" s="40" t="s">
        <v>11404</v>
      </c>
      <c r="F30219" s="40" t="s">
        <v>11404</v>
      </c>
      <c r="G30219" s="40" t="s">
        <v>11404</v>
      </c>
      <c r="H30219" s="40" t="s">
        <v>11404</v>
      </c>
    </row>
    <row r="30220">
      <c r="A30220" s="39"/>
      <c r="E30220" s="40" t="s">
        <v>11404</v>
      </c>
      <c r="F30220" s="40" t="s">
        <v>11404</v>
      </c>
      <c r="G30220" s="40" t="s">
        <v>11404</v>
      </c>
      <c r="H30220" s="40" t="s">
        <v>11404</v>
      </c>
    </row>
    <row r="30221">
      <c r="A30221" s="39"/>
      <c r="E30221" s="40" t="s">
        <v>11404</v>
      </c>
      <c r="F30221" s="40" t="s">
        <v>11404</v>
      </c>
      <c r="G30221" s="40" t="s">
        <v>11404</v>
      </c>
      <c r="H30221" s="40" t="s">
        <v>11404</v>
      </c>
    </row>
    <row r="30222">
      <c r="A30222" s="39"/>
      <c r="E30222" s="40" t="s">
        <v>11404</v>
      </c>
      <c r="F30222" s="40" t="s">
        <v>11404</v>
      </c>
      <c r="G30222" s="40" t="s">
        <v>11404</v>
      </c>
      <c r="H30222" s="40" t="s">
        <v>11404</v>
      </c>
    </row>
    <row r="30223">
      <c r="A30223" s="39"/>
      <c r="E30223" s="40" t="s">
        <v>11404</v>
      </c>
      <c r="F30223" s="40" t="s">
        <v>11404</v>
      </c>
      <c r="G30223" s="40" t="s">
        <v>11404</v>
      </c>
      <c r="H30223" s="40" t="s">
        <v>11404</v>
      </c>
    </row>
    <row r="30224">
      <c r="A30224" s="39"/>
      <c r="E30224" s="40" t="s">
        <v>11404</v>
      </c>
      <c r="F30224" s="40" t="s">
        <v>11404</v>
      </c>
      <c r="G30224" s="40" t="s">
        <v>11404</v>
      </c>
      <c r="H30224" s="40" t="s">
        <v>11404</v>
      </c>
    </row>
    <row r="30225">
      <c r="A30225" s="39"/>
      <c r="E30225" s="40" t="s">
        <v>11404</v>
      </c>
      <c r="F30225" s="40" t="s">
        <v>11404</v>
      </c>
      <c r="G30225" s="40" t="s">
        <v>11404</v>
      </c>
      <c r="H30225" s="40" t="s">
        <v>11404</v>
      </c>
    </row>
    <row r="30226">
      <c r="A30226" s="39"/>
      <c r="E30226" s="40" t="s">
        <v>11404</v>
      </c>
      <c r="F30226" s="40" t="s">
        <v>11404</v>
      </c>
      <c r="G30226" s="40" t="s">
        <v>11404</v>
      </c>
      <c r="H30226" s="40" t="s">
        <v>11404</v>
      </c>
    </row>
    <row r="30227">
      <c r="A30227" s="39"/>
      <c r="E30227" s="40" t="s">
        <v>11404</v>
      </c>
      <c r="F30227" s="40" t="s">
        <v>11404</v>
      </c>
      <c r="G30227" s="40" t="s">
        <v>11404</v>
      </c>
      <c r="H30227" s="40" t="s">
        <v>11404</v>
      </c>
    </row>
    <row r="30228">
      <c r="A30228" s="39"/>
      <c r="E30228" s="40" t="s">
        <v>11404</v>
      </c>
      <c r="F30228" s="40" t="s">
        <v>11404</v>
      </c>
      <c r="G30228" s="40" t="s">
        <v>11404</v>
      </c>
      <c r="H30228" s="40" t="s">
        <v>11404</v>
      </c>
    </row>
    <row r="30229">
      <c r="A30229" s="39"/>
      <c r="E30229" s="40" t="s">
        <v>11404</v>
      </c>
      <c r="F30229" s="40" t="s">
        <v>11404</v>
      </c>
      <c r="G30229" s="40" t="s">
        <v>11404</v>
      </c>
      <c r="H30229" s="40" t="s">
        <v>11404</v>
      </c>
    </row>
    <row r="30230">
      <c r="A30230" s="39"/>
      <c r="E30230" s="40" t="s">
        <v>11404</v>
      </c>
      <c r="F30230" s="40" t="s">
        <v>11404</v>
      </c>
      <c r="G30230" s="40" t="s">
        <v>11404</v>
      </c>
      <c r="H30230" s="40" t="s">
        <v>11404</v>
      </c>
    </row>
    <row r="30231">
      <c r="A30231" s="39"/>
      <c r="E30231" s="40" t="s">
        <v>11404</v>
      </c>
      <c r="F30231" s="40" t="s">
        <v>11404</v>
      </c>
      <c r="G30231" s="40" t="s">
        <v>11404</v>
      </c>
      <c r="H30231" s="40" t="s">
        <v>11404</v>
      </c>
    </row>
    <row r="30232">
      <c r="A30232" s="39"/>
      <c r="E30232" s="40" t="s">
        <v>11404</v>
      </c>
      <c r="F30232" s="40" t="s">
        <v>11404</v>
      </c>
      <c r="G30232" s="40" t="s">
        <v>11404</v>
      </c>
      <c r="H30232" s="40" t="s">
        <v>11404</v>
      </c>
    </row>
    <row r="30233">
      <c r="A30233" s="39"/>
      <c r="E30233" s="40" t="s">
        <v>11404</v>
      </c>
      <c r="F30233" s="40" t="s">
        <v>11404</v>
      </c>
      <c r="G30233" s="40" t="s">
        <v>11404</v>
      </c>
      <c r="H30233" s="40" t="s">
        <v>11404</v>
      </c>
    </row>
    <row r="30234">
      <c r="A30234" s="39"/>
      <c r="E30234" s="40" t="s">
        <v>11404</v>
      </c>
      <c r="F30234" s="40" t="s">
        <v>11404</v>
      </c>
      <c r="G30234" s="40" t="s">
        <v>11404</v>
      </c>
      <c r="H30234" s="40" t="s">
        <v>11404</v>
      </c>
    </row>
    <row r="30235">
      <c r="A30235" s="39"/>
      <c r="E30235" s="40" t="s">
        <v>11404</v>
      </c>
      <c r="F30235" s="40" t="s">
        <v>11404</v>
      </c>
      <c r="G30235" s="40" t="s">
        <v>11404</v>
      </c>
      <c r="H30235" s="40" t="s">
        <v>11404</v>
      </c>
    </row>
    <row r="30236">
      <c r="A30236" s="39"/>
      <c r="E30236" s="40" t="s">
        <v>11404</v>
      </c>
      <c r="F30236" s="40" t="s">
        <v>11404</v>
      </c>
      <c r="G30236" s="40" t="s">
        <v>11404</v>
      </c>
      <c r="H30236" s="40" t="s">
        <v>11404</v>
      </c>
    </row>
    <row r="30237">
      <c r="A30237" s="39"/>
      <c r="E30237" s="40" t="s">
        <v>11404</v>
      </c>
      <c r="F30237" s="40" t="s">
        <v>11404</v>
      </c>
      <c r="G30237" s="40" t="s">
        <v>11404</v>
      </c>
      <c r="H30237" s="40" t="s">
        <v>11404</v>
      </c>
    </row>
    <row r="30238">
      <c r="A30238" s="39"/>
      <c r="E30238" s="40" t="s">
        <v>11404</v>
      </c>
      <c r="F30238" s="40" t="s">
        <v>11404</v>
      </c>
      <c r="G30238" s="40" t="s">
        <v>11404</v>
      </c>
      <c r="H30238" s="40" t="s">
        <v>11404</v>
      </c>
    </row>
    <row r="30239">
      <c r="A30239" s="39"/>
      <c r="E30239" s="40" t="s">
        <v>11404</v>
      </c>
      <c r="F30239" s="40" t="s">
        <v>11404</v>
      </c>
      <c r="G30239" s="40" t="s">
        <v>11404</v>
      </c>
      <c r="H30239" s="40" t="s">
        <v>11404</v>
      </c>
    </row>
    <row r="30240">
      <c r="A30240" s="39"/>
      <c r="E30240" s="40" t="s">
        <v>11404</v>
      </c>
      <c r="F30240" s="40" t="s">
        <v>11404</v>
      </c>
      <c r="G30240" s="40" t="s">
        <v>11404</v>
      </c>
      <c r="H30240" s="40" t="s">
        <v>11404</v>
      </c>
    </row>
    <row r="30241">
      <c r="A30241" s="39"/>
      <c r="E30241" s="40" t="s">
        <v>11404</v>
      </c>
      <c r="F30241" s="40" t="s">
        <v>11404</v>
      </c>
      <c r="G30241" s="40" t="s">
        <v>11404</v>
      </c>
      <c r="H30241" s="40" t="s">
        <v>11404</v>
      </c>
    </row>
    <row r="30242">
      <c r="A30242" s="39"/>
      <c r="E30242" s="40" t="s">
        <v>11404</v>
      </c>
      <c r="F30242" s="40" t="s">
        <v>11404</v>
      </c>
      <c r="G30242" s="40" t="s">
        <v>11404</v>
      </c>
      <c r="H30242" s="40" t="s">
        <v>11404</v>
      </c>
    </row>
    <row r="30243">
      <c r="A30243" s="39"/>
      <c r="E30243" s="40" t="s">
        <v>11404</v>
      </c>
      <c r="F30243" s="40" t="s">
        <v>11404</v>
      </c>
      <c r="G30243" s="40" t="s">
        <v>11404</v>
      </c>
      <c r="H30243" s="40" t="s">
        <v>11404</v>
      </c>
    </row>
    <row r="30244">
      <c r="A30244" s="39"/>
      <c r="E30244" s="40" t="s">
        <v>11404</v>
      </c>
      <c r="F30244" s="40" t="s">
        <v>11404</v>
      </c>
      <c r="G30244" s="40" t="s">
        <v>11404</v>
      </c>
      <c r="H30244" s="40" t="s">
        <v>11404</v>
      </c>
    </row>
    <row r="30245">
      <c r="A30245" s="39"/>
      <c r="E30245" s="40" t="s">
        <v>11404</v>
      </c>
      <c r="F30245" s="40" t="s">
        <v>11404</v>
      </c>
      <c r="G30245" s="40" t="s">
        <v>11404</v>
      </c>
      <c r="H30245" s="40" t="s">
        <v>11404</v>
      </c>
    </row>
    <row r="30246">
      <c r="A30246" s="39"/>
      <c r="E30246" s="40" t="s">
        <v>11404</v>
      </c>
      <c r="F30246" s="40" t="s">
        <v>11404</v>
      </c>
      <c r="G30246" s="40" t="s">
        <v>11404</v>
      </c>
      <c r="H30246" s="40" t="s">
        <v>11404</v>
      </c>
    </row>
    <row r="30247">
      <c r="A30247" s="39"/>
      <c r="E30247" s="40" t="s">
        <v>11404</v>
      </c>
      <c r="F30247" s="40" t="s">
        <v>11404</v>
      </c>
      <c r="G30247" s="40" t="s">
        <v>11404</v>
      </c>
      <c r="H30247" s="40" t="s">
        <v>11404</v>
      </c>
    </row>
    <row r="30248">
      <c r="A30248" s="39"/>
      <c r="E30248" s="40" t="s">
        <v>11404</v>
      </c>
      <c r="F30248" s="40" t="s">
        <v>11404</v>
      </c>
      <c r="G30248" s="40" t="s">
        <v>11404</v>
      </c>
      <c r="H30248" s="40" t="s">
        <v>11404</v>
      </c>
    </row>
    <row r="30249">
      <c r="A30249" s="39"/>
      <c r="E30249" s="40" t="s">
        <v>11404</v>
      </c>
      <c r="F30249" s="40" t="s">
        <v>11404</v>
      </c>
      <c r="G30249" s="40" t="s">
        <v>11404</v>
      </c>
      <c r="H30249" s="40" t="s">
        <v>11404</v>
      </c>
    </row>
    <row r="30250">
      <c r="A30250" s="39"/>
      <c r="E30250" s="40" t="s">
        <v>11404</v>
      </c>
      <c r="F30250" s="40" t="s">
        <v>11404</v>
      </c>
      <c r="G30250" s="40" t="s">
        <v>11404</v>
      </c>
      <c r="H30250" s="40" t="s">
        <v>11404</v>
      </c>
    </row>
    <row r="30251">
      <c r="A30251" s="39"/>
      <c r="E30251" s="40" t="s">
        <v>11404</v>
      </c>
      <c r="F30251" s="40" t="s">
        <v>11404</v>
      </c>
      <c r="G30251" s="40" t="s">
        <v>11404</v>
      </c>
      <c r="H30251" s="40" t="s">
        <v>11404</v>
      </c>
    </row>
    <row r="30252">
      <c r="A30252" s="39"/>
      <c r="E30252" s="40" t="s">
        <v>11404</v>
      </c>
      <c r="F30252" s="40" t="s">
        <v>11404</v>
      </c>
      <c r="G30252" s="40" t="s">
        <v>11404</v>
      </c>
      <c r="H30252" s="40" t="s">
        <v>11404</v>
      </c>
    </row>
    <row r="30253">
      <c r="A30253" s="39"/>
      <c r="E30253" s="40" t="s">
        <v>11404</v>
      </c>
      <c r="F30253" s="40" t="s">
        <v>11404</v>
      </c>
      <c r="G30253" s="40" t="s">
        <v>11404</v>
      </c>
      <c r="H30253" s="40" t="s">
        <v>11404</v>
      </c>
    </row>
    <row r="30254">
      <c r="A30254" s="39"/>
      <c r="E30254" s="40" t="s">
        <v>11404</v>
      </c>
      <c r="F30254" s="40" t="s">
        <v>11404</v>
      </c>
      <c r="G30254" s="40" t="s">
        <v>11404</v>
      </c>
      <c r="H30254" s="40" t="s">
        <v>11404</v>
      </c>
    </row>
    <row r="30255">
      <c r="A30255" s="39"/>
      <c r="E30255" s="40" t="s">
        <v>11404</v>
      </c>
      <c r="F30255" s="40" t="s">
        <v>11404</v>
      </c>
      <c r="G30255" s="40" t="s">
        <v>11404</v>
      </c>
      <c r="H30255" s="40" t="s">
        <v>11404</v>
      </c>
    </row>
    <row r="30256">
      <c r="A30256" s="39"/>
      <c r="E30256" s="40" t="s">
        <v>11404</v>
      </c>
      <c r="F30256" s="40" t="s">
        <v>11404</v>
      </c>
      <c r="G30256" s="40" t="s">
        <v>11404</v>
      </c>
      <c r="H30256" s="40" t="s">
        <v>11404</v>
      </c>
    </row>
    <row r="30257">
      <c r="A30257" s="39"/>
      <c r="E30257" s="40" t="s">
        <v>11404</v>
      </c>
      <c r="F30257" s="40" t="s">
        <v>11404</v>
      </c>
      <c r="G30257" s="40" t="s">
        <v>11404</v>
      </c>
      <c r="H30257" s="40" t="s">
        <v>11404</v>
      </c>
    </row>
    <row r="30258">
      <c r="A30258" s="39"/>
      <c r="E30258" s="40" t="s">
        <v>11404</v>
      </c>
      <c r="F30258" s="40" t="s">
        <v>11404</v>
      </c>
      <c r="G30258" s="40" t="s">
        <v>11404</v>
      </c>
      <c r="H30258" s="40" t="s">
        <v>11404</v>
      </c>
    </row>
    <row r="30259">
      <c r="A30259" s="39"/>
      <c r="E30259" s="40" t="s">
        <v>11404</v>
      </c>
      <c r="F30259" s="40" t="s">
        <v>11404</v>
      </c>
      <c r="G30259" s="40" t="s">
        <v>11404</v>
      </c>
      <c r="H30259" s="40" t="s">
        <v>11404</v>
      </c>
    </row>
    <row r="30260">
      <c r="A30260" s="39"/>
      <c r="E30260" s="40" t="s">
        <v>11404</v>
      </c>
      <c r="F30260" s="40" t="s">
        <v>11404</v>
      </c>
      <c r="G30260" s="40" t="s">
        <v>11404</v>
      </c>
      <c r="H30260" s="40" t="s">
        <v>11404</v>
      </c>
    </row>
    <row r="30261">
      <c r="A30261" s="39"/>
      <c r="E30261" s="40" t="s">
        <v>11404</v>
      </c>
      <c r="F30261" s="40" t="s">
        <v>11404</v>
      </c>
      <c r="G30261" s="40" t="s">
        <v>11404</v>
      </c>
      <c r="H30261" s="40" t="s">
        <v>11404</v>
      </c>
    </row>
    <row r="30262">
      <c r="A30262" s="39"/>
      <c r="E30262" s="40" t="s">
        <v>11404</v>
      </c>
      <c r="F30262" s="40" t="s">
        <v>11404</v>
      </c>
      <c r="G30262" s="40" t="s">
        <v>11404</v>
      </c>
      <c r="H30262" s="40" t="s">
        <v>11404</v>
      </c>
    </row>
    <row r="30263">
      <c r="A30263" s="39"/>
      <c r="E30263" s="40" t="s">
        <v>11404</v>
      </c>
      <c r="F30263" s="40" t="s">
        <v>11404</v>
      </c>
      <c r="G30263" s="40" t="s">
        <v>11404</v>
      </c>
      <c r="H30263" s="40" t="s">
        <v>11404</v>
      </c>
    </row>
    <row r="30264">
      <c r="A30264" s="39"/>
      <c r="E30264" s="40" t="s">
        <v>11404</v>
      </c>
      <c r="F30264" s="40" t="s">
        <v>11404</v>
      </c>
      <c r="G30264" s="40" t="s">
        <v>11404</v>
      </c>
      <c r="H30264" s="40" t="s">
        <v>11404</v>
      </c>
    </row>
    <row r="30265">
      <c r="A30265" s="39"/>
      <c r="E30265" s="40" t="s">
        <v>11404</v>
      </c>
      <c r="F30265" s="40" t="s">
        <v>11404</v>
      </c>
      <c r="G30265" s="40" t="s">
        <v>11404</v>
      </c>
      <c r="H30265" s="40" t="s">
        <v>11404</v>
      </c>
    </row>
    <row r="30266">
      <c r="A30266" s="39"/>
      <c r="E30266" s="40" t="s">
        <v>11404</v>
      </c>
      <c r="F30266" s="40" t="s">
        <v>11404</v>
      </c>
      <c r="G30266" s="40" t="s">
        <v>11404</v>
      </c>
      <c r="H30266" s="40" t="s">
        <v>11404</v>
      </c>
    </row>
    <row r="30267">
      <c r="A30267" s="39"/>
      <c r="E30267" s="40" t="s">
        <v>11404</v>
      </c>
      <c r="F30267" s="40" t="s">
        <v>11404</v>
      </c>
      <c r="G30267" s="40" t="s">
        <v>11404</v>
      </c>
      <c r="H30267" s="40" t="s">
        <v>11404</v>
      </c>
    </row>
    <row r="30268">
      <c r="A30268" s="39"/>
      <c r="E30268" s="40" t="s">
        <v>11404</v>
      </c>
      <c r="F30268" s="40" t="s">
        <v>11404</v>
      </c>
      <c r="G30268" s="40" t="s">
        <v>11404</v>
      </c>
      <c r="H30268" s="40" t="s">
        <v>11404</v>
      </c>
    </row>
    <row r="30269">
      <c r="A30269" s="39"/>
      <c r="E30269" s="40" t="s">
        <v>11404</v>
      </c>
      <c r="F30269" s="40" t="s">
        <v>11404</v>
      </c>
      <c r="G30269" s="40" t="s">
        <v>11404</v>
      </c>
      <c r="H30269" s="40" t="s">
        <v>11404</v>
      </c>
    </row>
    <row r="30270">
      <c r="A30270" s="39"/>
      <c r="E30270" s="40" t="s">
        <v>11404</v>
      </c>
      <c r="F30270" s="40" t="s">
        <v>11404</v>
      </c>
      <c r="G30270" s="40" t="s">
        <v>11404</v>
      </c>
      <c r="H30270" s="40" t="s">
        <v>11404</v>
      </c>
    </row>
    <row r="30271">
      <c r="A30271" s="39"/>
      <c r="E30271" s="40" t="s">
        <v>11404</v>
      </c>
      <c r="F30271" s="40" t="s">
        <v>11404</v>
      </c>
      <c r="G30271" s="40" t="s">
        <v>11404</v>
      </c>
      <c r="H30271" s="40" t="s">
        <v>11404</v>
      </c>
    </row>
    <row r="30272">
      <c r="A30272" s="39"/>
      <c r="E30272" s="40" t="s">
        <v>11404</v>
      </c>
      <c r="F30272" s="40" t="s">
        <v>11404</v>
      </c>
      <c r="G30272" s="40" t="s">
        <v>11404</v>
      </c>
      <c r="H30272" s="40" t="s">
        <v>11404</v>
      </c>
    </row>
    <row r="30273">
      <c r="A30273" s="39"/>
      <c r="E30273" s="40" t="s">
        <v>11404</v>
      </c>
      <c r="F30273" s="40" t="s">
        <v>11404</v>
      </c>
      <c r="G30273" s="40" t="s">
        <v>11404</v>
      </c>
      <c r="H30273" s="40" t="s">
        <v>11404</v>
      </c>
    </row>
    <row r="30274">
      <c r="A30274" s="39"/>
      <c r="E30274" s="40" t="s">
        <v>11404</v>
      </c>
      <c r="F30274" s="40" t="s">
        <v>11404</v>
      </c>
      <c r="G30274" s="40" t="s">
        <v>11404</v>
      </c>
      <c r="H30274" s="40" t="s">
        <v>11404</v>
      </c>
    </row>
    <row r="30275">
      <c r="A30275" s="39"/>
      <c r="E30275" s="40" t="s">
        <v>11404</v>
      </c>
      <c r="F30275" s="40" t="s">
        <v>11404</v>
      </c>
      <c r="G30275" s="40" t="s">
        <v>11404</v>
      </c>
      <c r="H30275" s="40" t="s">
        <v>11404</v>
      </c>
    </row>
    <row r="30276">
      <c r="A30276" s="39"/>
      <c r="E30276" s="40" t="s">
        <v>11404</v>
      </c>
      <c r="F30276" s="40" t="s">
        <v>11404</v>
      </c>
      <c r="G30276" s="40" t="s">
        <v>11404</v>
      </c>
      <c r="H30276" s="40" t="s">
        <v>11404</v>
      </c>
    </row>
    <row r="30277">
      <c r="A30277" s="39"/>
      <c r="E30277" s="40" t="s">
        <v>11404</v>
      </c>
      <c r="F30277" s="40" t="s">
        <v>11404</v>
      </c>
      <c r="G30277" s="40" t="s">
        <v>11404</v>
      </c>
      <c r="H30277" s="40" t="s">
        <v>11404</v>
      </c>
    </row>
    <row r="30278">
      <c r="A30278" s="39"/>
      <c r="E30278" s="40" t="s">
        <v>11404</v>
      </c>
      <c r="F30278" s="40" t="s">
        <v>11404</v>
      </c>
      <c r="G30278" s="40" t="s">
        <v>11404</v>
      </c>
      <c r="H30278" s="40" t="s">
        <v>11404</v>
      </c>
    </row>
    <row r="30279">
      <c r="A30279" s="39"/>
      <c r="E30279" s="40" t="s">
        <v>11404</v>
      </c>
      <c r="F30279" s="40" t="s">
        <v>11404</v>
      </c>
      <c r="G30279" s="40" t="s">
        <v>11404</v>
      </c>
      <c r="H30279" s="40" t="s">
        <v>11404</v>
      </c>
    </row>
    <row r="30280">
      <c r="A30280" s="39"/>
      <c r="E30280" s="40" t="s">
        <v>11404</v>
      </c>
      <c r="F30280" s="40" t="s">
        <v>11404</v>
      </c>
      <c r="G30280" s="40" t="s">
        <v>11404</v>
      </c>
      <c r="H30280" s="40" t="s">
        <v>11404</v>
      </c>
    </row>
    <row r="30281">
      <c r="A30281" s="39"/>
      <c r="E30281" s="40" t="s">
        <v>11404</v>
      </c>
      <c r="F30281" s="40" t="s">
        <v>11404</v>
      </c>
      <c r="G30281" s="40" t="s">
        <v>11404</v>
      </c>
      <c r="H30281" s="40" t="s">
        <v>11404</v>
      </c>
    </row>
    <row r="30282">
      <c r="A30282" s="39"/>
      <c r="E30282" s="40" t="s">
        <v>11404</v>
      </c>
      <c r="F30282" s="40" t="s">
        <v>11404</v>
      </c>
      <c r="G30282" s="40" t="s">
        <v>11404</v>
      </c>
      <c r="H30282" s="40" t="s">
        <v>11404</v>
      </c>
    </row>
    <row r="30283">
      <c r="A30283" s="39"/>
      <c r="E30283" s="40" t="s">
        <v>11404</v>
      </c>
      <c r="F30283" s="40" t="s">
        <v>11404</v>
      </c>
      <c r="G30283" s="40" t="s">
        <v>11404</v>
      </c>
      <c r="H30283" s="40" t="s">
        <v>11404</v>
      </c>
    </row>
    <row r="30284">
      <c r="A30284" s="39"/>
      <c r="E30284" s="40" t="s">
        <v>11404</v>
      </c>
      <c r="F30284" s="40" t="s">
        <v>11404</v>
      </c>
      <c r="G30284" s="40" t="s">
        <v>11404</v>
      </c>
      <c r="H30284" s="40" t="s">
        <v>11404</v>
      </c>
    </row>
    <row r="30285">
      <c r="A30285" s="39"/>
      <c r="E30285" s="40" t="s">
        <v>11404</v>
      </c>
      <c r="F30285" s="40" t="s">
        <v>11404</v>
      </c>
      <c r="G30285" s="40" t="s">
        <v>11404</v>
      </c>
      <c r="H30285" s="40" t="s">
        <v>11404</v>
      </c>
    </row>
    <row r="30286">
      <c r="A30286" s="39"/>
      <c r="E30286" s="40" t="s">
        <v>11404</v>
      </c>
      <c r="F30286" s="40" t="s">
        <v>11404</v>
      </c>
      <c r="G30286" s="40" t="s">
        <v>11404</v>
      </c>
      <c r="H30286" s="40" t="s">
        <v>11404</v>
      </c>
    </row>
    <row r="30287">
      <c r="A30287" s="39"/>
      <c r="E30287" s="40" t="s">
        <v>11404</v>
      </c>
      <c r="F30287" s="40" t="s">
        <v>11404</v>
      </c>
      <c r="G30287" s="40" t="s">
        <v>11404</v>
      </c>
      <c r="H30287" s="40" t="s">
        <v>11404</v>
      </c>
    </row>
    <row r="30288">
      <c r="A30288" s="39"/>
      <c r="E30288" s="40" t="s">
        <v>11404</v>
      </c>
      <c r="F30288" s="40" t="s">
        <v>11404</v>
      </c>
      <c r="G30288" s="40" t="s">
        <v>11404</v>
      </c>
      <c r="H30288" s="40" t="s">
        <v>11404</v>
      </c>
    </row>
    <row r="30289">
      <c r="A30289" s="39"/>
      <c r="E30289" s="40" t="s">
        <v>11404</v>
      </c>
      <c r="F30289" s="40" t="s">
        <v>11404</v>
      </c>
      <c r="G30289" s="40" t="s">
        <v>11404</v>
      </c>
      <c r="H30289" s="40" t="s">
        <v>11404</v>
      </c>
    </row>
    <row r="30290">
      <c r="A30290" s="39"/>
      <c r="E30290" s="40" t="s">
        <v>11404</v>
      </c>
      <c r="F30290" s="40" t="s">
        <v>11404</v>
      </c>
      <c r="G30290" s="40" t="s">
        <v>11404</v>
      </c>
      <c r="H30290" s="40" t="s">
        <v>11404</v>
      </c>
    </row>
    <row r="30291">
      <c r="A30291" s="39"/>
      <c r="E30291" s="40" t="s">
        <v>11404</v>
      </c>
      <c r="F30291" s="40" t="s">
        <v>11404</v>
      </c>
      <c r="G30291" s="40" t="s">
        <v>11404</v>
      </c>
      <c r="H30291" s="40" t="s">
        <v>11404</v>
      </c>
    </row>
    <row r="30292">
      <c r="A30292" s="39"/>
      <c r="E30292" s="40" t="s">
        <v>11404</v>
      </c>
      <c r="F30292" s="40" t="s">
        <v>11404</v>
      </c>
      <c r="G30292" s="40" t="s">
        <v>11404</v>
      </c>
      <c r="H30292" s="40" t="s">
        <v>11404</v>
      </c>
    </row>
    <row r="30293">
      <c r="A30293" s="39"/>
      <c r="E30293" s="40" t="s">
        <v>11404</v>
      </c>
      <c r="F30293" s="40" t="s">
        <v>11404</v>
      </c>
      <c r="G30293" s="40" t="s">
        <v>11404</v>
      </c>
      <c r="H30293" s="40" t="s">
        <v>11404</v>
      </c>
    </row>
    <row r="30294">
      <c r="A30294" s="39"/>
      <c r="E30294" s="40" t="s">
        <v>11404</v>
      </c>
      <c r="F30294" s="40" t="s">
        <v>11404</v>
      </c>
      <c r="G30294" s="40" t="s">
        <v>11404</v>
      </c>
      <c r="H30294" s="40" t="s">
        <v>11404</v>
      </c>
    </row>
    <row r="30295">
      <c r="A30295" s="39"/>
      <c r="E30295" s="40" t="s">
        <v>11404</v>
      </c>
      <c r="F30295" s="40" t="s">
        <v>11404</v>
      </c>
      <c r="G30295" s="40" t="s">
        <v>11404</v>
      </c>
      <c r="H30295" s="40" t="s">
        <v>11404</v>
      </c>
    </row>
    <row r="30296">
      <c r="A30296" s="39"/>
      <c r="E30296" s="40" t="s">
        <v>11404</v>
      </c>
      <c r="F30296" s="40" t="s">
        <v>11404</v>
      </c>
      <c r="G30296" s="40" t="s">
        <v>11404</v>
      </c>
      <c r="H30296" s="40" t="s">
        <v>11404</v>
      </c>
    </row>
    <row r="30297">
      <c r="A30297" s="39"/>
      <c r="E30297" s="40" t="s">
        <v>11404</v>
      </c>
      <c r="F30297" s="40" t="s">
        <v>11404</v>
      </c>
      <c r="G30297" s="40" t="s">
        <v>11404</v>
      </c>
      <c r="H30297" s="40" t="s">
        <v>11404</v>
      </c>
    </row>
    <row r="30298">
      <c r="A30298" s="39"/>
      <c r="E30298" s="40" t="s">
        <v>11404</v>
      </c>
      <c r="F30298" s="40" t="s">
        <v>11404</v>
      </c>
      <c r="G30298" s="40" t="s">
        <v>11404</v>
      </c>
      <c r="H30298" s="40" t="s">
        <v>11404</v>
      </c>
    </row>
    <row r="30299">
      <c r="A30299" s="39"/>
      <c r="E30299" s="40" t="s">
        <v>11404</v>
      </c>
      <c r="F30299" s="40" t="s">
        <v>11404</v>
      </c>
      <c r="G30299" s="40" t="s">
        <v>11404</v>
      </c>
      <c r="H30299" s="40" t="s">
        <v>11404</v>
      </c>
    </row>
    <row r="30300">
      <c r="A30300" s="39"/>
      <c r="E30300" s="40" t="s">
        <v>11404</v>
      </c>
      <c r="F30300" s="40" t="s">
        <v>11404</v>
      </c>
      <c r="G30300" s="40" t="s">
        <v>11404</v>
      </c>
      <c r="H30300" s="40" t="s">
        <v>11404</v>
      </c>
    </row>
    <row r="30301">
      <c r="A30301" s="39"/>
      <c r="E30301" s="40" t="s">
        <v>11404</v>
      </c>
      <c r="F30301" s="40" t="s">
        <v>11404</v>
      </c>
      <c r="G30301" s="40" t="s">
        <v>11404</v>
      </c>
      <c r="H30301" s="40" t="s">
        <v>11404</v>
      </c>
    </row>
    <row r="30302">
      <c r="A30302" s="39"/>
      <c r="E30302" s="40" t="s">
        <v>11404</v>
      </c>
      <c r="F30302" s="40" t="s">
        <v>11404</v>
      </c>
      <c r="G30302" s="40" t="s">
        <v>11404</v>
      </c>
      <c r="H30302" s="40" t="s">
        <v>11404</v>
      </c>
    </row>
    <row r="30303">
      <c r="A30303" s="39"/>
      <c r="E30303" s="40" t="s">
        <v>11404</v>
      </c>
      <c r="F30303" s="40" t="s">
        <v>11404</v>
      </c>
      <c r="G30303" s="40" t="s">
        <v>11404</v>
      </c>
      <c r="H30303" s="40" t="s">
        <v>11404</v>
      </c>
    </row>
    <row r="30304">
      <c r="A30304" s="39"/>
      <c r="E30304" s="40" t="s">
        <v>11404</v>
      </c>
      <c r="F30304" s="40" t="s">
        <v>11404</v>
      </c>
      <c r="G30304" s="40" t="s">
        <v>11404</v>
      </c>
      <c r="H30304" s="40" t="s">
        <v>11404</v>
      </c>
    </row>
    <row r="30305">
      <c r="A30305" s="39"/>
      <c r="E30305" s="40" t="s">
        <v>11404</v>
      </c>
      <c r="F30305" s="40" t="s">
        <v>11404</v>
      </c>
      <c r="G30305" s="40" t="s">
        <v>11404</v>
      </c>
      <c r="H30305" s="40" t="s">
        <v>11404</v>
      </c>
    </row>
    <row r="30306">
      <c r="A30306" s="39"/>
      <c r="E30306" s="40" t="s">
        <v>11404</v>
      </c>
      <c r="F30306" s="40" t="s">
        <v>11404</v>
      </c>
      <c r="G30306" s="40" t="s">
        <v>11404</v>
      </c>
      <c r="H30306" s="40" t="s">
        <v>11404</v>
      </c>
    </row>
    <row r="30307">
      <c r="A30307" s="39"/>
      <c r="E30307" s="40" t="s">
        <v>11404</v>
      </c>
      <c r="F30307" s="40" t="s">
        <v>11404</v>
      </c>
      <c r="G30307" s="40" t="s">
        <v>11404</v>
      </c>
      <c r="H30307" s="40" t="s">
        <v>11404</v>
      </c>
    </row>
    <row r="30308">
      <c r="A30308" s="39"/>
      <c r="E30308" s="40" t="s">
        <v>11404</v>
      </c>
      <c r="F30308" s="40" t="s">
        <v>11404</v>
      </c>
      <c r="G30308" s="40" t="s">
        <v>11404</v>
      </c>
      <c r="H30308" s="40" t="s">
        <v>11404</v>
      </c>
    </row>
    <row r="30309">
      <c r="A30309" s="39"/>
      <c r="E30309" s="40" t="s">
        <v>11404</v>
      </c>
      <c r="F30309" s="40" t="s">
        <v>11404</v>
      </c>
      <c r="G30309" s="40" t="s">
        <v>11404</v>
      </c>
      <c r="H30309" s="40" t="s">
        <v>11404</v>
      </c>
    </row>
    <row r="30310">
      <c r="A30310" s="39"/>
      <c r="E30310" s="40" t="s">
        <v>11404</v>
      </c>
      <c r="F30310" s="40" t="s">
        <v>11404</v>
      </c>
      <c r="G30310" s="40" t="s">
        <v>11404</v>
      </c>
      <c r="H30310" s="40" t="s">
        <v>11404</v>
      </c>
    </row>
    <row r="30311">
      <c r="A30311" s="39"/>
      <c r="E30311" s="40" t="s">
        <v>11404</v>
      </c>
      <c r="F30311" s="40" t="s">
        <v>11404</v>
      </c>
      <c r="G30311" s="40" t="s">
        <v>11404</v>
      </c>
      <c r="H30311" s="40" t="s">
        <v>11404</v>
      </c>
    </row>
    <row r="30312">
      <c r="A30312" s="39"/>
      <c r="E30312" s="40" t="s">
        <v>11404</v>
      </c>
      <c r="F30312" s="40" t="s">
        <v>11404</v>
      </c>
      <c r="G30312" s="40" t="s">
        <v>11404</v>
      </c>
      <c r="H30312" s="40" t="s">
        <v>11404</v>
      </c>
    </row>
    <row r="30313">
      <c r="A30313" s="39"/>
      <c r="E30313" s="40" t="s">
        <v>11404</v>
      </c>
      <c r="F30313" s="40" t="s">
        <v>11404</v>
      </c>
      <c r="G30313" s="40" t="s">
        <v>11404</v>
      </c>
      <c r="H30313" s="40" t="s">
        <v>11404</v>
      </c>
    </row>
    <row r="30314">
      <c r="A30314" s="39"/>
      <c r="E30314" s="40" t="s">
        <v>11404</v>
      </c>
      <c r="F30314" s="40" t="s">
        <v>11404</v>
      </c>
      <c r="G30314" s="40" t="s">
        <v>11404</v>
      </c>
      <c r="H30314" s="40" t="s">
        <v>11404</v>
      </c>
    </row>
    <row r="30315">
      <c r="A30315" s="39"/>
      <c r="E30315" s="40" t="s">
        <v>11404</v>
      </c>
      <c r="F30315" s="40" t="s">
        <v>11404</v>
      </c>
      <c r="G30315" s="40" t="s">
        <v>11404</v>
      </c>
      <c r="H30315" s="40" t="s">
        <v>11404</v>
      </c>
    </row>
    <row r="30316">
      <c r="A30316" s="39"/>
      <c r="E30316" s="40" t="s">
        <v>11404</v>
      </c>
      <c r="F30316" s="40" t="s">
        <v>11404</v>
      </c>
      <c r="G30316" s="40" t="s">
        <v>11404</v>
      </c>
      <c r="H30316" s="40" t="s">
        <v>11404</v>
      </c>
    </row>
    <row r="30317">
      <c r="A30317" s="39"/>
      <c r="E30317" s="40" t="s">
        <v>11404</v>
      </c>
      <c r="F30317" s="40" t="s">
        <v>11404</v>
      </c>
      <c r="G30317" s="40" t="s">
        <v>11404</v>
      </c>
      <c r="H30317" s="40" t="s">
        <v>11404</v>
      </c>
    </row>
    <row r="30318">
      <c r="A30318" s="39"/>
      <c r="E30318" s="40" t="s">
        <v>11404</v>
      </c>
      <c r="F30318" s="40" t="s">
        <v>11404</v>
      </c>
      <c r="G30318" s="40" t="s">
        <v>11404</v>
      </c>
      <c r="H30318" s="40" t="s">
        <v>11404</v>
      </c>
    </row>
    <row r="30319">
      <c r="A30319" s="39"/>
      <c r="E30319" s="40" t="s">
        <v>11404</v>
      </c>
      <c r="F30319" s="40" t="s">
        <v>11404</v>
      </c>
      <c r="G30319" s="40" t="s">
        <v>11404</v>
      </c>
      <c r="H30319" s="40" t="s">
        <v>11404</v>
      </c>
    </row>
    <row r="30320">
      <c r="A30320" s="39"/>
      <c r="E30320" s="40" t="s">
        <v>11404</v>
      </c>
      <c r="F30320" s="40" t="s">
        <v>11404</v>
      </c>
      <c r="G30320" s="40" t="s">
        <v>11404</v>
      </c>
      <c r="H30320" s="40" t="s">
        <v>11404</v>
      </c>
    </row>
    <row r="30321">
      <c r="A30321" s="39"/>
      <c r="E30321" s="40" t="s">
        <v>11404</v>
      </c>
      <c r="F30321" s="40" t="s">
        <v>11404</v>
      </c>
      <c r="G30321" s="40" t="s">
        <v>11404</v>
      </c>
      <c r="H30321" s="40" t="s">
        <v>11404</v>
      </c>
    </row>
    <row r="30322">
      <c r="A30322" s="39"/>
      <c r="E30322" s="40" t="s">
        <v>11404</v>
      </c>
      <c r="F30322" s="40" t="s">
        <v>11404</v>
      </c>
      <c r="G30322" s="40" t="s">
        <v>11404</v>
      </c>
      <c r="H30322" s="40" t="s">
        <v>11404</v>
      </c>
    </row>
    <row r="30323">
      <c r="A30323" s="39"/>
      <c r="E30323" s="40" t="s">
        <v>11404</v>
      </c>
      <c r="F30323" s="40" t="s">
        <v>11404</v>
      </c>
      <c r="G30323" s="40" t="s">
        <v>11404</v>
      </c>
      <c r="H30323" s="40" t="s">
        <v>11404</v>
      </c>
    </row>
    <row r="30324">
      <c r="A30324" s="39"/>
      <c r="E30324" s="40" t="s">
        <v>11404</v>
      </c>
      <c r="F30324" s="40" t="s">
        <v>11404</v>
      </c>
      <c r="G30324" s="40" t="s">
        <v>11404</v>
      </c>
      <c r="H30324" s="40" t="s">
        <v>11404</v>
      </c>
    </row>
    <row r="30325">
      <c r="A30325" s="39"/>
      <c r="E30325" s="40" t="s">
        <v>11404</v>
      </c>
      <c r="F30325" s="40" t="s">
        <v>11404</v>
      </c>
      <c r="G30325" s="40" t="s">
        <v>11404</v>
      </c>
      <c r="H30325" s="40" t="s">
        <v>11404</v>
      </c>
    </row>
    <row r="30326">
      <c r="A30326" s="39"/>
      <c r="E30326" s="40" t="s">
        <v>11404</v>
      </c>
      <c r="F30326" s="40" t="s">
        <v>11404</v>
      </c>
      <c r="G30326" s="40" t="s">
        <v>11404</v>
      </c>
      <c r="H30326" s="40" t="s">
        <v>11404</v>
      </c>
    </row>
    <row r="30327">
      <c r="A30327" s="39"/>
      <c r="E30327" s="40" t="s">
        <v>11404</v>
      </c>
      <c r="F30327" s="40" t="s">
        <v>11404</v>
      </c>
      <c r="G30327" s="40" t="s">
        <v>11404</v>
      </c>
      <c r="H30327" s="40" t="s">
        <v>11404</v>
      </c>
    </row>
    <row r="30328">
      <c r="A30328" s="39"/>
      <c r="E30328" s="40" t="s">
        <v>11404</v>
      </c>
      <c r="F30328" s="40" t="s">
        <v>11404</v>
      </c>
      <c r="G30328" s="40" t="s">
        <v>11404</v>
      </c>
      <c r="H30328" s="40" t="s">
        <v>11404</v>
      </c>
    </row>
    <row r="30329">
      <c r="A30329" s="39"/>
      <c r="E30329" s="40" t="s">
        <v>11404</v>
      </c>
      <c r="F30329" s="40" t="s">
        <v>11404</v>
      </c>
      <c r="G30329" s="40" t="s">
        <v>11404</v>
      </c>
      <c r="H30329" s="40" t="s">
        <v>11404</v>
      </c>
    </row>
    <row r="30330">
      <c r="A30330" s="39"/>
      <c r="E30330" s="40" t="s">
        <v>11404</v>
      </c>
      <c r="F30330" s="40" t="s">
        <v>11404</v>
      </c>
      <c r="G30330" s="40" t="s">
        <v>11404</v>
      </c>
      <c r="H30330" s="40" t="s">
        <v>11404</v>
      </c>
    </row>
    <row r="30331">
      <c r="A30331" s="39"/>
      <c r="E30331" s="40" t="s">
        <v>11404</v>
      </c>
      <c r="F30331" s="40" t="s">
        <v>11404</v>
      </c>
      <c r="G30331" s="40" t="s">
        <v>11404</v>
      </c>
      <c r="H30331" s="40" t="s">
        <v>11404</v>
      </c>
    </row>
    <row r="30332">
      <c r="A30332" s="39"/>
      <c r="E30332" s="40" t="s">
        <v>11404</v>
      </c>
      <c r="F30332" s="40" t="s">
        <v>11404</v>
      </c>
      <c r="G30332" s="40" t="s">
        <v>11404</v>
      </c>
      <c r="H30332" s="40" t="s">
        <v>11404</v>
      </c>
    </row>
    <row r="30333">
      <c r="A30333" s="39"/>
      <c r="E30333" s="40" t="s">
        <v>11404</v>
      </c>
      <c r="F30333" s="40" t="s">
        <v>11404</v>
      </c>
      <c r="G30333" s="40" t="s">
        <v>11404</v>
      </c>
      <c r="H30333" s="40" t="s">
        <v>11404</v>
      </c>
    </row>
    <row r="30334">
      <c r="A30334" s="39"/>
      <c r="E30334" s="40" t="s">
        <v>11404</v>
      </c>
      <c r="F30334" s="40" t="s">
        <v>11404</v>
      </c>
      <c r="G30334" s="40" t="s">
        <v>11404</v>
      </c>
      <c r="H30334" s="40" t="s">
        <v>11404</v>
      </c>
    </row>
    <row r="30335">
      <c r="A30335" s="39"/>
      <c r="E30335" s="40" t="s">
        <v>11404</v>
      </c>
      <c r="F30335" s="40" t="s">
        <v>11404</v>
      </c>
      <c r="G30335" s="40" t="s">
        <v>11404</v>
      </c>
      <c r="H30335" s="40" t="s">
        <v>11404</v>
      </c>
    </row>
    <row r="30336">
      <c r="A30336" s="39"/>
      <c r="E30336" s="40" t="s">
        <v>11404</v>
      </c>
      <c r="F30336" s="40" t="s">
        <v>11404</v>
      </c>
      <c r="G30336" s="40" t="s">
        <v>11404</v>
      </c>
      <c r="H30336" s="40" t="s">
        <v>11404</v>
      </c>
    </row>
    <row r="30337">
      <c r="A30337" s="39"/>
      <c r="E30337" s="40" t="s">
        <v>11404</v>
      </c>
      <c r="F30337" s="40" t="s">
        <v>11404</v>
      </c>
      <c r="G30337" s="40" t="s">
        <v>11404</v>
      </c>
      <c r="H30337" s="40" t="s">
        <v>11404</v>
      </c>
    </row>
    <row r="30338">
      <c r="A30338" s="39"/>
      <c r="E30338" s="40" t="s">
        <v>11404</v>
      </c>
      <c r="F30338" s="40" t="s">
        <v>11404</v>
      </c>
      <c r="G30338" s="40" t="s">
        <v>11404</v>
      </c>
      <c r="H30338" s="40" t="s">
        <v>11404</v>
      </c>
    </row>
    <row r="30339">
      <c r="A30339" s="39"/>
      <c r="E30339" s="40" t="s">
        <v>11404</v>
      </c>
      <c r="F30339" s="40" t="s">
        <v>11404</v>
      </c>
      <c r="G30339" s="40" t="s">
        <v>11404</v>
      </c>
      <c r="H30339" s="40" t="s">
        <v>11404</v>
      </c>
    </row>
    <row r="30340">
      <c r="A30340" s="39"/>
      <c r="E30340" s="40" t="s">
        <v>11404</v>
      </c>
      <c r="F30340" s="40" t="s">
        <v>11404</v>
      </c>
      <c r="G30340" s="40" t="s">
        <v>11404</v>
      </c>
      <c r="H30340" s="40" t="s">
        <v>11404</v>
      </c>
    </row>
    <row r="30341">
      <c r="A30341" s="39"/>
      <c r="E30341" s="40" t="s">
        <v>11404</v>
      </c>
      <c r="F30341" s="40" t="s">
        <v>11404</v>
      </c>
      <c r="G30341" s="40" t="s">
        <v>11404</v>
      </c>
      <c r="H30341" s="40" t="s">
        <v>11404</v>
      </c>
    </row>
    <row r="30342">
      <c r="A30342" s="39"/>
      <c r="E30342" s="40" t="s">
        <v>11404</v>
      </c>
      <c r="F30342" s="40" t="s">
        <v>11404</v>
      </c>
      <c r="G30342" s="40" t="s">
        <v>11404</v>
      </c>
      <c r="H30342" s="40" t="s">
        <v>11404</v>
      </c>
    </row>
    <row r="30343">
      <c r="A30343" s="39"/>
      <c r="E30343" s="40" t="s">
        <v>11404</v>
      </c>
      <c r="F30343" s="40" t="s">
        <v>11404</v>
      </c>
      <c r="G30343" s="40" t="s">
        <v>11404</v>
      </c>
      <c r="H30343" s="40" t="s">
        <v>11404</v>
      </c>
    </row>
    <row r="30344">
      <c r="A30344" s="39"/>
      <c r="E30344" s="40" t="s">
        <v>11404</v>
      </c>
      <c r="F30344" s="40" t="s">
        <v>11404</v>
      </c>
      <c r="G30344" s="40" t="s">
        <v>11404</v>
      </c>
      <c r="H30344" s="40" t="s">
        <v>11404</v>
      </c>
    </row>
    <row r="30345">
      <c r="A30345" s="39"/>
      <c r="E30345" s="40" t="s">
        <v>11404</v>
      </c>
      <c r="F30345" s="40" t="s">
        <v>11404</v>
      </c>
      <c r="G30345" s="40" t="s">
        <v>11404</v>
      </c>
      <c r="H30345" s="40" t="s">
        <v>11404</v>
      </c>
    </row>
    <row r="30346">
      <c r="A30346" s="39"/>
      <c r="E30346" s="40" t="s">
        <v>11404</v>
      </c>
      <c r="F30346" s="40" t="s">
        <v>11404</v>
      </c>
      <c r="G30346" s="40" t="s">
        <v>11404</v>
      </c>
      <c r="H30346" s="40" t="s">
        <v>11404</v>
      </c>
    </row>
    <row r="30347">
      <c r="A30347" s="39"/>
      <c r="E30347" s="40" t="s">
        <v>11404</v>
      </c>
      <c r="F30347" s="40" t="s">
        <v>11404</v>
      </c>
      <c r="G30347" s="40" t="s">
        <v>11404</v>
      </c>
      <c r="H30347" s="40" t="s">
        <v>11404</v>
      </c>
    </row>
    <row r="30348">
      <c r="A30348" s="39"/>
      <c r="E30348" s="40" t="s">
        <v>11404</v>
      </c>
      <c r="F30348" s="40" t="s">
        <v>11404</v>
      </c>
      <c r="G30348" s="40" t="s">
        <v>11404</v>
      </c>
      <c r="H30348" s="40" t="s">
        <v>11404</v>
      </c>
    </row>
    <row r="30349">
      <c r="A30349" s="39"/>
      <c r="E30349" s="40" t="s">
        <v>11404</v>
      </c>
      <c r="F30349" s="40" t="s">
        <v>11404</v>
      </c>
      <c r="G30349" s="40" t="s">
        <v>11404</v>
      </c>
      <c r="H30349" s="40" t="s">
        <v>11404</v>
      </c>
    </row>
    <row r="30350">
      <c r="A30350" s="39"/>
      <c r="E30350" s="40" t="s">
        <v>11404</v>
      </c>
      <c r="F30350" s="40" t="s">
        <v>11404</v>
      </c>
      <c r="G30350" s="40" t="s">
        <v>11404</v>
      </c>
      <c r="H30350" s="40" t="s">
        <v>11404</v>
      </c>
    </row>
    <row r="30351">
      <c r="A30351" s="39"/>
      <c r="E30351" s="40" t="s">
        <v>11404</v>
      </c>
      <c r="F30351" s="40" t="s">
        <v>11404</v>
      </c>
      <c r="G30351" s="40" t="s">
        <v>11404</v>
      </c>
      <c r="H30351" s="40" t="s">
        <v>11404</v>
      </c>
    </row>
    <row r="30352">
      <c r="A30352" s="39"/>
      <c r="E30352" s="40" t="s">
        <v>11404</v>
      </c>
      <c r="F30352" s="40" t="s">
        <v>11404</v>
      </c>
      <c r="G30352" s="40" t="s">
        <v>11404</v>
      </c>
      <c r="H30352" s="40" t="s">
        <v>11404</v>
      </c>
    </row>
    <row r="30353">
      <c r="A30353" s="39"/>
      <c r="E30353" s="40" t="s">
        <v>11404</v>
      </c>
      <c r="F30353" s="40" t="s">
        <v>11404</v>
      </c>
      <c r="G30353" s="40" t="s">
        <v>11404</v>
      </c>
      <c r="H30353" s="40" t="s">
        <v>11404</v>
      </c>
    </row>
    <row r="30354">
      <c r="A30354" s="39"/>
      <c r="E30354" s="40" t="s">
        <v>11404</v>
      </c>
      <c r="F30354" s="40" t="s">
        <v>11404</v>
      </c>
      <c r="G30354" s="40" t="s">
        <v>11404</v>
      </c>
      <c r="H30354" s="40" t="s">
        <v>11404</v>
      </c>
    </row>
    <row r="30355">
      <c r="A30355" s="39"/>
      <c r="E30355" s="40" t="s">
        <v>11404</v>
      </c>
      <c r="F30355" s="40" t="s">
        <v>11404</v>
      </c>
      <c r="G30355" s="40" t="s">
        <v>11404</v>
      </c>
      <c r="H30355" s="40" t="s">
        <v>11404</v>
      </c>
    </row>
    <row r="30356">
      <c r="A30356" s="39"/>
      <c r="E30356" s="40" t="s">
        <v>11404</v>
      </c>
      <c r="F30356" s="40" t="s">
        <v>11404</v>
      </c>
      <c r="G30356" s="40" t="s">
        <v>11404</v>
      </c>
      <c r="H30356" s="40" t="s">
        <v>11404</v>
      </c>
    </row>
    <row r="30357">
      <c r="A30357" s="39"/>
      <c r="E30357" s="40" t="s">
        <v>11404</v>
      </c>
      <c r="F30357" s="40" t="s">
        <v>11404</v>
      </c>
      <c r="G30357" s="40" t="s">
        <v>11404</v>
      </c>
      <c r="H30357" s="40" t="s">
        <v>11404</v>
      </c>
    </row>
    <row r="30358">
      <c r="A30358" s="39"/>
      <c r="E30358" s="40" t="s">
        <v>11404</v>
      </c>
      <c r="F30358" s="40" t="s">
        <v>11404</v>
      </c>
      <c r="G30358" s="40" t="s">
        <v>11404</v>
      </c>
      <c r="H30358" s="40" t="s">
        <v>11404</v>
      </c>
    </row>
    <row r="30359">
      <c r="A30359" s="39"/>
      <c r="E30359" s="40" t="s">
        <v>11404</v>
      </c>
      <c r="F30359" s="40" t="s">
        <v>11404</v>
      </c>
      <c r="G30359" s="40" t="s">
        <v>11404</v>
      </c>
      <c r="H30359" s="40" t="s">
        <v>11404</v>
      </c>
    </row>
    <row r="30360">
      <c r="A30360" s="39"/>
      <c r="E30360" s="40" t="s">
        <v>11404</v>
      </c>
      <c r="F30360" s="40" t="s">
        <v>11404</v>
      </c>
      <c r="G30360" s="40" t="s">
        <v>11404</v>
      </c>
      <c r="H30360" s="40" t="s">
        <v>11404</v>
      </c>
    </row>
    <row r="30361">
      <c r="A30361" s="39"/>
      <c r="E30361" s="40" t="s">
        <v>11404</v>
      </c>
      <c r="F30361" s="40" t="s">
        <v>11404</v>
      </c>
      <c r="G30361" s="40" t="s">
        <v>11404</v>
      </c>
      <c r="H30361" s="40" t="s">
        <v>11404</v>
      </c>
    </row>
    <row r="30362">
      <c r="A30362" s="39"/>
      <c r="E30362" s="40" t="s">
        <v>11404</v>
      </c>
      <c r="F30362" s="40" t="s">
        <v>11404</v>
      </c>
      <c r="G30362" s="40" t="s">
        <v>11404</v>
      </c>
      <c r="H30362" s="40" t="s">
        <v>11404</v>
      </c>
    </row>
    <row r="30363">
      <c r="A30363" s="39"/>
      <c r="E30363" s="40" t="s">
        <v>11404</v>
      </c>
      <c r="F30363" s="40" t="s">
        <v>11404</v>
      </c>
      <c r="G30363" s="40" t="s">
        <v>11404</v>
      </c>
      <c r="H30363" s="40" t="s">
        <v>11404</v>
      </c>
    </row>
    <row r="30364">
      <c r="A30364" s="39"/>
      <c r="E30364" s="40" t="s">
        <v>11404</v>
      </c>
      <c r="F30364" s="40" t="s">
        <v>11404</v>
      </c>
      <c r="G30364" s="40" t="s">
        <v>11404</v>
      </c>
      <c r="H30364" s="40" t="s">
        <v>11404</v>
      </c>
    </row>
    <row r="30365">
      <c r="A30365" s="39"/>
      <c r="E30365" s="40" t="s">
        <v>11404</v>
      </c>
      <c r="F30365" s="40" t="s">
        <v>11404</v>
      </c>
      <c r="G30365" s="40" t="s">
        <v>11404</v>
      </c>
      <c r="H30365" s="40" t="s">
        <v>11404</v>
      </c>
    </row>
    <row r="30366">
      <c r="A30366" s="39"/>
      <c r="E30366" s="40" t="s">
        <v>11404</v>
      </c>
      <c r="F30366" s="40" t="s">
        <v>11404</v>
      </c>
      <c r="G30366" s="40" t="s">
        <v>11404</v>
      </c>
      <c r="H30366" s="40" t="s">
        <v>11404</v>
      </c>
    </row>
    <row r="30367">
      <c r="A30367" s="39"/>
      <c r="E30367" s="40" t="s">
        <v>11404</v>
      </c>
      <c r="F30367" s="40" t="s">
        <v>11404</v>
      </c>
      <c r="G30367" s="40" t="s">
        <v>11404</v>
      </c>
      <c r="H30367" s="40" t="s">
        <v>11404</v>
      </c>
    </row>
    <row r="30368">
      <c r="A30368" s="39"/>
      <c r="E30368" s="40" t="s">
        <v>11404</v>
      </c>
      <c r="F30368" s="40" t="s">
        <v>11404</v>
      </c>
      <c r="G30368" s="40" t="s">
        <v>11404</v>
      </c>
      <c r="H30368" s="40" t="s">
        <v>11404</v>
      </c>
    </row>
    <row r="30369">
      <c r="A30369" s="39"/>
      <c r="E30369" s="40" t="s">
        <v>11404</v>
      </c>
      <c r="F30369" s="40" t="s">
        <v>11404</v>
      </c>
      <c r="G30369" s="40" t="s">
        <v>11404</v>
      </c>
      <c r="H30369" s="40" t="s">
        <v>11404</v>
      </c>
    </row>
    <row r="30370">
      <c r="A30370" s="39"/>
      <c r="E30370" s="40" t="s">
        <v>11404</v>
      </c>
      <c r="F30370" s="40" t="s">
        <v>11404</v>
      </c>
      <c r="G30370" s="40" t="s">
        <v>11404</v>
      </c>
      <c r="H30370" s="40" t="s">
        <v>11404</v>
      </c>
    </row>
    <row r="30371">
      <c r="A30371" s="39"/>
      <c r="E30371" s="40" t="s">
        <v>11404</v>
      </c>
      <c r="F30371" s="40" t="s">
        <v>11404</v>
      </c>
      <c r="G30371" s="40" t="s">
        <v>11404</v>
      </c>
      <c r="H30371" s="40" t="s">
        <v>11404</v>
      </c>
    </row>
    <row r="30372">
      <c r="A30372" s="39"/>
      <c r="E30372" s="40" t="s">
        <v>11404</v>
      </c>
      <c r="F30372" s="40" t="s">
        <v>11404</v>
      </c>
      <c r="G30372" s="40" t="s">
        <v>11404</v>
      </c>
      <c r="H30372" s="40" t="s">
        <v>11404</v>
      </c>
    </row>
    <row r="30373">
      <c r="A30373" s="39"/>
      <c r="E30373" s="40" t="s">
        <v>11404</v>
      </c>
      <c r="F30373" s="40" t="s">
        <v>11404</v>
      </c>
      <c r="G30373" s="40" t="s">
        <v>11404</v>
      </c>
      <c r="H30373" s="40" t="s">
        <v>11404</v>
      </c>
    </row>
    <row r="30374">
      <c r="A30374" s="39"/>
      <c r="E30374" s="40" t="s">
        <v>11404</v>
      </c>
      <c r="F30374" s="40" t="s">
        <v>11404</v>
      </c>
      <c r="G30374" s="40" t="s">
        <v>11404</v>
      </c>
      <c r="H30374" s="40" t="s">
        <v>11404</v>
      </c>
    </row>
    <row r="30375">
      <c r="A30375" s="39"/>
      <c r="E30375" s="40" t="s">
        <v>11404</v>
      </c>
      <c r="F30375" s="40" t="s">
        <v>11404</v>
      </c>
      <c r="G30375" s="40" t="s">
        <v>11404</v>
      </c>
      <c r="H30375" s="40" t="s">
        <v>11404</v>
      </c>
    </row>
    <row r="30376">
      <c r="A30376" s="39"/>
      <c r="E30376" s="40" t="s">
        <v>11404</v>
      </c>
      <c r="F30376" s="40" t="s">
        <v>11404</v>
      </c>
      <c r="G30376" s="40" t="s">
        <v>11404</v>
      </c>
      <c r="H30376" s="40" t="s">
        <v>11404</v>
      </c>
    </row>
    <row r="30377">
      <c r="A30377" s="39"/>
      <c r="E30377" s="40" t="s">
        <v>11404</v>
      </c>
      <c r="F30377" s="40" t="s">
        <v>11404</v>
      </c>
      <c r="G30377" s="40" t="s">
        <v>11404</v>
      </c>
      <c r="H30377" s="40" t="s">
        <v>11404</v>
      </c>
    </row>
    <row r="30378">
      <c r="A30378" s="39"/>
      <c r="E30378" s="40" t="s">
        <v>11404</v>
      </c>
      <c r="F30378" s="40" t="s">
        <v>11404</v>
      </c>
      <c r="G30378" s="40" t="s">
        <v>11404</v>
      </c>
      <c r="H30378" s="40" t="s">
        <v>11404</v>
      </c>
    </row>
    <row r="30379">
      <c r="A30379" s="39"/>
      <c r="E30379" s="40" t="s">
        <v>11404</v>
      </c>
      <c r="F30379" s="40" t="s">
        <v>11404</v>
      </c>
      <c r="G30379" s="40" t="s">
        <v>11404</v>
      </c>
      <c r="H30379" s="40" t="s">
        <v>11404</v>
      </c>
    </row>
    <row r="30380">
      <c r="A30380" s="39"/>
      <c r="E30380" s="40" t="s">
        <v>11404</v>
      </c>
      <c r="F30380" s="40" t="s">
        <v>11404</v>
      </c>
      <c r="G30380" s="40" t="s">
        <v>11404</v>
      </c>
      <c r="H30380" s="40" t="s">
        <v>11404</v>
      </c>
    </row>
    <row r="30381">
      <c r="A30381" s="39"/>
      <c r="E30381" s="40" t="s">
        <v>11404</v>
      </c>
      <c r="F30381" s="40" t="s">
        <v>11404</v>
      </c>
      <c r="G30381" s="40" t="s">
        <v>11404</v>
      </c>
      <c r="H30381" s="40" t="s">
        <v>11404</v>
      </c>
    </row>
    <row r="30382">
      <c r="A30382" s="39"/>
      <c r="E30382" s="40" t="s">
        <v>11404</v>
      </c>
      <c r="F30382" s="40" t="s">
        <v>11404</v>
      </c>
      <c r="G30382" s="40" t="s">
        <v>11404</v>
      </c>
      <c r="H30382" s="40" t="s">
        <v>11404</v>
      </c>
    </row>
    <row r="30383">
      <c r="A30383" s="39"/>
      <c r="E30383" s="40" t="s">
        <v>11404</v>
      </c>
      <c r="F30383" s="40" t="s">
        <v>11404</v>
      </c>
      <c r="G30383" s="40" t="s">
        <v>11404</v>
      </c>
      <c r="H30383" s="40" t="s">
        <v>11404</v>
      </c>
    </row>
    <row r="30384">
      <c r="A30384" s="39"/>
      <c r="E30384" s="40" t="s">
        <v>11404</v>
      </c>
      <c r="F30384" s="40" t="s">
        <v>11404</v>
      </c>
      <c r="G30384" s="40" t="s">
        <v>11404</v>
      </c>
      <c r="H30384" s="40" t="s">
        <v>11404</v>
      </c>
    </row>
    <row r="30385">
      <c r="A30385" s="39"/>
      <c r="E30385" s="40" t="s">
        <v>11404</v>
      </c>
      <c r="F30385" s="40" t="s">
        <v>11404</v>
      </c>
      <c r="G30385" s="40" t="s">
        <v>11404</v>
      </c>
      <c r="H30385" s="40" t="s">
        <v>11404</v>
      </c>
    </row>
    <row r="30386">
      <c r="A30386" s="39"/>
      <c r="E30386" s="40" t="s">
        <v>11404</v>
      </c>
      <c r="F30386" s="40" t="s">
        <v>11404</v>
      </c>
      <c r="G30386" s="40" t="s">
        <v>11404</v>
      </c>
      <c r="H30386" s="40" t="s">
        <v>11404</v>
      </c>
    </row>
    <row r="30387">
      <c r="A30387" s="39"/>
      <c r="E30387" s="40" t="s">
        <v>11404</v>
      </c>
      <c r="F30387" s="40" t="s">
        <v>11404</v>
      </c>
      <c r="G30387" s="40" t="s">
        <v>11404</v>
      </c>
      <c r="H30387" s="40" t="s">
        <v>11404</v>
      </c>
    </row>
    <row r="30388">
      <c r="A30388" s="39"/>
      <c r="E30388" s="40" t="s">
        <v>11404</v>
      </c>
      <c r="F30388" s="40" t="s">
        <v>11404</v>
      </c>
      <c r="G30388" s="40" t="s">
        <v>11404</v>
      </c>
      <c r="H30388" s="40" t="s">
        <v>11404</v>
      </c>
    </row>
    <row r="30389">
      <c r="A30389" s="39"/>
      <c r="E30389" s="40" t="s">
        <v>11404</v>
      </c>
      <c r="F30389" s="40" t="s">
        <v>11404</v>
      </c>
      <c r="G30389" s="40" t="s">
        <v>11404</v>
      </c>
      <c r="H30389" s="40" t="s">
        <v>11404</v>
      </c>
    </row>
    <row r="30390">
      <c r="A30390" s="39"/>
      <c r="E30390" s="40" t="s">
        <v>11404</v>
      </c>
      <c r="F30390" s="40" t="s">
        <v>11404</v>
      </c>
      <c r="G30390" s="40" t="s">
        <v>11404</v>
      </c>
      <c r="H30390" s="40" t="s">
        <v>11404</v>
      </c>
    </row>
    <row r="30391">
      <c r="A30391" s="39"/>
      <c r="E30391" s="40" t="s">
        <v>11404</v>
      </c>
      <c r="F30391" s="40" t="s">
        <v>11404</v>
      </c>
      <c r="G30391" s="40" t="s">
        <v>11404</v>
      </c>
      <c r="H30391" s="40" t="s">
        <v>11404</v>
      </c>
    </row>
    <row r="30392">
      <c r="A30392" s="39"/>
      <c r="E30392" s="40" t="s">
        <v>11404</v>
      </c>
      <c r="F30392" s="40" t="s">
        <v>11404</v>
      </c>
      <c r="G30392" s="40" t="s">
        <v>11404</v>
      </c>
      <c r="H30392" s="40" t="s">
        <v>11404</v>
      </c>
    </row>
    <row r="30393">
      <c r="A30393" s="39"/>
      <c r="E30393" s="40" t="s">
        <v>11404</v>
      </c>
      <c r="F30393" s="40" t="s">
        <v>11404</v>
      </c>
      <c r="G30393" s="40" t="s">
        <v>11404</v>
      </c>
      <c r="H30393" s="40" t="s">
        <v>11404</v>
      </c>
    </row>
    <row r="30394">
      <c r="A30394" s="39"/>
      <c r="E30394" s="40" t="s">
        <v>11404</v>
      </c>
      <c r="F30394" s="40" t="s">
        <v>11404</v>
      </c>
      <c r="G30394" s="40" t="s">
        <v>11404</v>
      </c>
      <c r="H30394" s="40" t="s">
        <v>11404</v>
      </c>
    </row>
    <row r="30395">
      <c r="A30395" s="39"/>
      <c r="E30395" s="40" t="s">
        <v>11404</v>
      </c>
      <c r="F30395" s="40" t="s">
        <v>11404</v>
      </c>
      <c r="G30395" s="40" t="s">
        <v>11404</v>
      </c>
      <c r="H30395" s="40" t="s">
        <v>11404</v>
      </c>
    </row>
    <row r="30396">
      <c r="A30396" s="39"/>
      <c r="E30396" s="40" t="s">
        <v>11404</v>
      </c>
      <c r="F30396" s="40" t="s">
        <v>11404</v>
      </c>
      <c r="G30396" s="40" t="s">
        <v>11404</v>
      </c>
      <c r="H30396" s="40" t="s">
        <v>11404</v>
      </c>
    </row>
    <row r="30397">
      <c r="A30397" s="39"/>
      <c r="E30397" s="40" t="s">
        <v>11404</v>
      </c>
      <c r="F30397" s="40" t="s">
        <v>11404</v>
      </c>
      <c r="G30397" s="40" t="s">
        <v>11404</v>
      </c>
      <c r="H30397" s="40" t="s">
        <v>11404</v>
      </c>
    </row>
    <row r="30398">
      <c r="A30398" s="39"/>
      <c r="E30398" s="40" t="s">
        <v>11404</v>
      </c>
      <c r="F30398" s="40" t="s">
        <v>11404</v>
      </c>
      <c r="G30398" s="40" t="s">
        <v>11404</v>
      </c>
      <c r="H30398" s="40" t="s">
        <v>11404</v>
      </c>
    </row>
    <row r="30399">
      <c r="A30399" s="39"/>
      <c r="E30399" s="40" t="s">
        <v>11404</v>
      </c>
      <c r="F30399" s="40" t="s">
        <v>11404</v>
      </c>
      <c r="G30399" s="40" t="s">
        <v>11404</v>
      </c>
      <c r="H30399" s="40" t="s">
        <v>11404</v>
      </c>
    </row>
    <row r="30400">
      <c r="A30400" s="39"/>
      <c r="E30400" s="40" t="s">
        <v>11404</v>
      </c>
      <c r="F30400" s="40" t="s">
        <v>11404</v>
      </c>
      <c r="G30400" s="40" t="s">
        <v>11404</v>
      </c>
      <c r="H30400" s="40" t="s">
        <v>11404</v>
      </c>
    </row>
    <row r="30401">
      <c r="A30401" s="39"/>
      <c r="E30401" s="40" t="s">
        <v>11404</v>
      </c>
      <c r="F30401" s="40" t="s">
        <v>11404</v>
      </c>
      <c r="G30401" s="40" t="s">
        <v>11404</v>
      </c>
      <c r="H30401" s="40" t="s">
        <v>11404</v>
      </c>
    </row>
    <row r="30402">
      <c r="A30402" s="39"/>
      <c r="E30402" s="40" t="s">
        <v>11404</v>
      </c>
      <c r="F30402" s="40" t="s">
        <v>11404</v>
      </c>
      <c r="G30402" s="40" t="s">
        <v>11404</v>
      </c>
      <c r="H30402" s="40" t="s">
        <v>11404</v>
      </c>
    </row>
    <row r="30403">
      <c r="A30403" s="39"/>
      <c r="E30403" s="40" t="s">
        <v>11404</v>
      </c>
      <c r="F30403" s="40" t="s">
        <v>11404</v>
      </c>
      <c r="G30403" s="40" t="s">
        <v>11404</v>
      </c>
      <c r="H30403" s="40" t="s">
        <v>11404</v>
      </c>
    </row>
    <row r="30404">
      <c r="A30404" s="39"/>
      <c r="E30404" s="40" t="s">
        <v>11404</v>
      </c>
      <c r="F30404" s="40" t="s">
        <v>11404</v>
      </c>
      <c r="G30404" s="40" t="s">
        <v>11404</v>
      </c>
      <c r="H30404" s="40" t="s">
        <v>11404</v>
      </c>
    </row>
    <row r="30405">
      <c r="A30405" s="39"/>
      <c r="E30405" s="40" t="s">
        <v>11404</v>
      </c>
      <c r="F30405" s="40" t="s">
        <v>11404</v>
      </c>
      <c r="G30405" s="40" t="s">
        <v>11404</v>
      </c>
      <c r="H30405" s="40" t="s">
        <v>11404</v>
      </c>
    </row>
    <row r="30406">
      <c r="A30406" s="39"/>
      <c r="E30406" s="40" t="s">
        <v>11404</v>
      </c>
      <c r="F30406" s="40" t="s">
        <v>11404</v>
      </c>
      <c r="G30406" s="40" t="s">
        <v>11404</v>
      </c>
      <c r="H30406" s="40" t="s">
        <v>11404</v>
      </c>
    </row>
    <row r="30407">
      <c r="A30407" s="39"/>
      <c r="E30407" s="40" t="s">
        <v>11404</v>
      </c>
      <c r="F30407" s="40" t="s">
        <v>11404</v>
      </c>
      <c r="G30407" s="40" t="s">
        <v>11404</v>
      </c>
      <c r="H30407" s="40" t="s">
        <v>11404</v>
      </c>
    </row>
    <row r="30408">
      <c r="A30408" s="39"/>
      <c r="E30408" s="40" t="s">
        <v>11404</v>
      </c>
      <c r="F30408" s="40" t="s">
        <v>11404</v>
      </c>
      <c r="G30408" s="40" t="s">
        <v>11404</v>
      </c>
      <c r="H30408" s="40" t="s">
        <v>11404</v>
      </c>
    </row>
    <row r="30409">
      <c r="A30409" s="39"/>
      <c r="E30409" s="40" t="s">
        <v>11404</v>
      </c>
      <c r="F30409" s="40" t="s">
        <v>11404</v>
      </c>
      <c r="G30409" s="40" t="s">
        <v>11404</v>
      </c>
      <c r="H30409" s="40" t="s">
        <v>11404</v>
      </c>
    </row>
    <row r="30410">
      <c r="A30410" s="39"/>
      <c r="E30410" s="40" t="s">
        <v>11404</v>
      </c>
      <c r="F30410" s="40" t="s">
        <v>11404</v>
      </c>
      <c r="G30410" s="40" t="s">
        <v>11404</v>
      </c>
      <c r="H30410" s="40" t="s">
        <v>11404</v>
      </c>
    </row>
    <row r="30411">
      <c r="A30411" s="39"/>
      <c r="E30411" s="40" t="s">
        <v>11404</v>
      </c>
      <c r="F30411" s="40" t="s">
        <v>11404</v>
      </c>
      <c r="G30411" s="40" t="s">
        <v>11404</v>
      </c>
      <c r="H30411" s="40" t="s">
        <v>11404</v>
      </c>
    </row>
    <row r="30412">
      <c r="A30412" s="39"/>
      <c r="E30412" s="40" t="s">
        <v>11404</v>
      </c>
      <c r="F30412" s="40" t="s">
        <v>11404</v>
      </c>
      <c r="G30412" s="40" t="s">
        <v>11404</v>
      </c>
      <c r="H30412" s="40" t="s">
        <v>11404</v>
      </c>
    </row>
    <row r="30413">
      <c r="A30413" s="39"/>
      <c r="E30413" s="40" t="s">
        <v>11404</v>
      </c>
      <c r="F30413" s="40" t="s">
        <v>11404</v>
      </c>
      <c r="G30413" s="40" t="s">
        <v>11404</v>
      </c>
      <c r="H30413" s="40" t="s">
        <v>11404</v>
      </c>
    </row>
    <row r="30414">
      <c r="A30414" s="39"/>
      <c r="E30414" s="40" t="s">
        <v>11404</v>
      </c>
      <c r="F30414" s="40" t="s">
        <v>11404</v>
      </c>
      <c r="G30414" s="40" t="s">
        <v>11404</v>
      </c>
      <c r="H30414" s="40" t="s">
        <v>11404</v>
      </c>
    </row>
    <row r="30415">
      <c r="A30415" s="39"/>
      <c r="E30415" s="40" t="s">
        <v>11404</v>
      </c>
      <c r="F30415" s="40" t="s">
        <v>11404</v>
      </c>
      <c r="G30415" s="40" t="s">
        <v>11404</v>
      </c>
      <c r="H30415" s="40" t="s">
        <v>11404</v>
      </c>
    </row>
    <row r="30416">
      <c r="A30416" s="39"/>
      <c r="E30416" s="40" t="s">
        <v>11404</v>
      </c>
      <c r="F30416" s="40" t="s">
        <v>11404</v>
      </c>
      <c r="G30416" s="40" t="s">
        <v>11404</v>
      </c>
      <c r="H30416" s="40" t="s">
        <v>11404</v>
      </c>
    </row>
    <row r="30417">
      <c r="A30417" s="39"/>
      <c r="E30417" s="40" t="s">
        <v>11404</v>
      </c>
      <c r="F30417" s="40" t="s">
        <v>11404</v>
      </c>
      <c r="G30417" s="40" t="s">
        <v>11404</v>
      </c>
      <c r="H30417" s="40" t="s">
        <v>11404</v>
      </c>
    </row>
    <row r="30418">
      <c r="A30418" s="39"/>
      <c r="E30418" s="40" t="s">
        <v>11404</v>
      </c>
      <c r="F30418" s="40" t="s">
        <v>11404</v>
      </c>
      <c r="G30418" s="40" t="s">
        <v>11404</v>
      </c>
      <c r="H30418" s="40" t="s">
        <v>11404</v>
      </c>
    </row>
    <row r="30419">
      <c r="A30419" s="39"/>
      <c r="E30419" s="40" t="s">
        <v>11404</v>
      </c>
      <c r="F30419" s="40" t="s">
        <v>11404</v>
      </c>
      <c r="G30419" s="40" t="s">
        <v>11404</v>
      </c>
      <c r="H30419" s="40" t="s">
        <v>11404</v>
      </c>
    </row>
    <row r="30420">
      <c r="A30420" s="39"/>
      <c r="E30420" s="40" t="s">
        <v>11404</v>
      </c>
      <c r="F30420" s="40" t="s">
        <v>11404</v>
      </c>
      <c r="G30420" s="40" t="s">
        <v>11404</v>
      </c>
      <c r="H30420" s="40" t="s">
        <v>11404</v>
      </c>
    </row>
    <row r="30421">
      <c r="A30421" s="39"/>
      <c r="E30421" s="40" t="s">
        <v>11404</v>
      </c>
      <c r="F30421" s="40" t="s">
        <v>11404</v>
      </c>
      <c r="G30421" s="40" t="s">
        <v>11404</v>
      </c>
      <c r="H30421" s="40" t="s">
        <v>11404</v>
      </c>
    </row>
    <row r="30422">
      <c r="A30422" s="39"/>
      <c r="E30422" s="40" t="s">
        <v>11404</v>
      </c>
      <c r="F30422" s="40" t="s">
        <v>11404</v>
      </c>
      <c r="G30422" s="40" t="s">
        <v>11404</v>
      </c>
      <c r="H30422" s="40" t="s">
        <v>11404</v>
      </c>
    </row>
    <row r="30423">
      <c r="A30423" s="39"/>
      <c r="E30423" s="40" t="s">
        <v>11404</v>
      </c>
      <c r="F30423" s="40" t="s">
        <v>11404</v>
      </c>
      <c r="G30423" s="40" t="s">
        <v>11404</v>
      </c>
      <c r="H30423" s="40" t="s">
        <v>11404</v>
      </c>
    </row>
    <row r="30424">
      <c r="A30424" s="39"/>
      <c r="E30424" s="40" t="s">
        <v>11404</v>
      </c>
      <c r="F30424" s="40" t="s">
        <v>11404</v>
      </c>
      <c r="G30424" s="40" t="s">
        <v>11404</v>
      </c>
      <c r="H30424" s="40" t="s">
        <v>11404</v>
      </c>
    </row>
    <row r="30425">
      <c r="A30425" s="39"/>
      <c r="E30425" s="40" t="s">
        <v>11404</v>
      </c>
      <c r="F30425" s="40" t="s">
        <v>11404</v>
      </c>
      <c r="G30425" s="40" t="s">
        <v>11404</v>
      </c>
      <c r="H30425" s="40" t="s">
        <v>11404</v>
      </c>
    </row>
    <row r="30426">
      <c r="A30426" s="39"/>
      <c r="E30426" s="40" t="s">
        <v>11404</v>
      </c>
      <c r="F30426" s="40" t="s">
        <v>11404</v>
      </c>
      <c r="G30426" s="40" t="s">
        <v>11404</v>
      </c>
      <c r="H30426" s="40" t="s">
        <v>11404</v>
      </c>
    </row>
    <row r="30427">
      <c r="A30427" s="39"/>
      <c r="E30427" s="40" t="s">
        <v>11404</v>
      </c>
      <c r="F30427" s="40" t="s">
        <v>11404</v>
      </c>
      <c r="G30427" s="40" t="s">
        <v>11404</v>
      </c>
      <c r="H30427" s="40" t="s">
        <v>11404</v>
      </c>
    </row>
    <row r="30428">
      <c r="A30428" s="39"/>
      <c r="E30428" s="40" t="s">
        <v>11404</v>
      </c>
      <c r="F30428" s="40" t="s">
        <v>11404</v>
      </c>
      <c r="G30428" s="40" t="s">
        <v>11404</v>
      </c>
      <c r="H30428" s="40" t="s">
        <v>11404</v>
      </c>
    </row>
    <row r="30429">
      <c r="A30429" s="39"/>
      <c r="E30429" s="40" t="s">
        <v>11404</v>
      </c>
      <c r="F30429" s="40" t="s">
        <v>11404</v>
      </c>
      <c r="G30429" s="40" t="s">
        <v>11404</v>
      </c>
      <c r="H30429" s="40" t="s">
        <v>11404</v>
      </c>
    </row>
    <row r="30430">
      <c r="A30430" s="39"/>
      <c r="E30430" s="40" t="s">
        <v>11404</v>
      </c>
      <c r="F30430" s="40" t="s">
        <v>11404</v>
      </c>
      <c r="G30430" s="40" t="s">
        <v>11404</v>
      </c>
      <c r="H30430" s="40" t="s">
        <v>11404</v>
      </c>
    </row>
    <row r="30431">
      <c r="A30431" s="39"/>
      <c r="E30431" s="40" t="s">
        <v>11404</v>
      </c>
      <c r="F30431" s="40" t="s">
        <v>11404</v>
      </c>
      <c r="G30431" s="40" t="s">
        <v>11404</v>
      </c>
      <c r="H30431" s="40" t="s">
        <v>11404</v>
      </c>
    </row>
    <row r="30432">
      <c r="A30432" s="39"/>
      <c r="E30432" s="40" t="s">
        <v>11404</v>
      </c>
      <c r="F30432" s="40" t="s">
        <v>11404</v>
      </c>
      <c r="G30432" s="40" t="s">
        <v>11404</v>
      </c>
      <c r="H30432" s="40" t="s">
        <v>11404</v>
      </c>
    </row>
    <row r="30433">
      <c r="A30433" s="39"/>
      <c r="E30433" s="40" t="s">
        <v>11404</v>
      </c>
      <c r="F30433" s="40" t="s">
        <v>11404</v>
      </c>
      <c r="G30433" s="40" t="s">
        <v>11404</v>
      </c>
      <c r="H30433" s="40" t="s">
        <v>11404</v>
      </c>
    </row>
    <row r="30434">
      <c r="A30434" s="39"/>
      <c r="E30434" s="40" t="s">
        <v>11404</v>
      </c>
      <c r="F30434" s="40" t="s">
        <v>11404</v>
      </c>
      <c r="G30434" s="40" t="s">
        <v>11404</v>
      </c>
      <c r="H30434" s="40" t="s">
        <v>11404</v>
      </c>
    </row>
    <row r="30435">
      <c r="A30435" s="39"/>
      <c r="E30435" s="40" t="s">
        <v>11404</v>
      </c>
      <c r="F30435" s="40" t="s">
        <v>11404</v>
      </c>
      <c r="G30435" s="40" t="s">
        <v>11404</v>
      </c>
      <c r="H30435" s="40" t="s">
        <v>11404</v>
      </c>
    </row>
    <row r="30436">
      <c r="A30436" s="39"/>
      <c r="E30436" s="40" t="s">
        <v>11404</v>
      </c>
      <c r="F30436" s="40" t="s">
        <v>11404</v>
      </c>
      <c r="G30436" s="40" t="s">
        <v>11404</v>
      </c>
      <c r="H30436" s="40" t="s">
        <v>11404</v>
      </c>
    </row>
    <row r="30437">
      <c r="A30437" s="39"/>
      <c r="E30437" s="40" t="s">
        <v>11404</v>
      </c>
      <c r="F30437" s="40" t="s">
        <v>11404</v>
      </c>
      <c r="G30437" s="40" t="s">
        <v>11404</v>
      </c>
      <c r="H30437" s="40" t="s">
        <v>11404</v>
      </c>
    </row>
    <row r="30438">
      <c r="A30438" s="39"/>
      <c r="E30438" s="40" t="s">
        <v>11404</v>
      </c>
      <c r="F30438" s="40" t="s">
        <v>11404</v>
      </c>
      <c r="G30438" s="40" t="s">
        <v>11404</v>
      </c>
      <c r="H30438" s="40" t="s">
        <v>11404</v>
      </c>
    </row>
    <row r="30439">
      <c r="A30439" s="39"/>
      <c r="E30439" s="40" t="s">
        <v>11404</v>
      </c>
      <c r="F30439" s="40" t="s">
        <v>11404</v>
      </c>
      <c r="G30439" s="40" t="s">
        <v>11404</v>
      </c>
      <c r="H30439" s="40" t="s">
        <v>11404</v>
      </c>
    </row>
    <row r="30440">
      <c r="A30440" s="39"/>
      <c r="E30440" s="40" t="s">
        <v>11404</v>
      </c>
      <c r="F30440" s="40" t="s">
        <v>11404</v>
      </c>
      <c r="G30440" s="40" t="s">
        <v>11404</v>
      </c>
      <c r="H30440" s="40" t="s">
        <v>11404</v>
      </c>
    </row>
    <row r="30441">
      <c r="A30441" s="39"/>
      <c r="E30441" s="40" t="s">
        <v>11404</v>
      </c>
      <c r="F30441" s="40" t="s">
        <v>11404</v>
      </c>
      <c r="G30441" s="40" t="s">
        <v>11404</v>
      </c>
      <c r="H30441" s="40" t="s">
        <v>11404</v>
      </c>
    </row>
    <row r="30442">
      <c r="A30442" s="39"/>
      <c r="E30442" s="40" t="s">
        <v>11404</v>
      </c>
      <c r="F30442" s="40" t="s">
        <v>11404</v>
      </c>
      <c r="G30442" s="40" t="s">
        <v>11404</v>
      </c>
      <c r="H30442" s="40" t="s">
        <v>11404</v>
      </c>
    </row>
    <row r="30443">
      <c r="A30443" s="39"/>
      <c r="E30443" s="40" t="s">
        <v>11404</v>
      </c>
      <c r="F30443" s="40" t="s">
        <v>11404</v>
      </c>
      <c r="G30443" s="40" t="s">
        <v>11404</v>
      </c>
      <c r="H30443" s="40" t="s">
        <v>11404</v>
      </c>
    </row>
    <row r="30444">
      <c r="A30444" s="39"/>
      <c r="E30444" s="40" t="s">
        <v>11404</v>
      </c>
      <c r="F30444" s="40" t="s">
        <v>11404</v>
      </c>
      <c r="G30444" s="40" t="s">
        <v>11404</v>
      </c>
      <c r="H30444" s="40" t="s">
        <v>11404</v>
      </c>
    </row>
    <row r="30445">
      <c r="A30445" s="39"/>
      <c r="E30445" s="40" t="s">
        <v>11404</v>
      </c>
      <c r="F30445" s="40" t="s">
        <v>11404</v>
      </c>
      <c r="G30445" s="40" t="s">
        <v>11404</v>
      </c>
      <c r="H30445" s="40" t="s">
        <v>11404</v>
      </c>
    </row>
    <row r="30446">
      <c r="A30446" s="39"/>
      <c r="E30446" s="40" t="s">
        <v>11404</v>
      </c>
      <c r="F30446" s="40" t="s">
        <v>11404</v>
      </c>
      <c r="G30446" s="40" t="s">
        <v>11404</v>
      </c>
      <c r="H30446" s="40" t="s">
        <v>11404</v>
      </c>
    </row>
    <row r="30447">
      <c r="A30447" s="39"/>
      <c r="E30447" s="40" t="s">
        <v>11404</v>
      </c>
      <c r="F30447" s="40" t="s">
        <v>11404</v>
      </c>
      <c r="G30447" s="40" t="s">
        <v>11404</v>
      </c>
      <c r="H30447" s="40" t="s">
        <v>11404</v>
      </c>
    </row>
    <row r="30448">
      <c r="A30448" s="39"/>
      <c r="E30448" s="40" t="s">
        <v>11404</v>
      </c>
      <c r="F30448" s="40" t="s">
        <v>11404</v>
      </c>
      <c r="G30448" s="40" t="s">
        <v>11404</v>
      </c>
      <c r="H30448" s="40" t="s">
        <v>11404</v>
      </c>
    </row>
    <row r="30449">
      <c r="A30449" s="39"/>
      <c r="E30449" s="40" t="s">
        <v>11404</v>
      </c>
      <c r="F30449" s="40" t="s">
        <v>11404</v>
      </c>
      <c r="G30449" s="40" t="s">
        <v>11404</v>
      </c>
      <c r="H30449" s="40" t="s">
        <v>11404</v>
      </c>
    </row>
    <row r="30450">
      <c r="A30450" s="39"/>
      <c r="E30450" s="40" t="s">
        <v>11404</v>
      </c>
      <c r="F30450" s="40" t="s">
        <v>11404</v>
      </c>
      <c r="G30450" s="40" t="s">
        <v>11404</v>
      </c>
      <c r="H30450" s="40" t="s">
        <v>11404</v>
      </c>
    </row>
    <row r="30451">
      <c r="A30451" s="39"/>
      <c r="E30451" s="40" t="s">
        <v>11404</v>
      </c>
      <c r="F30451" s="40" t="s">
        <v>11404</v>
      </c>
      <c r="G30451" s="40" t="s">
        <v>11404</v>
      </c>
      <c r="H30451" s="40" t="s">
        <v>11404</v>
      </c>
    </row>
    <row r="30452">
      <c r="A30452" s="39"/>
      <c r="E30452" s="40" t="s">
        <v>11404</v>
      </c>
      <c r="F30452" s="40" t="s">
        <v>11404</v>
      </c>
      <c r="G30452" s="40" t="s">
        <v>11404</v>
      </c>
      <c r="H30452" s="40" t="s">
        <v>11404</v>
      </c>
    </row>
    <row r="30453">
      <c r="A30453" s="39"/>
      <c r="E30453" s="40" t="s">
        <v>11404</v>
      </c>
      <c r="F30453" s="40" t="s">
        <v>11404</v>
      </c>
      <c r="G30453" s="40" t="s">
        <v>11404</v>
      </c>
      <c r="H30453" s="40" t="s">
        <v>11404</v>
      </c>
    </row>
    <row r="30454">
      <c r="A30454" s="39"/>
      <c r="E30454" s="40" t="s">
        <v>11404</v>
      </c>
      <c r="F30454" s="40" t="s">
        <v>11404</v>
      </c>
      <c r="G30454" s="40" t="s">
        <v>11404</v>
      </c>
      <c r="H30454" s="40" t="s">
        <v>11404</v>
      </c>
    </row>
    <row r="30455">
      <c r="A30455" s="39"/>
      <c r="E30455" s="40" t="s">
        <v>11404</v>
      </c>
      <c r="F30455" s="40" t="s">
        <v>11404</v>
      </c>
      <c r="G30455" s="40" t="s">
        <v>11404</v>
      </c>
      <c r="H30455" s="40" t="s">
        <v>11404</v>
      </c>
    </row>
    <row r="30456">
      <c r="A30456" s="39"/>
      <c r="E30456" s="40" t="s">
        <v>11404</v>
      </c>
      <c r="F30456" s="40" t="s">
        <v>11404</v>
      </c>
      <c r="G30456" s="40" t="s">
        <v>11404</v>
      </c>
      <c r="H30456" s="40" t="s">
        <v>11404</v>
      </c>
    </row>
    <row r="30457">
      <c r="A30457" s="39"/>
      <c r="E30457" s="40" t="s">
        <v>11404</v>
      </c>
      <c r="F30457" s="40" t="s">
        <v>11404</v>
      </c>
      <c r="G30457" s="40" t="s">
        <v>11404</v>
      </c>
      <c r="H30457" s="40" t="s">
        <v>11404</v>
      </c>
    </row>
    <row r="30458">
      <c r="A30458" s="39"/>
      <c r="E30458" s="40" t="s">
        <v>11404</v>
      </c>
      <c r="F30458" s="40" t="s">
        <v>11404</v>
      </c>
      <c r="G30458" s="40" t="s">
        <v>11404</v>
      </c>
      <c r="H30458" s="40" t="s">
        <v>11404</v>
      </c>
    </row>
    <row r="30459">
      <c r="A30459" s="39"/>
      <c r="E30459" s="40" t="s">
        <v>11404</v>
      </c>
      <c r="F30459" s="40" t="s">
        <v>11404</v>
      </c>
      <c r="G30459" s="40" t="s">
        <v>11404</v>
      </c>
      <c r="H30459" s="40" t="s">
        <v>11404</v>
      </c>
    </row>
    <row r="30460">
      <c r="A30460" s="39"/>
      <c r="E30460" s="40" t="s">
        <v>11404</v>
      </c>
      <c r="F30460" s="40" t="s">
        <v>11404</v>
      </c>
      <c r="G30460" s="40" t="s">
        <v>11404</v>
      </c>
      <c r="H30460" s="40" t="s">
        <v>11404</v>
      </c>
    </row>
    <row r="30461">
      <c r="A30461" s="39"/>
      <c r="E30461" s="40" t="s">
        <v>11404</v>
      </c>
      <c r="F30461" s="40" t="s">
        <v>11404</v>
      </c>
      <c r="G30461" s="40" t="s">
        <v>11404</v>
      </c>
      <c r="H30461" s="40" t="s">
        <v>11404</v>
      </c>
    </row>
    <row r="30462">
      <c r="A30462" s="39"/>
      <c r="E30462" s="40" t="s">
        <v>11404</v>
      </c>
      <c r="F30462" s="40" t="s">
        <v>11404</v>
      </c>
      <c r="G30462" s="40" t="s">
        <v>11404</v>
      </c>
      <c r="H30462" s="40" t="s">
        <v>11404</v>
      </c>
    </row>
    <row r="30463">
      <c r="A30463" s="39"/>
      <c r="E30463" s="40" t="s">
        <v>11404</v>
      </c>
      <c r="F30463" s="40" t="s">
        <v>11404</v>
      </c>
      <c r="G30463" s="40" t="s">
        <v>11404</v>
      </c>
      <c r="H30463" s="40" t="s">
        <v>11404</v>
      </c>
    </row>
    <row r="30464">
      <c r="A30464" s="39"/>
      <c r="E30464" s="40" t="s">
        <v>11404</v>
      </c>
      <c r="F30464" s="40" t="s">
        <v>11404</v>
      </c>
      <c r="G30464" s="40" t="s">
        <v>11404</v>
      </c>
      <c r="H30464" s="40" t="s">
        <v>11404</v>
      </c>
    </row>
    <row r="30465">
      <c r="A30465" s="39"/>
      <c r="E30465" s="40" t="s">
        <v>11404</v>
      </c>
      <c r="F30465" s="40" t="s">
        <v>11404</v>
      </c>
      <c r="G30465" s="40" t="s">
        <v>11404</v>
      </c>
      <c r="H30465" s="40" t="s">
        <v>11404</v>
      </c>
    </row>
    <row r="30466">
      <c r="A30466" s="39"/>
      <c r="E30466" s="40" t="s">
        <v>11404</v>
      </c>
      <c r="F30466" s="40" t="s">
        <v>11404</v>
      </c>
      <c r="G30466" s="40" t="s">
        <v>11404</v>
      </c>
      <c r="H30466" s="40" t="s">
        <v>11404</v>
      </c>
    </row>
    <row r="30467">
      <c r="A30467" s="39"/>
      <c r="E30467" s="40" t="s">
        <v>11404</v>
      </c>
      <c r="F30467" s="40" t="s">
        <v>11404</v>
      </c>
      <c r="G30467" s="40" t="s">
        <v>11404</v>
      </c>
      <c r="H30467" s="40" t="s">
        <v>11404</v>
      </c>
    </row>
    <row r="30468">
      <c r="A30468" s="39"/>
      <c r="E30468" s="40" t="s">
        <v>11404</v>
      </c>
      <c r="F30468" s="40" t="s">
        <v>11404</v>
      </c>
      <c r="G30468" s="40" t="s">
        <v>11404</v>
      </c>
      <c r="H30468" s="40" t="s">
        <v>11404</v>
      </c>
    </row>
    <row r="30469">
      <c r="A30469" s="39"/>
      <c r="E30469" s="40" t="s">
        <v>11404</v>
      </c>
      <c r="F30469" s="40" t="s">
        <v>11404</v>
      </c>
      <c r="G30469" s="40" t="s">
        <v>11404</v>
      </c>
      <c r="H30469" s="40" t="s">
        <v>11404</v>
      </c>
    </row>
    <row r="30470">
      <c r="A30470" s="39"/>
      <c r="E30470" s="40" t="s">
        <v>11404</v>
      </c>
      <c r="F30470" s="40" t="s">
        <v>11404</v>
      </c>
      <c r="G30470" s="40" t="s">
        <v>11404</v>
      </c>
      <c r="H30470" s="40" t="s">
        <v>11404</v>
      </c>
    </row>
    <row r="30471">
      <c r="A30471" s="39"/>
      <c r="E30471" s="40" t="s">
        <v>11404</v>
      </c>
      <c r="F30471" s="40" t="s">
        <v>11404</v>
      </c>
      <c r="G30471" s="40" t="s">
        <v>11404</v>
      </c>
      <c r="H30471" s="40" t="s">
        <v>11404</v>
      </c>
    </row>
    <row r="30472">
      <c r="A30472" s="39"/>
      <c r="E30472" s="40" t="s">
        <v>11404</v>
      </c>
      <c r="F30472" s="40" t="s">
        <v>11404</v>
      </c>
      <c r="G30472" s="40" t="s">
        <v>11404</v>
      </c>
      <c r="H30472" s="40" t="s">
        <v>11404</v>
      </c>
    </row>
    <row r="30473">
      <c r="A30473" s="39"/>
      <c r="E30473" s="40" t="s">
        <v>11404</v>
      </c>
      <c r="F30473" s="40" t="s">
        <v>11404</v>
      </c>
      <c r="G30473" s="40" t="s">
        <v>11404</v>
      </c>
      <c r="H30473" s="40" t="s">
        <v>11404</v>
      </c>
    </row>
    <row r="30474">
      <c r="A30474" s="39"/>
      <c r="E30474" s="40" t="s">
        <v>11404</v>
      </c>
      <c r="F30474" s="40" t="s">
        <v>11404</v>
      </c>
      <c r="G30474" s="40" t="s">
        <v>11404</v>
      </c>
      <c r="H30474" s="40" t="s">
        <v>11404</v>
      </c>
    </row>
    <row r="30475">
      <c r="A30475" s="39"/>
      <c r="E30475" s="40" t="s">
        <v>11404</v>
      </c>
      <c r="F30475" s="40" t="s">
        <v>11404</v>
      </c>
      <c r="G30475" s="40" t="s">
        <v>11404</v>
      </c>
      <c r="H30475" s="40" t="s">
        <v>11404</v>
      </c>
    </row>
    <row r="30476">
      <c r="A30476" s="39"/>
      <c r="E30476" s="40" t="s">
        <v>11404</v>
      </c>
      <c r="F30476" s="40" t="s">
        <v>11404</v>
      </c>
      <c r="G30476" s="40" t="s">
        <v>11404</v>
      </c>
      <c r="H30476" s="40" t="s">
        <v>11404</v>
      </c>
    </row>
    <row r="30477">
      <c r="A30477" s="39"/>
      <c r="E30477" s="40" t="s">
        <v>11404</v>
      </c>
      <c r="F30477" s="40" t="s">
        <v>11404</v>
      </c>
      <c r="G30477" s="40" t="s">
        <v>11404</v>
      </c>
      <c r="H30477" s="40" t="s">
        <v>11404</v>
      </c>
    </row>
    <row r="30478">
      <c r="A30478" s="39"/>
      <c r="E30478" s="40" t="s">
        <v>11404</v>
      </c>
      <c r="F30478" s="40" t="s">
        <v>11404</v>
      </c>
      <c r="G30478" s="40" t="s">
        <v>11404</v>
      </c>
      <c r="H30478" s="40" t="s">
        <v>11404</v>
      </c>
    </row>
    <row r="30479">
      <c r="A30479" s="39"/>
      <c r="E30479" s="40" t="s">
        <v>11404</v>
      </c>
      <c r="F30479" s="40" t="s">
        <v>11404</v>
      </c>
      <c r="G30479" s="40" t="s">
        <v>11404</v>
      </c>
      <c r="H30479" s="40" t="s">
        <v>11404</v>
      </c>
    </row>
    <row r="30480">
      <c r="A30480" s="39"/>
      <c r="E30480" s="40" t="s">
        <v>11404</v>
      </c>
      <c r="F30480" s="40" t="s">
        <v>11404</v>
      </c>
      <c r="G30480" s="40" t="s">
        <v>11404</v>
      </c>
      <c r="H30480" s="40" t="s">
        <v>11404</v>
      </c>
    </row>
    <row r="30481">
      <c r="A30481" s="39"/>
      <c r="E30481" s="40" t="s">
        <v>11404</v>
      </c>
      <c r="F30481" s="40" t="s">
        <v>11404</v>
      </c>
      <c r="G30481" s="40" t="s">
        <v>11404</v>
      </c>
      <c r="H30481" s="40" t="s">
        <v>11404</v>
      </c>
    </row>
    <row r="30482">
      <c r="A30482" s="39"/>
      <c r="E30482" s="40" t="s">
        <v>11404</v>
      </c>
      <c r="F30482" s="40" t="s">
        <v>11404</v>
      </c>
      <c r="G30482" s="40" t="s">
        <v>11404</v>
      </c>
      <c r="H30482" s="40" t="s">
        <v>11404</v>
      </c>
    </row>
    <row r="30483">
      <c r="A30483" s="39"/>
      <c r="E30483" s="40" t="s">
        <v>11404</v>
      </c>
      <c r="F30483" s="40" t="s">
        <v>11404</v>
      </c>
      <c r="G30483" s="40" t="s">
        <v>11404</v>
      </c>
      <c r="H30483" s="40" t="s">
        <v>11404</v>
      </c>
    </row>
    <row r="30484">
      <c r="A30484" s="39"/>
      <c r="E30484" s="40" t="s">
        <v>11404</v>
      </c>
      <c r="F30484" s="40" t="s">
        <v>11404</v>
      </c>
      <c r="G30484" s="40" t="s">
        <v>11404</v>
      </c>
      <c r="H30484" s="40" t="s">
        <v>11404</v>
      </c>
    </row>
    <row r="30485">
      <c r="A30485" s="39"/>
      <c r="E30485" s="40" t="s">
        <v>11404</v>
      </c>
      <c r="F30485" s="40" t="s">
        <v>11404</v>
      </c>
      <c r="G30485" s="40" t="s">
        <v>11404</v>
      </c>
      <c r="H30485" s="40" t="s">
        <v>11404</v>
      </c>
    </row>
    <row r="30486">
      <c r="A30486" s="39"/>
      <c r="E30486" s="40" t="s">
        <v>11404</v>
      </c>
      <c r="F30486" s="40" t="s">
        <v>11404</v>
      </c>
      <c r="G30486" s="40" t="s">
        <v>11404</v>
      </c>
      <c r="H30486" s="40" t="s">
        <v>11404</v>
      </c>
    </row>
    <row r="30487">
      <c r="A30487" s="39"/>
      <c r="E30487" s="40" t="s">
        <v>11404</v>
      </c>
      <c r="F30487" s="40" t="s">
        <v>11404</v>
      </c>
      <c r="G30487" s="40" t="s">
        <v>11404</v>
      </c>
      <c r="H30487" s="40" t="s">
        <v>11404</v>
      </c>
    </row>
    <row r="30488">
      <c r="A30488" s="39"/>
      <c r="E30488" s="40" t="s">
        <v>11404</v>
      </c>
      <c r="F30488" s="40" t="s">
        <v>11404</v>
      </c>
      <c r="G30488" s="40" t="s">
        <v>11404</v>
      </c>
      <c r="H30488" s="40" t="s">
        <v>11404</v>
      </c>
    </row>
    <row r="30489">
      <c r="A30489" s="39"/>
      <c r="E30489" s="40" t="s">
        <v>11404</v>
      </c>
      <c r="F30489" s="40" t="s">
        <v>11404</v>
      </c>
      <c r="G30489" s="40" t="s">
        <v>11404</v>
      </c>
      <c r="H30489" s="40" t="s">
        <v>11404</v>
      </c>
    </row>
    <row r="30490">
      <c r="A30490" s="39"/>
      <c r="E30490" s="40" t="s">
        <v>11404</v>
      </c>
      <c r="F30490" s="40" t="s">
        <v>11404</v>
      </c>
      <c r="G30490" s="40" t="s">
        <v>11404</v>
      </c>
      <c r="H30490" s="40" t="s">
        <v>11404</v>
      </c>
    </row>
    <row r="30491">
      <c r="A30491" s="39"/>
      <c r="E30491" s="40" t="s">
        <v>11404</v>
      </c>
      <c r="F30491" s="40" t="s">
        <v>11404</v>
      </c>
      <c r="G30491" s="40" t="s">
        <v>11404</v>
      </c>
      <c r="H30491" s="40" t="s">
        <v>11404</v>
      </c>
    </row>
    <row r="30492">
      <c r="A30492" s="39"/>
      <c r="E30492" s="40" t="s">
        <v>11404</v>
      </c>
      <c r="F30492" s="40" t="s">
        <v>11404</v>
      </c>
      <c r="G30492" s="40" t="s">
        <v>11404</v>
      </c>
      <c r="H30492" s="40" t="s">
        <v>11404</v>
      </c>
    </row>
    <row r="30493">
      <c r="A30493" s="39"/>
      <c r="E30493" s="40" t="s">
        <v>11404</v>
      </c>
      <c r="F30493" s="40" t="s">
        <v>11404</v>
      </c>
      <c r="G30493" s="40" t="s">
        <v>11404</v>
      </c>
      <c r="H30493" s="40" t="s">
        <v>11404</v>
      </c>
    </row>
    <row r="30494">
      <c r="A30494" s="39"/>
      <c r="E30494" s="40" t="s">
        <v>11404</v>
      </c>
      <c r="F30494" s="40" t="s">
        <v>11404</v>
      </c>
      <c r="G30494" s="40" t="s">
        <v>11404</v>
      </c>
      <c r="H30494" s="40" t="s">
        <v>11404</v>
      </c>
    </row>
    <row r="30495">
      <c r="A30495" s="39"/>
      <c r="E30495" s="40" t="s">
        <v>11404</v>
      </c>
      <c r="F30495" s="40" t="s">
        <v>11404</v>
      </c>
      <c r="G30495" s="40" t="s">
        <v>11404</v>
      </c>
      <c r="H30495" s="40" t="s">
        <v>11404</v>
      </c>
    </row>
    <row r="30496">
      <c r="A30496" s="39"/>
      <c r="E30496" s="40" t="s">
        <v>11404</v>
      </c>
      <c r="F30496" s="40" t="s">
        <v>11404</v>
      </c>
      <c r="G30496" s="40" t="s">
        <v>11404</v>
      </c>
      <c r="H30496" s="40" t="s">
        <v>11404</v>
      </c>
    </row>
    <row r="30497">
      <c r="A30497" s="39"/>
      <c r="E30497" s="40" t="s">
        <v>11404</v>
      </c>
      <c r="F30497" s="40" t="s">
        <v>11404</v>
      </c>
      <c r="G30497" s="40" t="s">
        <v>11404</v>
      </c>
      <c r="H30497" s="40" t="s">
        <v>11404</v>
      </c>
    </row>
    <row r="30498">
      <c r="A30498" s="39"/>
      <c r="E30498" s="40" t="s">
        <v>11404</v>
      </c>
      <c r="F30498" s="40" t="s">
        <v>11404</v>
      </c>
      <c r="G30498" s="40" t="s">
        <v>11404</v>
      </c>
      <c r="H30498" s="40" t="s">
        <v>11404</v>
      </c>
    </row>
    <row r="30499">
      <c r="A30499" s="39"/>
      <c r="E30499" s="40" t="s">
        <v>11404</v>
      </c>
      <c r="F30499" s="40" t="s">
        <v>11404</v>
      </c>
      <c r="G30499" s="40" t="s">
        <v>11404</v>
      </c>
      <c r="H30499" s="40" t="s">
        <v>11404</v>
      </c>
    </row>
    <row r="30500">
      <c r="A30500" s="39"/>
      <c r="E30500" s="40" t="s">
        <v>11404</v>
      </c>
      <c r="F30500" s="40" t="s">
        <v>11404</v>
      </c>
      <c r="G30500" s="40" t="s">
        <v>11404</v>
      </c>
      <c r="H30500" s="40" t="s">
        <v>11404</v>
      </c>
    </row>
    <row r="30501">
      <c r="A30501" s="39"/>
      <c r="E30501" s="40" t="s">
        <v>11404</v>
      </c>
      <c r="F30501" s="40" t="s">
        <v>11404</v>
      </c>
      <c r="G30501" s="40" t="s">
        <v>11404</v>
      </c>
      <c r="H30501" s="40" t="s">
        <v>11404</v>
      </c>
    </row>
    <row r="30502">
      <c r="A30502" s="39"/>
      <c r="E30502" s="40" t="s">
        <v>11404</v>
      </c>
      <c r="F30502" s="40" t="s">
        <v>11404</v>
      </c>
      <c r="G30502" s="40" t="s">
        <v>11404</v>
      </c>
      <c r="H30502" s="40" t="s">
        <v>11404</v>
      </c>
    </row>
    <row r="30503">
      <c r="A30503" s="39"/>
      <c r="E30503" s="40" t="s">
        <v>11404</v>
      </c>
      <c r="F30503" s="40" t="s">
        <v>11404</v>
      </c>
      <c r="G30503" s="40" t="s">
        <v>11404</v>
      </c>
      <c r="H30503" s="40" t="s">
        <v>11404</v>
      </c>
    </row>
    <row r="30504">
      <c r="A30504" s="39"/>
      <c r="E30504" s="40" t="s">
        <v>11404</v>
      </c>
      <c r="F30504" s="40" t="s">
        <v>11404</v>
      </c>
      <c r="G30504" s="40" t="s">
        <v>11404</v>
      </c>
      <c r="H30504" s="40" t="s">
        <v>11404</v>
      </c>
    </row>
    <row r="30505">
      <c r="A30505" s="39"/>
      <c r="E30505" s="40" t="s">
        <v>11404</v>
      </c>
      <c r="F30505" s="40" t="s">
        <v>11404</v>
      </c>
      <c r="G30505" s="40" t="s">
        <v>11404</v>
      </c>
      <c r="H30505" s="40" t="s">
        <v>11404</v>
      </c>
    </row>
    <row r="30506">
      <c r="A30506" s="39"/>
      <c r="E30506" s="40" t="s">
        <v>11404</v>
      </c>
      <c r="F30506" s="40" t="s">
        <v>11404</v>
      </c>
      <c r="G30506" s="40" t="s">
        <v>11404</v>
      </c>
      <c r="H30506" s="40" t="s">
        <v>11404</v>
      </c>
    </row>
    <row r="30507">
      <c r="A30507" s="39"/>
      <c r="E30507" s="40" t="s">
        <v>11404</v>
      </c>
      <c r="F30507" s="40" t="s">
        <v>11404</v>
      </c>
      <c r="G30507" s="40" t="s">
        <v>11404</v>
      </c>
      <c r="H30507" s="40" t="s">
        <v>11404</v>
      </c>
    </row>
    <row r="30508">
      <c r="A30508" s="39"/>
      <c r="E30508" s="40" t="s">
        <v>11404</v>
      </c>
      <c r="F30508" s="40" t="s">
        <v>11404</v>
      </c>
      <c r="G30508" s="40" t="s">
        <v>11404</v>
      </c>
      <c r="H30508" s="40" t="s">
        <v>11404</v>
      </c>
    </row>
    <row r="30509">
      <c r="A30509" s="39"/>
      <c r="E30509" s="40" t="s">
        <v>11404</v>
      </c>
      <c r="F30509" s="40" t="s">
        <v>11404</v>
      </c>
      <c r="G30509" s="40" t="s">
        <v>11404</v>
      </c>
      <c r="H30509" s="40" t="s">
        <v>11404</v>
      </c>
    </row>
    <row r="30510">
      <c r="A30510" s="39"/>
      <c r="E30510" s="40" t="s">
        <v>11404</v>
      </c>
      <c r="F30510" s="40" t="s">
        <v>11404</v>
      </c>
      <c r="G30510" s="40" t="s">
        <v>11404</v>
      </c>
      <c r="H30510" s="40" t="s">
        <v>11404</v>
      </c>
    </row>
    <row r="30511">
      <c r="A30511" s="39"/>
      <c r="E30511" s="40" t="s">
        <v>11404</v>
      </c>
      <c r="F30511" s="40" t="s">
        <v>11404</v>
      </c>
      <c r="G30511" s="40" t="s">
        <v>11404</v>
      </c>
      <c r="H30511" s="40" t="s">
        <v>11404</v>
      </c>
    </row>
    <row r="30512">
      <c r="A30512" s="39"/>
      <c r="E30512" s="40" t="s">
        <v>11404</v>
      </c>
      <c r="F30512" s="40" t="s">
        <v>11404</v>
      </c>
      <c r="G30512" s="40" t="s">
        <v>11404</v>
      </c>
      <c r="H30512" s="40" t="s">
        <v>11404</v>
      </c>
    </row>
    <row r="30513">
      <c r="A30513" s="39"/>
      <c r="E30513" s="40" t="s">
        <v>11404</v>
      </c>
      <c r="F30513" s="40" t="s">
        <v>11404</v>
      </c>
      <c r="G30513" s="40" t="s">
        <v>11404</v>
      </c>
      <c r="H30513" s="40" t="s">
        <v>11404</v>
      </c>
    </row>
    <row r="30514">
      <c r="A30514" s="39"/>
      <c r="E30514" s="40" t="s">
        <v>11404</v>
      </c>
      <c r="F30514" s="40" t="s">
        <v>11404</v>
      </c>
      <c r="G30514" s="40" t="s">
        <v>11404</v>
      </c>
      <c r="H30514" s="40" t="s">
        <v>11404</v>
      </c>
    </row>
    <row r="30515">
      <c r="A30515" s="39"/>
      <c r="E30515" s="40" t="s">
        <v>11404</v>
      </c>
      <c r="F30515" s="40" t="s">
        <v>11404</v>
      </c>
      <c r="G30515" s="40" t="s">
        <v>11404</v>
      </c>
      <c r="H30515" s="40" t="s">
        <v>11404</v>
      </c>
    </row>
    <row r="30516">
      <c r="A30516" s="39"/>
      <c r="E30516" s="40" t="s">
        <v>11404</v>
      </c>
      <c r="F30516" s="40" t="s">
        <v>11404</v>
      </c>
      <c r="G30516" s="40" t="s">
        <v>11404</v>
      </c>
      <c r="H30516" s="40" t="s">
        <v>11404</v>
      </c>
    </row>
    <row r="30517">
      <c r="A30517" s="39"/>
      <c r="E30517" s="40" t="s">
        <v>11404</v>
      </c>
      <c r="F30517" s="40" t="s">
        <v>11404</v>
      </c>
      <c r="G30517" s="40" t="s">
        <v>11404</v>
      </c>
      <c r="H30517" s="40" t="s">
        <v>11404</v>
      </c>
    </row>
    <row r="30518">
      <c r="A30518" s="39"/>
      <c r="E30518" s="40" t="s">
        <v>11404</v>
      </c>
      <c r="F30518" s="40" t="s">
        <v>11404</v>
      </c>
      <c r="G30518" s="40" t="s">
        <v>11404</v>
      </c>
      <c r="H30518" s="40" t="s">
        <v>11404</v>
      </c>
    </row>
    <row r="30519">
      <c r="A30519" s="39"/>
      <c r="E30519" s="40" t="s">
        <v>11404</v>
      </c>
      <c r="F30519" s="40" t="s">
        <v>11404</v>
      </c>
      <c r="G30519" s="40" t="s">
        <v>11404</v>
      </c>
      <c r="H30519" s="40" t="s">
        <v>11404</v>
      </c>
    </row>
    <row r="30520">
      <c r="A30520" s="39"/>
      <c r="E30520" s="40" t="s">
        <v>11404</v>
      </c>
      <c r="F30520" s="40" t="s">
        <v>11404</v>
      </c>
      <c r="G30520" s="40" t="s">
        <v>11404</v>
      </c>
      <c r="H30520" s="40" t="s">
        <v>11404</v>
      </c>
    </row>
    <row r="30521">
      <c r="A30521" s="39"/>
      <c r="E30521" s="40" t="s">
        <v>11404</v>
      </c>
      <c r="F30521" s="40" t="s">
        <v>11404</v>
      </c>
      <c r="G30521" s="40" t="s">
        <v>11404</v>
      </c>
      <c r="H30521" s="40" t="s">
        <v>11404</v>
      </c>
    </row>
    <row r="30522">
      <c r="A30522" s="39"/>
      <c r="E30522" s="40" t="s">
        <v>11404</v>
      </c>
      <c r="F30522" s="40" t="s">
        <v>11404</v>
      </c>
      <c r="G30522" s="40" t="s">
        <v>11404</v>
      </c>
      <c r="H30522" s="40" t="s">
        <v>11404</v>
      </c>
    </row>
    <row r="30523">
      <c r="A30523" s="39"/>
      <c r="E30523" s="40" t="s">
        <v>11404</v>
      </c>
      <c r="F30523" s="40" t="s">
        <v>11404</v>
      </c>
      <c r="G30523" s="40" t="s">
        <v>11404</v>
      </c>
      <c r="H30523" s="40" t="s">
        <v>11404</v>
      </c>
    </row>
    <row r="30524">
      <c r="A30524" s="39"/>
      <c r="E30524" s="40" t="s">
        <v>11404</v>
      </c>
      <c r="F30524" s="40" t="s">
        <v>11404</v>
      </c>
      <c r="G30524" s="40" t="s">
        <v>11404</v>
      </c>
      <c r="H30524" s="40" t="s">
        <v>11404</v>
      </c>
    </row>
    <row r="30525">
      <c r="A30525" s="39"/>
      <c r="E30525" s="40" t="s">
        <v>11404</v>
      </c>
      <c r="F30525" s="40" t="s">
        <v>11404</v>
      </c>
      <c r="G30525" s="40" t="s">
        <v>11404</v>
      </c>
      <c r="H30525" s="40" t="s">
        <v>11404</v>
      </c>
    </row>
    <row r="30526">
      <c r="A30526" s="39"/>
      <c r="E30526" s="40" t="s">
        <v>11404</v>
      </c>
      <c r="F30526" s="40" t="s">
        <v>11404</v>
      </c>
      <c r="G30526" s="40" t="s">
        <v>11404</v>
      </c>
      <c r="H30526" s="40" t="s">
        <v>11404</v>
      </c>
    </row>
    <row r="30527">
      <c r="A30527" s="39"/>
      <c r="E30527" s="40" t="s">
        <v>11404</v>
      </c>
      <c r="F30527" s="40" t="s">
        <v>11404</v>
      </c>
      <c r="G30527" s="40" t="s">
        <v>11404</v>
      </c>
      <c r="H30527" s="40" t="s">
        <v>11404</v>
      </c>
    </row>
    <row r="30528">
      <c r="A30528" s="39"/>
      <c r="E30528" s="40" t="s">
        <v>11404</v>
      </c>
      <c r="F30528" s="40" t="s">
        <v>11404</v>
      </c>
      <c r="G30528" s="40" t="s">
        <v>11404</v>
      </c>
      <c r="H30528" s="40" t="s">
        <v>11404</v>
      </c>
    </row>
    <row r="30529">
      <c r="A30529" s="39"/>
      <c r="E30529" s="40" t="s">
        <v>11404</v>
      </c>
      <c r="F30529" s="40" t="s">
        <v>11404</v>
      </c>
      <c r="G30529" s="40" t="s">
        <v>11404</v>
      </c>
      <c r="H30529" s="40" t="s">
        <v>11404</v>
      </c>
    </row>
    <row r="30530">
      <c r="A30530" s="39"/>
      <c r="E30530" s="40" t="s">
        <v>11404</v>
      </c>
      <c r="F30530" s="40" t="s">
        <v>11404</v>
      </c>
      <c r="G30530" s="40" t="s">
        <v>11404</v>
      </c>
      <c r="H30530" s="40" t="s">
        <v>11404</v>
      </c>
    </row>
    <row r="30531">
      <c r="A30531" s="39"/>
      <c r="E30531" s="40" t="s">
        <v>11404</v>
      </c>
      <c r="F30531" s="40" t="s">
        <v>11404</v>
      </c>
      <c r="G30531" s="40" t="s">
        <v>11404</v>
      </c>
      <c r="H30531" s="40" t="s">
        <v>11404</v>
      </c>
    </row>
    <row r="30532">
      <c r="A30532" s="39"/>
      <c r="E30532" s="40" t="s">
        <v>11404</v>
      </c>
      <c r="F30532" s="40" t="s">
        <v>11404</v>
      </c>
      <c r="G30532" s="40" t="s">
        <v>11404</v>
      </c>
      <c r="H30532" s="40" t="s">
        <v>11404</v>
      </c>
    </row>
    <row r="30533">
      <c r="A30533" s="39"/>
      <c r="E30533" s="40" t="s">
        <v>11404</v>
      </c>
      <c r="F30533" s="40" t="s">
        <v>11404</v>
      </c>
      <c r="G30533" s="40" t="s">
        <v>11404</v>
      </c>
      <c r="H30533" s="40" t="s">
        <v>11404</v>
      </c>
    </row>
    <row r="30534">
      <c r="A30534" s="39"/>
      <c r="E30534" s="40" t="s">
        <v>11404</v>
      </c>
      <c r="F30534" s="40" t="s">
        <v>11404</v>
      </c>
      <c r="G30534" s="40" t="s">
        <v>11404</v>
      </c>
      <c r="H30534" s="40" t="s">
        <v>11404</v>
      </c>
    </row>
    <row r="30535">
      <c r="A30535" s="39"/>
      <c r="E30535" s="40" t="s">
        <v>11404</v>
      </c>
      <c r="F30535" s="40" t="s">
        <v>11404</v>
      </c>
      <c r="G30535" s="40" t="s">
        <v>11404</v>
      </c>
      <c r="H30535" s="40" t="s">
        <v>11404</v>
      </c>
    </row>
    <row r="30536">
      <c r="A30536" s="39"/>
      <c r="E30536" s="40" t="s">
        <v>11404</v>
      </c>
      <c r="F30536" s="40" t="s">
        <v>11404</v>
      </c>
      <c r="G30536" s="40" t="s">
        <v>11404</v>
      </c>
      <c r="H30536" s="40" t="s">
        <v>11404</v>
      </c>
    </row>
    <row r="30537">
      <c r="A30537" s="39"/>
      <c r="E30537" s="40" t="s">
        <v>11404</v>
      </c>
      <c r="F30537" s="40" t="s">
        <v>11404</v>
      </c>
      <c r="G30537" s="40" t="s">
        <v>11404</v>
      </c>
      <c r="H30537" s="40" t="s">
        <v>11404</v>
      </c>
    </row>
    <row r="30538">
      <c r="A30538" s="39"/>
      <c r="E30538" s="40" t="s">
        <v>11404</v>
      </c>
      <c r="F30538" s="40" t="s">
        <v>11404</v>
      </c>
      <c r="G30538" s="40" t="s">
        <v>11404</v>
      </c>
      <c r="H30538" s="40" t="s">
        <v>11404</v>
      </c>
    </row>
    <row r="30539">
      <c r="A30539" s="39"/>
      <c r="E30539" s="40" t="s">
        <v>11404</v>
      </c>
      <c r="F30539" s="40" t="s">
        <v>11404</v>
      </c>
      <c r="G30539" s="40" t="s">
        <v>11404</v>
      </c>
      <c r="H30539" s="40" t="s">
        <v>11404</v>
      </c>
    </row>
    <row r="30540">
      <c r="A30540" s="39"/>
      <c r="E30540" s="40" t="s">
        <v>11404</v>
      </c>
      <c r="F30540" s="40" t="s">
        <v>11404</v>
      </c>
      <c r="G30540" s="40" t="s">
        <v>11404</v>
      </c>
      <c r="H30540" s="40" t="s">
        <v>11404</v>
      </c>
    </row>
    <row r="30541">
      <c r="A30541" s="39"/>
      <c r="E30541" s="40" t="s">
        <v>11404</v>
      </c>
      <c r="F30541" s="40" t="s">
        <v>11404</v>
      </c>
      <c r="G30541" s="40" t="s">
        <v>11404</v>
      </c>
      <c r="H30541" s="40" t="s">
        <v>11404</v>
      </c>
    </row>
    <row r="30542">
      <c r="A30542" s="39"/>
      <c r="E30542" s="40" t="s">
        <v>11404</v>
      </c>
      <c r="F30542" s="40" t="s">
        <v>11404</v>
      </c>
      <c r="G30542" s="40" t="s">
        <v>11404</v>
      </c>
      <c r="H30542" s="40" t="s">
        <v>11404</v>
      </c>
    </row>
    <row r="30543">
      <c r="A30543" s="39"/>
      <c r="E30543" s="40" t="s">
        <v>11404</v>
      </c>
      <c r="F30543" s="40" t="s">
        <v>11404</v>
      </c>
      <c r="G30543" s="40" t="s">
        <v>11404</v>
      </c>
      <c r="H30543" s="40" t="s">
        <v>11404</v>
      </c>
    </row>
    <row r="30544">
      <c r="A30544" s="39"/>
      <c r="E30544" s="40" t="s">
        <v>11404</v>
      </c>
      <c r="F30544" s="40" t="s">
        <v>11404</v>
      </c>
      <c r="G30544" s="40" t="s">
        <v>11404</v>
      </c>
      <c r="H30544" s="40" t="s">
        <v>11404</v>
      </c>
    </row>
    <row r="30545">
      <c r="A30545" s="39"/>
      <c r="E30545" s="40" t="s">
        <v>11404</v>
      </c>
      <c r="F30545" s="40" t="s">
        <v>11404</v>
      </c>
      <c r="G30545" s="40" t="s">
        <v>11404</v>
      </c>
      <c r="H30545" s="40" t="s">
        <v>11404</v>
      </c>
    </row>
    <row r="30546">
      <c r="A30546" s="39"/>
      <c r="E30546" s="40" t="s">
        <v>11404</v>
      </c>
      <c r="F30546" s="40" t="s">
        <v>11404</v>
      </c>
      <c r="G30546" s="40" t="s">
        <v>11404</v>
      </c>
      <c r="H30546" s="40" t="s">
        <v>11404</v>
      </c>
    </row>
    <row r="30547">
      <c r="A30547" s="39"/>
      <c r="E30547" s="40" t="s">
        <v>11404</v>
      </c>
      <c r="F30547" s="40" t="s">
        <v>11404</v>
      </c>
      <c r="G30547" s="40" t="s">
        <v>11404</v>
      </c>
      <c r="H30547" s="40" t="s">
        <v>11404</v>
      </c>
    </row>
    <row r="30548">
      <c r="A30548" s="39"/>
      <c r="E30548" s="40" t="s">
        <v>11404</v>
      </c>
      <c r="F30548" s="40" t="s">
        <v>11404</v>
      </c>
      <c r="G30548" s="40" t="s">
        <v>11404</v>
      </c>
      <c r="H30548" s="40" t="s">
        <v>11404</v>
      </c>
    </row>
    <row r="30549">
      <c r="A30549" s="39"/>
      <c r="E30549" s="40" t="s">
        <v>11404</v>
      </c>
      <c r="F30549" s="40" t="s">
        <v>11404</v>
      </c>
      <c r="G30549" s="40" t="s">
        <v>11404</v>
      </c>
      <c r="H30549" s="40" t="s">
        <v>11404</v>
      </c>
    </row>
    <row r="30550">
      <c r="A30550" s="39"/>
      <c r="E30550" s="40" t="s">
        <v>11404</v>
      </c>
      <c r="F30550" s="40" t="s">
        <v>11404</v>
      </c>
      <c r="G30550" s="40" t="s">
        <v>11404</v>
      </c>
      <c r="H30550" s="40" t="s">
        <v>11404</v>
      </c>
    </row>
    <row r="30551">
      <c r="A30551" s="39"/>
      <c r="E30551" s="40" t="s">
        <v>11404</v>
      </c>
      <c r="F30551" s="40" t="s">
        <v>11404</v>
      </c>
      <c r="G30551" s="40" t="s">
        <v>11404</v>
      </c>
      <c r="H30551" s="40" t="s">
        <v>11404</v>
      </c>
    </row>
    <row r="30552">
      <c r="A30552" s="39"/>
      <c r="E30552" s="40" t="s">
        <v>11404</v>
      </c>
      <c r="F30552" s="40" t="s">
        <v>11404</v>
      </c>
      <c r="G30552" s="40" t="s">
        <v>11404</v>
      </c>
      <c r="H30552" s="40" t="s">
        <v>11404</v>
      </c>
    </row>
    <row r="30553">
      <c r="A30553" s="39"/>
      <c r="E30553" s="40" t="s">
        <v>11404</v>
      </c>
      <c r="F30553" s="40" t="s">
        <v>11404</v>
      </c>
      <c r="G30553" s="40" t="s">
        <v>11404</v>
      </c>
      <c r="H30553" s="40" t="s">
        <v>11404</v>
      </c>
    </row>
    <row r="30554">
      <c r="A30554" s="39"/>
      <c r="E30554" s="40" t="s">
        <v>11404</v>
      </c>
      <c r="F30554" s="40" t="s">
        <v>11404</v>
      </c>
      <c r="G30554" s="40" t="s">
        <v>11404</v>
      </c>
      <c r="H30554" s="40" t="s">
        <v>11404</v>
      </c>
    </row>
    <row r="30555">
      <c r="A30555" s="39"/>
      <c r="E30555" s="40" t="s">
        <v>11404</v>
      </c>
      <c r="F30555" s="40" t="s">
        <v>11404</v>
      </c>
      <c r="G30555" s="40" t="s">
        <v>11404</v>
      </c>
      <c r="H30555" s="40" t="s">
        <v>11404</v>
      </c>
    </row>
    <row r="30556">
      <c r="A30556" s="39"/>
      <c r="E30556" s="40" t="s">
        <v>11404</v>
      </c>
      <c r="F30556" s="40" t="s">
        <v>11404</v>
      </c>
      <c r="G30556" s="40" t="s">
        <v>11404</v>
      </c>
      <c r="H30556" s="40" t="s">
        <v>11404</v>
      </c>
    </row>
    <row r="30557">
      <c r="A30557" s="39"/>
      <c r="E30557" s="40" t="s">
        <v>11404</v>
      </c>
      <c r="F30557" s="40" t="s">
        <v>11404</v>
      </c>
      <c r="G30557" s="40" t="s">
        <v>11404</v>
      </c>
      <c r="H30557" s="40" t="s">
        <v>11404</v>
      </c>
    </row>
    <row r="30558">
      <c r="A30558" s="39"/>
      <c r="E30558" s="40" t="s">
        <v>11404</v>
      </c>
      <c r="F30558" s="40" t="s">
        <v>11404</v>
      </c>
      <c r="G30558" s="40" t="s">
        <v>11404</v>
      </c>
      <c r="H30558" s="40" t="s">
        <v>11404</v>
      </c>
    </row>
    <row r="30559">
      <c r="A30559" s="39"/>
      <c r="E30559" s="40" t="s">
        <v>11404</v>
      </c>
      <c r="F30559" s="40" t="s">
        <v>11404</v>
      </c>
      <c r="G30559" s="40" t="s">
        <v>11404</v>
      </c>
      <c r="H30559" s="40" t="s">
        <v>11404</v>
      </c>
    </row>
    <row r="30560">
      <c r="A30560" s="39"/>
      <c r="E30560" s="40" t="s">
        <v>11404</v>
      </c>
      <c r="F30560" s="40" t="s">
        <v>11404</v>
      </c>
      <c r="G30560" s="40" t="s">
        <v>11404</v>
      </c>
      <c r="H30560" s="40" t="s">
        <v>11404</v>
      </c>
    </row>
    <row r="30561">
      <c r="A30561" s="39"/>
      <c r="E30561" s="40" t="s">
        <v>11404</v>
      </c>
      <c r="F30561" s="40" t="s">
        <v>11404</v>
      </c>
      <c r="G30561" s="40" t="s">
        <v>11404</v>
      </c>
      <c r="H30561" s="40" t="s">
        <v>11404</v>
      </c>
    </row>
    <row r="30562">
      <c r="A30562" s="39"/>
      <c r="E30562" s="40" t="s">
        <v>11404</v>
      </c>
      <c r="F30562" s="40" t="s">
        <v>11404</v>
      </c>
      <c r="G30562" s="40" t="s">
        <v>11404</v>
      </c>
      <c r="H30562" s="40" t="s">
        <v>11404</v>
      </c>
    </row>
    <row r="30563">
      <c r="A30563" s="39"/>
      <c r="E30563" s="40" t="s">
        <v>11404</v>
      </c>
      <c r="F30563" s="40" t="s">
        <v>11404</v>
      </c>
      <c r="G30563" s="40" t="s">
        <v>11404</v>
      </c>
      <c r="H30563" s="40" t="s">
        <v>11404</v>
      </c>
    </row>
    <row r="30564">
      <c r="A30564" s="39"/>
      <c r="E30564" s="40" t="s">
        <v>11404</v>
      </c>
      <c r="F30564" s="40" t="s">
        <v>11404</v>
      </c>
      <c r="G30564" s="40" t="s">
        <v>11404</v>
      </c>
      <c r="H30564" s="40" t="s">
        <v>11404</v>
      </c>
    </row>
    <row r="30565">
      <c r="A30565" s="39"/>
      <c r="E30565" s="40" t="s">
        <v>11404</v>
      </c>
      <c r="F30565" s="40" t="s">
        <v>11404</v>
      </c>
      <c r="G30565" s="40" t="s">
        <v>11404</v>
      </c>
      <c r="H30565" s="40" t="s">
        <v>11404</v>
      </c>
    </row>
    <row r="30566">
      <c r="A30566" s="39"/>
      <c r="E30566" s="40" t="s">
        <v>11404</v>
      </c>
      <c r="F30566" s="40" t="s">
        <v>11404</v>
      </c>
      <c r="G30566" s="40" t="s">
        <v>11404</v>
      </c>
      <c r="H30566" s="40" t="s">
        <v>11404</v>
      </c>
    </row>
    <row r="30567">
      <c r="A30567" s="39"/>
      <c r="E30567" s="40" t="s">
        <v>11404</v>
      </c>
      <c r="F30567" s="40" t="s">
        <v>11404</v>
      </c>
      <c r="G30567" s="40" t="s">
        <v>11404</v>
      </c>
      <c r="H30567" s="40" t="s">
        <v>11404</v>
      </c>
    </row>
    <row r="30568">
      <c r="A30568" s="39"/>
      <c r="E30568" s="40" t="s">
        <v>11404</v>
      </c>
      <c r="F30568" s="40" t="s">
        <v>11404</v>
      </c>
      <c r="G30568" s="40" t="s">
        <v>11404</v>
      </c>
      <c r="H30568" s="40" t="s">
        <v>11404</v>
      </c>
    </row>
    <row r="30569">
      <c r="A30569" s="39"/>
      <c r="E30569" s="40" t="s">
        <v>11404</v>
      </c>
      <c r="F30569" s="40" t="s">
        <v>11404</v>
      </c>
      <c r="G30569" s="40" t="s">
        <v>11404</v>
      </c>
      <c r="H30569" s="40" t="s">
        <v>11404</v>
      </c>
    </row>
    <row r="30570">
      <c r="A30570" s="39"/>
      <c r="E30570" s="40" t="s">
        <v>11404</v>
      </c>
      <c r="F30570" s="40" t="s">
        <v>11404</v>
      </c>
      <c r="G30570" s="40" t="s">
        <v>11404</v>
      </c>
      <c r="H30570" s="40" t="s">
        <v>11404</v>
      </c>
    </row>
    <row r="30571">
      <c r="A30571" s="39"/>
      <c r="E30571" s="40" t="s">
        <v>11404</v>
      </c>
      <c r="F30571" s="40" t="s">
        <v>11404</v>
      </c>
      <c r="G30571" s="40" t="s">
        <v>11404</v>
      </c>
      <c r="H30571" s="40" t="s">
        <v>11404</v>
      </c>
    </row>
    <row r="30572">
      <c r="A30572" s="39"/>
      <c r="E30572" s="40" t="s">
        <v>11404</v>
      </c>
      <c r="F30572" s="40" t="s">
        <v>11404</v>
      </c>
      <c r="G30572" s="40" t="s">
        <v>11404</v>
      </c>
      <c r="H30572" s="40" t="s">
        <v>11404</v>
      </c>
    </row>
    <row r="30573">
      <c r="A30573" s="39"/>
      <c r="E30573" s="40" t="s">
        <v>11404</v>
      </c>
      <c r="F30573" s="40" t="s">
        <v>11404</v>
      </c>
      <c r="G30573" s="40" t="s">
        <v>11404</v>
      </c>
      <c r="H30573" s="40" t="s">
        <v>11404</v>
      </c>
    </row>
    <row r="30574">
      <c r="A30574" s="39"/>
      <c r="E30574" s="40" t="s">
        <v>11404</v>
      </c>
      <c r="F30574" s="40" t="s">
        <v>11404</v>
      </c>
      <c r="G30574" s="40" t="s">
        <v>11404</v>
      </c>
      <c r="H30574" s="40" t="s">
        <v>11404</v>
      </c>
    </row>
    <row r="30575">
      <c r="A30575" s="39"/>
      <c r="E30575" s="40" t="s">
        <v>11404</v>
      </c>
      <c r="F30575" s="40" t="s">
        <v>11404</v>
      </c>
      <c r="G30575" s="40" t="s">
        <v>11404</v>
      </c>
      <c r="H30575" s="40" t="s">
        <v>11404</v>
      </c>
    </row>
    <row r="30576">
      <c r="A30576" s="39"/>
      <c r="E30576" s="40" t="s">
        <v>11404</v>
      </c>
      <c r="F30576" s="40" t="s">
        <v>11404</v>
      </c>
      <c r="G30576" s="40" t="s">
        <v>11404</v>
      </c>
      <c r="H30576" s="40" t="s">
        <v>11404</v>
      </c>
    </row>
    <row r="30577">
      <c r="A30577" s="39"/>
      <c r="E30577" s="40" t="s">
        <v>11404</v>
      </c>
      <c r="F30577" s="40" t="s">
        <v>11404</v>
      </c>
      <c r="G30577" s="40" t="s">
        <v>11404</v>
      </c>
      <c r="H30577" s="40" t="s">
        <v>11404</v>
      </c>
    </row>
    <row r="30578">
      <c r="A30578" s="39"/>
      <c r="E30578" s="40" t="s">
        <v>11404</v>
      </c>
      <c r="F30578" s="40" t="s">
        <v>11404</v>
      </c>
      <c r="G30578" s="40" t="s">
        <v>11404</v>
      </c>
      <c r="H30578" s="40" t="s">
        <v>11404</v>
      </c>
    </row>
    <row r="30579">
      <c r="A30579" s="39"/>
      <c r="E30579" s="40" t="s">
        <v>11404</v>
      </c>
      <c r="F30579" s="40" t="s">
        <v>11404</v>
      </c>
      <c r="G30579" s="40" t="s">
        <v>11404</v>
      </c>
      <c r="H30579" s="40" t="s">
        <v>11404</v>
      </c>
    </row>
    <row r="30580">
      <c r="A30580" s="39"/>
      <c r="E30580" s="40" t="s">
        <v>11404</v>
      </c>
      <c r="F30580" s="40" t="s">
        <v>11404</v>
      </c>
      <c r="G30580" s="40" t="s">
        <v>11404</v>
      </c>
      <c r="H30580" s="40" t="s">
        <v>11404</v>
      </c>
    </row>
    <row r="30581">
      <c r="A30581" s="39"/>
      <c r="E30581" s="40" t="s">
        <v>11404</v>
      </c>
      <c r="F30581" s="40" t="s">
        <v>11404</v>
      </c>
      <c r="G30581" s="40" t="s">
        <v>11404</v>
      </c>
      <c r="H30581" s="40" t="s">
        <v>11404</v>
      </c>
    </row>
    <row r="30582">
      <c r="A30582" s="39"/>
      <c r="E30582" s="40" t="s">
        <v>11404</v>
      </c>
      <c r="F30582" s="40" t="s">
        <v>11404</v>
      </c>
      <c r="G30582" s="40" t="s">
        <v>11404</v>
      </c>
      <c r="H30582" s="40" t="s">
        <v>11404</v>
      </c>
    </row>
    <row r="30583">
      <c r="A30583" s="39"/>
      <c r="E30583" s="40" t="s">
        <v>11404</v>
      </c>
      <c r="F30583" s="40" t="s">
        <v>11404</v>
      </c>
      <c r="G30583" s="40" t="s">
        <v>11404</v>
      </c>
      <c r="H30583" s="40" t="s">
        <v>11404</v>
      </c>
    </row>
    <row r="30584">
      <c r="A30584" s="39"/>
      <c r="E30584" s="40" t="s">
        <v>11404</v>
      </c>
      <c r="F30584" s="40" t="s">
        <v>11404</v>
      </c>
      <c r="G30584" s="40" t="s">
        <v>11404</v>
      </c>
      <c r="H30584" s="40" t="s">
        <v>11404</v>
      </c>
    </row>
    <row r="30585">
      <c r="A30585" s="39"/>
      <c r="E30585" s="40" t="s">
        <v>11404</v>
      </c>
      <c r="F30585" s="40" t="s">
        <v>11404</v>
      </c>
      <c r="G30585" s="40" t="s">
        <v>11404</v>
      </c>
      <c r="H30585" s="40" t="s">
        <v>11404</v>
      </c>
    </row>
    <row r="30586">
      <c r="A30586" s="39"/>
      <c r="E30586" s="40" t="s">
        <v>11404</v>
      </c>
      <c r="F30586" s="40" t="s">
        <v>11404</v>
      </c>
      <c r="G30586" s="40" t="s">
        <v>11404</v>
      </c>
      <c r="H30586" s="40" t="s">
        <v>11404</v>
      </c>
    </row>
    <row r="30587">
      <c r="A30587" s="39"/>
      <c r="E30587" s="40" t="s">
        <v>11404</v>
      </c>
      <c r="F30587" s="40" t="s">
        <v>11404</v>
      </c>
      <c r="G30587" s="40" t="s">
        <v>11404</v>
      </c>
      <c r="H30587" s="40" t="s">
        <v>11404</v>
      </c>
    </row>
    <row r="30588">
      <c r="A30588" s="39"/>
      <c r="E30588" s="40" t="s">
        <v>11404</v>
      </c>
      <c r="F30588" s="40" t="s">
        <v>11404</v>
      </c>
      <c r="G30588" s="40" t="s">
        <v>11404</v>
      </c>
      <c r="H30588" s="40" t="s">
        <v>11404</v>
      </c>
    </row>
    <row r="30589">
      <c r="A30589" s="39"/>
      <c r="E30589" s="40" t="s">
        <v>11404</v>
      </c>
      <c r="F30589" s="40" t="s">
        <v>11404</v>
      </c>
      <c r="G30589" s="40" t="s">
        <v>11404</v>
      </c>
      <c r="H30589" s="40" t="s">
        <v>11404</v>
      </c>
    </row>
    <row r="30590">
      <c r="A30590" s="39"/>
      <c r="E30590" s="40" t="s">
        <v>11404</v>
      </c>
      <c r="F30590" s="40" t="s">
        <v>11404</v>
      </c>
      <c r="G30590" s="40" t="s">
        <v>11404</v>
      </c>
      <c r="H30590" s="40" t="s">
        <v>11404</v>
      </c>
    </row>
    <row r="30591">
      <c r="A30591" s="39"/>
      <c r="E30591" s="40" t="s">
        <v>11404</v>
      </c>
      <c r="F30591" s="40" t="s">
        <v>11404</v>
      </c>
      <c r="G30591" s="40" t="s">
        <v>11404</v>
      </c>
      <c r="H30591" s="40" t="s">
        <v>11404</v>
      </c>
    </row>
    <row r="30592">
      <c r="A30592" s="39"/>
      <c r="E30592" s="40" t="s">
        <v>11404</v>
      </c>
      <c r="F30592" s="40" t="s">
        <v>11404</v>
      </c>
      <c r="G30592" s="40" t="s">
        <v>11404</v>
      </c>
      <c r="H30592" s="40" t="s">
        <v>11404</v>
      </c>
    </row>
    <row r="30593">
      <c r="A30593" s="39"/>
      <c r="E30593" s="40" t="s">
        <v>11404</v>
      </c>
      <c r="F30593" s="40" t="s">
        <v>11404</v>
      </c>
      <c r="G30593" s="40" t="s">
        <v>11404</v>
      </c>
      <c r="H30593" s="40" t="s">
        <v>11404</v>
      </c>
    </row>
    <row r="30594">
      <c r="A30594" s="39"/>
      <c r="E30594" s="40" t="s">
        <v>11404</v>
      </c>
      <c r="F30594" s="40" t="s">
        <v>11404</v>
      </c>
      <c r="G30594" s="40" t="s">
        <v>11404</v>
      </c>
      <c r="H30594" s="40" t="s">
        <v>11404</v>
      </c>
    </row>
    <row r="30595">
      <c r="A30595" s="39"/>
      <c r="E30595" s="40" t="s">
        <v>11404</v>
      </c>
      <c r="F30595" s="40" t="s">
        <v>11404</v>
      </c>
      <c r="G30595" s="40" t="s">
        <v>11404</v>
      </c>
      <c r="H30595" s="40" t="s">
        <v>11404</v>
      </c>
    </row>
    <row r="30596">
      <c r="A30596" s="39"/>
      <c r="E30596" s="40" t="s">
        <v>11404</v>
      </c>
      <c r="F30596" s="40" t="s">
        <v>11404</v>
      </c>
      <c r="G30596" s="40" t="s">
        <v>11404</v>
      </c>
      <c r="H30596" s="40" t="s">
        <v>11404</v>
      </c>
    </row>
    <row r="30597">
      <c r="A30597" s="39"/>
      <c r="E30597" s="40" t="s">
        <v>11404</v>
      </c>
      <c r="F30597" s="40" t="s">
        <v>11404</v>
      </c>
      <c r="G30597" s="40" t="s">
        <v>11404</v>
      </c>
      <c r="H30597" s="40" t="s">
        <v>11404</v>
      </c>
    </row>
    <row r="30598">
      <c r="A30598" s="39"/>
      <c r="E30598" s="40" t="s">
        <v>11404</v>
      </c>
      <c r="F30598" s="40" t="s">
        <v>11404</v>
      </c>
      <c r="G30598" s="40" t="s">
        <v>11404</v>
      </c>
      <c r="H30598" s="40" t="s">
        <v>11404</v>
      </c>
    </row>
    <row r="30599">
      <c r="A30599" s="39"/>
      <c r="E30599" s="40" t="s">
        <v>11404</v>
      </c>
      <c r="F30599" s="40" t="s">
        <v>11404</v>
      </c>
      <c r="G30599" s="40" t="s">
        <v>11404</v>
      </c>
      <c r="H30599" s="40" t="s">
        <v>11404</v>
      </c>
    </row>
    <row r="30600">
      <c r="A30600" s="39"/>
      <c r="E30600" s="40" t="s">
        <v>11404</v>
      </c>
      <c r="F30600" s="40" t="s">
        <v>11404</v>
      </c>
      <c r="G30600" s="40" t="s">
        <v>11404</v>
      </c>
      <c r="H30600" s="40" t="s">
        <v>11404</v>
      </c>
    </row>
    <row r="30601">
      <c r="A30601" s="39"/>
      <c r="E30601" s="40" t="s">
        <v>11404</v>
      </c>
      <c r="F30601" s="40" t="s">
        <v>11404</v>
      </c>
      <c r="G30601" s="40" t="s">
        <v>11404</v>
      </c>
      <c r="H30601" s="40" t="s">
        <v>11404</v>
      </c>
    </row>
    <row r="30602">
      <c r="A30602" s="39"/>
      <c r="E30602" s="40" t="s">
        <v>11404</v>
      </c>
      <c r="F30602" s="40" t="s">
        <v>11404</v>
      </c>
      <c r="G30602" s="40" t="s">
        <v>11404</v>
      </c>
      <c r="H30602" s="40" t="s">
        <v>11404</v>
      </c>
    </row>
    <row r="30603">
      <c r="A30603" s="39"/>
      <c r="E30603" s="40" t="s">
        <v>11404</v>
      </c>
      <c r="F30603" s="40" t="s">
        <v>11404</v>
      </c>
      <c r="G30603" s="40" t="s">
        <v>11404</v>
      </c>
      <c r="H30603" s="40" t="s">
        <v>11404</v>
      </c>
    </row>
    <row r="30604">
      <c r="A30604" s="39"/>
      <c r="E30604" s="40" t="s">
        <v>11404</v>
      </c>
      <c r="F30604" s="40" t="s">
        <v>11404</v>
      </c>
      <c r="G30604" s="40" t="s">
        <v>11404</v>
      </c>
      <c r="H30604" s="40" t="s">
        <v>11404</v>
      </c>
    </row>
    <row r="30605">
      <c r="A30605" s="39"/>
      <c r="E30605" s="40" t="s">
        <v>11404</v>
      </c>
      <c r="F30605" s="40" t="s">
        <v>11404</v>
      </c>
      <c r="G30605" s="40" t="s">
        <v>11404</v>
      </c>
      <c r="H30605" s="40" t="s">
        <v>11404</v>
      </c>
    </row>
    <row r="30606">
      <c r="A30606" s="39"/>
      <c r="E30606" s="40" t="s">
        <v>11404</v>
      </c>
      <c r="F30606" s="40" t="s">
        <v>11404</v>
      </c>
      <c r="G30606" s="40" t="s">
        <v>11404</v>
      </c>
      <c r="H30606" s="40" t="s">
        <v>11404</v>
      </c>
    </row>
    <row r="30607">
      <c r="A30607" s="39"/>
      <c r="E30607" s="40" t="s">
        <v>11404</v>
      </c>
      <c r="F30607" s="40" t="s">
        <v>11404</v>
      </c>
      <c r="G30607" s="40" t="s">
        <v>11404</v>
      </c>
      <c r="H30607" s="40" t="s">
        <v>11404</v>
      </c>
    </row>
    <row r="30608">
      <c r="A30608" s="39"/>
      <c r="E30608" s="40" t="s">
        <v>11404</v>
      </c>
      <c r="F30608" s="40" t="s">
        <v>11404</v>
      </c>
      <c r="G30608" s="40" t="s">
        <v>11404</v>
      </c>
      <c r="H30608" s="40" t="s">
        <v>11404</v>
      </c>
    </row>
    <row r="30609">
      <c r="A30609" s="39"/>
      <c r="E30609" s="40" t="s">
        <v>11404</v>
      </c>
      <c r="F30609" s="40" t="s">
        <v>11404</v>
      </c>
      <c r="G30609" s="40" t="s">
        <v>11404</v>
      </c>
      <c r="H30609" s="40" t="s">
        <v>11404</v>
      </c>
    </row>
    <row r="30610">
      <c r="A30610" s="39"/>
      <c r="E30610" s="40" t="s">
        <v>11404</v>
      </c>
      <c r="F30610" s="40" t="s">
        <v>11404</v>
      </c>
      <c r="G30610" s="40" t="s">
        <v>11404</v>
      </c>
      <c r="H30610" s="40" t="s">
        <v>11404</v>
      </c>
    </row>
    <row r="30611">
      <c r="A30611" s="39"/>
      <c r="E30611" s="40" t="s">
        <v>11404</v>
      </c>
      <c r="F30611" s="40" t="s">
        <v>11404</v>
      </c>
      <c r="G30611" s="40" t="s">
        <v>11404</v>
      </c>
      <c r="H30611" s="40" t="s">
        <v>11404</v>
      </c>
    </row>
    <row r="30612">
      <c r="A30612" s="39"/>
      <c r="E30612" s="40" t="s">
        <v>11404</v>
      </c>
      <c r="F30612" s="40" t="s">
        <v>11404</v>
      </c>
      <c r="G30612" s="40" t="s">
        <v>11404</v>
      </c>
      <c r="H30612" s="40" t="s">
        <v>11404</v>
      </c>
    </row>
    <row r="30613">
      <c r="A30613" s="39"/>
      <c r="E30613" s="40" t="s">
        <v>11404</v>
      </c>
      <c r="F30613" s="40" t="s">
        <v>11404</v>
      </c>
      <c r="G30613" s="40" t="s">
        <v>11404</v>
      </c>
      <c r="H30613" s="40" t="s">
        <v>11404</v>
      </c>
    </row>
    <row r="30614">
      <c r="A30614" s="39"/>
      <c r="E30614" s="40" t="s">
        <v>11404</v>
      </c>
      <c r="F30614" s="40" t="s">
        <v>11404</v>
      </c>
      <c r="G30614" s="40" t="s">
        <v>11404</v>
      </c>
      <c r="H30614" s="40" t="s">
        <v>11404</v>
      </c>
    </row>
    <row r="30615">
      <c r="A30615" s="39"/>
      <c r="E30615" s="40" t="s">
        <v>11404</v>
      </c>
      <c r="F30615" s="40" t="s">
        <v>11404</v>
      </c>
      <c r="G30615" s="40" t="s">
        <v>11404</v>
      </c>
      <c r="H30615" s="40" t="s">
        <v>11404</v>
      </c>
    </row>
    <row r="30616">
      <c r="A30616" s="39"/>
      <c r="E30616" s="40" t="s">
        <v>11404</v>
      </c>
      <c r="F30616" s="40" t="s">
        <v>11404</v>
      </c>
      <c r="G30616" s="40" t="s">
        <v>11404</v>
      </c>
      <c r="H30616" s="40" t="s">
        <v>11404</v>
      </c>
    </row>
    <row r="30617">
      <c r="A30617" s="39"/>
      <c r="E30617" s="40" t="s">
        <v>11404</v>
      </c>
      <c r="F30617" s="40" t="s">
        <v>11404</v>
      </c>
      <c r="G30617" s="40" t="s">
        <v>11404</v>
      </c>
      <c r="H30617" s="40" t="s">
        <v>11404</v>
      </c>
    </row>
    <row r="30618">
      <c r="A30618" s="39"/>
      <c r="E30618" s="40" t="s">
        <v>11404</v>
      </c>
      <c r="F30618" s="40" t="s">
        <v>11404</v>
      </c>
      <c r="G30618" s="40" t="s">
        <v>11404</v>
      </c>
      <c r="H30618" s="40" t="s">
        <v>11404</v>
      </c>
    </row>
    <row r="30619">
      <c r="A30619" s="39"/>
      <c r="E30619" s="40" t="s">
        <v>11404</v>
      </c>
      <c r="F30619" s="40" t="s">
        <v>11404</v>
      </c>
      <c r="G30619" s="40" t="s">
        <v>11404</v>
      </c>
      <c r="H30619" s="40" t="s">
        <v>11404</v>
      </c>
    </row>
    <row r="30620">
      <c r="A30620" s="39"/>
      <c r="E30620" s="40" t="s">
        <v>11404</v>
      </c>
      <c r="F30620" s="40" t="s">
        <v>11404</v>
      </c>
      <c r="G30620" s="40" t="s">
        <v>11404</v>
      </c>
      <c r="H30620" s="40" t="s">
        <v>11404</v>
      </c>
    </row>
    <row r="30621">
      <c r="A30621" s="39"/>
      <c r="E30621" s="40" t="s">
        <v>11404</v>
      </c>
      <c r="F30621" s="40" t="s">
        <v>11404</v>
      </c>
      <c r="G30621" s="40" t="s">
        <v>11404</v>
      </c>
      <c r="H30621" s="40" t="s">
        <v>11404</v>
      </c>
    </row>
    <row r="30622">
      <c r="A30622" s="39"/>
      <c r="E30622" s="40" t="s">
        <v>11404</v>
      </c>
      <c r="F30622" s="40" t="s">
        <v>11404</v>
      </c>
      <c r="G30622" s="40" t="s">
        <v>11404</v>
      </c>
      <c r="H30622" s="40" t="s">
        <v>11404</v>
      </c>
    </row>
    <row r="30623">
      <c r="A30623" s="39"/>
      <c r="E30623" s="40" t="s">
        <v>11404</v>
      </c>
      <c r="F30623" s="40" t="s">
        <v>11404</v>
      </c>
      <c r="G30623" s="40" t="s">
        <v>11404</v>
      </c>
      <c r="H30623" s="40" t="s">
        <v>11404</v>
      </c>
    </row>
    <row r="30624">
      <c r="A30624" s="39"/>
      <c r="E30624" s="40" t="s">
        <v>11404</v>
      </c>
      <c r="F30624" s="40" t="s">
        <v>11404</v>
      </c>
      <c r="G30624" s="40" t="s">
        <v>11404</v>
      </c>
      <c r="H30624" s="40" t="s">
        <v>11404</v>
      </c>
    </row>
    <row r="30625">
      <c r="A30625" s="39"/>
      <c r="E30625" s="40" t="s">
        <v>11404</v>
      </c>
      <c r="F30625" s="40" t="s">
        <v>11404</v>
      </c>
      <c r="G30625" s="40" t="s">
        <v>11404</v>
      </c>
      <c r="H30625" s="40" t="s">
        <v>11404</v>
      </c>
    </row>
    <row r="30626">
      <c r="A30626" s="39"/>
      <c r="E30626" s="40" t="s">
        <v>11404</v>
      </c>
      <c r="F30626" s="40" t="s">
        <v>11404</v>
      </c>
      <c r="G30626" s="40" t="s">
        <v>11404</v>
      </c>
      <c r="H30626" s="40" t="s">
        <v>11404</v>
      </c>
    </row>
    <row r="30627">
      <c r="A30627" s="39"/>
      <c r="E30627" s="40" t="s">
        <v>11404</v>
      </c>
      <c r="F30627" s="40" t="s">
        <v>11404</v>
      </c>
      <c r="G30627" s="40" t="s">
        <v>11404</v>
      </c>
      <c r="H30627" s="40" t="s">
        <v>11404</v>
      </c>
    </row>
    <row r="30628">
      <c r="A30628" s="39"/>
      <c r="E30628" s="40" t="s">
        <v>11404</v>
      </c>
      <c r="F30628" s="40" t="s">
        <v>11404</v>
      </c>
      <c r="G30628" s="40" t="s">
        <v>11404</v>
      </c>
      <c r="H30628" s="40" t="s">
        <v>11404</v>
      </c>
    </row>
    <row r="30629">
      <c r="A30629" s="39"/>
      <c r="E30629" s="40" t="s">
        <v>11404</v>
      </c>
      <c r="F30629" s="40" t="s">
        <v>11404</v>
      </c>
      <c r="G30629" s="40" t="s">
        <v>11404</v>
      </c>
      <c r="H30629" s="40" t="s">
        <v>11404</v>
      </c>
    </row>
    <row r="30630">
      <c r="A30630" s="39"/>
      <c r="E30630" s="40" t="s">
        <v>11404</v>
      </c>
      <c r="F30630" s="40" t="s">
        <v>11404</v>
      </c>
      <c r="G30630" s="40" t="s">
        <v>11404</v>
      </c>
      <c r="H30630" s="40" t="s">
        <v>11404</v>
      </c>
    </row>
    <row r="30631">
      <c r="A30631" s="39"/>
      <c r="E30631" s="40" t="s">
        <v>11404</v>
      </c>
      <c r="F30631" s="40" t="s">
        <v>11404</v>
      </c>
      <c r="G30631" s="40" t="s">
        <v>11404</v>
      </c>
      <c r="H30631" s="40" t="s">
        <v>11404</v>
      </c>
    </row>
    <row r="30632">
      <c r="A30632" s="39"/>
      <c r="E30632" s="40" t="s">
        <v>11404</v>
      </c>
      <c r="F30632" s="40" t="s">
        <v>11404</v>
      </c>
      <c r="G30632" s="40" t="s">
        <v>11404</v>
      </c>
      <c r="H30632" s="40" t="s">
        <v>11404</v>
      </c>
    </row>
    <row r="30633">
      <c r="A30633" s="39"/>
      <c r="E30633" s="40" t="s">
        <v>11404</v>
      </c>
      <c r="F30633" s="40" t="s">
        <v>11404</v>
      </c>
      <c r="G30633" s="40" t="s">
        <v>11404</v>
      </c>
      <c r="H30633" s="40" t="s">
        <v>11404</v>
      </c>
    </row>
    <row r="30634">
      <c r="A30634" s="39"/>
      <c r="E30634" s="40" t="s">
        <v>11404</v>
      </c>
      <c r="F30634" s="40" t="s">
        <v>11404</v>
      </c>
      <c r="G30634" s="40" t="s">
        <v>11404</v>
      </c>
      <c r="H30634" s="40" t="s">
        <v>11404</v>
      </c>
    </row>
    <row r="30635">
      <c r="A30635" s="39"/>
      <c r="E30635" s="40" t="s">
        <v>11404</v>
      </c>
      <c r="F30635" s="40" t="s">
        <v>11404</v>
      </c>
      <c r="G30635" s="40" t="s">
        <v>11404</v>
      </c>
      <c r="H30635" s="40" t="s">
        <v>11404</v>
      </c>
    </row>
    <row r="30636">
      <c r="A30636" s="39"/>
      <c r="E30636" s="40" t="s">
        <v>11404</v>
      </c>
      <c r="F30636" s="40" t="s">
        <v>11404</v>
      </c>
      <c r="G30636" s="40" t="s">
        <v>11404</v>
      </c>
      <c r="H30636" s="40" t="s">
        <v>11404</v>
      </c>
    </row>
    <row r="30637">
      <c r="A30637" s="39"/>
      <c r="E30637" s="40" t="s">
        <v>11404</v>
      </c>
      <c r="F30637" s="40" t="s">
        <v>11404</v>
      </c>
      <c r="G30637" s="40" t="s">
        <v>11404</v>
      </c>
      <c r="H30637" s="40" t="s">
        <v>11404</v>
      </c>
    </row>
    <row r="30638">
      <c r="A30638" s="39"/>
      <c r="E30638" s="40" t="s">
        <v>11404</v>
      </c>
      <c r="F30638" s="40" t="s">
        <v>11404</v>
      </c>
      <c r="G30638" s="40" t="s">
        <v>11404</v>
      </c>
      <c r="H30638" s="40" t="s">
        <v>11404</v>
      </c>
    </row>
    <row r="30639">
      <c r="A30639" s="39"/>
      <c r="E30639" s="40" t="s">
        <v>11404</v>
      </c>
      <c r="F30639" s="40" t="s">
        <v>11404</v>
      </c>
      <c r="G30639" s="40" t="s">
        <v>11404</v>
      </c>
      <c r="H30639" s="40" t="s">
        <v>11404</v>
      </c>
    </row>
    <row r="30640">
      <c r="A30640" s="39"/>
      <c r="E30640" s="40" t="s">
        <v>11404</v>
      </c>
      <c r="F30640" s="40" t="s">
        <v>11404</v>
      </c>
      <c r="G30640" s="40" t="s">
        <v>11404</v>
      </c>
      <c r="H30640" s="40" t="s">
        <v>11404</v>
      </c>
    </row>
    <row r="30641">
      <c r="A30641" s="39"/>
      <c r="E30641" s="40" t="s">
        <v>11404</v>
      </c>
      <c r="F30641" s="40" t="s">
        <v>11404</v>
      </c>
      <c r="G30641" s="40" t="s">
        <v>11404</v>
      </c>
      <c r="H30641" s="40" t="s">
        <v>11404</v>
      </c>
    </row>
    <row r="30642">
      <c r="A30642" s="39"/>
      <c r="E30642" s="40" t="s">
        <v>11404</v>
      </c>
      <c r="F30642" s="40" t="s">
        <v>11404</v>
      </c>
      <c r="G30642" s="40" t="s">
        <v>11404</v>
      </c>
      <c r="H30642" s="40" t="s">
        <v>11404</v>
      </c>
    </row>
    <row r="30643">
      <c r="A30643" s="39"/>
      <c r="E30643" s="40" t="s">
        <v>11404</v>
      </c>
      <c r="F30643" s="40" t="s">
        <v>11404</v>
      </c>
      <c r="G30643" s="40" t="s">
        <v>11404</v>
      </c>
      <c r="H30643" s="40" t="s">
        <v>11404</v>
      </c>
    </row>
    <row r="30644">
      <c r="A30644" s="39"/>
      <c r="E30644" s="40" t="s">
        <v>11404</v>
      </c>
      <c r="F30644" s="40" t="s">
        <v>11404</v>
      </c>
      <c r="G30644" s="40" t="s">
        <v>11404</v>
      </c>
      <c r="H30644" s="40" t="s">
        <v>11404</v>
      </c>
    </row>
    <row r="30645">
      <c r="A30645" s="39"/>
      <c r="E30645" s="40" t="s">
        <v>11404</v>
      </c>
      <c r="F30645" s="40" t="s">
        <v>11404</v>
      </c>
      <c r="G30645" s="40" t="s">
        <v>11404</v>
      </c>
      <c r="H30645" s="40" t="s">
        <v>11404</v>
      </c>
    </row>
    <row r="30646">
      <c r="A30646" s="39"/>
      <c r="E30646" s="40" t="s">
        <v>11404</v>
      </c>
      <c r="F30646" s="40" t="s">
        <v>11404</v>
      </c>
      <c r="G30646" s="40" t="s">
        <v>11404</v>
      </c>
      <c r="H30646" s="40" t="s">
        <v>11404</v>
      </c>
    </row>
    <row r="30647">
      <c r="A30647" s="39"/>
      <c r="E30647" s="40" t="s">
        <v>11404</v>
      </c>
      <c r="F30647" s="40" t="s">
        <v>11404</v>
      </c>
      <c r="G30647" s="40" t="s">
        <v>11404</v>
      </c>
      <c r="H30647" s="40" t="s">
        <v>11404</v>
      </c>
    </row>
    <row r="30648">
      <c r="A30648" s="39"/>
      <c r="E30648" s="40" t="s">
        <v>11404</v>
      </c>
      <c r="F30648" s="40" t="s">
        <v>11404</v>
      </c>
      <c r="G30648" s="40" t="s">
        <v>11404</v>
      </c>
      <c r="H30648" s="40" t="s">
        <v>11404</v>
      </c>
    </row>
    <row r="30649">
      <c r="A30649" s="39"/>
      <c r="E30649" s="40" t="s">
        <v>11404</v>
      </c>
      <c r="F30649" s="40" t="s">
        <v>11404</v>
      </c>
      <c r="G30649" s="40" t="s">
        <v>11404</v>
      </c>
      <c r="H30649" s="40" t="s">
        <v>11404</v>
      </c>
    </row>
    <row r="30650">
      <c r="A30650" s="39"/>
      <c r="E30650" s="40" t="s">
        <v>11404</v>
      </c>
      <c r="F30650" s="40" t="s">
        <v>11404</v>
      </c>
      <c r="G30650" s="40" t="s">
        <v>11404</v>
      </c>
      <c r="H30650" s="40" t="s">
        <v>11404</v>
      </c>
    </row>
    <row r="30651">
      <c r="A30651" s="39"/>
      <c r="E30651" s="40" t="s">
        <v>11404</v>
      </c>
      <c r="F30651" s="40" t="s">
        <v>11404</v>
      </c>
      <c r="G30651" s="40" t="s">
        <v>11404</v>
      </c>
      <c r="H30651" s="40" t="s">
        <v>11404</v>
      </c>
    </row>
    <row r="30652">
      <c r="A30652" s="39"/>
      <c r="E30652" s="40" t="s">
        <v>11404</v>
      </c>
      <c r="F30652" s="40" t="s">
        <v>11404</v>
      </c>
      <c r="G30652" s="40" t="s">
        <v>11404</v>
      </c>
      <c r="H30652" s="40" t="s">
        <v>11404</v>
      </c>
    </row>
    <row r="30653">
      <c r="A30653" s="39"/>
      <c r="E30653" s="40" t="s">
        <v>11404</v>
      </c>
      <c r="F30653" s="40" t="s">
        <v>11404</v>
      </c>
      <c r="G30653" s="40" t="s">
        <v>11404</v>
      </c>
      <c r="H30653" s="40" t="s">
        <v>11404</v>
      </c>
    </row>
    <row r="30654">
      <c r="A30654" s="39"/>
      <c r="E30654" s="40" t="s">
        <v>11404</v>
      </c>
      <c r="F30654" s="40" t="s">
        <v>11404</v>
      </c>
      <c r="G30654" s="40" t="s">
        <v>11404</v>
      </c>
      <c r="H30654" s="40" t="s">
        <v>11404</v>
      </c>
    </row>
    <row r="30655">
      <c r="A30655" s="39"/>
      <c r="E30655" s="40" t="s">
        <v>11404</v>
      </c>
      <c r="F30655" s="40" t="s">
        <v>11404</v>
      </c>
      <c r="G30655" s="40" t="s">
        <v>11404</v>
      </c>
      <c r="H30655" s="40" t="s">
        <v>11404</v>
      </c>
    </row>
    <row r="30656">
      <c r="A30656" s="39"/>
      <c r="E30656" s="40" t="s">
        <v>11404</v>
      </c>
      <c r="F30656" s="40" t="s">
        <v>11404</v>
      </c>
      <c r="G30656" s="40" t="s">
        <v>11404</v>
      </c>
      <c r="H30656" s="40" t="s">
        <v>11404</v>
      </c>
    </row>
    <row r="30657">
      <c r="A30657" s="39"/>
      <c r="E30657" s="40" t="s">
        <v>11404</v>
      </c>
      <c r="F30657" s="40" t="s">
        <v>11404</v>
      </c>
      <c r="G30657" s="40" t="s">
        <v>11404</v>
      </c>
      <c r="H30657" s="40" t="s">
        <v>11404</v>
      </c>
    </row>
    <row r="30658">
      <c r="A30658" s="39"/>
      <c r="E30658" s="40" t="s">
        <v>11404</v>
      </c>
      <c r="F30658" s="40" t="s">
        <v>11404</v>
      </c>
      <c r="G30658" s="40" t="s">
        <v>11404</v>
      </c>
      <c r="H30658" s="40" t="s">
        <v>11404</v>
      </c>
    </row>
    <row r="30659">
      <c r="A30659" s="39"/>
      <c r="E30659" s="40" t="s">
        <v>11404</v>
      </c>
      <c r="F30659" s="40" t="s">
        <v>11404</v>
      </c>
      <c r="G30659" s="40" t="s">
        <v>11404</v>
      </c>
      <c r="H30659" s="40" t="s">
        <v>11404</v>
      </c>
    </row>
    <row r="30660">
      <c r="A30660" s="39"/>
      <c r="E30660" s="40" t="s">
        <v>11404</v>
      </c>
      <c r="F30660" s="40" t="s">
        <v>11404</v>
      </c>
      <c r="G30660" s="40" t="s">
        <v>11404</v>
      </c>
      <c r="H30660" s="40" t="s">
        <v>11404</v>
      </c>
    </row>
    <row r="30661">
      <c r="A30661" s="39"/>
      <c r="E30661" s="40" t="s">
        <v>11404</v>
      </c>
      <c r="F30661" s="40" t="s">
        <v>11404</v>
      </c>
      <c r="G30661" s="40" t="s">
        <v>11404</v>
      </c>
      <c r="H30661" s="40" t="s">
        <v>11404</v>
      </c>
    </row>
    <row r="30662">
      <c r="A30662" s="39"/>
      <c r="E30662" s="40" t="s">
        <v>11404</v>
      </c>
      <c r="F30662" s="40" t="s">
        <v>11404</v>
      </c>
      <c r="G30662" s="40" t="s">
        <v>11404</v>
      </c>
      <c r="H30662" s="40" t="s">
        <v>11404</v>
      </c>
    </row>
    <row r="30663">
      <c r="A30663" s="39"/>
      <c r="E30663" s="40" t="s">
        <v>11404</v>
      </c>
      <c r="F30663" s="40" t="s">
        <v>11404</v>
      </c>
      <c r="G30663" s="40" t="s">
        <v>11404</v>
      </c>
      <c r="H30663" s="40" t="s">
        <v>11404</v>
      </c>
    </row>
    <row r="30664">
      <c r="A30664" s="39"/>
      <c r="E30664" s="40" t="s">
        <v>11404</v>
      </c>
      <c r="F30664" s="40" t="s">
        <v>11404</v>
      </c>
      <c r="G30664" s="40" t="s">
        <v>11404</v>
      </c>
      <c r="H30664" s="40" t="s">
        <v>11404</v>
      </c>
    </row>
    <row r="30665">
      <c r="A30665" s="39"/>
      <c r="E30665" s="40" t="s">
        <v>11404</v>
      </c>
      <c r="F30665" s="40" t="s">
        <v>11404</v>
      </c>
      <c r="G30665" s="40" t="s">
        <v>11404</v>
      </c>
      <c r="H30665" s="40" t="s">
        <v>11404</v>
      </c>
    </row>
    <row r="30666">
      <c r="A30666" s="39"/>
      <c r="E30666" s="40" t="s">
        <v>11404</v>
      </c>
      <c r="F30666" s="40" t="s">
        <v>11404</v>
      </c>
      <c r="G30666" s="40" t="s">
        <v>11404</v>
      </c>
      <c r="H30666" s="40" t="s">
        <v>11404</v>
      </c>
    </row>
    <row r="30667">
      <c r="A30667" s="39"/>
      <c r="E30667" s="40" t="s">
        <v>11404</v>
      </c>
      <c r="F30667" s="40" t="s">
        <v>11404</v>
      </c>
      <c r="G30667" s="40" t="s">
        <v>11404</v>
      </c>
      <c r="H30667" s="40" t="s">
        <v>11404</v>
      </c>
    </row>
    <row r="30668">
      <c r="A30668" s="39"/>
      <c r="E30668" s="40" t="s">
        <v>11404</v>
      </c>
      <c r="F30668" s="40" t="s">
        <v>11404</v>
      </c>
      <c r="G30668" s="40" t="s">
        <v>11404</v>
      </c>
      <c r="H30668" s="40" t="s">
        <v>11404</v>
      </c>
    </row>
    <row r="30669">
      <c r="A30669" s="39"/>
      <c r="E30669" s="40" t="s">
        <v>11404</v>
      </c>
      <c r="F30669" s="40" t="s">
        <v>11404</v>
      </c>
      <c r="G30669" s="40" t="s">
        <v>11404</v>
      </c>
      <c r="H30669" s="40" t="s">
        <v>11404</v>
      </c>
    </row>
    <row r="30670">
      <c r="A30670" s="39"/>
      <c r="E30670" s="40" t="s">
        <v>11404</v>
      </c>
      <c r="F30670" s="40" t="s">
        <v>11404</v>
      </c>
      <c r="G30670" s="40" t="s">
        <v>11404</v>
      </c>
      <c r="H30670" s="40" t="s">
        <v>11404</v>
      </c>
    </row>
    <row r="30671">
      <c r="A30671" s="39"/>
      <c r="E30671" s="40" t="s">
        <v>11404</v>
      </c>
      <c r="F30671" s="40" t="s">
        <v>11404</v>
      </c>
      <c r="G30671" s="40" t="s">
        <v>11404</v>
      </c>
      <c r="H30671" s="40" t="s">
        <v>11404</v>
      </c>
    </row>
    <row r="30672">
      <c r="A30672" s="39"/>
      <c r="E30672" s="40" t="s">
        <v>11404</v>
      </c>
      <c r="F30672" s="40" t="s">
        <v>11404</v>
      </c>
      <c r="G30672" s="40" t="s">
        <v>11404</v>
      </c>
      <c r="H30672" s="40" t="s">
        <v>11404</v>
      </c>
    </row>
    <row r="30673">
      <c r="A30673" s="39"/>
      <c r="E30673" s="40" t="s">
        <v>11404</v>
      </c>
      <c r="F30673" s="40" t="s">
        <v>11404</v>
      </c>
      <c r="G30673" s="40" t="s">
        <v>11404</v>
      </c>
      <c r="H30673" s="40" t="s">
        <v>11404</v>
      </c>
    </row>
    <row r="30674">
      <c r="A30674" s="39"/>
      <c r="E30674" s="40" t="s">
        <v>11404</v>
      </c>
      <c r="F30674" s="40" t="s">
        <v>11404</v>
      </c>
      <c r="G30674" s="40" t="s">
        <v>11404</v>
      </c>
      <c r="H30674" s="40" t="s">
        <v>11404</v>
      </c>
    </row>
    <row r="30675">
      <c r="A30675" s="39"/>
      <c r="E30675" s="40" t="s">
        <v>11404</v>
      </c>
      <c r="F30675" s="40" t="s">
        <v>11404</v>
      </c>
      <c r="G30675" s="40" t="s">
        <v>11404</v>
      </c>
      <c r="H30675" s="40" t="s">
        <v>11404</v>
      </c>
    </row>
    <row r="30676">
      <c r="A30676" s="39"/>
      <c r="E30676" s="40" t="s">
        <v>11404</v>
      </c>
      <c r="F30676" s="40" t="s">
        <v>11404</v>
      </c>
      <c r="G30676" s="40" t="s">
        <v>11404</v>
      </c>
      <c r="H30676" s="40" t="s">
        <v>11404</v>
      </c>
    </row>
    <row r="30677">
      <c r="A30677" s="39"/>
      <c r="E30677" s="40" t="s">
        <v>11404</v>
      </c>
      <c r="F30677" s="40" t="s">
        <v>11404</v>
      </c>
      <c r="G30677" s="40" t="s">
        <v>11404</v>
      </c>
      <c r="H30677" s="40" t="s">
        <v>11404</v>
      </c>
    </row>
    <row r="30678">
      <c r="A30678" s="39"/>
      <c r="E30678" s="40" t="s">
        <v>11404</v>
      </c>
      <c r="F30678" s="40" t="s">
        <v>11404</v>
      </c>
      <c r="G30678" s="40" t="s">
        <v>11404</v>
      </c>
      <c r="H30678" s="40" t="s">
        <v>11404</v>
      </c>
    </row>
    <row r="30679">
      <c r="A30679" s="39"/>
      <c r="E30679" s="40" t="s">
        <v>11404</v>
      </c>
      <c r="F30679" s="40" t="s">
        <v>11404</v>
      </c>
      <c r="G30679" s="40" t="s">
        <v>11404</v>
      </c>
      <c r="H30679" s="40" t="s">
        <v>11404</v>
      </c>
    </row>
    <row r="30680">
      <c r="A30680" s="39"/>
      <c r="E30680" s="40" t="s">
        <v>11404</v>
      </c>
      <c r="F30680" s="40" t="s">
        <v>11404</v>
      </c>
      <c r="G30680" s="40" t="s">
        <v>11404</v>
      </c>
      <c r="H30680" s="40" t="s">
        <v>11404</v>
      </c>
    </row>
    <row r="30681">
      <c r="A30681" s="39"/>
      <c r="E30681" s="40" t="s">
        <v>11404</v>
      </c>
      <c r="F30681" s="40" t="s">
        <v>11404</v>
      </c>
      <c r="G30681" s="40" t="s">
        <v>11404</v>
      </c>
      <c r="H30681" s="40" t="s">
        <v>11404</v>
      </c>
    </row>
    <row r="30682">
      <c r="A30682" s="39"/>
      <c r="E30682" s="40" t="s">
        <v>11404</v>
      </c>
      <c r="F30682" s="40" t="s">
        <v>11404</v>
      </c>
      <c r="G30682" s="40" t="s">
        <v>11404</v>
      </c>
      <c r="H30682" s="40" t="s">
        <v>11404</v>
      </c>
    </row>
    <row r="30683">
      <c r="A30683" s="39"/>
      <c r="E30683" s="40" t="s">
        <v>11404</v>
      </c>
      <c r="F30683" s="40" t="s">
        <v>11404</v>
      </c>
      <c r="G30683" s="40" t="s">
        <v>11404</v>
      </c>
      <c r="H30683" s="40" t="s">
        <v>11404</v>
      </c>
    </row>
    <row r="30684">
      <c r="A30684" s="39"/>
      <c r="E30684" s="40" t="s">
        <v>11404</v>
      </c>
      <c r="F30684" s="40" t="s">
        <v>11404</v>
      </c>
      <c r="G30684" s="40" t="s">
        <v>11404</v>
      </c>
      <c r="H30684" s="40" t="s">
        <v>11404</v>
      </c>
    </row>
    <row r="30685">
      <c r="A30685" s="39"/>
      <c r="E30685" s="40" t="s">
        <v>11404</v>
      </c>
      <c r="F30685" s="40" t="s">
        <v>11404</v>
      </c>
      <c r="G30685" s="40" t="s">
        <v>11404</v>
      </c>
      <c r="H30685" s="40" t="s">
        <v>11404</v>
      </c>
    </row>
    <row r="30686">
      <c r="A30686" s="39"/>
      <c r="E30686" s="40" t="s">
        <v>11404</v>
      </c>
      <c r="F30686" s="40" t="s">
        <v>11404</v>
      </c>
      <c r="G30686" s="40" t="s">
        <v>11404</v>
      </c>
      <c r="H30686" s="40" t="s">
        <v>11404</v>
      </c>
    </row>
    <row r="30687">
      <c r="A30687" s="39"/>
      <c r="E30687" s="40" t="s">
        <v>11404</v>
      </c>
      <c r="F30687" s="40" t="s">
        <v>11404</v>
      </c>
      <c r="G30687" s="40" t="s">
        <v>11404</v>
      </c>
      <c r="H30687" s="40" t="s">
        <v>11404</v>
      </c>
    </row>
    <row r="30688">
      <c r="A30688" s="39"/>
      <c r="E30688" s="40" t="s">
        <v>11404</v>
      </c>
      <c r="F30688" s="40" t="s">
        <v>11404</v>
      </c>
      <c r="G30688" s="40" t="s">
        <v>11404</v>
      </c>
      <c r="H30688" s="40" t="s">
        <v>11404</v>
      </c>
    </row>
    <row r="30689">
      <c r="A30689" s="39"/>
      <c r="E30689" s="40" t="s">
        <v>11404</v>
      </c>
      <c r="F30689" s="40" t="s">
        <v>11404</v>
      </c>
      <c r="G30689" s="40" t="s">
        <v>11404</v>
      </c>
      <c r="H30689" s="40" t="s">
        <v>11404</v>
      </c>
    </row>
    <row r="30690">
      <c r="A30690" s="39"/>
      <c r="E30690" s="40" t="s">
        <v>11404</v>
      </c>
      <c r="F30690" s="40" t="s">
        <v>11404</v>
      </c>
      <c r="G30690" s="40" t="s">
        <v>11404</v>
      </c>
      <c r="H30690" s="40" t="s">
        <v>11404</v>
      </c>
    </row>
    <row r="30691">
      <c r="A30691" s="39"/>
      <c r="E30691" s="40" t="s">
        <v>11404</v>
      </c>
      <c r="F30691" s="40" t="s">
        <v>11404</v>
      </c>
      <c r="G30691" s="40" t="s">
        <v>11404</v>
      </c>
      <c r="H30691" s="40" t="s">
        <v>11404</v>
      </c>
    </row>
    <row r="30692">
      <c r="A30692" s="39"/>
      <c r="E30692" s="40" t="s">
        <v>11404</v>
      </c>
      <c r="F30692" s="40" t="s">
        <v>11404</v>
      </c>
      <c r="G30692" s="40" t="s">
        <v>11404</v>
      </c>
      <c r="H30692" s="40" t="s">
        <v>11404</v>
      </c>
    </row>
    <row r="30693">
      <c r="A30693" s="39"/>
      <c r="E30693" s="40" t="s">
        <v>11404</v>
      </c>
      <c r="F30693" s="40" t="s">
        <v>11404</v>
      </c>
      <c r="G30693" s="40" t="s">
        <v>11404</v>
      </c>
      <c r="H30693" s="40" t="s">
        <v>11404</v>
      </c>
    </row>
    <row r="30694">
      <c r="A30694" s="39"/>
      <c r="E30694" s="40" t="s">
        <v>11404</v>
      </c>
      <c r="F30694" s="40" t="s">
        <v>11404</v>
      </c>
      <c r="G30694" s="40" t="s">
        <v>11404</v>
      </c>
      <c r="H30694" s="40" t="s">
        <v>11404</v>
      </c>
    </row>
    <row r="30695">
      <c r="A30695" s="39"/>
      <c r="E30695" s="40" t="s">
        <v>11404</v>
      </c>
      <c r="F30695" s="40" t="s">
        <v>11404</v>
      </c>
      <c r="G30695" s="40" t="s">
        <v>11404</v>
      </c>
      <c r="H30695" s="40" t="s">
        <v>11404</v>
      </c>
    </row>
    <row r="30696">
      <c r="A30696" s="39"/>
      <c r="E30696" s="40" t="s">
        <v>11404</v>
      </c>
      <c r="F30696" s="40" t="s">
        <v>11404</v>
      </c>
      <c r="G30696" s="40" t="s">
        <v>11404</v>
      </c>
      <c r="H30696" s="40" t="s">
        <v>11404</v>
      </c>
    </row>
    <row r="30697">
      <c r="A30697" s="39"/>
      <c r="E30697" s="40" t="s">
        <v>11404</v>
      </c>
      <c r="F30697" s="40" t="s">
        <v>11404</v>
      </c>
      <c r="G30697" s="40" t="s">
        <v>11404</v>
      </c>
      <c r="H30697" s="40" t="s">
        <v>11404</v>
      </c>
    </row>
    <row r="30698">
      <c r="A30698" s="39"/>
      <c r="E30698" s="40" t="s">
        <v>11404</v>
      </c>
      <c r="F30698" s="40" t="s">
        <v>11404</v>
      </c>
      <c r="G30698" s="40" t="s">
        <v>11404</v>
      </c>
      <c r="H30698" s="40" t="s">
        <v>11404</v>
      </c>
    </row>
    <row r="30699">
      <c r="A30699" s="39"/>
      <c r="E30699" s="40" t="s">
        <v>11404</v>
      </c>
      <c r="F30699" s="40" t="s">
        <v>11404</v>
      </c>
      <c r="G30699" s="40" t="s">
        <v>11404</v>
      </c>
      <c r="H30699" s="40" t="s">
        <v>11404</v>
      </c>
    </row>
    <row r="30700">
      <c r="A30700" s="39"/>
      <c r="E30700" s="40" t="s">
        <v>11404</v>
      </c>
      <c r="F30700" s="40" t="s">
        <v>11404</v>
      </c>
      <c r="G30700" s="40" t="s">
        <v>11404</v>
      </c>
      <c r="H30700" s="40" t="s">
        <v>11404</v>
      </c>
    </row>
    <row r="30701">
      <c r="A30701" s="39"/>
      <c r="E30701" s="40" t="s">
        <v>11404</v>
      </c>
      <c r="F30701" s="40" t="s">
        <v>11404</v>
      </c>
      <c r="G30701" s="40" t="s">
        <v>11404</v>
      </c>
      <c r="H30701" s="40" t="s">
        <v>11404</v>
      </c>
    </row>
    <row r="30702">
      <c r="A30702" s="39"/>
      <c r="E30702" s="40" t="s">
        <v>11404</v>
      </c>
      <c r="F30702" s="40" t="s">
        <v>11404</v>
      </c>
      <c r="G30702" s="40" t="s">
        <v>11404</v>
      </c>
      <c r="H30702" s="40" t="s">
        <v>11404</v>
      </c>
    </row>
    <row r="30703">
      <c r="A30703" s="39"/>
      <c r="E30703" s="40" t="s">
        <v>11404</v>
      </c>
      <c r="F30703" s="40" t="s">
        <v>11404</v>
      </c>
      <c r="G30703" s="40" t="s">
        <v>11404</v>
      </c>
      <c r="H30703" s="40" t="s">
        <v>11404</v>
      </c>
    </row>
    <row r="30704">
      <c r="A30704" s="39"/>
      <c r="E30704" s="40" t="s">
        <v>11404</v>
      </c>
      <c r="F30704" s="40" t="s">
        <v>11404</v>
      </c>
      <c r="G30704" s="40" t="s">
        <v>11404</v>
      </c>
      <c r="H30704" s="40" t="s">
        <v>11404</v>
      </c>
    </row>
    <row r="30705">
      <c r="A30705" s="39"/>
      <c r="E30705" s="40" t="s">
        <v>11404</v>
      </c>
      <c r="F30705" s="40" t="s">
        <v>11404</v>
      </c>
      <c r="G30705" s="40" t="s">
        <v>11404</v>
      </c>
      <c r="H30705" s="40" t="s">
        <v>11404</v>
      </c>
    </row>
    <row r="30706">
      <c r="A30706" s="39"/>
      <c r="E30706" s="40" t="s">
        <v>11404</v>
      </c>
      <c r="F30706" s="40" t="s">
        <v>11404</v>
      </c>
      <c r="G30706" s="40" t="s">
        <v>11404</v>
      </c>
      <c r="H30706" s="40" t="s">
        <v>11404</v>
      </c>
    </row>
    <row r="30707">
      <c r="A30707" s="39"/>
      <c r="E30707" s="40" t="s">
        <v>11404</v>
      </c>
      <c r="F30707" s="40" t="s">
        <v>11404</v>
      </c>
      <c r="G30707" s="40" t="s">
        <v>11404</v>
      </c>
      <c r="H30707" s="40" t="s">
        <v>11404</v>
      </c>
    </row>
    <row r="30708">
      <c r="A30708" s="39"/>
      <c r="E30708" s="40" t="s">
        <v>11404</v>
      </c>
      <c r="F30708" s="40" t="s">
        <v>11404</v>
      </c>
      <c r="G30708" s="40" t="s">
        <v>11404</v>
      </c>
      <c r="H30708" s="40" t="s">
        <v>11404</v>
      </c>
    </row>
    <row r="30709">
      <c r="A30709" s="39"/>
      <c r="E30709" s="40" t="s">
        <v>11404</v>
      </c>
      <c r="F30709" s="40" t="s">
        <v>11404</v>
      </c>
      <c r="G30709" s="40" t="s">
        <v>11404</v>
      </c>
      <c r="H30709" s="40" t="s">
        <v>11404</v>
      </c>
    </row>
    <row r="30710">
      <c r="A30710" s="39"/>
      <c r="E30710" s="40" t="s">
        <v>11404</v>
      </c>
      <c r="F30710" s="40" t="s">
        <v>11404</v>
      </c>
      <c r="G30710" s="40" t="s">
        <v>11404</v>
      </c>
      <c r="H30710" s="40" t="s">
        <v>11404</v>
      </c>
    </row>
    <row r="30711">
      <c r="A30711" s="39"/>
      <c r="E30711" s="40" t="s">
        <v>11404</v>
      </c>
      <c r="F30711" s="40" t="s">
        <v>11404</v>
      </c>
      <c r="G30711" s="40" t="s">
        <v>11404</v>
      </c>
      <c r="H30711" s="40" t="s">
        <v>11404</v>
      </c>
    </row>
    <row r="30712">
      <c r="A30712" s="39"/>
      <c r="E30712" s="40" t="s">
        <v>11404</v>
      </c>
      <c r="F30712" s="40" t="s">
        <v>11404</v>
      </c>
      <c r="G30712" s="40" t="s">
        <v>11404</v>
      </c>
      <c r="H30712" s="40" t="s">
        <v>11404</v>
      </c>
    </row>
    <row r="30713">
      <c r="A30713" s="39"/>
      <c r="E30713" s="40" t="s">
        <v>11404</v>
      </c>
      <c r="F30713" s="40" t="s">
        <v>11404</v>
      </c>
      <c r="G30713" s="40" t="s">
        <v>11404</v>
      </c>
      <c r="H30713" s="40" t="s">
        <v>11404</v>
      </c>
    </row>
    <row r="30714">
      <c r="A30714" s="39"/>
      <c r="E30714" s="40" t="s">
        <v>11404</v>
      </c>
      <c r="F30714" s="40" t="s">
        <v>11404</v>
      </c>
      <c r="G30714" s="40" t="s">
        <v>11404</v>
      </c>
      <c r="H30714" s="40" t="s">
        <v>11404</v>
      </c>
    </row>
    <row r="30715">
      <c r="A30715" s="39"/>
      <c r="E30715" s="40" t="s">
        <v>11404</v>
      </c>
      <c r="F30715" s="40" t="s">
        <v>11404</v>
      </c>
      <c r="G30715" s="40" t="s">
        <v>11404</v>
      </c>
      <c r="H30715" s="40" t="s">
        <v>11404</v>
      </c>
    </row>
    <row r="30716">
      <c r="A30716" s="39"/>
      <c r="E30716" s="40" t="s">
        <v>11404</v>
      </c>
      <c r="F30716" s="40" t="s">
        <v>11404</v>
      </c>
      <c r="G30716" s="40" t="s">
        <v>11404</v>
      </c>
      <c r="H30716" s="40" t="s">
        <v>11404</v>
      </c>
    </row>
    <row r="30717">
      <c r="A30717" s="39"/>
      <c r="E30717" s="40" t="s">
        <v>11404</v>
      </c>
      <c r="F30717" s="40" t="s">
        <v>11404</v>
      </c>
      <c r="G30717" s="40" t="s">
        <v>11404</v>
      </c>
      <c r="H30717" s="40" t="s">
        <v>11404</v>
      </c>
    </row>
    <row r="30718">
      <c r="A30718" s="39"/>
      <c r="E30718" s="40" t="s">
        <v>11404</v>
      </c>
      <c r="F30718" s="40" t="s">
        <v>11404</v>
      </c>
      <c r="G30718" s="40" t="s">
        <v>11404</v>
      </c>
      <c r="H30718" s="40" t="s">
        <v>11404</v>
      </c>
    </row>
    <row r="30719">
      <c r="A30719" s="39"/>
      <c r="E30719" s="40" t="s">
        <v>11404</v>
      </c>
      <c r="F30719" s="40" t="s">
        <v>11404</v>
      </c>
      <c r="G30719" s="40" t="s">
        <v>11404</v>
      </c>
      <c r="H30719" s="40" t="s">
        <v>11404</v>
      </c>
    </row>
    <row r="30720">
      <c r="A30720" s="39"/>
      <c r="E30720" s="40" t="s">
        <v>11404</v>
      </c>
      <c r="F30720" s="40" t="s">
        <v>11404</v>
      </c>
      <c r="G30720" s="40" t="s">
        <v>11404</v>
      </c>
      <c r="H30720" s="40" t="s">
        <v>11404</v>
      </c>
    </row>
    <row r="30721">
      <c r="A30721" s="39"/>
      <c r="E30721" s="40" t="s">
        <v>11404</v>
      </c>
      <c r="F30721" s="40" t="s">
        <v>11404</v>
      </c>
      <c r="G30721" s="40" t="s">
        <v>11404</v>
      </c>
      <c r="H30721" s="40" t="s">
        <v>11404</v>
      </c>
    </row>
    <row r="30722">
      <c r="A30722" s="39"/>
      <c r="E30722" s="40" t="s">
        <v>11404</v>
      </c>
      <c r="F30722" s="40" t="s">
        <v>11404</v>
      </c>
      <c r="G30722" s="40" t="s">
        <v>11404</v>
      </c>
      <c r="H30722" s="40" t="s">
        <v>11404</v>
      </c>
    </row>
    <row r="30723">
      <c r="A30723" s="39"/>
      <c r="E30723" s="40" t="s">
        <v>11404</v>
      </c>
      <c r="F30723" s="40" t="s">
        <v>11404</v>
      </c>
      <c r="G30723" s="40" t="s">
        <v>11404</v>
      </c>
      <c r="H30723" s="40" t="s">
        <v>11404</v>
      </c>
    </row>
    <row r="30724">
      <c r="A30724" s="39"/>
      <c r="E30724" s="40" t="s">
        <v>11404</v>
      </c>
      <c r="F30724" s="40" t="s">
        <v>11404</v>
      </c>
      <c r="G30724" s="40" t="s">
        <v>11404</v>
      </c>
      <c r="H30724" s="40" t="s">
        <v>11404</v>
      </c>
    </row>
    <row r="30725">
      <c r="A30725" s="39"/>
      <c r="E30725" s="40" t="s">
        <v>11404</v>
      </c>
      <c r="F30725" s="40" t="s">
        <v>11404</v>
      </c>
      <c r="G30725" s="40" t="s">
        <v>11404</v>
      </c>
      <c r="H30725" s="40" t="s">
        <v>11404</v>
      </c>
    </row>
    <row r="30726">
      <c r="A30726" s="39"/>
      <c r="E30726" s="40" t="s">
        <v>11404</v>
      </c>
      <c r="F30726" s="40" t="s">
        <v>11404</v>
      </c>
      <c r="G30726" s="40" t="s">
        <v>11404</v>
      </c>
      <c r="H30726" s="40" t="s">
        <v>11404</v>
      </c>
    </row>
    <row r="30727">
      <c r="A30727" s="39"/>
      <c r="E30727" s="40" t="s">
        <v>11404</v>
      </c>
      <c r="F30727" s="40" t="s">
        <v>11404</v>
      </c>
      <c r="G30727" s="40" t="s">
        <v>11404</v>
      </c>
      <c r="H30727" s="40" t="s">
        <v>11404</v>
      </c>
    </row>
    <row r="30728">
      <c r="A30728" s="39"/>
      <c r="E30728" s="40" t="s">
        <v>11404</v>
      </c>
      <c r="F30728" s="40" t="s">
        <v>11404</v>
      </c>
      <c r="G30728" s="40" t="s">
        <v>11404</v>
      </c>
      <c r="H30728" s="40" t="s">
        <v>11404</v>
      </c>
    </row>
    <row r="30729">
      <c r="A30729" s="39"/>
      <c r="E30729" s="40" t="s">
        <v>11404</v>
      </c>
      <c r="F30729" s="40" t="s">
        <v>11404</v>
      </c>
      <c r="G30729" s="40" t="s">
        <v>11404</v>
      </c>
      <c r="H30729" s="40" t="s">
        <v>11404</v>
      </c>
    </row>
    <row r="30730">
      <c r="A30730" s="39"/>
      <c r="E30730" s="40" t="s">
        <v>11404</v>
      </c>
      <c r="F30730" s="40" t="s">
        <v>11404</v>
      </c>
      <c r="G30730" s="40" t="s">
        <v>11404</v>
      </c>
      <c r="H30730" s="40" t="s">
        <v>11404</v>
      </c>
    </row>
    <row r="30731">
      <c r="A30731" s="39"/>
      <c r="E30731" s="40" t="s">
        <v>11404</v>
      </c>
      <c r="F30731" s="40" t="s">
        <v>11404</v>
      </c>
      <c r="G30731" s="40" t="s">
        <v>11404</v>
      </c>
      <c r="H30731" s="40" t="s">
        <v>11404</v>
      </c>
    </row>
    <row r="30732">
      <c r="A30732" s="39"/>
      <c r="E30732" s="40" t="s">
        <v>11404</v>
      </c>
      <c r="F30732" s="40" t="s">
        <v>11404</v>
      </c>
      <c r="G30732" s="40" t="s">
        <v>11404</v>
      </c>
      <c r="H30732" s="40" t="s">
        <v>11404</v>
      </c>
    </row>
    <row r="30733">
      <c r="A30733" s="39"/>
      <c r="E30733" s="40" t="s">
        <v>11404</v>
      </c>
      <c r="F30733" s="40" t="s">
        <v>11404</v>
      </c>
      <c r="G30733" s="40" t="s">
        <v>11404</v>
      </c>
      <c r="H30733" s="40" t="s">
        <v>11404</v>
      </c>
    </row>
    <row r="30734">
      <c r="A30734" s="39"/>
      <c r="E30734" s="40" t="s">
        <v>11404</v>
      </c>
      <c r="F30734" s="40" t="s">
        <v>11404</v>
      </c>
      <c r="G30734" s="40" t="s">
        <v>11404</v>
      </c>
      <c r="H30734" s="40" t="s">
        <v>11404</v>
      </c>
    </row>
    <row r="30735">
      <c r="A30735" s="39"/>
      <c r="E30735" s="40" t="s">
        <v>11404</v>
      </c>
      <c r="F30735" s="40" t="s">
        <v>11404</v>
      </c>
      <c r="G30735" s="40" t="s">
        <v>11404</v>
      </c>
      <c r="H30735" s="40" t="s">
        <v>11404</v>
      </c>
    </row>
    <row r="30736">
      <c r="A30736" s="39"/>
      <c r="E30736" s="40" t="s">
        <v>11404</v>
      </c>
      <c r="F30736" s="40" t="s">
        <v>11404</v>
      </c>
      <c r="G30736" s="40" t="s">
        <v>11404</v>
      </c>
      <c r="H30736" s="40" t="s">
        <v>11404</v>
      </c>
    </row>
    <row r="30737">
      <c r="A30737" s="39"/>
      <c r="E30737" s="40" t="s">
        <v>11404</v>
      </c>
      <c r="F30737" s="40" t="s">
        <v>11404</v>
      </c>
      <c r="G30737" s="40" t="s">
        <v>11404</v>
      </c>
      <c r="H30737" s="40" t="s">
        <v>11404</v>
      </c>
    </row>
    <row r="30738">
      <c r="A30738" s="39"/>
      <c r="E30738" s="40" t="s">
        <v>11404</v>
      </c>
      <c r="F30738" s="40" t="s">
        <v>11404</v>
      </c>
      <c r="G30738" s="40" t="s">
        <v>11404</v>
      </c>
      <c r="H30738" s="40" t="s">
        <v>11404</v>
      </c>
    </row>
    <row r="30739">
      <c r="A30739" s="39"/>
      <c r="E30739" s="40" t="s">
        <v>11404</v>
      </c>
      <c r="F30739" s="40" t="s">
        <v>11404</v>
      </c>
      <c r="G30739" s="40" t="s">
        <v>11404</v>
      </c>
      <c r="H30739" s="40" t="s">
        <v>11404</v>
      </c>
    </row>
    <row r="30740">
      <c r="A30740" s="39"/>
      <c r="E30740" s="40" t="s">
        <v>11404</v>
      </c>
      <c r="F30740" s="40" t="s">
        <v>11404</v>
      </c>
      <c r="G30740" s="40" t="s">
        <v>11404</v>
      </c>
      <c r="H30740" s="40" t="s">
        <v>11404</v>
      </c>
    </row>
    <row r="30741">
      <c r="A30741" s="39"/>
      <c r="E30741" s="40" t="s">
        <v>11404</v>
      </c>
      <c r="F30741" s="40" t="s">
        <v>11404</v>
      </c>
      <c r="G30741" s="40" t="s">
        <v>11404</v>
      </c>
      <c r="H30741" s="40" t="s">
        <v>11404</v>
      </c>
    </row>
    <row r="30742">
      <c r="A30742" s="39"/>
      <c r="E30742" s="40" t="s">
        <v>11404</v>
      </c>
      <c r="F30742" s="40" t="s">
        <v>11404</v>
      </c>
      <c r="G30742" s="40" t="s">
        <v>11404</v>
      </c>
      <c r="H30742" s="40" t="s">
        <v>11404</v>
      </c>
    </row>
    <row r="30743">
      <c r="A30743" s="39"/>
      <c r="E30743" s="40" t="s">
        <v>11404</v>
      </c>
      <c r="F30743" s="40" t="s">
        <v>11404</v>
      </c>
      <c r="G30743" s="40" t="s">
        <v>11404</v>
      </c>
      <c r="H30743" s="40" t="s">
        <v>11404</v>
      </c>
    </row>
    <row r="30744">
      <c r="A30744" s="39"/>
      <c r="E30744" s="40" t="s">
        <v>11404</v>
      </c>
      <c r="F30744" s="40" t="s">
        <v>11404</v>
      </c>
      <c r="G30744" s="40" t="s">
        <v>11404</v>
      </c>
      <c r="H30744" s="40" t="s">
        <v>11404</v>
      </c>
    </row>
    <row r="30745">
      <c r="A30745" s="39"/>
      <c r="E30745" s="40" t="s">
        <v>11404</v>
      </c>
      <c r="F30745" s="40" t="s">
        <v>11404</v>
      </c>
      <c r="G30745" s="40" t="s">
        <v>11404</v>
      </c>
      <c r="H30745" s="40" t="s">
        <v>11404</v>
      </c>
    </row>
    <row r="30746">
      <c r="A30746" s="39"/>
      <c r="E30746" s="40" t="s">
        <v>11404</v>
      </c>
      <c r="F30746" s="40" t="s">
        <v>11404</v>
      </c>
      <c r="G30746" s="40" t="s">
        <v>11404</v>
      </c>
      <c r="H30746" s="40" t="s">
        <v>11404</v>
      </c>
    </row>
    <row r="30747">
      <c r="A30747" s="39"/>
      <c r="E30747" s="40" t="s">
        <v>11404</v>
      </c>
      <c r="F30747" s="40" t="s">
        <v>11404</v>
      </c>
      <c r="G30747" s="40" t="s">
        <v>11404</v>
      </c>
      <c r="H30747" s="40" t="s">
        <v>11404</v>
      </c>
    </row>
    <row r="30748">
      <c r="A30748" s="39"/>
      <c r="E30748" s="40" t="s">
        <v>11404</v>
      </c>
      <c r="F30748" s="40" t="s">
        <v>11404</v>
      </c>
      <c r="G30748" s="40" t="s">
        <v>11404</v>
      </c>
      <c r="H30748" s="40" t="s">
        <v>11404</v>
      </c>
    </row>
    <row r="30749">
      <c r="A30749" s="39"/>
      <c r="E30749" s="40" t="s">
        <v>11404</v>
      </c>
      <c r="F30749" s="40" t="s">
        <v>11404</v>
      </c>
      <c r="G30749" s="40" t="s">
        <v>11404</v>
      </c>
      <c r="H30749" s="40" t="s">
        <v>11404</v>
      </c>
    </row>
    <row r="30750">
      <c r="A30750" s="39"/>
      <c r="E30750" s="40" t="s">
        <v>11404</v>
      </c>
      <c r="F30750" s="40" t="s">
        <v>11404</v>
      </c>
      <c r="G30750" s="40" t="s">
        <v>11404</v>
      </c>
      <c r="H30750" s="40" t="s">
        <v>11404</v>
      </c>
    </row>
    <row r="30751">
      <c r="A30751" s="39"/>
      <c r="E30751" s="40" t="s">
        <v>11404</v>
      </c>
      <c r="F30751" s="40" t="s">
        <v>11404</v>
      </c>
      <c r="G30751" s="40" t="s">
        <v>11404</v>
      </c>
      <c r="H30751" s="40" t="s">
        <v>11404</v>
      </c>
    </row>
    <row r="30752">
      <c r="A30752" s="39"/>
      <c r="E30752" s="40" t="s">
        <v>11404</v>
      </c>
      <c r="F30752" s="40" t="s">
        <v>11404</v>
      </c>
      <c r="G30752" s="40" t="s">
        <v>11404</v>
      </c>
      <c r="H30752" s="40" t="s">
        <v>11404</v>
      </c>
    </row>
    <row r="30753">
      <c r="A30753" s="39"/>
      <c r="E30753" s="40" t="s">
        <v>11404</v>
      </c>
      <c r="F30753" s="40" t="s">
        <v>11404</v>
      </c>
      <c r="G30753" s="40" t="s">
        <v>11404</v>
      </c>
      <c r="H30753" s="40" t="s">
        <v>11404</v>
      </c>
    </row>
    <row r="30754">
      <c r="A30754" s="39"/>
      <c r="E30754" s="40" t="s">
        <v>11404</v>
      </c>
      <c r="F30754" s="40" t="s">
        <v>11404</v>
      </c>
      <c r="G30754" s="40" t="s">
        <v>11404</v>
      </c>
      <c r="H30754" s="40" t="s">
        <v>11404</v>
      </c>
    </row>
    <row r="30755">
      <c r="A30755" s="39"/>
      <c r="E30755" s="40" t="s">
        <v>11404</v>
      </c>
      <c r="F30755" s="40" t="s">
        <v>11404</v>
      </c>
      <c r="G30755" s="40" t="s">
        <v>11404</v>
      </c>
      <c r="H30755" s="40" t="s">
        <v>11404</v>
      </c>
    </row>
    <row r="30756">
      <c r="A30756" s="39"/>
      <c r="E30756" s="40" t="s">
        <v>11404</v>
      </c>
      <c r="F30756" s="40" t="s">
        <v>11404</v>
      </c>
      <c r="G30756" s="40" t="s">
        <v>11404</v>
      </c>
      <c r="H30756" s="40" t="s">
        <v>11404</v>
      </c>
    </row>
    <row r="30757">
      <c r="A30757" s="39"/>
      <c r="E30757" s="40" t="s">
        <v>11404</v>
      </c>
      <c r="F30757" s="40" t="s">
        <v>11404</v>
      </c>
      <c r="G30757" s="40" t="s">
        <v>11404</v>
      </c>
      <c r="H30757" s="40" t="s">
        <v>11404</v>
      </c>
    </row>
    <row r="30758">
      <c r="A30758" s="39"/>
      <c r="E30758" s="40" t="s">
        <v>11404</v>
      </c>
      <c r="F30758" s="40" t="s">
        <v>11404</v>
      </c>
      <c r="G30758" s="40" t="s">
        <v>11404</v>
      </c>
      <c r="H30758" s="40" t="s">
        <v>11404</v>
      </c>
    </row>
    <row r="30759">
      <c r="A30759" s="39"/>
      <c r="E30759" s="40" t="s">
        <v>11404</v>
      </c>
      <c r="F30759" s="40" t="s">
        <v>11404</v>
      </c>
      <c r="G30759" s="40" t="s">
        <v>11404</v>
      </c>
      <c r="H30759" s="40" t="s">
        <v>11404</v>
      </c>
    </row>
    <row r="30760">
      <c r="A30760" s="39"/>
      <c r="E30760" s="40" t="s">
        <v>11404</v>
      </c>
      <c r="F30760" s="40" t="s">
        <v>11404</v>
      </c>
      <c r="G30760" s="40" t="s">
        <v>11404</v>
      </c>
      <c r="H30760" s="40" t="s">
        <v>11404</v>
      </c>
    </row>
    <row r="30761">
      <c r="A30761" s="39"/>
      <c r="E30761" s="40" t="s">
        <v>11404</v>
      </c>
      <c r="F30761" s="40" t="s">
        <v>11404</v>
      </c>
      <c r="G30761" s="40" t="s">
        <v>11404</v>
      </c>
      <c r="H30761" s="40" t="s">
        <v>11404</v>
      </c>
    </row>
    <row r="30762">
      <c r="A30762" s="39"/>
      <c r="E30762" s="40" t="s">
        <v>11404</v>
      </c>
      <c r="F30762" s="40" t="s">
        <v>11404</v>
      </c>
      <c r="G30762" s="40" t="s">
        <v>11404</v>
      </c>
      <c r="H30762" s="40" t="s">
        <v>11404</v>
      </c>
    </row>
    <row r="30763">
      <c r="A30763" s="39"/>
      <c r="E30763" s="40" t="s">
        <v>11404</v>
      </c>
      <c r="F30763" s="40" t="s">
        <v>11404</v>
      </c>
      <c r="G30763" s="40" t="s">
        <v>11404</v>
      </c>
      <c r="H30763" s="40" t="s">
        <v>11404</v>
      </c>
    </row>
    <row r="30764">
      <c r="A30764" s="39"/>
      <c r="E30764" s="40" t="s">
        <v>11404</v>
      </c>
      <c r="F30764" s="40" t="s">
        <v>11404</v>
      </c>
      <c r="G30764" s="40" t="s">
        <v>11404</v>
      </c>
      <c r="H30764" s="40" t="s">
        <v>11404</v>
      </c>
    </row>
    <row r="30765">
      <c r="A30765" s="39"/>
      <c r="E30765" s="40" t="s">
        <v>11404</v>
      </c>
      <c r="F30765" s="40" t="s">
        <v>11404</v>
      </c>
      <c r="G30765" s="40" t="s">
        <v>11404</v>
      </c>
      <c r="H30765" s="40" t="s">
        <v>11404</v>
      </c>
    </row>
    <row r="30766">
      <c r="A30766" s="39"/>
      <c r="E30766" s="40" t="s">
        <v>11404</v>
      </c>
      <c r="F30766" s="40" t="s">
        <v>11404</v>
      </c>
      <c r="G30766" s="40" t="s">
        <v>11404</v>
      </c>
      <c r="H30766" s="40" t="s">
        <v>11404</v>
      </c>
    </row>
    <row r="30767">
      <c r="A30767" s="39"/>
      <c r="E30767" s="40" t="s">
        <v>11404</v>
      </c>
      <c r="F30767" s="40" t="s">
        <v>11404</v>
      </c>
      <c r="G30767" s="40" t="s">
        <v>11404</v>
      </c>
      <c r="H30767" s="40" t="s">
        <v>11404</v>
      </c>
    </row>
    <row r="30768">
      <c r="A30768" s="39"/>
      <c r="E30768" s="40" t="s">
        <v>11404</v>
      </c>
      <c r="F30768" s="40" t="s">
        <v>11404</v>
      </c>
      <c r="G30768" s="40" t="s">
        <v>11404</v>
      </c>
      <c r="H30768" s="40" t="s">
        <v>11404</v>
      </c>
    </row>
    <row r="30769">
      <c r="A30769" s="39"/>
      <c r="E30769" s="40" t="s">
        <v>11404</v>
      </c>
      <c r="F30769" s="40" t="s">
        <v>11404</v>
      </c>
      <c r="G30769" s="40" t="s">
        <v>11404</v>
      </c>
      <c r="H30769" s="40" t="s">
        <v>11404</v>
      </c>
    </row>
    <row r="30770">
      <c r="A30770" s="39"/>
      <c r="E30770" s="40" t="s">
        <v>11404</v>
      </c>
      <c r="F30770" s="40" t="s">
        <v>11404</v>
      </c>
      <c r="G30770" s="40" t="s">
        <v>11404</v>
      </c>
      <c r="H30770" s="40" t="s">
        <v>11404</v>
      </c>
    </row>
    <row r="30771">
      <c r="A30771" s="39"/>
      <c r="E30771" s="40" t="s">
        <v>11404</v>
      </c>
      <c r="F30771" s="40" t="s">
        <v>11404</v>
      </c>
      <c r="G30771" s="40" t="s">
        <v>11404</v>
      </c>
      <c r="H30771" s="40" t="s">
        <v>11404</v>
      </c>
    </row>
    <row r="30772">
      <c r="A30772" s="39"/>
      <c r="E30772" s="40" t="s">
        <v>11404</v>
      </c>
      <c r="F30772" s="40" t="s">
        <v>11404</v>
      </c>
      <c r="G30772" s="40" t="s">
        <v>11404</v>
      </c>
      <c r="H30772" s="40" t="s">
        <v>11404</v>
      </c>
    </row>
    <row r="30773">
      <c r="A30773" s="39"/>
      <c r="E30773" s="40" t="s">
        <v>11404</v>
      </c>
      <c r="F30773" s="40" t="s">
        <v>11404</v>
      </c>
      <c r="G30773" s="40" t="s">
        <v>11404</v>
      </c>
      <c r="H30773" s="40" t="s">
        <v>11404</v>
      </c>
    </row>
    <row r="30774">
      <c r="A30774" s="39"/>
      <c r="E30774" s="40" t="s">
        <v>11404</v>
      </c>
      <c r="F30774" s="40" t="s">
        <v>11404</v>
      </c>
      <c r="G30774" s="40" t="s">
        <v>11404</v>
      </c>
      <c r="H30774" s="40" t="s">
        <v>11404</v>
      </c>
    </row>
    <row r="30775">
      <c r="A30775" s="39"/>
      <c r="E30775" s="40" t="s">
        <v>11404</v>
      </c>
      <c r="F30775" s="40" t="s">
        <v>11404</v>
      </c>
      <c r="G30775" s="40" t="s">
        <v>11404</v>
      </c>
      <c r="H30775" s="40" t="s">
        <v>11404</v>
      </c>
    </row>
    <row r="30776">
      <c r="A30776" s="39"/>
      <c r="E30776" s="40" t="s">
        <v>11404</v>
      </c>
      <c r="F30776" s="40" t="s">
        <v>11404</v>
      </c>
      <c r="G30776" s="40" t="s">
        <v>11404</v>
      </c>
      <c r="H30776" s="40" t="s">
        <v>11404</v>
      </c>
    </row>
    <row r="30777">
      <c r="A30777" s="39"/>
      <c r="E30777" s="40" t="s">
        <v>11404</v>
      </c>
      <c r="F30777" s="40" t="s">
        <v>11404</v>
      </c>
      <c r="G30777" s="40" t="s">
        <v>11404</v>
      </c>
      <c r="H30777" s="40" t="s">
        <v>11404</v>
      </c>
    </row>
    <row r="30778">
      <c r="A30778" s="39"/>
      <c r="E30778" s="40" t="s">
        <v>11404</v>
      </c>
      <c r="F30778" s="40" t="s">
        <v>11404</v>
      </c>
      <c r="G30778" s="40" t="s">
        <v>11404</v>
      </c>
      <c r="H30778" s="40" t="s">
        <v>11404</v>
      </c>
    </row>
    <row r="30779">
      <c r="A30779" s="39"/>
      <c r="E30779" s="40" t="s">
        <v>11404</v>
      </c>
      <c r="F30779" s="40" t="s">
        <v>11404</v>
      </c>
      <c r="G30779" s="40" t="s">
        <v>11404</v>
      </c>
      <c r="H30779" s="40" t="s">
        <v>11404</v>
      </c>
    </row>
    <row r="30780">
      <c r="A30780" s="39"/>
      <c r="E30780" s="40" t="s">
        <v>11404</v>
      </c>
      <c r="F30780" s="40" t="s">
        <v>11404</v>
      </c>
      <c r="G30780" s="40" t="s">
        <v>11404</v>
      </c>
      <c r="H30780" s="40" t="s">
        <v>11404</v>
      </c>
    </row>
    <row r="30781">
      <c r="A30781" s="39"/>
      <c r="E30781" s="40" t="s">
        <v>11404</v>
      </c>
      <c r="F30781" s="40" t="s">
        <v>11404</v>
      </c>
      <c r="G30781" s="40" t="s">
        <v>11404</v>
      </c>
      <c r="H30781" s="40" t="s">
        <v>11404</v>
      </c>
    </row>
    <row r="30782">
      <c r="A30782" s="39"/>
      <c r="E30782" s="40" t="s">
        <v>11404</v>
      </c>
      <c r="F30782" s="40" t="s">
        <v>11404</v>
      </c>
      <c r="G30782" s="40" t="s">
        <v>11404</v>
      </c>
      <c r="H30782" s="40" t="s">
        <v>11404</v>
      </c>
    </row>
    <row r="30783">
      <c r="A30783" s="39"/>
      <c r="E30783" s="40" t="s">
        <v>11404</v>
      </c>
      <c r="F30783" s="40" t="s">
        <v>11404</v>
      </c>
      <c r="G30783" s="40" t="s">
        <v>11404</v>
      </c>
      <c r="H30783" s="40" t="s">
        <v>11404</v>
      </c>
    </row>
    <row r="30784">
      <c r="A30784" s="39"/>
      <c r="E30784" s="40" t="s">
        <v>11404</v>
      </c>
      <c r="F30784" s="40" t="s">
        <v>11404</v>
      </c>
      <c r="G30784" s="40" t="s">
        <v>11404</v>
      </c>
      <c r="H30784" s="40" t="s">
        <v>11404</v>
      </c>
    </row>
    <row r="30785">
      <c r="A30785" s="39"/>
      <c r="E30785" s="40" t="s">
        <v>11404</v>
      </c>
      <c r="F30785" s="40" t="s">
        <v>11404</v>
      </c>
      <c r="G30785" s="40" t="s">
        <v>11404</v>
      </c>
      <c r="H30785" s="40" t="s">
        <v>11404</v>
      </c>
    </row>
    <row r="30786">
      <c r="A30786" s="39"/>
      <c r="E30786" s="40" t="s">
        <v>11404</v>
      </c>
      <c r="F30786" s="40" t="s">
        <v>11404</v>
      </c>
      <c r="G30786" s="40" t="s">
        <v>11404</v>
      </c>
      <c r="H30786" s="40" t="s">
        <v>11404</v>
      </c>
    </row>
    <row r="30787">
      <c r="A30787" s="39"/>
      <c r="E30787" s="40" t="s">
        <v>11404</v>
      </c>
      <c r="F30787" s="40" t="s">
        <v>11404</v>
      </c>
      <c r="G30787" s="40" t="s">
        <v>11404</v>
      </c>
      <c r="H30787" s="40" t="s">
        <v>11404</v>
      </c>
    </row>
    <row r="30788">
      <c r="A30788" s="39"/>
      <c r="E30788" s="40" t="s">
        <v>11404</v>
      </c>
      <c r="F30788" s="40" t="s">
        <v>11404</v>
      </c>
      <c r="G30788" s="40" t="s">
        <v>11404</v>
      </c>
      <c r="H30788" s="40" t="s">
        <v>11404</v>
      </c>
    </row>
    <row r="30789">
      <c r="A30789" s="39"/>
      <c r="E30789" s="40" t="s">
        <v>11404</v>
      </c>
      <c r="F30789" s="40" t="s">
        <v>11404</v>
      </c>
      <c r="G30789" s="40" t="s">
        <v>11404</v>
      </c>
      <c r="H30789" s="40" t="s">
        <v>11404</v>
      </c>
    </row>
    <row r="30790">
      <c r="A30790" s="39"/>
      <c r="E30790" s="40" t="s">
        <v>11404</v>
      </c>
      <c r="F30790" s="40" t="s">
        <v>11404</v>
      </c>
      <c r="G30790" s="40" t="s">
        <v>11404</v>
      </c>
      <c r="H30790" s="40" t="s">
        <v>11404</v>
      </c>
    </row>
    <row r="30791">
      <c r="A30791" s="39"/>
      <c r="E30791" s="40" t="s">
        <v>11404</v>
      </c>
      <c r="F30791" s="40" t="s">
        <v>11404</v>
      </c>
      <c r="G30791" s="40" t="s">
        <v>11404</v>
      </c>
      <c r="H30791" s="40" t="s">
        <v>11404</v>
      </c>
    </row>
    <row r="30792">
      <c r="A30792" s="39"/>
      <c r="E30792" s="40" t="s">
        <v>11404</v>
      </c>
      <c r="F30792" s="40" t="s">
        <v>11404</v>
      </c>
      <c r="G30792" s="40" t="s">
        <v>11404</v>
      </c>
      <c r="H30792" s="40" t="s">
        <v>11404</v>
      </c>
    </row>
    <row r="30793">
      <c r="A30793" s="39"/>
      <c r="E30793" s="40" t="s">
        <v>11404</v>
      </c>
      <c r="F30793" s="40" t="s">
        <v>11404</v>
      </c>
      <c r="G30793" s="40" t="s">
        <v>11404</v>
      </c>
      <c r="H30793" s="40" t="s">
        <v>11404</v>
      </c>
    </row>
    <row r="30794">
      <c r="A30794" s="39"/>
      <c r="E30794" s="40" t="s">
        <v>11404</v>
      </c>
      <c r="F30794" s="40" t="s">
        <v>11404</v>
      </c>
      <c r="G30794" s="40" t="s">
        <v>11404</v>
      </c>
      <c r="H30794" s="40" t="s">
        <v>11404</v>
      </c>
    </row>
    <row r="30795">
      <c r="A30795" s="39"/>
      <c r="E30795" s="40" t="s">
        <v>11404</v>
      </c>
      <c r="F30795" s="40" t="s">
        <v>11404</v>
      </c>
      <c r="G30795" s="40" t="s">
        <v>11404</v>
      </c>
      <c r="H30795" s="40" t="s">
        <v>11404</v>
      </c>
    </row>
    <row r="30796">
      <c r="A30796" s="39"/>
      <c r="E30796" s="40" t="s">
        <v>11404</v>
      </c>
      <c r="F30796" s="40" t="s">
        <v>11404</v>
      </c>
      <c r="G30796" s="40" t="s">
        <v>11404</v>
      </c>
      <c r="H30796" s="40" t="s">
        <v>11404</v>
      </c>
    </row>
    <row r="30797">
      <c r="A30797" s="39"/>
      <c r="E30797" s="40" t="s">
        <v>11404</v>
      </c>
      <c r="F30797" s="40" t="s">
        <v>11404</v>
      </c>
      <c r="G30797" s="40" t="s">
        <v>11404</v>
      </c>
      <c r="H30797" s="40" t="s">
        <v>11404</v>
      </c>
    </row>
    <row r="30798">
      <c r="A30798" s="39"/>
      <c r="E30798" s="40" t="s">
        <v>11404</v>
      </c>
      <c r="F30798" s="40" t="s">
        <v>11404</v>
      </c>
      <c r="G30798" s="40" t="s">
        <v>11404</v>
      </c>
      <c r="H30798" s="40" t="s">
        <v>11404</v>
      </c>
    </row>
    <row r="30799">
      <c r="A30799" s="39"/>
      <c r="E30799" s="40" t="s">
        <v>11404</v>
      </c>
      <c r="F30799" s="40" t="s">
        <v>11404</v>
      </c>
      <c r="G30799" s="40" t="s">
        <v>11404</v>
      </c>
      <c r="H30799" s="40" t="s">
        <v>11404</v>
      </c>
    </row>
    <row r="30800">
      <c r="A30800" s="39"/>
      <c r="E30800" s="40" t="s">
        <v>11404</v>
      </c>
      <c r="F30800" s="40" t="s">
        <v>11404</v>
      </c>
      <c r="G30800" s="40" t="s">
        <v>11404</v>
      </c>
      <c r="H30800" s="40" t="s">
        <v>11404</v>
      </c>
    </row>
    <row r="30801">
      <c r="A30801" s="39"/>
      <c r="E30801" s="40" t="s">
        <v>11404</v>
      </c>
      <c r="F30801" s="40" t="s">
        <v>11404</v>
      </c>
      <c r="G30801" s="40" t="s">
        <v>11404</v>
      </c>
      <c r="H30801" s="40" t="s">
        <v>11404</v>
      </c>
    </row>
    <row r="30802">
      <c r="A30802" s="39"/>
      <c r="E30802" s="40" t="s">
        <v>11404</v>
      </c>
      <c r="F30802" s="40" t="s">
        <v>11404</v>
      </c>
      <c r="G30802" s="40" t="s">
        <v>11404</v>
      </c>
      <c r="H30802" s="40" t="s">
        <v>11404</v>
      </c>
    </row>
    <row r="30803">
      <c r="A30803" s="39"/>
      <c r="E30803" s="40" t="s">
        <v>11404</v>
      </c>
      <c r="F30803" s="40" t="s">
        <v>11404</v>
      </c>
      <c r="G30803" s="40" t="s">
        <v>11404</v>
      </c>
      <c r="H30803" s="40" t="s">
        <v>11404</v>
      </c>
    </row>
    <row r="30804">
      <c r="A30804" s="39"/>
      <c r="E30804" s="40" t="s">
        <v>11404</v>
      </c>
      <c r="F30804" s="40" t="s">
        <v>11404</v>
      </c>
      <c r="G30804" s="40" t="s">
        <v>11404</v>
      </c>
      <c r="H30804" s="40" t="s">
        <v>11404</v>
      </c>
    </row>
    <row r="30805">
      <c r="A30805" s="39"/>
      <c r="E30805" s="40" t="s">
        <v>11404</v>
      </c>
      <c r="F30805" s="40" t="s">
        <v>11404</v>
      </c>
      <c r="G30805" s="40" t="s">
        <v>11404</v>
      </c>
      <c r="H30805" s="40" t="s">
        <v>11404</v>
      </c>
    </row>
    <row r="30806">
      <c r="A30806" s="39"/>
      <c r="E30806" s="40" t="s">
        <v>11404</v>
      </c>
      <c r="F30806" s="40" t="s">
        <v>11404</v>
      </c>
      <c r="G30806" s="40" t="s">
        <v>11404</v>
      </c>
      <c r="H30806" s="40" t="s">
        <v>11404</v>
      </c>
    </row>
    <row r="30807">
      <c r="A30807" s="39"/>
      <c r="E30807" s="40" t="s">
        <v>11404</v>
      </c>
      <c r="F30807" s="40" t="s">
        <v>11404</v>
      </c>
      <c r="G30807" s="40" t="s">
        <v>11404</v>
      </c>
      <c r="H30807" s="40" t="s">
        <v>11404</v>
      </c>
    </row>
    <row r="30808">
      <c r="A30808" s="39"/>
      <c r="E30808" s="40" t="s">
        <v>11404</v>
      </c>
      <c r="F30808" s="40" t="s">
        <v>11404</v>
      </c>
      <c r="G30808" s="40" t="s">
        <v>11404</v>
      </c>
      <c r="H30808" s="40" t="s">
        <v>11404</v>
      </c>
    </row>
    <row r="30809">
      <c r="A30809" s="39"/>
      <c r="E30809" s="40" t="s">
        <v>11404</v>
      </c>
      <c r="F30809" s="40" t="s">
        <v>11404</v>
      </c>
      <c r="G30809" s="40" t="s">
        <v>11404</v>
      </c>
      <c r="H30809" s="40" t="s">
        <v>11404</v>
      </c>
    </row>
    <row r="30810">
      <c r="A30810" s="39"/>
      <c r="E30810" s="40" t="s">
        <v>11404</v>
      </c>
      <c r="F30810" s="40" t="s">
        <v>11404</v>
      </c>
      <c r="G30810" s="40" t="s">
        <v>11404</v>
      </c>
      <c r="H30810" s="40" t="s">
        <v>11404</v>
      </c>
    </row>
    <row r="30811">
      <c r="A30811" s="39"/>
      <c r="E30811" s="40" t="s">
        <v>11404</v>
      </c>
      <c r="F30811" s="40" t="s">
        <v>11404</v>
      </c>
      <c r="G30811" s="40" t="s">
        <v>11404</v>
      </c>
      <c r="H30811" s="40" t="s">
        <v>11404</v>
      </c>
    </row>
    <row r="30812">
      <c r="A30812" s="39"/>
      <c r="E30812" s="40" t="s">
        <v>11404</v>
      </c>
      <c r="F30812" s="40" t="s">
        <v>11404</v>
      </c>
      <c r="G30812" s="40" t="s">
        <v>11404</v>
      </c>
      <c r="H30812" s="40" t="s">
        <v>11404</v>
      </c>
    </row>
    <row r="30813">
      <c r="A30813" s="39"/>
      <c r="E30813" s="40" t="s">
        <v>11404</v>
      </c>
      <c r="F30813" s="40" t="s">
        <v>11404</v>
      </c>
      <c r="G30813" s="40" t="s">
        <v>11404</v>
      </c>
      <c r="H30813" s="40" t="s">
        <v>11404</v>
      </c>
    </row>
    <row r="30814">
      <c r="A30814" s="39"/>
      <c r="E30814" s="40" t="s">
        <v>11404</v>
      </c>
      <c r="F30814" s="40" t="s">
        <v>11404</v>
      </c>
      <c r="G30814" s="40" t="s">
        <v>11404</v>
      </c>
      <c r="H30814" s="40" t="s">
        <v>11404</v>
      </c>
    </row>
    <row r="30815">
      <c r="A30815" s="39"/>
      <c r="E30815" s="40" t="s">
        <v>11404</v>
      </c>
      <c r="F30815" s="40" t="s">
        <v>11404</v>
      </c>
      <c r="G30815" s="40" t="s">
        <v>11404</v>
      </c>
      <c r="H30815" s="40" t="s">
        <v>11404</v>
      </c>
    </row>
    <row r="30816">
      <c r="A30816" s="39"/>
      <c r="E30816" s="40" t="s">
        <v>11404</v>
      </c>
      <c r="F30816" s="40" t="s">
        <v>11404</v>
      </c>
      <c r="G30816" s="40" t="s">
        <v>11404</v>
      </c>
      <c r="H30816" s="40" t="s">
        <v>11404</v>
      </c>
    </row>
    <row r="30817">
      <c r="A30817" s="39"/>
      <c r="E30817" s="40" t="s">
        <v>11404</v>
      </c>
      <c r="F30817" s="40" t="s">
        <v>11404</v>
      </c>
      <c r="G30817" s="40" t="s">
        <v>11404</v>
      </c>
      <c r="H30817" s="40" t="s">
        <v>11404</v>
      </c>
    </row>
    <row r="30818">
      <c r="A30818" s="39"/>
      <c r="E30818" s="40" t="s">
        <v>11404</v>
      </c>
      <c r="F30818" s="40" t="s">
        <v>11404</v>
      </c>
      <c r="G30818" s="40" t="s">
        <v>11404</v>
      </c>
      <c r="H30818" s="40" t="s">
        <v>11404</v>
      </c>
    </row>
    <row r="30819">
      <c r="A30819" s="39"/>
      <c r="E30819" s="40" t="s">
        <v>11404</v>
      </c>
      <c r="F30819" s="40" t="s">
        <v>11404</v>
      </c>
      <c r="G30819" s="40" t="s">
        <v>11404</v>
      </c>
      <c r="H30819" s="40" t="s">
        <v>11404</v>
      </c>
    </row>
    <row r="30820">
      <c r="A30820" s="39"/>
      <c r="E30820" s="40" t="s">
        <v>11404</v>
      </c>
      <c r="F30820" s="40" t="s">
        <v>11404</v>
      </c>
      <c r="G30820" s="40" t="s">
        <v>11404</v>
      </c>
      <c r="H30820" s="40" t="s">
        <v>11404</v>
      </c>
    </row>
    <row r="30821">
      <c r="A30821" s="39"/>
      <c r="E30821" s="40" t="s">
        <v>11404</v>
      </c>
      <c r="F30821" s="40" t="s">
        <v>11404</v>
      </c>
      <c r="G30821" s="40" t="s">
        <v>11404</v>
      </c>
      <c r="H30821" s="40" t="s">
        <v>11404</v>
      </c>
    </row>
    <row r="30822">
      <c r="A30822" s="39"/>
      <c r="E30822" s="40" t="s">
        <v>11404</v>
      </c>
      <c r="F30822" s="40" t="s">
        <v>11404</v>
      </c>
      <c r="G30822" s="40" t="s">
        <v>11404</v>
      </c>
      <c r="H30822" s="40" t="s">
        <v>11404</v>
      </c>
    </row>
    <row r="30823">
      <c r="A30823" s="39"/>
      <c r="E30823" s="40" t="s">
        <v>11404</v>
      </c>
      <c r="F30823" s="40" t="s">
        <v>11404</v>
      </c>
      <c r="G30823" s="40" t="s">
        <v>11404</v>
      </c>
      <c r="H30823" s="40" t="s">
        <v>11404</v>
      </c>
    </row>
    <row r="30824">
      <c r="A30824" s="39"/>
      <c r="E30824" s="40" t="s">
        <v>11404</v>
      </c>
      <c r="F30824" s="40" t="s">
        <v>11404</v>
      </c>
      <c r="G30824" s="40" t="s">
        <v>11404</v>
      </c>
      <c r="H30824" s="40" t="s">
        <v>11404</v>
      </c>
    </row>
    <row r="30825">
      <c r="A30825" s="39"/>
      <c r="E30825" s="40" t="s">
        <v>11404</v>
      </c>
      <c r="F30825" s="40" t="s">
        <v>11404</v>
      </c>
      <c r="G30825" s="40" t="s">
        <v>11404</v>
      </c>
      <c r="H30825" s="40" t="s">
        <v>11404</v>
      </c>
    </row>
    <row r="30826">
      <c r="A30826" s="39"/>
      <c r="E30826" s="40" t="s">
        <v>11404</v>
      </c>
      <c r="F30826" s="40" t="s">
        <v>11404</v>
      </c>
      <c r="G30826" s="40" t="s">
        <v>11404</v>
      </c>
      <c r="H30826" s="40" t="s">
        <v>11404</v>
      </c>
    </row>
    <row r="30827">
      <c r="A30827" s="39"/>
      <c r="E30827" s="40" t="s">
        <v>11404</v>
      </c>
      <c r="F30827" s="40" t="s">
        <v>11404</v>
      </c>
      <c r="G30827" s="40" t="s">
        <v>11404</v>
      </c>
      <c r="H30827" s="40" t="s">
        <v>11404</v>
      </c>
    </row>
    <row r="30828">
      <c r="A30828" s="39"/>
      <c r="E30828" s="40" t="s">
        <v>11404</v>
      </c>
      <c r="F30828" s="40" t="s">
        <v>11404</v>
      </c>
      <c r="G30828" s="40" t="s">
        <v>11404</v>
      </c>
      <c r="H30828" s="40" t="s">
        <v>11404</v>
      </c>
    </row>
    <row r="30829">
      <c r="A30829" s="39"/>
      <c r="E30829" s="40" t="s">
        <v>11404</v>
      </c>
      <c r="F30829" s="40" t="s">
        <v>11404</v>
      </c>
      <c r="G30829" s="40" t="s">
        <v>11404</v>
      </c>
      <c r="H30829" s="40" t="s">
        <v>11404</v>
      </c>
    </row>
    <row r="30830">
      <c r="A30830" s="39"/>
      <c r="E30830" s="40" t="s">
        <v>11404</v>
      </c>
      <c r="F30830" s="40" t="s">
        <v>11404</v>
      </c>
      <c r="G30830" s="40" t="s">
        <v>11404</v>
      </c>
      <c r="H30830" s="40" t="s">
        <v>11404</v>
      </c>
    </row>
    <row r="30831">
      <c r="A30831" s="39"/>
      <c r="E30831" s="40" t="s">
        <v>11404</v>
      </c>
      <c r="F30831" s="40" t="s">
        <v>11404</v>
      </c>
      <c r="G30831" s="40" t="s">
        <v>11404</v>
      </c>
      <c r="H30831" s="40" t="s">
        <v>11404</v>
      </c>
    </row>
    <row r="30832">
      <c r="A30832" s="39"/>
      <c r="E30832" s="40" t="s">
        <v>11404</v>
      </c>
      <c r="F30832" s="40" t="s">
        <v>11404</v>
      </c>
      <c r="G30832" s="40" t="s">
        <v>11404</v>
      </c>
      <c r="H30832" s="40" t="s">
        <v>11404</v>
      </c>
    </row>
    <row r="30833">
      <c r="A30833" s="39"/>
      <c r="E30833" s="40" t="s">
        <v>11404</v>
      </c>
      <c r="F30833" s="40" t="s">
        <v>11404</v>
      </c>
      <c r="G30833" s="40" t="s">
        <v>11404</v>
      </c>
      <c r="H30833" s="40" t="s">
        <v>11404</v>
      </c>
    </row>
    <row r="30834">
      <c r="A30834" s="39"/>
      <c r="E30834" s="40" t="s">
        <v>11404</v>
      </c>
      <c r="F30834" s="40" t="s">
        <v>11404</v>
      </c>
      <c r="G30834" s="40" t="s">
        <v>11404</v>
      </c>
      <c r="H30834" s="40" t="s">
        <v>11404</v>
      </c>
    </row>
    <row r="30835">
      <c r="A30835" s="39"/>
      <c r="E30835" s="40" t="s">
        <v>11404</v>
      </c>
      <c r="F30835" s="40" t="s">
        <v>11404</v>
      </c>
      <c r="G30835" s="40" t="s">
        <v>11404</v>
      </c>
      <c r="H30835" s="40" t="s">
        <v>11404</v>
      </c>
    </row>
    <row r="30836">
      <c r="A30836" s="39"/>
      <c r="E30836" s="40" t="s">
        <v>11404</v>
      </c>
      <c r="F30836" s="40" t="s">
        <v>11404</v>
      </c>
      <c r="G30836" s="40" t="s">
        <v>11404</v>
      </c>
      <c r="H30836" s="40" t="s">
        <v>11404</v>
      </c>
    </row>
    <row r="30837">
      <c r="A30837" s="39"/>
      <c r="E30837" s="40" t="s">
        <v>11404</v>
      </c>
      <c r="F30837" s="40" t="s">
        <v>11404</v>
      </c>
      <c r="G30837" s="40" t="s">
        <v>11404</v>
      </c>
      <c r="H30837" s="40" t="s">
        <v>11404</v>
      </c>
    </row>
    <row r="30838">
      <c r="A30838" s="39"/>
      <c r="E30838" s="40" t="s">
        <v>11404</v>
      </c>
      <c r="F30838" s="40" t="s">
        <v>11404</v>
      </c>
      <c r="G30838" s="40" t="s">
        <v>11404</v>
      </c>
      <c r="H30838" s="40" t="s">
        <v>11404</v>
      </c>
    </row>
    <row r="30839">
      <c r="A30839" s="39"/>
      <c r="E30839" s="40" t="s">
        <v>11404</v>
      </c>
      <c r="F30839" s="40" t="s">
        <v>11404</v>
      </c>
      <c r="G30839" s="40" t="s">
        <v>11404</v>
      </c>
      <c r="H30839" s="40" t="s">
        <v>11404</v>
      </c>
    </row>
    <row r="30840">
      <c r="A30840" s="39"/>
      <c r="E30840" s="40" t="s">
        <v>11404</v>
      </c>
      <c r="F30840" s="40" t="s">
        <v>11404</v>
      </c>
      <c r="G30840" s="40" t="s">
        <v>11404</v>
      </c>
      <c r="H30840" s="40" t="s">
        <v>11404</v>
      </c>
    </row>
    <row r="30841">
      <c r="A30841" s="39"/>
      <c r="E30841" s="40" t="s">
        <v>11404</v>
      </c>
      <c r="F30841" s="40" t="s">
        <v>11404</v>
      </c>
      <c r="G30841" s="40" t="s">
        <v>11404</v>
      </c>
      <c r="H30841" s="40" t="s">
        <v>11404</v>
      </c>
    </row>
    <row r="30842">
      <c r="A30842" s="39"/>
      <c r="E30842" s="40" t="s">
        <v>11404</v>
      </c>
      <c r="F30842" s="40" t="s">
        <v>11404</v>
      </c>
      <c r="G30842" s="40" t="s">
        <v>11404</v>
      </c>
      <c r="H30842" s="40" t="s">
        <v>11404</v>
      </c>
    </row>
    <row r="30843">
      <c r="A30843" s="39"/>
      <c r="E30843" s="40" t="s">
        <v>11404</v>
      </c>
      <c r="F30843" s="40" t="s">
        <v>11404</v>
      </c>
      <c r="G30843" s="40" t="s">
        <v>11404</v>
      </c>
      <c r="H30843" s="40" t="s">
        <v>11404</v>
      </c>
    </row>
    <row r="30844">
      <c r="A30844" s="39"/>
      <c r="E30844" s="40" t="s">
        <v>11404</v>
      </c>
      <c r="F30844" s="40" t="s">
        <v>11404</v>
      </c>
      <c r="G30844" s="40" t="s">
        <v>11404</v>
      </c>
      <c r="H30844" s="40" t="s">
        <v>11404</v>
      </c>
    </row>
    <row r="30845">
      <c r="A30845" s="39"/>
      <c r="E30845" s="40" t="s">
        <v>11404</v>
      </c>
      <c r="F30845" s="40" t="s">
        <v>11404</v>
      </c>
      <c r="G30845" s="40" t="s">
        <v>11404</v>
      </c>
      <c r="H30845" s="40" t="s">
        <v>11404</v>
      </c>
    </row>
    <row r="30846">
      <c r="A30846" s="39"/>
      <c r="E30846" s="40" t="s">
        <v>11404</v>
      </c>
      <c r="F30846" s="40" t="s">
        <v>11404</v>
      </c>
      <c r="G30846" s="40" t="s">
        <v>11404</v>
      </c>
      <c r="H30846" s="40" t="s">
        <v>11404</v>
      </c>
    </row>
    <row r="30847">
      <c r="A30847" s="39"/>
      <c r="E30847" s="40" t="s">
        <v>11404</v>
      </c>
      <c r="F30847" s="40" t="s">
        <v>11404</v>
      </c>
      <c r="G30847" s="40" t="s">
        <v>11404</v>
      </c>
      <c r="H30847" s="40" t="s">
        <v>11404</v>
      </c>
    </row>
    <row r="30848">
      <c r="A30848" s="39"/>
      <c r="E30848" s="40" t="s">
        <v>11404</v>
      </c>
      <c r="F30848" s="40" t="s">
        <v>11404</v>
      </c>
      <c r="G30848" s="40" t="s">
        <v>11404</v>
      </c>
      <c r="H30848" s="40" t="s">
        <v>11404</v>
      </c>
    </row>
    <row r="30849">
      <c r="A30849" s="39"/>
      <c r="E30849" s="40" t="s">
        <v>11404</v>
      </c>
      <c r="F30849" s="40" t="s">
        <v>11404</v>
      </c>
      <c r="G30849" s="40" t="s">
        <v>11404</v>
      </c>
      <c r="H30849" s="40" t="s">
        <v>11404</v>
      </c>
    </row>
    <row r="30850">
      <c r="A30850" s="39"/>
      <c r="E30850" s="40" t="s">
        <v>11404</v>
      </c>
      <c r="F30850" s="40" t="s">
        <v>11404</v>
      </c>
      <c r="G30850" s="40" t="s">
        <v>11404</v>
      </c>
      <c r="H30850" s="40" t="s">
        <v>11404</v>
      </c>
    </row>
    <row r="30851">
      <c r="A30851" s="39"/>
      <c r="E30851" s="40" t="s">
        <v>11404</v>
      </c>
      <c r="F30851" s="40" t="s">
        <v>11404</v>
      </c>
      <c r="G30851" s="40" t="s">
        <v>11404</v>
      </c>
      <c r="H30851" s="40" t="s">
        <v>11404</v>
      </c>
    </row>
    <row r="30852">
      <c r="A30852" s="39"/>
      <c r="E30852" s="40" t="s">
        <v>11404</v>
      </c>
      <c r="F30852" s="40" t="s">
        <v>11404</v>
      </c>
      <c r="G30852" s="40" t="s">
        <v>11404</v>
      </c>
      <c r="H30852" s="40" t="s">
        <v>11404</v>
      </c>
    </row>
    <row r="30853">
      <c r="A30853" s="39"/>
      <c r="E30853" s="40" t="s">
        <v>11404</v>
      </c>
      <c r="F30853" s="40" t="s">
        <v>11404</v>
      </c>
      <c r="G30853" s="40" t="s">
        <v>11404</v>
      </c>
      <c r="H30853" s="40" t="s">
        <v>11404</v>
      </c>
    </row>
    <row r="30854">
      <c r="A30854" s="39"/>
      <c r="E30854" s="40" t="s">
        <v>11404</v>
      </c>
      <c r="F30854" s="40" t="s">
        <v>11404</v>
      </c>
      <c r="G30854" s="40" t="s">
        <v>11404</v>
      </c>
      <c r="H30854" s="40" t="s">
        <v>11404</v>
      </c>
    </row>
    <row r="30855">
      <c r="A30855" s="39"/>
      <c r="E30855" s="40" t="s">
        <v>11404</v>
      </c>
      <c r="F30855" s="40" t="s">
        <v>11404</v>
      </c>
      <c r="G30855" s="40" t="s">
        <v>11404</v>
      </c>
      <c r="H30855" s="40" t="s">
        <v>11404</v>
      </c>
    </row>
    <row r="30856">
      <c r="A30856" s="39"/>
      <c r="E30856" s="40" t="s">
        <v>11404</v>
      </c>
      <c r="F30856" s="40" t="s">
        <v>11404</v>
      </c>
      <c r="G30856" s="40" t="s">
        <v>11404</v>
      </c>
      <c r="H30856" s="40" t="s">
        <v>11404</v>
      </c>
    </row>
    <row r="30857">
      <c r="A30857" s="39"/>
      <c r="E30857" s="40" t="s">
        <v>11404</v>
      </c>
      <c r="F30857" s="40" t="s">
        <v>11404</v>
      </c>
      <c r="G30857" s="40" t="s">
        <v>11404</v>
      </c>
      <c r="H30857" s="40" t="s">
        <v>11404</v>
      </c>
    </row>
    <row r="30858">
      <c r="A30858" s="39"/>
      <c r="E30858" s="40" t="s">
        <v>11404</v>
      </c>
      <c r="F30858" s="40" t="s">
        <v>11404</v>
      </c>
      <c r="G30858" s="40" t="s">
        <v>11404</v>
      </c>
      <c r="H30858" s="40" t="s">
        <v>11404</v>
      </c>
    </row>
    <row r="30859">
      <c r="A30859" s="39"/>
      <c r="E30859" s="40" t="s">
        <v>11404</v>
      </c>
      <c r="F30859" s="40" t="s">
        <v>11404</v>
      </c>
      <c r="G30859" s="40" t="s">
        <v>11404</v>
      </c>
      <c r="H30859" s="40" t="s">
        <v>11404</v>
      </c>
    </row>
    <row r="30860">
      <c r="A30860" s="39"/>
      <c r="E30860" s="40" t="s">
        <v>11404</v>
      </c>
      <c r="F30860" s="40" t="s">
        <v>11404</v>
      </c>
      <c r="G30860" s="40" t="s">
        <v>11404</v>
      </c>
      <c r="H30860" s="40" t="s">
        <v>11404</v>
      </c>
    </row>
    <row r="30861">
      <c r="A30861" s="39"/>
      <c r="E30861" s="40" t="s">
        <v>11404</v>
      </c>
      <c r="F30861" s="40" t="s">
        <v>11404</v>
      </c>
      <c r="G30861" s="40" t="s">
        <v>11404</v>
      </c>
      <c r="H30861" s="40" t="s">
        <v>11404</v>
      </c>
    </row>
    <row r="30862">
      <c r="A30862" s="39"/>
      <c r="E30862" s="40" t="s">
        <v>11404</v>
      </c>
      <c r="F30862" s="40" t="s">
        <v>11404</v>
      </c>
      <c r="G30862" s="40" t="s">
        <v>11404</v>
      </c>
      <c r="H30862" s="40" t="s">
        <v>11404</v>
      </c>
    </row>
    <row r="30863">
      <c r="A30863" s="39"/>
      <c r="E30863" s="40" t="s">
        <v>11404</v>
      </c>
      <c r="F30863" s="40" t="s">
        <v>11404</v>
      </c>
      <c r="G30863" s="40" t="s">
        <v>11404</v>
      </c>
      <c r="H30863" s="40" t="s">
        <v>11404</v>
      </c>
    </row>
    <row r="30864">
      <c r="A30864" s="39"/>
      <c r="E30864" s="40" t="s">
        <v>11404</v>
      </c>
      <c r="F30864" s="40" t="s">
        <v>11404</v>
      </c>
      <c r="G30864" s="40" t="s">
        <v>11404</v>
      </c>
      <c r="H30864" s="40" t="s">
        <v>11404</v>
      </c>
    </row>
    <row r="30865">
      <c r="A30865" s="39"/>
      <c r="E30865" s="40" t="s">
        <v>11404</v>
      </c>
      <c r="F30865" s="40" t="s">
        <v>11404</v>
      </c>
      <c r="G30865" s="40" t="s">
        <v>11404</v>
      </c>
      <c r="H30865" s="40" t="s">
        <v>11404</v>
      </c>
    </row>
    <row r="30866">
      <c r="A30866" s="39"/>
      <c r="E30866" s="40" t="s">
        <v>11404</v>
      </c>
      <c r="F30866" s="40" t="s">
        <v>11404</v>
      </c>
      <c r="G30866" s="40" t="s">
        <v>11404</v>
      </c>
      <c r="H30866" s="40" t="s">
        <v>11404</v>
      </c>
    </row>
    <row r="30867">
      <c r="A30867" s="39"/>
      <c r="E30867" s="40" t="s">
        <v>11404</v>
      </c>
      <c r="F30867" s="40" t="s">
        <v>11404</v>
      </c>
      <c r="G30867" s="40" t="s">
        <v>11404</v>
      </c>
      <c r="H30867" s="40" t="s">
        <v>11404</v>
      </c>
    </row>
    <row r="30868">
      <c r="A30868" s="39"/>
      <c r="E30868" s="40" t="s">
        <v>11404</v>
      </c>
      <c r="F30868" s="40" t="s">
        <v>11404</v>
      </c>
      <c r="G30868" s="40" t="s">
        <v>11404</v>
      </c>
      <c r="H30868" s="40" t="s">
        <v>11404</v>
      </c>
    </row>
    <row r="30869">
      <c r="A30869" s="39"/>
      <c r="E30869" s="40" t="s">
        <v>11404</v>
      </c>
      <c r="F30869" s="40" t="s">
        <v>11404</v>
      </c>
      <c r="G30869" s="40" t="s">
        <v>11404</v>
      </c>
      <c r="H30869" s="40" t="s">
        <v>11404</v>
      </c>
    </row>
    <row r="30870">
      <c r="A30870" s="39"/>
      <c r="E30870" s="40" t="s">
        <v>11404</v>
      </c>
      <c r="F30870" s="40" t="s">
        <v>11404</v>
      </c>
      <c r="G30870" s="40" t="s">
        <v>11404</v>
      </c>
      <c r="H30870" s="40" t="s">
        <v>11404</v>
      </c>
    </row>
    <row r="30871">
      <c r="A30871" s="39"/>
      <c r="E30871" s="40" t="s">
        <v>11404</v>
      </c>
      <c r="F30871" s="40" t="s">
        <v>11404</v>
      </c>
      <c r="G30871" s="40" t="s">
        <v>11404</v>
      </c>
      <c r="H30871" s="40" t="s">
        <v>11404</v>
      </c>
    </row>
    <row r="30872">
      <c r="A30872" s="39"/>
      <c r="E30872" s="40" t="s">
        <v>11404</v>
      </c>
      <c r="F30872" s="40" t="s">
        <v>11404</v>
      </c>
      <c r="G30872" s="40" t="s">
        <v>11404</v>
      </c>
      <c r="H30872" s="40" t="s">
        <v>11404</v>
      </c>
    </row>
    <row r="30873">
      <c r="A30873" s="39"/>
      <c r="E30873" s="40" t="s">
        <v>11404</v>
      </c>
      <c r="F30873" s="40" t="s">
        <v>11404</v>
      </c>
      <c r="G30873" s="40" t="s">
        <v>11404</v>
      </c>
      <c r="H30873" s="40" t="s">
        <v>11404</v>
      </c>
    </row>
    <row r="30874">
      <c r="A30874" s="39"/>
      <c r="E30874" s="40" t="s">
        <v>11404</v>
      </c>
      <c r="F30874" s="40" t="s">
        <v>11404</v>
      </c>
      <c r="G30874" s="40" t="s">
        <v>11404</v>
      </c>
      <c r="H30874" s="40" t="s">
        <v>11404</v>
      </c>
    </row>
    <row r="30875">
      <c r="A30875" s="39"/>
      <c r="E30875" s="40" t="s">
        <v>11404</v>
      </c>
      <c r="F30875" s="40" t="s">
        <v>11404</v>
      </c>
      <c r="G30875" s="40" t="s">
        <v>11404</v>
      </c>
      <c r="H30875" s="40" t="s">
        <v>11404</v>
      </c>
    </row>
    <row r="30876">
      <c r="A30876" s="39"/>
      <c r="E30876" s="40" t="s">
        <v>11404</v>
      </c>
      <c r="F30876" s="40" t="s">
        <v>11404</v>
      </c>
      <c r="G30876" s="40" t="s">
        <v>11404</v>
      </c>
      <c r="H30876" s="40" t="s">
        <v>11404</v>
      </c>
    </row>
    <row r="30877">
      <c r="A30877" s="39"/>
      <c r="E30877" s="40" t="s">
        <v>11404</v>
      </c>
      <c r="F30877" s="40" t="s">
        <v>11404</v>
      </c>
      <c r="G30877" s="40" t="s">
        <v>11404</v>
      </c>
      <c r="H30877" s="40" t="s">
        <v>11404</v>
      </c>
    </row>
    <row r="30878">
      <c r="A30878" s="39"/>
      <c r="E30878" s="40" t="s">
        <v>11404</v>
      </c>
      <c r="F30878" s="40" t="s">
        <v>11404</v>
      </c>
      <c r="G30878" s="40" t="s">
        <v>11404</v>
      </c>
      <c r="H30878" s="40" t="s">
        <v>11404</v>
      </c>
    </row>
    <row r="30879">
      <c r="A30879" s="39"/>
      <c r="E30879" s="40" t="s">
        <v>11404</v>
      </c>
      <c r="F30879" s="40" t="s">
        <v>11404</v>
      </c>
      <c r="G30879" s="40" t="s">
        <v>11404</v>
      </c>
      <c r="H30879" s="40" t="s">
        <v>11404</v>
      </c>
    </row>
    <row r="30880">
      <c r="A30880" s="39"/>
      <c r="E30880" s="40" t="s">
        <v>11404</v>
      </c>
      <c r="F30880" s="40" t="s">
        <v>11404</v>
      </c>
      <c r="G30880" s="40" t="s">
        <v>11404</v>
      </c>
      <c r="H30880" s="40" t="s">
        <v>11404</v>
      </c>
    </row>
    <row r="30881">
      <c r="A30881" s="39"/>
      <c r="E30881" s="40" t="s">
        <v>11404</v>
      </c>
      <c r="F30881" s="40" t="s">
        <v>11404</v>
      </c>
      <c r="G30881" s="40" t="s">
        <v>11404</v>
      </c>
      <c r="H30881" s="40" t="s">
        <v>11404</v>
      </c>
    </row>
    <row r="30882">
      <c r="A30882" s="39"/>
      <c r="E30882" s="40" t="s">
        <v>11404</v>
      </c>
      <c r="F30882" s="40" t="s">
        <v>11404</v>
      </c>
      <c r="G30882" s="40" t="s">
        <v>11404</v>
      </c>
      <c r="H30882" s="40" t="s">
        <v>11404</v>
      </c>
    </row>
    <row r="30883">
      <c r="A30883" s="39"/>
      <c r="E30883" s="40" t="s">
        <v>11404</v>
      </c>
      <c r="F30883" s="40" t="s">
        <v>11404</v>
      </c>
      <c r="G30883" s="40" t="s">
        <v>11404</v>
      </c>
      <c r="H30883" s="40" t="s">
        <v>11404</v>
      </c>
    </row>
    <row r="30884">
      <c r="A30884" s="39"/>
      <c r="E30884" s="40" t="s">
        <v>11404</v>
      </c>
      <c r="F30884" s="40" t="s">
        <v>11404</v>
      </c>
      <c r="G30884" s="40" t="s">
        <v>11404</v>
      </c>
      <c r="H30884" s="40" t="s">
        <v>11404</v>
      </c>
    </row>
    <row r="30885">
      <c r="A30885" s="39"/>
      <c r="E30885" s="40" t="s">
        <v>11404</v>
      </c>
      <c r="F30885" s="40" t="s">
        <v>11404</v>
      </c>
      <c r="G30885" s="40" t="s">
        <v>11404</v>
      </c>
      <c r="H30885" s="40" t="s">
        <v>11404</v>
      </c>
    </row>
    <row r="30886">
      <c r="A30886" s="39"/>
      <c r="E30886" s="40" t="s">
        <v>11404</v>
      </c>
      <c r="F30886" s="40" t="s">
        <v>11404</v>
      </c>
      <c r="G30886" s="40" t="s">
        <v>11404</v>
      </c>
      <c r="H30886" s="40" t="s">
        <v>11404</v>
      </c>
    </row>
    <row r="30887">
      <c r="A30887" s="39"/>
      <c r="E30887" s="40" t="s">
        <v>11404</v>
      </c>
      <c r="F30887" s="40" t="s">
        <v>11404</v>
      </c>
      <c r="G30887" s="40" t="s">
        <v>11404</v>
      </c>
      <c r="H30887" s="40" t="s">
        <v>11404</v>
      </c>
    </row>
    <row r="30888">
      <c r="A30888" s="39"/>
      <c r="E30888" s="40" t="s">
        <v>11404</v>
      </c>
      <c r="F30888" s="40" t="s">
        <v>11404</v>
      </c>
      <c r="G30888" s="40" t="s">
        <v>11404</v>
      </c>
      <c r="H30888" s="40" t="s">
        <v>11404</v>
      </c>
    </row>
    <row r="30889">
      <c r="A30889" s="39"/>
      <c r="E30889" s="40" t="s">
        <v>11404</v>
      </c>
      <c r="F30889" s="40" t="s">
        <v>11404</v>
      </c>
      <c r="G30889" s="40" t="s">
        <v>11404</v>
      </c>
      <c r="H30889" s="40" t="s">
        <v>11404</v>
      </c>
    </row>
    <row r="30890">
      <c r="A30890" s="39"/>
      <c r="E30890" s="40" t="s">
        <v>11404</v>
      </c>
      <c r="F30890" s="40" t="s">
        <v>11404</v>
      </c>
      <c r="G30890" s="40" t="s">
        <v>11404</v>
      </c>
      <c r="H30890" s="40" t="s">
        <v>11404</v>
      </c>
    </row>
    <row r="30891">
      <c r="A30891" s="39"/>
      <c r="E30891" s="40" t="s">
        <v>11404</v>
      </c>
      <c r="F30891" s="40" t="s">
        <v>11404</v>
      </c>
      <c r="G30891" s="40" t="s">
        <v>11404</v>
      </c>
      <c r="H30891" s="40" t="s">
        <v>11404</v>
      </c>
    </row>
    <row r="30892">
      <c r="A30892" s="39"/>
      <c r="E30892" s="40" t="s">
        <v>11404</v>
      </c>
      <c r="F30892" s="40" t="s">
        <v>11404</v>
      </c>
      <c r="G30892" s="40" t="s">
        <v>11404</v>
      </c>
      <c r="H30892" s="40" t="s">
        <v>11404</v>
      </c>
    </row>
    <row r="30893">
      <c r="A30893" s="39"/>
      <c r="E30893" s="40" t="s">
        <v>11404</v>
      </c>
      <c r="F30893" s="40" t="s">
        <v>11404</v>
      </c>
      <c r="G30893" s="40" t="s">
        <v>11404</v>
      </c>
      <c r="H30893" s="40" t="s">
        <v>11404</v>
      </c>
    </row>
    <row r="30894">
      <c r="A30894" s="39"/>
      <c r="E30894" s="40" t="s">
        <v>11404</v>
      </c>
      <c r="F30894" s="40" t="s">
        <v>11404</v>
      </c>
      <c r="G30894" s="40" t="s">
        <v>11404</v>
      </c>
      <c r="H30894" s="40" t="s">
        <v>11404</v>
      </c>
    </row>
    <row r="30895">
      <c r="A30895" s="39"/>
      <c r="E30895" s="40" t="s">
        <v>11404</v>
      </c>
      <c r="F30895" s="40" t="s">
        <v>11404</v>
      </c>
      <c r="G30895" s="40" t="s">
        <v>11404</v>
      </c>
      <c r="H30895" s="40" t="s">
        <v>11404</v>
      </c>
    </row>
    <row r="30896">
      <c r="A30896" s="39"/>
      <c r="E30896" s="40" t="s">
        <v>11404</v>
      </c>
      <c r="F30896" s="40" t="s">
        <v>11404</v>
      </c>
      <c r="G30896" s="40" t="s">
        <v>11404</v>
      </c>
      <c r="H30896" s="40" t="s">
        <v>11404</v>
      </c>
    </row>
    <row r="30897">
      <c r="A30897" s="39"/>
      <c r="E30897" s="40" t="s">
        <v>11404</v>
      </c>
      <c r="F30897" s="40" t="s">
        <v>11404</v>
      </c>
      <c r="G30897" s="40" t="s">
        <v>11404</v>
      </c>
      <c r="H30897" s="40" t="s">
        <v>11404</v>
      </c>
    </row>
    <row r="30898">
      <c r="A30898" s="39"/>
      <c r="E30898" s="40" t="s">
        <v>11404</v>
      </c>
      <c r="F30898" s="40" t="s">
        <v>11404</v>
      </c>
      <c r="G30898" s="40" t="s">
        <v>11404</v>
      </c>
      <c r="H30898" s="40" t="s">
        <v>11404</v>
      </c>
    </row>
    <row r="30899">
      <c r="A30899" s="39"/>
      <c r="E30899" s="40" t="s">
        <v>11404</v>
      </c>
      <c r="F30899" s="40" t="s">
        <v>11404</v>
      </c>
      <c r="G30899" s="40" t="s">
        <v>11404</v>
      </c>
      <c r="H30899" s="40" t="s">
        <v>11404</v>
      </c>
    </row>
    <row r="30900">
      <c r="A30900" s="39"/>
      <c r="E30900" s="40" t="s">
        <v>11404</v>
      </c>
      <c r="F30900" s="40" t="s">
        <v>11404</v>
      </c>
      <c r="G30900" s="40" t="s">
        <v>11404</v>
      </c>
      <c r="H30900" s="40" t="s">
        <v>11404</v>
      </c>
    </row>
    <row r="30901">
      <c r="A30901" s="39"/>
      <c r="E30901" s="40" t="s">
        <v>11404</v>
      </c>
      <c r="F30901" s="40" t="s">
        <v>11404</v>
      </c>
      <c r="G30901" s="40" t="s">
        <v>11404</v>
      </c>
      <c r="H30901" s="40" t="s">
        <v>11404</v>
      </c>
    </row>
    <row r="30902">
      <c r="A30902" s="39"/>
      <c r="E30902" s="40" t="s">
        <v>11404</v>
      </c>
      <c r="F30902" s="40" t="s">
        <v>11404</v>
      </c>
      <c r="G30902" s="40" t="s">
        <v>11404</v>
      </c>
      <c r="H30902" s="40" t="s">
        <v>11404</v>
      </c>
    </row>
    <row r="30903">
      <c r="A30903" s="39"/>
      <c r="E30903" s="40" t="s">
        <v>11404</v>
      </c>
      <c r="F30903" s="40" t="s">
        <v>11404</v>
      </c>
      <c r="G30903" s="40" t="s">
        <v>11404</v>
      </c>
      <c r="H30903" s="40" t="s">
        <v>11404</v>
      </c>
    </row>
    <row r="30904">
      <c r="A30904" s="39"/>
      <c r="E30904" s="40" t="s">
        <v>11404</v>
      </c>
      <c r="F30904" s="40" t="s">
        <v>11404</v>
      </c>
      <c r="G30904" s="40" t="s">
        <v>11404</v>
      </c>
      <c r="H30904" s="40" t="s">
        <v>11404</v>
      </c>
    </row>
    <row r="30905">
      <c r="A30905" s="39"/>
      <c r="E30905" s="40" t="s">
        <v>11404</v>
      </c>
      <c r="F30905" s="40" t="s">
        <v>11404</v>
      </c>
      <c r="G30905" s="40" t="s">
        <v>11404</v>
      </c>
      <c r="H30905" s="40" t="s">
        <v>11404</v>
      </c>
    </row>
    <row r="30906">
      <c r="A30906" s="39"/>
      <c r="E30906" s="40" t="s">
        <v>11404</v>
      </c>
      <c r="F30906" s="40" t="s">
        <v>11404</v>
      </c>
      <c r="G30906" s="40" t="s">
        <v>11404</v>
      </c>
      <c r="H30906" s="40" t="s">
        <v>11404</v>
      </c>
    </row>
    <row r="30907">
      <c r="A30907" s="39"/>
      <c r="E30907" s="40" t="s">
        <v>11404</v>
      </c>
      <c r="F30907" s="40" t="s">
        <v>11404</v>
      </c>
      <c r="G30907" s="40" t="s">
        <v>11404</v>
      </c>
      <c r="H30907" s="40" t="s">
        <v>11404</v>
      </c>
    </row>
    <row r="30908">
      <c r="A30908" s="39"/>
      <c r="E30908" s="40" t="s">
        <v>11404</v>
      </c>
      <c r="F30908" s="40" t="s">
        <v>11404</v>
      </c>
      <c r="G30908" s="40" t="s">
        <v>11404</v>
      </c>
      <c r="H30908" s="40" t="s">
        <v>11404</v>
      </c>
    </row>
    <row r="30909">
      <c r="A30909" s="39"/>
      <c r="E30909" s="40" t="s">
        <v>11404</v>
      </c>
      <c r="F30909" s="40" t="s">
        <v>11404</v>
      </c>
      <c r="G30909" s="40" t="s">
        <v>11404</v>
      </c>
      <c r="H30909" s="40" t="s">
        <v>11404</v>
      </c>
    </row>
    <row r="30910">
      <c r="A30910" s="39"/>
      <c r="E30910" s="40" t="s">
        <v>11404</v>
      </c>
      <c r="F30910" s="40" t="s">
        <v>11404</v>
      </c>
      <c r="G30910" s="40" t="s">
        <v>11404</v>
      </c>
      <c r="H30910" s="40" t="s">
        <v>11404</v>
      </c>
    </row>
    <row r="30911">
      <c r="A30911" s="39"/>
      <c r="E30911" s="40" t="s">
        <v>11404</v>
      </c>
      <c r="F30911" s="40" t="s">
        <v>11404</v>
      </c>
      <c r="G30911" s="40" t="s">
        <v>11404</v>
      </c>
      <c r="H30911" s="40" t="s">
        <v>11404</v>
      </c>
    </row>
    <row r="30912">
      <c r="A30912" s="39"/>
      <c r="E30912" s="40" t="s">
        <v>11404</v>
      </c>
      <c r="F30912" s="40" t="s">
        <v>11404</v>
      </c>
      <c r="G30912" s="40" t="s">
        <v>11404</v>
      </c>
      <c r="H30912" s="40" t="s">
        <v>11404</v>
      </c>
    </row>
    <row r="30913">
      <c r="A30913" s="39"/>
      <c r="E30913" s="40" t="s">
        <v>11404</v>
      </c>
      <c r="F30913" s="40" t="s">
        <v>11404</v>
      </c>
      <c r="G30913" s="40" t="s">
        <v>11404</v>
      </c>
      <c r="H30913" s="40" t="s">
        <v>11404</v>
      </c>
    </row>
    <row r="30914">
      <c r="A30914" s="39"/>
      <c r="E30914" s="40" t="s">
        <v>11404</v>
      </c>
      <c r="F30914" s="40" t="s">
        <v>11404</v>
      </c>
      <c r="G30914" s="40" t="s">
        <v>11404</v>
      </c>
      <c r="H30914" s="40" t="s">
        <v>11404</v>
      </c>
    </row>
    <row r="30915">
      <c r="A30915" s="39"/>
      <c r="E30915" s="40" t="s">
        <v>11404</v>
      </c>
      <c r="F30915" s="40" t="s">
        <v>11404</v>
      </c>
      <c r="G30915" s="40" t="s">
        <v>11404</v>
      </c>
      <c r="H30915" s="40" t="s">
        <v>11404</v>
      </c>
    </row>
    <row r="30916">
      <c r="A30916" s="39"/>
      <c r="E30916" s="40" t="s">
        <v>11404</v>
      </c>
      <c r="F30916" s="40" t="s">
        <v>11404</v>
      </c>
      <c r="G30916" s="40" t="s">
        <v>11404</v>
      </c>
      <c r="H30916" s="40" t="s">
        <v>11404</v>
      </c>
    </row>
    <row r="30917">
      <c r="A30917" s="39"/>
      <c r="E30917" s="40" t="s">
        <v>11404</v>
      </c>
      <c r="F30917" s="40" t="s">
        <v>11404</v>
      </c>
      <c r="G30917" s="40" t="s">
        <v>11404</v>
      </c>
      <c r="H30917" s="40" t="s">
        <v>11404</v>
      </c>
    </row>
    <row r="30918">
      <c r="A30918" s="39"/>
      <c r="E30918" s="40" t="s">
        <v>11404</v>
      </c>
      <c r="F30918" s="40" t="s">
        <v>11404</v>
      </c>
      <c r="G30918" s="40" t="s">
        <v>11404</v>
      </c>
      <c r="H30918" s="40" t="s">
        <v>11404</v>
      </c>
    </row>
    <row r="30919">
      <c r="A30919" s="39"/>
      <c r="E30919" s="40" t="s">
        <v>11404</v>
      </c>
      <c r="F30919" s="40" t="s">
        <v>11404</v>
      </c>
      <c r="G30919" s="40" t="s">
        <v>11404</v>
      </c>
      <c r="H30919" s="40" t="s">
        <v>11404</v>
      </c>
    </row>
    <row r="30920">
      <c r="A30920" s="39"/>
      <c r="E30920" s="40" t="s">
        <v>11404</v>
      </c>
      <c r="F30920" s="40" t="s">
        <v>11404</v>
      </c>
      <c r="G30920" s="40" t="s">
        <v>11404</v>
      </c>
      <c r="H30920" s="40" t="s">
        <v>11404</v>
      </c>
    </row>
    <row r="30921">
      <c r="A30921" s="39"/>
      <c r="E30921" s="40" t="s">
        <v>11404</v>
      </c>
      <c r="F30921" s="40" t="s">
        <v>11404</v>
      </c>
      <c r="G30921" s="40" t="s">
        <v>11404</v>
      </c>
      <c r="H30921" s="40" t="s">
        <v>11404</v>
      </c>
    </row>
    <row r="30922">
      <c r="A30922" s="39"/>
      <c r="E30922" s="40" t="s">
        <v>11404</v>
      </c>
      <c r="F30922" s="40" t="s">
        <v>11404</v>
      </c>
      <c r="G30922" s="40" t="s">
        <v>11404</v>
      </c>
      <c r="H30922" s="40" t="s">
        <v>11404</v>
      </c>
    </row>
    <row r="30923">
      <c r="A30923" s="39"/>
      <c r="E30923" s="40" t="s">
        <v>11404</v>
      </c>
      <c r="F30923" s="40" t="s">
        <v>11404</v>
      </c>
      <c r="G30923" s="40" t="s">
        <v>11404</v>
      </c>
      <c r="H30923" s="40" t="s">
        <v>11404</v>
      </c>
    </row>
    <row r="30924">
      <c r="A30924" s="39"/>
      <c r="E30924" s="40" t="s">
        <v>11404</v>
      </c>
      <c r="F30924" s="40" t="s">
        <v>11404</v>
      </c>
      <c r="G30924" s="40" t="s">
        <v>11404</v>
      </c>
      <c r="H30924" s="40" t="s">
        <v>11404</v>
      </c>
    </row>
    <row r="30925">
      <c r="A30925" s="39"/>
      <c r="E30925" s="40" t="s">
        <v>11404</v>
      </c>
      <c r="F30925" s="40" t="s">
        <v>11404</v>
      </c>
      <c r="G30925" s="40" t="s">
        <v>11404</v>
      </c>
      <c r="H30925" s="40" t="s">
        <v>11404</v>
      </c>
    </row>
    <row r="30926">
      <c r="A30926" s="39"/>
      <c r="E30926" s="40" t="s">
        <v>11404</v>
      </c>
      <c r="F30926" s="40" t="s">
        <v>11404</v>
      </c>
      <c r="G30926" s="40" t="s">
        <v>11404</v>
      </c>
      <c r="H30926" s="40" t="s">
        <v>11404</v>
      </c>
    </row>
    <row r="30927">
      <c r="A30927" s="39"/>
      <c r="E30927" s="40" t="s">
        <v>11404</v>
      </c>
      <c r="F30927" s="40" t="s">
        <v>11404</v>
      </c>
      <c r="G30927" s="40" t="s">
        <v>11404</v>
      </c>
      <c r="H30927" s="40" t="s">
        <v>11404</v>
      </c>
    </row>
    <row r="30928">
      <c r="A30928" s="39"/>
      <c r="E30928" s="40" t="s">
        <v>11404</v>
      </c>
      <c r="F30928" s="40" t="s">
        <v>11404</v>
      </c>
      <c r="G30928" s="40" t="s">
        <v>11404</v>
      </c>
      <c r="H30928" s="40" t="s">
        <v>11404</v>
      </c>
    </row>
    <row r="30929">
      <c r="A30929" s="39"/>
      <c r="E30929" s="40" t="s">
        <v>11404</v>
      </c>
      <c r="F30929" s="40" t="s">
        <v>11404</v>
      </c>
      <c r="G30929" s="40" t="s">
        <v>11404</v>
      </c>
      <c r="H30929" s="40" t="s">
        <v>11404</v>
      </c>
    </row>
    <row r="30930">
      <c r="A30930" s="39"/>
      <c r="E30930" s="40" t="s">
        <v>11404</v>
      </c>
      <c r="F30930" s="40" t="s">
        <v>11404</v>
      </c>
      <c r="G30930" s="40" t="s">
        <v>11404</v>
      </c>
      <c r="H30930" s="40" t="s">
        <v>11404</v>
      </c>
    </row>
    <row r="30931">
      <c r="A30931" s="39"/>
      <c r="E30931" s="40" t="s">
        <v>11404</v>
      </c>
      <c r="F30931" s="40" t="s">
        <v>11404</v>
      </c>
      <c r="G30931" s="40" t="s">
        <v>11404</v>
      </c>
      <c r="H30931" s="40" t="s">
        <v>11404</v>
      </c>
    </row>
    <row r="30932">
      <c r="A30932" s="39"/>
      <c r="E30932" s="40" t="s">
        <v>11404</v>
      </c>
      <c r="F30932" s="40" t="s">
        <v>11404</v>
      </c>
      <c r="G30932" s="40" t="s">
        <v>11404</v>
      </c>
      <c r="H30932" s="40" t="s">
        <v>11404</v>
      </c>
    </row>
    <row r="30933">
      <c r="A30933" s="39"/>
      <c r="E30933" s="40" t="s">
        <v>11404</v>
      </c>
      <c r="F30933" s="40" t="s">
        <v>11404</v>
      </c>
      <c r="G30933" s="40" t="s">
        <v>11404</v>
      </c>
      <c r="H30933" s="40" t="s">
        <v>11404</v>
      </c>
    </row>
    <row r="30934">
      <c r="A30934" s="39"/>
      <c r="E30934" s="40" t="s">
        <v>11404</v>
      </c>
      <c r="F30934" s="40" t="s">
        <v>11404</v>
      </c>
      <c r="G30934" s="40" t="s">
        <v>11404</v>
      </c>
      <c r="H30934" s="40" t="s">
        <v>11404</v>
      </c>
    </row>
    <row r="30935">
      <c r="A30935" s="39"/>
      <c r="E30935" s="40" t="s">
        <v>11404</v>
      </c>
      <c r="F30935" s="40" t="s">
        <v>11404</v>
      </c>
      <c r="G30935" s="40" t="s">
        <v>11404</v>
      </c>
      <c r="H30935" s="40" t="s">
        <v>11404</v>
      </c>
    </row>
    <row r="30936">
      <c r="A30936" s="39"/>
      <c r="E30936" s="40" t="s">
        <v>11404</v>
      </c>
      <c r="F30936" s="40" t="s">
        <v>11404</v>
      </c>
      <c r="G30936" s="40" t="s">
        <v>11404</v>
      </c>
      <c r="H30936" s="40" t="s">
        <v>11404</v>
      </c>
    </row>
    <row r="30937">
      <c r="A30937" s="39"/>
      <c r="E30937" s="40" t="s">
        <v>11404</v>
      </c>
      <c r="F30937" s="40" t="s">
        <v>11404</v>
      </c>
      <c r="G30937" s="40" t="s">
        <v>11404</v>
      </c>
      <c r="H30937" s="40" t="s">
        <v>11404</v>
      </c>
    </row>
    <row r="30938">
      <c r="A30938" s="39"/>
      <c r="E30938" s="40" t="s">
        <v>11404</v>
      </c>
      <c r="F30938" s="40" t="s">
        <v>11404</v>
      </c>
      <c r="G30938" s="40" t="s">
        <v>11404</v>
      </c>
      <c r="H30938" s="40" t="s">
        <v>11404</v>
      </c>
    </row>
    <row r="30939">
      <c r="A30939" s="39"/>
      <c r="E30939" s="40" t="s">
        <v>11404</v>
      </c>
      <c r="F30939" s="40" t="s">
        <v>11404</v>
      </c>
      <c r="G30939" s="40" t="s">
        <v>11404</v>
      </c>
      <c r="H30939" s="40" t="s">
        <v>11404</v>
      </c>
    </row>
    <row r="30940">
      <c r="A30940" s="39"/>
      <c r="E30940" s="40" t="s">
        <v>11404</v>
      </c>
      <c r="F30940" s="40" t="s">
        <v>11404</v>
      </c>
      <c r="G30940" s="40" t="s">
        <v>11404</v>
      </c>
      <c r="H30940" s="40" t="s">
        <v>11404</v>
      </c>
    </row>
    <row r="30941">
      <c r="A30941" s="39"/>
      <c r="E30941" s="40" t="s">
        <v>11404</v>
      </c>
      <c r="F30941" s="40" t="s">
        <v>11404</v>
      </c>
      <c r="G30941" s="40" t="s">
        <v>11404</v>
      </c>
      <c r="H30941" s="40" t="s">
        <v>11404</v>
      </c>
    </row>
    <row r="30942">
      <c r="A30942" s="39"/>
      <c r="E30942" s="40" t="s">
        <v>11404</v>
      </c>
      <c r="F30942" s="40" t="s">
        <v>11404</v>
      </c>
      <c r="G30942" s="40" t="s">
        <v>11404</v>
      </c>
      <c r="H30942" s="40" t="s">
        <v>11404</v>
      </c>
    </row>
    <row r="30943">
      <c r="A30943" s="39"/>
      <c r="E30943" s="40" t="s">
        <v>11404</v>
      </c>
      <c r="F30943" s="40" t="s">
        <v>11404</v>
      </c>
      <c r="G30943" s="40" t="s">
        <v>11404</v>
      </c>
      <c r="H30943" s="40" t="s">
        <v>11404</v>
      </c>
    </row>
    <row r="30944">
      <c r="A30944" s="39"/>
      <c r="E30944" s="40" t="s">
        <v>11404</v>
      </c>
      <c r="F30944" s="40" t="s">
        <v>11404</v>
      </c>
      <c r="G30944" s="40" t="s">
        <v>11404</v>
      </c>
      <c r="H30944" s="40" t="s">
        <v>11404</v>
      </c>
    </row>
    <row r="30945">
      <c r="A30945" s="39"/>
      <c r="E30945" s="40" t="s">
        <v>11404</v>
      </c>
      <c r="F30945" s="40" t="s">
        <v>11404</v>
      </c>
      <c r="G30945" s="40" t="s">
        <v>11404</v>
      </c>
      <c r="H30945" s="40" t="s">
        <v>11404</v>
      </c>
    </row>
    <row r="30946">
      <c r="A30946" s="39"/>
      <c r="E30946" s="40" t="s">
        <v>11404</v>
      </c>
      <c r="F30946" s="40" t="s">
        <v>11404</v>
      </c>
      <c r="G30946" s="40" t="s">
        <v>11404</v>
      </c>
      <c r="H30946" s="40" t="s">
        <v>11404</v>
      </c>
    </row>
    <row r="30947">
      <c r="A30947" s="39"/>
      <c r="E30947" s="40" t="s">
        <v>11404</v>
      </c>
      <c r="F30947" s="40" t="s">
        <v>11404</v>
      </c>
      <c r="G30947" s="40" t="s">
        <v>11404</v>
      </c>
      <c r="H30947" s="40" t="s">
        <v>11404</v>
      </c>
    </row>
    <row r="30948">
      <c r="A30948" s="39"/>
      <c r="E30948" s="40" t="s">
        <v>11404</v>
      </c>
      <c r="F30948" s="40" t="s">
        <v>11404</v>
      </c>
      <c r="G30948" s="40" t="s">
        <v>11404</v>
      </c>
      <c r="H30948" s="40" t="s">
        <v>11404</v>
      </c>
    </row>
    <row r="30949">
      <c r="A30949" s="39"/>
      <c r="E30949" s="40" t="s">
        <v>11404</v>
      </c>
      <c r="F30949" s="40" t="s">
        <v>11404</v>
      </c>
      <c r="G30949" s="40" t="s">
        <v>11404</v>
      </c>
      <c r="H30949" s="40" t="s">
        <v>11404</v>
      </c>
    </row>
    <row r="30950">
      <c r="A30950" s="39"/>
      <c r="E30950" s="40" t="s">
        <v>11404</v>
      </c>
      <c r="F30950" s="40" t="s">
        <v>11404</v>
      </c>
      <c r="G30950" s="40" t="s">
        <v>11404</v>
      </c>
      <c r="H30950" s="40" t="s">
        <v>11404</v>
      </c>
    </row>
    <row r="30951">
      <c r="A30951" s="39"/>
      <c r="E30951" s="40" t="s">
        <v>11404</v>
      </c>
      <c r="F30951" s="40" t="s">
        <v>11404</v>
      </c>
      <c r="G30951" s="40" t="s">
        <v>11404</v>
      </c>
      <c r="H30951" s="40" t="s">
        <v>11404</v>
      </c>
    </row>
    <row r="30952">
      <c r="A30952" s="39"/>
      <c r="E30952" s="40" t="s">
        <v>11404</v>
      </c>
      <c r="F30952" s="40" t="s">
        <v>11404</v>
      </c>
      <c r="G30952" s="40" t="s">
        <v>11404</v>
      </c>
      <c r="H30952" s="40" t="s">
        <v>11404</v>
      </c>
    </row>
    <row r="30953">
      <c r="A30953" s="39"/>
      <c r="E30953" s="40" t="s">
        <v>11404</v>
      </c>
      <c r="F30953" s="40" t="s">
        <v>11404</v>
      </c>
      <c r="G30953" s="40" t="s">
        <v>11404</v>
      </c>
      <c r="H30953" s="40" t="s">
        <v>11404</v>
      </c>
    </row>
    <row r="30954">
      <c r="A30954" s="39"/>
      <c r="E30954" s="40" t="s">
        <v>11404</v>
      </c>
      <c r="F30954" s="40" t="s">
        <v>11404</v>
      </c>
      <c r="G30954" s="40" t="s">
        <v>11404</v>
      </c>
      <c r="H30954" s="40" t="s">
        <v>11404</v>
      </c>
    </row>
    <row r="30955">
      <c r="A30955" s="39"/>
      <c r="E30955" s="40" t="s">
        <v>11404</v>
      </c>
      <c r="F30955" s="40" t="s">
        <v>11404</v>
      </c>
      <c r="G30955" s="40" t="s">
        <v>11404</v>
      </c>
      <c r="H30955" s="40" t="s">
        <v>11404</v>
      </c>
    </row>
    <row r="30956">
      <c r="A30956" s="39"/>
      <c r="E30956" s="40" t="s">
        <v>11404</v>
      </c>
      <c r="F30956" s="40" t="s">
        <v>11404</v>
      </c>
      <c r="G30956" s="40" t="s">
        <v>11404</v>
      </c>
      <c r="H30956" s="40" t="s">
        <v>11404</v>
      </c>
    </row>
    <row r="30957">
      <c r="A30957" s="39"/>
      <c r="E30957" s="40" t="s">
        <v>11404</v>
      </c>
      <c r="F30957" s="40" t="s">
        <v>11404</v>
      </c>
      <c r="G30957" s="40" t="s">
        <v>11404</v>
      </c>
      <c r="H30957" s="40" t="s">
        <v>11404</v>
      </c>
    </row>
    <row r="30958">
      <c r="A30958" s="39"/>
      <c r="E30958" s="40" t="s">
        <v>11404</v>
      </c>
      <c r="F30958" s="40" t="s">
        <v>11404</v>
      </c>
      <c r="G30958" s="40" t="s">
        <v>11404</v>
      </c>
      <c r="H30958" s="40" t="s">
        <v>11404</v>
      </c>
    </row>
    <row r="30959">
      <c r="A30959" s="39"/>
      <c r="E30959" s="40" t="s">
        <v>11404</v>
      </c>
      <c r="F30959" s="40" t="s">
        <v>11404</v>
      </c>
      <c r="G30959" s="40" t="s">
        <v>11404</v>
      </c>
      <c r="H30959" s="40" t="s">
        <v>11404</v>
      </c>
    </row>
    <row r="30960">
      <c r="A30960" s="39"/>
      <c r="E30960" s="40" t="s">
        <v>11404</v>
      </c>
      <c r="F30960" s="40" t="s">
        <v>11404</v>
      </c>
      <c r="G30960" s="40" t="s">
        <v>11404</v>
      </c>
      <c r="H30960" s="40" t="s">
        <v>11404</v>
      </c>
    </row>
    <row r="30961">
      <c r="A30961" s="39"/>
      <c r="E30961" s="40" t="s">
        <v>11404</v>
      </c>
      <c r="F30961" s="40" t="s">
        <v>11404</v>
      </c>
      <c r="G30961" s="40" t="s">
        <v>11404</v>
      </c>
      <c r="H30961" s="40" t="s">
        <v>11404</v>
      </c>
    </row>
    <row r="30962">
      <c r="A30962" s="39"/>
      <c r="E30962" s="40" t="s">
        <v>11404</v>
      </c>
      <c r="F30962" s="40" t="s">
        <v>11404</v>
      </c>
      <c r="G30962" s="40" t="s">
        <v>11404</v>
      </c>
      <c r="H30962" s="40" t="s">
        <v>11404</v>
      </c>
    </row>
    <row r="30963">
      <c r="A30963" s="39"/>
      <c r="E30963" s="40" t="s">
        <v>11404</v>
      </c>
      <c r="F30963" s="40" t="s">
        <v>11404</v>
      </c>
      <c r="G30963" s="40" t="s">
        <v>11404</v>
      </c>
      <c r="H30963" s="40" t="s">
        <v>11404</v>
      </c>
    </row>
    <row r="30964">
      <c r="A30964" s="39"/>
      <c r="E30964" s="40" t="s">
        <v>11404</v>
      </c>
      <c r="F30964" s="40" t="s">
        <v>11404</v>
      </c>
      <c r="G30964" s="40" t="s">
        <v>11404</v>
      </c>
      <c r="H30964" s="40" t="s">
        <v>11404</v>
      </c>
    </row>
    <row r="30965">
      <c r="A30965" s="39"/>
      <c r="E30965" s="40" t="s">
        <v>11404</v>
      </c>
      <c r="F30965" s="40" t="s">
        <v>11404</v>
      </c>
      <c r="G30965" s="40" t="s">
        <v>11404</v>
      </c>
      <c r="H30965" s="40" t="s">
        <v>11404</v>
      </c>
    </row>
    <row r="30966">
      <c r="A30966" s="39"/>
      <c r="E30966" s="40" t="s">
        <v>11404</v>
      </c>
      <c r="F30966" s="40" t="s">
        <v>11404</v>
      </c>
      <c r="G30966" s="40" t="s">
        <v>11404</v>
      </c>
      <c r="H30966" s="40" t="s">
        <v>11404</v>
      </c>
    </row>
    <row r="30967">
      <c r="A30967" s="39"/>
      <c r="E30967" s="40" t="s">
        <v>11404</v>
      </c>
      <c r="F30967" s="40" t="s">
        <v>11404</v>
      </c>
      <c r="G30967" s="40" t="s">
        <v>11404</v>
      </c>
      <c r="H30967" s="40" t="s">
        <v>11404</v>
      </c>
    </row>
    <row r="30968">
      <c r="A30968" s="39"/>
      <c r="E30968" s="40" t="s">
        <v>11404</v>
      </c>
      <c r="F30968" s="40" t="s">
        <v>11404</v>
      </c>
      <c r="G30968" s="40" t="s">
        <v>11404</v>
      </c>
      <c r="H30968" s="40" t="s">
        <v>11404</v>
      </c>
    </row>
    <row r="30969">
      <c r="A30969" s="39"/>
      <c r="E30969" s="40" t="s">
        <v>11404</v>
      </c>
      <c r="F30969" s="40" t="s">
        <v>11404</v>
      </c>
      <c r="G30969" s="40" t="s">
        <v>11404</v>
      </c>
      <c r="H30969" s="40" t="s">
        <v>11404</v>
      </c>
    </row>
    <row r="30970">
      <c r="A30970" s="39"/>
      <c r="E30970" s="40" t="s">
        <v>11404</v>
      </c>
      <c r="F30970" s="40" t="s">
        <v>11404</v>
      </c>
      <c r="G30970" s="40" t="s">
        <v>11404</v>
      </c>
      <c r="H30970" s="40" t="s">
        <v>11404</v>
      </c>
    </row>
    <row r="30971">
      <c r="A30971" s="39"/>
      <c r="E30971" s="40" t="s">
        <v>11404</v>
      </c>
      <c r="F30971" s="40" t="s">
        <v>11404</v>
      </c>
      <c r="G30971" s="40" t="s">
        <v>11404</v>
      </c>
      <c r="H30971" s="40" t="s">
        <v>11404</v>
      </c>
    </row>
    <row r="30972">
      <c r="A30972" s="39"/>
      <c r="E30972" s="40" t="s">
        <v>11404</v>
      </c>
      <c r="F30972" s="40" t="s">
        <v>11404</v>
      </c>
      <c r="G30972" s="40" t="s">
        <v>11404</v>
      </c>
      <c r="H30972" s="40" t="s">
        <v>11404</v>
      </c>
    </row>
    <row r="30973">
      <c r="A30973" s="39"/>
      <c r="E30973" s="40" t="s">
        <v>11404</v>
      </c>
      <c r="F30973" s="40" t="s">
        <v>11404</v>
      </c>
      <c r="G30973" s="40" t="s">
        <v>11404</v>
      </c>
      <c r="H30973" s="40" t="s">
        <v>11404</v>
      </c>
    </row>
    <row r="30974">
      <c r="A30974" s="39"/>
      <c r="E30974" s="40" t="s">
        <v>11404</v>
      </c>
      <c r="F30974" s="40" t="s">
        <v>11404</v>
      </c>
      <c r="G30974" s="40" t="s">
        <v>11404</v>
      </c>
      <c r="H30974" s="40" t="s">
        <v>11404</v>
      </c>
    </row>
    <row r="30975">
      <c r="A30975" s="39"/>
      <c r="E30975" s="40" t="s">
        <v>11404</v>
      </c>
      <c r="F30975" s="40" t="s">
        <v>11404</v>
      </c>
      <c r="G30975" s="40" t="s">
        <v>11404</v>
      </c>
      <c r="H30975" s="40" t="s">
        <v>11404</v>
      </c>
    </row>
    <row r="30976">
      <c r="A30976" s="39"/>
      <c r="E30976" s="40" t="s">
        <v>11404</v>
      </c>
      <c r="F30976" s="40" t="s">
        <v>11404</v>
      </c>
      <c r="G30976" s="40" t="s">
        <v>11404</v>
      </c>
      <c r="H30976" s="40" t="s">
        <v>11404</v>
      </c>
    </row>
    <row r="30977">
      <c r="A30977" s="39"/>
      <c r="E30977" s="40" t="s">
        <v>11404</v>
      </c>
      <c r="F30977" s="40" t="s">
        <v>11404</v>
      </c>
      <c r="G30977" s="40" t="s">
        <v>11404</v>
      </c>
      <c r="H30977" s="40" t="s">
        <v>11404</v>
      </c>
    </row>
    <row r="30978">
      <c r="A30978" s="39"/>
      <c r="E30978" s="40" t="s">
        <v>11404</v>
      </c>
      <c r="F30978" s="40" t="s">
        <v>11404</v>
      </c>
      <c r="G30978" s="40" t="s">
        <v>11404</v>
      </c>
      <c r="H30978" s="40" t="s">
        <v>11404</v>
      </c>
    </row>
    <row r="30979">
      <c r="A30979" s="39"/>
      <c r="E30979" s="40" t="s">
        <v>11404</v>
      </c>
      <c r="F30979" s="40" t="s">
        <v>11404</v>
      </c>
      <c r="G30979" s="40" t="s">
        <v>11404</v>
      </c>
      <c r="H30979" s="40" t="s">
        <v>11404</v>
      </c>
    </row>
    <row r="30980">
      <c r="A30980" s="39"/>
      <c r="E30980" s="40" t="s">
        <v>11404</v>
      </c>
      <c r="F30980" s="40" t="s">
        <v>11404</v>
      </c>
      <c r="G30980" s="40" t="s">
        <v>11404</v>
      </c>
      <c r="H30980" s="40" t="s">
        <v>11404</v>
      </c>
    </row>
    <row r="30981">
      <c r="A30981" s="39"/>
      <c r="E30981" s="40" t="s">
        <v>11404</v>
      </c>
      <c r="F30981" s="40" t="s">
        <v>11404</v>
      </c>
      <c r="G30981" s="40" t="s">
        <v>11404</v>
      </c>
      <c r="H30981" s="40" t="s">
        <v>11404</v>
      </c>
    </row>
    <row r="30982">
      <c r="A30982" s="39"/>
      <c r="E30982" s="40" t="s">
        <v>11404</v>
      </c>
      <c r="F30982" s="40" t="s">
        <v>11404</v>
      </c>
      <c r="G30982" s="40" t="s">
        <v>11404</v>
      </c>
      <c r="H30982" s="40" t="s">
        <v>11404</v>
      </c>
    </row>
    <row r="30983">
      <c r="A30983" s="39"/>
      <c r="E30983" s="40" t="s">
        <v>11404</v>
      </c>
      <c r="F30983" s="40" t="s">
        <v>11404</v>
      </c>
      <c r="G30983" s="40" t="s">
        <v>11404</v>
      </c>
      <c r="H30983" s="40" t="s">
        <v>11404</v>
      </c>
    </row>
    <row r="30984">
      <c r="A30984" s="39"/>
      <c r="E30984" s="40" t="s">
        <v>11404</v>
      </c>
      <c r="F30984" s="40" t="s">
        <v>11404</v>
      </c>
      <c r="G30984" s="40" t="s">
        <v>11404</v>
      </c>
      <c r="H30984" s="40" t="s">
        <v>11404</v>
      </c>
    </row>
    <row r="30985">
      <c r="A30985" s="39"/>
      <c r="E30985" s="40" t="s">
        <v>11404</v>
      </c>
      <c r="F30985" s="40" t="s">
        <v>11404</v>
      </c>
      <c r="G30985" s="40" t="s">
        <v>11404</v>
      </c>
      <c r="H30985" s="40" t="s">
        <v>11404</v>
      </c>
    </row>
    <row r="30986">
      <c r="A30986" s="39"/>
      <c r="E30986" s="40" t="s">
        <v>11404</v>
      </c>
      <c r="F30986" s="40" t="s">
        <v>11404</v>
      </c>
      <c r="G30986" s="40" t="s">
        <v>11404</v>
      </c>
      <c r="H30986" s="40" t="s">
        <v>11404</v>
      </c>
    </row>
    <row r="30987">
      <c r="A30987" s="39"/>
      <c r="E30987" s="40" t="s">
        <v>11404</v>
      </c>
      <c r="F30987" s="40" t="s">
        <v>11404</v>
      </c>
      <c r="G30987" s="40" t="s">
        <v>11404</v>
      </c>
      <c r="H30987" s="40" t="s">
        <v>11404</v>
      </c>
    </row>
    <row r="30988">
      <c r="A30988" s="39"/>
      <c r="E30988" s="40" t="s">
        <v>11404</v>
      </c>
      <c r="F30988" s="40" t="s">
        <v>11404</v>
      </c>
      <c r="G30988" s="40" t="s">
        <v>11404</v>
      </c>
      <c r="H30988" s="40" t="s">
        <v>11404</v>
      </c>
    </row>
    <row r="30989">
      <c r="A30989" s="39"/>
      <c r="E30989" s="40" t="s">
        <v>11404</v>
      </c>
      <c r="F30989" s="40" t="s">
        <v>11404</v>
      </c>
      <c r="G30989" s="40" t="s">
        <v>11404</v>
      </c>
      <c r="H30989" s="40" t="s">
        <v>11404</v>
      </c>
    </row>
    <row r="30990">
      <c r="A30990" s="39"/>
      <c r="E30990" s="40" t="s">
        <v>11404</v>
      </c>
      <c r="F30990" s="40" t="s">
        <v>11404</v>
      </c>
      <c r="G30990" s="40" t="s">
        <v>11404</v>
      </c>
      <c r="H30990" s="40" t="s">
        <v>11404</v>
      </c>
    </row>
    <row r="30991">
      <c r="A30991" s="39"/>
      <c r="E30991" s="40" t="s">
        <v>11404</v>
      </c>
      <c r="F30991" s="40" t="s">
        <v>11404</v>
      </c>
      <c r="G30991" s="40" t="s">
        <v>11404</v>
      </c>
      <c r="H30991" s="40" t="s">
        <v>11404</v>
      </c>
    </row>
    <row r="30992">
      <c r="A30992" s="39"/>
      <c r="E30992" s="40" t="s">
        <v>11404</v>
      </c>
      <c r="F30992" s="40" t="s">
        <v>11404</v>
      </c>
      <c r="G30992" s="40" t="s">
        <v>11404</v>
      </c>
      <c r="H30992" s="40" t="s">
        <v>11404</v>
      </c>
    </row>
    <row r="30993">
      <c r="A30993" s="39"/>
      <c r="E30993" s="40" t="s">
        <v>11404</v>
      </c>
      <c r="F30993" s="40" t="s">
        <v>11404</v>
      </c>
      <c r="G30993" s="40" t="s">
        <v>11404</v>
      </c>
      <c r="H30993" s="40" t="s">
        <v>11404</v>
      </c>
    </row>
    <row r="30994">
      <c r="A30994" s="39"/>
      <c r="E30994" s="40" t="s">
        <v>11404</v>
      </c>
      <c r="F30994" s="40" t="s">
        <v>11404</v>
      </c>
      <c r="G30994" s="40" t="s">
        <v>11404</v>
      </c>
      <c r="H30994" s="40" t="s">
        <v>11404</v>
      </c>
    </row>
    <row r="30995">
      <c r="A30995" s="39"/>
      <c r="E30995" s="40" t="s">
        <v>11404</v>
      </c>
      <c r="F30995" s="40" t="s">
        <v>11404</v>
      </c>
      <c r="G30995" s="40" t="s">
        <v>11404</v>
      </c>
      <c r="H30995" s="40" t="s">
        <v>11404</v>
      </c>
    </row>
    <row r="30996">
      <c r="A30996" s="39"/>
      <c r="E30996" s="40" t="s">
        <v>11404</v>
      </c>
      <c r="F30996" s="40" t="s">
        <v>11404</v>
      </c>
      <c r="G30996" s="40" t="s">
        <v>11404</v>
      </c>
      <c r="H30996" s="40" t="s">
        <v>11404</v>
      </c>
    </row>
    <row r="30997">
      <c r="A30997" s="39"/>
      <c r="E30997" s="40" t="s">
        <v>11404</v>
      </c>
      <c r="F30997" s="40" t="s">
        <v>11404</v>
      </c>
      <c r="G30997" s="40" t="s">
        <v>11404</v>
      </c>
      <c r="H30997" s="40" t="s">
        <v>11404</v>
      </c>
    </row>
    <row r="30998">
      <c r="A30998" s="39"/>
      <c r="E30998" s="40" t="s">
        <v>11404</v>
      </c>
      <c r="F30998" s="40" t="s">
        <v>11404</v>
      </c>
      <c r="G30998" s="40" t="s">
        <v>11404</v>
      </c>
      <c r="H30998" s="40" t="s">
        <v>11404</v>
      </c>
    </row>
    <row r="30999">
      <c r="A30999" s="39"/>
      <c r="E30999" s="40" t="s">
        <v>11404</v>
      </c>
      <c r="F30999" s="40" t="s">
        <v>11404</v>
      </c>
      <c r="G30999" s="40" t="s">
        <v>11404</v>
      </c>
      <c r="H30999" s="40" t="s">
        <v>11404</v>
      </c>
    </row>
    <row r="31000">
      <c r="A31000" s="39"/>
      <c r="E31000" s="40" t="s">
        <v>11404</v>
      </c>
      <c r="F31000" s="40" t="s">
        <v>11404</v>
      </c>
      <c r="G31000" s="40" t="s">
        <v>11404</v>
      </c>
      <c r="H31000" s="40" t="s">
        <v>11404</v>
      </c>
    </row>
    <row r="31001">
      <c r="A31001" s="39"/>
      <c r="E31001" s="40" t="s">
        <v>11404</v>
      </c>
      <c r="F31001" s="40" t="s">
        <v>11404</v>
      </c>
      <c r="G31001" s="40" t="s">
        <v>11404</v>
      </c>
      <c r="H31001" s="40" t="s">
        <v>11404</v>
      </c>
    </row>
    <row r="31002">
      <c r="A31002" s="39"/>
      <c r="E31002" s="40" t="s">
        <v>11404</v>
      </c>
      <c r="F31002" s="40" t="s">
        <v>11404</v>
      </c>
      <c r="G31002" s="40" t="s">
        <v>11404</v>
      </c>
      <c r="H31002" s="40" t="s">
        <v>11404</v>
      </c>
    </row>
    <row r="31003">
      <c r="A31003" s="39"/>
      <c r="E31003" s="40" t="s">
        <v>11404</v>
      </c>
      <c r="F31003" s="40" t="s">
        <v>11404</v>
      </c>
      <c r="G31003" s="40" t="s">
        <v>11404</v>
      </c>
      <c r="H31003" s="40" t="s">
        <v>11404</v>
      </c>
    </row>
    <row r="31004">
      <c r="A31004" s="39"/>
      <c r="E31004" s="40" t="s">
        <v>11404</v>
      </c>
      <c r="F31004" s="40" t="s">
        <v>11404</v>
      </c>
      <c r="G31004" s="40" t="s">
        <v>11404</v>
      </c>
      <c r="H31004" s="40" t="s">
        <v>11404</v>
      </c>
    </row>
    <row r="31005">
      <c r="A31005" s="39"/>
      <c r="E31005" s="40" t="s">
        <v>11404</v>
      </c>
      <c r="F31005" s="40" t="s">
        <v>11404</v>
      </c>
      <c r="G31005" s="40" t="s">
        <v>11404</v>
      </c>
      <c r="H31005" s="40" t="s">
        <v>11404</v>
      </c>
    </row>
    <row r="31006">
      <c r="A31006" s="39"/>
      <c r="E31006" s="40" t="s">
        <v>11404</v>
      </c>
      <c r="F31006" s="40" t="s">
        <v>11404</v>
      </c>
      <c r="G31006" s="40" t="s">
        <v>11404</v>
      </c>
      <c r="H31006" s="40" t="s">
        <v>11404</v>
      </c>
    </row>
    <row r="31007">
      <c r="A31007" s="39"/>
      <c r="E31007" s="40" t="s">
        <v>11404</v>
      </c>
      <c r="F31007" s="40" t="s">
        <v>11404</v>
      </c>
      <c r="G31007" s="40" t="s">
        <v>11404</v>
      </c>
      <c r="H31007" s="40" t="s">
        <v>11404</v>
      </c>
    </row>
    <row r="31008">
      <c r="A31008" s="39"/>
      <c r="E31008" s="40" t="s">
        <v>11404</v>
      </c>
      <c r="F31008" s="40" t="s">
        <v>11404</v>
      </c>
      <c r="G31008" s="40" t="s">
        <v>11404</v>
      </c>
      <c r="H31008" s="40" t="s">
        <v>11404</v>
      </c>
    </row>
    <row r="31009">
      <c r="A31009" s="39"/>
      <c r="E31009" s="40" t="s">
        <v>11404</v>
      </c>
      <c r="F31009" s="40" t="s">
        <v>11404</v>
      </c>
      <c r="G31009" s="40" t="s">
        <v>11404</v>
      </c>
      <c r="H31009" s="40" t="s">
        <v>11404</v>
      </c>
    </row>
    <row r="31010">
      <c r="A31010" s="39"/>
      <c r="E31010" s="40" t="s">
        <v>11404</v>
      </c>
      <c r="F31010" s="40" t="s">
        <v>11404</v>
      </c>
      <c r="G31010" s="40" t="s">
        <v>11404</v>
      </c>
      <c r="H31010" s="40" t="s">
        <v>11404</v>
      </c>
    </row>
    <row r="31011">
      <c r="A31011" s="39"/>
      <c r="E31011" s="40" t="s">
        <v>11404</v>
      </c>
      <c r="F31011" s="40" t="s">
        <v>11404</v>
      </c>
      <c r="G31011" s="40" t="s">
        <v>11404</v>
      </c>
      <c r="H31011" s="40" t="s">
        <v>11404</v>
      </c>
    </row>
    <row r="31012">
      <c r="A31012" s="39"/>
      <c r="E31012" s="40" t="s">
        <v>11404</v>
      </c>
      <c r="F31012" s="40" t="s">
        <v>11404</v>
      </c>
      <c r="G31012" s="40" t="s">
        <v>11404</v>
      </c>
      <c r="H31012" s="40" t="s">
        <v>11404</v>
      </c>
    </row>
    <row r="31013">
      <c r="A31013" s="39"/>
      <c r="E31013" s="40" t="s">
        <v>11404</v>
      </c>
      <c r="F31013" s="40" t="s">
        <v>11404</v>
      </c>
      <c r="G31013" s="40" t="s">
        <v>11404</v>
      </c>
      <c r="H31013" s="40" t="s">
        <v>11404</v>
      </c>
    </row>
    <row r="31014">
      <c r="A31014" s="39"/>
      <c r="E31014" s="40" t="s">
        <v>11404</v>
      </c>
      <c r="F31014" s="40" t="s">
        <v>11404</v>
      </c>
      <c r="G31014" s="40" t="s">
        <v>11404</v>
      </c>
      <c r="H31014" s="40" t="s">
        <v>11404</v>
      </c>
    </row>
    <row r="31015">
      <c r="A31015" s="39"/>
      <c r="E31015" s="40" t="s">
        <v>11404</v>
      </c>
      <c r="F31015" s="40" t="s">
        <v>11404</v>
      </c>
      <c r="G31015" s="40" t="s">
        <v>11404</v>
      </c>
      <c r="H31015" s="40" t="s">
        <v>11404</v>
      </c>
    </row>
    <row r="31016">
      <c r="A31016" s="39"/>
      <c r="E31016" s="40" t="s">
        <v>11404</v>
      </c>
      <c r="F31016" s="40" t="s">
        <v>11404</v>
      </c>
      <c r="G31016" s="40" t="s">
        <v>11404</v>
      </c>
      <c r="H31016" s="40" t="s">
        <v>11404</v>
      </c>
    </row>
    <row r="31017">
      <c r="A31017" s="39"/>
      <c r="E31017" s="40" t="s">
        <v>11404</v>
      </c>
      <c r="F31017" s="40" t="s">
        <v>11404</v>
      </c>
      <c r="G31017" s="40" t="s">
        <v>11404</v>
      </c>
      <c r="H31017" s="40" t="s">
        <v>11404</v>
      </c>
    </row>
    <row r="31018">
      <c r="A31018" s="39"/>
      <c r="E31018" s="40" t="s">
        <v>11404</v>
      </c>
      <c r="F31018" s="40" t="s">
        <v>11404</v>
      </c>
      <c r="G31018" s="40" t="s">
        <v>11404</v>
      </c>
      <c r="H31018" s="40" t="s">
        <v>11404</v>
      </c>
    </row>
    <row r="31019">
      <c r="A31019" s="39"/>
      <c r="E31019" s="40" t="s">
        <v>11404</v>
      </c>
      <c r="F31019" s="40" t="s">
        <v>11404</v>
      </c>
      <c r="G31019" s="40" t="s">
        <v>11404</v>
      </c>
      <c r="H31019" s="40" t="s">
        <v>11404</v>
      </c>
    </row>
    <row r="31020">
      <c r="A31020" s="39"/>
      <c r="E31020" s="40" t="s">
        <v>11404</v>
      </c>
      <c r="F31020" s="40" t="s">
        <v>11404</v>
      </c>
      <c r="G31020" s="40" t="s">
        <v>11404</v>
      </c>
      <c r="H31020" s="40" t="s">
        <v>11404</v>
      </c>
    </row>
    <row r="31021">
      <c r="A31021" s="39"/>
      <c r="E31021" s="40" t="s">
        <v>11404</v>
      </c>
      <c r="F31021" s="40" t="s">
        <v>11404</v>
      </c>
      <c r="G31021" s="40" t="s">
        <v>11404</v>
      </c>
      <c r="H31021" s="40" t="s">
        <v>11404</v>
      </c>
    </row>
    <row r="31022">
      <c r="A31022" s="39"/>
      <c r="E31022" s="40" t="s">
        <v>11404</v>
      </c>
      <c r="F31022" s="40" t="s">
        <v>11404</v>
      </c>
      <c r="G31022" s="40" t="s">
        <v>11404</v>
      </c>
      <c r="H31022" s="40" t="s">
        <v>11404</v>
      </c>
    </row>
    <row r="31023">
      <c r="A31023" s="39"/>
      <c r="E31023" s="40" t="s">
        <v>11404</v>
      </c>
      <c r="F31023" s="40" t="s">
        <v>11404</v>
      </c>
      <c r="G31023" s="40" t="s">
        <v>11404</v>
      </c>
      <c r="H31023" s="40" t="s">
        <v>11404</v>
      </c>
    </row>
    <row r="31024">
      <c r="A31024" s="39"/>
      <c r="E31024" s="40" t="s">
        <v>11404</v>
      </c>
      <c r="F31024" s="40" t="s">
        <v>11404</v>
      </c>
      <c r="G31024" s="40" t="s">
        <v>11404</v>
      </c>
      <c r="H31024" s="40" t="s">
        <v>11404</v>
      </c>
    </row>
    <row r="31025">
      <c r="A31025" s="39"/>
      <c r="E31025" s="40" t="s">
        <v>11404</v>
      </c>
      <c r="F31025" s="40" t="s">
        <v>11404</v>
      </c>
      <c r="G31025" s="40" t="s">
        <v>11404</v>
      </c>
      <c r="H31025" s="40" t="s">
        <v>11404</v>
      </c>
    </row>
    <row r="31026">
      <c r="A31026" s="39"/>
      <c r="E31026" s="40" t="s">
        <v>11404</v>
      </c>
      <c r="F31026" s="40" t="s">
        <v>11404</v>
      </c>
      <c r="G31026" s="40" t="s">
        <v>11404</v>
      </c>
      <c r="H31026" s="40" t="s">
        <v>11404</v>
      </c>
    </row>
    <row r="31027">
      <c r="A31027" s="39"/>
      <c r="E31027" s="40" t="s">
        <v>11404</v>
      </c>
      <c r="F31027" s="40" t="s">
        <v>11404</v>
      </c>
      <c r="G31027" s="40" t="s">
        <v>11404</v>
      </c>
      <c r="H31027" s="40" t="s">
        <v>11404</v>
      </c>
    </row>
    <row r="31028">
      <c r="A31028" s="39"/>
      <c r="E31028" s="40" t="s">
        <v>11404</v>
      </c>
      <c r="F31028" s="40" t="s">
        <v>11404</v>
      </c>
      <c r="G31028" s="40" t="s">
        <v>11404</v>
      </c>
      <c r="H31028" s="40" t="s">
        <v>11404</v>
      </c>
    </row>
    <row r="31029">
      <c r="A31029" s="39"/>
      <c r="E31029" s="40" t="s">
        <v>11404</v>
      </c>
      <c r="F31029" s="40" t="s">
        <v>11404</v>
      </c>
      <c r="G31029" s="40" t="s">
        <v>11404</v>
      </c>
      <c r="H31029" s="40" t="s">
        <v>11404</v>
      </c>
    </row>
    <row r="31030">
      <c r="A31030" s="39"/>
      <c r="E31030" s="40" t="s">
        <v>11404</v>
      </c>
      <c r="F31030" s="40" t="s">
        <v>11404</v>
      </c>
      <c r="G31030" s="40" t="s">
        <v>11404</v>
      </c>
      <c r="H31030" s="40" t="s">
        <v>11404</v>
      </c>
    </row>
    <row r="31031">
      <c r="A31031" s="39"/>
      <c r="E31031" s="40" t="s">
        <v>11404</v>
      </c>
      <c r="F31031" s="40" t="s">
        <v>11404</v>
      </c>
      <c r="G31031" s="40" t="s">
        <v>11404</v>
      </c>
      <c r="H31031" s="40" t="s">
        <v>11404</v>
      </c>
    </row>
    <row r="31032">
      <c r="A31032" s="39"/>
      <c r="E31032" s="40" t="s">
        <v>11404</v>
      </c>
      <c r="F31032" s="40" t="s">
        <v>11404</v>
      </c>
      <c r="G31032" s="40" t="s">
        <v>11404</v>
      </c>
      <c r="H31032" s="40" t="s">
        <v>11404</v>
      </c>
    </row>
    <row r="31033">
      <c r="A31033" s="39"/>
      <c r="E31033" s="40" t="s">
        <v>11404</v>
      </c>
      <c r="F31033" s="40" t="s">
        <v>11404</v>
      </c>
      <c r="G31033" s="40" t="s">
        <v>11404</v>
      </c>
      <c r="H31033" s="40" t="s">
        <v>11404</v>
      </c>
    </row>
    <row r="31034">
      <c r="A31034" s="39"/>
      <c r="E31034" s="40" t="s">
        <v>11404</v>
      </c>
      <c r="F31034" s="40" t="s">
        <v>11404</v>
      </c>
      <c r="G31034" s="40" t="s">
        <v>11404</v>
      </c>
      <c r="H31034" s="40" t="s">
        <v>11404</v>
      </c>
    </row>
    <row r="31035">
      <c r="A31035" s="39"/>
      <c r="E31035" s="40" t="s">
        <v>11404</v>
      </c>
      <c r="F31035" s="40" t="s">
        <v>11404</v>
      </c>
      <c r="G31035" s="40" t="s">
        <v>11404</v>
      </c>
      <c r="H31035" s="40" t="s">
        <v>11404</v>
      </c>
    </row>
    <row r="31036">
      <c r="A31036" s="39"/>
      <c r="E31036" s="40" t="s">
        <v>11404</v>
      </c>
      <c r="F31036" s="40" t="s">
        <v>11404</v>
      </c>
      <c r="G31036" s="40" t="s">
        <v>11404</v>
      </c>
      <c r="H31036" s="40" t="s">
        <v>11404</v>
      </c>
    </row>
    <row r="31037">
      <c r="A31037" s="39"/>
      <c r="E31037" s="40" t="s">
        <v>11404</v>
      </c>
      <c r="F31037" s="40" t="s">
        <v>11404</v>
      </c>
      <c r="G31037" s="40" t="s">
        <v>11404</v>
      </c>
      <c r="H31037" s="40" t="s">
        <v>11404</v>
      </c>
    </row>
    <row r="31038">
      <c r="A31038" s="39"/>
      <c r="E31038" s="40" t="s">
        <v>11404</v>
      </c>
      <c r="F31038" s="40" t="s">
        <v>11404</v>
      </c>
      <c r="G31038" s="40" t="s">
        <v>11404</v>
      </c>
      <c r="H31038" s="40" t="s">
        <v>11404</v>
      </c>
    </row>
    <row r="31039">
      <c r="A31039" s="39"/>
      <c r="E31039" s="40" t="s">
        <v>11404</v>
      </c>
      <c r="F31039" s="40" t="s">
        <v>11404</v>
      </c>
      <c r="G31039" s="40" t="s">
        <v>11404</v>
      </c>
      <c r="H31039" s="40" t="s">
        <v>11404</v>
      </c>
    </row>
    <row r="31040">
      <c r="A31040" s="39"/>
      <c r="E31040" s="40" t="s">
        <v>11404</v>
      </c>
      <c r="F31040" s="40" t="s">
        <v>11404</v>
      </c>
      <c r="G31040" s="40" t="s">
        <v>11404</v>
      </c>
      <c r="H31040" s="40" t="s">
        <v>11404</v>
      </c>
    </row>
    <row r="31041">
      <c r="A31041" s="39"/>
      <c r="E31041" s="40" t="s">
        <v>11404</v>
      </c>
      <c r="F31041" s="40" t="s">
        <v>11404</v>
      </c>
      <c r="G31041" s="40" t="s">
        <v>11404</v>
      </c>
      <c r="H31041" s="40" t="s">
        <v>11404</v>
      </c>
    </row>
    <row r="31042">
      <c r="A31042" s="39"/>
      <c r="E31042" s="40" t="s">
        <v>11404</v>
      </c>
      <c r="F31042" s="40" t="s">
        <v>11404</v>
      </c>
      <c r="G31042" s="40" t="s">
        <v>11404</v>
      </c>
      <c r="H31042" s="40" t="s">
        <v>11404</v>
      </c>
    </row>
    <row r="31043">
      <c r="A31043" s="39"/>
      <c r="E31043" s="40" t="s">
        <v>11404</v>
      </c>
      <c r="F31043" s="40" t="s">
        <v>11404</v>
      </c>
      <c r="G31043" s="40" t="s">
        <v>11404</v>
      </c>
      <c r="H31043" s="40" t="s">
        <v>11404</v>
      </c>
    </row>
    <row r="31044">
      <c r="A31044" s="39"/>
      <c r="E31044" s="40" t="s">
        <v>11404</v>
      </c>
      <c r="F31044" s="40" t="s">
        <v>11404</v>
      </c>
      <c r="G31044" s="40" t="s">
        <v>11404</v>
      </c>
      <c r="H31044" s="40" t="s">
        <v>11404</v>
      </c>
    </row>
    <row r="31045">
      <c r="A31045" s="39"/>
      <c r="E31045" s="40" t="s">
        <v>11404</v>
      </c>
      <c r="F31045" s="40" t="s">
        <v>11404</v>
      </c>
      <c r="G31045" s="40" t="s">
        <v>11404</v>
      </c>
      <c r="H31045" s="40" t="s">
        <v>11404</v>
      </c>
    </row>
    <row r="31046">
      <c r="A31046" s="39"/>
      <c r="E31046" s="40" t="s">
        <v>11404</v>
      </c>
      <c r="F31046" s="40" t="s">
        <v>11404</v>
      </c>
      <c r="G31046" s="40" t="s">
        <v>11404</v>
      </c>
      <c r="H31046" s="40" t="s">
        <v>11404</v>
      </c>
    </row>
    <row r="31047">
      <c r="A31047" s="39"/>
      <c r="E31047" s="40" t="s">
        <v>11404</v>
      </c>
      <c r="F31047" s="40" t="s">
        <v>11404</v>
      </c>
      <c r="G31047" s="40" t="s">
        <v>11404</v>
      </c>
      <c r="H31047" s="40" t="s">
        <v>11404</v>
      </c>
    </row>
    <row r="31048">
      <c r="A31048" s="39"/>
      <c r="E31048" s="40" t="s">
        <v>11404</v>
      </c>
      <c r="F31048" s="40" t="s">
        <v>11404</v>
      </c>
      <c r="G31048" s="40" t="s">
        <v>11404</v>
      </c>
      <c r="H31048" s="40" t="s">
        <v>11404</v>
      </c>
    </row>
    <row r="31049">
      <c r="A31049" s="39"/>
      <c r="E31049" s="40" t="s">
        <v>11404</v>
      </c>
      <c r="F31049" s="40" t="s">
        <v>11404</v>
      </c>
      <c r="G31049" s="40" t="s">
        <v>11404</v>
      </c>
      <c r="H31049" s="40" t="s">
        <v>11404</v>
      </c>
    </row>
    <row r="31050">
      <c r="A31050" s="39"/>
      <c r="E31050" s="40" t="s">
        <v>11404</v>
      </c>
      <c r="F31050" s="40" t="s">
        <v>11404</v>
      </c>
      <c r="G31050" s="40" t="s">
        <v>11404</v>
      </c>
      <c r="H31050" s="40" t="s">
        <v>11404</v>
      </c>
    </row>
    <row r="31051">
      <c r="A31051" s="39"/>
      <c r="E31051" s="40" t="s">
        <v>11404</v>
      </c>
      <c r="F31051" s="40" t="s">
        <v>11404</v>
      </c>
      <c r="G31051" s="40" t="s">
        <v>11404</v>
      </c>
      <c r="H31051" s="40" t="s">
        <v>11404</v>
      </c>
    </row>
    <row r="31052">
      <c r="A31052" s="39"/>
      <c r="E31052" s="40" t="s">
        <v>11404</v>
      </c>
      <c r="F31052" s="40" t="s">
        <v>11404</v>
      </c>
      <c r="G31052" s="40" t="s">
        <v>11404</v>
      </c>
      <c r="H31052" s="40" t="s">
        <v>11404</v>
      </c>
    </row>
    <row r="31053">
      <c r="A31053" s="39"/>
      <c r="E31053" s="40" t="s">
        <v>11404</v>
      </c>
      <c r="F31053" s="40" t="s">
        <v>11404</v>
      </c>
      <c r="G31053" s="40" t="s">
        <v>11404</v>
      </c>
      <c r="H31053" s="40" t="s">
        <v>11404</v>
      </c>
    </row>
    <row r="31054">
      <c r="A31054" s="39"/>
      <c r="E31054" s="40" t="s">
        <v>11404</v>
      </c>
      <c r="F31054" s="40" t="s">
        <v>11404</v>
      </c>
      <c r="G31054" s="40" t="s">
        <v>11404</v>
      </c>
      <c r="H31054" s="40" t="s">
        <v>11404</v>
      </c>
    </row>
    <row r="31055">
      <c r="A31055" s="39"/>
      <c r="E31055" s="40" t="s">
        <v>11404</v>
      </c>
      <c r="F31055" s="40" t="s">
        <v>11404</v>
      </c>
      <c r="G31055" s="40" t="s">
        <v>11404</v>
      </c>
      <c r="H31055" s="40" t="s">
        <v>11404</v>
      </c>
    </row>
    <row r="31056">
      <c r="A31056" s="39"/>
      <c r="E31056" s="40" t="s">
        <v>11404</v>
      </c>
      <c r="F31056" s="40" t="s">
        <v>11404</v>
      </c>
      <c r="G31056" s="40" t="s">
        <v>11404</v>
      </c>
      <c r="H31056" s="40" t="s">
        <v>11404</v>
      </c>
    </row>
    <row r="31057">
      <c r="A31057" s="39"/>
      <c r="E31057" s="40" t="s">
        <v>11404</v>
      </c>
      <c r="F31057" s="40" t="s">
        <v>11404</v>
      </c>
      <c r="G31057" s="40" t="s">
        <v>11404</v>
      </c>
      <c r="H31057" s="40" t="s">
        <v>11404</v>
      </c>
    </row>
    <row r="31058">
      <c r="A31058" s="39"/>
      <c r="E31058" s="40" t="s">
        <v>11404</v>
      </c>
      <c r="F31058" s="40" t="s">
        <v>11404</v>
      </c>
      <c r="G31058" s="40" t="s">
        <v>11404</v>
      </c>
      <c r="H31058" s="40" t="s">
        <v>11404</v>
      </c>
    </row>
    <row r="31059">
      <c r="A31059" s="39"/>
      <c r="E31059" s="40" t="s">
        <v>11404</v>
      </c>
      <c r="F31059" s="40" t="s">
        <v>11404</v>
      </c>
      <c r="G31059" s="40" t="s">
        <v>11404</v>
      </c>
      <c r="H31059" s="40" t="s">
        <v>11404</v>
      </c>
    </row>
    <row r="31060">
      <c r="A31060" s="39"/>
      <c r="E31060" s="40" t="s">
        <v>11404</v>
      </c>
      <c r="F31060" s="40" t="s">
        <v>11404</v>
      </c>
      <c r="G31060" s="40" t="s">
        <v>11404</v>
      </c>
      <c r="H31060" s="40" t="s">
        <v>11404</v>
      </c>
    </row>
    <row r="31061">
      <c r="A31061" s="39"/>
      <c r="E31061" s="40" t="s">
        <v>11404</v>
      </c>
      <c r="F31061" s="40" t="s">
        <v>11404</v>
      </c>
      <c r="G31061" s="40" t="s">
        <v>11404</v>
      </c>
      <c r="H31061" s="40" t="s">
        <v>11404</v>
      </c>
    </row>
    <row r="31062">
      <c r="A31062" s="39"/>
      <c r="E31062" s="40" t="s">
        <v>11404</v>
      </c>
      <c r="F31062" s="40" t="s">
        <v>11404</v>
      </c>
      <c r="G31062" s="40" t="s">
        <v>11404</v>
      </c>
      <c r="H31062" s="40" t="s">
        <v>11404</v>
      </c>
    </row>
    <row r="31063">
      <c r="A31063" s="39"/>
      <c r="E31063" s="40" t="s">
        <v>11404</v>
      </c>
      <c r="F31063" s="40" t="s">
        <v>11404</v>
      </c>
      <c r="G31063" s="40" t="s">
        <v>11404</v>
      </c>
      <c r="H31063" s="40" t="s">
        <v>11404</v>
      </c>
    </row>
    <row r="31064">
      <c r="A31064" s="39"/>
      <c r="E31064" s="40" t="s">
        <v>11404</v>
      </c>
      <c r="F31064" s="40" t="s">
        <v>11404</v>
      </c>
      <c r="G31064" s="40" t="s">
        <v>11404</v>
      </c>
      <c r="H31064" s="40" t="s">
        <v>11404</v>
      </c>
    </row>
    <row r="31065">
      <c r="A31065" s="39"/>
      <c r="E31065" s="40" t="s">
        <v>11404</v>
      </c>
      <c r="F31065" s="40" t="s">
        <v>11404</v>
      </c>
      <c r="G31065" s="40" t="s">
        <v>11404</v>
      </c>
      <c r="H31065" s="40" t="s">
        <v>11404</v>
      </c>
    </row>
    <row r="31066">
      <c r="A31066" s="39"/>
      <c r="E31066" s="40" t="s">
        <v>11404</v>
      </c>
      <c r="F31066" s="40" t="s">
        <v>11404</v>
      </c>
      <c r="G31066" s="40" t="s">
        <v>11404</v>
      </c>
      <c r="H31066" s="40" t="s">
        <v>11404</v>
      </c>
    </row>
    <row r="31067">
      <c r="A31067" s="39"/>
      <c r="E31067" s="40" t="s">
        <v>11404</v>
      </c>
      <c r="F31067" s="40" t="s">
        <v>11404</v>
      </c>
      <c r="G31067" s="40" t="s">
        <v>11404</v>
      </c>
      <c r="H31067" s="40" t="s">
        <v>11404</v>
      </c>
    </row>
    <row r="31068">
      <c r="A31068" s="39"/>
      <c r="E31068" s="40" t="s">
        <v>11404</v>
      </c>
      <c r="F31068" s="40" t="s">
        <v>11404</v>
      </c>
      <c r="G31068" s="40" t="s">
        <v>11404</v>
      </c>
      <c r="H31068" s="40" t="s">
        <v>11404</v>
      </c>
    </row>
    <row r="31069">
      <c r="A31069" s="39"/>
      <c r="E31069" s="40" t="s">
        <v>11404</v>
      </c>
      <c r="F31069" s="40" t="s">
        <v>11404</v>
      </c>
      <c r="G31069" s="40" t="s">
        <v>11404</v>
      </c>
      <c r="H31069" s="40" t="s">
        <v>11404</v>
      </c>
    </row>
    <row r="31070">
      <c r="A31070" s="39"/>
      <c r="E31070" s="40" t="s">
        <v>11404</v>
      </c>
      <c r="F31070" s="40" t="s">
        <v>11404</v>
      </c>
      <c r="G31070" s="40" t="s">
        <v>11404</v>
      </c>
      <c r="H31070" s="40" t="s">
        <v>11404</v>
      </c>
    </row>
    <row r="31071">
      <c r="A31071" s="39"/>
      <c r="E31071" s="40" t="s">
        <v>11404</v>
      </c>
      <c r="F31071" s="40" t="s">
        <v>11404</v>
      </c>
      <c r="G31071" s="40" t="s">
        <v>11404</v>
      </c>
      <c r="H31071" s="40" t="s">
        <v>11404</v>
      </c>
    </row>
    <row r="31072">
      <c r="A31072" s="39"/>
      <c r="E31072" s="40" t="s">
        <v>11404</v>
      </c>
      <c r="F31072" s="40" t="s">
        <v>11404</v>
      </c>
      <c r="G31072" s="40" t="s">
        <v>11404</v>
      </c>
      <c r="H31072" s="40" t="s">
        <v>11404</v>
      </c>
    </row>
    <row r="31073">
      <c r="A31073" s="39"/>
      <c r="E31073" s="40" t="s">
        <v>11404</v>
      </c>
      <c r="F31073" s="40" t="s">
        <v>11404</v>
      </c>
      <c r="G31073" s="40" t="s">
        <v>11404</v>
      </c>
      <c r="H31073" s="40" t="s">
        <v>11404</v>
      </c>
    </row>
    <row r="31074">
      <c r="A31074" s="39"/>
      <c r="E31074" s="40" t="s">
        <v>11404</v>
      </c>
      <c r="F31074" s="40" t="s">
        <v>11404</v>
      </c>
      <c r="G31074" s="40" t="s">
        <v>11404</v>
      </c>
      <c r="H31074" s="40" t="s">
        <v>11404</v>
      </c>
    </row>
    <row r="31075">
      <c r="A31075" s="39"/>
      <c r="E31075" s="40" t="s">
        <v>11404</v>
      </c>
      <c r="F31075" s="40" t="s">
        <v>11404</v>
      </c>
      <c r="G31075" s="40" t="s">
        <v>11404</v>
      </c>
      <c r="H31075" s="40" t="s">
        <v>11404</v>
      </c>
    </row>
    <row r="31076">
      <c r="A31076" s="39"/>
      <c r="E31076" s="40" t="s">
        <v>11404</v>
      </c>
      <c r="F31076" s="40" t="s">
        <v>11404</v>
      </c>
      <c r="G31076" s="40" t="s">
        <v>11404</v>
      </c>
      <c r="H31076" s="40" t="s">
        <v>11404</v>
      </c>
    </row>
    <row r="31077">
      <c r="A31077" s="39"/>
      <c r="E31077" s="40" t="s">
        <v>11404</v>
      </c>
      <c r="F31077" s="40" t="s">
        <v>11404</v>
      </c>
      <c r="G31077" s="40" t="s">
        <v>11404</v>
      </c>
      <c r="H31077" s="40" t="s">
        <v>11404</v>
      </c>
    </row>
    <row r="31078">
      <c r="A31078" s="39"/>
      <c r="E31078" s="40" t="s">
        <v>11404</v>
      </c>
      <c r="F31078" s="40" t="s">
        <v>11404</v>
      </c>
      <c r="G31078" s="40" t="s">
        <v>11404</v>
      </c>
      <c r="H31078" s="40" t="s">
        <v>11404</v>
      </c>
    </row>
    <row r="31079">
      <c r="A31079" s="39"/>
      <c r="E31079" s="40" t="s">
        <v>11404</v>
      </c>
      <c r="F31079" s="40" t="s">
        <v>11404</v>
      </c>
      <c r="G31079" s="40" t="s">
        <v>11404</v>
      </c>
      <c r="H31079" s="40" t="s">
        <v>11404</v>
      </c>
    </row>
    <row r="31080">
      <c r="A31080" s="39"/>
      <c r="E31080" s="40" t="s">
        <v>11404</v>
      </c>
      <c r="F31080" s="40" t="s">
        <v>11404</v>
      </c>
      <c r="G31080" s="40" t="s">
        <v>11404</v>
      </c>
      <c r="H31080" s="40" t="s">
        <v>11404</v>
      </c>
    </row>
    <row r="31081">
      <c r="A31081" s="39"/>
      <c r="E31081" s="40" t="s">
        <v>11404</v>
      </c>
      <c r="F31081" s="40" t="s">
        <v>11404</v>
      </c>
      <c r="G31081" s="40" t="s">
        <v>11404</v>
      </c>
      <c r="H31081" s="40" t="s">
        <v>11404</v>
      </c>
    </row>
    <row r="31082">
      <c r="A31082" s="39"/>
      <c r="E31082" s="40" t="s">
        <v>11404</v>
      </c>
      <c r="F31082" s="40" t="s">
        <v>11404</v>
      </c>
      <c r="G31082" s="40" t="s">
        <v>11404</v>
      </c>
      <c r="H31082" s="40" t="s">
        <v>11404</v>
      </c>
    </row>
    <row r="31083">
      <c r="A31083" s="39"/>
      <c r="E31083" s="40" t="s">
        <v>11404</v>
      </c>
      <c r="F31083" s="40" t="s">
        <v>11404</v>
      </c>
      <c r="G31083" s="40" t="s">
        <v>11404</v>
      </c>
      <c r="H31083" s="40" t="s">
        <v>11404</v>
      </c>
    </row>
    <row r="31084">
      <c r="A31084" s="39"/>
      <c r="E31084" s="40" t="s">
        <v>11404</v>
      </c>
      <c r="F31084" s="40" t="s">
        <v>11404</v>
      </c>
      <c r="G31084" s="40" t="s">
        <v>11404</v>
      </c>
      <c r="H31084" s="40" t="s">
        <v>11404</v>
      </c>
    </row>
    <row r="31085">
      <c r="A31085" s="39"/>
      <c r="E31085" s="40" t="s">
        <v>11404</v>
      </c>
      <c r="F31085" s="40" t="s">
        <v>11404</v>
      </c>
      <c r="G31085" s="40" t="s">
        <v>11404</v>
      </c>
      <c r="H31085" s="40" t="s">
        <v>11404</v>
      </c>
    </row>
    <row r="31086">
      <c r="A31086" s="39"/>
      <c r="E31086" s="40" t="s">
        <v>11404</v>
      </c>
      <c r="F31086" s="40" t="s">
        <v>11404</v>
      </c>
      <c r="G31086" s="40" t="s">
        <v>11404</v>
      </c>
      <c r="H31086" s="40" t="s">
        <v>11404</v>
      </c>
    </row>
    <row r="31087">
      <c r="A31087" s="39"/>
      <c r="E31087" s="40" t="s">
        <v>11404</v>
      </c>
      <c r="F31087" s="40" t="s">
        <v>11404</v>
      </c>
      <c r="G31087" s="40" t="s">
        <v>11404</v>
      </c>
      <c r="H31087" s="40" t="s">
        <v>11404</v>
      </c>
    </row>
    <row r="31088">
      <c r="A31088" s="39"/>
      <c r="E31088" s="40" t="s">
        <v>11404</v>
      </c>
      <c r="F31088" s="40" t="s">
        <v>11404</v>
      </c>
      <c r="G31088" s="40" t="s">
        <v>11404</v>
      </c>
      <c r="H31088" s="40" t="s">
        <v>11404</v>
      </c>
    </row>
    <row r="31089">
      <c r="A31089" s="39"/>
      <c r="E31089" s="40" t="s">
        <v>11404</v>
      </c>
      <c r="F31089" s="40" t="s">
        <v>11404</v>
      </c>
      <c r="G31089" s="40" t="s">
        <v>11404</v>
      </c>
      <c r="H31089" s="40" t="s">
        <v>11404</v>
      </c>
    </row>
    <row r="31090">
      <c r="A31090" s="39"/>
      <c r="E31090" s="40" t="s">
        <v>11404</v>
      </c>
      <c r="F31090" s="40" t="s">
        <v>11404</v>
      </c>
      <c r="G31090" s="40" t="s">
        <v>11404</v>
      </c>
      <c r="H31090" s="40" t="s">
        <v>11404</v>
      </c>
    </row>
    <row r="31091">
      <c r="A31091" s="39"/>
      <c r="E31091" s="40" t="s">
        <v>11404</v>
      </c>
      <c r="F31091" s="40" t="s">
        <v>11404</v>
      </c>
      <c r="G31091" s="40" t="s">
        <v>11404</v>
      </c>
      <c r="H31091" s="40" t="s">
        <v>11404</v>
      </c>
    </row>
    <row r="31092">
      <c r="A31092" s="39"/>
      <c r="E31092" s="40" t="s">
        <v>11404</v>
      </c>
      <c r="F31092" s="40" t="s">
        <v>11404</v>
      </c>
      <c r="G31092" s="40" t="s">
        <v>11404</v>
      </c>
      <c r="H31092" s="40" t="s">
        <v>11404</v>
      </c>
    </row>
    <row r="31093">
      <c r="A31093" s="39"/>
      <c r="E31093" s="40" t="s">
        <v>11404</v>
      </c>
      <c r="F31093" s="40" t="s">
        <v>11404</v>
      </c>
      <c r="G31093" s="40" t="s">
        <v>11404</v>
      </c>
      <c r="H31093" s="40" t="s">
        <v>11404</v>
      </c>
    </row>
    <row r="31094">
      <c r="A31094" s="39"/>
      <c r="E31094" s="40" t="s">
        <v>11404</v>
      </c>
      <c r="F31094" s="40" t="s">
        <v>11404</v>
      </c>
      <c r="G31094" s="40" t="s">
        <v>11404</v>
      </c>
      <c r="H31094" s="40" t="s">
        <v>11404</v>
      </c>
    </row>
    <row r="31095">
      <c r="A31095" s="39"/>
      <c r="E31095" s="40" t="s">
        <v>11404</v>
      </c>
      <c r="F31095" s="40" t="s">
        <v>11404</v>
      </c>
      <c r="G31095" s="40" t="s">
        <v>11404</v>
      </c>
      <c r="H31095" s="40" t="s">
        <v>11404</v>
      </c>
    </row>
    <row r="31096">
      <c r="A31096" s="39"/>
      <c r="E31096" s="40" t="s">
        <v>11404</v>
      </c>
      <c r="F31096" s="40" t="s">
        <v>11404</v>
      </c>
      <c r="G31096" s="40" t="s">
        <v>11404</v>
      </c>
      <c r="H31096" s="40" t="s">
        <v>11404</v>
      </c>
    </row>
    <row r="31097">
      <c r="A31097" s="39"/>
      <c r="E31097" s="40" t="s">
        <v>11404</v>
      </c>
      <c r="F31097" s="40" t="s">
        <v>11404</v>
      </c>
      <c r="G31097" s="40" t="s">
        <v>11404</v>
      </c>
      <c r="H31097" s="40" t="s">
        <v>11404</v>
      </c>
    </row>
    <row r="31098">
      <c r="A31098" s="39"/>
      <c r="E31098" s="40" t="s">
        <v>11404</v>
      </c>
      <c r="F31098" s="40" t="s">
        <v>11404</v>
      </c>
      <c r="G31098" s="40" t="s">
        <v>11404</v>
      </c>
      <c r="H31098" s="40" t="s">
        <v>11404</v>
      </c>
    </row>
    <row r="31099">
      <c r="A31099" s="39"/>
      <c r="E31099" s="40" t="s">
        <v>11404</v>
      </c>
      <c r="F31099" s="40" t="s">
        <v>11404</v>
      </c>
      <c r="G31099" s="40" t="s">
        <v>11404</v>
      </c>
      <c r="H31099" s="40" t="s">
        <v>11404</v>
      </c>
    </row>
    <row r="31100">
      <c r="A31100" s="39"/>
      <c r="E31100" s="40" t="s">
        <v>11404</v>
      </c>
      <c r="F31100" s="40" t="s">
        <v>11404</v>
      </c>
      <c r="G31100" s="40" t="s">
        <v>11404</v>
      </c>
      <c r="H31100" s="40" t="s">
        <v>11404</v>
      </c>
    </row>
    <row r="31101">
      <c r="A31101" s="39"/>
      <c r="E31101" s="40" t="s">
        <v>11404</v>
      </c>
      <c r="F31101" s="40" t="s">
        <v>11404</v>
      </c>
      <c r="G31101" s="40" t="s">
        <v>11404</v>
      </c>
      <c r="H31101" s="40" t="s">
        <v>11404</v>
      </c>
    </row>
    <row r="31102">
      <c r="A31102" s="39"/>
      <c r="E31102" s="40" t="s">
        <v>11404</v>
      </c>
      <c r="F31102" s="40" t="s">
        <v>11404</v>
      </c>
      <c r="G31102" s="40" t="s">
        <v>11404</v>
      </c>
      <c r="H31102" s="40" t="s">
        <v>11404</v>
      </c>
    </row>
    <row r="31103">
      <c r="A31103" s="39"/>
      <c r="E31103" s="40" t="s">
        <v>11404</v>
      </c>
      <c r="F31103" s="40" t="s">
        <v>11404</v>
      </c>
      <c r="G31103" s="40" t="s">
        <v>11404</v>
      </c>
      <c r="H31103" s="40" t="s">
        <v>11404</v>
      </c>
    </row>
    <row r="31104">
      <c r="A31104" s="39"/>
      <c r="E31104" s="40" t="s">
        <v>11404</v>
      </c>
      <c r="F31104" s="40" t="s">
        <v>11404</v>
      </c>
      <c r="G31104" s="40" t="s">
        <v>11404</v>
      </c>
      <c r="H31104" s="40" t="s">
        <v>11404</v>
      </c>
    </row>
    <row r="31105">
      <c r="A31105" s="39"/>
      <c r="E31105" s="40" t="s">
        <v>11404</v>
      </c>
      <c r="F31105" s="40" t="s">
        <v>11404</v>
      </c>
      <c r="G31105" s="40" t="s">
        <v>11404</v>
      </c>
      <c r="H31105" s="40" t="s">
        <v>11404</v>
      </c>
    </row>
    <row r="31106">
      <c r="A31106" s="39"/>
      <c r="E31106" s="40" t="s">
        <v>11404</v>
      </c>
      <c r="F31106" s="40" t="s">
        <v>11404</v>
      </c>
      <c r="G31106" s="40" t="s">
        <v>11404</v>
      </c>
      <c r="H31106" s="40" t="s">
        <v>11404</v>
      </c>
    </row>
    <row r="31107">
      <c r="A31107" s="39"/>
      <c r="E31107" s="40" t="s">
        <v>11404</v>
      </c>
      <c r="F31107" s="40" t="s">
        <v>11404</v>
      </c>
      <c r="G31107" s="40" t="s">
        <v>11404</v>
      </c>
      <c r="H31107" s="40" t="s">
        <v>11404</v>
      </c>
    </row>
    <row r="31108">
      <c r="A31108" s="39"/>
      <c r="E31108" s="40" t="s">
        <v>11404</v>
      </c>
      <c r="F31108" s="40" t="s">
        <v>11404</v>
      </c>
      <c r="G31108" s="40" t="s">
        <v>11404</v>
      </c>
      <c r="H31108" s="40" t="s">
        <v>11404</v>
      </c>
    </row>
    <row r="31109">
      <c r="A31109" s="39"/>
      <c r="E31109" s="40" t="s">
        <v>11404</v>
      </c>
      <c r="F31109" s="40" t="s">
        <v>11404</v>
      </c>
      <c r="G31109" s="40" t="s">
        <v>11404</v>
      </c>
      <c r="H31109" s="40" t="s">
        <v>11404</v>
      </c>
    </row>
    <row r="31110">
      <c r="A31110" s="39"/>
      <c r="E31110" s="40" t="s">
        <v>11404</v>
      </c>
      <c r="F31110" s="40" t="s">
        <v>11404</v>
      </c>
      <c r="G31110" s="40" t="s">
        <v>11404</v>
      </c>
      <c r="H31110" s="40" t="s">
        <v>11404</v>
      </c>
    </row>
    <row r="31111">
      <c r="A31111" s="39"/>
      <c r="E31111" s="40" t="s">
        <v>11404</v>
      </c>
      <c r="F31111" s="40" t="s">
        <v>11404</v>
      </c>
      <c r="G31111" s="40" t="s">
        <v>11404</v>
      </c>
      <c r="H31111" s="40" t="s">
        <v>11404</v>
      </c>
    </row>
    <row r="31112">
      <c r="A31112" s="39"/>
      <c r="E31112" s="40" t="s">
        <v>11404</v>
      </c>
      <c r="F31112" s="40" t="s">
        <v>11404</v>
      </c>
      <c r="G31112" s="40" t="s">
        <v>11404</v>
      </c>
      <c r="H31112" s="40" t="s">
        <v>11404</v>
      </c>
    </row>
    <row r="31113">
      <c r="A31113" s="39"/>
      <c r="E31113" s="40" t="s">
        <v>11404</v>
      </c>
      <c r="F31113" s="40" t="s">
        <v>11404</v>
      </c>
      <c r="G31113" s="40" t="s">
        <v>11404</v>
      </c>
      <c r="H31113" s="40" t="s">
        <v>11404</v>
      </c>
    </row>
    <row r="31114">
      <c r="A31114" s="39"/>
      <c r="E31114" s="40" t="s">
        <v>11404</v>
      </c>
      <c r="F31114" s="40" t="s">
        <v>11404</v>
      </c>
      <c r="G31114" s="40" t="s">
        <v>11404</v>
      </c>
      <c r="H31114" s="40" t="s">
        <v>11404</v>
      </c>
    </row>
    <row r="31115">
      <c r="A31115" s="39"/>
      <c r="E31115" s="40" t="s">
        <v>11404</v>
      </c>
      <c r="F31115" s="40" t="s">
        <v>11404</v>
      </c>
      <c r="G31115" s="40" t="s">
        <v>11404</v>
      </c>
      <c r="H31115" s="40" t="s">
        <v>11404</v>
      </c>
    </row>
    <row r="31116">
      <c r="A31116" s="39"/>
      <c r="E31116" s="40" t="s">
        <v>11404</v>
      </c>
      <c r="F31116" s="40" t="s">
        <v>11404</v>
      </c>
      <c r="G31116" s="40" t="s">
        <v>11404</v>
      </c>
      <c r="H31116" s="40" t="s">
        <v>11404</v>
      </c>
    </row>
    <row r="31117">
      <c r="A31117" s="39"/>
      <c r="E31117" s="40" t="s">
        <v>11404</v>
      </c>
      <c r="F31117" s="40" t="s">
        <v>11404</v>
      </c>
      <c r="G31117" s="40" t="s">
        <v>11404</v>
      </c>
      <c r="H31117" s="40" t="s">
        <v>11404</v>
      </c>
    </row>
    <row r="31118">
      <c r="A31118" s="39"/>
      <c r="E31118" s="40" t="s">
        <v>11404</v>
      </c>
      <c r="F31118" s="40" t="s">
        <v>11404</v>
      </c>
      <c r="G31118" s="40" t="s">
        <v>11404</v>
      </c>
      <c r="H31118" s="40" t="s">
        <v>11404</v>
      </c>
    </row>
    <row r="31119">
      <c r="A31119" s="39"/>
      <c r="E31119" s="40" t="s">
        <v>11404</v>
      </c>
      <c r="F31119" s="40" t="s">
        <v>11404</v>
      </c>
      <c r="G31119" s="40" t="s">
        <v>11404</v>
      </c>
      <c r="H31119" s="40" t="s">
        <v>11404</v>
      </c>
    </row>
    <row r="31120">
      <c r="A31120" s="39"/>
      <c r="E31120" s="40" t="s">
        <v>11404</v>
      </c>
      <c r="F31120" s="40" t="s">
        <v>11404</v>
      </c>
      <c r="G31120" s="40" t="s">
        <v>11404</v>
      </c>
      <c r="H31120" s="40" t="s">
        <v>11404</v>
      </c>
    </row>
    <row r="31121">
      <c r="A31121" s="39"/>
      <c r="E31121" s="40" t="s">
        <v>11404</v>
      </c>
      <c r="F31121" s="40" t="s">
        <v>11404</v>
      </c>
      <c r="G31121" s="40" t="s">
        <v>11404</v>
      </c>
      <c r="H31121" s="40" t="s">
        <v>11404</v>
      </c>
    </row>
    <row r="31122">
      <c r="A31122" s="39"/>
      <c r="E31122" s="40" t="s">
        <v>11404</v>
      </c>
      <c r="F31122" s="40" t="s">
        <v>11404</v>
      </c>
      <c r="G31122" s="40" t="s">
        <v>11404</v>
      </c>
      <c r="H31122" s="40" t="s">
        <v>11404</v>
      </c>
    </row>
    <row r="31123">
      <c r="A31123" s="39"/>
      <c r="E31123" s="40" t="s">
        <v>11404</v>
      </c>
      <c r="F31123" s="40" t="s">
        <v>11404</v>
      </c>
      <c r="G31123" s="40" t="s">
        <v>11404</v>
      </c>
      <c r="H31123" s="40" t="s">
        <v>11404</v>
      </c>
    </row>
    <row r="31124">
      <c r="A31124" s="39"/>
      <c r="E31124" s="40" t="s">
        <v>11404</v>
      </c>
      <c r="F31124" s="40" t="s">
        <v>11404</v>
      </c>
      <c r="G31124" s="40" t="s">
        <v>11404</v>
      </c>
      <c r="H31124" s="40" t="s">
        <v>11404</v>
      </c>
    </row>
    <row r="31125">
      <c r="A31125" s="39"/>
      <c r="E31125" s="40" t="s">
        <v>11404</v>
      </c>
      <c r="F31125" s="40" t="s">
        <v>11404</v>
      </c>
      <c r="G31125" s="40" t="s">
        <v>11404</v>
      </c>
      <c r="H31125" s="40" t="s">
        <v>11404</v>
      </c>
    </row>
    <row r="31126">
      <c r="A31126" s="39"/>
      <c r="E31126" s="40" t="s">
        <v>11404</v>
      </c>
      <c r="F31126" s="40" t="s">
        <v>11404</v>
      </c>
      <c r="G31126" s="40" t="s">
        <v>11404</v>
      </c>
      <c r="H31126" s="40" t="s">
        <v>11404</v>
      </c>
    </row>
    <row r="31127">
      <c r="A31127" s="39"/>
      <c r="E31127" s="40" t="s">
        <v>11404</v>
      </c>
      <c r="F31127" s="40" t="s">
        <v>11404</v>
      </c>
      <c r="G31127" s="40" t="s">
        <v>11404</v>
      </c>
      <c r="H31127" s="40" t="s">
        <v>11404</v>
      </c>
    </row>
    <row r="31128">
      <c r="A31128" s="39"/>
      <c r="E31128" s="40" t="s">
        <v>11404</v>
      </c>
      <c r="F31128" s="40" t="s">
        <v>11404</v>
      </c>
      <c r="G31128" s="40" t="s">
        <v>11404</v>
      </c>
      <c r="H31128" s="40" t="s">
        <v>11404</v>
      </c>
    </row>
    <row r="31129">
      <c r="A31129" s="39"/>
      <c r="E31129" s="40" t="s">
        <v>11404</v>
      </c>
      <c r="F31129" s="40" t="s">
        <v>11404</v>
      </c>
      <c r="G31129" s="40" t="s">
        <v>11404</v>
      </c>
      <c r="H31129" s="40" t="s">
        <v>11404</v>
      </c>
    </row>
    <row r="31130">
      <c r="A31130" s="39"/>
      <c r="E31130" s="40" t="s">
        <v>11404</v>
      </c>
      <c r="F31130" s="40" t="s">
        <v>11404</v>
      </c>
      <c r="G31130" s="40" t="s">
        <v>11404</v>
      </c>
      <c r="H31130" s="40" t="s">
        <v>11404</v>
      </c>
    </row>
    <row r="31131">
      <c r="A31131" s="39"/>
      <c r="E31131" s="40" t="s">
        <v>11404</v>
      </c>
      <c r="F31131" s="40" t="s">
        <v>11404</v>
      </c>
      <c r="G31131" s="40" t="s">
        <v>11404</v>
      </c>
      <c r="H31131" s="40" t="s">
        <v>11404</v>
      </c>
    </row>
    <row r="31132">
      <c r="A31132" s="39"/>
      <c r="E31132" s="40" t="s">
        <v>11404</v>
      </c>
      <c r="F31132" s="40" t="s">
        <v>11404</v>
      </c>
      <c r="G31132" s="40" t="s">
        <v>11404</v>
      </c>
      <c r="H31132" s="40" t="s">
        <v>11404</v>
      </c>
    </row>
    <row r="31133">
      <c r="A31133" s="39"/>
      <c r="E31133" s="40" t="s">
        <v>11404</v>
      </c>
      <c r="F31133" s="40" t="s">
        <v>11404</v>
      </c>
      <c r="G31133" s="40" t="s">
        <v>11404</v>
      </c>
      <c r="H31133" s="40" t="s">
        <v>11404</v>
      </c>
    </row>
    <row r="31134">
      <c r="A31134" s="39"/>
      <c r="E31134" s="40" t="s">
        <v>11404</v>
      </c>
      <c r="F31134" s="40" t="s">
        <v>11404</v>
      </c>
      <c r="G31134" s="40" t="s">
        <v>11404</v>
      </c>
      <c r="H31134" s="40" t="s">
        <v>11404</v>
      </c>
    </row>
    <row r="31135">
      <c r="A31135" s="39"/>
      <c r="E31135" s="40" t="s">
        <v>11404</v>
      </c>
      <c r="F31135" s="40" t="s">
        <v>11404</v>
      </c>
      <c r="G31135" s="40" t="s">
        <v>11404</v>
      </c>
      <c r="H31135" s="40" t="s">
        <v>11404</v>
      </c>
    </row>
    <row r="31136">
      <c r="A31136" s="39"/>
      <c r="E31136" s="40" t="s">
        <v>11404</v>
      </c>
      <c r="F31136" s="40" t="s">
        <v>11404</v>
      </c>
      <c r="G31136" s="40" t="s">
        <v>11404</v>
      </c>
      <c r="H31136" s="40" t="s">
        <v>11404</v>
      </c>
    </row>
    <row r="31137">
      <c r="A31137" s="39"/>
      <c r="E31137" s="40" t="s">
        <v>11404</v>
      </c>
      <c r="F31137" s="40" t="s">
        <v>11404</v>
      </c>
      <c r="G31137" s="40" t="s">
        <v>11404</v>
      </c>
      <c r="H31137" s="40" t="s">
        <v>11404</v>
      </c>
    </row>
    <row r="31138">
      <c r="A31138" s="39"/>
      <c r="E31138" s="40" t="s">
        <v>11404</v>
      </c>
      <c r="F31138" s="40" t="s">
        <v>11404</v>
      </c>
      <c r="G31138" s="40" t="s">
        <v>11404</v>
      </c>
      <c r="H31138" s="40" t="s">
        <v>11404</v>
      </c>
    </row>
    <row r="31139">
      <c r="A31139" s="39"/>
      <c r="E31139" s="40" t="s">
        <v>11404</v>
      </c>
      <c r="F31139" s="40" t="s">
        <v>11404</v>
      </c>
      <c r="G31139" s="40" t="s">
        <v>11404</v>
      </c>
      <c r="H31139" s="40" t="s">
        <v>11404</v>
      </c>
    </row>
    <row r="31140">
      <c r="A31140" s="39"/>
      <c r="E31140" s="40" t="s">
        <v>11404</v>
      </c>
      <c r="F31140" s="40" t="s">
        <v>11404</v>
      </c>
      <c r="G31140" s="40" t="s">
        <v>11404</v>
      </c>
      <c r="H31140" s="40" t="s">
        <v>11404</v>
      </c>
    </row>
    <row r="31141">
      <c r="A31141" s="39"/>
      <c r="E31141" s="40" t="s">
        <v>11404</v>
      </c>
      <c r="F31141" s="40" t="s">
        <v>11404</v>
      </c>
      <c r="G31141" s="40" t="s">
        <v>11404</v>
      </c>
      <c r="H31141" s="40" t="s">
        <v>11404</v>
      </c>
    </row>
    <row r="31142">
      <c r="A31142" s="39"/>
      <c r="E31142" s="40" t="s">
        <v>11404</v>
      </c>
      <c r="F31142" s="40" t="s">
        <v>11404</v>
      </c>
      <c r="G31142" s="40" t="s">
        <v>11404</v>
      </c>
      <c r="H31142" s="40" t="s">
        <v>11404</v>
      </c>
    </row>
    <row r="31143">
      <c r="A31143" s="39"/>
      <c r="E31143" s="40" t="s">
        <v>11404</v>
      </c>
      <c r="F31143" s="40" t="s">
        <v>11404</v>
      </c>
      <c r="G31143" s="40" t="s">
        <v>11404</v>
      </c>
      <c r="H31143" s="40" t="s">
        <v>11404</v>
      </c>
    </row>
    <row r="31144">
      <c r="A31144" s="39"/>
      <c r="E31144" s="40" t="s">
        <v>11404</v>
      </c>
      <c r="F31144" s="40" t="s">
        <v>11404</v>
      </c>
      <c r="G31144" s="40" t="s">
        <v>11404</v>
      </c>
      <c r="H31144" s="40" t="s">
        <v>11404</v>
      </c>
    </row>
    <row r="31145">
      <c r="A31145" s="39"/>
      <c r="E31145" s="40" t="s">
        <v>11404</v>
      </c>
      <c r="F31145" s="40" t="s">
        <v>11404</v>
      </c>
      <c r="G31145" s="40" t="s">
        <v>11404</v>
      </c>
      <c r="H31145" s="40" t="s">
        <v>11404</v>
      </c>
    </row>
    <row r="31146">
      <c r="A31146" s="39"/>
      <c r="E31146" s="40" t="s">
        <v>11404</v>
      </c>
      <c r="F31146" s="40" t="s">
        <v>11404</v>
      </c>
      <c r="G31146" s="40" t="s">
        <v>11404</v>
      </c>
      <c r="H31146" s="40" t="s">
        <v>11404</v>
      </c>
    </row>
    <row r="31147">
      <c r="A31147" s="39"/>
      <c r="E31147" s="40" t="s">
        <v>11404</v>
      </c>
      <c r="F31147" s="40" t="s">
        <v>11404</v>
      </c>
      <c r="G31147" s="40" t="s">
        <v>11404</v>
      </c>
      <c r="H31147" s="40" t="s">
        <v>11404</v>
      </c>
    </row>
    <row r="31148">
      <c r="A31148" s="39"/>
      <c r="E31148" s="40" t="s">
        <v>11404</v>
      </c>
      <c r="F31148" s="40" t="s">
        <v>11404</v>
      </c>
      <c r="G31148" s="40" t="s">
        <v>11404</v>
      </c>
      <c r="H31148" s="40" t="s">
        <v>11404</v>
      </c>
    </row>
    <row r="31149">
      <c r="A31149" s="39"/>
      <c r="E31149" s="40" t="s">
        <v>11404</v>
      </c>
      <c r="F31149" s="40" t="s">
        <v>11404</v>
      </c>
      <c r="G31149" s="40" t="s">
        <v>11404</v>
      </c>
      <c r="H31149" s="40" t="s">
        <v>11404</v>
      </c>
    </row>
    <row r="31150">
      <c r="A31150" s="39"/>
      <c r="E31150" s="40" t="s">
        <v>11404</v>
      </c>
      <c r="F31150" s="40" t="s">
        <v>11404</v>
      </c>
      <c r="G31150" s="40" t="s">
        <v>11404</v>
      </c>
      <c r="H31150" s="40" t="s">
        <v>11404</v>
      </c>
    </row>
    <row r="31151">
      <c r="A31151" s="39"/>
      <c r="E31151" s="40" t="s">
        <v>11404</v>
      </c>
      <c r="F31151" s="40" t="s">
        <v>11404</v>
      </c>
      <c r="G31151" s="40" t="s">
        <v>11404</v>
      </c>
      <c r="H31151" s="40" t="s">
        <v>11404</v>
      </c>
    </row>
    <row r="31152">
      <c r="A31152" s="39"/>
      <c r="E31152" s="40" t="s">
        <v>11404</v>
      </c>
      <c r="F31152" s="40" t="s">
        <v>11404</v>
      </c>
      <c r="G31152" s="40" t="s">
        <v>11404</v>
      </c>
      <c r="H31152" s="40" t="s">
        <v>11404</v>
      </c>
    </row>
    <row r="31153">
      <c r="A31153" s="39"/>
      <c r="E31153" s="40" t="s">
        <v>11404</v>
      </c>
      <c r="F31153" s="40" t="s">
        <v>11404</v>
      </c>
      <c r="G31153" s="40" t="s">
        <v>11404</v>
      </c>
      <c r="H31153" s="40" t="s">
        <v>11404</v>
      </c>
    </row>
    <row r="31154">
      <c r="A31154" s="39"/>
      <c r="E31154" s="40" t="s">
        <v>11404</v>
      </c>
      <c r="F31154" s="40" t="s">
        <v>11404</v>
      </c>
      <c r="G31154" s="40" t="s">
        <v>11404</v>
      </c>
      <c r="H31154" s="40" t="s">
        <v>11404</v>
      </c>
    </row>
    <row r="31155">
      <c r="A31155" s="39"/>
      <c r="E31155" s="40" t="s">
        <v>11404</v>
      </c>
      <c r="F31155" s="40" t="s">
        <v>11404</v>
      </c>
      <c r="G31155" s="40" t="s">
        <v>11404</v>
      </c>
      <c r="H31155" s="40" t="s">
        <v>11404</v>
      </c>
    </row>
    <row r="31156">
      <c r="A31156" s="39"/>
      <c r="E31156" s="40" t="s">
        <v>11404</v>
      </c>
      <c r="F31156" s="40" t="s">
        <v>11404</v>
      </c>
      <c r="G31156" s="40" t="s">
        <v>11404</v>
      </c>
      <c r="H31156" s="40" t="s">
        <v>11404</v>
      </c>
    </row>
    <row r="31157">
      <c r="A31157" s="39"/>
      <c r="E31157" s="40" t="s">
        <v>11404</v>
      </c>
      <c r="F31157" s="40" t="s">
        <v>11404</v>
      </c>
      <c r="G31157" s="40" t="s">
        <v>11404</v>
      </c>
      <c r="H31157" s="40" t="s">
        <v>11404</v>
      </c>
    </row>
    <row r="31158">
      <c r="A31158" s="39"/>
      <c r="E31158" s="40" t="s">
        <v>11404</v>
      </c>
      <c r="F31158" s="40" t="s">
        <v>11404</v>
      </c>
      <c r="G31158" s="40" t="s">
        <v>11404</v>
      </c>
      <c r="H31158" s="40" t="s">
        <v>11404</v>
      </c>
    </row>
    <row r="31159">
      <c r="A31159" s="39"/>
      <c r="E31159" s="40" t="s">
        <v>11404</v>
      </c>
      <c r="F31159" s="40" t="s">
        <v>11404</v>
      </c>
      <c r="G31159" s="40" t="s">
        <v>11404</v>
      </c>
      <c r="H31159" s="40" t="s">
        <v>11404</v>
      </c>
    </row>
    <row r="31160">
      <c r="A31160" s="39"/>
      <c r="E31160" s="40" t="s">
        <v>11404</v>
      </c>
      <c r="F31160" s="40" t="s">
        <v>11404</v>
      </c>
      <c r="G31160" s="40" t="s">
        <v>11404</v>
      </c>
      <c r="H31160" s="40" t="s">
        <v>11404</v>
      </c>
    </row>
    <row r="31161">
      <c r="A31161" s="39"/>
      <c r="E31161" s="40" t="s">
        <v>11404</v>
      </c>
      <c r="F31161" s="40" t="s">
        <v>11404</v>
      </c>
      <c r="G31161" s="40" t="s">
        <v>11404</v>
      </c>
      <c r="H31161" s="40" t="s">
        <v>11404</v>
      </c>
    </row>
    <row r="31162">
      <c r="A31162" s="39"/>
      <c r="E31162" s="40" t="s">
        <v>11404</v>
      </c>
      <c r="F31162" s="40" t="s">
        <v>11404</v>
      </c>
      <c r="G31162" s="40" t="s">
        <v>11404</v>
      </c>
      <c r="H31162" s="40" t="s">
        <v>11404</v>
      </c>
    </row>
    <row r="31163">
      <c r="A31163" s="39"/>
      <c r="E31163" s="40" t="s">
        <v>11404</v>
      </c>
      <c r="F31163" s="40" t="s">
        <v>11404</v>
      </c>
      <c r="G31163" s="40" t="s">
        <v>11404</v>
      </c>
      <c r="H31163" s="40" t="s">
        <v>11404</v>
      </c>
    </row>
    <row r="31164">
      <c r="A31164" s="39"/>
      <c r="E31164" s="40" t="s">
        <v>11404</v>
      </c>
      <c r="F31164" s="40" t="s">
        <v>11404</v>
      </c>
      <c r="G31164" s="40" t="s">
        <v>11404</v>
      </c>
      <c r="H31164" s="40" t="s">
        <v>11404</v>
      </c>
    </row>
    <row r="31165">
      <c r="A31165" s="39"/>
      <c r="E31165" s="40" t="s">
        <v>11404</v>
      </c>
      <c r="F31165" s="40" t="s">
        <v>11404</v>
      </c>
      <c r="G31165" s="40" t="s">
        <v>11404</v>
      </c>
      <c r="H31165" s="40" t="s">
        <v>11404</v>
      </c>
    </row>
    <row r="31166">
      <c r="A31166" s="39"/>
      <c r="E31166" s="40" t="s">
        <v>11404</v>
      </c>
      <c r="F31166" s="40" t="s">
        <v>11404</v>
      </c>
      <c r="G31166" s="40" t="s">
        <v>11404</v>
      </c>
      <c r="H31166" s="40" t="s">
        <v>11404</v>
      </c>
    </row>
    <row r="31167">
      <c r="A31167" s="39"/>
      <c r="E31167" s="40" t="s">
        <v>11404</v>
      </c>
      <c r="F31167" s="40" t="s">
        <v>11404</v>
      </c>
      <c r="G31167" s="40" t="s">
        <v>11404</v>
      </c>
      <c r="H31167" s="40" t="s">
        <v>11404</v>
      </c>
    </row>
    <row r="31168">
      <c r="A31168" s="39"/>
      <c r="E31168" s="40" t="s">
        <v>11404</v>
      </c>
      <c r="F31168" s="40" t="s">
        <v>11404</v>
      </c>
      <c r="G31168" s="40" t="s">
        <v>11404</v>
      </c>
      <c r="H31168" s="40" t="s">
        <v>11404</v>
      </c>
    </row>
    <row r="31169">
      <c r="A31169" s="39"/>
      <c r="E31169" s="40" t="s">
        <v>11404</v>
      </c>
      <c r="F31169" s="40" t="s">
        <v>11404</v>
      </c>
      <c r="G31169" s="40" t="s">
        <v>11404</v>
      </c>
      <c r="H31169" s="40" t="s">
        <v>11404</v>
      </c>
    </row>
    <row r="31170">
      <c r="A31170" s="39"/>
      <c r="E31170" s="40" t="s">
        <v>11404</v>
      </c>
      <c r="F31170" s="40" t="s">
        <v>11404</v>
      </c>
      <c r="G31170" s="40" t="s">
        <v>11404</v>
      </c>
      <c r="H31170" s="40" t="s">
        <v>11404</v>
      </c>
    </row>
    <row r="31171">
      <c r="A31171" s="39"/>
      <c r="E31171" s="40" t="s">
        <v>11404</v>
      </c>
      <c r="F31171" s="40" t="s">
        <v>11404</v>
      </c>
      <c r="G31171" s="40" t="s">
        <v>11404</v>
      </c>
      <c r="H31171" s="40" t="s">
        <v>11404</v>
      </c>
    </row>
    <row r="31172">
      <c r="A31172" s="39"/>
      <c r="E31172" s="40" t="s">
        <v>11404</v>
      </c>
      <c r="F31172" s="40" t="s">
        <v>11404</v>
      </c>
      <c r="G31172" s="40" t="s">
        <v>11404</v>
      </c>
      <c r="H31172" s="40" t="s">
        <v>11404</v>
      </c>
    </row>
    <row r="31173">
      <c r="A31173" s="39"/>
      <c r="E31173" s="40" t="s">
        <v>11404</v>
      </c>
      <c r="F31173" s="40" t="s">
        <v>11404</v>
      </c>
      <c r="G31173" s="40" t="s">
        <v>11404</v>
      </c>
      <c r="H31173" s="40" t="s">
        <v>11404</v>
      </c>
    </row>
    <row r="31174">
      <c r="A31174" s="39"/>
      <c r="E31174" s="40" t="s">
        <v>11404</v>
      </c>
      <c r="F31174" s="40" t="s">
        <v>11404</v>
      </c>
      <c r="G31174" s="40" t="s">
        <v>11404</v>
      </c>
      <c r="H31174" s="40" t="s">
        <v>11404</v>
      </c>
    </row>
    <row r="31175">
      <c r="A31175" s="39"/>
      <c r="E31175" s="40" t="s">
        <v>11404</v>
      </c>
      <c r="F31175" s="40" t="s">
        <v>11404</v>
      </c>
      <c r="G31175" s="40" t="s">
        <v>11404</v>
      </c>
      <c r="H31175" s="40" t="s">
        <v>11404</v>
      </c>
    </row>
    <row r="31176">
      <c r="A31176" s="39"/>
      <c r="E31176" s="40" t="s">
        <v>11404</v>
      </c>
      <c r="F31176" s="40" t="s">
        <v>11404</v>
      </c>
      <c r="G31176" s="40" t="s">
        <v>11404</v>
      </c>
      <c r="H31176" s="40" t="s">
        <v>11404</v>
      </c>
    </row>
    <row r="31177">
      <c r="A31177" s="39"/>
      <c r="E31177" s="40" t="s">
        <v>11404</v>
      </c>
      <c r="F31177" s="40" t="s">
        <v>11404</v>
      </c>
      <c r="G31177" s="40" t="s">
        <v>11404</v>
      </c>
      <c r="H31177" s="40" t="s">
        <v>11404</v>
      </c>
    </row>
    <row r="31178">
      <c r="A31178" s="39"/>
      <c r="E31178" s="40" t="s">
        <v>11404</v>
      </c>
      <c r="F31178" s="40" t="s">
        <v>11404</v>
      </c>
      <c r="G31178" s="40" t="s">
        <v>11404</v>
      </c>
      <c r="H31178" s="40" t="s">
        <v>11404</v>
      </c>
    </row>
    <row r="31179">
      <c r="A31179" s="39"/>
      <c r="E31179" s="40" t="s">
        <v>11404</v>
      </c>
      <c r="F31179" s="40" t="s">
        <v>11404</v>
      </c>
      <c r="G31179" s="40" t="s">
        <v>11404</v>
      </c>
      <c r="H31179" s="40" t="s">
        <v>11404</v>
      </c>
    </row>
    <row r="31180">
      <c r="A31180" s="39"/>
      <c r="E31180" s="40" t="s">
        <v>11404</v>
      </c>
      <c r="F31180" s="40" t="s">
        <v>11404</v>
      </c>
      <c r="G31180" s="40" t="s">
        <v>11404</v>
      </c>
      <c r="H31180" s="40" t="s">
        <v>11404</v>
      </c>
    </row>
    <row r="31181">
      <c r="A31181" s="39"/>
      <c r="E31181" s="40" t="s">
        <v>11404</v>
      </c>
      <c r="F31181" s="40" t="s">
        <v>11404</v>
      </c>
      <c r="G31181" s="40" t="s">
        <v>11404</v>
      </c>
      <c r="H31181" s="40" t="s">
        <v>11404</v>
      </c>
    </row>
    <row r="31182">
      <c r="A31182" s="39"/>
      <c r="E31182" s="40" t="s">
        <v>11404</v>
      </c>
      <c r="F31182" s="40" t="s">
        <v>11404</v>
      </c>
      <c r="G31182" s="40" t="s">
        <v>11404</v>
      </c>
      <c r="H31182" s="40" t="s">
        <v>11404</v>
      </c>
    </row>
    <row r="31183">
      <c r="A31183" s="39"/>
      <c r="E31183" s="40" t="s">
        <v>11404</v>
      </c>
      <c r="F31183" s="40" t="s">
        <v>11404</v>
      </c>
      <c r="G31183" s="40" t="s">
        <v>11404</v>
      </c>
      <c r="H31183" s="40" t="s">
        <v>11404</v>
      </c>
    </row>
    <row r="31184">
      <c r="A31184" s="39"/>
      <c r="E31184" s="40" t="s">
        <v>11404</v>
      </c>
      <c r="F31184" s="40" t="s">
        <v>11404</v>
      </c>
      <c r="G31184" s="40" t="s">
        <v>11404</v>
      </c>
      <c r="H31184" s="40" t="s">
        <v>11404</v>
      </c>
    </row>
    <row r="31185">
      <c r="A31185" s="39"/>
      <c r="E31185" s="40" t="s">
        <v>11404</v>
      </c>
      <c r="F31185" s="40" t="s">
        <v>11404</v>
      </c>
      <c r="G31185" s="40" t="s">
        <v>11404</v>
      </c>
      <c r="H31185" s="40" t="s">
        <v>11404</v>
      </c>
    </row>
    <row r="31186">
      <c r="A31186" s="39"/>
      <c r="E31186" s="40" t="s">
        <v>11404</v>
      </c>
      <c r="F31186" s="40" t="s">
        <v>11404</v>
      </c>
      <c r="G31186" s="40" t="s">
        <v>11404</v>
      </c>
      <c r="H31186" s="40" t="s">
        <v>11404</v>
      </c>
    </row>
    <row r="31187">
      <c r="A31187" s="39"/>
      <c r="E31187" s="40" t="s">
        <v>11404</v>
      </c>
      <c r="F31187" s="40" t="s">
        <v>11404</v>
      </c>
      <c r="G31187" s="40" t="s">
        <v>11404</v>
      </c>
      <c r="H31187" s="40" t="s">
        <v>11404</v>
      </c>
    </row>
    <row r="31188">
      <c r="A31188" s="39"/>
      <c r="E31188" s="40" t="s">
        <v>11404</v>
      </c>
      <c r="F31188" s="40" t="s">
        <v>11404</v>
      </c>
      <c r="G31188" s="40" t="s">
        <v>11404</v>
      </c>
      <c r="H31188" s="40" t="s">
        <v>11404</v>
      </c>
    </row>
    <row r="31189">
      <c r="A31189" s="39"/>
      <c r="E31189" s="40" t="s">
        <v>11404</v>
      </c>
      <c r="F31189" s="40" t="s">
        <v>11404</v>
      </c>
      <c r="G31189" s="40" t="s">
        <v>11404</v>
      </c>
      <c r="H31189" s="40" t="s">
        <v>11404</v>
      </c>
    </row>
    <row r="31190">
      <c r="A31190" s="39"/>
      <c r="E31190" s="40" t="s">
        <v>11404</v>
      </c>
      <c r="F31190" s="40" t="s">
        <v>11404</v>
      </c>
      <c r="G31190" s="40" t="s">
        <v>11404</v>
      </c>
      <c r="H31190" s="40" t="s">
        <v>11404</v>
      </c>
    </row>
    <row r="31191">
      <c r="A31191" s="39"/>
      <c r="E31191" s="40" t="s">
        <v>11404</v>
      </c>
      <c r="F31191" s="40" t="s">
        <v>11404</v>
      </c>
      <c r="G31191" s="40" t="s">
        <v>11404</v>
      </c>
      <c r="H31191" s="40" t="s">
        <v>11404</v>
      </c>
    </row>
    <row r="31192">
      <c r="A31192" s="39"/>
      <c r="E31192" s="40" t="s">
        <v>11404</v>
      </c>
      <c r="F31192" s="40" t="s">
        <v>11404</v>
      </c>
      <c r="G31192" s="40" t="s">
        <v>11404</v>
      </c>
      <c r="H31192" s="40" t="s">
        <v>11404</v>
      </c>
    </row>
    <row r="31193">
      <c r="A31193" s="39"/>
      <c r="E31193" s="40" t="s">
        <v>11404</v>
      </c>
      <c r="F31193" s="40" t="s">
        <v>11404</v>
      </c>
      <c r="G31193" s="40" t="s">
        <v>11404</v>
      </c>
      <c r="H31193" s="40" t="s">
        <v>11404</v>
      </c>
    </row>
    <row r="31194">
      <c r="A31194" s="39"/>
      <c r="E31194" s="40" t="s">
        <v>11404</v>
      </c>
      <c r="F31194" s="40" t="s">
        <v>11404</v>
      </c>
      <c r="G31194" s="40" t="s">
        <v>11404</v>
      </c>
      <c r="H31194" s="40" t="s">
        <v>11404</v>
      </c>
    </row>
    <row r="31195">
      <c r="A31195" s="39"/>
      <c r="E31195" s="40" t="s">
        <v>11404</v>
      </c>
      <c r="F31195" s="40" t="s">
        <v>11404</v>
      </c>
      <c r="G31195" s="40" t="s">
        <v>11404</v>
      </c>
      <c r="H31195" s="40" t="s">
        <v>11404</v>
      </c>
    </row>
    <row r="31196">
      <c r="A31196" s="39"/>
      <c r="E31196" s="40" t="s">
        <v>11404</v>
      </c>
      <c r="F31196" s="40" t="s">
        <v>11404</v>
      </c>
      <c r="G31196" s="40" t="s">
        <v>11404</v>
      </c>
      <c r="H31196" s="40" t="s">
        <v>11404</v>
      </c>
    </row>
    <row r="31197">
      <c r="A31197" s="39"/>
      <c r="E31197" s="40" t="s">
        <v>11404</v>
      </c>
      <c r="F31197" s="40" t="s">
        <v>11404</v>
      </c>
      <c r="G31197" s="40" t="s">
        <v>11404</v>
      </c>
      <c r="H31197" s="40" t="s">
        <v>11404</v>
      </c>
    </row>
    <row r="31198">
      <c r="A31198" s="39"/>
      <c r="E31198" s="40" t="s">
        <v>11404</v>
      </c>
      <c r="F31198" s="40" t="s">
        <v>11404</v>
      </c>
      <c r="G31198" s="40" t="s">
        <v>11404</v>
      </c>
      <c r="H31198" s="40" t="s">
        <v>11404</v>
      </c>
    </row>
    <row r="31199">
      <c r="A31199" s="39"/>
      <c r="E31199" s="40" t="s">
        <v>11404</v>
      </c>
      <c r="F31199" s="40" t="s">
        <v>11404</v>
      </c>
      <c r="G31199" s="40" t="s">
        <v>11404</v>
      </c>
      <c r="H31199" s="40" t="s">
        <v>11404</v>
      </c>
    </row>
    <row r="31200">
      <c r="A31200" s="39"/>
      <c r="E31200" s="40" t="s">
        <v>11404</v>
      </c>
      <c r="F31200" s="40" t="s">
        <v>11404</v>
      </c>
      <c r="G31200" s="40" t="s">
        <v>11404</v>
      </c>
      <c r="H31200" s="40" t="s">
        <v>11404</v>
      </c>
    </row>
    <row r="31201">
      <c r="A31201" s="39"/>
      <c r="E31201" s="40" t="s">
        <v>11404</v>
      </c>
      <c r="F31201" s="40" t="s">
        <v>11404</v>
      </c>
      <c r="G31201" s="40" t="s">
        <v>11404</v>
      </c>
      <c r="H31201" s="40" t="s">
        <v>11404</v>
      </c>
    </row>
    <row r="31202">
      <c r="A31202" s="39"/>
      <c r="E31202" s="40" t="s">
        <v>11404</v>
      </c>
      <c r="F31202" s="40" t="s">
        <v>11404</v>
      </c>
      <c r="G31202" s="40" t="s">
        <v>11404</v>
      </c>
      <c r="H31202" s="40" t="s">
        <v>11404</v>
      </c>
    </row>
    <row r="31203">
      <c r="A31203" s="39"/>
      <c r="E31203" s="40" t="s">
        <v>11404</v>
      </c>
      <c r="F31203" s="40" t="s">
        <v>11404</v>
      </c>
      <c r="G31203" s="40" t="s">
        <v>11404</v>
      </c>
      <c r="H31203" s="40" t="s">
        <v>11404</v>
      </c>
    </row>
    <row r="31204">
      <c r="A31204" s="39"/>
      <c r="E31204" s="40" t="s">
        <v>11404</v>
      </c>
      <c r="F31204" s="40" t="s">
        <v>11404</v>
      </c>
      <c r="G31204" s="40" t="s">
        <v>11404</v>
      </c>
      <c r="H31204" s="40" t="s">
        <v>11404</v>
      </c>
    </row>
    <row r="31205">
      <c r="A31205" s="39"/>
      <c r="E31205" s="40" t="s">
        <v>11404</v>
      </c>
      <c r="F31205" s="40" t="s">
        <v>11404</v>
      </c>
      <c r="G31205" s="40" t="s">
        <v>11404</v>
      </c>
      <c r="H31205" s="40" t="s">
        <v>11404</v>
      </c>
    </row>
    <row r="31206">
      <c r="A31206" s="39"/>
      <c r="E31206" s="40" t="s">
        <v>11404</v>
      </c>
      <c r="F31206" s="40" t="s">
        <v>11404</v>
      </c>
      <c r="G31206" s="40" t="s">
        <v>11404</v>
      </c>
      <c r="H31206" s="40" t="s">
        <v>11404</v>
      </c>
    </row>
    <row r="31207">
      <c r="A31207" s="39"/>
      <c r="E31207" s="40" t="s">
        <v>11404</v>
      </c>
      <c r="F31207" s="40" t="s">
        <v>11404</v>
      </c>
      <c r="G31207" s="40" t="s">
        <v>11404</v>
      </c>
      <c r="H31207" s="40" t="s">
        <v>11404</v>
      </c>
    </row>
    <row r="31208">
      <c r="A31208" s="39"/>
      <c r="E31208" s="40" t="s">
        <v>11404</v>
      </c>
      <c r="F31208" s="40" t="s">
        <v>11404</v>
      </c>
      <c r="G31208" s="40" t="s">
        <v>11404</v>
      </c>
      <c r="H31208" s="40" t="s">
        <v>11404</v>
      </c>
    </row>
    <row r="31209">
      <c r="A31209" s="39"/>
      <c r="E31209" s="40" t="s">
        <v>11404</v>
      </c>
      <c r="F31209" s="40" t="s">
        <v>11404</v>
      </c>
      <c r="G31209" s="40" t="s">
        <v>11404</v>
      </c>
      <c r="H31209" s="40" t="s">
        <v>11404</v>
      </c>
    </row>
    <row r="31210">
      <c r="A31210" s="39"/>
      <c r="E31210" s="40" t="s">
        <v>11404</v>
      </c>
      <c r="F31210" s="40" t="s">
        <v>11404</v>
      </c>
      <c r="G31210" s="40" t="s">
        <v>11404</v>
      </c>
      <c r="H31210" s="40" t="s">
        <v>11404</v>
      </c>
    </row>
    <row r="31211">
      <c r="A31211" s="39"/>
      <c r="E31211" s="40" t="s">
        <v>11404</v>
      </c>
      <c r="F31211" s="40" t="s">
        <v>11404</v>
      </c>
      <c r="G31211" s="40" t="s">
        <v>11404</v>
      </c>
      <c r="H31211" s="40" t="s">
        <v>11404</v>
      </c>
    </row>
    <row r="31212">
      <c r="A31212" s="39"/>
      <c r="E31212" s="40" t="s">
        <v>11404</v>
      </c>
      <c r="F31212" s="40" t="s">
        <v>11404</v>
      </c>
      <c r="G31212" s="40" t="s">
        <v>11404</v>
      </c>
      <c r="H31212" s="40" t="s">
        <v>11404</v>
      </c>
    </row>
    <row r="31213">
      <c r="A31213" s="39"/>
      <c r="E31213" s="40" t="s">
        <v>11404</v>
      </c>
      <c r="F31213" s="40" t="s">
        <v>11404</v>
      </c>
      <c r="G31213" s="40" t="s">
        <v>11404</v>
      </c>
      <c r="H31213" s="40" t="s">
        <v>11404</v>
      </c>
    </row>
    <row r="31214">
      <c r="A31214" s="39"/>
      <c r="E31214" s="40" t="s">
        <v>11404</v>
      </c>
      <c r="F31214" s="40" t="s">
        <v>11404</v>
      </c>
      <c r="G31214" s="40" t="s">
        <v>11404</v>
      </c>
      <c r="H31214" s="40" t="s">
        <v>11404</v>
      </c>
    </row>
    <row r="31215">
      <c r="A31215" s="39"/>
      <c r="E31215" s="40" t="s">
        <v>11404</v>
      </c>
      <c r="F31215" s="40" t="s">
        <v>11404</v>
      </c>
      <c r="G31215" s="40" t="s">
        <v>11404</v>
      </c>
      <c r="H31215" s="40" t="s">
        <v>11404</v>
      </c>
    </row>
    <row r="31216">
      <c r="A31216" s="39"/>
      <c r="E31216" s="40" t="s">
        <v>11404</v>
      </c>
      <c r="F31216" s="40" t="s">
        <v>11404</v>
      </c>
      <c r="G31216" s="40" t="s">
        <v>11404</v>
      </c>
      <c r="H31216" s="40" t="s">
        <v>11404</v>
      </c>
    </row>
    <row r="31217">
      <c r="A31217" s="39"/>
      <c r="E31217" s="40" t="s">
        <v>11404</v>
      </c>
      <c r="F31217" s="40" t="s">
        <v>11404</v>
      </c>
      <c r="G31217" s="40" t="s">
        <v>11404</v>
      </c>
      <c r="H31217" s="40" t="s">
        <v>11404</v>
      </c>
    </row>
    <row r="31218">
      <c r="A31218" s="39"/>
      <c r="E31218" s="40" t="s">
        <v>11404</v>
      </c>
      <c r="F31218" s="40" t="s">
        <v>11404</v>
      </c>
      <c r="G31218" s="40" t="s">
        <v>11404</v>
      </c>
      <c r="H31218" s="40" t="s">
        <v>11404</v>
      </c>
    </row>
    <row r="31219">
      <c r="A31219" s="39"/>
      <c r="E31219" s="40" t="s">
        <v>11404</v>
      </c>
      <c r="F31219" s="40" t="s">
        <v>11404</v>
      </c>
      <c r="G31219" s="40" t="s">
        <v>11404</v>
      </c>
      <c r="H31219" s="40" t="s">
        <v>11404</v>
      </c>
    </row>
    <row r="31220">
      <c r="A31220" s="39"/>
      <c r="E31220" s="40" t="s">
        <v>11404</v>
      </c>
      <c r="F31220" s="40" t="s">
        <v>11404</v>
      </c>
      <c r="G31220" s="40" t="s">
        <v>11404</v>
      </c>
      <c r="H31220" s="40" t="s">
        <v>11404</v>
      </c>
    </row>
    <row r="31221">
      <c r="A31221" s="39"/>
      <c r="E31221" s="40" t="s">
        <v>11404</v>
      </c>
      <c r="F31221" s="40" t="s">
        <v>11404</v>
      </c>
      <c r="G31221" s="40" t="s">
        <v>11404</v>
      </c>
      <c r="H31221" s="40" t="s">
        <v>11404</v>
      </c>
    </row>
    <row r="31222">
      <c r="A31222" s="39"/>
      <c r="E31222" s="40" t="s">
        <v>11404</v>
      </c>
      <c r="F31222" s="40" t="s">
        <v>11404</v>
      </c>
      <c r="G31222" s="40" t="s">
        <v>11404</v>
      </c>
      <c r="H31222" s="40" t="s">
        <v>11404</v>
      </c>
    </row>
    <row r="31223">
      <c r="A31223" s="39"/>
      <c r="E31223" s="40" t="s">
        <v>11404</v>
      </c>
      <c r="F31223" s="40" t="s">
        <v>11404</v>
      </c>
      <c r="G31223" s="40" t="s">
        <v>11404</v>
      </c>
      <c r="H31223" s="40" t="s">
        <v>11404</v>
      </c>
    </row>
    <row r="31224">
      <c r="A31224" s="39"/>
      <c r="E31224" s="40" t="s">
        <v>11404</v>
      </c>
      <c r="F31224" s="40" t="s">
        <v>11404</v>
      </c>
      <c r="G31224" s="40" t="s">
        <v>11404</v>
      </c>
      <c r="H31224" s="40" t="s">
        <v>11404</v>
      </c>
    </row>
    <row r="31225">
      <c r="A31225" s="39"/>
      <c r="E31225" s="40" t="s">
        <v>11404</v>
      </c>
      <c r="F31225" s="40" t="s">
        <v>11404</v>
      </c>
      <c r="G31225" s="40" t="s">
        <v>11404</v>
      </c>
      <c r="H31225" s="40" t="s">
        <v>11404</v>
      </c>
    </row>
    <row r="31226">
      <c r="A31226" s="39"/>
      <c r="E31226" s="40" t="s">
        <v>11404</v>
      </c>
      <c r="F31226" s="40" t="s">
        <v>11404</v>
      </c>
      <c r="G31226" s="40" t="s">
        <v>11404</v>
      </c>
      <c r="H31226" s="40" t="s">
        <v>11404</v>
      </c>
    </row>
    <row r="31227">
      <c r="A31227" s="39"/>
      <c r="E31227" s="40" t="s">
        <v>11404</v>
      </c>
      <c r="F31227" s="40" t="s">
        <v>11404</v>
      </c>
      <c r="G31227" s="40" t="s">
        <v>11404</v>
      </c>
      <c r="H31227" s="40" t="s">
        <v>11404</v>
      </c>
    </row>
    <row r="31228">
      <c r="A31228" s="39"/>
      <c r="E31228" s="40" t="s">
        <v>11404</v>
      </c>
      <c r="F31228" s="40" t="s">
        <v>11404</v>
      </c>
      <c r="G31228" s="40" t="s">
        <v>11404</v>
      </c>
      <c r="H31228" s="40" t="s">
        <v>11404</v>
      </c>
    </row>
    <row r="31229">
      <c r="A31229" s="39"/>
      <c r="E31229" s="40" t="s">
        <v>11404</v>
      </c>
      <c r="F31229" s="40" t="s">
        <v>11404</v>
      </c>
      <c r="G31229" s="40" t="s">
        <v>11404</v>
      </c>
      <c r="H31229" s="40" t="s">
        <v>11404</v>
      </c>
    </row>
    <row r="31230">
      <c r="A31230" s="39"/>
      <c r="E31230" s="40" t="s">
        <v>11404</v>
      </c>
      <c r="F31230" s="40" t="s">
        <v>11404</v>
      </c>
      <c r="G31230" s="40" t="s">
        <v>11404</v>
      </c>
      <c r="H31230" s="40" t="s">
        <v>11404</v>
      </c>
    </row>
    <row r="31231">
      <c r="A31231" s="39"/>
      <c r="E31231" s="40" t="s">
        <v>11404</v>
      </c>
      <c r="F31231" s="40" t="s">
        <v>11404</v>
      </c>
      <c r="G31231" s="40" t="s">
        <v>11404</v>
      </c>
      <c r="H31231" s="40" t="s">
        <v>11404</v>
      </c>
    </row>
    <row r="31232">
      <c r="A31232" s="39"/>
      <c r="E31232" s="40" t="s">
        <v>11404</v>
      </c>
      <c r="F31232" s="40" t="s">
        <v>11404</v>
      </c>
      <c r="G31232" s="40" t="s">
        <v>11404</v>
      </c>
      <c r="H31232" s="40" t="s">
        <v>11404</v>
      </c>
    </row>
    <row r="31233">
      <c r="A31233" s="39"/>
      <c r="E31233" s="40" t="s">
        <v>11404</v>
      </c>
      <c r="F31233" s="40" t="s">
        <v>11404</v>
      </c>
      <c r="G31233" s="40" t="s">
        <v>11404</v>
      </c>
      <c r="H31233" s="40" t="s">
        <v>11404</v>
      </c>
    </row>
    <row r="31234">
      <c r="A31234" s="39"/>
      <c r="E31234" s="40" t="s">
        <v>11404</v>
      </c>
      <c r="F31234" s="40" t="s">
        <v>11404</v>
      </c>
      <c r="G31234" s="40" t="s">
        <v>11404</v>
      </c>
      <c r="H31234" s="40" t="s">
        <v>11404</v>
      </c>
    </row>
    <row r="31235">
      <c r="A31235" s="39"/>
      <c r="E31235" s="40" t="s">
        <v>11404</v>
      </c>
      <c r="F31235" s="40" t="s">
        <v>11404</v>
      </c>
      <c r="G31235" s="40" t="s">
        <v>11404</v>
      </c>
      <c r="H31235" s="40" t="s">
        <v>11404</v>
      </c>
    </row>
    <row r="31236">
      <c r="A31236" s="39"/>
      <c r="E31236" s="40" t="s">
        <v>11404</v>
      </c>
      <c r="F31236" s="40" t="s">
        <v>11404</v>
      </c>
      <c r="G31236" s="40" t="s">
        <v>11404</v>
      </c>
      <c r="H31236" s="40" t="s">
        <v>11404</v>
      </c>
    </row>
    <row r="31237">
      <c r="A31237" s="39"/>
      <c r="E31237" s="40" t="s">
        <v>11404</v>
      </c>
      <c r="F31237" s="40" t="s">
        <v>11404</v>
      </c>
      <c r="G31237" s="40" t="s">
        <v>11404</v>
      </c>
      <c r="H31237" s="40" t="s">
        <v>11404</v>
      </c>
    </row>
    <row r="31238">
      <c r="A31238" s="39"/>
      <c r="E31238" s="40" t="s">
        <v>11404</v>
      </c>
      <c r="F31238" s="40" t="s">
        <v>11404</v>
      </c>
      <c r="G31238" s="40" t="s">
        <v>11404</v>
      </c>
      <c r="H31238" s="40" t="s">
        <v>11404</v>
      </c>
    </row>
    <row r="31239">
      <c r="A31239" s="39"/>
      <c r="E31239" s="40" t="s">
        <v>11404</v>
      </c>
      <c r="F31239" s="40" t="s">
        <v>11404</v>
      </c>
      <c r="G31239" s="40" t="s">
        <v>11404</v>
      </c>
      <c r="H31239" s="40" t="s">
        <v>11404</v>
      </c>
    </row>
    <row r="31240">
      <c r="A31240" s="39"/>
      <c r="E31240" s="40" t="s">
        <v>11404</v>
      </c>
      <c r="F31240" s="40" t="s">
        <v>11404</v>
      </c>
      <c r="G31240" s="40" t="s">
        <v>11404</v>
      </c>
      <c r="H31240" s="40" t="s">
        <v>11404</v>
      </c>
    </row>
    <row r="31241">
      <c r="A31241" s="39"/>
      <c r="E31241" s="40" t="s">
        <v>11404</v>
      </c>
      <c r="F31241" s="40" t="s">
        <v>11404</v>
      </c>
      <c r="G31241" s="40" t="s">
        <v>11404</v>
      </c>
      <c r="H31241" s="40" t="s">
        <v>11404</v>
      </c>
    </row>
    <row r="31242">
      <c r="A31242" s="39"/>
      <c r="E31242" s="40" t="s">
        <v>11404</v>
      </c>
      <c r="F31242" s="40" t="s">
        <v>11404</v>
      </c>
      <c r="G31242" s="40" t="s">
        <v>11404</v>
      </c>
      <c r="H31242" s="40" t="s">
        <v>11404</v>
      </c>
    </row>
    <row r="31243">
      <c r="A31243" s="39"/>
      <c r="E31243" s="40" t="s">
        <v>11404</v>
      </c>
      <c r="F31243" s="40" t="s">
        <v>11404</v>
      </c>
      <c r="G31243" s="40" t="s">
        <v>11404</v>
      </c>
      <c r="H31243" s="40" t="s">
        <v>11404</v>
      </c>
    </row>
    <row r="31244">
      <c r="A31244" s="39"/>
      <c r="E31244" s="40" t="s">
        <v>11404</v>
      </c>
      <c r="F31244" s="40" t="s">
        <v>11404</v>
      </c>
      <c r="G31244" s="40" t="s">
        <v>11404</v>
      </c>
      <c r="H31244" s="40" t="s">
        <v>11404</v>
      </c>
    </row>
    <row r="31245">
      <c r="A31245" s="39"/>
      <c r="E31245" s="40" t="s">
        <v>11404</v>
      </c>
      <c r="F31245" s="40" t="s">
        <v>11404</v>
      </c>
      <c r="G31245" s="40" t="s">
        <v>11404</v>
      </c>
      <c r="H31245" s="40" t="s">
        <v>11404</v>
      </c>
    </row>
    <row r="31246">
      <c r="A31246" s="39"/>
      <c r="E31246" s="40" t="s">
        <v>11404</v>
      </c>
      <c r="F31246" s="40" t="s">
        <v>11404</v>
      </c>
      <c r="G31246" s="40" t="s">
        <v>11404</v>
      </c>
      <c r="H31246" s="40" t="s">
        <v>11404</v>
      </c>
    </row>
    <row r="31247">
      <c r="A31247" s="39"/>
      <c r="E31247" s="40" t="s">
        <v>11404</v>
      </c>
      <c r="F31247" s="40" t="s">
        <v>11404</v>
      </c>
      <c r="G31247" s="40" t="s">
        <v>11404</v>
      </c>
      <c r="H31247" s="40" t="s">
        <v>11404</v>
      </c>
    </row>
    <row r="31248">
      <c r="A31248" s="39"/>
      <c r="E31248" s="40" t="s">
        <v>11404</v>
      </c>
      <c r="F31248" s="40" t="s">
        <v>11404</v>
      </c>
      <c r="G31248" s="40" t="s">
        <v>11404</v>
      </c>
      <c r="H31248" s="40" t="s">
        <v>11404</v>
      </c>
    </row>
    <row r="31249">
      <c r="A31249" s="39"/>
      <c r="E31249" s="40" t="s">
        <v>11404</v>
      </c>
      <c r="F31249" s="40" t="s">
        <v>11404</v>
      </c>
      <c r="G31249" s="40" t="s">
        <v>11404</v>
      </c>
      <c r="H31249" s="40" t="s">
        <v>11404</v>
      </c>
    </row>
    <row r="31250">
      <c r="A31250" s="39"/>
      <c r="E31250" s="40" t="s">
        <v>11404</v>
      </c>
      <c r="F31250" s="40" t="s">
        <v>11404</v>
      </c>
      <c r="G31250" s="40" t="s">
        <v>11404</v>
      </c>
      <c r="H31250" s="40" t="s">
        <v>11404</v>
      </c>
    </row>
    <row r="31251">
      <c r="A31251" s="39"/>
      <c r="E31251" s="40" t="s">
        <v>11404</v>
      </c>
      <c r="F31251" s="40" t="s">
        <v>11404</v>
      </c>
      <c r="G31251" s="40" t="s">
        <v>11404</v>
      </c>
      <c r="H31251" s="40" t="s">
        <v>11404</v>
      </c>
    </row>
    <row r="31252">
      <c r="A31252" s="39"/>
      <c r="E31252" s="40" t="s">
        <v>11404</v>
      </c>
      <c r="F31252" s="40" t="s">
        <v>11404</v>
      </c>
      <c r="G31252" s="40" t="s">
        <v>11404</v>
      </c>
      <c r="H31252" s="40" t="s">
        <v>11404</v>
      </c>
    </row>
    <row r="31253">
      <c r="A31253" s="39"/>
      <c r="E31253" s="40" t="s">
        <v>11404</v>
      </c>
      <c r="F31253" s="40" t="s">
        <v>11404</v>
      </c>
      <c r="G31253" s="40" t="s">
        <v>11404</v>
      </c>
      <c r="H31253" s="40" t="s">
        <v>11404</v>
      </c>
    </row>
    <row r="31254">
      <c r="A31254" s="39"/>
      <c r="E31254" s="40" t="s">
        <v>11404</v>
      </c>
      <c r="F31254" s="40" t="s">
        <v>11404</v>
      </c>
      <c r="G31254" s="40" t="s">
        <v>11404</v>
      </c>
      <c r="H31254" s="40" t="s">
        <v>11404</v>
      </c>
    </row>
    <row r="31255">
      <c r="A31255" s="39"/>
      <c r="E31255" s="40" t="s">
        <v>11404</v>
      </c>
      <c r="F31255" s="40" t="s">
        <v>11404</v>
      </c>
      <c r="G31255" s="40" t="s">
        <v>11404</v>
      </c>
      <c r="H31255" s="40" t="s">
        <v>11404</v>
      </c>
    </row>
    <row r="31256">
      <c r="A31256" s="39"/>
      <c r="E31256" s="40" t="s">
        <v>11404</v>
      </c>
      <c r="F31256" s="40" t="s">
        <v>11404</v>
      </c>
      <c r="G31256" s="40" t="s">
        <v>11404</v>
      </c>
      <c r="H31256" s="40" t="s">
        <v>11404</v>
      </c>
    </row>
    <row r="31257">
      <c r="A31257" s="39"/>
      <c r="E31257" s="40" t="s">
        <v>11404</v>
      </c>
      <c r="F31257" s="40" t="s">
        <v>11404</v>
      </c>
      <c r="G31257" s="40" t="s">
        <v>11404</v>
      </c>
      <c r="H31257" s="40" t="s">
        <v>11404</v>
      </c>
    </row>
    <row r="31258">
      <c r="A31258" s="39"/>
      <c r="E31258" s="40" t="s">
        <v>11404</v>
      </c>
      <c r="F31258" s="40" t="s">
        <v>11404</v>
      </c>
      <c r="G31258" s="40" t="s">
        <v>11404</v>
      </c>
      <c r="H31258" s="40" t="s">
        <v>11404</v>
      </c>
    </row>
    <row r="31259">
      <c r="A31259" s="39"/>
      <c r="E31259" s="40" t="s">
        <v>11404</v>
      </c>
      <c r="F31259" s="40" t="s">
        <v>11404</v>
      </c>
      <c r="G31259" s="40" t="s">
        <v>11404</v>
      </c>
      <c r="H31259" s="40" t="s">
        <v>11404</v>
      </c>
    </row>
    <row r="31260">
      <c r="A31260" s="39"/>
      <c r="E31260" s="40" t="s">
        <v>11404</v>
      </c>
      <c r="F31260" s="40" t="s">
        <v>11404</v>
      </c>
      <c r="G31260" s="40" t="s">
        <v>11404</v>
      </c>
      <c r="H31260" s="40" t="s">
        <v>11404</v>
      </c>
    </row>
    <row r="31261">
      <c r="A31261" s="39"/>
      <c r="E31261" s="40" t="s">
        <v>11404</v>
      </c>
      <c r="F31261" s="40" t="s">
        <v>11404</v>
      </c>
      <c r="G31261" s="40" t="s">
        <v>11404</v>
      </c>
      <c r="H31261" s="40" t="s">
        <v>11404</v>
      </c>
    </row>
    <row r="31262">
      <c r="A31262" s="39"/>
      <c r="E31262" s="40" t="s">
        <v>11404</v>
      </c>
      <c r="F31262" s="40" t="s">
        <v>11404</v>
      </c>
      <c r="G31262" s="40" t="s">
        <v>11404</v>
      </c>
      <c r="H31262" s="40" t="s">
        <v>11404</v>
      </c>
    </row>
    <row r="31263">
      <c r="A31263" s="39"/>
      <c r="E31263" s="40" t="s">
        <v>11404</v>
      </c>
      <c r="F31263" s="40" t="s">
        <v>11404</v>
      </c>
      <c r="G31263" s="40" t="s">
        <v>11404</v>
      </c>
      <c r="H31263" s="40" t="s">
        <v>11404</v>
      </c>
    </row>
    <row r="31264">
      <c r="A31264" s="39"/>
      <c r="E31264" s="40" t="s">
        <v>11404</v>
      </c>
      <c r="F31264" s="40" t="s">
        <v>11404</v>
      </c>
      <c r="G31264" s="40" t="s">
        <v>11404</v>
      </c>
      <c r="H31264" s="40" t="s">
        <v>11404</v>
      </c>
    </row>
    <row r="31265">
      <c r="A31265" s="39"/>
      <c r="E31265" s="40" t="s">
        <v>11404</v>
      </c>
      <c r="F31265" s="40" t="s">
        <v>11404</v>
      </c>
      <c r="G31265" s="40" t="s">
        <v>11404</v>
      </c>
      <c r="H31265" s="40" t="s">
        <v>11404</v>
      </c>
    </row>
    <row r="31266">
      <c r="A31266" s="39"/>
      <c r="E31266" s="40" t="s">
        <v>11404</v>
      </c>
      <c r="F31266" s="40" t="s">
        <v>11404</v>
      </c>
      <c r="G31266" s="40" t="s">
        <v>11404</v>
      </c>
      <c r="H31266" s="40" t="s">
        <v>11404</v>
      </c>
    </row>
    <row r="31267">
      <c r="A31267" s="39"/>
      <c r="E31267" s="40" t="s">
        <v>11404</v>
      </c>
      <c r="F31267" s="40" t="s">
        <v>11404</v>
      </c>
      <c r="G31267" s="40" t="s">
        <v>11404</v>
      </c>
      <c r="H31267" s="40" t="s">
        <v>11404</v>
      </c>
    </row>
    <row r="31268">
      <c r="A31268" s="39"/>
      <c r="E31268" s="40" t="s">
        <v>11404</v>
      </c>
      <c r="F31268" s="40" t="s">
        <v>11404</v>
      </c>
      <c r="G31268" s="40" t="s">
        <v>11404</v>
      </c>
      <c r="H31268" s="40" t="s">
        <v>11404</v>
      </c>
    </row>
    <row r="31269">
      <c r="A31269" s="39"/>
      <c r="E31269" s="40" t="s">
        <v>11404</v>
      </c>
      <c r="F31269" s="40" t="s">
        <v>11404</v>
      </c>
      <c r="G31269" s="40" t="s">
        <v>11404</v>
      </c>
      <c r="H31269" s="40" t="s">
        <v>11404</v>
      </c>
    </row>
    <row r="31270">
      <c r="A31270" s="39"/>
      <c r="E31270" s="40" t="s">
        <v>11404</v>
      </c>
      <c r="F31270" s="40" t="s">
        <v>11404</v>
      </c>
      <c r="G31270" s="40" t="s">
        <v>11404</v>
      </c>
      <c r="H31270" s="40" t="s">
        <v>11404</v>
      </c>
    </row>
    <row r="31271">
      <c r="A31271" s="39"/>
      <c r="E31271" s="40" t="s">
        <v>11404</v>
      </c>
      <c r="F31271" s="40" t="s">
        <v>11404</v>
      </c>
      <c r="G31271" s="40" t="s">
        <v>11404</v>
      </c>
      <c r="H31271" s="40" t="s">
        <v>11404</v>
      </c>
    </row>
    <row r="31272">
      <c r="A31272" s="39"/>
      <c r="E31272" s="40" t="s">
        <v>11404</v>
      </c>
      <c r="F31272" s="40" t="s">
        <v>11404</v>
      </c>
      <c r="G31272" s="40" t="s">
        <v>11404</v>
      </c>
      <c r="H31272" s="40" t="s">
        <v>11404</v>
      </c>
    </row>
    <row r="31273">
      <c r="A31273" s="39"/>
      <c r="E31273" s="40" t="s">
        <v>11404</v>
      </c>
      <c r="F31273" s="40" t="s">
        <v>11404</v>
      </c>
      <c r="G31273" s="40" t="s">
        <v>11404</v>
      </c>
      <c r="H31273" s="40" t="s">
        <v>11404</v>
      </c>
    </row>
    <row r="31274">
      <c r="A31274" s="39"/>
      <c r="E31274" s="40" t="s">
        <v>11404</v>
      </c>
      <c r="F31274" s="40" t="s">
        <v>11404</v>
      </c>
      <c r="G31274" s="40" t="s">
        <v>11404</v>
      </c>
      <c r="H31274" s="40" t="s">
        <v>11404</v>
      </c>
    </row>
    <row r="31275">
      <c r="A31275" s="39"/>
      <c r="E31275" s="40" t="s">
        <v>11404</v>
      </c>
      <c r="F31275" s="40" t="s">
        <v>11404</v>
      </c>
      <c r="G31275" s="40" t="s">
        <v>11404</v>
      </c>
      <c r="H31275" s="40" t="s">
        <v>11404</v>
      </c>
    </row>
    <row r="31276">
      <c r="A31276" s="39"/>
      <c r="E31276" s="40" t="s">
        <v>11404</v>
      </c>
      <c r="F31276" s="40" t="s">
        <v>11404</v>
      </c>
      <c r="G31276" s="40" t="s">
        <v>11404</v>
      </c>
      <c r="H31276" s="40" t="s">
        <v>11404</v>
      </c>
    </row>
    <row r="31277">
      <c r="A31277" s="39"/>
      <c r="E31277" s="40" t="s">
        <v>11404</v>
      </c>
      <c r="F31277" s="40" t="s">
        <v>11404</v>
      </c>
      <c r="G31277" s="40" t="s">
        <v>11404</v>
      </c>
      <c r="H31277" s="40" t="s">
        <v>11404</v>
      </c>
    </row>
    <row r="31278">
      <c r="A31278" s="39"/>
      <c r="E31278" s="40" t="s">
        <v>11404</v>
      </c>
      <c r="F31278" s="40" t="s">
        <v>11404</v>
      </c>
      <c r="G31278" s="40" t="s">
        <v>11404</v>
      </c>
      <c r="H31278" s="40" t="s">
        <v>11404</v>
      </c>
    </row>
    <row r="31279">
      <c r="A31279" s="39"/>
      <c r="E31279" s="40" t="s">
        <v>11404</v>
      </c>
      <c r="F31279" s="40" t="s">
        <v>11404</v>
      </c>
      <c r="G31279" s="40" t="s">
        <v>11404</v>
      </c>
      <c r="H31279" s="40" t="s">
        <v>11404</v>
      </c>
    </row>
    <row r="31280">
      <c r="A31280" s="39"/>
      <c r="E31280" s="40" t="s">
        <v>11404</v>
      </c>
      <c r="F31280" s="40" t="s">
        <v>11404</v>
      </c>
      <c r="G31280" s="40" t="s">
        <v>11404</v>
      </c>
      <c r="H31280" s="40" t="s">
        <v>11404</v>
      </c>
    </row>
    <row r="31281">
      <c r="A31281" s="39"/>
      <c r="E31281" s="40" t="s">
        <v>11404</v>
      </c>
      <c r="F31281" s="40" t="s">
        <v>11404</v>
      </c>
      <c r="G31281" s="40" t="s">
        <v>11404</v>
      </c>
      <c r="H31281" s="40" t="s">
        <v>11404</v>
      </c>
    </row>
    <row r="31282">
      <c r="A31282" s="39"/>
      <c r="E31282" s="40" t="s">
        <v>11404</v>
      </c>
      <c r="F31282" s="40" t="s">
        <v>11404</v>
      </c>
      <c r="G31282" s="40" t="s">
        <v>11404</v>
      </c>
      <c r="H31282" s="40" t="s">
        <v>11404</v>
      </c>
    </row>
    <row r="31283">
      <c r="A31283" s="39"/>
      <c r="E31283" s="40" t="s">
        <v>11404</v>
      </c>
      <c r="F31283" s="40" t="s">
        <v>11404</v>
      </c>
      <c r="G31283" s="40" t="s">
        <v>11404</v>
      </c>
      <c r="H31283" s="40" t="s">
        <v>11404</v>
      </c>
    </row>
    <row r="31284">
      <c r="A31284" s="39"/>
      <c r="E31284" s="40" t="s">
        <v>11404</v>
      </c>
      <c r="F31284" s="40" t="s">
        <v>11404</v>
      </c>
      <c r="G31284" s="40" t="s">
        <v>11404</v>
      </c>
      <c r="H31284" s="40" t="s">
        <v>11404</v>
      </c>
    </row>
    <row r="31285">
      <c r="A31285" s="39"/>
      <c r="E31285" s="40" t="s">
        <v>11404</v>
      </c>
      <c r="F31285" s="40" t="s">
        <v>11404</v>
      </c>
      <c r="G31285" s="40" t="s">
        <v>11404</v>
      </c>
      <c r="H31285" s="40" t="s">
        <v>11404</v>
      </c>
    </row>
    <row r="31286">
      <c r="A31286" s="39"/>
      <c r="E31286" s="40" t="s">
        <v>11404</v>
      </c>
      <c r="F31286" s="40" t="s">
        <v>11404</v>
      </c>
      <c r="G31286" s="40" t="s">
        <v>11404</v>
      </c>
      <c r="H31286" s="40" t="s">
        <v>11404</v>
      </c>
    </row>
    <row r="31287">
      <c r="A31287" s="39"/>
      <c r="E31287" s="40" t="s">
        <v>11404</v>
      </c>
      <c r="F31287" s="40" t="s">
        <v>11404</v>
      </c>
      <c r="G31287" s="40" t="s">
        <v>11404</v>
      </c>
      <c r="H31287" s="40" t="s">
        <v>11404</v>
      </c>
    </row>
    <row r="31288">
      <c r="A31288" s="39"/>
      <c r="E31288" s="40" t="s">
        <v>11404</v>
      </c>
      <c r="F31288" s="40" t="s">
        <v>11404</v>
      </c>
      <c r="G31288" s="40" t="s">
        <v>11404</v>
      </c>
      <c r="H31288" s="40" t="s">
        <v>11404</v>
      </c>
    </row>
    <row r="31289">
      <c r="A31289" s="39"/>
      <c r="E31289" s="40" t="s">
        <v>11404</v>
      </c>
      <c r="F31289" s="40" t="s">
        <v>11404</v>
      </c>
      <c r="G31289" s="40" t="s">
        <v>11404</v>
      </c>
      <c r="H31289" s="40" t="s">
        <v>11404</v>
      </c>
    </row>
    <row r="31290">
      <c r="A31290" s="39"/>
      <c r="E31290" s="40" t="s">
        <v>11404</v>
      </c>
      <c r="F31290" s="40" t="s">
        <v>11404</v>
      </c>
      <c r="G31290" s="40" t="s">
        <v>11404</v>
      </c>
      <c r="H31290" s="40" t="s">
        <v>11404</v>
      </c>
    </row>
    <row r="31291">
      <c r="A31291" s="39"/>
      <c r="E31291" s="40" t="s">
        <v>11404</v>
      </c>
      <c r="F31291" s="40" t="s">
        <v>11404</v>
      </c>
      <c r="G31291" s="40" t="s">
        <v>11404</v>
      </c>
      <c r="H31291" s="40" t="s">
        <v>11404</v>
      </c>
    </row>
    <row r="31292">
      <c r="A31292" s="39"/>
      <c r="E31292" s="40" t="s">
        <v>11404</v>
      </c>
      <c r="F31292" s="40" t="s">
        <v>11404</v>
      </c>
      <c r="G31292" s="40" t="s">
        <v>11404</v>
      </c>
      <c r="H31292" s="40" t="s">
        <v>11404</v>
      </c>
    </row>
    <row r="31293">
      <c r="A31293" s="39"/>
      <c r="E31293" s="40" t="s">
        <v>11404</v>
      </c>
      <c r="F31293" s="40" t="s">
        <v>11404</v>
      </c>
      <c r="G31293" s="40" t="s">
        <v>11404</v>
      </c>
      <c r="H31293" s="40" t="s">
        <v>11404</v>
      </c>
    </row>
    <row r="31294">
      <c r="A31294" s="39"/>
      <c r="E31294" s="40" t="s">
        <v>11404</v>
      </c>
      <c r="F31294" s="40" t="s">
        <v>11404</v>
      </c>
      <c r="G31294" s="40" t="s">
        <v>11404</v>
      </c>
      <c r="H31294" s="40" t="s">
        <v>11404</v>
      </c>
    </row>
    <row r="31295">
      <c r="A31295" s="39"/>
      <c r="E31295" s="40" t="s">
        <v>11404</v>
      </c>
      <c r="F31295" s="40" t="s">
        <v>11404</v>
      </c>
      <c r="G31295" s="40" t="s">
        <v>11404</v>
      </c>
      <c r="H31295" s="40" t="s">
        <v>11404</v>
      </c>
    </row>
    <row r="31296">
      <c r="A31296" s="39"/>
      <c r="E31296" s="40" t="s">
        <v>11404</v>
      </c>
      <c r="F31296" s="40" t="s">
        <v>11404</v>
      </c>
      <c r="G31296" s="40" t="s">
        <v>11404</v>
      </c>
      <c r="H31296" s="40" t="s">
        <v>11404</v>
      </c>
    </row>
    <row r="31297">
      <c r="A31297" s="39"/>
      <c r="E31297" s="40" t="s">
        <v>11404</v>
      </c>
      <c r="F31297" s="40" t="s">
        <v>11404</v>
      </c>
      <c r="G31297" s="40" t="s">
        <v>11404</v>
      </c>
      <c r="H31297" s="40" t="s">
        <v>11404</v>
      </c>
    </row>
    <row r="31298">
      <c r="A31298" s="39"/>
      <c r="E31298" s="40" t="s">
        <v>11404</v>
      </c>
      <c r="F31298" s="40" t="s">
        <v>11404</v>
      </c>
      <c r="G31298" s="40" t="s">
        <v>11404</v>
      </c>
      <c r="H31298" s="40" t="s">
        <v>11404</v>
      </c>
    </row>
    <row r="31299">
      <c r="A31299" s="39"/>
      <c r="E31299" s="40" t="s">
        <v>11404</v>
      </c>
      <c r="F31299" s="40" t="s">
        <v>11404</v>
      </c>
      <c r="G31299" s="40" t="s">
        <v>11404</v>
      </c>
      <c r="H31299" s="40" t="s">
        <v>11404</v>
      </c>
    </row>
    <row r="31300">
      <c r="A31300" s="39"/>
      <c r="E31300" s="40" t="s">
        <v>11404</v>
      </c>
      <c r="F31300" s="40" t="s">
        <v>11404</v>
      </c>
      <c r="G31300" s="40" t="s">
        <v>11404</v>
      </c>
      <c r="H31300" s="40" t="s">
        <v>11404</v>
      </c>
    </row>
    <row r="31301">
      <c r="A31301" s="39"/>
      <c r="E31301" s="40" t="s">
        <v>11404</v>
      </c>
      <c r="F31301" s="40" t="s">
        <v>11404</v>
      </c>
      <c r="G31301" s="40" t="s">
        <v>11404</v>
      </c>
      <c r="H31301" s="40" t="s">
        <v>11404</v>
      </c>
    </row>
    <row r="31302">
      <c r="A31302" s="39"/>
      <c r="E31302" s="40" t="s">
        <v>11404</v>
      </c>
      <c r="F31302" s="40" t="s">
        <v>11404</v>
      </c>
      <c r="G31302" s="40" t="s">
        <v>11404</v>
      </c>
      <c r="H31302" s="40" t="s">
        <v>11404</v>
      </c>
    </row>
    <row r="31303">
      <c r="A31303" s="39"/>
      <c r="E31303" s="40" t="s">
        <v>11404</v>
      </c>
      <c r="F31303" s="40" t="s">
        <v>11404</v>
      </c>
      <c r="G31303" s="40" t="s">
        <v>11404</v>
      </c>
      <c r="H31303" s="40" t="s">
        <v>11404</v>
      </c>
    </row>
    <row r="31304">
      <c r="A31304" s="39"/>
      <c r="E31304" s="40" t="s">
        <v>11404</v>
      </c>
      <c r="F31304" s="40" t="s">
        <v>11404</v>
      </c>
      <c r="G31304" s="40" t="s">
        <v>11404</v>
      </c>
      <c r="H31304" s="40" t="s">
        <v>11404</v>
      </c>
    </row>
    <row r="31305">
      <c r="A31305" s="39"/>
      <c r="E31305" s="40" t="s">
        <v>11404</v>
      </c>
      <c r="F31305" s="40" t="s">
        <v>11404</v>
      </c>
      <c r="G31305" s="40" t="s">
        <v>11404</v>
      </c>
      <c r="H31305" s="40" t="s">
        <v>11404</v>
      </c>
    </row>
    <row r="31306">
      <c r="A31306" s="39"/>
      <c r="E31306" s="40" t="s">
        <v>11404</v>
      </c>
      <c r="F31306" s="40" t="s">
        <v>11404</v>
      </c>
      <c r="G31306" s="40" t="s">
        <v>11404</v>
      </c>
      <c r="H31306" s="40" t="s">
        <v>11404</v>
      </c>
    </row>
    <row r="31307">
      <c r="A31307" s="39"/>
      <c r="E31307" s="40" t="s">
        <v>11404</v>
      </c>
      <c r="F31307" s="40" t="s">
        <v>11404</v>
      </c>
      <c r="G31307" s="40" t="s">
        <v>11404</v>
      </c>
      <c r="H31307" s="40" t="s">
        <v>11404</v>
      </c>
    </row>
    <row r="31308">
      <c r="A31308" s="39"/>
      <c r="E31308" s="40" t="s">
        <v>11404</v>
      </c>
      <c r="F31308" s="40" t="s">
        <v>11404</v>
      </c>
      <c r="G31308" s="40" t="s">
        <v>11404</v>
      </c>
      <c r="H31308" s="40" t="s">
        <v>11404</v>
      </c>
    </row>
    <row r="31309">
      <c r="A31309" s="39"/>
      <c r="E31309" s="40" t="s">
        <v>11404</v>
      </c>
      <c r="F31309" s="40" t="s">
        <v>11404</v>
      </c>
      <c r="G31309" s="40" t="s">
        <v>11404</v>
      </c>
      <c r="H31309" s="40" t="s">
        <v>11404</v>
      </c>
    </row>
    <row r="31310">
      <c r="A31310" s="39"/>
      <c r="E31310" s="40" t="s">
        <v>11404</v>
      </c>
      <c r="F31310" s="40" t="s">
        <v>11404</v>
      </c>
      <c r="G31310" s="40" t="s">
        <v>11404</v>
      </c>
      <c r="H31310" s="40" t="s">
        <v>11404</v>
      </c>
    </row>
    <row r="31311">
      <c r="A31311" s="39"/>
      <c r="E31311" s="40" t="s">
        <v>11404</v>
      </c>
      <c r="F31311" s="40" t="s">
        <v>11404</v>
      </c>
      <c r="G31311" s="40" t="s">
        <v>11404</v>
      </c>
      <c r="H31311" s="40" t="s">
        <v>11404</v>
      </c>
    </row>
    <row r="31312">
      <c r="A31312" s="39"/>
      <c r="E31312" s="40" t="s">
        <v>11404</v>
      </c>
      <c r="F31312" s="40" t="s">
        <v>11404</v>
      </c>
      <c r="G31312" s="40" t="s">
        <v>11404</v>
      </c>
      <c r="H31312" s="40" t="s">
        <v>11404</v>
      </c>
    </row>
    <row r="31313">
      <c r="A31313" s="39"/>
      <c r="E31313" s="40" t="s">
        <v>11404</v>
      </c>
      <c r="F31313" s="40" t="s">
        <v>11404</v>
      </c>
      <c r="G31313" s="40" t="s">
        <v>11404</v>
      </c>
      <c r="H31313" s="40" t="s">
        <v>11404</v>
      </c>
    </row>
    <row r="31314">
      <c r="A31314" s="39"/>
      <c r="E31314" s="40" t="s">
        <v>11404</v>
      </c>
      <c r="F31314" s="40" t="s">
        <v>11404</v>
      </c>
      <c r="G31314" s="40" t="s">
        <v>11404</v>
      </c>
      <c r="H31314" s="40" t="s">
        <v>11404</v>
      </c>
    </row>
    <row r="31315">
      <c r="A31315" s="39"/>
      <c r="E31315" s="40" t="s">
        <v>11404</v>
      </c>
      <c r="F31315" s="40" t="s">
        <v>11404</v>
      </c>
      <c r="G31315" s="40" t="s">
        <v>11404</v>
      </c>
      <c r="H31315" s="40" t="s">
        <v>11404</v>
      </c>
    </row>
    <row r="31316">
      <c r="A31316" s="39"/>
      <c r="E31316" s="40" t="s">
        <v>11404</v>
      </c>
      <c r="F31316" s="40" t="s">
        <v>11404</v>
      </c>
      <c r="G31316" s="40" t="s">
        <v>11404</v>
      </c>
      <c r="H31316" s="40" t="s">
        <v>11404</v>
      </c>
    </row>
    <row r="31317">
      <c r="A31317" s="39"/>
      <c r="E31317" s="40" t="s">
        <v>11404</v>
      </c>
      <c r="F31317" s="40" t="s">
        <v>11404</v>
      </c>
      <c r="G31317" s="40" t="s">
        <v>11404</v>
      </c>
      <c r="H31317" s="40" t="s">
        <v>11404</v>
      </c>
    </row>
    <row r="31318">
      <c r="A31318" s="39"/>
      <c r="E31318" s="40" t="s">
        <v>11404</v>
      </c>
      <c r="F31318" s="40" t="s">
        <v>11404</v>
      </c>
      <c r="G31318" s="40" t="s">
        <v>11404</v>
      </c>
      <c r="H31318" s="40" t="s">
        <v>11404</v>
      </c>
    </row>
    <row r="31319">
      <c r="A31319" s="39"/>
      <c r="E31319" s="40" t="s">
        <v>11404</v>
      </c>
      <c r="F31319" s="40" t="s">
        <v>11404</v>
      </c>
      <c r="G31319" s="40" t="s">
        <v>11404</v>
      </c>
      <c r="H31319" s="40" t="s">
        <v>11404</v>
      </c>
    </row>
    <row r="31320">
      <c r="A31320" s="39"/>
      <c r="E31320" s="40" t="s">
        <v>11404</v>
      </c>
      <c r="F31320" s="40" t="s">
        <v>11404</v>
      </c>
      <c r="G31320" s="40" t="s">
        <v>11404</v>
      </c>
      <c r="H31320" s="40" t="s">
        <v>11404</v>
      </c>
    </row>
    <row r="31321">
      <c r="A31321" s="39"/>
      <c r="E31321" s="40" t="s">
        <v>11404</v>
      </c>
      <c r="F31321" s="40" t="s">
        <v>11404</v>
      </c>
      <c r="G31321" s="40" t="s">
        <v>11404</v>
      </c>
      <c r="H31321" s="40" t="s">
        <v>11404</v>
      </c>
    </row>
    <row r="31322">
      <c r="A31322" s="39"/>
      <c r="E31322" s="40" t="s">
        <v>11404</v>
      </c>
      <c r="F31322" s="40" t="s">
        <v>11404</v>
      </c>
      <c r="G31322" s="40" t="s">
        <v>11404</v>
      </c>
      <c r="H31322" s="40" t="s">
        <v>11404</v>
      </c>
    </row>
    <row r="31323">
      <c r="A31323" s="39"/>
      <c r="E31323" s="40" t="s">
        <v>11404</v>
      </c>
      <c r="F31323" s="40" t="s">
        <v>11404</v>
      </c>
      <c r="G31323" s="40" t="s">
        <v>11404</v>
      </c>
      <c r="H31323" s="40" t="s">
        <v>11404</v>
      </c>
    </row>
    <row r="31324">
      <c r="A31324" s="39"/>
      <c r="E31324" s="40" t="s">
        <v>11404</v>
      </c>
      <c r="F31324" s="40" t="s">
        <v>11404</v>
      </c>
      <c r="G31324" s="40" t="s">
        <v>11404</v>
      </c>
      <c r="H31324" s="40" t="s">
        <v>11404</v>
      </c>
    </row>
    <row r="31325">
      <c r="A31325" s="39"/>
      <c r="E31325" s="40" t="s">
        <v>11404</v>
      </c>
      <c r="F31325" s="40" t="s">
        <v>11404</v>
      </c>
      <c r="G31325" s="40" t="s">
        <v>11404</v>
      </c>
      <c r="H31325" s="40" t="s">
        <v>11404</v>
      </c>
    </row>
    <row r="31326">
      <c r="A31326" s="39"/>
      <c r="E31326" s="40" t="s">
        <v>11404</v>
      </c>
      <c r="F31326" s="40" t="s">
        <v>11404</v>
      </c>
      <c r="G31326" s="40" t="s">
        <v>11404</v>
      </c>
      <c r="H31326" s="40" t="s">
        <v>11404</v>
      </c>
    </row>
    <row r="31327">
      <c r="A31327" s="39"/>
      <c r="E31327" s="40" t="s">
        <v>11404</v>
      </c>
      <c r="F31327" s="40" t="s">
        <v>11404</v>
      </c>
      <c r="G31327" s="40" t="s">
        <v>11404</v>
      </c>
      <c r="H31327" s="40" t="s">
        <v>11404</v>
      </c>
    </row>
    <row r="31328">
      <c r="A31328" s="39"/>
      <c r="E31328" s="40" t="s">
        <v>11404</v>
      </c>
      <c r="F31328" s="40" t="s">
        <v>11404</v>
      </c>
      <c r="G31328" s="40" t="s">
        <v>11404</v>
      </c>
      <c r="H31328" s="40" t="s">
        <v>11404</v>
      </c>
    </row>
    <row r="31329">
      <c r="A31329" s="39"/>
      <c r="E31329" s="40" t="s">
        <v>11404</v>
      </c>
      <c r="F31329" s="40" t="s">
        <v>11404</v>
      </c>
      <c r="G31329" s="40" t="s">
        <v>11404</v>
      </c>
      <c r="H31329" s="40" t="s">
        <v>11404</v>
      </c>
    </row>
    <row r="31330">
      <c r="A31330" s="39"/>
      <c r="E31330" s="40" t="s">
        <v>11404</v>
      </c>
      <c r="F31330" s="40" t="s">
        <v>11404</v>
      </c>
      <c r="G31330" s="40" t="s">
        <v>11404</v>
      </c>
      <c r="H31330" s="40" t="s">
        <v>11404</v>
      </c>
    </row>
    <row r="31331">
      <c r="A31331" s="39"/>
      <c r="E31331" s="40" t="s">
        <v>11404</v>
      </c>
      <c r="F31331" s="40" t="s">
        <v>11404</v>
      </c>
      <c r="G31331" s="40" t="s">
        <v>11404</v>
      </c>
      <c r="H31331" s="40" t="s">
        <v>11404</v>
      </c>
    </row>
    <row r="31332">
      <c r="A31332" s="39"/>
      <c r="E31332" s="40" t="s">
        <v>11404</v>
      </c>
      <c r="F31332" s="40" t="s">
        <v>11404</v>
      </c>
      <c r="G31332" s="40" t="s">
        <v>11404</v>
      </c>
      <c r="H31332" s="40" t="s">
        <v>11404</v>
      </c>
    </row>
    <row r="31333">
      <c r="A31333" s="39"/>
      <c r="E31333" s="40" t="s">
        <v>11404</v>
      </c>
      <c r="F31333" s="40" t="s">
        <v>11404</v>
      </c>
      <c r="G31333" s="40" t="s">
        <v>11404</v>
      </c>
      <c r="H31333" s="40" t="s">
        <v>11404</v>
      </c>
    </row>
    <row r="31334">
      <c r="A31334" s="39"/>
      <c r="E31334" s="40" t="s">
        <v>11404</v>
      </c>
      <c r="F31334" s="40" t="s">
        <v>11404</v>
      </c>
      <c r="G31334" s="40" t="s">
        <v>11404</v>
      </c>
      <c r="H31334" s="40" t="s">
        <v>11404</v>
      </c>
    </row>
    <row r="31335">
      <c r="A31335" s="39"/>
      <c r="E31335" s="40" t="s">
        <v>11404</v>
      </c>
      <c r="F31335" s="40" t="s">
        <v>11404</v>
      </c>
      <c r="G31335" s="40" t="s">
        <v>11404</v>
      </c>
      <c r="H31335" s="40" t="s">
        <v>11404</v>
      </c>
    </row>
    <row r="31336">
      <c r="A31336" s="39"/>
      <c r="E31336" s="40" t="s">
        <v>11404</v>
      </c>
      <c r="F31336" s="40" t="s">
        <v>11404</v>
      </c>
      <c r="G31336" s="40" t="s">
        <v>11404</v>
      </c>
      <c r="H31336" s="40" t="s">
        <v>11404</v>
      </c>
    </row>
    <row r="31337">
      <c r="A31337" s="39"/>
      <c r="E31337" s="40" t="s">
        <v>11404</v>
      </c>
      <c r="F31337" s="40" t="s">
        <v>11404</v>
      </c>
      <c r="G31337" s="40" t="s">
        <v>11404</v>
      </c>
      <c r="H31337" s="40" t="s">
        <v>11404</v>
      </c>
    </row>
    <row r="31338">
      <c r="A31338" s="39"/>
      <c r="E31338" s="40" t="s">
        <v>11404</v>
      </c>
      <c r="F31338" s="40" t="s">
        <v>11404</v>
      </c>
      <c r="G31338" s="40" t="s">
        <v>11404</v>
      </c>
      <c r="H31338" s="40" t="s">
        <v>11404</v>
      </c>
    </row>
    <row r="31339">
      <c r="A31339" s="39"/>
      <c r="E31339" s="40" t="s">
        <v>11404</v>
      </c>
      <c r="F31339" s="40" t="s">
        <v>11404</v>
      </c>
      <c r="G31339" s="40" t="s">
        <v>11404</v>
      </c>
      <c r="H31339" s="40" t="s">
        <v>11404</v>
      </c>
    </row>
    <row r="31340">
      <c r="A31340" s="39"/>
      <c r="E31340" s="40" t="s">
        <v>11404</v>
      </c>
      <c r="F31340" s="40" t="s">
        <v>11404</v>
      </c>
      <c r="G31340" s="40" t="s">
        <v>11404</v>
      </c>
      <c r="H31340" s="40" t="s">
        <v>11404</v>
      </c>
    </row>
    <row r="31341">
      <c r="A31341" s="39"/>
      <c r="E31341" s="40" t="s">
        <v>11404</v>
      </c>
      <c r="F31341" s="40" t="s">
        <v>11404</v>
      </c>
      <c r="G31341" s="40" t="s">
        <v>11404</v>
      </c>
      <c r="H31341" s="40" t="s">
        <v>11404</v>
      </c>
    </row>
    <row r="31342">
      <c r="A31342" s="39"/>
      <c r="E31342" s="40" t="s">
        <v>11404</v>
      </c>
      <c r="F31342" s="40" t="s">
        <v>11404</v>
      </c>
      <c r="G31342" s="40" t="s">
        <v>11404</v>
      </c>
      <c r="H31342" s="40" t="s">
        <v>11404</v>
      </c>
    </row>
    <row r="31343">
      <c r="A31343" s="39"/>
      <c r="E31343" s="40" t="s">
        <v>11404</v>
      </c>
      <c r="F31343" s="40" t="s">
        <v>11404</v>
      </c>
      <c r="G31343" s="40" t="s">
        <v>11404</v>
      </c>
      <c r="H31343" s="40" t="s">
        <v>11404</v>
      </c>
    </row>
    <row r="31344">
      <c r="A31344" s="39"/>
      <c r="E31344" s="40" t="s">
        <v>11404</v>
      </c>
      <c r="F31344" s="40" t="s">
        <v>11404</v>
      </c>
      <c r="G31344" s="40" t="s">
        <v>11404</v>
      </c>
      <c r="H31344" s="40" t="s">
        <v>11404</v>
      </c>
    </row>
    <row r="31345">
      <c r="A31345" s="39"/>
      <c r="E31345" s="40" t="s">
        <v>11404</v>
      </c>
      <c r="F31345" s="40" t="s">
        <v>11404</v>
      </c>
      <c r="G31345" s="40" t="s">
        <v>11404</v>
      </c>
      <c r="H31345" s="40" t="s">
        <v>11404</v>
      </c>
    </row>
    <row r="31346">
      <c r="A31346" s="39"/>
      <c r="E31346" s="40" t="s">
        <v>11404</v>
      </c>
      <c r="F31346" s="40" t="s">
        <v>11404</v>
      </c>
      <c r="G31346" s="40" t="s">
        <v>11404</v>
      </c>
      <c r="H31346" s="40" t="s">
        <v>11404</v>
      </c>
    </row>
    <row r="31347">
      <c r="A31347" s="39"/>
      <c r="E31347" s="40" t="s">
        <v>11404</v>
      </c>
      <c r="F31347" s="40" t="s">
        <v>11404</v>
      </c>
      <c r="G31347" s="40" t="s">
        <v>11404</v>
      </c>
      <c r="H31347" s="40" t="s">
        <v>11404</v>
      </c>
    </row>
    <row r="31348">
      <c r="A31348" s="39"/>
      <c r="E31348" s="40" t="s">
        <v>11404</v>
      </c>
      <c r="F31348" s="40" t="s">
        <v>11404</v>
      </c>
      <c r="G31348" s="40" t="s">
        <v>11404</v>
      </c>
      <c r="H31348" s="40" t="s">
        <v>11404</v>
      </c>
    </row>
    <row r="31349">
      <c r="A31349" s="39"/>
      <c r="E31349" s="40" t="s">
        <v>11404</v>
      </c>
      <c r="F31349" s="40" t="s">
        <v>11404</v>
      </c>
      <c r="G31349" s="40" t="s">
        <v>11404</v>
      </c>
      <c r="H31349" s="40" t="s">
        <v>11404</v>
      </c>
    </row>
    <row r="31350">
      <c r="A31350" s="39"/>
      <c r="E31350" s="40" t="s">
        <v>11404</v>
      </c>
      <c r="F31350" s="40" t="s">
        <v>11404</v>
      </c>
      <c r="G31350" s="40" t="s">
        <v>11404</v>
      </c>
      <c r="H31350" s="40" t="s">
        <v>11404</v>
      </c>
    </row>
    <row r="31351">
      <c r="A31351" s="39"/>
      <c r="E31351" s="40" t="s">
        <v>11404</v>
      </c>
      <c r="F31351" s="40" t="s">
        <v>11404</v>
      </c>
      <c r="G31351" s="40" t="s">
        <v>11404</v>
      </c>
      <c r="H31351" s="40" t="s">
        <v>11404</v>
      </c>
    </row>
    <row r="31352">
      <c r="A31352" s="39"/>
      <c r="E31352" s="40" t="s">
        <v>11404</v>
      </c>
      <c r="F31352" s="40" t="s">
        <v>11404</v>
      </c>
      <c r="G31352" s="40" t="s">
        <v>11404</v>
      </c>
      <c r="H31352" s="40" t="s">
        <v>11404</v>
      </c>
    </row>
    <row r="31353">
      <c r="A31353" s="39"/>
      <c r="E31353" s="40" t="s">
        <v>11404</v>
      </c>
      <c r="F31353" s="40" t="s">
        <v>11404</v>
      </c>
      <c r="G31353" s="40" t="s">
        <v>11404</v>
      </c>
      <c r="H31353" s="40" t="s">
        <v>11404</v>
      </c>
    </row>
    <row r="31354">
      <c r="A31354" s="39"/>
      <c r="E31354" s="40" t="s">
        <v>11404</v>
      </c>
      <c r="F31354" s="40" t="s">
        <v>11404</v>
      </c>
      <c r="G31354" s="40" t="s">
        <v>11404</v>
      </c>
      <c r="H31354" s="40" t="s">
        <v>11404</v>
      </c>
    </row>
    <row r="31355">
      <c r="A31355" s="39"/>
      <c r="E31355" s="40" t="s">
        <v>11404</v>
      </c>
      <c r="F31355" s="40" t="s">
        <v>11404</v>
      </c>
      <c r="G31355" s="40" t="s">
        <v>11404</v>
      </c>
      <c r="H31355" s="40" t="s">
        <v>11404</v>
      </c>
    </row>
    <row r="31356">
      <c r="A31356" s="39"/>
      <c r="E31356" s="40" t="s">
        <v>11404</v>
      </c>
      <c r="F31356" s="40" t="s">
        <v>11404</v>
      </c>
      <c r="G31356" s="40" t="s">
        <v>11404</v>
      </c>
      <c r="H31356" s="40" t="s">
        <v>11404</v>
      </c>
    </row>
    <row r="31357">
      <c r="A31357" s="39"/>
      <c r="E31357" s="40" t="s">
        <v>11404</v>
      </c>
      <c r="F31357" s="40" t="s">
        <v>11404</v>
      </c>
      <c r="G31357" s="40" t="s">
        <v>11404</v>
      </c>
      <c r="H31357" s="40" t="s">
        <v>11404</v>
      </c>
    </row>
    <row r="31358">
      <c r="A31358" s="39"/>
      <c r="E31358" s="40" t="s">
        <v>11404</v>
      </c>
      <c r="F31358" s="40" t="s">
        <v>11404</v>
      </c>
      <c r="G31358" s="40" t="s">
        <v>11404</v>
      </c>
      <c r="H31358" s="40" t="s">
        <v>11404</v>
      </c>
    </row>
    <row r="31359">
      <c r="A31359" s="39"/>
      <c r="E31359" s="40" t="s">
        <v>11404</v>
      </c>
      <c r="F31359" s="40" t="s">
        <v>11404</v>
      </c>
      <c r="G31359" s="40" t="s">
        <v>11404</v>
      </c>
      <c r="H31359" s="40" t="s">
        <v>11404</v>
      </c>
    </row>
    <row r="31360">
      <c r="A31360" s="39"/>
      <c r="E31360" s="40" t="s">
        <v>11404</v>
      </c>
      <c r="F31360" s="40" t="s">
        <v>11404</v>
      </c>
      <c r="G31360" s="40" t="s">
        <v>11404</v>
      </c>
      <c r="H31360" s="40" t="s">
        <v>11404</v>
      </c>
    </row>
    <row r="31361">
      <c r="A31361" s="39"/>
      <c r="E31361" s="40" t="s">
        <v>11404</v>
      </c>
      <c r="F31361" s="40" t="s">
        <v>11404</v>
      </c>
      <c r="G31361" s="40" t="s">
        <v>11404</v>
      </c>
      <c r="H31361" s="40" t="s">
        <v>11404</v>
      </c>
    </row>
    <row r="31362">
      <c r="A31362" s="39"/>
      <c r="E31362" s="40" t="s">
        <v>11404</v>
      </c>
      <c r="F31362" s="40" t="s">
        <v>11404</v>
      </c>
      <c r="G31362" s="40" t="s">
        <v>11404</v>
      </c>
      <c r="H31362" s="40" t="s">
        <v>11404</v>
      </c>
    </row>
    <row r="31363">
      <c r="A31363" s="39"/>
      <c r="E31363" s="40" t="s">
        <v>11404</v>
      </c>
      <c r="F31363" s="40" t="s">
        <v>11404</v>
      </c>
      <c r="G31363" s="40" t="s">
        <v>11404</v>
      </c>
      <c r="H31363" s="40" t="s">
        <v>11404</v>
      </c>
    </row>
    <row r="31364">
      <c r="A31364" s="39"/>
      <c r="E31364" s="40" t="s">
        <v>11404</v>
      </c>
      <c r="F31364" s="40" t="s">
        <v>11404</v>
      </c>
      <c r="G31364" s="40" t="s">
        <v>11404</v>
      </c>
      <c r="H31364" s="40" t="s">
        <v>11404</v>
      </c>
    </row>
    <row r="31365">
      <c r="A31365" s="39"/>
      <c r="E31365" s="40" t="s">
        <v>11404</v>
      </c>
      <c r="F31365" s="40" t="s">
        <v>11404</v>
      </c>
      <c r="G31365" s="40" t="s">
        <v>11404</v>
      </c>
      <c r="H31365" s="40" t="s">
        <v>11404</v>
      </c>
    </row>
    <row r="31366">
      <c r="A31366" s="39"/>
      <c r="E31366" s="40" t="s">
        <v>11404</v>
      </c>
      <c r="F31366" s="40" t="s">
        <v>11404</v>
      </c>
      <c r="G31366" s="40" t="s">
        <v>11404</v>
      </c>
      <c r="H31366" s="40" t="s">
        <v>11404</v>
      </c>
    </row>
    <row r="31367">
      <c r="A31367" s="39"/>
      <c r="E31367" s="40" t="s">
        <v>11404</v>
      </c>
      <c r="F31367" s="40" t="s">
        <v>11404</v>
      </c>
      <c r="G31367" s="40" t="s">
        <v>11404</v>
      </c>
      <c r="H31367" s="40" t="s">
        <v>11404</v>
      </c>
    </row>
    <row r="31368">
      <c r="A31368" s="39"/>
      <c r="E31368" s="40" t="s">
        <v>11404</v>
      </c>
      <c r="F31368" s="40" t="s">
        <v>11404</v>
      </c>
      <c r="G31368" s="40" t="s">
        <v>11404</v>
      </c>
      <c r="H31368" s="40" t="s">
        <v>11404</v>
      </c>
    </row>
    <row r="31369">
      <c r="A31369" s="39"/>
      <c r="E31369" s="40" t="s">
        <v>11404</v>
      </c>
      <c r="F31369" s="40" t="s">
        <v>11404</v>
      </c>
      <c r="G31369" s="40" t="s">
        <v>11404</v>
      </c>
      <c r="H31369" s="40" t="s">
        <v>11404</v>
      </c>
    </row>
    <row r="31370">
      <c r="A31370" s="39"/>
      <c r="E31370" s="40" t="s">
        <v>11404</v>
      </c>
      <c r="F31370" s="40" t="s">
        <v>11404</v>
      </c>
      <c r="G31370" s="40" t="s">
        <v>11404</v>
      </c>
      <c r="H31370" s="40" t="s">
        <v>11404</v>
      </c>
    </row>
    <row r="31371">
      <c r="A31371" s="39"/>
      <c r="E31371" s="40" t="s">
        <v>11404</v>
      </c>
      <c r="F31371" s="40" t="s">
        <v>11404</v>
      </c>
      <c r="G31371" s="40" t="s">
        <v>11404</v>
      </c>
      <c r="H31371" s="40" t="s">
        <v>11404</v>
      </c>
    </row>
    <row r="31372">
      <c r="A31372" s="39"/>
      <c r="E31372" s="40" t="s">
        <v>11404</v>
      </c>
      <c r="F31372" s="40" t="s">
        <v>11404</v>
      </c>
      <c r="G31372" s="40" t="s">
        <v>11404</v>
      </c>
      <c r="H31372" s="40" t="s">
        <v>11404</v>
      </c>
    </row>
    <row r="31373">
      <c r="A31373" s="39"/>
      <c r="E31373" s="40" t="s">
        <v>11404</v>
      </c>
      <c r="F31373" s="40" t="s">
        <v>11404</v>
      </c>
      <c r="G31373" s="40" t="s">
        <v>11404</v>
      </c>
      <c r="H31373" s="40" t="s">
        <v>11404</v>
      </c>
    </row>
    <row r="31374">
      <c r="A31374" s="39"/>
      <c r="E31374" s="40" t="s">
        <v>11404</v>
      </c>
      <c r="F31374" s="40" t="s">
        <v>11404</v>
      </c>
      <c r="G31374" s="40" t="s">
        <v>11404</v>
      </c>
      <c r="H31374" s="40" t="s">
        <v>11404</v>
      </c>
    </row>
    <row r="31375">
      <c r="A31375" s="39"/>
      <c r="E31375" s="40" t="s">
        <v>11404</v>
      </c>
      <c r="F31375" s="40" t="s">
        <v>11404</v>
      </c>
      <c r="G31375" s="40" t="s">
        <v>11404</v>
      </c>
      <c r="H31375" s="40" t="s">
        <v>11404</v>
      </c>
    </row>
    <row r="31376">
      <c r="A31376" s="39"/>
      <c r="E31376" s="40" t="s">
        <v>11404</v>
      </c>
      <c r="F31376" s="40" t="s">
        <v>11404</v>
      </c>
      <c r="G31376" s="40" t="s">
        <v>11404</v>
      </c>
      <c r="H31376" s="40" t="s">
        <v>11404</v>
      </c>
    </row>
    <row r="31377">
      <c r="A31377" s="39"/>
      <c r="E31377" s="40" t="s">
        <v>11404</v>
      </c>
      <c r="F31377" s="40" t="s">
        <v>11404</v>
      </c>
      <c r="G31377" s="40" t="s">
        <v>11404</v>
      </c>
      <c r="H31377" s="40" t="s">
        <v>11404</v>
      </c>
    </row>
    <row r="31378">
      <c r="A31378" s="39"/>
      <c r="E31378" s="40" t="s">
        <v>11404</v>
      </c>
      <c r="F31378" s="40" t="s">
        <v>11404</v>
      </c>
      <c r="G31378" s="40" t="s">
        <v>11404</v>
      </c>
      <c r="H31378" s="40" t="s">
        <v>11404</v>
      </c>
    </row>
    <row r="31379">
      <c r="A31379" s="39"/>
      <c r="E31379" s="40" t="s">
        <v>11404</v>
      </c>
      <c r="F31379" s="40" t="s">
        <v>11404</v>
      </c>
      <c r="G31379" s="40" t="s">
        <v>11404</v>
      </c>
      <c r="H31379" s="40" t="s">
        <v>11404</v>
      </c>
    </row>
    <row r="31380">
      <c r="A31380" s="39"/>
      <c r="E31380" s="40" t="s">
        <v>11404</v>
      </c>
      <c r="F31380" s="40" t="s">
        <v>11404</v>
      </c>
      <c r="G31380" s="40" t="s">
        <v>11404</v>
      </c>
      <c r="H31380" s="40" t="s">
        <v>11404</v>
      </c>
    </row>
    <row r="31381">
      <c r="A31381" s="39"/>
      <c r="E31381" s="40" t="s">
        <v>11404</v>
      </c>
      <c r="F31381" s="40" t="s">
        <v>11404</v>
      </c>
      <c r="G31381" s="40" t="s">
        <v>11404</v>
      </c>
      <c r="H31381" s="40" t="s">
        <v>11404</v>
      </c>
    </row>
    <row r="31382">
      <c r="A31382" s="39"/>
      <c r="E31382" s="40" t="s">
        <v>11404</v>
      </c>
      <c r="F31382" s="40" t="s">
        <v>11404</v>
      </c>
      <c r="G31382" s="40" t="s">
        <v>11404</v>
      </c>
      <c r="H31382" s="40" t="s">
        <v>11404</v>
      </c>
    </row>
    <row r="31383">
      <c r="A31383" s="39"/>
      <c r="E31383" s="40" t="s">
        <v>11404</v>
      </c>
      <c r="F31383" s="40" t="s">
        <v>11404</v>
      </c>
      <c r="G31383" s="40" t="s">
        <v>11404</v>
      </c>
      <c r="H31383" s="40" t="s">
        <v>11404</v>
      </c>
    </row>
    <row r="31384">
      <c r="A31384" s="39"/>
      <c r="E31384" s="40" t="s">
        <v>11404</v>
      </c>
      <c r="F31384" s="40" t="s">
        <v>11404</v>
      </c>
      <c r="G31384" s="40" t="s">
        <v>11404</v>
      </c>
      <c r="H31384" s="40" t="s">
        <v>11404</v>
      </c>
    </row>
    <row r="31385">
      <c r="A31385" s="39"/>
      <c r="E31385" s="40" t="s">
        <v>11404</v>
      </c>
      <c r="F31385" s="40" t="s">
        <v>11404</v>
      </c>
      <c r="G31385" s="40" t="s">
        <v>11404</v>
      </c>
      <c r="H31385" s="40" t="s">
        <v>11404</v>
      </c>
    </row>
    <row r="31386">
      <c r="A31386" s="39"/>
      <c r="E31386" s="40" t="s">
        <v>11404</v>
      </c>
      <c r="F31386" s="40" t="s">
        <v>11404</v>
      </c>
      <c r="G31386" s="40" t="s">
        <v>11404</v>
      </c>
      <c r="H31386" s="40" t="s">
        <v>11404</v>
      </c>
    </row>
    <row r="31387">
      <c r="A31387" s="39"/>
      <c r="E31387" s="40" t="s">
        <v>11404</v>
      </c>
      <c r="F31387" s="40" t="s">
        <v>11404</v>
      </c>
      <c r="G31387" s="40" t="s">
        <v>11404</v>
      </c>
      <c r="H31387" s="40" t="s">
        <v>11404</v>
      </c>
    </row>
    <row r="31388">
      <c r="A31388" s="39"/>
      <c r="E31388" s="40" t="s">
        <v>11404</v>
      </c>
      <c r="F31388" s="40" t="s">
        <v>11404</v>
      </c>
      <c r="G31388" s="40" t="s">
        <v>11404</v>
      </c>
      <c r="H31388" s="40" t="s">
        <v>11404</v>
      </c>
    </row>
    <row r="31389">
      <c r="A31389" s="39"/>
      <c r="E31389" s="40" t="s">
        <v>11404</v>
      </c>
      <c r="F31389" s="40" t="s">
        <v>11404</v>
      </c>
      <c r="G31389" s="40" t="s">
        <v>11404</v>
      </c>
      <c r="H31389" s="40" t="s">
        <v>11404</v>
      </c>
    </row>
    <row r="31390">
      <c r="A31390" s="39"/>
      <c r="E31390" s="40" t="s">
        <v>11404</v>
      </c>
      <c r="F31390" s="40" t="s">
        <v>11404</v>
      </c>
      <c r="G31390" s="40" t="s">
        <v>11404</v>
      </c>
      <c r="H31390" s="40" t="s">
        <v>11404</v>
      </c>
    </row>
    <row r="31391">
      <c r="A31391" s="39"/>
      <c r="E31391" s="40" t="s">
        <v>11404</v>
      </c>
      <c r="F31391" s="40" t="s">
        <v>11404</v>
      </c>
      <c r="G31391" s="40" t="s">
        <v>11404</v>
      </c>
      <c r="H31391" s="40" t="s">
        <v>11404</v>
      </c>
    </row>
    <row r="31392">
      <c r="A31392" s="39"/>
      <c r="E31392" s="40" t="s">
        <v>11404</v>
      </c>
      <c r="F31392" s="40" t="s">
        <v>11404</v>
      </c>
      <c r="G31392" s="40" t="s">
        <v>11404</v>
      </c>
      <c r="H31392" s="40" t="s">
        <v>11404</v>
      </c>
    </row>
    <row r="31393">
      <c r="A31393" s="39"/>
      <c r="E31393" s="40" t="s">
        <v>11404</v>
      </c>
      <c r="F31393" s="40" t="s">
        <v>11404</v>
      </c>
      <c r="G31393" s="40" t="s">
        <v>11404</v>
      </c>
      <c r="H31393" s="40" t="s">
        <v>11404</v>
      </c>
    </row>
    <row r="31394">
      <c r="A31394" s="39"/>
      <c r="E31394" s="40" t="s">
        <v>11404</v>
      </c>
      <c r="F31394" s="40" t="s">
        <v>11404</v>
      </c>
      <c r="G31394" s="40" t="s">
        <v>11404</v>
      </c>
      <c r="H31394" s="40" t="s">
        <v>11404</v>
      </c>
    </row>
    <row r="31395">
      <c r="A31395" s="39"/>
      <c r="E31395" s="40" t="s">
        <v>11404</v>
      </c>
      <c r="F31395" s="40" t="s">
        <v>11404</v>
      </c>
      <c r="G31395" s="40" t="s">
        <v>11404</v>
      </c>
      <c r="H31395" s="40" t="s">
        <v>11404</v>
      </c>
    </row>
    <row r="31396">
      <c r="A31396" s="39"/>
      <c r="E31396" s="40" t="s">
        <v>11404</v>
      </c>
      <c r="F31396" s="40" t="s">
        <v>11404</v>
      </c>
      <c r="G31396" s="40" t="s">
        <v>11404</v>
      </c>
      <c r="H31396" s="40" t="s">
        <v>11404</v>
      </c>
    </row>
    <row r="31397">
      <c r="A31397" s="39"/>
      <c r="E31397" s="40" t="s">
        <v>11404</v>
      </c>
      <c r="F31397" s="40" t="s">
        <v>11404</v>
      </c>
      <c r="G31397" s="40" t="s">
        <v>11404</v>
      </c>
      <c r="H31397" s="40" t="s">
        <v>11404</v>
      </c>
    </row>
    <row r="31398">
      <c r="A31398" s="39"/>
      <c r="E31398" s="40" t="s">
        <v>11404</v>
      </c>
      <c r="F31398" s="40" t="s">
        <v>11404</v>
      </c>
      <c r="G31398" s="40" t="s">
        <v>11404</v>
      </c>
      <c r="H31398" s="40" t="s">
        <v>11404</v>
      </c>
    </row>
    <row r="31399">
      <c r="A31399" s="39"/>
      <c r="E31399" s="40" t="s">
        <v>11404</v>
      </c>
      <c r="F31399" s="40" t="s">
        <v>11404</v>
      </c>
      <c r="G31399" s="40" t="s">
        <v>11404</v>
      </c>
      <c r="H31399" s="40" t="s">
        <v>11404</v>
      </c>
    </row>
    <row r="31400">
      <c r="A31400" s="39"/>
      <c r="E31400" s="40" t="s">
        <v>11404</v>
      </c>
      <c r="F31400" s="40" t="s">
        <v>11404</v>
      </c>
      <c r="G31400" s="40" t="s">
        <v>11404</v>
      </c>
      <c r="H31400" s="40" t="s">
        <v>11404</v>
      </c>
    </row>
    <row r="31401">
      <c r="A31401" s="39"/>
      <c r="E31401" s="40" t="s">
        <v>11404</v>
      </c>
      <c r="F31401" s="40" t="s">
        <v>11404</v>
      </c>
      <c r="G31401" s="40" t="s">
        <v>11404</v>
      </c>
      <c r="H31401" s="40" t="s">
        <v>11404</v>
      </c>
    </row>
    <row r="31402">
      <c r="A31402" s="39"/>
      <c r="E31402" s="40" t="s">
        <v>11404</v>
      </c>
      <c r="F31402" s="40" t="s">
        <v>11404</v>
      </c>
      <c r="G31402" s="40" t="s">
        <v>11404</v>
      </c>
      <c r="H31402" s="40" t="s">
        <v>11404</v>
      </c>
    </row>
    <row r="31403">
      <c r="A31403" s="39"/>
      <c r="E31403" s="40" t="s">
        <v>11404</v>
      </c>
      <c r="F31403" s="40" t="s">
        <v>11404</v>
      </c>
      <c r="G31403" s="40" t="s">
        <v>11404</v>
      </c>
      <c r="H31403" s="40" t="s">
        <v>11404</v>
      </c>
    </row>
    <row r="31404">
      <c r="A31404" s="39"/>
      <c r="E31404" s="40" t="s">
        <v>11404</v>
      </c>
      <c r="F31404" s="40" t="s">
        <v>11404</v>
      </c>
      <c r="G31404" s="40" t="s">
        <v>11404</v>
      </c>
      <c r="H31404" s="40" t="s">
        <v>11404</v>
      </c>
    </row>
    <row r="31405">
      <c r="A31405" s="39"/>
      <c r="E31405" s="40" t="s">
        <v>11404</v>
      </c>
      <c r="F31405" s="40" t="s">
        <v>11404</v>
      </c>
      <c r="G31405" s="40" t="s">
        <v>11404</v>
      </c>
      <c r="H31405" s="40" t="s">
        <v>11404</v>
      </c>
    </row>
    <row r="31406">
      <c r="A31406" s="39"/>
      <c r="E31406" s="40" t="s">
        <v>11404</v>
      </c>
      <c r="F31406" s="40" t="s">
        <v>11404</v>
      </c>
      <c r="G31406" s="40" t="s">
        <v>11404</v>
      </c>
      <c r="H31406" s="40" t="s">
        <v>11404</v>
      </c>
    </row>
    <row r="31407">
      <c r="A31407" s="39"/>
      <c r="E31407" s="40" t="s">
        <v>11404</v>
      </c>
      <c r="F31407" s="40" t="s">
        <v>11404</v>
      </c>
      <c r="G31407" s="40" t="s">
        <v>11404</v>
      </c>
      <c r="H31407" s="40" t="s">
        <v>11404</v>
      </c>
    </row>
    <row r="31408">
      <c r="A31408" s="39"/>
      <c r="E31408" s="40" t="s">
        <v>11404</v>
      </c>
      <c r="F31408" s="40" t="s">
        <v>11404</v>
      </c>
      <c r="G31408" s="40" t="s">
        <v>11404</v>
      </c>
      <c r="H31408" s="40" t="s">
        <v>11404</v>
      </c>
    </row>
    <row r="31409">
      <c r="A31409" s="39"/>
      <c r="E31409" s="40" t="s">
        <v>11404</v>
      </c>
      <c r="F31409" s="40" t="s">
        <v>11404</v>
      </c>
      <c r="G31409" s="40" t="s">
        <v>11404</v>
      </c>
      <c r="H31409" s="40" t="s">
        <v>11404</v>
      </c>
    </row>
    <row r="31410">
      <c r="A31410" s="39"/>
      <c r="E31410" s="40" t="s">
        <v>11404</v>
      </c>
      <c r="F31410" s="40" t="s">
        <v>11404</v>
      </c>
      <c r="G31410" s="40" t="s">
        <v>11404</v>
      </c>
      <c r="H31410" s="40" t="s">
        <v>11404</v>
      </c>
    </row>
    <row r="31411">
      <c r="A31411" s="39"/>
      <c r="E31411" s="40" t="s">
        <v>11404</v>
      </c>
      <c r="F31411" s="40" t="s">
        <v>11404</v>
      </c>
      <c r="G31411" s="40" t="s">
        <v>11404</v>
      </c>
      <c r="H31411" s="40" t="s">
        <v>11404</v>
      </c>
    </row>
    <row r="31412">
      <c r="A31412" s="39"/>
      <c r="E31412" s="40" t="s">
        <v>11404</v>
      </c>
      <c r="F31412" s="40" t="s">
        <v>11404</v>
      </c>
      <c r="G31412" s="40" t="s">
        <v>11404</v>
      </c>
      <c r="H31412" s="40" t="s">
        <v>11404</v>
      </c>
    </row>
    <row r="31413">
      <c r="A31413" s="39"/>
      <c r="E31413" s="40" t="s">
        <v>11404</v>
      </c>
      <c r="F31413" s="40" t="s">
        <v>11404</v>
      </c>
      <c r="G31413" s="40" t="s">
        <v>11404</v>
      </c>
      <c r="H31413" s="40" t="s">
        <v>11404</v>
      </c>
    </row>
    <row r="31414">
      <c r="A31414" s="39"/>
      <c r="E31414" s="40" t="s">
        <v>11404</v>
      </c>
      <c r="F31414" s="40" t="s">
        <v>11404</v>
      </c>
      <c r="G31414" s="40" t="s">
        <v>11404</v>
      </c>
      <c r="H31414" s="40" t="s">
        <v>11404</v>
      </c>
    </row>
    <row r="31415">
      <c r="A31415" s="39"/>
      <c r="E31415" s="40" t="s">
        <v>11404</v>
      </c>
      <c r="F31415" s="40" t="s">
        <v>11404</v>
      </c>
      <c r="G31415" s="40" t="s">
        <v>11404</v>
      </c>
      <c r="H31415" s="40" t="s">
        <v>11404</v>
      </c>
    </row>
    <row r="31416">
      <c r="A31416" s="39"/>
      <c r="E31416" s="40" t="s">
        <v>11404</v>
      </c>
      <c r="F31416" s="40" t="s">
        <v>11404</v>
      </c>
      <c r="G31416" s="40" t="s">
        <v>11404</v>
      </c>
      <c r="H31416" s="40" t="s">
        <v>11404</v>
      </c>
    </row>
    <row r="31417">
      <c r="A31417" s="39"/>
      <c r="E31417" s="40" t="s">
        <v>11404</v>
      </c>
      <c r="F31417" s="40" t="s">
        <v>11404</v>
      </c>
      <c r="G31417" s="40" t="s">
        <v>11404</v>
      </c>
      <c r="H31417" s="40" t="s">
        <v>11404</v>
      </c>
    </row>
    <row r="31418">
      <c r="A31418" s="39"/>
      <c r="E31418" s="40" t="s">
        <v>11404</v>
      </c>
      <c r="F31418" s="40" t="s">
        <v>11404</v>
      </c>
      <c r="G31418" s="40" t="s">
        <v>11404</v>
      </c>
      <c r="H31418" s="40" t="s">
        <v>11404</v>
      </c>
    </row>
    <row r="31419">
      <c r="A31419" s="39"/>
      <c r="E31419" s="40" t="s">
        <v>11404</v>
      </c>
      <c r="F31419" s="40" t="s">
        <v>11404</v>
      </c>
      <c r="G31419" s="40" t="s">
        <v>11404</v>
      </c>
      <c r="H31419" s="40" t="s">
        <v>11404</v>
      </c>
    </row>
    <row r="31420">
      <c r="A31420" s="39"/>
      <c r="E31420" s="40" t="s">
        <v>11404</v>
      </c>
      <c r="F31420" s="40" t="s">
        <v>11404</v>
      </c>
      <c r="G31420" s="40" t="s">
        <v>11404</v>
      </c>
      <c r="H31420" s="40" t="s">
        <v>11404</v>
      </c>
    </row>
    <row r="31421">
      <c r="A31421" s="39"/>
      <c r="E31421" s="40" t="s">
        <v>11404</v>
      </c>
      <c r="F31421" s="40" t="s">
        <v>11404</v>
      </c>
      <c r="G31421" s="40" t="s">
        <v>11404</v>
      </c>
      <c r="H31421" s="40" t="s">
        <v>11404</v>
      </c>
    </row>
    <row r="31422">
      <c r="A31422" s="39"/>
      <c r="E31422" s="40" t="s">
        <v>11404</v>
      </c>
      <c r="F31422" s="40" t="s">
        <v>11404</v>
      </c>
      <c r="G31422" s="40" t="s">
        <v>11404</v>
      </c>
      <c r="H31422" s="40" t="s">
        <v>11404</v>
      </c>
    </row>
    <row r="31423">
      <c r="A31423" s="39"/>
      <c r="E31423" s="40" t="s">
        <v>11404</v>
      </c>
      <c r="F31423" s="40" t="s">
        <v>11404</v>
      </c>
      <c r="G31423" s="40" t="s">
        <v>11404</v>
      </c>
      <c r="H31423" s="40" t="s">
        <v>11404</v>
      </c>
    </row>
    <row r="31424">
      <c r="A31424" s="39"/>
      <c r="E31424" s="40" t="s">
        <v>11404</v>
      </c>
      <c r="F31424" s="40" t="s">
        <v>11404</v>
      </c>
      <c r="G31424" s="40" t="s">
        <v>11404</v>
      </c>
      <c r="H31424" s="40" t="s">
        <v>11404</v>
      </c>
    </row>
    <row r="31425">
      <c r="A31425" s="39"/>
      <c r="E31425" s="40" t="s">
        <v>11404</v>
      </c>
      <c r="F31425" s="40" t="s">
        <v>11404</v>
      </c>
      <c r="G31425" s="40" t="s">
        <v>11404</v>
      </c>
      <c r="H31425" s="40" t="s">
        <v>11404</v>
      </c>
    </row>
    <row r="31426">
      <c r="A31426" s="39"/>
      <c r="E31426" s="40" t="s">
        <v>11404</v>
      </c>
      <c r="F31426" s="40" t="s">
        <v>11404</v>
      </c>
      <c r="G31426" s="40" t="s">
        <v>11404</v>
      </c>
      <c r="H31426" s="40" t="s">
        <v>11404</v>
      </c>
    </row>
    <row r="31427">
      <c r="A31427" s="39"/>
      <c r="E31427" s="40" t="s">
        <v>11404</v>
      </c>
      <c r="F31427" s="40" t="s">
        <v>11404</v>
      </c>
      <c r="G31427" s="40" t="s">
        <v>11404</v>
      </c>
      <c r="H31427" s="40" t="s">
        <v>11404</v>
      </c>
    </row>
    <row r="31428">
      <c r="A31428" s="39"/>
      <c r="E31428" s="40" t="s">
        <v>11404</v>
      </c>
      <c r="F31428" s="40" t="s">
        <v>11404</v>
      </c>
      <c r="G31428" s="40" t="s">
        <v>11404</v>
      </c>
      <c r="H31428" s="40" t="s">
        <v>11404</v>
      </c>
    </row>
    <row r="31429">
      <c r="A31429" s="39"/>
      <c r="E31429" s="40" t="s">
        <v>11404</v>
      </c>
      <c r="F31429" s="40" t="s">
        <v>11404</v>
      </c>
      <c r="G31429" s="40" t="s">
        <v>11404</v>
      </c>
      <c r="H31429" s="40" t="s">
        <v>11404</v>
      </c>
    </row>
    <row r="31430">
      <c r="A31430" s="39"/>
      <c r="E31430" s="40" t="s">
        <v>11404</v>
      </c>
      <c r="F31430" s="40" t="s">
        <v>11404</v>
      </c>
      <c r="G31430" s="40" t="s">
        <v>11404</v>
      </c>
      <c r="H31430" s="40" t="s">
        <v>11404</v>
      </c>
    </row>
    <row r="31431">
      <c r="A31431" s="39"/>
      <c r="E31431" s="40" t="s">
        <v>11404</v>
      </c>
      <c r="F31431" s="40" t="s">
        <v>11404</v>
      </c>
      <c r="G31431" s="40" t="s">
        <v>11404</v>
      </c>
      <c r="H31431" s="40" t="s">
        <v>11404</v>
      </c>
    </row>
    <row r="31432">
      <c r="A31432" s="39"/>
      <c r="E31432" s="40" t="s">
        <v>11404</v>
      </c>
      <c r="F31432" s="40" t="s">
        <v>11404</v>
      </c>
      <c r="G31432" s="40" t="s">
        <v>11404</v>
      </c>
      <c r="H31432" s="40" t="s">
        <v>11404</v>
      </c>
    </row>
    <row r="31433">
      <c r="A31433" s="39"/>
      <c r="E31433" s="40" t="s">
        <v>11404</v>
      </c>
      <c r="F31433" s="40" t="s">
        <v>11404</v>
      </c>
      <c r="G31433" s="40" t="s">
        <v>11404</v>
      </c>
      <c r="H31433" s="40" t="s">
        <v>11404</v>
      </c>
    </row>
    <row r="31434">
      <c r="A31434" s="39"/>
      <c r="E31434" s="40" t="s">
        <v>11404</v>
      </c>
      <c r="F31434" s="40" t="s">
        <v>11404</v>
      </c>
      <c r="G31434" s="40" t="s">
        <v>11404</v>
      </c>
      <c r="H31434" s="40" t="s">
        <v>11404</v>
      </c>
    </row>
    <row r="31435">
      <c r="A31435" s="39"/>
      <c r="E31435" s="40" t="s">
        <v>11404</v>
      </c>
      <c r="F31435" s="40" t="s">
        <v>11404</v>
      </c>
      <c r="G31435" s="40" t="s">
        <v>11404</v>
      </c>
      <c r="H31435" s="40" t="s">
        <v>11404</v>
      </c>
    </row>
    <row r="31436">
      <c r="A31436" s="39"/>
      <c r="E31436" s="40" t="s">
        <v>11404</v>
      </c>
      <c r="F31436" s="40" t="s">
        <v>11404</v>
      </c>
      <c r="G31436" s="40" t="s">
        <v>11404</v>
      </c>
      <c r="H31436" s="40" t="s">
        <v>11404</v>
      </c>
    </row>
    <row r="31437">
      <c r="A31437" s="39"/>
      <c r="E31437" s="40" t="s">
        <v>11404</v>
      </c>
      <c r="F31437" s="40" t="s">
        <v>11404</v>
      </c>
      <c r="G31437" s="40" t="s">
        <v>11404</v>
      </c>
      <c r="H31437" s="40" t="s">
        <v>11404</v>
      </c>
    </row>
    <row r="31438">
      <c r="A31438" s="39"/>
      <c r="E31438" s="40" t="s">
        <v>11404</v>
      </c>
      <c r="F31438" s="40" t="s">
        <v>11404</v>
      </c>
      <c r="G31438" s="40" t="s">
        <v>11404</v>
      </c>
      <c r="H31438" s="40" t="s">
        <v>11404</v>
      </c>
    </row>
    <row r="31439">
      <c r="A31439" s="39"/>
      <c r="E31439" s="40" t="s">
        <v>11404</v>
      </c>
      <c r="F31439" s="40" t="s">
        <v>11404</v>
      </c>
      <c r="G31439" s="40" t="s">
        <v>11404</v>
      </c>
      <c r="H31439" s="40" t="s">
        <v>11404</v>
      </c>
    </row>
    <row r="31440">
      <c r="A31440" s="39"/>
      <c r="E31440" s="40" t="s">
        <v>11404</v>
      </c>
      <c r="F31440" s="40" t="s">
        <v>11404</v>
      </c>
      <c r="G31440" s="40" t="s">
        <v>11404</v>
      </c>
      <c r="H31440" s="40" t="s">
        <v>11404</v>
      </c>
    </row>
    <row r="31441">
      <c r="A31441" s="39"/>
      <c r="E31441" s="40" t="s">
        <v>11404</v>
      </c>
      <c r="F31441" s="40" t="s">
        <v>11404</v>
      </c>
      <c r="G31441" s="40" t="s">
        <v>11404</v>
      </c>
      <c r="H31441" s="40" t="s">
        <v>11404</v>
      </c>
    </row>
    <row r="31442">
      <c r="A31442" s="39"/>
      <c r="E31442" s="40" t="s">
        <v>11404</v>
      </c>
      <c r="F31442" s="40" t="s">
        <v>11404</v>
      </c>
      <c r="G31442" s="40" t="s">
        <v>11404</v>
      </c>
      <c r="H31442" s="40" t="s">
        <v>11404</v>
      </c>
    </row>
    <row r="31443">
      <c r="A31443" s="39"/>
      <c r="E31443" s="40" t="s">
        <v>11404</v>
      </c>
      <c r="F31443" s="40" t="s">
        <v>11404</v>
      </c>
      <c r="G31443" s="40" t="s">
        <v>11404</v>
      </c>
      <c r="H31443" s="40" t="s">
        <v>11404</v>
      </c>
    </row>
    <row r="31444">
      <c r="A31444" s="39"/>
      <c r="E31444" s="40" t="s">
        <v>11404</v>
      </c>
      <c r="F31444" s="40" t="s">
        <v>11404</v>
      </c>
      <c r="G31444" s="40" t="s">
        <v>11404</v>
      </c>
      <c r="H31444" s="40" t="s">
        <v>11404</v>
      </c>
    </row>
    <row r="31445">
      <c r="A31445" s="39"/>
      <c r="E31445" s="40" t="s">
        <v>11404</v>
      </c>
      <c r="F31445" s="40" t="s">
        <v>11404</v>
      </c>
      <c r="G31445" s="40" t="s">
        <v>11404</v>
      </c>
      <c r="H31445" s="40" t="s">
        <v>11404</v>
      </c>
    </row>
    <row r="31446">
      <c r="A31446" s="39"/>
      <c r="E31446" s="40" t="s">
        <v>11404</v>
      </c>
      <c r="F31446" s="40" t="s">
        <v>11404</v>
      </c>
      <c r="G31446" s="40" t="s">
        <v>11404</v>
      </c>
      <c r="H31446" s="40" t="s">
        <v>11404</v>
      </c>
    </row>
    <row r="31447">
      <c r="A31447" s="39"/>
      <c r="E31447" s="40" t="s">
        <v>11404</v>
      </c>
      <c r="F31447" s="40" t="s">
        <v>11404</v>
      </c>
      <c r="G31447" s="40" t="s">
        <v>11404</v>
      </c>
      <c r="H31447" s="40" t="s">
        <v>11404</v>
      </c>
    </row>
    <row r="31448">
      <c r="A31448" s="39"/>
      <c r="E31448" s="40" t="s">
        <v>11404</v>
      </c>
      <c r="F31448" s="40" t="s">
        <v>11404</v>
      </c>
      <c r="G31448" s="40" t="s">
        <v>11404</v>
      </c>
      <c r="H31448" s="40" t="s">
        <v>11404</v>
      </c>
    </row>
    <row r="31449">
      <c r="A31449" s="39"/>
      <c r="E31449" s="40" t="s">
        <v>11404</v>
      </c>
      <c r="F31449" s="40" t="s">
        <v>11404</v>
      </c>
      <c r="G31449" s="40" t="s">
        <v>11404</v>
      </c>
      <c r="H31449" s="40" t="s">
        <v>11404</v>
      </c>
    </row>
    <row r="31450">
      <c r="A31450" s="39"/>
      <c r="E31450" s="40" t="s">
        <v>11404</v>
      </c>
      <c r="F31450" s="40" t="s">
        <v>11404</v>
      </c>
      <c r="G31450" s="40" t="s">
        <v>11404</v>
      </c>
      <c r="H31450" s="40" t="s">
        <v>11404</v>
      </c>
    </row>
    <row r="31451">
      <c r="A31451" s="39"/>
      <c r="E31451" s="40" t="s">
        <v>11404</v>
      </c>
      <c r="F31451" s="40" t="s">
        <v>11404</v>
      </c>
      <c r="G31451" s="40" t="s">
        <v>11404</v>
      </c>
      <c r="H31451" s="40" t="s">
        <v>11404</v>
      </c>
    </row>
    <row r="31452">
      <c r="A31452" s="39"/>
      <c r="E31452" s="40" t="s">
        <v>11404</v>
      </c>
      <c r="F31452" s="40" t="s">
        <v>11404</v>
      </c>
      <c r="G31452" s="40" t="s">
        <v>11404</v>
      </c>
      <c r="H31452" s="40" t="s">
        <v>11404</v>
      </c>
    </row>
    <row r="31453">
      <c r="A31453" s="39"/>
      <c r="E31453" s="40" t="s">
        <v>11404</v>
      </c>
      <c r="F31453" s="40" t="s">
        <v>11404</v>
      </c>
      <c r="G31453" s="40" t="s">
        <v>11404</v>
      </c>
      <c r="H31453" s="40" t="s">
        <v>11404</v>
      </c>
    </row>
    <row r="31454">
      <c r="A31454" s="39"/>
      <c r="E31454" s="40" t="s">
        <v>11404</v>
      </c>
      <c r="F31454" s="40" t="s">
        <v>11404</v>
      </c>
      <c r="G31454" s="40" t="s">
        <v>11404</v>
      </c>
      <c r="H31454" s="40" t="s">
        <v>11404</v>
      </c>
    </row>
    <row r="31455">
      <c r="A31455" s="39"/>
      <c r="E31455" s="40" t="s">
        <v>11404</v>
      </c>
      <c r="F31455" s="40" t="s">
        <v>11404</v>
      </c>
      <c r="G31455" s="40" t="s">
        <v>11404</v>
      </c>
      <c r="H31455" s="40" t="s">
        <v>11404</v>
      </c>
    </row>
    <row r="31456">
      <c r="A31456" s="39"/>
      <c r="E31456" s="40" t="s">
        <v>11404</v>
      </c>
      <c r="F31456" s="40" t="s">
        <v>11404</v>
      </c>
      <c r="G31456" s="40" t="s">
        <v>11404</v>
      </c>
      <c r="H31456" s="40" t="s">
        <v>11404</v>
      </c>
    </row>
    <row r="31457">
      <c r="A31457" s="39"/>
      <c r="E31457" s="40" t="s">
        <v>11404</v>
      </c>
      <c r="F31457" s="40" t="s">
        <v>11404</v>
      </c>
      <c r="G31457" s="40" t="s">
        <v>11404</v>
      </c>
      <c r="H31457" s="40" t="s">
        <v>11404</v>
      </c>
    </row>
    <row r="31458">
      <c r="A31458" s="39"/>
      <c r="E31458" s="40" t="s">
        <v>11404</v>
      </c>
      <c r="F31458" s="40" t="s">
        <v>11404</v>
      </c>
      <c r="G31458" s="40" t="s">
        <v>11404</v>
      </c>
      <c r="H31458" s="40" t="s">
        <v>11404</v>
      </c>
    </row>
    <row r="31459">
      <c r="A31459" s="39"/>
      <c r="E31459" s="40" t="s">
        <v>11404</v>
      </c>
      <c r="F31459" s="40" t="s">
        <v>11404</v>
      </c>
      <c r="G31459" s="40" t="s">
        <v>11404</v>
      </c>
      <c r="H31459" s="40" t="s">
        <v>11404</v>
      </c>
    </row>
    <row r="31460">
      <c r="A31460" s="39"/>
      <c r="E31460" s="40" t="s">
        <v>11404</v>
      </c>
      <c r="F31460" s="40" t="s">
        <v>11404</v>
      </c>
      <c r="G31460" s="40" t="s">
        <v>11404</v>
      </c>
      <c r="H31460" s="40" t="s">
        <v>11404</v>
      </c>
    </row>
    <row r="31461">
      <c r="A31461" s="39"/>
      <c r="E31461" s="40" t="s">
        <v>11404</v>
      </c>
      <c r="F31461" s="40" t="s">
        <v>11404</v>
      </c>
      <c r="G31461" s="40" t="s">
        <v>11404</v>
      </c>
      <c r="H31461" s="40" t="s">
        <v>11404</v>
      </c>
    </row>
    <row r="31462">
      <c r="A31462" s="39"/>
      <c r="E31462" s="40" t="s">
        <v>11404</v>
      </c>
      <c r="F31462" s="40" t="s">
        <v>11404</v>
      </c>
      <c r="G31462" s="40" t="s">
        <v>11404</v>
      </c>
      <c r="H31462" s="40" t="s">
        <v>11404</v>
      </c>
    </row>
    <row r="31463">
      <c r="A31463" s="39"/>
      <c r="E31463" s="40" t="s">
        <v>11404</v>
      </c>
      <c r="F31463" s="40" t="s">
        <v>11404</v>
      </c>
      <c r="G31463" s="40" t="s">
        <v>11404</v>
      </c>
      <c r="H31463" s="40" t="s">
        <v>11404</v>
      </c>
    </row>
    <row r="31464">
      <c r="A31464" s="39"/>
      <c r="E31464" s="40" t="s">
        <v>11404</v>
      </c>
      <c r="F31464" s="40" t="s">
        <v>11404</v>
      </c>
      <c r="G31464" s="40" t="s">
        <v>11404</v>
      </c>
      <c r="H31464" s="40" t="s">
        <v>11404</v>
      </c>
    </row>
    <row r="31465">
      <c r="A31465" s="39"/>
      <c r="E31465" s="40" t="s">
        <v>11404</v>
      </c>
      <c r="F31465" s="40" t="s">
        <v>11404</v>
      </c>
      <c r="G31465" s="40" t="s">
        <v>11404</v>
      </c>
      <c r="H31465" s="40" t="s">
        <v>11404</v>
      </c>
    </row>
    <row r="31466">
      <c r="A31466" s="39"/>
      <c r="E31466" s="40" t="s">
        <v>11404</v>
      </c>
      <c r="F31466" s="40" t="s">
        <v>11404</v>
      </c>
      <c r="G31466" s="40" t="s">
        <v>11404</v>
      </c>
      <c r="H31466" s="40" t="s">
        <v>11404</v>
      </c>
    </row>
    <row r="31467">
      <c r="A31467" s="39"/>
      <c r="E31467" s="40" t="s">
        <v>11404</v>
      </c>
      <c r="F31467" s="40" t="s">
        <v>11404</v>
      </c>
      <c r="G31467" s="40" t="s">
        <v>11404</v>
      </c>
      <c r="H31467" s="40" t="s">
        <v>11404</v>
      </c>
    </row>
    <row r="31468">
      <c r="A31468" s="39"/>
      <c r="E31468" s="40" t="s">
        <v>11404</v>
      </c>
      <c r="F31468" s="40" t="s">
        <v>11404</v>
      </c>
      <c r="G31468" s="40" t="s">
        <v>11404</v>
      </c>
      <c r="H31468" s="40" t="s">
        <v>11404</v>
      </c>
    </row>
    <row r="31469">
      <c r="A31469" s="39"/>
      <c r="E31469" s="40" t="s">
        <v>11404</v>
      </c>
      <c r="F31469" s="40" t="s">
        <v>11404</v>
      </c>
      <c r="G31469" s="40" t="s">
        <v>11404</v>
      </c>
      <c r="H31469" s="40" t="s">
        <v>11404</v>
      </c>
    </row>
    <row r="31470">
      <c r="A31470" s="39"/>
      <c r="E31470" s="40" t="s">
        <v>11404</v>
      </c>
      <c r="F31470" s="40" t="s">
        <v>11404</v>
      </c>
      <c r="G31470" s="40" t="s">
        <v>11404</v>
      </c>
      <c r="H31470" s="40" t="s">
        <v>11404</v>
      </c>
    </row>
    <row r="31471">
      <c r="A31471" s="39"/>
      <c r="E31471" s="40" t="s">
        <v>11404</v>
      </c>
      <c r="F31471" s="40" t="s">
        <v>11404</v>
      </c>
      <c r="G31471" s="40" t="s">
        <v>11404</v>
      </c>
      <c r="H31471" s="40" t="s">
        <v>11404</v>
      </c>
    </row>
    <row r="31472">
      <c r="A31472" s="39"/>
      <c r="E31472" s="40" t="s">
        <v>11404</v>
      </c>
      <c r="F31472" s="40" t="s">
        <v>11404</v>
      </c>
      <c r="G31472" s="40" t="s">
        <v>11404</v>
      </c>
      <c r="H31472" s="40" t="s">
        <v>11404</v>
      </c>
    </row>
    <row r="31473">
      <c r="A31473" s="39"/>
      <c r="E31473" s="40" t="s">
        <v>11404</v>
      </c>
      <c r="F31473" s="40" t="s">
        <v>11404</v>
      </c>
      <c r="G31473" s="40" t="s">
        <v>11404</v>
      </c>
      <c r="H31473" s="40" t="s">
        <v>11404</v>
      </c>
    </row>
    <row r="31474">
      <c r="A31474" s="39"/>
      <c r="E31474" s="40" t="s">
        <v>11404</v>
      </c>
      <c r="F31474" s="40" t="s">
        <v>11404</v>
      </c>
      <c r="G31474" s="40" t="s">
        <v>11404</v>
      </c>
      <c r="H31474" s="40" t="s">
        <v>11404</v>
      </c>
    </row>
    <row r="31475">
      <c r="A31475" s="39"/>
      <c r="E31475" s="40" t="s">
        <v>11404</v>
      </c>
      <c r="F31475" s="40" t="s">
        <v>11404</v>
      </c>
      <c r="G31475" s="40" t="s">
        <v>11404</v>
      </c>
      <c r="H31475" s="40" t="s">
        <v>11404</v>
      </c>
    </row>
    <row r="31476">
      <c r="A31476" s="39"/>
      <c r="E31476" s="40" t="s">
        <v>11404</v>
      </c>
      <c r="F31476" s="40" t="s">
        <v>11404</v>
      </c>
      <c r="G31476" s="40" t="s">
        <v>11404</v>
      </c>
      <c r="H31476" s="40" t="s">
        <v>11404</v>
      </c>
    </row>
    <row r="31477">
      <c r="A31477" s="39"/>
      <c r="E31477" s="40" t="s">
        <v>11404</v>
      </c>
      <c r="F31477" s="40" t="s">
        <v>11404</v>
      </c>
      <c r="G31477" s="40" t="s">
        <v>11404</v>
      </c>
      <c r="H31477" s="40" t="s">
        <v>11404</v>
      </c>
    </row>
    <row r="31478">
      <c r="A31478" s="39"/>
      <c r="E31478" s="40" t="s">
        <v>11404</v>
      </c>
      <c r="F31478" s="40" t="s">
        <v>11404</v>
      </c>
      <c r="G31478" s="40" t="s">
        <v>11404</v>
      </c>
      <c r="H31478" s="40" t="s">
        <v>11404</v>
      </c>
    </row>
    <row r="31479">
      <c r="A31479" s="39"/>
      <c r="E31479" s="40" t="s">
        <v>11404</v>
      </c>
      <c r="F31479" s="40" t="s">
        <v>11404</v>
      </c>
      <c r="G31479" s="40" t="s">
        <v>11404</v>
      </c>
      <c r="H31479" s="40" t="s">
        <v>11404</v>
      </c>
    </row>
    <row r="31480">
      <c r="A31480" s="39"/>
      <c r="E31480" s="40" t="s">
        <v>11404</v>
      </c>
      <c r="F31480" s="40" t="s">
        <v>11404</v>
      </c>
      <c r="G31480" s="40" t="s">
        <v>11404</v>
      </c>
      <c r="H31480" s="40" t="s">
        <v>11404</v>
      </c>
    </row>
    <row r="31481">
      <c r="A31481" s="39"/>
      <c r="E31481" s="40" t="s">
        <v>11404</v>
      </c>
      <c r="F31481" s="40" t="s">
        <v>11404</v>
      </c>
      <c r="G31481" s="40" t="s">
        <v>11404</v>
      </c>
      <c r="H31481" s="40" t="s">
        <v>11404</v>
      </c>
    </row>
    <row r="31482">
      <c r="A31482" s="39"/>
      <c r="E31482" s="40" t="s">
        <v>11404</v>
      </c>
      <c r="F31482" s="40" t="s">
        <v>11404</v>
      </c>
      <c r="G31482" s="40" t="s">
        <v>11404</v>
      </c>
      <c r="H31482" s="40" t="s">
        <v>11404</v>
      </c>
    </row>
    <row r="31483">
      <c r="A31483" s="39"/>
      <c r="E31483" s="40" t="s">
        <v>11404</v>
      </c>
      <c r="F31483" s="40" t="s">
        <v>11404</v>
      </c>
      <c r="G31483" s="40" t="s">
        <v>11404</v>
      </c>
      <c r="H31483" s="40" t="s">
        <v>11404</v>
      </c>
    </row>
    <row r="31484">
      <c r="A31484" s="39"/>
      <c r="E31484" s="40" t="s">
        <v>11404</v>
      </c>
      <c r="F31484" s="40" t="s">
        <v>11404</v>
      </c>
      <c r="G31484" s="40" t="s">
        <v>11404</v>
      </c>
      <c r="H31484" s="40" t="s">
        <v>11404</v>
      </c>
    </row>
    <row r="31485">
      <c r="A31485" s="39"/>
      <c r="E31485" s="40" t="s">
        <v>11404</v>
      </c>
      <c r="F31485" s="40" t="s">
        <v>11404</v>
      </c>
      <c r="G31485" s="40" t="s">
        <v>11404</v>
      </c>
      <c r="H31485" s="40" t="s">
        <v>11404</v>
      </c>
    </row>
    <row r="31486">
      <c r="A31486" s="39"/>
      <c r="E31486" s="40" t="s">
        <v>11404</v>
      </c>
      <c r="F31486" s="40" t="s">
        <v>11404</v>
      </c>
      <c r="G31486" s="40" t="s">
        <v>11404</v>
      </c>
      <c r="H31486" s="40" t="s">
        <v>11404</v>
      </c>
    </row>
    <row r="31487">
      <c r="A31487" s="39"/>
      <c r="E31487" s="40" t="s">
        <v>11404</v>
      </c>
      <c r="F31487" s="40" t="s">
        <v>11404</v>
      </c>
      <c r="G31487" s="40" t="s">
        <v>11404</v>
      </c>
      <c r="H31487" s="40" t="s">
        <v>11404</v>
      </c>
    </row>
    <row r="31488">
      <c r="A31488" s="39"/>
      <c r="E31488" s="40" t="s">
        <v>11404</v>
      </c>
      <c r="F31488" s="40" t="s">
        <v>11404</v>
      </c>
      <c r="G31488" s="40" t="s">
        <v>11404</v>
      </c>
      <c r="H31488" s="40" t="s">
        <v>11404</v>
      </c>
    </row>
    <row r="31489">
      <c r="A31489" s="39"/>
      <c r="E31489" s="40" t="s">
        <v>11404</v>
      </c>
      <c r="F31489" s="40" t="s">
        <v>11404</v>
      </c>
      <c r="G31489" s="40" t="s">
        <v>11404</v>
      </c>
      <c r="H31489" s="40" t="s">
        <v>11404</v>
      </c>
    </row>
    <row r="31490">
      <c r="A31490" s="39"/>
      <c r="E31490" s="40" t="s">
        <v>11404</v>
      </c>
      <c r="F31490" s="40" t="s">
        <v>11404</v>
      </c>
      <c r="G31490" s="40" t="s">
        <v>11404</v>
      </c>
      <c r="H31490" s="40" t="s">
        <v>11404</v>
      </c>
    </row>
    <row r="31491">
      <c r="A31491" s="39"/>
      <c r="E31491" s="40" t="s">
        <v>11404</v>
      </c>
      <c r="F31491" s="40" t="s">
        <v>11404</v>
      </c>
      <c r="G31491" s="40" t="s">
        <v>11404</v>
      </c>
      <c r="H31491" s="40" t="s">
        <v>11404</v>
      </c>
    </row>
    <row r="31492">
      <c r="A31492" s="39"/>
      <c r="E31492" s="40" t="s">
        <v>11404</v>
      </c>
      <c r="F31492" s="40" t="s">
        <v>11404</v>
      </c>
      <c r="G31492" s="40" t="s">
        <v>11404</v>
      </c>
      <c r="H31492" s="40" t="s">
        <v>11404</v>
      </c>
    </row>
    <row r="31493">
      <c r="A31493" s="39"/>
      <c r="E31493" s="40" t="s">
        <v>11404</v>
      </c>
      <c r="F31493" s="40" t="s">
        <v>11404</v>
      </c>
      <c r="G31493" s="40" t="s">
        <v>11404</v>
      </c>
      <c r="H31493" s="40" t="s">
        <v>11404</v>
      </c>
    </row>
    <row r="31494">
      <c r="A31494" s="39"/>
      <c r="E31494" s="40" t="s">
        <v>11404</v>
      </c>
      <c r="F31494" s="40" t="s">
        <v>11404</v>
      </c>
      <c r="G31494" s="40" t="s">
        <v>11404</v>
      </c>
      <c r="H31494" s="40" t="s">
        <v>11404</v>
      </c>
    </row>
    <row r="31495">
      <c r="A31495" s="39"/>
      <c r="E31495" s="40" t="s">
        <v>11404</v>
      </c>
      <c r="F31495" s="40" t="s">
        <v>11404</v>
      </c>
      <c r="G31495" s="40" t="s">
        <v>11404</v>
      </c>
      <c r="H31495" s="40" t="s">
        <v>11404</v>
      </c>
    </row>
    <row r="31496">
      <c r="A31496" s="39"/>
      <c r="E31496" s="40" t="s">
        <v>11404</v>
      </c>
      <c r="F31496" s="40" t="s">
        <v>11404</v>
      </c>
      <c r="G31496" s="40" t="s">
        <v>11404</v>
      </c>
      <c r="H31496" s="40" t="s">
        <v>11404</v>
      </c>
    </row>
    <row r="31497">
      <c r="A31497" s="39"/>
      <c r="E31497" s="40" t="s">
        <v>11404</v>
      </c>
      <c r="F31497" s="40" t="s">
        <v>11404</v>
      </c>
      <c r="G31497" s="40" t="s">
        <v>11404</v>
      </c>
      <c r="H31497" s="40" t="s">
        <v>11404</v>
      </c>
    </row>
    <row r="31498">
      <c r="A31498" s="39"/>
      <c r="E31498" s="40" t="s">
        <v>11404</v>
      </c>
      <c r="F31498" s="40" t="s">
        <v>11404</v>
      </c>
      <c r="G31498" s="40" t="s">
        <v>11404</v>
      </c>
      <c r="H31498" s="40" t="s">
        <v>11404</v>
      </c>
    </row>
    <row r="31499">
      <c r="A31499" s="39"/>
      <c r="E31499" s="40" t="s">
        <v>11404</v>
      </c>
      <c r="F31499" s="40" t="s">
        <v>11404</v>
      </c>
      <c r="G31499" s="40" t="s">
        <v>11404</v>
      </c>
      <c r="H31499" s="40" t="s">
        <v>11404</v>
      </c>
    </row>
    <row r="31500">
      <c r="A31500" s="39"/>
      <c r="E31500" s="40" t="s">
        <v>11404</v>
      </c>
      <c r="F31500" s="40" t="s">
        <v>11404</v>
      </c>
      <c r="G31500" s="40" t="s">
        <v>11404</v>
      </c>
      <c r="H31500" s="40" t="s">
        <v>11404</v>
      </c>
    </row>
    <row r="31501">
      <c r="A31501" s="39"/>
      <c r="E31501" s="40" t="s">
        <v>11404</v>
      </c>
      <c r="F31501" s="40" t="s">
        <v>11404</v>
      </c>
      <c r="G31501" s="40" t="s">
        <v>11404</v>
      </c>
      <c r="H31501" s="40" t="s">
        <v>11404</v>
      </c>
    </row>
    <row r="31502">
      <c r="A31502" s="39"/>
      <c r="E31502" s="40" t="s">
        <v>11404</v>
      </c>
      <c r="F31502" s="40" t="s">
        <v>11404</v>
      </c>
      <c r="G31502" s="40" t="s">
        <v>11404</v>
      </c>
      <c r="H31502" s="40" t="s">
        <v>11404</v>
      </c>
    </row>
    <row r="31503">
      <c r="A31503" s="39"/>
      <c r="E31503" s="40" t="s">
        <v>11404</v>
      </c>
      <c r="F31503" s="40" t="s">
        <v>11404</v>
      </c>
      <c r="G31503" s="40" t="s">
        <v>11404</v>
      </c>
      <c r="H31503" s="40" t="s">
        <v>11404</v>
      </c>
    </row>
    <row r="31504">
      <c r="A31504" s="39"/>
      <c r="E31504" s="40" t="s">
        <v>11404</v>
      </c>
      <c r="F31504" s="40" t="s">
        <v>11404</v>
      </c>
      <c r="G31504" s="40" t="s">
        <v>11404</v>
      </c>
      <c r="H31504" s="40" t="s">
        <v>11404</v>
      </c>
    </row>
    <row r="31505">
      <c r="A31505" s="39"/>
      <c r="E31505" s="40" t="s">
        <v>11404</v>
      </c>
      <c r="F31505" s="40" t="s">
        <v>11404</v>
      </c>
      <c r="G31505" s="40" t="s">
        <v>11404</v>
      </c>
      <c r="H31505" s="40" t="s">
        <v>11404</v>
      </c>
    </row>
    <row r="31506">
      <c r="A31506" s="39"/>
      <c r="E31506" s="40" t="s">
        <v>11404</v>
      </c>
      <c r="F31506" s="40" t="s">
        <v>11404</v>
      </c>
      <c r="G31506" s="40" t="s">
        <v>11404</v>
      </c>
      <c r="H31506" s="40" t="s">
        <v>11404</v>
      </c>
    </row>
    <row r="31507">
      <c r="A31507" s="39"/>
      <c r="E31507" s="40" t="s">
        <v>11404</v>
      </c>
      <c r="F31507" s="40" t="s">
        <v>11404</v>
      </c>
      <c r="G31507" s="40" t="s">
        <v>11404</v>
      </c>
      <c r="H31507" s="40" t="s">
        <v>11404</v>
      </c>
    </row>
    <row r="31508">
      <c r="A31508" s="39"/>
      <c r="E31508" s="40" t="s">
        <v>11404</v>
      </c>
      <c r="F31508" s="40" t="s">
        <v>11404</v>
      </c>
      <c r="G31508" s="40" t="s">
        <v>11404</v>
      </c>
      <c r="H31508" s="40" t="s">
        <v>11404</v>
      </c>
    </row>
    <row r="31509">
      <c r="A31509" s="39"/>
      <c r="E31509" s="40" t="s">
        <v>11404</v>
      </c>
      <c r="F31509" s="40" t="s">
        <v>11404</v>
      </c>
      <c r="G31509" s="40" t="s">
        <v>11404</v>
      </c>
      <c r="H31509" s="40" t="s">
        <v>11404</v>
      </c>
    </row>
    <row r="31510">
      <c r="A31510" s="39"/>
      <c r="E31510" s="40" t="s">
        <v>11404</v>
      </c>
      <c r="F31510" s="40" t="s">
        <v>11404</v>
      </c>
      <c r="G31510" s="40" t="s">
        <v>11404</v>
      </c>
      <c r="H31510" s="40" t="s">
        <v>11404</v>
      </c>
    </row>
    <row r="31511">
      <c r="A31511" s="39"/>
      <c r="E31511" s="40" t="s">
        <v>11404</v>
      </c>
      <c r="F31511" s="40" t="s">
        <v>11404</v>
      </c>
      <c r="G31511" s="40" t="s">
        <v>11404</v>
      </c>
      <c r="H31511" s="40" t="s">
        <v>11404</v>
      </c>
    </row>
    <row r="31512">
      <c r="A31512" s="39"/>
      <c r="E31512" s="40" t="s">
        <v>11404</v>
      </c>
      <c r="F31512" s="40" t="s">
        <v>11404</v>
      </c>
      <c r="G31512" s="40" t="s">
        <v>11404</v>
      </c>
      <c r="H31512" s="40" t="s">
        <v>11404</v>
      </c>
    </row>
    <row r="31513">
      <c r="A31513" s="39"/>
      <c r="E31513" s="40" t="s">
        <v>11404</v>
      </c>
      <c r="F31513" s="40" t="s">
        <v>11404</v>
      </c>
      <c r="G31513" s="40" t="s">
        <v>11404</v>
      </c>
      <c r="H31513" s="40" t="s">
        <v>11404</v>
      </c>
    </row>
    <row r="31514">
      <c r="A31514" s="39"/>
      <c r="E31514" s="40" t="s">
        <v>11404</v>
      </c>
      <c r="F31514" s="40" t="s">
        <v>11404</v>
      </c>
      <c r="G31514" s="40" t="s">
        <v>11404</v>
      </c>
      <c r="H31514" s="40" t="s">
        <v>11404</v>
      </c>
    </row>
    <row r="31515">
      <c r="A31515" s="39"/>
      <c r="E31515" s="40" t="s">
        <v>11404</v>
      </c>
      <c r="F31515" s="40" t="s">
        <v>11404</v>
      </c>
      <c r="G31515" s="40" t="s">
        <v>11404</v>
      </c>
      <c r="H31515" s="40" t="s">
        <v>11404</v>
      </c>
    </row>
    <row r="31516">
      <c r="A31516" s="39"/>
      <c r="E31516" s="40" t="s">
        <v>11404</v>
      </c>
      <c r="F31516" s="40" t="s">
        <v>11404</v>
      </c>
      <c r="G31516" s="40" t="s">
        <v>11404</v>
      </c>
      <c r="H31516" s="40" t="s">
        <v>11404</v>
      </c>
    </row>
    <row r="31517">
      <c r="A31517" s="39"/>
      <c r="E31517" s="40" t="s">
        <v>11404</v>
      </c>
      <c r="F31517" s="40" t="s">
        <v>11404</v>
      </c>
      <c r="G31517" s="40" t="s">
        <v>11404</v>
      </c>
      <c r="H31517" s="40" t="s">
        <v>11404</v>
      </c>
    </row>
    <row r="31518">
      <c r="A31518" s="39"/>
      <c r="E31518" s="40" t="s">
        <v>11404</v>
      </c>
      <c r="F31518" s="40" t="s">
        <v>11404</v>
      </c>
      <c r="G31518" s="40" t="s">
        <v>11404</v>
      </c>
      <c r="H31518" s="40" t="s">
        <v>11404</v>
      </c>
    </row>
    <row r="31519">
      <c r="A31519" s="39"/>
      <c r="E31519" s="40" t="s">
        <v>11404</v>
      </c>
      <c r="F31519" s="40" t="s">
        <v>11404</v>
      </c>
      <c r="G31519" s="40" t="s">
        <v>11404</v>
      </c>
      <c r="H31519" s="40" t="s">
        <v>11404</v>
      </c>
    </row>
    <row r="31520">
      <c r="A31520" s="39"/>
      <c r="E31520" s="40" t="s">
        <v>11404</v>
      </c>
      <c r="F31520" s="40" t="s">
        <v>11404</v>
      </c>
      <c r="G31520" s="40" t="s">
        <v>11404</v>
      </c>
      <c r="H31520" s="40" t="s">
        <v>11404</v>
      </c>
    </row>
    <row r="31521">
      <c r="A31521" s="39"/>
      <c r="E31521" s="40" t="s">
        <v>11404</v>
      </c>
      <c r="F31521" s="40" t="s">
        <v>11404</v>
      </c>
      <c r="G31521" s="40" t="s">
        <v>11404</v>
      </c>
      <c r="H31521" s="40" t="s">
        <v>11404</v>
      </c>
    </row>
    <row r="31522">
      <c r="A31522" s="39"/>
      <c r="E31522" s="40" t="s">
        <v>11404</v>
      </c>
      <c r="F31522" s="40" t="s">
        <v>11404</v>
      </c>
      <c r="G31522" s="40" t="s">
        <v>11404</v>
      </c>
      <c r="H31522" s="40" t="s">
        <v>11404</v>
      </c>
    </row>
    <row r="31523">
      <c r="A31523" s="39"/>
      <c r="E31523" s="40" t="s">
        <v>11404</v>
      </c>
      <c r="F31523" s="40" t="s">
        <v>11404</v>
      </c>
      <c r="G31523" s="40" t="s">
        <v>11404</v>
      </c>
      <c r="H31523" s="40" t="s">
        <v>11404</v>
      </c>
    </row>
    <row r="31524">
      <c r="A31524" s="39"/>
      <c r="E31524" s="40" t="s">
        <v>11404</v>
      </c>
      <c r="F31524" s="40" t="s">
        <v>11404</v>
      </c>
      <c r="G31524" s="40" t="s">
        <v>11404</v>
      </c>
      <c r="H31524" s="40" t="s">
        <v>11404</v>
      </c>
    </row>
    <row r="31525">
      <c r="A31525" s="39"/>
      <c r="E31525" s="40" t="s">
        <v>11404</v>
      </c>
      <c r="F31525" s="40" t="s">
        <v>11404</v>
      </c>
      <c r="G31525" s="40" t="s">
        <v>11404</v>
      </c>
      <c r="H31525" s="40" t="s">
        <v>11404</v>
      </c>
    </row>
    <row r="31526">
      <c r="A31526" s="39"/>
      <c r="E31526" s="40" t="s">
        <v>11404</v>
      </c>
      <c r="F31526" s="40" t="s">
        <v>11404</v>
      </c>
      <c r="G31526" s="40" t="s">
        <v>11404</v>
      </c>
      <c r="H31526" s="40" t="s">
        <v>11404</v>
      </c>
    </row>
    <row r="31527">
      <c r="A31527" s="39"/>
      <c r="E31527" s="40" t="s">
        <v>11404</v>
      </c>
      <c r="F31527" s="40" t="s">
        <v>11404</v>
      </c>
      <c r="G31527" s="40" t="s">
        <v>11404</v>
      </c>
      <c r="H31527" s="40" t="s">
        <v>11404</v>
      </c>
    </row>
    <row r="31528">
      <c r="A31528" s="39"/>
      <c r="E31528" s="40" t="s">
        <v>11404</v>
      </c>
      <c r="F31528" s="40" t="s">
        <v>11404</v>
      </c>
      <c r="G31528" s="40" t="s">
        <v>11404</v>
      </c>
      <c r="H31528" s="40" t="s">
        <v>11404</v>
      </c>
    </row>
    <row r="31529">
      <c r="A31529" s="39"/>
      <c r="E31529" s="40" t="s">
        <v>11404</v>
      </c>
      <c r="F31529" s="40" t="s">
        <v>11404</v>
      </c>
      <c r="G31529" s="40" t="s">
        <v>11404</v>
      </c>
      <c r="H31529" s="40" t="s">
        <v>11404</v>
      </c>
    </row>
    <row r="31530">
      <c r="A31530" s="39"/>
      <c r="E31530" s="40" t="s">
        <v>11404</v>
      </c>
      <c r="F31530" s="40" t="s">
        <v>11404</v>
      </c>
      <c r="G31530" s="40" t="s">
        <v>11404</v>
      </c>
      <c r="H31530" s="40" t="s">
        <v>11404</v>
      </c>
    </row>
    <row r="31531">
      <c r="A31531" s="39"/>
      <c r="E31531" s="40" t="s">
        <v>11404</v>
      </c>
      <c r="F31531" s="40" t="s">
        <v>11404</v>
      </c>
      <c r="G31531" s="40" t="s">
        <v>11404</v>
      </c>
      <c r="H31531" s="40" t="s">
        <v>11404</v>
      </c>
    </row>
    <row r="31532">
      <c r="A31532" s="39"/>
      <c r="E31532" s="40" t="s">
        <v>11404</v>
      </c>
      <c r="F31532" s="40" t="s">
        <v>11404</v>
      </c>
      <c r="G31532" s="40" t="s">
        <v>11404</v>
      </c>
      <c r="H31532" s="40" t="s">
        <v>11404</v>
      </c>
    </row>
    <row r="31533">
      <c r="A31533" s="39"/>
      <c r="E31533" s="40" t="s">
        <v>11404</v>
      </c>
      <c r="F31533" s="40" t="s">
        <v>11404</v>
      </c>
      <c r="G31533" s="40" t="s">
        <v>11404</v>
      </c>
      <c r="H31533" s="40" t="s">
        <v>11404</v>
      </c>
    </row>
    <row r="31534">
      <c r="A31534" s="39"/>
      <c r="E31534" s="40" t="s">
        <v>11404</v>
      </c>
      <c r="F31534" s="40" t="s">
        <v>11404</v>
      </c>
      <c r="G31534" s="40" t="s">
        <v>11404</v>
      </c>
      <c r="H31534" s="40" t="s">
        <v>11404</v>
      </c>
    </row>
    <row r="31535">
      <c r="A31535" s="39"/>
      <c r="E31535" s="40" t="s">
        <v>11404</v>
      </c>
      <c r="F31535" s="40" t="s">
        <v>11404</v>
      </c>
      <c r="G31535" s="40" t="s">
        <v>11404</v>
      </c>
      <c r="H31535" s="40" t="s">
        <v>11404</v>
      </c>
    </row>
    <row r="31536">
      <c r="A31536" s="39"/>
      <c r="E31536" s="40" t="s">
        <v>11404</v>
      </c>
      <c r="F31536" s="40" t="s">
        <v>11404</v>
      </c>
      <c r="G31536" s="40" t="s">
        <v>11404</v>
      </c>
      <c r="H31536" s="40" t="s">
        <v>11404</v>
      </c>
    </row>
    <row r="31537">
      <c r="A31537" s="39"/>
      <c r="E31537" s="40" t="s">
        <v>11404</v>
      </c>
      <c r="F31537" s="40" t="s">
        <v>11404</v>
      </c>
      <c r="G31537" s="40" t="s">
        <v>11404</v>
      </c>
      <c r="H31537" s="40" t="s">
        <v>11404</v>
      </c>
    </row>
    <row r="31538">
      <c r="A31538" s="39"/>
      <c r="E31538" s="40" t="s">
        <v>11404</v>
      </c>
      <c r="F31538" s="40" t="s">
        <v>11404</v>
      </c>
      <c r="G31538" s="40" t="s">
        <v>11404</v>
      </c>
      <c r="H31538" s="40" t="s">
        <v>11404</v>
      </c>
    </row>
    <row r="31539">
      <c r="A31539" s="39"/>
      <c r="E31539" s="40" t="s">
        <v>11404</v>
      </c>
      <c r="F31539" s="40" t="s">
        <v>11404</v>
      </c>
      <c r="G31539" s="40" t="s">
        <v>11404</v>
      </c>
      <c r="H31539" s="40" t="s">
        <v>11404</v>
      </c>
    </row>
    <row r="31540">
      <c r="A31540" s="39"/>
      <c r="E31540" s="40" t="s">
        <v>11404</v>
      </c>
      <c r="F31540" s="40" t="s">
        <v>11404</v>
      </c>
      <c r="G31540" s="40" t="s">
        <v>11404</v>
      </c>
      <c r="H31540" s="40" t="s">
        <v>11404</v>
      </c>
    </row>
    <row r="31541">
      <c r="A31541" s="39"/>
      <c r="E31541" s="40" t="s">
        <v>11404</v>
      </c>
      <c r="F31541" s="40" t="s">
        <v>11404</v>
      </c>
      <c r="G31541" s="40" t="s">
        <v>11404</v>
      </c>
      <c r="H31541" s="40" t="s">
        <v>11404</v>
      </c>
    </row>
    <row r="31542">
      <c r="A31542" s="39"/>
      <c r="E31542" s="40" t="s">
        <v>11404</v>
      </c>
      <c r="F31542" s="40" t="s">
        <v>11404</v>
      </c>
      <c r="G31542" s="40" t="s">
        <v>11404</v>
      </c>
      <c r="H31542" s="40" t="s">
        <v>11404</v>
      </c>
    </row>
    <row r="31543">
      <c r="A31543" s="39"/>
      <c r="E31543" s="40" t="s">
        <v>11404</v>
      </c>
      <c r="F31543" s="40" t="s">
        <v>11404</v>
      </c>
      <c r="G31543" s="40" t="s">
        <v>11404</v>
      </c>
      <c r="H31543" s="40" t="s">
        <v>11404</v>
      </c>
    </row>
    <row r="31544">
      <c r="A31544" s="39"/>
      <c r="E31544" s="40" t="s">
        <v>11404</v>
      </c>
      <c r="F31544" s="40" t="s">
        <v>11404</v>
      </c>
      <c r="G31544" s="40" t="s">
        <v>11404</v>
      </c>
      <c r="H31544" s="40" t="s">
        <v>11404</v>
      </c>
    </row>
    <row r="31545">
      <c r="A31545" s="39"/>
      <c r="E31545" s="40" t="s">
        <v>11404</v>
      </c>
      <c r="F31545" s="40" t="s">
        <v>11404</v>
      </c>
      <c r="G31545" s="40" t="s">
        <v>11404</v>
      </c>
      <c r="H31545" s="40" t="s">
        <v>11404</v>
      </c>
    </row>
    <row r="31546">
      <c r="A31546" s="39"/>
      <c r="E31546" s="40" t="s">
        <v>11404</v>
      </c>
      <c r="F31546" s="40" t="s">
        <v>11404</v>
      </c>
      <c r="G31546" s="40" t="s">
        <v>11404</v>
      </c>
      <c r="H31546" s="40" t="s">
        <v>11404</v>
      </c>
    </row>
    <row r="31547">
      <c r="A31547" s="39"/>
      <c r="E31547" s="40" t="s">
        <v>11404</v>
      </c>
      <c r="F31547" s="40" t="s">
        <v>11404</v>
      </c>
      <c r="G31547" s="40" t="s">
        <v>11404</v>
      </c>
      <c r="H31547" s="40" t="s">
        <v>11404</v>
      </c>
    </row>
    <row r="31548">
      <c r="A31548" s="39"/>
      <c r="E31548" s="40" t="s">
        <v>11404</v>
      </c>
      <c r="F31548" s="40" t="s">
        <v>11404</v>
      </c>
      <c r="G31548" s="40" t="s">
        <v>11404</v>
      </c>
      <c r="H31548" s="40" t="s">
        <v>11404</v>
      </c>
    </row>
    <row r="31549">
      <c r="A31549" s="39"/>
      <c r="E31549" s="40" t="s">
        <v>11404</v>
      </c>
      <c r="F31549" s="40" t="s">
        <v>11404</v>
      </c>
      <c r="G31549" s="40" t="s">
        <v>11404</v>
      </c>
      <c r="H31549" s="40" t="s">
        <v>11404</v>
      </c>
    </row>
    <row r="31550">
      <c r="A31550" s="39"/>
      <c r="E31550" s="40" t="s">
        <v>11404</v>
      </c>
      <c r="F31550" s="40" t="s">
        <v>11404</v>
      </c>
      <c r="G31550" s="40" t="s">
        <v>11404</v>
      </c>
      <c r="H31550" s="40" t="s">
        <v>11404</v>
      </c>
    </row>
    <row r="31551">
      <c r="A31551" s="39"/>
      <c r="E31551" s="40" t="s">
        <v>11404</v>
      </c>
      <c r="F31551" s="40" t="s">
        <v>11404</v>
      </c>
      <c r="G31551" s="40" t="s">
        <v>11404</v>
      </c>
      <c r="H31551" s="40" t="s">
        <v>11404</v>
      </c>
    </row>
    <row r="31552">
      <c r="A31552" s="39"/>
      <c r="E31552" s="40" t="s">
        <v>11404</v>
      </c>
      <c r="F31552" s="40" t="s">
        <v>11404</v>
      </c>
      <c r="G31552" s="40" t="s">
        <v>11404</v>
      </c>
      <c r="H31552" s="40" t="s">
        <v>11404</v>
      </c>
    </row>
    <row r="31553">
      <c r="A31553" s="39"/>
      <c r="E31553" s="40" t="s">
        <v>11404</v>
      </c>
      <c r="F31553" s="40" t="s">
        <v>11404</v>
      </c>
      <c r="G31553" s="40" t="s">
        <v>11404</v>
      </c>
      <c r="H31553" s="40" t="s">
        <v>11404</v>
      </c>
    </row>
    <row r="31554">
      <c r="A31554" s="39"/>
      <c r="E31554" s="40" t="s">
        <v>11404</v>
      </c>
      <c r="F31554" s="40" t="s">
        <v>11404</v>
      </c>
      <c r="G31554" s="40" t="s">
        <v>11404</v>
      </c>
      <c r="H31554" s="40" t="s">
        <v>11404</v>
      </c>
    </row>
    <row r="31555">
      <c r="A31555" s="39"/>
      <c r="E31555" s="40" t="s">
        <v>11404</v>
      </c>
      <c r="F31555" s="40" t="s">
        <v>11404</v>
      </c>
      <c r="G31555" s="40" t="s">
        <v>11404</v>
      </c>
      <c r="H31555" s="40" t="s">
        <v>11404</v>
      </c>
    </row>
    <row r="31556">
      <c r="A31556" s="39"/>
      <c r="E31556" s="40" t="s">
        <v>11404</v>
      </c>
      <c r="F31556" s="40" t="s">
        <v>11404</v>
      </c>
      <c r="G31556" s="40" t="s">
        <v>11404</v>
      </c>
      <c r="H31556" s="40" t="s">
        <v>11404</v>
      </c>
    </row>
    <row r="31557">
      <c r="A31557" s="39"/>
      <c r="E31557" s="40" t="s">
        <v>11404</v>
      </c>
      <c r="F31557" s="40" t="s">
        <v>11404</v>
      </c>
      <c r="G31557" s="40" t="s">
        <v>11404</v>
      </c>
      <c r="H31557" s="40" t="s">
        <v>11404</v>
      </c>
    </row>
    <row r="31558">
      <c r="A31558" s="39"/>
      <c r="E31558" s="40" t="s">
        <v>11404</v>
      </c>
      <c r="F31558" s="40" t="s">
        <v>11404</v>
      </c>
      <c r="G31558" s="40" t="s">
        <v>11404</v>
      </c>
      <c r="H31558" s="40" t="s">
        <v>11404</v>
      </c>
    </row>
    <row r="31559">
      <c r="A31559" s="39"/>
      <c r="E31559" s="40" t="s">
        <v>11404</v>
      </c>
      <c r="F31559" s="40" t="s">
        <v>11404</v>
      </c>
      <c r="G31559" s="40" t="s">
        <v>11404</v>
      </c>
      <c r="H31559" s="40" t="s">
        <v>11404</v>
      </c>
    </row>
    <row r="31560">
      <c r="A31560" s="39"/>
      <c r="E31560" s="40" t="s">
        <v>11404</v>
      </c>
      <c r="F31560" s="40" t="s">
        <v>11404</v>
      </c>
      <c r="G31560" s="40" t="s">
        <v>11404</v>
      </c>
      <c r="H31560" s="40" t="s">
        <v>11404</v>
      </c>
    </row>
    <row r="31561">
      <c r="A31561" s="39"/>
      <c r="E31561" s="40" t="s">
        <v>11404</v>
      </c>
      <c r="F31561" s="40" t="s">
        <v>11404</v>
      </c>
      <c r="G31561" s="40" t="s">
        <v>11404</v>
      </c>
      <c r="H31561" s="40" t="s">
        <v>11404</v>
      </c>
    </row>
    <row r="31562">
      <c r="A31562" s="39"/>
      <c r="E31562" s="40" t="s">
        <v>11404</v>
      </c>
      <c r="F31562" s="40" t="s">
        <v>11404</v>
      </c>
      <c r="G31562" s="40" t="s">
        <v>11404</v>
      </c>
      <c r="H31562" s="40" t="s">
        <v>11404</v>
      </c>
    </row>
    <row r="31563">
      <c r="A31563" s="39"/>
      <c r="E31563" s="40" t="s">
        <v>11404</v>
      </c>
      <c r="F31563" s="40" t="s">
        <v>11404</v>
      </c>
      <c r="G31563" s="40" t="s">
        <v>11404</v>
      </c>
      <c r="H31563" s="40" t="s">
        <v>11404</v>
      </c>
    </row>
    <row r="31564">
      <c r="A31564" s="39"/>
      <c r="E31564" s="40" t="s">
        <v>11404</v>
      </c>
      <c r="F31564" s="40" t="s">
        <v>11404</v>
      </c>
      <c r="G31564" s="40" t="s">
        <v>11404</v>
      </c>
      <c r="H31564" s="40" t="s">
        <v>11404</v>
      </c>
    </row>
    <row r="31565">
      <c r="A31565" s="39"/>
      <c r="E31565" s="40" t="s">
        <v>11404</v>
      </c>
      <c r="F31565" s="40" t="s">
        <v>11404</v>
      </c>
      <c r="G31565" s="40" t="s">
        <v>11404</v>
      </c>
      <c r="H31565" s="40" t="s">
        <v>11404</v>
      </c>
    </row>
    <row r="31566">
      <c r="A31566" s="39"/>
      <c r="E31566" s="40" t="s">
        <v>11404</v>
      </c>
      <c r="F31566" s="40" t="s">
        <v>11404</v>
      </c>
      <c r="G31566" s="40" t="s">
        <v>11404</v>
      </c>
      <c r="H31566" s="40" t="s">
        <v>11404</v>
      </c>
    </row>
    <row r="31567">
      <c r="A31567" s="39"/>
      <c r="E31567" s="40" t="s">
        <v>11404</v>
      </c>
      <c r="F31567" s="40" t="s">
        <v>11404</v>
      </c>
      <c r="G31567" s="40" t="s">
        <v>11404</v>
      </c>
      <c r="H31567" s="40" t="s">
        <v>11404</v>
      </c>
    </row>
    <row r="31568">
      <c r="A31568" s="39"/>
      <c r="E31568" s="40" t="s">
        <v>11404</v>
      </c>
      <c r="F31568" s="40" t="s">
        <v>11404</v>
      </c>
      <c r="G31568" s="40" t="s">
        <v>11404</v>
      </c>
      <c r="H31568" s="40" t="s">
        <v>11404</v>
      </c>
    </row>
    <row r="31569">
      <c r="A31569" s="39"/>
      <c r="E31569" s="40" t="s">
        <v>11404</v>
      </c>
      <c r="F31569" s="40" t="s">
        <v>11404</v>
      </c>
      <c r="G31569" s="40" t="s">
        <v>11404</v>
      </c>
      <c r="H31569" s="40" t="s">
        <v>11404</v>
      </c>
    </row>
    <row r="31570">
      <c r="A31570" s="39"/>
      <c r="E31570" s="40" t="s">
        <v>11404</v>
      </c>
      <c r="F31570" s="40" t="s">
        <v>11404</v>
      </c>
      <c r="G31570" s="40" t="s">
        <v>11404</v>
      </c>
      <c r="H31570" s="40" t="s">
        <v>11404</v>
      </c>
    </row>
    <row r="31571">
      <c r="A31571" s="39"/>
      <c r="E31571" s="40" t="s">
        <v>11404</v>
      </c>
      <c r="F31571" s="40" t="s">
        <v>11404</v>
      </c>
      <c r="G31571" s="40" t="s">
        <v>11404</v>
      </c>
      <c r="H31571" s="40" t="s">
        <v>11404</v>
      </c>
    </row>
    <row r="31572">
      <c r="A31572" s="39"/>
      <c r="E31572" s="40" t="s">
        <v>11404</v>
      </c>
      <c r="F31572" s="40" t="s">
        <v>11404</v>
      </c>
      <c r="G31572" s="40" t="s">
        <v>11404</v>
      </c>
      <c r="H31572" s="40" t="s">
        <v>11404</v>
      </c>
    </row>
    <row r="31573">
      <c r="A31573" s="39"/>
      <c r="E31573" s="40" t="s">
        <v>11404</v>
      </c>
      <c r="F31573" s="40" t="s">
        <v>11404</v>
      </c>
      <c r="G31573" s="40" t="s">
        <v>11404</v>
      </c>
      <c r="H31573" s="40" t="s">
        <v>11404</v>
      </c>
    </row>
    <row r="31574">
      <c r="A31574" s="39"/>
      <c r="E31574" s="40" t="s">
        <v>11404</v>
      </c>
      <c r="F31574" s="40" t="s">
        <v>11404</v>
      </c>
      <c r="G31574" s="40" t="s">
        <v>11404</v>
      </c>
      <c r="H31574" s="40" t="s">
        <v>11404</v>
      </c>
    </row>
    <row r="31575">
      <c r="A31575" s="39"/>
      <c r="E31575" s="40" t="s">
        <v>11404</v>
      </c>
      <c r="F31575" s="40" t="s">
        <v>11404</v>
      </c>
      <c r="G31575" s="40" t="s">
        <v>11404</v>
      </c>
      <c r="H31575" s="40" t="s">
        <v>11404</v>
      </c>
    </row>
    <row r="31576">
      <c r="A31576" s="39"/>
      <c r="E31576" s="40" t="s">
        <v>11404</v>
      </c>
      <c r="F31576" s="40" t="s">
        <v>11404</v>
      </c>
      <c r="G31576" s="40" t="s">
        <v>11404</v>
      </c>
      <c r="H31576" s="40" t="s">
        <v>11404</v>
      </c>
    </row>
    <row r="31577">
      <c r="A31577" s="39"/>
      <c r="E31577" s="40" t="s">
        <v>11404</v>
      </c>
      <c r="F31577" s="40" t="s">
        <v>11404</v>
      </c>
      <c r="G31577" s="40" t="s">
        <v>11404</v>
      </c>
      <c r="H31577" s="40" t="s">
        <v>11404</v>
      </c>
    </row>
    <row r="31578">
      <c r="A31578" s="39"/>
      <c r="E31578" s="40" t="s">
        <v>11404</v>
      </c>
      <c r="F31578" s="40" t="s">
        <v>11404</v>
      </c>
      <c r="G31578" s="40" t="s">
        <v>11404</v>
      </c>
      <c r="H31578" s="40" t="s">
        <v>11404</v>
      </c>
    </row>
    <row r="31579">
      <c r="A31579" s="39"/>
      <c r="E31579" s="40" t="s">
        <v>11404</v>
      </c>
      <c r="F31579" s="40" t="s">
        <v>11404</v>
      </c>
      <c r="G31579" s="40" t="s">
        <v>11404</v>
      </c>
      <c r="H31579" s="40" t="s">
        <v>11404</v>
      </c>
    </row>
    <row r="31580">
      <c r="A31580" s="39"/>
      <c r="E31580" s="40" t="s">
        <v>11404</v>
      </c>
      <c r="F31580" s="40" t="s">
        <v>11404</v>
      </c>
      <c r="G31580" s="40" t="s">
        <v>11404</v>
      </c>
      <c r="H31580" s="40" t="s">
        <v>11404</v>
      </c>
    </row>
    <row r="31581">
      <c r="A31581" s="39"/>
      <c r="E31581" s="40" t="s">
        <v>11404</v>
      </c>
      <c r="F31581" s="40" t="s">
        <v>11404</v>
      </c>
      <c r="G31581" s="40" t="s">
        <v>11404</v>
      </c>
      <c r="H31581" s="40" t="s">
        <v>11404</v>
      </c>
    </row>
    <row r="31582">
      <c r="A31582" s="39"/>
      <c r="E31582" s="40" t="s">
        <v>11404</v>
      </c>
      <c r="F31582" s="40" t="s">
        <v>11404</v>
      </c>
      <c r="G31582" s="40" t="s">
        <v>11404</v>
      </c>
      <c r="H31582" s="40" t="s">
        <v>11404</v>
      </c>
    </row>
    <row r="31583">
      <c r="A31583" s="39"/>
      <c r="E31583" s="40" t="s">
        <v>11404</v>
      </c>
      <c r="F31583" s="40" t="s">
        <v>11404</v>
      </c>
      <c r="G31583" s="40" t="s">
        <v>11404</v>
      </c>
      <c r="H31583" s="40" t="s">
        <v>11404</v>
      </c>
    </row>
    <row r="31584">
      <c r="A31584" s="39"/>
      <c r="E31584" s="40" t="s">
        <v>11404</v>
      </c>
      <c r="F31584" s="40" t="s">
        <v>11404</v>
      </c>
      <c r="G31584" s="40" t="s">
        <v>11404</v>
      </c>
      <c r="H31584" s="40" t="s">
        <v>11404</v>
      </c>
    </row>
    <row r="31585">
      <c r="A31585" s="39"/>
      <c r="E31585" s="40" t="s">
        <v>11404</v>
      </c>
      <c r="F31585" s="40" t="s">
        <v>11404</v>
      </c>
      <c r="G31585" s="40" t="s">
        <v>11404</v>
      </c>
      <c r="H31585" s="40" t="s">
        <v>11404</v>
      </c>
    </row>
    <row r="31586">
      <c r="A31586" s="39"/>
      <c r="E31586" s="40" t="s">
        <v>11404</v>
      </c>
      <c r="F31586" s="40" t="s">
        <v>11404</v>
      </c>
      <c r="G31586" s="40" t="s">
        <v>11404</v>
      </c>
      <c r="H31586" s="40" t="s">
        <v>11404</v>
      </c>
    </row>
    <row r="31587">
      <c r="A31587" s="39"/>
      <c r="E31587" s="40" t="s">
        <v>11404</v>
      </c>
      <c r="F31587" s="40" t="s">
        <v>11404</v>
      </c>
      <c r="G31587" s="40" t="s">
        <v>11404</v>
      </c>
      <c r="H31587" s="40" t="s">
        <v>11404</v>
      </c>
    </row>
    <row r="31588">
      <c r="A31588" s="39"/>
      <c r="E31588" s="40" t="s">
        <v>11404</v>
      </c>
      <c r="F31588" s="40" t="s">
        <v>11404</v>
      </c>
      <c r="G31588" s="40" t="s">
        <v>11404</v>
      </c>
      <c r="H31588" s="40" t="s">
        <v>11404</v>
      </c>
    </row>
    <row r="31589">
      <c r="A31589" s="39"/>
      <c r="E31589" s="40" t="s">
        <v>11404</v>
      </c>
      <c r="F31589" s="40" t="s">
        <v>11404</v>
      </c>
      <c r="G31589" s="40" t="s">
        <v>11404</v>
      </c>
      <c r="H31589" s="40" t="s">
        <v>11404</v>
      </c>
    </row>
    <row r="31590">
      <c r="A31590" s="39"/>
      <c r="E31590" s="40" t="s">
        <v>11404</v>
      </c>
      <c r="F31590" s="40" t="s">
        <v>11404</v>
      </c>
      <c r="G31590" s="40" t="s">
        <v>11404</v>
      </c>
      <c r="H31590" s="40" t="s">
        <v>11404</v>
      </c>
    </row>
    <row r="31591">
      <c r="A31591" s="39"/>
      <c r="E31591" s="40" t="s">
        <v>11404</v>
      </c>
      <c r="F31591" s="40" t="s">
        <v>11404</v>
      </c>
      <c r="G31591" s="40" t="s">
        <v>11404</v>
      </c>
      <c r="H31591" s="40" t="s">
        <v>11404</v>
      </c>
    </row>
    <row r="31592">
      <c r="A31592" s="39"/>
      <c r="E31592" s="40" t="s">
        <v>11404</v>
      </c>
      <c r="F31592" s="40" t="s">
        <v>11404</v>
      </c>
      <c r="G31592" s="40" t="s">
        <v>11404</v>
      </c>
      <c r="H31592" s="40" t="s">
        <v>11404</v>
      </c>
    </row>
    <row r="31593">
      <c r="A31593" s="39"/>
      <c r="E31593" s="40" t="s">
        <v>11404</v>
      </c>
      <c r="F31593" s="40" t="s">
        <v>11404</v>
      </c>
      <c r="G31593" s="40" t="s">
        <v>11404</v>
      </c>
      <c r="H31593" s="40" t="s">
        <v>11404</v>
      </c>
    </row>
    <row r="31594">
      <c r="A31594" s="39"/>
      <c r="E31594" s="40" t="s">
        <v>11404</v>
      </c>
      <c r="F31594" s="40" t="s">
        <v>11404</v>
      </c>
      <c r="G31594" s="40" t="s">
        <v>11404</v>
      </c>
      <c r="H31594" s="40" t="s">
        <v>11404</v>
      </c>
    </row>
    <row r="31595">
      <c r="A31595" s="39"/>
      <c r="E31595" s="40" t="s">
        <v>11404</v>
      </c>
      <c r="F31595" s="40" t="s">
        <v>11404</v>
      </c>
      <c r="G31595" s="40" t="s">
        <v>11404</v>
      </c>
      <c r="H31595" s="40" t="s">
        <v>11404</v>
      </c>
    </row>
    <row r="31596">
      <c r="A31596" s="39"/>
      <c r="E31596" s="40" t="s">
        <v>11404</v>
      </c>
      <c r="F31596" s="40" t="s">
        <v>11404</v>
      </c>
      <c r="G31596" s="40" t="s">
        <v>11404</v>
      </c>
      <c r="H31596" s="40" t="s">
        <v>11404</v>
      </c>
    </row>
    <row r="31597">
      <c r="A31597" s="39"/>
      <c r="E31597" s="40" t="s">
        <v>11404</v>
      </c>
      <c r="F31597" s="40" t="s">
        <v>11404</v>
      </c>
      <c r="G31597" s="40" t="s">
        <v>11404</v>
      </c>
      <c r="H31597" s="40" t="s">
        <v>11404</v>
      </c>
    </row>
    <row r="31598">
      <c r="A31598" s="39"/>
      <c r="E31598" s="40" t="s">
        <v>11404</v>
      </c>
      <c r="F31598" s="40" t="s">
        <v>11404</v>
      </c>
      <c r="G31598" s="40" t="s">
        <v>11404</v>
      </c>
      <c r="H31598" s="40" t="s">
        <v>11404</v>
      </c>
    </row>
    <row r="31599">
      <c r="A31599" s="39"/>
      <c r="E31599" s="40" t="s">
        <v>11404</v>
      </c>
      <c r="F31599" s="40" t="s">
        <v>11404</v>
      </c>
      <c r="G31599" s="40" t="s">
        <v>11404</v>
      </c>
      <c r="H31599" s="40" t="s">
        <v>11404</v>
      </c>
    </row>
    <row r="31600">
      <c r="A31600" s="39"/>
      <c r="E31600" s="40" t="s">
        <v>11404</v>
      </c>
      <c r="F31600" s="40" t="s">
        <v>11404</v>
      </c>
      <c r="G31600" s="40" t="s">
        <v>11404</v>
      </c>
      <c r="H31600" s="40" t="s">
        <v>11404</v>
      </c>
    </row>
    <row r="31601">
      <c r="A31601" s="39"/>
      <c r="E31601" s="40" t="s">
        <v>11404</v>
      </c>
      <c r="F31601" s="40" t="s">
        <v>11404</v>
      </c>
      <c r="G31601" s="40" t="s">
        <v>11404</v>
      </c>
      <c r="H31601" s="40" t="s">
        <v>11404</v>
      </c>
    </row>
    <row r="31602">
      <c r="A31602" s="39"/>
      <c r="E31602" s="40" t="s">
        <v>11404</v>
      </c>
      <c r="F31602" s="40" t="s">
        <v>11404</v>
      </c>
      <c r="G31602" s="40" t="s">
        <v>11404</v>
      </c>
      <c r="H31602" s="40" t="s">
        <v>11404</v>
      </c>
    </row>
    <row r="31603">
      <c r="A31603" s="39"/>
      <c r="E31603" s="40" t="s">
        <v>11404</v>
      </c>
      <c r="F31603" s="40" t="s">
        <v>11404</v>
      </c>
      <c r="G31603" s="40" t="s">
        <v>11404</v>
      </c>
      <c r="H31603" s="40" t="s">
        <v>11404</v>
      </c>
    </row>
    <row r="31604">
      <c r="A31604" s="39"/>
      <c r="E31604" s="40" t="s">
        <v>11404</v>
      </c>
      <c r="F31604" s="40" t="s">
        <v>11404</v>
      </c>
      <c r="G31604" s="40" t="s">
        <v>11404</v>
      </c>
      <c r="H31604" s="40" t="s">
        <v>11404</v>
      </c>
    </row>
    <row r="31605">
      <c r="A31605" s="39"/>
      <c r="E31605" s="40" t="s">
        <v>11404</v>
      </c>
      <c r="F31605" s="40" t="s">
        <v>11404</v>
      </c>
      <c r="G31605" s="40" t="s">
        <v>11404</v>
      </c>
      <c r="H31605" s="40" t="s">
        <v>11404</v>
      </c>
    </row>
    <row r="31606">
      <c r="A31606" s="39"/>
      <c r="E31606" s="40" t="s">
        <v>11404</v>
      </c>
      <c r="F31606" s="40" t="s">
        <v>11404</v>
      </c>
      <c r="G31606" s="40" t="s">
        <v>11404</v>
      </c>
      <c r="H31606" s="40" t="s">
        <v>11404</v>
      </c>
    </row>
    <row r="31607">
      <c r="A31607" s="39"/>
      <c r="E31607" s="40" t="s">
        <v>11404</v>
      </c>
      <c r="F31607" s="40" t="s">
        <v>11404</v>
      </c>
      <c r="G31607" s="40" t="s">
        <v>11404</v>
      </c>
      <c r="H31607" s="40" t="s">
        <v>11404</v>
      </c>
    </row>
    <row r="31608">
      <c r="A31608" s="39"/>
      <c r="E31608" s="40" t="s">
        <v>11404</v>
      </c>
      <c r="F31608" s="40" t="s">
        <v>11404</v>
      </c>
      <c r="G31608" s="40" t="s">
        <v>11404</v>
      </c>
      <c r="H31608" s="40" t="s">
        <v>11404</v>
      </c>
    </row>
    <row r="31609">
      <c r="A31609" s="39"/>
      <c r="E31609" s="40" t="s">
        <v>11404</v>
      </c>
      <c r="F31609" s="40" t="s">
        <v>11404</v>
      </c>
      <c r="G31609" s="40" t="s">
        <v>11404</v>
      </c>
      <c r="H31609" s="40" t="s">
        <v>11404</v>
      </c>
    </row>
    <row r="31610">
      <c r="A31610" s="39"/>
      <c r="E31610" s="40" t="s">
        <v>11404</v>
      </c>
      <c r="F31610" s="40" t="s">
        <v>11404</v>
      </c>
      <c r="G31610" s="40" t="s">
        <v>11404</v>
      </c>
      <c r="H31610" s="40" t="s">
        <v>11404</v>
      </c>
    </row>
    <row r="31611">
      <c r="A31611" s="39"/>
      <c r="E31611" s="40" t="s">
        <v>11404</v>
      </c>
      <c r="F31611" s="40" t="s">
        <v>11404</v>
      </c>
      <c r="G31611" s="40" t="s">
        <v>11404</v>
      </c>
      <c r="H31611" s="40" t="s">
        <v>11404</v>
      </c>
    </row>
    <row r="31612">
      <c r="A31612" s="39"/>
      <c r="E31612" s="40" t="s">
        <v>11404</v>
      </c>
      <c r="F31612" s="40" t="s">
        <v>11404</v>
      </c>
      <c r="G31612" s="40" t="s">
        <v>11404</v>
      </c>
      <c r="H31612" s="40" t="s">
        <v>11404</v>
      </c>
    </row>
    <row r="31613">
      <c r="A31613" s="39"/>
      <c r="E31613" s="40" t="s">
        <v>11404</v>
      </c>
      <c r="F31613" s="40" t="s">
        <v>11404</v>
      </c>
      <c r="G31613" s="40" t="s">
        <v>11404</v>
      </c>
      <c r="H31613" s="40" t="s">
        <v>11404</v>
      </c>
    </row>
    <row r="31614">
      <c r="A31614" s="39"/>
      <c r="E31614" s="40" t="s">
        <v>11404</v>
      </c>
      <c r="F31614" s="40" t="s">
        <v>11404</v>
      </c>
      <c r="G31614" s="40" t="s">
        <v>11404</v>
      </c>
      <c r="H31614" s="40" t="s">
        <v>11404</v>
      </c>
    </row>
    <row r="31615">
      <c r="A31615" s="39"/>
      <c r="E31615" s="40" t="s">
        <v>11404</v>
      </c>
      <c r="F31615" s="40" t="s">
        <v>11404</v>
      </c>
      <c r="G31615" s="40" t="s">
        <v>11404</v>
      </c>
      <c r="H31615" s="40" t="s">
        <v>11404</v>
      </c>
    </row>
    <row r="31616">
      <c r="A31616" s="39"/>
      <c r="E31616" s="40" t="s">
        <v>11404</v>
      </c>
      <c r="F31616" s="40" t="s">
        <v>11404</v>
      </c>
      <c r="G31616" s="40" t="s">
        <v>11404</v>
      </c>
      <c r="H31616" s="40" t="s">
        <v>11404</v>
      </c>
    </row>
    <row r="31617">
      <c r="A31617" s="39"/>
      <c r="E31617" s="40" t="s">
        <v>11404</v>
      </c>
      <c r="F31617" s="40" t="s">
        <v>11404</v>
      </c>
      <c r="G31617" s="40" t="s">
        <v>11404</v>
      </c>
      <c r="H31617" s="40" t="s">
        <v>11404</v>
      </c>
    </row>
    <row r="31618">
      <c r="A31618" s="39"/>
      <c r="E31618" s="40" t="s">
        <v>11404</v>
      </c>
      <c r="F31618" s="40" t="s">
        <v>11404</v>
      </c>
      <c r="G31618" s="40" t="s">
        <v>11404</v>
      </c>
      <c r="H31618" s="40" t="s">
        <v>11404</v>
      </c>
    </row>
    <row r="31619">
      <c r="A31619" s="39"/>
      <c r="E31619" s="40" t="s">
        <v>11404</v>
      </c>
      <c r="F31619" s="40" t="s">
        <v>11404</v>
      </c>
      <c r="G31619" s="40" t="s">
        <v>11404</v>
      </c>
      <c r="H31619" s="40" t="s">
        <v>11404</v>
      </c>
    </row>
    <row r="31620">
      <c r="A31620" s="39"/>
      <c r="E31620" s="40" t="s">
        <v>11404</v>
      </c>
      <c r="F31620" s="40" t="s">
        <v>11404</v>
      </c>
      <c r="G31620" s="40" t="s">
        <v>11404</v>
      </c>
      <c r="H31620" s="40" t="s">
        <v>11404</v>
      </c>
    </row>
    <row r="31621">
      <c r="A31621" s="39"/>
      <c r="E31621" s="40" t="s">
        <v>11404</v>
      </c>
      <c r="F31621" s="40" t="s">
        <v>11404</v>
      </c>
      <c r="G31621" s="40" t="s">
        <v>11404</v>
      </c>
      <c r="H31621" s="40" t="s">
        <v>11404</v>
      </c>
    </row>
    <row r="31622">
      <c r="A31622" s="39"/>
      <c r="E31622" s="40" t="s">
        <v>11404</v>
      </c>
      <c r="F31622" s="40" t="s">
        <v>11404</v>
      </c>
      <c r="G31622" s="40" t="s">
        <v>11404</v>
      </c>
      <c r="H31622" s="40" t="s">
        <v>11404</v>
      </c>
    </row>
    <row r="31623">
      <c r="A31623" s="39"/>
      <c r="E31623" s="40" t="s">
        <v>11404</v>
      </c>
      <c r="F31623" s="40" t="s">
        <v>11404</v>
      </c>
      <c r="G31623" s="40" t="s">
        <v>11404</v>
      </c>
      <c r="H31623" s="40" t="s">
        <v>11404</v>
      </c>
    </row>
    <row r="31624">
      <c r="A31624" s="39"/>
      <c r="E31624" s="40" t="s">
        <v>11404</v>
      </c>
      <c r="F31624" s="40" t="s">
        <v>11404</v>
      </c>
      <c r="G31624" s="40" t="s">
        <v>11404</v>
      </c>
      <c r="H31624" s="40" t="s">
        <v>11404</v>
      </c>
    </row>
    <row r="31625">
      <c r="A31625" s="39"/>
      <c r="E31625" s="40" t="s">
        <v>11404</v>
      </c>
      <c r="F31625" s="40" t="s">
        <v>11404</v>
      </c>
      <c r="G31625" s="40" t="s">
        <v>11404</v>
      </c>
      <c r="H31625" s="40" t="s">
        <v>11404</v>
      </c>
    </row>
    <row r="31626">
      <c r="A31626" s="39"/>
      <c r="E31626" s="40" t="s">
        <v>11404</v>
      </c>
      <c r="F31626" s="40" t="s">
        <v>11404</v>
      </c>
      <c r="G31626" s="40" t="s">
        <v>11404</v>
      </c>
      <c r="H31626" s="40" t="s">
        <v>11404</v>
      </c>
    </row>
    <row r="31627">
      <c r="A31627" s="39"/>
      <c r="E31627" s="40" t="s">
        <v>11404</v>
      </c>
      <c r="F31627" s="40" t="s">
        <v>11404</v>
      </c>
      <c r="G31627" s="40" t="s">
        <v>11404</v>
      </c>
      <c r="H31627" s="40" t="s">
        <v>11404</v>
      </c>
    </row>
    <row r="31628">
      <c r="A31628" s="39"/>
      <c r="E31628" s="40" t="s">
        <v>11404</v>
      </c>
      <c r="F31628" s="40" t="s">
        <v>11404</v>
      </c>
      <c r="G31628" s="40" t="s">
        <v>11404</v>
      </c>
      <c r="H31628" s="40" t="s">
        <v>11404</v>
      </c>
    </row>
    <row r="31629">
      <c r="A31629" s="39"/>
      <c r="E31629" s="40" t="s">
        <v>11404</v>
      </c>
      <c r="F31629" s="40" t="s">
        <v>11404</v>
      </c>
      <c r="G31629" s="40" t="s">
        <v>11404</v>
      </c>
      <c r="H31629" s="40" t="s">
        <v>11404</v>
      </c>
    </row>
    <row r="31630">
      <c r="A31630" s="39"/>
      <c r="E31630" s="40" t="s">
        <v>11404</v>
      </c>
      <c r="F31630" s="40" t="s">
        <v>11404</v>
      </c>
      <c r="G31630" s="40" t="s">
        <v>11404</v>
      </c>
      <c r="H31630" s="40" t="s">
        <v>11404</v>
      </c>
    </row>
    <row r="31631">
      <c r="A31631" s="39"/>
      <c r="E31631" s="40" t="s">
        <v>11404</v>
      </c>
      <c r="F31631" s="40" t="s">
        <v>11404</v>
      </c>
      <c r="G31631" s="40" t="s">
        <v>11404</v>
      </c>
      <c r="H31631" s="40" t="s">
        <v>11404</v>
      </c>
    </row>
    <row r="31632">
      <c r="A31632" s="39"/>
      <c r="E31632" s="40" t="s">
        <v>11404</v>
      </c>
      <c r="F31632" s="40" t="s">
        <v>11404</v>
      </c>
      <c r="G31632" s="40" t="s">
        <v>11404</v>
      </c>
      <c r="H31632" s="40" t="s">
        <v>11404</v>
      </c>
    </row>
    <row r="31633">
      <c r="A31633" s="39"/>
      <c r="E31633" s="40" t="s">
        <v>11404</v>
      </c>
      <c r="F31633" s="40" t="s">
        <v>11404</v>
      </c>
      <c r="G31633" s="40" t="s">
        <v>11404</v>
      </c>
      <c r="H31633" s="40" t="s">
        <v>11404</v>
      </c>
    </row>
    <row r="31634">
      <c r="A31634" s="39"/>
      <c r="E31634" s="40" t="s">
        <v>11404</v>
      </c>
      <c r="F31634" s="40" t="s">
        <v>11404</v>
      </c>
      <c r="G31634" s="40" t="s">
        <v>11404</v>
      </c>
      <c r="H31634" s="40" t="s">
        <v>11404</v>
      </c>
    </row>
    <row r="31635">
      <c r="A31635" s="39"/>
      <c r="E31635" s="40" t="s">
        <v>11404</v>
      </c>
      <c r="F31635" s="40" t="s">
        <v>11404</v>
      </c>
      <c r="G31635" s="40" t="s">
        <v>11404</v>
      </c>
      <c r="H31635" s="40" t="s">
        <v>11404</v>
      </c>
    </row>
    <row r="31636">
      <c r="A31636" s="39"/>
      <c r="E31636" s="40" t="s">
        <v>11404</v>
      </c>
      <c r="F31636" s="40" t="s">
        <v>11404</v>
      </c>
      <c r="G31636" s="40" t="s">
        <v>11404</v>
      </c>
      <c r="H31636" s="40" t="s">
        <v>11404</v>
      </c>
    </row>
    <row r="31637">
      <c r="A31637" s="39"/>
      <c r="E31637" s="40" t="s">
        <v>11404</v>
      </c>
      <c r="F31637" s="40" t="s">
        <v>11404</v>
      </c>
      <c r="G31637" s="40" t="s">
        <v>11404</v>
      </c>
      <c r="H31637" s="40" t="s">
        <v>11404</v>
      </c>
    </row>
    <row r="31638">
      <c r="A31638" s="39"/>
      <c r="E31638" s="40" t="s">
        <v>11404</v>
      </c>
      <c r="F31638" s="40" t="s">
        <v>11404</v>
      </c>
      <c r="G31638" s="40" t="s">
        <v>11404</v>
      </c>
      <c r="H31638" s="40" t="s">
        <v>11404</v>
      </c>
    </row>
    <row r="31639">
      <c r="A31639" s="39"/>
      <c r="E31639" s="40" t="s">
        <v>11404</v>
      </c>
      <c r="F31639" s="40" t="s">
        <v>11404</v>
      </c>
      <c r="G31639" s="40" t="s">
        <v>11404</v>
      </c>
      <c r="H31639" s="40" t="s">
        <v>11404</v>
      </c>
    </row>
    <row r="31640">
      <c r="A31640" s="39"/>
      <c r="E31640" s="40" t="s">
        <v>11404</v>
      </c>
      <c r="F31640" s="40" t="s">
        <v>11404</v>
      </c>
      <c r="G31640" s="40" t="s">
        <v>11404</v>
      </c>
      <c r="H31640" s="40" t="s">
        <v>11404</v>
      </c>
    </row>
    <row r="31641">
      <c r="A31641" s="39"/>
      <c r="E31641" s="40" t="s">
        <v>11404</v>
      </c>
      <c r="F31641" s="40" t="s">
        <v>11404</v>
      </c>
      <c r="G31641" s="40" t="s">
        <v>11404</v>
      </c>
      <c r="H31641" s="40" t="s">
        <v>11404</v>
      </c>
    </row>
    <row r="31642">
      <c r="A31642" s="39"/>
      <c r="E31642" s="40" t="s">
        <v>11404</v>
      </c>
      <c r="F31642" s="40" t="s">
        <v>11404</v>
      </c>
      <c r="G31642" s="40" t="s">
        <v>11404</v>
      </c>
      <c r="H31642" s="40" t="s">
        <v>11404</v>
      </c>
    </row>
    <row r="31643">
      <c r="A31643" s="39"/>
      <c r="E31643" s="40" t="s">
        <v>11404</v>
      </c>
      <c r="F31643" s="40" t="s">
        <v>11404</v>
      </c>
      <c r="G31643" s="40" t="s">
        <v>11404</v>
      </c>
      <c r="H31643" s="40" t="s">
        <v>11404</v>
      </c>
    </row>
    <row r="31644">
      <c r="A31644" s="39"/>
      <c r="E31644" s="40" t="s">
        <v>11404</v>
      </c>
      <c r="F31644" s="40" t="s">
        <v>11404</v>
      </c>
      <c r="G31644" s="40" t="s">
        <v>11404</v>
      </c>
      <c r="H31644" s="40" t="s">
        <v>11404</v>
      </c>
    </row>
    <row r="31645">
      <c r="A31645" s="39"/>
      <c r="E31645" s="40" t="s">
        <v>11404</v>
      </c>
      <c r="F31645" s="40" t="s">
        <v>11404</v>
      </c>
      <c r="G31645" s="40" t="s">
        <v>11404</v>
      </c>
      <c r="H31645" s="40" t="s">
        <v>11404</v>
      </c>
    </row>
    <row r="31646">
      <c r="A31646" s="39"/>
      <c r="E31646" s="40" t="s">
        <v>11404</v>
      </c>
      <c r="F31646" s="40" t="s">
        <v>11404</v>
      </c>
      <c r="G31646" s="40" t="s">
        <v>11404</v>
      </c>
      <c r="H31646" s="40" t="s">
        <v>11404</v>
      </c>
    </row>
    <row r="31647">
      <c r="A31647" s="39"/>
      <c r="E31647" s="40" t="s">
        <v>11404</v>
      </c>
      <c r="F31647" s="40" t="s">
        <v>11404</v>
      </c>
      <c r="G31647" s="40" t="s">
        <v>11404</v>
      </c>
      <c r="H31647" s="40" t="s">
        <v>11404</v>
      </c>
    </row>
    <row r="31648">
      <c r="A31648" s="39"/>
      <c r="E31648" s="40" t="s">
        <v>11404</v>
      </c>
      <c r="F31648" s="40" t="s">
        <v>11404</v>
      </c>
      <c r="G31648" s="40" t="s">
        <v>11404</v>
      </c>
      <c r="H31648" s="40" t="s">
        <v>11404</v>
      </c>
    </row>
    <row r="31649">
      <c r="A31649" s="39"/>
      <c r="E31649" s="40" t="s">
        <v>11404</v>
      </c>
      <c r="F31649" s="40" t="s">
        <v>11404</v>
      </c>
      <c r="G31649" s="40" t="s">
        <v>11404</v>
      </c>
      <c r="H31649" s="40" t="s">
        <v>11404</v>
      </c>
    </row>
    <row r="31650">
      <c r="A31650" s="39"/>
      <c r="E31650" s="40" t="s">
        <v>11404</v>
      </c>
      <c r="F31650" s="40" t="s">
        <v>11404</v>
      </c>
      <c r="G31650" s="40" t="s">
        <v>11404</v>
      </c>
      <c r="H31650" s="40" t="s">
        <v>11404</v>
      </c>
    </row>
    <row r="31651">
      <c r="A31651" s="39"/>
      <c r="E31651" s="40" t="s">
        <v>11404</v>
      </c>
      <c r="F31651" s="40" t="s">
        <v>11404</v>
      </c>
      <c r="G31651" s="40" t="s">
        <v>11404</v>
      </c>
      <c r="H31651" s="40" t="s">
        <v>11404</v>
      </c>
    </row>
    <row r="31652">
      <c r="A31652" s="39"/>
      <c r="E31652" s="40" t="s">
        <v>11404</v>
      </c>
      <c r="F31652" s="40" t="s">
        <v>11404</v>
      </c>
      <c r="G31652" s="40" t="s">
        <v>11404</v>
      </c>
      <c r="H31652" s="40" t="s">
        <v>11404</v>
      </c>
    </row>
    <row r="31653">
      <c r="A31653" s="39"/>
      <c r="E31653" s="40" t="s">
        <v>11404</v>
      </c>
      <c r="F31653" s="40" t="s">
        <v>11404</v>
      </c>
      <c r="G31653" s="40" t="s">
        <v>11404</v>
      </c>
      <c r="H31653" s="40" t="s">
        <v>11404</v>
      </c>
    </row>
    <row r="31654">
      <c r="A31654" s="39"/>
      <c r="E31654" s="40" t="s">
        <v>11404</v>
      </c>
      <c r="F31654" s="40" t="s">
        <v>11404</v>
      </c>
      <c r="G31654" s="40" t="s">
        <v>11404</v>
      </c>
      <c r="H31654" s="40" t="s">
        <v>11404</v>
      </c>
    </row>
    <row r="31655">
      <c r="A31655" s="39"/>
      <c r="E31655" s="40" t="s">
        <v>11404</v>
      </c>
      <c r="F31655" s="40" t="s">
        <v>11404</v>
      </c>
      <c r="G31655" s="40" t="s">
        <v>11404</v>
      </c>
      <c r="H31655" s="40" t="s">
        <v>11404</v>
      </c>
    </row>
    <row r="31656">
      <c r="A31656" s="39"/>
      <c r="E31656" s="40" t="s">
        <v>11404</v>
      </c>
      <c r="F31656" s="40" t="s">
        <v>11404</v>
      </c>
      <c r="G31656" s="40" t="s">
        <v>11404</v>
      </c>
      <c r="H31656" s="40" t="s">
        <v>11404</v>
      </c>
    </row>
    <row r="31657">
      <c r="A31657" s="39"/>
      <c r="E31657" s="40" t="s">
        <v>11404</v>
      </c>
      <c r="F31657" s="40" t="s">
        <v>11404</v>
      </c>
      <c r="G31657" s="40" t="s">
        <v>11404</v>
      </c>
      <c r="H31657" s="40" t="s">
        <v>11404</v>
      </c>
    </row>
    <row r="31658">
      <c r="A31658" s="39"/>
      <c r="E31658" s="40" t="s">
        <v>11404</v>
      </c>
      <c r="F31658" s="40" t="s">
        <v>11404</v>
      </c>
      <c r="G31658" s="40" t="s">
        <v>11404</v>
      </c>
      <c r="H31658" s="40" t="s">
        <v>11404</v>
      </c>
    </row>
    <row r="31659">
      <c r="A31659" s="39"/>
      <c r="E31659" s="40" t="s">
        <v>11404</v>
      </c>
      <c r="F31659" s="40" t="s">
        <v>11404</v>
      </c>
      <c r="G31659" s="40" t="s">
        <v>11404</v>
      </c>
      <c r="H31659" s="40" t="s">
        <v>11404</v>
      </c>
    </row>
    <row r="31660">
      <c r="A31660" s="39"/>
      <c r="E31660" s="40" t="s">
        <v>11404</v>
      </c>
      <c r="F31660" s="40" t="s">
        <v>11404</v>
      </c>
      <c r="G31660" s="40" t="s">
        <v>11404</v>
      </c>
      <c r="H31660" s="40" t="s">
        <v>11404</v>
      </c>
    </row>
    <row r="31661">
      <c r="A31661" s="39"/>
      <c r="E31661" s="40" t="s">
        <v>11404</v>
      </c>
      <c r="F31661" s="40" t="s">
        <v>11404</v>
      </c>
      <c r="G31661" s="40" t="s">
        <v>11404</v>
      </c>
      <c r="H31661" s="40" t="s">
        <v>11404</v>
      </c>
    </row>
    <row r="31662">
      <c r="A31662" s="39"/>
      <c r="E31662" s="40" t="s">
        <v>11404</v>
      </c>
      <c r="F31662" s="40" t="s">
        <v>11404</v>
      </c>
      <c r="G31662" s="40" t="s">
        <v>11404</v>
      </c>
      <c r="H31662" s="40" t="s">
        <v>11404</v>
      </c>
    </row>
    <row r="31663">
      <c r="A31663" s="39"/>
      <c r="E31663" s="40" t="s">
        <v>11404</v>
      </c>
      <c r="F31663" s="40" t="s">
        <v>11404</v>
      </c>
      <c r="G31663" s="40" t="s">
        <v>11404</v>
      </c>
      <c r="H31663" s="40" t="s">
        <v>11404</v>
      </c>
    </row>
    <row r="31664">
      <c r="A31664" s="39"/>
      <c r="E31664" s="40" t="s">
        <v>11404</v>
      </c>
      <c r="F31664" s="40" t="s">
        <v>11404</v>
      </c>
      <c r="G31664" s="40" t="s">
        <v>11404</v>
      </c>
      <c r="H31664" s="40" t="s">
        <v>11404</v>
      </c>
    </row>
    <row r="31665">
      <c r="A31665" s="39"/>
      <c r="E31665" s="40" t="s">
        <v>11404</v>
      </c>
      <c r="F31665" s="40" t="s">
        <v>11404</v>
      </c>
      <c r="G31665" s="40" t="s">
        <v>11404</v>
      </c>
      <c r="H31665" s="40" t="s">
        <v>11404</v>
      </c>
    </row>
    <row r="31666">
      <c r="A31666" s="39"/>
      <c r="E31666" s="40" t="s">
        <v>11404</v>
      </c>
      <c r="F31666" s="40" t="s">
        <v>11404</v>
      </c>
      <c r="G31666" s="40" t="s">
        <v>11404</v>
      </c>
      <c r="H31666" s="40" t="s">
        <v>11404</v>
      </c>
    </row>
    <row r="31667">
      <c r="A31667" s="39"/>
      <c r="E31667" s="40" t="s">
        <v>11404</v>
      </c>
      <c r="F31667" s="40" t="s">
        <v>11404</v>
      </c>
      <c r="G31667" s="40" t="s">
        <v>11404</v>
      </c>
      <c r="H31667" s="40" t="s">
        <v>11404</v>
      </c>
    </row>
    <row r="31668">
      <c r="A31668" s="39"/>
      <c r="E31668" s="40" t="s">
        <v>11404</v>
      </c>
      <c r="F31668" s="40" t="s">
        <v>11404</v>
      </c>
      <c r="G31668" s="40" t="s">
        <v>11404</v>
      </c>
      <c r="H31668" s="40" t="s">
        <v>11404</v>
      </c>
    </row>
    <row r="31669">
      <c r="A31669" s="39"/>
      <c r="E31669" s="40" t="s">
        <v>11404</v>
      </c>
      <c r="F31669" s="40" t="s">
        <v>11404</v>
      </c>
      <c r="G31669" s="40" t="s">
        <v>11404</v>
      </c>
      <c r="H31669" s="40" t="s">
        <v>11404</v>
      </c>
    </row>
    <row r="31670">
      <c r="A31670" s="39"/>
      <c r="E31670" s="40" t="s">
        <v>11404</v>
      </c>
      <c r="F31670" s="40" t="s">
        <v>11404</v>
      </c>
      <c r="G31670" s="40" t="s">
        <v>11404</v>
      </c>
      <c r="H31670" s="40" t="s">
        <v>11404</v>
      </c>
    </row>
    <row r="31671">
      <c r="A31671" s="39"/>
      <c r="E31671" s="40" t="s">
        <v>11404</v>
      </c>
      <c r="F31671" s="40" t="s">
        <v>11404</v>
      </c>
      <c r="G31671" s="40" t="s">
        <v>11404</v>
      </c>
      <c r="H31671" s="40" t="s">
        <v>11404</v>
      </c>
    </row>
    <row r="31672">
      <c r="A31672" s="39"/>
      <c r="E31672" s="40" t="s">
        <v>11404</v>
      </c>
      <c r="F31672" s="40" t="s">
        <v>11404</v>
      </c>
      <c r="G31672" s="40" t="s">
        <v>11404</v>
      </c>
      <c r="H31672" s="40" t="s">
        <v>11404</v>
      </c>
    </row>
    <row r="31673">
      <c r="A31673" s="39"/>
      <c r="E31673" s="40" t="s">
        <v>11404</v>
      </c>
      <c r="F31673" s="40" t="s">
        <v>11404</v>
      </c>
      <c r="G31673" s="40" t="s">
        <v>11404</v>
      </c>
      <c r="H31673" s="40" t="s">
        <v>11404</v>
      </c>
    </row>
    <row r="31674">
      <c r="A31674" s="39"/>
      <c r="E31674" s="40" t="s">
        <v>11404</v>
      </c>
      <c r="F31674" s="40" t="s">
        <v>11404</v>
      </c>
      <c r="G31674" s="40" t="s">
        <v>11404</v>
      </c>
      <c r="H31674" s="40" t="s">
        <v>11404</v>
      </c>
    </row>
    <row r="31675">
      <c r="A31675" s="39"/>
      <c r="E31675" s="40" t="s">
        <v>11404</v>
      </c>
      <c r="F31675" s="40" t="s">
        <v>11404</v>
      </c>
      <c r="G31675" s="40" t="s">
        <v>11404</v>
      </c>
      <c r="H31675" s="40" t="s">
        <v>11404</v>
      </c>
    </row>
    <row r="31676">
      <c r="A31676" s="39"/>
      <c r="E31676" s="40" t="s">
        <v>11404</v>
      </c>
      <c r="F31676" s="40" t="s">
        <v>11404</v>
      </c>
      <c r="G31676" s="40" t="s">
        <v>11404</v>
      </c>
      <c r="H31676" s="40" t="s">
        <v>11404</v>
      </c>
    </row>
    <row r="31677">
      <c r="A31677" s="39"/>
      <c r="E31677" s="40" t="s">
        <v>11404</v>
      </c>
      <c r="F31677" s="40" t="s">
        <v>11404</v>
      </c>
      <c r="G31677" s="40" t="s">
        <v>11404</v>
      </c>
      <c r="H31677" s="40" t="s">
        <v>11404</v>
      </c>
    </row>
    <row r="31678">
      <c r="A31678" s="39"/>
      <c r="E31678" s="40" t="s">
        <v>11404</v>
      </c>
      <c r="F31678" s="40" t="s">
        <v>11404</v>
      </c>
      <c r="G31678" s="40" t="s">
        <v>11404</v>
      </c>
      <c r="H31678" s="40" t="s">
        <v>11404</v>
      </c>
    </row>
    <row r="31679">
      <c r="A31679" s="39"/>
      <c r="E31679" s="40" t="s">
        <v>11404</v>
      </c>
      <c r="F31679" s="40" t="s">
        <v>11404</v>
      </c>
      <c r="G31679" s="40" t="s">
        <v>11404</v>
      </c>
      <c r="H31679" s="40" t="s">
        <v>11404</v>
      </c>
    </row>
    <row r="31680">
      <c r="A31680" s="39"/>
      <c r="E31680" s="40" t="s">
        <v>11404</v>
      </c>
      <c r="F31680" s="40" t="s">
        <v>11404</v>
      </c>
      <c r="G31680" s="40" t="s">
        <v>11404</v>
      </c>
      <c r="H31680" s="40" t="s">
        <v>11404</v>
      </c>
    </row>
    <row r="31681">
      <c r="A31681" s="39"/>
      <c r="E31681" s="40" t="s">
        <v>11404</v>
      </c>
      <c r="F31681" s="40" t="s">
        <v>11404</v>
      </c>
      <c r="G31681" s="40" t="s">
        <v>11404</v>
      </c>
      <c r="H31681" s="40" t="s">
        <v>11404</v>
      </c>
    </row>
    <row r="31682">
      <c r="A31682" s="39"/>
      <c r="E31682" s="40" t="s">
        <v>11404</v>
      </c>
      <c r="F31682" s="40" t="s">
        <v>11404</v>
      </c>
      <c r="G31682" s="40" t="s">
        <v>11404</v>
      </c>
      <c r="H31682" s="40" t="s">
        <v>11404</v>
      </c>
    </row>
    <row r="31683">
      <c r="A31683" s="39"/>
      <c r="E31683" s="40" t="s">
        <v>11404</v>
      </c>
      <c r="F31683" s="40" t="s">
        <v>11404</v>
      </c>
      <c r="G31683" s="40" t="s">
        <v>11404</v>
      </c>
      <c r="H31683" s="40" t="s">
        <v>11404</v>
      </c>
    </row>
    <row r="31684">
      <c r="A31684" s="39"/>
      <c r="E31684" s="40" t="s">
        <v>11404</v>
      </c>
      <c r="F31684" s="40" t="s">
        <v>11404</v>
      </c>
      <c r="G31684" s="40" t="s">
        <v>11404</v>
      </c>
      <c r="H31684" s="40" t="s">
        <v>11404</v>
      </c>
    </row>
    <row r="31685">
      <c r="A31685" s="39"/>
      <c r="E31685" s="40" t="s">
        <v>11404</v>
      </c>
      <c r="F31685" s="40" t="s">
        <v>11404</v>
      </c>
      <c r="G31685" s="40" t="s">
        <v>11404</v>
      </c>
      <c r="H31685" s="40" t="s">
        <v>11404</v>
      </c>
    </row>
    <row r="31686">
      <c r="A31686" s="39"/>
      <c r="E31686" s="40" t="s">
        <v>11404</v>
      </c>
      <c r="F31686" s="40" t="s">
        <v>11404</v>
      </c>
      <c r="G31686" s="40" t="s">
        <v>11404</v>
      </c>
      <c r="H31686" s="40" t="s">
        <v>11404</v>
      </c>
    </row>
    <row r="31687">
      <c r="A31687" s="39"/>
      <c r="E31687" s="40" t="s">
        <v>11404</v>
      </c>
      <c r="F31687" s="40" t="s">
        <v>11404</v>
      </c>
      <c r="G31687" s="40" t="s">
        <v>11404</v>
      </c>
      <c r="H31687" s="40" t="s">
        <v>11404</v>
      </c>
    </row>
    <row r="31688">
      <c r="A31688" s="39"/>
      <c r="E31688" s="40" t="s">
        <v>11404</v>
      </c>
      <c r="F31688" s="40" t="s">
        <v>11404</v>
      </c>
      <c r="G31688" s="40" t="s">
        <v>11404</v>
      </c>
      <c r="H31688" s="40" t="s">
        <v>11404</v>
      </c>
    </row>
    <row r="31689">
      <c r="A31689" s="39"/>
      <c r="E31689" s="40" t="s">
        <v>11404</v>
      </c>
      <c r="F31689" s="40" t="s">
        <v>11404</v>
      </c>
      <c r="G31689" s="40" t="s">
        <v>11404</v>
      </c>
      <c r="H31689" s="40" t="s">
        <v>11404</v>
      </c>
    </row>
    <row r="31690">
      <c r="A31690" s="39"/>
      <c r="E31690" s="40" t="s">
        <v>11404</v>
      </c>
      <c r="F31690" s="40" t="s">
        <v>11404</v>
      </c>
      <c r="G31690" s="40" t="s">
        <v>11404</v>
      </c>
      <c r="H31690" s="40" t="s">
        <v>11404</v>
      </c>
    </row>
    <row r="31691">
      <c r="A31691" s="39"/>
      <c r="E31691" s="40" t="s">
        <v>11404</v>
      </c>
      <c r="F31691" s="40" t="s">
        <v>11404</v>
      </c>
      <c r="G31691" s="40" t="s">
        <v>11404</v>
      </c>
      <c r="H31691" s="40" t="s">
        <v>11404</v>
      </c>
    </row>
    <row r="31692">
      <c r="A31692" s="39"/>
      <c r="E31692" s="40" t="s">
        <v>11404</v>
      </c>
      <c r="F31692" s="40" t="s">
        <v>11404</v>
      </c>
      <c r="G31692" s="40" t="s">
        <v>11404</v>
      </c>
      <c r="H31692" s="40" t="s">
        <v>11404</v>
      </c>
    </row>
    <row r="31693">
      <c r="A31693" s="39"/>
      <c r="E31693" s="40" t="s">
        <v>11404</v>
      </c>
      <c r="F31693" s="40" t="s">
        <v>11404</v>
      </c>
      <c r="G31693" s="40" t="s">
        <v>11404</v>
      </c>
      <c r="H31693" s="40" t="s">
        <v>11404</v>
      </c>
    </row>
    <row r="31694">
      <c r="A31694" s="39"/>
      <c r="E31694" s="40" t="s">
        <v>11404</v>
      </c>
      <c r="F31694" s="40" t="s">
        <v>11404</v>
      </c>
      <c r="G31694" s="40" t="s">
        <v>11404</v>
      </c>
      <c r="H31694" s="40" t="s">
        <v>11404</v>
      </c>
    </row>
    <row r="31695">
      <c r="A31695" s="39"/>
      <c r="E31695" s="40" t="s">
        <v>11404</v>
      </c>
      <c r="F31695" s="40" t="s">
        <v>11404</v>
      </c>
      <c r="G31695" s="40" t="s">
        <v>11404</v>
      </c>
      <c r="H31695" s="40" t="s">
        <v>11404</v>
      </c>
    </row>
    <row r="31696">
      <c r="A31696" s="39"/>
      <c r="E31696" s="40" t="s">
        <v>11404</v>
      </c>
      <c r="F31696" s="40" t="s">
        <v>11404</v>
      </c>
      <c r="G31696" s="40" t="s">
        <v>11404</v>
      </c>
      <c r="H31696" s="40" t="s">
        <v>11404</v>
      </c>
    </row>
    <row r="31697">
      <c r="A31697" s="39"/>
      <c r="E31697" s="40" t="s">
        <v>11404</v>
      </c>
      <c r="F31697" s="40" t="s">
        <v>11404</v>
      </c>
      <c r="G31697" s="40" t="s">
        <v>11404</v>
      </c>
      <c r="H31697" s="40" t="s">
        <v>11404</v>
      </c>
    </row>
    <row r="31698">
      <c r="A31698" s="39"/>
      <c r="E31698" s="40" t="s">
        <v>11404</v>
      </c>
      <c r="F31698" s="40" t="s">
        <v>11404</v>
      </c>
      <c r="G31698" s="40" t="s">
        <v>11404</v>
      </c>
      <c r="H31698" s="40" t="s">
        <v>11404</v>
      </c>
    </row>
    <row r="31699">
      <c r="A31699" s="39"/>
      <c r="E31699" s="40" t="s">
        <v>11404</v>
      </c>
      <c r="F31699" s="40" t="s">
        <v>11404</v>
      </c>
      <c r="G31699" s="40" t="s">
        <v>11404</v>
      </c>
      <c r="H31699" s="40" t="s">
        <v>11404</v>
      </c>
    </row>
    <row r="31700">
      <c r="A31700" s="39"/>
      <c r="E31700" s="40" t="s">
        <v>11404</v>
      </c>
      <c r="F31700" s="40" t="s">
        <v>11404</v>
      </c>
      <c r="G31700" s="40" t="s">
        <v>11404</v>
      </c>
      <c r="H31700" s="40" t="s">
        <v>11404</v>
      </c>
    </row>
    <row r="31701">
      <c r="A31701" s="39"/>
      <c r="E31701" s="40" t="s">
        <v>11404</v>
      </c>
      <c r="F31701" s="40" t="s">
        <v>11404</v>
      </c>
      <c r="G31701" s="40" t="s">
        <v>11404</v>
      </c>
      <c r="H31701" s="40" t="s">
        <v>11404</v>
      </c>
    </row>
    <row r="31702">
      <c r="A31702" s="39"/>
      <c r="E31702" s="40" t="s">
        <v>11404</v>
      </c>
      <c r="F31702" s="40" t="s">
        <v>11404</v>
      </c>
      <c r="G31702" s="40" t="s">
        <v>11404</v>
      </c>
      <c r="H31702" s="40" t="s">
        <v>11404</v>
      </c>
    </row>
    <row r="31703">
      <c r="A31703" s="39"/>
      <c r="E31703" s="40" t="s">
        <v>11404</v>
      </c>
      <c r="F31703" s="40" t="s">
        <v>11404</v>
      </c>
      <c r="G31703" s="40" t="s">
        <v>11404</v>
      </c>
      <c r="H31703" s="40" t="s">
        <v>11404</v>
      </c>
    </row>
    <row r="31704">
      <c r="A31704" s="39"/>
      <c r="E31704" s="40" t="s">
        <v>11404</v>
      </c>
      <c r="F31704" s="40" t="s">
        <v>11404</v>
      </c>
      <c r="G31704" s="40" t="s">
        <v>11404</v>
      </c>
      <c r="H31704" s="40" t="s">
        <v>11404</v>
      </c>
    </row>
    <row r="31705">
      <c r="A31705" s="39"/>
      <c r="E31705" s="40" t="s">
        <v>11404</v>
      </c>
      <c r="F31705" s="40" t="s">
        <v>11404</v>
      </c>
      <c r="G31705" s="40" t="s">
        <v>11404</v>
      </c>
      <c r="H31705" s="40" t="s">
        <v>11404</v>
      </c>
    </row>
    <row r="31706">
      <c r="A31706" s="39"/>
      <c r="E31706" s="40" t="s">
        <v>11404</v>
      </c>
      <c r="F31706" s="40" t="s">
        <v>11404</v>
      </c>
      <c r="G31706" s="40" t="s">
        <v>11404</v>
      </c>
      <c r="H31706" s="40" t="s">
        <v>11404</v>
      </c>
    </row>
    <row r="31707">
      <c r="A31707" s="39"/>
      <c r="E31707" s="40" t="s">
        <v>11404</v>
      </c>
      <c r="F31707" s="40" t="s">
        <v>11404</v>
      </c>
      <c r="G31707" s="40" t="s">
        <v>11404</v>
      </c>
      <c r="H31707" s="40" t="s">
        <v>11404</v>
      </c>
    </row>
    <row r="31708">
      <c r="A31708" s="39"/>
      <c r="E31708" s="40" t="s">
        <v>11404</v>
      </c>
      <c r="F31708" s="40" t="s">
        <v>11404</v>
      </c>
      <c r="G31708" s="40" t="s">
        <v>11404</v>
      </c>
      <c r="H31708" s="40" t="s">
        <v>11404</v>
      </c>
    </row>
    <row r="31709">
      <c r="A31709" s="39"/>
      <c r="E31709" s="40" t="s">
        <v>11404</v>
      </c>
      <c r="F31709" s="40" t="s">
        <v>11404</v>
      </c>
      <c r="G31709" s="40" t="s">
        <v>11404</v>
      </c>
      <c r="H31709" s="40" t="s">
        <v>11404</v>
      </c>
    </row>
    <row r="31710">
      <c r="A31710" s="39"/>
      <c r="E31710" s="40" t="s">
        <v>11404</v>
      </c>
      <c r="F31710" s="40" t="s">
        <v>11404</v>
      </c>
      <c r="G31710" s="40" t="s">
        <v>11404</v>
      </c>
      <c r="H31710" s="40" t="s">
        <v>11404</v>
      </c>
    </row>
    <row r="31711">
      <c r="A31711" s="39"/>
      <c r="E31711" s="40" t="s">
        <v>11404</v>
      </c>
      <c r="F31711" s="40" t="s">
        <v>11404</v>
      </c>
      <c r="G31711" s="40" t="s">
        <v>11404</v>
      </c>
      <c r="H31711" s="40" t="s">
        <v>11404</v>
      </c>
    </row>
    <row r="31712">
      <c r="A31712" s="39"/>
      <c r="E31712" s="40" t="s">
        <v>11404</v>
      </c>
      <c r="F31712" s="40" t="s">
        <v>11404</v>
      </c>
      <c r="G31712" s="40" t="s">
        <v>11404</v>
      </c>
      <c r="H31712" s="40" t="s">
        <v>11404</v>
      </c>
    </row>
    <row r="31713">
      <c r="A31713" s="39"/>
      <c r="E31713" s="40" t="s">
        <v>11404</v>
      </c>
      <c r="F31713" s="40" t="s">
        <v>11404</v>
      </c>
      <c r="G31713" s="40" t="s">
        <v>11404</v>
      </c>
      <c r="H31713" s="40" t="s">
        <v>11404</v>
      </c>
    </row>
    <row r="31714">
      <c r="A31714" s="39"/>
      <c r="E31714" s="40" t="s">
        <v>11404</v>
      </c>
      <c r="F31714" s="40" t="s">
        <v>11404</v>
      </c>
      <c r="G31714" s="40" t="s">
        <v>11404</v>
      </c>
      <c r="H31714" s="40" t="s">
        <v>11404</v>
      </c>
    </row>
    <row r="31715">
      <c r="A31715" s="39"/>
      <c r="E31715" s="40" t="s">
        <v>11404</v>
      </c>
      <c r="F31715" s="40" t="s">
        <v>11404</v>
      </c>
      <c r="G31715" s="40" t="s">
        <v>11404</v>
      </c>
      <c r="H31715" s="40" t="s">
        <v>11404</v>
      </c>
    </row>
    <row r="31716">
      <c r="A31716" s="39"/>
      <c r="E31716" s="40" t="s">
        <v>11404</v>
      </c>
      <c r="F31716" s="40" t="s">
        <v>11404</v>
      </c>
      <c r="G31716" s="40" t="s">
        <v>11404</v>
      </c>
      <c r="H31716" s="40" t="s">
        <v>11404</v>
      </c>
    </row>
    <row r="31717">
      <c r="A31717" s="39"/>
      <c r="E31717" s="40" t="s">
        <v>11404</v>
      </c>
      <c r="F31717" s="40" t="s">
        <v>11404</v>
      </c>
      <c r="G31717" s="40" t="s">
        <v>11404</v>
      </c>
      <c r="H31717" s="40" t="s">
        <v>11404</v>
      </c>
    </row>
    <row r="31718">
      <c r="A31718" s="39"/>
      <c r="E31718" s="40" t="s">
        <v>11404</v>
      </c>
      <c r="F31718" s="40" t="s">
        <v>11404</v>
      </c>
      <c r="G31718" s="40" t="s">
        <v>11404</v>
      </c>
      <c r="H31718" s="40" t="s">
        <v>11404</v>
      </c>
    </row>
    <row r="31719">
      <c r="A31719" s="39"/>
      <c r="E31719" s="40" t="s">
        <v>11404</v>
      </c>
      <c r="F31719" s="40" t="s">
        <v>11404</v>
      </c>
      <c r="G31719" s="40" t="s">
        <v>11404</v>
      </c>
      <c r="H31719" s="40" t="s">
        <v>11404</v>
      </c>
    </row>
    <row r="31720">
      <c r="A31720" s="39"/>
      <c r="E31720" s="40" t="s">
        <v>11404</v>
      </c>
      <c r="F31720" s="40" t="s">
        <v>11404</v>
      </c>
      <c r="G31720" s="40" t="s">
        <v>11404</v>
      </c>
      <c r="H31720" s="40" t="s">
        <v>11404</v>
      </c>
    </row>
    <row r="31721">
      <c r="A31721" s="39"/>
      <c r="E31721" s="40" t="s">
        <v>11404</v>
      </c>
      <c r="F31721" s="40" t="s">
        <v>11404</v>
      </c>
      <c r="G31721" s="40" t="s">
        <v>11404</v>
      </c>
      <c r="H31721" s="40" t="s">
        <v>11404</v>
      </c>
    </row>
    <row r="31722">
      <c r="A31722" s="39"/>
      <c r="E31722" s="40" t="s">
        <v>11404</v>
      </c>
      <c r="F31722" s="40" t="s">
        <v>11404</v>
      </c>
      <c r="G31722" s="40" t="s">
        <v>11404</v>
      </c>
      <c r="H31722" s="40" t="s">
        <v>11404</v>
      </c>
    </row>
    <row r="31723">
      <c r="A31723" s="39"/>
      <c r="E31723" s="40" t="s">
        <v>11404</v>
      </c>
      <c r="F31723" s="40" t="s">
        <v>11404</v>
      </c>
      <c r="G31723" s="40" t="s">
        <v>11404</v>
      </c>
      <c r="H31723" s="40" t="s">
        <v>11404</v>
      </c>
    </row>
    <row r="31724">
      <c r="A31724" s="39"/>
      <c r="E31724" s="40" t="s">
        <v>11404</v>
      </c>
      <c r="F31724" s="40" t="s">
        <v>11404</v>
      </c>
      <c r="G31724" s="40" t="s">
        <v>11404</v>
      </c>
      <c r="H31724" s="40" t="s">
        <v>11404</v>
      </c>
    </row>
    <row r="31725">
      <c r="A31725" s="39"/>
      <c r="E31725" s="40" t="s">
        <v>11404</v>
      </c>
      <c r="F31725" s="40" t="s">
        <v>11404</v>
      </c>
      <c r="G31725" s="40" t="s">
        <v>11404</v>
      </c>
      <c r="H31725" s="40" t="s">
        <v>11404</v>
      </c>
    </row>
    <row r="31726">
      <c r="A31726" s="39"/>
      <c r="E31726" s="40" t="s">
        <v>11404</v>
      </c>
      <c r="F31726" s="40" t="s">
        <v>11404</v>
      </c>
      <c r="G31726" s="40" t="s">
        <v>11404</v>
      </c>
      <c r="H31726" s="40" t="s">
        <v>11404</v>
      </c>
    </row>
    <row r="31727">
      <c r="A31727" s="39"/>
      <c r="E31727" s="40" t="s">
        <v>11404</v>
      </c>
      <c r="F31727" s="40" t="s">
        <v>11404</v>
      </c>
      <c r="G31727" s="40" t="s">
        <v>11404</v>
      </c>
      <c r="H31727" s="40" t="s">
        <v>11404</v>
      </c>
    </row>
    <row r="31728">
      <c r="A31728" s="39"/>
      <c r="E31728" s="40" t="s">
        <v>11404</v>
      </c>
      <c r="F31728" s="40" t="s">
        <v>11404</v>
      </c>
      <c r="G31728" s="40" t="s">
        <v>11404</v>
      </c>
      <c r="H31728" s="40" t="s">
        <v>11404</v>
      </c>
    </row>
    <row r="31729">
      <c r="A31729" s="39"/>
      <c r="E31729" s="40" t="s">
        <v>11404</v>
      </c>
      <c r="F31729" s="40" t="s">
        <v>11404</v>
      </c>
      <c r="G31729" s="40" t="s">
        <v>11404</v>
      </c>
      <c r="H31729" s="40" t="s">
        <v>11404</v>
      </c>
    </row>
    <row r="31730">
      <c r="A31730" s="39"/>
      <c r="E31730" s="40" t="s">
        <v>11404</v>
      </c>
      <c r="F31730" s="40" t="s">
        <v>11404</v>
      </c>
      <c r="G31730" s="40" t="s">
        <v>11404</v>
      </c>
      <c r="H31730" s="40" t="s">
        <v>11404</v>
      </c>
    </row>
    <row r="31731">
      <c r="A31731" s="39"/>
      <c r="E31731" s="40" t="s">
        <v>11404</v>
      </c>
      <c r="F31731" s="40" t="s">
        <v>11404</v>
      </c>
      <c r="G31731" s="40" t="s">
        <v>11404</v>
      </c>
      <c r="H31731" s="40" t="s">
        <v>11404</v>
      </c>
    </row>
    <row r="31732">
      <c r="A31732" s="39"/>
      <c r="E31732" s="40" t="s">
        <v>11404</v>
      </c>
      <c r="F31732" s="40" t="s">
        <v>11404</v>
      </c>
      <c r="G31732" s="40" t="s">
        <v>11404</v>
      </c>
      <c r="H31732" s="40" t="s">
        <v>11404</v>
      </c>
    </row>
    <row r="31733">
      <c r="A31733" s="39"/>
      <c r="E31733" s="40" t="s">
        <v>11404</v>
      </c>
      <c r="F31733" s="40" t="s">
        <v>11404</v>
      </c>
      <c r="G31733" s="40" t="s">
        <v>11404</v>
      </c>
      <c r="H31733" s="40" t="s">
        <v>11404</v>
      </c>
    </row>
    <row r="31734">
      <c r="A31734" s="39"/>
      <c r="E31734" s="40" t="s">
        <v>11404</v>
      </c>
      <c r="F31734" s="40" t="s">
        <v>11404</v>
      </c>
      <c r="G31734" s="40" t="s">
        <v>11404</v>
      </c>
      <c r="H31734" s="40" t="s">
        <v>11404</v>
      </c>
    </row>
    <row r="31735">
      <c r="A31735" s="39"/>
      <c r="E31735" s="40" t="s">
        <v>11404</v>
      </c>
      <c r="F31735" s="40" t="s">
        <v>11404</v>
      </c>
      <c r="G31735" s="40" t="s">
        <v>11404</v>
      </c>
      <c r="H31735" s="40" t="s">
        <v>11404</v>
      </c>
    </row>
    <row r="31736">
      <c r="A31736" s="39"/>
      <c r="E31736" s="40" t="s">
        <v>11404</v>
      </c>
      <c r="F31736" s="40" t="s">
        <v>11404</v>
      </c>
      <c r="G31736" s="40" t="s">
        <v>11404</v>
      </c>
      <c r="H31736" s="40" t="s">
        <v>11404</v>
      </c>
    </row>
    <row r="31737">
      <c r="A31737" s="39"/>
      <c r="E31737" s="40" t="s">
        <v>11404</v>
      </c>
      <c r="F31737" s="40" t="s">
        <v>11404</v>
      </c>
      <c r="G31737" s="40" t="s">
        <v>11404</v>
      </c>
      <c r="H31737" s="40" t="s">
        <v>11404</v>
      </c>
    </row>
    <row r="31738">
      <c r="A31738" s="39"/>
      <c r="E31738" s="40" t="s">
        <v>11404</v>
      </c>
      <c r="F31738" s="40" t="s">
        <v>11404</v>
      </c>
      <c r="G31738" s="40" t="s">
        <v>11404</v>
      </c>
      <c r="H31738" s="40" t="s">
        <v>11404</v>
      </c>
    </row>
    <row r="31739">
      <c r="A31739" s="39"/>
      <c r="E31739" s="40" t="s">
        <v>11404</v>
      </c>
      <c r="F31739" s="40" t="s">
        <v>11404</v>
      </c>
      <c r="G31739" s="40" t="s">
        <v>11404</v>
      </c>
      <c r="H31739" s="40" t="s">
        <v>11404</v>
      </c>
    </row>
    <row r="31740">
      <c r="A31740" s="39"/>
      <c r="E31740" s="40" t="s">
        <v>11404</v>
      </c>
      <c r="F31740" s="40" t="s">
        <v>11404</v>
      </c>
      <c r="G31740" s="40" t="s">
        <v>11404</v>
      </c>
      <c r="H31740" s="40" t="s">
        <v>11404</v>
      </c>
    </row>
    <row r="31741">
      <c r="A31741" s="39"/>
      <c r="E31741" s="40" t="s">
        <v>11404</v>
      </c>
      <c r="F31741" s="40" t="s">
        <v>11404</v>
      </c>
      <c r="G31741" s="40" t="s">
        <v>11404</v>
      </c>
      <c r="H31741" s="40" t="s">
        <v>11404</v>
      </c>
    </row>
    <row r="31742">
      <c r="A31742" s="39"/>
      <c r="E31742" s="40" t="s">
        <v>11404</v>
      </c>
      <c r="F31742" s="40" t="s">
        <v>11404</v>
      </c>
      <c r="G31742" s="40" t="s">
        <v>11404</v>
      </c>
      <c r="H31742" s="40" t="s">
        <v>11404</v>
      </c>
    </row>
    <row r="31743">
      <c r="A31743" s="39"/>
      <c r="E31743" s="40" t="s">
        <v>11404</v>
      </c>
      <c r="F31743" s="40" t="s">
        <v>11404</v>
      </c>
      <c r="G31743" s="40" t="s">
        <v>11404</v>
      </c>
      <c r="H31743" s="40" t="s">
        <v>11404</v>
      </c>
    </row>
    <row r="31744">
      <c r="A31744" s="39"/>
      <c r="E31744" s="40" t="s">
        <v>11404</v>
      </c>
      <c r="F31744" s="40" t="s">
        <v>11404</v>
      </c>
      <c r="G31744" s="40" t="s">
        <v>11404</v>
      </c>
      <c r="H31744" s="40" t="s">
        <v>11404</v>
      </c>
    </row>
    <row r="31745">
      <c r="A31745" s="39"/>
      <c r="E31745" s="40" t="s">
        <v>11404</v>
      </c>
      <c r="F31745" s="40" t="s">
        <v>11404</v>
      </c>
      <c r="G31745" s="40" t="s">
        <v>11404</v>
      </c>
      <c r="H31745" s="40" t="s">
        <v>11404</v>
      </c>
    </row>
    <row r="31746">
      <c r="A31746" s="39"/>
      <c r="E31746" s="40" t="s">
        <v>11404</v>
      </c>
      <c r="F31746" s="40" t="s">
        <v>11404</v>
      </c>
      <c r="G31746" s="40" t="s">
        <v>11404</v>
      </c>
      <c r="H31746" s="40" t="s">
        <v>11404</v>
      </c>
    </row>
    <row r="31747">
      <c r="A31747" s="39"/>
      <c r="E31747" s="40" t="s">
        <v>11404</v>
      </c>
      <c r="F31747" s="40" t="s">
        <v>11404</v>
      </c>
      <c r="G31747" s="40" t="s">
        <v>11404</v>
      </c>
      <c r="H31747" s="40" t="s">
        <v>11404</v>
      </c>
    </row>
    <row r="31748">
      <c r="A31748" s="39"/>
      <c r="E31748" s="40" t="s">
        <v>11404</v>
      </c>
      <c r="F31748" s="40" t="s">
        <v>11404</v>
      </c>
      <c r="G31748" s="40" t="s">
        <v>11404</v>
      </c>
      <c r="H31748" s="40" t="s">
        <v>11404</v>
      </c>
    </row>
    <row r="31749">
      <c r="A31749" s="39"/>
      <c r="E31749" s="40" t="s">
        <v>11404</v>
      </c>
      <c r="F31749" s="40" t="s">
        <v>11404</v>
      </c>
      <c r="G31749" s="40" t="s">
        <v>11404</v>
      </c>
      <c r="H31749" s="40" t="s">
        <v>11404</v>
      </c>
    </row>
    <row r="31750">
      <c r="A31750" s="39"/>
      <c r="E31750" s="40" t="s">
        <v>11404</v>
      </c>
      <c r="F31750" s="40" t="s">
        <v>11404</v>
      </c>
      <c r="G31750" s="40" t="s">
        <v>11404</v>
      </c>
      <c r="H31750" s="40" t="s">
        <v>11404</v>
      </c>
    </row>
    <row r="31751">
      <c r="A31751" s="39"/>
      <c r="E31751" s="40" t="s">
        <v>11404</v>
      </c>
      <c r="F31751" s="40" t="s">
        <v>11404</v>
      </c>
      <c r="G31751" s="40" t="s">
        <v>11404</v>
      </c>
      <c r="H31751" s="40" t="s">
        <v>11404</v>
      </c>
    </row>
    <row r="31752">
      <c r="A31752" s="39"/>
      <c r="E31752" s="40" t="s">
        <v>11404</v>
      </c>
      <c r="F31752" s="40" t="s">
        <v>11404</v>
      </c>
      <c r="G31752" s="40" t="s">
        <v>11404</v>
      </c>
      <c r="H31752" s="40" t="s">
        <v>11404</v>
      </c>
    </row>
    <row r="31753">
      <c r="A31753" s="39"/>
      <c r="E31753" s="40" t="s">
        <v>11404</v>
      </c>
      <c r="F31753" s="40" t="s">
        <v>11404</v>
      </c>
      <c r="G31753" s="40" t="s">
        <v>11404</v>
      </c>
      <c r="H31753" s="40" t="s">
        <v>11404</v>
      </c>
    </row>
    <row r="31754">
      <c r="A31754" s="39"/>
      <c r="E31754" s="40" t="s">
        <v>11404</v>
      </c>
      <c r="F31754" s="40" t="s">
        <v>11404</v>
      </c>
      <c r="G31754" s="40" t="s">
        <v>11404</v>
      </c>
      <c r="H31754" s="40" t="s">
        <v>11404</v>
      </c>
    </row>
    <row r="31755">
      <c r="A31755" s="39"/>
      <c r="E31755" s="40" t="s">
        <v>11404</v>
      </c>
      <c r="F31755" s="40" t="s">
        <v>11404</v>
      </c>
      <c r="G31755" s="40" t="s">
        <v>11404</v>
      </c>
      <c r="H31755" s="40" t="s">
        <v>11404</v>
      </c>
    </row>
    <row r="31756">
      <c r="A31756" s="39"/>
      <c r="E31756" s="40" t="s">
        <v>11404</v>
      </c>
      <c r="F31756" s="40" t="s">
        <v>11404</v>
      </c>
      <c r="G31756" s="40" t="s">
        <v>11404</v>
      </c>
      <c r="H31756" s="40" t="s">
        <v>11404</v>
      </c>
    </row>
    <row r="31757">
      <c r="A31757" s="39"/>
      <c r="E31757" s="40" t="s">
        <v>11404</v>
      </c>
      <c r="F31757" s="40" t="s">
        <v>11404</v>
      </c>
      <c r="G31757" s="40" t="s">
        <v>11404</v>
      </c>
      <c r="H31757" s="40" t="s">
        <v>11404</v>
      </c>
    </row>
    <row r="31758">
      <c r="A31758" s="39"/>
      <c r="E31758" s="40" t="s">
        <v>11404</v>
      </c>
      <c r="F31758" s="40" t="s">
        <v>11404</v>
      </c>
      <c r="G31758" s="40" t="s">
        <v>11404</v>
      </c>
      <c r="H31758" s="40" t="s">
        <v>11404</v>
      </c>
    </row>
    <row r="31759">
      <c r="A31759" s="39"/>
      <c r="E31759" s="40" t="s">
        <v>11404</v>
      </c>
      <c r="F31759" s="40" t="s">
        <v>11404</v>
      </c>
      <c r="G31759" s="40" t="s">
        <v>11404</v>
      </c>
      <c r="H31759" s="40" t="s">
        <v>11404</v>
      </c>
    </row>
    <row r="31760">
      <c r="A31760" s="39"/>
      <c r="E31760" s="40" t="s">
        <v>11404</v>
      </c>
      <c r="F31760" s="40" t="s">
        <v>11404</v>
      </c>
      <c r="G31760" s="40" t="s">
        <v>11404</v>
      </c>
      <c r="H31760" s="40" t="s">
        <v>11404</v>
      </c>
    </row>
    <row r="31761">
      <c r="A31761" s="39"/>
      <c r="E31761" s="40" t="s">
        <v>11404</v>
      </c>
      <c r="F31761" s="40" t="s">
        <v>11404</v>
      </c>
      <c r="G31761" s="40" t="s">
        <v>11404</v>
      </c>
      <c r="H31761" s="40" t="s">
        <v>11404</v>
      </c>
    </row>
    <row r="31762">
      <c r="A31762" s="39"/>
      <c r="E31762" s="40" t="s">
        <v>11404</v>
      </c>
      <c r="F31762" s="40" t="s">
        <v>11404</v>
      </c>
      <c r="G31762" s="40" t="s">
        <v>11404</v>
      </c>
      <c r="H31762" s="40" t="s">
        <v>11404</v>
      </c>
    </row>
    <row r="31763">
      <c r="A31763" s="39"/>
      <c r="E31763" s="40" t="s">
        <v>11404</v>
      </c>
      <c r="F31763" s="40" t="s">
        <v>11404</v>
      </c>
      <c r="G31763" s="40" t="s">
        <v>11404</v>
      </c>
      <c r="H31763" s="40" t="s">
        <v>11404</v>
      </c>
    </row>
    <row r="31764">
      <c r="A31764" s="39"/>
      <c r="E31764" s="40" t="s">
        <v>11404</v>
      </c>
      <c r="F31764" s="40" t="s">
        <v>11404</v>
      </c>
      <c r="G31764" s="40" t="s">
        <v>11404</v>
      </c>
      <c r="H31764" s="40" t="s">
        <v>11404</v>
      </c>
    </row>
    <row r="31765">
      <c r="A31765" s="39"/>
      <c r="E31765" s="40" t="s">
        <v>11404</v>
      </c>
      <c r="F31765" s="40" t="s">
        <v>11404</v>
      </c>
      <c r="G31765" s="40" t="s">
        <v>11404</v>
      </c>
      <c r="H31765" s="40" t="s">
        <v>11404</v>
      </c>
    </row>
    <row r="31766">
      <c r="A31766" s="39"/>
      <c r="E31766" s="40" t="s">
        <v>11404</v>
      </c>
      <c r="F31766" s="40" t="s">
        <v>11404</v>
      </c>
      <c r="G31766" s="40" t="s">
        <v>11404</v>
      </c>
      <c r="H31766" s="40" t="s">
        <v>11404</v>
      </c>
    </row>
    <row r="31767">
      <c r="A31767" s="39"/>
      <c r="E31767" s="40" t="s">
        <v>11404</v>
      </c>
      <c r="F31767" s="40" t="s">
        <v>11404</v>
      </c>
      <c r="G31767" s="40" t="s">
        <v>11404</v>
      </c>
      <c r="H31767" s="40" t="s">
        <v>11404</v>
      </c>
    </row>
    <row r="31768">
      <c r="A31768" s="39"/>
      <c r="E31768" s="40" t="s">
        <v>11404</v>
      </c>
      <c r="F31768" s="40" t="s">
        <v>11404</v>
      </c>
      <c r="G31768" s="40" t="s">
        <v>11404</v>
      </c>
      <c r="H31768" s="40" t="s">
        <v>11404</v>
      </c>
    </row>
    <row r="31769">
      <c r="A31769" s="39"/>
      <c r="E31769" s="40" t="s">
        <v>11404</v>
      </c>
      <c r="F31769" s="40" t="s">
        <v>11404</v>
      </c>
      <c r="G31769" s="40" t="s">
        <v>11404</v>
      </c>
      <c r="H31769" s="40" t="s">
        <v>11404</v>
      </c>
    </row>
    <row r="31770">
      <c r="A31770" s="39"/>
      <c r="E31770" s="40" t="s">
        <v>11404</v>
      </c>
      <c r="F31770" s="40" t="s">
        <v>11404</v>
      </c>
      <c r="G31770" s="40" t="s">
        <v>11404</v>
      </c>
      <c r="H31770" s="40" t="s">
        <v>11404</v>
      </c>
    </row>
    <row r="31771">
      <c r="A31771" s="39"/>
      <c r="E31771" s="40" t="s">
        <v>11404</v>
      </c>
      <c r="F31771" s="40" t="s">
        <v>11404</v>
      </c>
      <c r="G31771" s="40" t="s">
        <v>11404</v>
      </c>
      <c r="H31771" s="40" t="s">
        <v>11404</v>
      </c>
    </row>
    <row r="31772">
      <c r="A31772" s="39"/>
      <c r="E31772" s="40" t="s">
        <v>11404</v>
      </c>
      <c r="F31772" s="40" t="s">
        <v>11404</v>
      </c>
      <c r="G31772" s="40" t="s">
        <v>11404</v>
      </c>
      <c r="H31772" s="40" t="s">
        <v>11404</v>
      </c>
    </row>
    <row r="31773">
      <c r="A31773" s="39"/>
      <c r="E31773" s="40" t="s">
        <v>11404</v>
      </c>
      <c r="F31773" s="40" t="s">
        <v>11404</v>
      </c>
      <c r="G31773" s="40" t="s">
        <v>11404</v>
      </c>
      <c r="H31773" s="40" t="s">
        <v>11404</v>
      </c>
    </row>
    <row r="31774">
      <c r="A31774" s="39"/>
      <c r="E31774" s="40" t="s">
        <v>11404</v>
      </c>
      <c r="F31774" s="40" t="s">
        <v>11404</v>
      </c>
      <c r="G31774" s="40" t="s">
        <v>11404</v>
      </c>
      <c r="H31774" s="40" t="s">
        <v>11404</v>
      </c>
    </row>
    <row r="31775">
      <c r="A31775" s="39"/>
      <c r="E31775" s="40" t="s">
        <v>11404</v>
      </c>
      <c r="F31775" s="40" t="s">
        <v>11404</v>
      </c>
      <c r="G31775" s="40" t="s">
        <v>11404</v>
      </c>
      <c r="H31775" s="40" t="s">
        <v>11404</v>
      </c>
    </row>
    <row r="31776">
      <c r="A31776" s="39"/>
      <c r="E31776" s="40" t="s">
        <v>11404</v>
      </c>
      <c r="F31776" s="40" t="s">
        <v>11404</v>
      </c>
      <c r="G31776" s="40" t="s">
        <v>11404</v>
      </c>
      <c r="H31776" s="40" t="s">
        <v>11404</v>
      </c>
    </row>
    <row r="31777">
      <c r="A31777" s="39"/>
      <c r="E31777" s="40" t="s">
        <v>11404</v>
      </c>
      <c r="F31777" s="40" t="s">
        <v>11404</v>
      </c>
      <c r="G31777" s="40" t="s">
        <v>11404</v>
      </c>
      <c r="H31777" s="40" t="s">
        <v>11404</v>
      </c>
    </row>
    <row r="31778">
      <c r="A31778" s="39"/>
      <c r="E31778" s="40" t="s">
        <v>11404</v>
      </c>
      <c r="F31778" s="40" t="s">
        <v>11404</v>
      </c>
      <c r="G31778" s="40" t="s">
        <v>11404</v>
      </c>
      <c r="H31778" s="40" t="s">
        <v>11404</v>
      </c>
    </row>
    <row r="31779">
      <c r="A31779" s="39"/>
      <c r="E31779" s="40" t="s">
        <v>11404</v>
      </c>
      <c r="F31779" s="40" t="s">
        <v>11404</v>
      </c>
      <c r="G31779" s="40" t="s">
        <v>11404</v>
      </c>
      <c r="H31779" s="40" t="s">
        <v>11404</v>
      </c>
    </row>
    <row r="31780">
      <c r="A31780" s="39"/>
      <c r="E31780" s="40" t="s">
        <v>11404</v>
      </c>
      <c r="F31780" s="40" t="s">
        <v>11404</v>
      </c>
      <c r="G31780" s="40" t="s">
        <v>11404</v>
      </c>
      <c r="H31780" s="40" t="s">
        <v>11404</v>
      </c>
    </row>
    <row r="31781">
      <c r="A31781" s="39"/>
      <c r="E31781" s="40" t="s">
        <v>11404</v>
      </c>
      <c r="F31781" s="40" t="s">
        <v>11404</v>
      </c>
      <c r="G31781" s="40" t="s">
        <v>11404</v>
      </c>
      <c r="H31781" s="40" t="s">
        <v>11404</v>
      </c>
    </row>
    <row r="31782">
      <c r="A31782" s="39"/>
      <c r="E31782" s="40" t="s">
        <v>11404</v>
      </c>
      <c r="F31782" s="40" t="s">
        <v>11404</v>
      </c>
      <c r="G31782" s="40" t="s">
        <v>11404</v>
      </c>
      <c r="H31782" s="40" t="s">
        <v>11404</v>
      </c>
    </row>
    <row r="31783">
      <c r="A31783" s="39"/>
      <c r="E31783" s="40" t="s">
        <v>11404</v>
      </c>
      <c r="F31783" s="40" t="s">
        <v>11404</v>
      </c>
      <c r="G31783" s="40" t="s">
        <v>11404</v>
      </c>
      <c r="H31783" s="40" t="s">
        <v>11404</v>
      </c>
    </row>
    <row r="31784">
      <c r="A31784" s="39"/>
      <c r="E31784" s="40" t="s">
        <v>11404</v>
      </c>
      <c r="F31784" s="40" t="s">
        <v>11404</v>
      </c>
      <c r="G31784" s="40" t="s">
        <v>11404</v>
      </c>
      <c r="H31784" s="40" t="s">
        <v>11404</v>
      </c>
    </row>
    <row r="31785">
      <c r="A31785" s="39"/>
      <c r="E31785" s="40" t="s">
        <v>11404</v>
      </c>
      <c r="F31785" s="40" t="s">
        <v>11404</v>
      </c>
      <c r="G31785" s="40" t="s">
        <v>11404</v>
      </c>
      <c r="H31785" s="40" t="s">
        <v>11404</v>
      </c>
    </row>
    <row r="31786">
      <c r="A31786" s="39"/>
      <c r="E31786" s="40" t="s">
        <v>11404</v>
      </c>
      <c r="F31786" s="40" t="s">
        <v>11404</v>
      </c>
      <c r="G31786" s="40" t="s">
        <v>11404</v>
      </c>
      <c r="H31786" s="40" t="s">
        <v>11404</v>
      </c>
    </row>
    <row r="31787">
      <c r="A31787" s="39"/>
      <c r="E31787" s="40" t="s">
        <v>11404</v>
      </c>
      <c r="F31787" s="40" t="s">
        <v>11404</v>
      </c>
      <c r="G31787" s="40" t="s">
        <v>11404</v>
      </c>
      <c r="H31787" s="40" t="s">
        <v>11404</v>
      </c>
    </row>
    <row r="31788">
      <c r="A31788" s="39"/>
      <c r="E31788" s="40" t="s">
        <v>11404</v>
      </c>
      <c r="F31788" s="40" t="s">
        <v>11404</v>
      </c>
      <c r="G31788" s="40" t="s">
        <v>11404</v>
      </c>
      <c r="H31788" s="40" t="s">
        <v>11404</v>
      </c>
    </row>
    <row r="31789">
      <c r="A31789" s="39"/>
      <c r="E31789" s="40" t="s">
        <v>11404</v>
      </c>
      <c r="F31789" s="40" t="s">
        <v>11404</v>
      </c>
      <c r="G31789" s="40" t="s">
        <v>11404</v>
      </c>
      <c r="H31789" s="40" t="s">
        <v>11404</v>
      </c>
    </row>
    <row r="31790">
      <c r="A31790" s="39"/>
      <c r="E31790" s="40" t="s">
        <v>11404</v>
      </c>
      <c r="F31790" s="40" t="s">
        <v>11404</v>
      </c>
      <c r="G31790" s="40" t="s">
        <v>11404</v>
      </c>
      <c r="H31790" s="40" t="s">
        <v>11404</v>
      </c>
    </row>
    <row r="31791">
      <c r="A31791" s="39"/>
      <c r="E31791" s="40" t="s">
        <v>11404</v>
      </c>
      <c r="F31791" s="40" t="s">
        <v>11404</v>
      </c>
      <c r="G31791" s="40" t="s">
        <v>11404</v>
      </c>
      <c r="H31791" s="40" t="s">
        <v>11404</v>
      </c>
    </row>
    <row r="31792">
      <c r="A31792" s="39"/>
      <c r="E31792" s="40" t="s">
        <v>11404</v>
      </c>
      <c r="F31792" s="40" t="s">
        <v>11404</v>
      </c>
      <c r="G31792" s="40" t="s">
        <v>11404</v>
      </c>
      <c r="H31792" s="40" t="s">
        <v>11404</v>
      </c>
    </row>
    <row r="31793">
      <c r="A31793" s="39"/>
      <c r="E31793" s="40" t="s">
        <v>11404</v>
      </c>
      <c r="F31793" s="40" t="s">
        <v>11404</v>
      </c>
      <c r="G31793" s="40" t="s">
        <v>11404</v>
      </c>
      <c r="H31793" s="40" t="s">
        <v>11404</v>
      </c>
    </row>
    <row r="31794">
      <c r="A31794" s="39"/>
      <c r="E31794" s="40" t="s">
        <v>11404</v>
      </c>
      <c r="F31794" s="40" t="s">
        <v>11404</v>
      </c>
      <c r="G31794" s="40" t="s">
        <v>11404</v>
      </c>
      <c r="H31794" s="40" t="s">
        <v>11404</v>
      </c>
    </row>
    <row r="31795">
      <c r="A31795" s="39"/>
      <c r="E31795" s="40" t="s">
        <v>11404</v>
      </c>
      <c r="F31795" s="40" t="s">
        <v>11404</v>
      </c>
      <c r="G31795" s="40" t="s">
        <v>11404</v>
      </c>
      <c r="H31795" s="40" t="s">
        <v>11404</v>
      </c>
    </row>
    <row r="31796">
      <c r="A31796" s="39"/>
      <c r="E31796" s="40" t="s">
        <v>11404</v>
      </c>
      <c r="F31796" s="40" t="s">
        <v>11404</v>
      </c>
      <c r="G31796" s="40" t="s">
        <v>11404</v>
      </c>
      <c r="H31796" s="40" t="s">
        <v>11404</v>
      </c>
    </row>
    <row r="31797">
      <c r="A31797" s="39"/>
      <c r="E31797" s="40" t="s">
        <v>11404</v>
      </c>
      <c r="F31797" s="40" t="s">
        <v>11404</v>
      </c>
      <c r="G31797" s="40" t="s">
        <v>11404</v>
      </c>
      <c r="H31797" s="40" t="s">
        <v>11404</v>
      </c>
    </row>
    <row r="31798">
      <c r="A31798" s="39"/>
      <c r="E31798" s="40" t="s">
        <v>11404</v>
      </c>
      <c r="F31798" s="40" t="s">
        <v>11404</v>
      </c>
      <c r="G31798" s="40" t="s">
        <v>11404</v>
      </c>
      <c r="H31798" s="40" t="s">
        <v>11404</v>
      </c>
    </row>
    <row r="31799">
      <c r="A31799" s="39"/>
      <c r="E31799" s="40" t="s">
        <v>11404</v>
      </c>
      <c r="F31799" s="40" t="s">
        <v>11404</v>
      </c>
      <c r="G31799" s="40" t="s">
        <v>11404</v>
      </c>
      <c r="H31799" s="40" t="s">
        <v>11404</v>
      </c>
    </row>
    <row r="31800">
      <c r="A31800" s="39"/>
      <c r="E31800" s="40" t="s">
        <v>11404</v>
      </c>
      <c r="F31800" s="40" t="s">
        <v>11404</v>
      </c>
      <c r="G31800" s="40" t="s">
        <v>11404</v>
      </c>
      <c r="H31800" s="40" t="s">
        <v>11404</v>
      </c>
    </row>
    <row r="31801">
      <c r="A31801" s="39"/>
      <c r="E31801" s="40" t="s">
        <v>11404</v>
      </c>
      <c r="F31801" s="40" t="s">
        <v>11404</v>
      </c>
      <c r="G31801" s="40" t="s">
        <v>11404</v>
      </c>
      <c r="H31801" s="40" t="s">
        <v>11404</v>
      </c>
    </row>
    <row r="31802">
      <c r="A31802" s="39"/>
      <c r="E31802" s="40" t="s">
        <v>11404</v>
      </c>
      <c r="F31802" s="40" t="s">
        <v>11404</v>
      </c>
      <c r="G31802" s="40" t="s">
        <v>11404</v>
      </c>
      <c r="H31802" s="40" t="s">
        <v>11404</v>
      </c>
    </row>
    <row r="31803">
      <c r="A31803" s="39"/>
      <c r="E31803" s="40" t="s">
        <v>11404</v>
      </c>
      <c r="F31803" s="40" t="s">
        <v>11404</v>
      </c>
      <c r="G31803" s="40" t="s">
        <v>11404</v>
      </c>
      <c r="H31803" s="40" t="s">
        <v>11404</v>
      </c>
    </row>
    <row r="31804">
      <c r="A31804" s="39"/>
      <c r="E31804" s="40" t="s">
        <v>11404</v>
      </c>
      <c r="F31804" s="40" t="s">
        <v>11404</v>
      </c>
      <c r="G31804" s="40" t="s">
        <v>11404</v>
      </c>
      <c r="H31804" s="40" t="s">
        <v>11404</v>
      </c>
    </row>
    <row r="31805">
      <c r="A31805" s="39"/>
      <c r="E31805" s="40" t="s">
        <v>11404</v>
      </c>
      <c r="F31805" s="40" t="s">
        <v>11404</v>
      </c>
      <c r="G31805" s="40" t="s">
        <v>11404</v>
      </c>
      <c r="H31805" s="40" t="s">
        <v>11404</v>
      </c>
    </row>
    <row r="31806">
      <c r="A31806" s="39"/>
      <c r="E31806" s="40" t="s">
        <v>11404</v>
      </c>
      <c r="F31806" s="40" t="s">
        <v>11404</v>
      </c>
      <c r="G31806" s="40" t="s">
        <v>11404</v>
      </c>
      <c r="H31806" s="40" t="s">
        <v>11404</v>
      </c>
    </row>
    <row r="31807">
      <c r="A31807" s="39"/>
      <c r="E31807" s="40" t="s">
        <v>11404</v>
      </c>
      <c r="F31807" s="40" t="s">
        <v>11404</v>
      </c>
      <c r="G31807" s="40" t="s">
        <v>11404</v>
      </c>
      <c r="H31807" s="40" t="s">
        <v>11404</v>
      </c>
    </row>
    <row r="31808">
      <c r="A31808" s="39"/>
      <c r="E31808" s="40" t="s">
        <v>11404</v>
      </c>
      <c r="F31808" s="40" t="s">
        <v>11404</v>
      </c>
      <c r="G31808" s="40" t="s">
        <v>11404</v>
      </c>
      <c r="H31808" s="40" t="s">
        <v>11404</v>
      </c>
    </row>
    <row r="31809">
      <c r="A31809" s="39"/>
      <c r="E31809" s="40" t="s">
        <v>11404</v>
      </c>
      <c r="F31809" s="40" t="s">
        <v>11404</v>
      </c>
      <c r="G31809" s="40" t="s">
        <v>11404</v>
      </c>
      <c r="H31809" s="40" t="s">
        <v>11404</v>
      </c>
    </row>
    <row r="31810">
      <c r="A31810" s="39"/>
      <c r="E31810" s="40" t="s">
        <v>11404</v>
      </c>
      <c r="F31810" s="40" t="s">
        <v>11404</v>
      </c>
      <c r="G31810" s="40" t="s">
        <v>11404</v>
      </c>
      <c r="H31810" s="40" t="s">
        <v>11404</v>
      </c>
    </row>
    <row r="31811">
      <c r="A31811" s="39"/>
      <c r="E31811" s="40" t="s">
        <v>11404</v>
      </c>
      <c r="F31811" s="40" t="s">
        <v>11404</v>
      </c>
      <c r="G31811" s="40" t="s">
        <v>11404</v>
      </c>
      <c r="H31811" s="40" t="s">
        <v>11404</v>
      </c>
    </row>
    <row r="31812">
      <c r="A31812" s="39"/>
      <c r="E31812" s="40" t="s">
        <v>11404</v>
      </c>
      <c r="F31812" s="40" t="s">
        <v>11404</v>
      </c>
      <c r="G31812" s="40" t="s">
        <v>11404</v>
      </c>
      <c r="H31812" s="40" t="s">
        <v>11404</v>
      </c>
    </row>
    <row r="31813">
      <c r="A31813" s="39"/>
      <c r="E31813" s="40" t="s">
        <v>11404</v>
      </c>
      <c r="F31813" s="40" t="s">
        <v>11404</v>
      </c>
      <c r="G31813" s="40" t="s">
        <v>11404</v>
      </c>
      <c r="H31813" s="40" t="s">
        <v>11404</v>
      </c>
    </row>
    <row r="31814">
      <c r="A31814" s="39"/>
      <c r="E31814" s="40" t="s">
        <v>11404</v>
      </c>
      <c r="F31814" s="40" t="s">
        <v>11404</v>
      </c>
      <c r="G31814" s="40" t="s">
        <v>11404</v>
      </c>
      <c r="H31814" s="40" t="s">
        <v>11404</v>
      </c>
    </row>
    <row r="31815">
      <c r="A31815" s="39"/>
      <c r="E31815" s="40" t="s">
        <v>11404</v>
      </c>
      <c r="F31815" s="40" t="s">
        <v>11404</v>
      </c>
      <c r="G31815" s="40" t="s">
        <v>11404</v>
      </c>
      <c r="H31815" s="40" t="s">
        <v>11404</v>
      </c>
    </row>
    <row r="31816">
      <c r="A31816" s="39"/>
      <c r="E31816" s="40" t="s">
        <v>11404</v>
      </c>
      <c r="F31816" s="40" t="s">
        <v>11404</v>
      </c>
      <c r="G31816" s="40" t="s">
        <v>11404</v>
      </c>
      <c r="H31816" s="40" t="s">
        <v>11404</v>
      </c>
    </row>
    <row r="31817">
      <c r="A31817" s="39"/>
      <c r="E31817" s="40" t="s">
        <v>11404</v>
      </c>
      <c r="F31817" s="40" t="s">
        <v>11404</v>
      </c>
      <c r="G31817" s="40" t="s">
        <v>11404</v>
      </c>
      <c r="H31817" s="40" t="s">
        <v>11404</v>
      </c>
    </row>
    <row r="31818">
      <c r="A31818" s="39"/>
      <c r="E31818" s="40" t="s">
        <v>11404</v>
      </c>
      <c r="F31818" s="40" t="s">
        <v>11404</v>
      </c>
      <c r="G31818" s="40" t="s">
        <v>11404</v>
      </c>
      <c r="H31818" s="40" t="s">
        <v>11404</v>
      </c>
    </row>
    <row r="31819">
      <c r="A31819" s="39"/>
      <c r="E31819" s="40" t="s">
        <v>11404</v>
      </c>
      <c r="F31819" s="40" t="s">
        <v>11404</v>
      </c>
      <c r="G31819" s="40" t="s">
        <v>11404</v>
      </c>
      <c r="H31819" s="40" t="s">
        <v>11404</v>
      </c>
    </row>
    <row r="31820">
      <c r="A31820" s="39"/>
      <c r="E31820" s="40" t="s">
        <v>11404</v>
      </c>
      <c r="F31820" s="40" t="s">
        <v>11404</v>
      </c>
      <c r="G31820" s="40" t="s">
        <v>11404</v>
      </c>
      <c r="H31820" s="40" t="s">
        <v>11404</v>
      </c>
    </row>
    <row r="31821">
      <c r="A31821" s="39"/>
      <c r="E31821" s="40" t="s">
        <v>11404</v>
      </c>
      <c r="F31821" s="40" t="s">
        <v>11404</v>
      </c>
      <c r="G31821" s="40" t="s">
        <v>11404</v>
      </c>
      <c r="H31821" s="40" t="s">
        <v>11404</v>
      </c>
    </row>
    <row r="31822">
      <c r="A31822" s="39"/>
      <c r="E31822" s="40" t="s">
        <v>11404</v>
      </c>
      <c r="F31822" s="40" t="s">
        <v>11404</v>
      </c>
      <c r="G31822" s="40" t="s">
        <v>11404</v>
      </c>
      <c r="H31822" s="40" t="s">
        <v>11404</v>
      </c>
    </row>
    <row r="31823">
      <c r="A31823" s="39"/>
      <c r="E31823" s="40" t="s">
        <v>11404</v>
      </c>
      <c r="F31823" s="40" t="s">
        <v>11404</v>
      </c>
      <c r="G31823" s="40" t="s">
        <v>11404</v>
      </c>
      <c r="H31823" s="40" t="s">
        <v>11404</v>
      </c>
    </row>
    <row r="31824">
      <c r="A31824" s="39"/>
      <c r="E31824" s="40" t="s">
        <v>11404</v>
      </c>
      <c r="F31824" s="40" t="s">
        <v>11404</v>
      </c>
      <c r="G31824" s="40" t="s">
        <v>11404</v>
      </c>
      <c r="H31824" s="40" t="s">
        <v>11404</v>
      </c>
    </row>
    <row r="31825">
      <c r="A31825" s="39"/>
      <c r="E31825" s="40" t="s">
        <v>11404</v>
      </c>
      <c r="F31825" s="40" t="s">
        <v>11404</v>
      </c>
      <c r="G31825" s="40" t="s">
        <v>11404</v>
      </c>
      <c r="H31825" s="40" t="s">
        <v>11404</v>
      </c>
    </row>
    <row r="31826">
      <c r="A31826" s="39"/>
      <c r="E31826" s="40" t="s">
        <v>11404</v>
      </c>
      <c r="F31826" s="40" t="s">
        <v>11404</v>
      </c>
      <c r="G31826" s="40" t="s">
        <v>11404</v>
      </c>
      <c r="H31826" s="40" t="s">
        <v>11404</v>
      </c>
    </row>
    <row r="31827">
      <c r="A31827" s="39"/>
      <c r="E31827" s="40" t="s">
        <v>11404</v>
      </c>
      <c r="F31827" s="40" t="s">
        <v>11404</v>
      </c>
      <c r="G31827" s="40" t="s">
        <v>11404</v>
      </c>
      <c r="H31827" s="40" t="s">
        <v>11404</v>
      </c>
    </row>
    <row r="31828">
      <c r="A31828" s="39"/>
      <c r="E31828" s="40" t="s">
        <v>11404</v>
      </c>
      <c r="F31828" s="40" t="s">
        <v>11404</v>
      </c>
      <c r="G31828" s="40" t="s">
        <v>11404</v>
      </c>
      <c r="H31828" s="40" t="s">
        <v>11404</v>
      </c>
    </row>
    <row r="31829">
      <c r="A31829" s="39"/>
      <c r="E31829" s="40" t="s">
        <v>11404</v>
      </c>
      <c r="F31829" s="40" t="s">
        <v>11404</v>
      </c>
      <c r="G31829" s="40" t="s">
        <v>11404</v>
      </c>
      <c r="H31829" s="40" t="s">
        <v>11404</v>
      </c>
    </row>
    <row r="31830">
      <c r="A31830" s="39"/>
      <c r="E31830" s="40" t="s">
        <v>11404</v>
      </c>
      <c r="F31830" s="40" t="s">
        <v>11404</v>
      </c>
      <c r="G31830" s="40" t="s">
        <v>11404</v>
      </c>
      <c r="H31830" s="40" t="s">
        <v>11404</v>
      </c>
    </row>
    <row r="31831">
      <c r="A31831" s="39"/>
      <c r="E31831" s="40" t="s">
        <v>11404</v>
      </c>
      <c r="F31831" s="40" t="s">
        <v>11404</v>
      </c>
      <c r="G31831" s="40" t="s">
        <v>11404</v>
      </c>
      <c r="H31831" s="40" t="s">
        <v>11404</v>
      </c>
    </row>
    <row r="31832">
      <c r="A31832" s="39"/>
      <c r="E31832" s="40" t="s">
        <v>11404</v>
      </c>
      <c r="F31832" s="40" t="s">
        <v>11404</v>
      </c>
      <c r="G31832" s="40" t="s">
        <v>11404</v>
      </c>
      <c r="H31832" s="40" t="s">
        <v>11404</v>
      </c>
    </row>
    <row r="31833">
      <c r="A31833" s="39"/>
      <c r="E31833" s="40" t="s">
        <v>11404</v>
      </c>
      <c r="F31833" s="40" t="s">
        <v>11404</v>
      </c>
      <c r="G31833" s="40" t="s">
        <v>11404</v>
      </c>
      <c r="H31833" s="40" t="s">
        <v>11404</v>
      </c>
    </row>
    <row r="31834">
      <c r="A31834" s="39"/>
      <c r="E31834" s="40" t="s">
        <v>11404</v>
      </c>
      <c r="F31834" s="40" t="s">
        <v>11404</v>
      </c>
      <c r="G31834" s="40" t="s">
        <v>11404</v>
      </c>
      <c r="H31834" s="40" t="s">
        <v>11404</v>
      </c>
    </row>
    <row r="31835">
      <c r="A31835" s="39"/>
      <c r="E31835" s="40" t="s">
        <v>11404</v>
      </c>
      <c r="F31835" s="40" t="s">
        <v>11404</v>
      </c>
      <c r="G31835" s="40" t="s">
        <v>11404</v>
      </c>
      <c r="H31835" s="40" t="s">
        <v>11404</v>
      </c>
    </row>
    <row r="31836">
      <c r="A31836" s="39"/>
      <c r="E31836" s="40" t="s">
        <v>11404</v>
      </c>
      <c r="F31836" s="40" t="s">
        <v>11404</v>
      </c>
      <c r="G31836" s="40" t="s">
        <v>11404</v>
      </c>
      <c r="H31836" s="40" t="s">
        <v>11404</v>
      </c>
    </row>
    <row r="31837">
      <c r="A31837" s="39"/>
      <c r="E31837" s="40" t="s">
        <v>11404</v>
      </c>
      <c r="F31837" s="40" t="s">
        <v>11404</v>
      </c>
      <c r="G31837" s="40" t="s">
        <v>11404</v>
      </c>
      <c r="H31837" s="40" t="s">
        <v>11404</v>
      </c>
    </row>
    <row r="31838">
      <c r="A31838" s="39"/>
      <c r="E31838" s="40" t="s">
        <v>11404</v>
      </c>
      <c r="F31838" s="40" t="s">
        <v>11404</v>
      </c>
      <c r="G31838" s="40" t="s">
        <v>11404</v>
      </c>
      <c r="H31838" s="40" t="s">
        <v>11404</v>
      </c>
    </row>
    <row r="31839">
      <c r="A31839" s="39"/>
      <c r="E31839" s="40" t="s">
        <v>11404</v>
      </c>
      <c r="F31839" s="40" t="s">
        <v>11404</v>
      </c>
      <c r="G31839" s="40" t="s">
        <v>11404</v>
      </c>
      <c r="H31839" s="40" t="s">
        <v>11404</v>
      </c>
    </row>
    <row r="31840">
      <c r="A31840" s="39"/>
      <c r="E31840" s="40" t="s">
        <v>11404</v>
      </c>
      <c r="F31840" s="40" t="s">
        <v>11404</v>
      </c>
      <c r="G31840" s="40" t="s">
        <v>11404</v>
      </c>
      <c r="H31840" s="40" t="s">
        <v>11404</v>
      </c>
    </row>
    <row r="31841">
      <c r="A31841" s="39"/>
      <c r="E31841" s="40" t="s">
        <v>11404</v>
      </c>
      <c r="F31841" s="40" t="s">
        <v>11404</v>
      </c>
      <c r="G31841" s="40" t="s">
        <v>11404</v>
      </c>
      <c r="H31841" s="40" t="s">
        <v>11404</v>
      </c>
    </row>
    <row r="31842">
      <c r="A31842" s="39"/>
      <c r="E31842" s="40" t="s">
        <v>11404</v>
      </c>
      <c r="F31842" s="40" t="s">
        <v>11404</v>
      </c>
      <c r="G31842" s="40" t="s">
        <v>11404</v>
      </c>
      <c r="H31842" s="40" t="s">
        <v>11404</v>
      </c>
    </row>
    <row r="31843">
      <c r="A31843" s="39"/>
      <c r="E31843" s="40" t="s">
        <v>11404</v>
      </c>
      <c r="F31843" s="40" t="s">
        <v>11404</v>
      </c>
      <c r="G31843" s="40" t="s">
        <v>11404</v>
      </c>
      <c r="H31843" s="40" t="s">
        <v>11404</v>
      </c>
    </row>
    <row r="31844">
      <c r="A31844" s="39"/>
      <c r="E31844" s="40" t="s">
        <v>11404</v>
      </c>
      <c r="F31844" s="40" t="s">
        <v>11404</v>
      </c>
      <c r="G31844" s="40" t="s">
        <v>11404</v>
      </c>
      <c r="H31844" s="40" t="s">
        <v>11404</v>
      </c>
    </row>
    <row r="31845">
      <c r="A31845" s="39"/>
      <c r="E31845" s="40" t="s">
        <v>11404</v>
      </c>
      <c r="F31845" s="40" t="s">
        <v>11404</v>
      </c>
      <c r="G31845" s="40" t="s">
        <v>11404</v>
      </c>
      <c r="H31845" s="40" t="s">
        <v>11404</v>
      </c>
    </row>
    <row r="31846">
      <c r="A31846" s="39"/>
      <c r="E31846" s="40" t="s">
        <v>11404</v>
      </c>
      <c r="F31846" s="40" t="s">
        <v>11404</v>
      </c>
      <c r="G31846" s="40" t="s">
        <v>11404</v>
      </c>
      <c r="H31846" s="40" t="s">
        <v>11404</v>
      </c>
    </row>
    <row r="31847">
      <c r="A31847" s="39"/>
      <c r="E31847" s="40" t="s">
        <v>11404</v>
      </c>
      <c r="F31847" s="40" t="s">
        <v>11404</v>
      </c>
      <c r="G31847" s="40" t="s">
        <v>11404</v>
      </c>
      <c r="H31847" s="40" t="s">
        <v>11404</v>
      </c>
    </row>
    <row r="31848">
      <c r="A31848" s="39"/>
      <c r="E31848" s="40" t="s">
        <v>11404</v>
      </c>
      <c r="F31848" s="40" t="s">
        <v>11404</v>
      </c>
      <c r="G31848" s="40" t="s">
        <v>11404</v>
      </c>
      <c r="H31848" s="40" t="s">
        <v>11404</v>
      </c>
    </row>
    <row r="31849">
      <c r="A31849" s="39"/>
      <c r="E31849" s="40" t="s">
        <v>11404</v>
      </c>
      <c r="F31849" s="40" t="s">
        <v>11404</v>
      </c>
      <c r="G31849" s="40" t="s">
        <v>11404</v>
      </c>
      <c r="H31849" s="40" t="s">
        <v>11404</v>
      </c>
    </row>
    <row r="31850">
      <c r="A31850" s="39"/>
      <c r="E31850" s="40" t="s">
        <v>11404</v>
      </c>
      <c r="F31850" s="40" t="s">
        <v>11404</v>
      </c>
      <c r="G31850" s="40" t="s">
        <v>11404</v>
      </c>
      <c r="H31850" s="40" t="s">
        <v>11404</v>
      </c>
    </row>
    <row r="31851">
      <c r="A31851" s="39"/>
      <c r="E31851" s="40" t="s">
        <v>11404</v>
      </c>
      <c r="F31851" s="40" t="s">
        <v>11404</v>
      </c>
      <c r="G31851" s="40" t="s">
        <v>11404</v>
      </c>
      <c r="H31851" s="40" t="s">
        <v>11404</v>
      </c>
    </row>
    <row r="31852">
      <c r="A31852" s="39"/>
      <c r="E31852" s="40" t="s">
        <v>11404</v>
      </c>
      <c r="F31852" s="40" t="s">
        <v>11404</v>
      </c>
      <c r="G31852" s="40" t="s">
        <v>11404</v>
      </c>
      <c r="H31852" s="40" t="s">
        <v>11404</v>
      </c>
    </row>
    <row r="31853">
      <c r="A31853" s="39"/>
      <c r="E31853" s="40" t="s">
        <v>11404</v>
      </c>
      <c r="F31853" s="40" t="s">
        <v>11404</v>
      </c>
      <c r="G31853" s="40" t="s">
        <v>11404</v>
      </c>
      <c r="H31853" s="40" t="s">
        <v>11404</v>
      </c>
    </row>
    <row r="31854">
      <c r="A31854" s="39"/>
      <c r="E31854" s="40" t="s">
        <v>11404</v>
      </c>
      <c r="F31854" s="40" t="s">
        <v>11404</v>
      </c>
      <c r="G31854" s="40" t="s">
        <v>11404</v>
      </c>
      <c r="H31854" s="40" t="s">
        <v>11404</v>
      </c>
    </row>
    <row r="31855">
      <c r="A31855" s="39"/>
      <c r="E31855" s="40" t="s">
        <v>11404</v>
      </c>
      <c r="F31855" s="40" t="s">
        <v>11404</v>
      </c>
      <c r="G31855" s="40" t="s">
        <v>11404</v>
      </c>
      <c r="H31855" s="40" t="s">
        <v>11404</v>
      </c>
    </row>
    <row r="31856">
      <c r="A31856" s="39"/>
      <c r="E31856" s="40" t="s">
        <v>11404</v>
      </c>
      <c r="F31856" s="40" t="s">
        <v>11404</v>
      </c>
      <c r="G31856" s="40" t="s">
        <v>11404</v>
      </c>
      <c r="H31856" s="40" t="s">
        <v>11404</v>
      </c>
    </row>
    <row r="31857">
      <c r="A31857" s="39"/>
      <c r="E31857" s="40" t="s">
        <v>11404</v>
      </c>
      <c r="F31857" s="40" t="s">
        <v>11404</v>
      </c>
      <c r="G31857" s="40" t="s">
        <v>11404</v>
      </c>
      <c r="H31857" s="40" t="s">
        <v>11404</v>
      </c>
    </row>
    <row r="31858">
      <c r="A31858" s="39"/>
      <c r="E31858" s="40" t="s">
        <v>11404</v>
      </c>
      <c r="F31858" s="40" t="s">
        <v>11404</v>
      </c>
      <c r="G31858" s="40" t="s">
        <v>11404</v>
      </c>
      <c r="H31858" s="40" t="s">
        <v>11404</v>
      </c>
    </row>
    <row r="31859">
      <c r="A31859" s="39"/>
      <c r="E31859" s="40" t="s">
        <v>11404</v>
      </c>
      <c r="F31859" s="40" t="s">
        <v>11404</v>
      </c>
      <c r="G31859" s="40" t="s">
        <v>11404</v>
      </c>
      <c r="H31859" s="40" t="s">
        <v>11404</v>
      </c>
    </row>
    <row r="31860">
      <c r="A31860" s="39"/>
      <c r="E31860" s="40" t="s">
        <v>11404</v>
      </c>
      <c r="F31860" s="40" t="s">
        <v>11404</v>
      </c>
      <c r="G31860" s="40" t="s">
        <v>11404</v>
      </c>
      <c r="H31860" s="40" t="s">
        <v>11404</v>
      </c>
    </row>
    <row r="31861">
      <c r="A31861" s="39"/>
      <c r="E31861" s="40" t="s">
        <v>11404</v>
      </c>
      <c r="F31861" s="40" t="s">
        <v>11404</v>
      </c>
      <c r="G31861" s="40" t="s">
        <v>11404</v>
      </c>
      <c r="H31861" s="40" t="s">
        <v>11404</v>
      </c>
    </row>
    <row r="31862">
      <c r="A31862" s="39"/>
      <c r="E31862" s="40" t="s">
        <v>11404</v>
      </c>
      <c r="F31862" s="40" t="s">
        <v>11404</v>
      </c>
      <c r="G31862" s="40" t="s">
        <v>11404</v>
      </c>
      <c r="H31862" s="40" t="s">
        <v>11404</v>
      </c>
    </row>
    <row r="31863">
      <c r="A31863" s="39"/>
      <c r="E31863" s="40" t="s">
        <v>11404</v>
      </c>
      <c r="F31863" s="40" t="s">
        <v>11404</v>
      </c>
      <c r="G31863" s="40" t="s">
        <v>11404</v>
      </c>
      <c r="H31863" s="40" t="s">
        <v>11404</v>
      </c>
    </row>
    <row r="31864">
      <c r="A31864" s="39"/>
      <c r="E31864" s="40" t="s">
        <v>11404</v>
      </c>
      <c r="F31864" s="40" t="s">
        <v>11404</v>
      </c>
      <c r="G31864" s="40" t="s">
        <v>11404</v>
      </c>
      <c r="H31864" s="40" t="s">
        <v>11404</v>
      </c>
    </row>
    <row r="31865">
      <c r="A31865" s="39"/>
      <c r="E31865" s="40" t="s">
        <v>11404</v>
      </c>
      <c r="F31865" s="40" t="s">
        <v>11404</v>
      </c>
      <c r="G31865" s="40" t="s">
        <v>11404</v>
      </c>
      <c r="H31865" s="40" t="s">
        <v>11404</v>
      </c>
    </row>
    <row r="31866">
      <c r="A31866" s="39"/>
      <c r="E31866" s="40" t="s">
        <v>11404</v>
      </c>
      <c r="F31866" s="40" t="s">
        <v>11404</v>
      </c>
      <c r="G31866" s="40" t="s">
        <v>11404</v>
      </c>
      <c r="H31866" s="40" t="s">
        <v>11404</v>
      </c>
    </row>
    <row r="31867">
      <c r="A31867" s="39"/>
      <c r="E31867" s="40" t="s">
        <v>11404</v>
      </c>
      <c r="F31867" s="40" t="s">
        <v>11404</v>
      </c>
      <c r="G31867" s="40" t="s">
        <v>11404</v>
      </c>
      <c r="H31867" s="40" t="s">
        <v>11404</v>
      </c>
    </row>
    <row r="31868">
      <c r="A31868" s="39"/>
      <c r="E31868" s="40" t="s">
        <v>11404</v>
      </c>
      <c r="F31868" s="40" t="s">
        <v>11404</v>
      </c>
      <c r="G31868" s="40" t="s">
        <v>11404</v>
      </c>
      <c r="H31868" s="40" t="s">
        <v>11404</v>
      </c>
    </row>
    <row r="31869">
      <c r="A31869" s="39"/>
      <c r="E31869" s="40" t="s">
        <v>11404</v>
      </c>
      <c r="F31869" s="40" t="s">
        <v>11404</v>
      </c>
      <c r="G31869" s="40" t="s">
        <v>11404</v>
      </c>
      <c r="H31869" s="40" t="s">
        <v>11404</v>
      </c>
    </row>
    <row r="31870">
      <c r="A31870" s="39"/>
      <c r="E31870" s="40" t="s">
        <v>11404</v>
      </c>
      <c r="F31870" s="40" t="s">
        <v>11404</v>
      </c>
      <c r="G31870" s="40" t="s">
        <v>11404</v>
      </c>
      <c r="H31870" s="40" t="s">
        <v>11404</v>
      </c>
    </row>
    <row r="31871">
      <c r="A31871" s="39"/>
      <c r="E31871" s="40" t="s">
        <v>11404</v>
      </c>
      <c r="F31871" s="40" t="s">
        <v>11404</v>
      </c>
      <c r="G31871" s="40" t="s">
        <v>11404</v>
      </c>
      <c r="H31871" s="40" t="s">
        <v>11404</v>
      </c>
    </row>
    <row r="31872">
      <c r="A31872" s="39"/>
      <c r="E31872" s="40" t="s">
        <v>11404</v>
      </c>
      <c r="F31872" s="40" t="s">
        <v>11404</v>
      </c>
      <c r="G31872" s="40" t="s">
        <v>11404</v>
      </c>
      <c r="H31872" s="40" t="s">
        <v>11404</v>
      </c>
    </row>
    <row r="31873">
      <c r="A31873" s="39"/>
      <c r="E31873" s="40" t="s">
        <v>11404</v>
      </c>
      <c r="F31873" s="40" t="s">
        <v>11404</v>
      </c>
      <c r="G31873" s="40" t="s">
        <v>11404</v>
      </c>
      <c r="H31873" s="40" t="s">
        <v>11404</v>
      </c>
    </row>
    <row r="31874">
      <c r="A31874" s="39"/>
      <c r="E31874" s="40" t="s">
        <v>11404</v>
      </c>
      <c r="F31874" s="40" t="s">
        <v>11404</v>
      </c>
      <c r="G31874" s="40" t="s">
        <v>11404</v>
      </c>
      <c r="H31874" s="40" t="s">
        <v>11404</v>
      </c>
    </row>
    <row r="31875">
      <c r="A31875" s="39"/>
      <c r="E31875" s="40" t="s">
        <v>11404</v>
      </c>
      <c r="F31875" s="40" t="s">
        <v>11404</v>
      </c>
      <c r="G31875" s="40" t="s">
        <v>11404</v>
      </c>
      <c r="H31875" s="40" t="s">
        <v>11404</v>
      </c>
    </row>
    <row r="31876">
      <c r="A31876" s="39"/>
      <c r="E31876" s="40" t="s">
        <v>11404</v>
      </c>
      <c r="F31876" s="40" t="s">
        <v>11404</v>
      </c>
      <c r="G31876" s="40" t="s">
        <v>11404</v>
      </c>
      <c r="H31876" s="40" t="s">
        <v>11404</v>
      </c>
    </row>
    <row r="31877">
      <c r="A31877" s="39"/>
      <c r="E31877" s="40" t="s">
        <v>11404</v>
      </c>
      <c r="F31877" s="40" t="s">
        <v>11404</v>
      </c>
      <c r="G31877" s="40" t="s">
        <v>11404</v>
      </c>
      <c r="H31877" s="40" t="s">
        <v>11404</v>
      </c>
    </row>
    <row r="31878">
      <c r="A31878" s="39"/>
      <c r="E31878" s="40" t="s">
        <v>11404</v>
      </c>
      <c r="F31878" s="40" t="s">
        <v>11404</v>
      </c>
      <c r="G31878" s="40" t="s">
        <v>11404</v>
      </c>
      <c r="H31878" s="40" t="s">
        <v>11404</v>
      </c>
    </row>
    <row r="31879">
      <c r="A31879" s="39"/>
      <c r="E31879" s="40" t="s">
        <v>11404</v>
      </c>
      <c r="F31879" s="40" t="s">
        <v>11404</v>
      </c>
      <c r="G31879" s="40" t="s">
        <v>11404</v>
      </c>
      <c r="H31879" s="40" t="s">
        <v>11404</v>
      </c>
    </row>
    <row r="31880">
      <c r="A31880" s="39"/>
      <c r="E31880" s="40" t="s">
        <v>11404</v>
      </c>
      <c r="F31880" s="40" t="s">
        <v>11404</v>
      </c>
      <c r="G31880" s="40" t="s">
        <v>11404</v>
      </c>
      <c r="H31880" s="40" t="s">
        <v>11404</v>
      </c>
    </row>
    <row r="31881">
      <c r="A31881" s="39"/>
      <c r="E31881" s="40" t="s">
        <v>11404</v>
      </c>
      <c r="F31881" s="40" t="s">
        <v>11404</v>
      </c>
      <c r="G31881" s="40" t="s">
        <v>11404</v>
      </c>
      <c r="H31881" s="40" t="s">
        <v>11404</v>
      </c>
    </row>
    <row r="31882">
      <c r="A31882" s="39"/>
      <c r="E31882" s="40" t="s">
        <v>11404</v>
      </c>
      <c r="F31882" s="40" t="s">
        <v>11404</v>
      </c>
      <c r="G31882" s="40" t="s">
        <v>11404</v>
      </c>
      <c r="H31882" s="40" t="s">
        <v>11404</v>
      </c>
    </row>
    <row r="31883">
      <c r="A31883" s="39"/>
      <c r="E31883" s="40" t="s">
        <v>11404</v>
      </c>
      <c r="F31883" s="40" t="s">
        <v>11404</v>
      </c>
      <c r="G31883" s="40" t="s">
        <v>11404</v>
      </c>
      <c r="H31883" s="40" t="s">
        <v>11404</v>
      </c>
    </row>
    <row r="31884">
      <c r="A31884" s="39"/>
      <c r="E31884" s="40" t="s">
        <v>11404</v>
      </c>
      <c r="F31884" s="40" t="s">
        <v>11404</v>
      </c>
      <c r="G31884" s="40" t="s">
        <v>11404</v>
      </c>
      <c r="H31884" s="40" t="s">
        <v>11404</v>
      </c>
    </row>
    <row r="31885">
      <c r="A31885" s="39"/>
      <c r="E31885" s="40" t="s">
        <v>11404</v>
      </c>
      <c r="F31885" s="40" t="s">
        <v>11404</v>
      </c>
      <c r="G31885" s="40" t="s">
        <v>11404</v>
      </c>
      <c r="H31885" s="40" t="s">
        <v>11404</v>
      </c>
    </row>
    <row r="31886">
      <c r="A31886" s="39"/>
      <c r="E31886" s="40" t="s">
        <v>11404</v>
      </c>
      <c r="F31886" s="40" t="s">
        <v>11404</v>
      </c>
      <c r="G31886" s="40" t="s">
        <v>11404</v>
      </c>
      <c r="H31886" s="40" t="s">
        <v>11404</v>
      </c>
    </row>
    <row r="31887">
      <c r="A31887" s="39"/>
      <c r="E31887" s="40" t="s">
        <v>11404</v>
      </c>
      <c r="F31887" s="40" t="s">
        <v>11404</v>
      </c>
      <c r="G31887" s="40" t="s">
        <v>11404</v>
      </c>
      <c r="H31887" s="40" t="s">
        <v>11404</v>
      </c>
    </row>
    <row r="31888">
      <c r="A31888" s="39"/>
      <c r="E31888" s="40" t="s">
        <v>11404</v>
      </c>
      <c r="F31888" s="40" t="s">
        <v>11404</v>
      </c>
      <c r="G31888" s="40" t="s">
        <v>11404</v>
      </c>
      <c r="H31888" s="40" t="s">
        <v>11404</v>
      </c>
    </row>
    <row r="31889">
      <c r="A31889" s="39"/>
      <c r="E31889" s="40" t="s">
        <v>11404</v>
      </c>
      <c r="F31889" s="40" t="s">
        <v>11404</v>
      </c>
      <c r="G31889" s="40" t="s">
        <v>11404</v>
      </c>
      <c r="H31889" s="40" t="s">
        <v>11404</v>
      </c>
    </row>
    <row r="31890">
      <c r="A31890" s="39"/>
      <c r="E31890" s="40" t="s">
        <v>11404</v>
      </c>
      <c r="F31890" s="40" t="s">
        <v>11404</v>
      </c>
      <c r="G31890" s="40" t="s">
        <v>11404</v>
      </c>
      <c r="H31890" s="40" t="s">
        <v>11404</v>
      </c>
    </row>
    <row r="31891">
      <c r="A31891" s="39"/>
      <c r="E31891" s="40" t="s">
        <v>11404</v>
      </c>
      <c r="F31891" s="40" t="s">
        <v>11404</v>
      </c>
      <c r="G31891" s="40" t="s">
        <v>11404</v>
      </c>
      <c r="H31891" s="40" t="s">
        <v>11404</v>
      </c>
    </row>
    <row r="31892">
      <c r="A31892" s="39"/>
      <c r="E31892" s="40" t="s">
        <v>11404</v>
      </c>
      <c r="F31892" s="40" t="s">
        <v>11404</v>
      </c>
      <c r="G31892" s="40" t="s">
        <v>11404</v>
      </c>
      <c r="H31892" s="40" t="s">
        <v>11404</v>
      </c>
    </row>
    <row r="31893">
      <c r="A31893" s="39"/>
      <c r="E31893" s="40" t="s">
        <v>11404</v>
      </c>
      <c r="F31893" s="40" t="s">
        <v>11404</v>
      </c>
      <c r="G31893" s="40" t="s">
        <v>11404</v>
      </c>
      <c r="H31893" s="40" t="s">
        <v>11404</v>
      </c>
    </row>
    <row r="31894">
      <c r="A31894" s="39"/>
      <c r="E31894" s="40" t="s">
        <v>11404</v>
      </c>
      <c r="F31894" s="40" t="s">
        <v>11404</v>
      </c>
      <c r="G31894" s="40" t="s">
        <v>11404</v>
      </c>
      <c r="H31894" s="40" t="s">
        <v>11404</v>
      </c>
    </row>
    <row r="31895">
      <c r="A31895" s="39"/>
      <c r="E31895" s="40" t="s">
        <v>11404</v>
      </c>
      <c r="F31895" s="40" t="s">
        <v>11404</v>
      </c>
      <c r="G31895" s="40" t="s">
        <v>11404</v>
      </c>
      <c r="H31895" s="40" t="s">
        <v>11404</v>
      </c>
    </row>
    <row r="31896">
      <c r="A31896" s="39"/>
      <c r="E31896" s="40" t="s">
        <v>11404</v>
      </c>
      <c r="F31896" s="40" t="s">
        <v>11404</v>
      </c>
      <c r="G31896" s="40" t="s">
        <v>11404</v>
      </c>
      <c r="H31896" s="40" t="s">
        <v>11404</v>
      </c>
    </row>
    <row r="31897">
      <c r="A31897" s="39"/>
      <c r="E31897" s="40" t="s">
        <v>11404</v>
      </c>
      <c r="F31897" s="40" t="s">
        <v>11404</v>
      </c>
      <c r="G31897" s="40" t="s">
        <v>11404</v>
      </c>
      <c r="H31897" s="40" t="s">
        <v>11404</v>
      </c>
    </row>
    <row r="31898">
      <c r="A31898" s="39"/>
      <c r="E31898" s="40" t="s">
        <v>11404</v>
      </c>
      <c r="F31898" s="40" t="s">
        <v>11404</v>
      </c>
      <c r="G31898" s="40" t="s">
        <v>11404</v>
      </c>
      <c r="H31898" s="40" t="s">
        <v>11404</v>
      </c>
    </row>
    <row r="31899">
      <c r="A31899" s="39"/>
      <c r="E31899" s="40" t="s">
        <v>11404</v>
      </c>
      <c r="F31899" s="40" t="s">
        <v>11404</v>
      </c>
      <c r="G31899" s="40" t="s">
        <v>11404</v>
      </c>
      <c r="H31899" s="40" t="s">
        <v>11404</v>
      </c>
    </row>
    <row r="31900">
      <c r="A31900" s="39"/>
      <c r="E31900" s="40" t="s">
        <v>11404</v>
      </c>
      <c r="F31900" s="40" t="s">
        <v>11404</v>
      </c>
      <c r="G31900" s="40" t="s">
        <v>11404</v>
      </c>
      <c r="H31900" s="40" t="s">
        <v>11404</v>
      </c>
    </row>
    <row r="31901">
      <c r="A31901" s="39"/>
      <c r="E31901" s="40" t="s">
        <v>11404</v>
      </c>
      <c r="F31901" s="40" t="s">
        <v>11404</v>
      </c>
      <c r="G31901" s="40" t="s">
        <v>11404</v>
      </c>
      <c r="H31901" s="40" t="s">
        <v>11404</v>
      </c>
    </row>
    <row r="31902">
      <c r="A31902" s="39"/>
      <c r="E31902" s="40" t="s">
        <v>11404</v>
      </c>
      <c r="F31902" s="40" t="s">
        <v>11404</v>
      </c>
      <c r="G31902" s="40" t="s">
        <v>11404</v>
      </c>
      <c r="H31902" s="40" t="s">
        <v>11404</v>
      </c>
    </row>
    <row r="31903">
      <c r="A31903" s="39"/>
      <c r="E31903" s="40" t="s">
        <v>11404</v>
      </c>
      <c r="F31903" s="40" t="s">
        <v>11404</v>
      </c>
      <c r="G31903" s="40" t="s">
        <v>11404</v>
      </c>
      <c r="H31903" s="40" t="s">
        <v>11404</v>
      </c>
    </row>
    <row r="31904">
      <c r="A31904" s="39"/>
      <c r="E31904" s="40" t="s">
        <v>11404</v>
      </c>
      <c r="F31904" s="40" t="s">
        <v>11404</v>
      </c>
      <c r="G31904" s="40" t="s">
        <v>11404</v>
      </c>
      <c r="H31904" s="40" t="s">
        <v>11404</v>
      </c>
    </row>
    <row r="31905">
      <c r="A31905" s="39"/>
      <c r="E31905" s="40" t="s">
        <v>11404</v>
      </c>
      <c r="F31905" s="40" t="s">
        <v>11404</v>
      </c>
      <c r="G31905" s="40" t="s">
        <v>11404</v>
      </c>
      <c r="H31905" s="40" t="s">
        <v>11404</v>
      </c>
    </row>
    <row r="31906">
      <c r="A31906" s="39"/>
      <c r="E31906" s="40" t="s">
        <v>11404</v>
      </c>
      <c r="F31906" s="40" t="s">
        <v>11404</v>
      </c>
      <c r="G31906" s="40" t="s">
        <v>11404</v>
      </c>
      <c r="H31906" s="40" t="s">
        <v>11404</v>
      </c>
    </row>
    <row r="31907">
      <c r="A31907" s="39"/>
      <c r="E31907" s="40" t="s">
        <v>11404</v>
      </c>
      <c r="F31907" s="40" t="s">
        <v>11404</v>
      </c>
      <c r="G31907" s="40" t="s">
        <v>11404</v>
      </c>
      <c r="H31907" s="40" t="s">
        <v>11404</v>
      </c>
    </row>
    <row r="31908">
      <c r="A31908" s="39"/>
      <c r="E31908" s="40" t="s">
        <v>11404</v>
      </c>
      <c r="F31908" s="40" t="s">
        <v>11404</v>
      </c>
      <c r="G31908" s="40" t="s">
        <v>11404</v>
      </c>
      <c r="H31908" s="40" t="s">
        <v>11404</v>
      </c>
    </row>
    <row r="31909">
      <c r="A31909" s="39"/>
      <c r="E31909" s="40" t="s">
        <v>11404</v>
      </c>
      <c r="F31909" s="40" t="s">
        <v>11404</v>
      </c>
      <c r="G31909" s="40" t="s">
        <v>11404</v>
      </c>
      <c r="H31909" s="40" t="s">
        <v>11404</v>
      </c>
    </row>
    <row r="31910">
      <c r="A31910" s="39"/>
      <c r="E31910" s="40" t="s">
        <v>11404</v>
      </c>
      <c r="F31910" s="40" t="s">
        <v>11404</v>
      </c>
      <c r="G31910" s="40" t="s">
        <v>11404</v>
      </c>
      <c r="H31910" s="40" t="s">
        <v>11404</v>
      </c>
    </row>
    <row r="31911">
      <c r="A31911" s="39"/>
      <c r="E31911" s="40" t="s">
        <v>11404</v>
      </c>
      <c r="F31911" s="40" t="s">
        <v>11404</v>
      </c>
      <c r="G31911" s="40" t="s">
        <v>11404</v>
      </c>
      <c r="H31911" s="40" t="s">
        <v>11404</v>
      </c>
    </row>
    <row r="31912">
      <c r="A31912" s="39"/>
      <c r="E31912" s="40" t="s">
        <v>11404</v>
      </c>
      <c r="F31912" s="40" t="s">
        <v>11404</v>
      </c>
      <c r="G31912" s="40" t="s">
        <v>11404</v>
      </c>
      <c r="H31912" s="40" t="s">
        <v>11404</v>
      </c>
    </row>
    <row r="31913">
      <c r="A31913" s="39"/>
      <c r="E31913" s="40" t="s">
        <v>11404</v>
      </c>
      <c r="F31913" s="40" t="s">
        <v>11404</v>
      </c>
      <c r="G31913" s="40" t="s">
        <v>11404</v>
      </c>
      <c r="H31913" s="40" t="s">
        <v>11404</v>
      </c>
    </row>
    <row r="31914">
      <c r="A31914" s="39"/>
      <c r="E31914" s="40" t="s">
        <v>11404</v>
      </c>
      <c r="F31914" s="40" t="s">
        <v>11404</v>
      </c>
      <c r="G31914" s="40" t="s">
        <v>11404</v>
      </c>
      <c r="H31914" s="40" t="s">
        <v>11404</v>
      </c>
    </row>
    <row r="31915">
      <c r="A31915" s="39"/>
      <c r="E31915" s="40" t="s">
        <v>11404</v>
      </c>
      <c r="F31915" s="40" t="s">
        <v>11404</v>
      </c>
      <c r="G31915" s="40" t="s">
        <v>11404</v>
      </c>
      <c r="H31915" s="40" t="s">
        <v>11404</v>
      </c>
    </row>
    <row r="31916">
      <c r="A31916" s="39"/>
      <c r="E31916" s="40" t="s">
        <v>11404</v>
      </c>
      <c r="F31916" s="40" t="s">
        <v>11404</v>
      </c>
      <c r="G31916" s="40" t="s">
        <v>11404</v>
      </c>
      <c r="H31916" s="40" t="s">
        <v>11404</v>
      </c>
    </row>
    <row r="31917">
      <c r="A31917" s="39"/>
      <c r="E31917" s="40" t="s">
        <v>11404</v>
      </c>
      <c r="F31917" s="40" t="s">
        <v>11404</v>
      </c>
      <c r="G31917" s="40" t="s">
        <v>11404</v>
      </c>
      <c r="H31917" s="40" t="s">
        <v>11404</v>
      </c>
    </row>
    <row r="31918">
      <c r="A31918" s="39"/>
      <c r="E31918" s="40" t="s">
        <v>11404</v>
      </c>
      <c r="F31918" s="40" t="s">
        <v>11404</v>
      </c>
      <c r="G31918" s="40" t="s">
        <v>11404</v>
      </c>
      <c r="H31918" s="40" t="s">
        <v>11404</v>
      </c>
    </row>
    <row r="31919">
      <c r="A31919" s="39"/>
      <c r="E31919" s="40" t="s">
        <v>11404</v>
      </c>
      <c r="F31919" s="40" t="s">
        <v>11404</v>
      </c>
      <c r="G31919" s="40" t="s">
        <v>11404</v>
      </c>
      <c r="H31919" s="40" t="s">
        <v>11404</v>
      </c>
    </row>
    <row r="31920">
      <c r="A31920" s="39"/>
      <c r="E31920" s="40" t="s">
        <v>11404</v>
      </c>
      <c r="F31920" s="40" t="s">
        <v>11404</v>
      </c>
      <c r="G31920" s="40" t="s">
        <v>11404</v>
      </c>
      <c r="H31920" s="40" t="s">
        <v>11404</v>
      </c>
    </row>
    <row r="31921">
      <c r="A31921" s="39"/>
      <c r="E31921" s="40" t="s">
        <v>11404</v>
      </c>
      <c r="F31921" s="40" t="s">
        <v>11404</v>
      </c>
      <c r="G31921" s="40" t="s">
        <v>11404</v>
      </c>
      <c r="H31921" s="40" t="s">
        <v>11404</v>
      </c>
    </row>
    <row r="31922">
      <c r="A31922" s="39"/>
      <c r="E31922" s="40" t="s">
        <v>11404</v>
      </c>
      <c r="F31922" s="40" t="s">
        <v>11404</v>
      </c>
      <c r="G31922" s="40" t="s">
        <v>11404</v>
      </c>
      <c r="H31922" s="40" t="s">
        <v>11404</v>
      </c>
    </row>
    <row r="31923">
      <c r="A31923" s="39"/>
      <c r="E31923" s="40" t="s">
        <v>11404</v>
      </c>
      <c r="F31923" s="40" t="s">
        <v>11404</v>
      </c>
      <c r="G31923" s="40" t="s">
        <v>11404</v>
      </c>
      <c r="H31923" s="40" t="s">
        <v>11404</v>
      </c>
    </row>
    <row r="31924">
      <c r="A31924" s="39"/>
      <c r="E31924" s="40" t="s">
        <v>11404</v>
      </c>
      <c r="F31924" s="40" t="s">
        <v>11404</v>
      </c>
      <c r="G31924" s="40" t="s">
        <v>11404</v>
      </c>
      <c r="H31924" s="40" t="s">
        <v>11404</v>
      </c>
    </row>
    <row r="31925">
      <c r="A31925" s="39"/>
      <c r="E31925" s="40" t="s">
        <v>11404</v>
      </c>
      <c r="F31925" s="40" t="s">
        <v>11404</v>
      </c>
      <c r="G31925" s="40" t="s">
        <v>11404</v>
      </c>
      <c r="H31925" s="40" t="s">
        <v>11404</v>
      </c>
    </row>
    <row r="31926">
      <c r="A31926" s="39"/>
      <c r="E31926" s="40" t="s">
        <v>11404</v>
      </c>
      <c r="F31926" s="40" t="s">
        <v>11404</v>
      </c>
      <c r="G31926" s="40" t="s">
        <v>11404</v>
      </c>
      <c r="H31926" s="40" t="s">
        <v>11404</v>
      </c>
    </row>
    <row r="31927">
      <c r="A31927" s="39"/>
      <c r="E31927" s="40" t="s">
        <v>11404</v>
      </c>
      <c r="F31927" s="40" t="s">
        <v>11404</v>
      </c>
      <c r="G31927" s="40" t="s">
        <v>11404</v>
      </c>
      <c r="H31927" s="40" t="s">
        <v>11404</v>
      </c>
    </row>
    <row r="31928">
      <c r="A31928" s="39"/>
      <c r="E31928" s="40" t="s">
        <v>11404</v>
      </c>
      <c r="F31928" s="40" t="s">
        <v>11404</v>
      </c>
      <c r="G31928" s="40" t="s">
        <v>11404</v>
      </c>
      <c r="H31928" s="40" t="s">
        <v>11404</v>
      </c>
    </row>
    <row r="31929">
      <c r="A31929" s="39"/>
      <c r="E31929" s="40" t="s">
        <v>11404</v>
      </c>
      <c r="F31929" s="40" t="s">
        <v>11404</v>
      </c>
      <c r="G31929" s="40" t="s">
        <v>11404</v>
      </c>
      <c r="H31929" s="40" t="s">
        <v>11404</v>
      </c>
    </row>
    <row r="31930">
      <c r="A31930" s="39"/>
      <c r="E31930" s="40" t="s">
        <v>11404</v>
      </c>
      <c r="F31930" s="40" t="s">
        <v>11404</v>
      </c>
      <c r="G31930" s="40" t="s">
        <v>11404</v>
      </c>
      <c r="H31930" s="40" t="s">
        <v>11404</v>
      </c>
    </row>
    <row r="31931">
      <c r="A31931" s="39"/>
      <c r="E31931" s="40" t="s">
        <v>11404</v>
      </c>
      <c r="F31931" s="40" t="s">
        <v>11404</v>
      </c>
      <c r="G31931" s="40" t="s">
        <v>11404</v>
      </c>
      <c r="H31931" s="40" t="s">
        <v>11404</v>
      </c>
    </row>
    <row r="31932">
      <c r="A31932" s="39"/>
      <c r="E31932" s="40" t="s">
        <v>11404</v>
      </c>
      <c r="F31932" s="40" t="s">
        <v>11404</v>
      </c>
      <c r="G31932" s="40" t="s">
        <v>11404</v>
      </c>
      <c r="H31932" s="40" t="s">
        <v>11404</v>
      </c>
    </row>
    <row r="31933">
      <c r="A31933" s="39"/>
      <c r="E31933" s="40" t="s">
        <v>11404</v>
      </c>
      <c r="F31933" s="40" t="s">
        <v>11404</v>
      </c>
      <c r="G31933" s="40" t="s">
        <v>11404</v>
      </c>
      <c r="H31933" s="40" t="s">
        <v>11404</v>
      </c>
    </row>
    <row r="31934">
      <c r="A31934" s="39"/>
      <c r="E31934" s="40" t="s">
        <v>11404</v>
      </c>
      <c r="F31934" s="40" t="s">
        <v>11404</v>
      </c>
      <c r="G31934" s="40" t="s">
        <v>11404</v>
      </c>
      <c r="H31934" s="40" t="s">
        <v>11404</v>
      </c>
    </row>
    <row r="31935">
      <c r="A31935" s="39"/>
      <c r="E31935" s="40" t="s">
        <v>11404</v>
      </c>
      <c r="F31935" s="40" t="s">
        <v>11404</v>
      </c>
      <c r="G31935" s="40" t="s">
        <v>11404</v>
      </c>
      <c r="H31935" s="40" t="s">
        <v>11404</v>
      </c>
    </row>
    <row r="31936">
      <c r="A31936" s="39"/>
      <c r="E31936" s="40" t="s">
        <v>11404</v>
      </c>
      <c r="F31936" s="40" t="s">
        <v>11404</v>
      </c>
      <c r="G31936" s="40" t="s">
        <v>11404</v>
      </c>
      <c r="H31936" s="40" t="s">
        <v>11404</v>
      </c>
    </row>
    <row r="31937">
      <c r="A31937" s="39"/>
      <c r="E31937" s="40" t="s">
        <v>11404</v>
      </c>
      <c r="F31937" s="40" t="s">
        <v>11404</v>
      </c>
      <c r="G31937" s="40" t="s">
        <v>11404</v>
      </c>
      <c r="H31937" s="40" t="s">
        <v>11404</v>
      </c>
    </row>
    <row r="31938">
      <c r="A31938" s="39"/>
      <c r="E31938" s="40" t="s">
        <v>11404</v>
      </c>
      <c r="F31938" s="40" t="s">
        <v>11404</v>
      </c>
      <c r="G31938" s="40" t="s">
        <v>11404</v>
      </c>
      <c r="H31938" s="40" t="s">
        <v>11404</v>
      </c>
    </row>
    <row r="31939">
      <c r="A31939" s="39"/>
      <c r="E31939" s="40" t="s">
        <v>11404</v>
      </c>
      <c r="F31939" s="40" t="s">
        <v>11404</v>
      </c>
      <c r="G31939" s="40" t="s">
        <v>11404</v>
      </c>
      <c r="H31939" s="40" t="s">
        <v>11404</v>
      </c>
    </row>
    <row r="31940">
      <c r="A31940" s="39"/>
      <c r="E31940" s="40" t="s">
        <v>11404</v>
      </c>
      <c r="F31940" s="40" t="s">
        <v>11404</v>
      </c>
      <c r="G31940" s="40" t="s">
        <v>11404</v>
      </c>
      <c r="H31940" s="40" t="s">
        <v>11404</v>
      </c>
    </row>
    <row r="31941">
      <c r="A31941" s="39"/>
      <c r="E31941" s="40" t="s">
        <v>11404</v>
      </c>
      <c r="F31941" s="40" t="s">
        <v>11404</v>
      </c>
      <c r="G31941" s="40" t="s">
        <v>11404</v>
      </c>
      <c r="H31941" s="40" t="s">
        <v>11404</v>
      </c>
    </row>
    <row r="31942">
      <c r="A31942" s="39"/>
      <c r="E31942" s="40" t="s">
        <v>11404</v>
      </c>
      <c r="F31942" s="40" t="s">
        <v>11404</v>
      </c>
      <c r="G31942" s="40" t="s">
        <v>11404</v>
      </c>
      <c r="H31942" s="40" t="s">
        <v>11404</v>
      </c>
    </row>
    <row r="31943">
      <c r="A31943" s="39"/>
      <c r="E31943" s="40" t="s">
        <v>11404</v>
      </c>
      <c r="F31943" s="40" t="s">
        <v>11404</v>
      </c>
      <c r="G31943" s="40" t="s">
        <v>11404</v>
      </c>
      <c r="H31943" s="40" t="s">
        <v>11404</v>
      </c>
    </row>
    <row r="31944">
      <c r="A31944" s="39"/>
      <c r="E31944" s="40" t="s">
        <v>11404</v>
      </c>
      <c r="F31944" s="40" t="s">
        <v>11404</v>
      </c>
      <c r="G31944" s="40" t="s">
        <v>11404</v>
      </c>
      <c r="H31944" s="40" t="s">
        <v>11404</v>
      </c>
    </row>
    <row r="31945">
      <c r="A31945" s="39"/>
      <c r="E31945" s="40" t="s">
        <v>11404</v>
      </c>
      <c r="F31945" s="40" t="s">
        <v>11404</v>
      </c>
      <c r="G31945" s="40" t="s">
        <v>11404</v>
      </c>
      <c r="H31945" s="40" t="s">
        <v>11404</v>
      </c>
    </row>
    <row r="31946">
      <c r="A31946" s="39"/>
      <c r="E31946" s="40" t="s">
        <v>11404</v>
      </c>
      <c r="F31946" s="40" t="s">
        <v>11404</v>
      </c>
      <c r="G31946" s="40" t="s">
        <v>11404</v>
      </c>
      <c r="H31946" s="40" t="s">
        <v>11404</v>
      </c>
    </row>
    <row r="31947">
      <c r="A31947" s="39"/>
      <c r="E31947" s="40" t="s">
        <v>11404</v>
      </c>
      <c r="F31947" s="40" t="s">
        <v>11404</v>
      </c>
      <c r="G31947" s="40" t="s">
        <v>11404</v>
      </c>
      <c r="H31947" s="40" t="s">
        <v>11404</v>
      </c>
    </row>
    <row r="31948">
      <c r="A31948" s="39"/>
      <c r="E31948" s="40" t="s">
        <v>11404</v>
      </c>
      <c r="F31948" s="40" t="s">
        <v>11404</v>
      </c>
      <c r="G31948" s="40" t="s">
        <v>11404</v>
      </c>
      <c r="H31948" s="40" t="s">
        <v>11404</v>
      </c>
    </row>
    <row r="31949">
      <c r="A31949" s="39"/>
      <c r="E31949" s="40" t="s">
        <v>11404</v>
      </c>
      <c r="F31949" s="40" t="s">
        <v>11404</v>
      </c>
      <c r="G31949" s="40" t="s">
        <v>11404</v>
      </c>
      <c r="H31949" s="40" t="s">
        <v>11404</v>
      </c>
    </row>
    <row r="31950">
      <c r="A31950" s="39"/>
      <c r="E31950" s="40" t="s">
        <v>11404</v>
      </c>
      <c r="F31950" s="40" t="s">
        <v>11404</v>
      </c>
      <c r="G31950" s="40" t="s">
        <v>11404</v>
      </c>
      <c r="H31950" s="40" t="s">
        <v>11404</v>
      </c>
    </row>
    <row r="31951">
      <c r="A31951" s="39"/>
      <c r="E31951" s="40" t="s">
        <v>11404</v>
      </c>
      <c r="F31951" s="40" t="s">
        <v>11404</v>
      </c>
      <c r="G31951" s="40" t="s">
        <v>11404</v>
      </c>
      <c r="H31951" s="40" t="s">
        <v>11404</v>
      </c>
    </row>
    <row r="31952">
      <c r="A31952" s="39"/>
      <c r="E31952" s="40" t="s">
        <v>11404</v>
      </c>
      <c r="F31952" s="40" t="s">
        <v>11404</v>
      </c>
      <c r="G31952" s="40" t="s">
        <v>11404</v>
      </c>
      <c r="H31952" s="40" t="s">
        <v>11404</v>
      </c>
    </row>
    <row r="31953">
      <c r="A31953" s="39"/>
      <c r="E31953" s="40" t="s">
        <v>11404</v>
      </c>
      <c r="F31953" s="40" t="s">
        <v>11404</v>
      </c>
      <c r="G31953" s="40" t="s">
        <v>11404</v>
      </c>
      <c r="H31953" s="40" t="s">
        <v>11404</v>
      </c>
    </row>
    <row r="31954">
      <c r="A31954" s="39"/>
      <c r="E31954" s="40" t="s">
        <v>11404</v>
      </c>
      <c r="F31954" s="40" t="s">
        <v>11404</v>
      </c>
      <c r="G31954" s="40" t="s">
        <v>11404</v>
      </c>
      <c r="H31954" s="40" t="s">
        <v>11404</v>
      </c>
    </row>
    <row r="31955">
      <c r="A31955" s="39"/>
      <c r="E31955" s="40" t="s">
        <v>11404</v>
      </c>
      <c r="F31955" s="40" t="s">
        <v>11404</v>
      </c>
      <c r="G31955" s="40" t="s">
        <v>11404</v>
      </c>
      <c r="H31955" s="40" t="s">
        <v>11404</v>
      </c>
    </row>
    <row r="31956">
      <c r="A31956" s="39"/>
      <c r="E31956" s="40" t="s">
        <v>11404</v>
      </c>
      <c r="F31956" s="40" t="s">
        <v>11404</v>
      </c>
      <c r="G31956" s="40" t="s">
        <v>11404</v>
      </c>
      <c r="H31956" s="40" t="s">
        <v>11404</v>
      </c>
    </row>
    <row r="31957">
      <c r="A31957" s="39"/>
      <c r="E31957" s="40" t="s">
        <v>11404</v>
      </c>
      <c r="F31957" s="40" t="s">
        <v>11404</v>
      </c>
      <c r="G31957" s="40" t="s">
        <v>11404</v>
      </c>
      <c r="H31957" s="40" t="s">
        <v>11404</v>
      </c>
    </row>
    <row r="31958">
      <c r="A31958" s="39"/>
      <c r="E31958" s="40" t="s">
        <v>11404</v>
      </c>
      <c r="F31958" s="40" t="s">
        <v>11404</v>
      </c>
      <c r="G31958" s="40" t="s">
        <v>11404</v>
      </c>
      <c r="H31958" s="40" t="s">
        <v>11404</v>
      </c>
    </row>
    <row r="31959">
      <c r="A31959" s="39"/>
      <c r="E31959" s="40" t="s">
        <v>11404</v>
      </c>
      <c r="F31959" s="40" t="s">
        <v>11404</v>
      </c>
      <c r="G31959" s="40" t="s">
        <v>11404</v>
      </c>
      <c r="H31959" s="40" t="s">
        <v>11404</v>
      </c>
    </row>
    <row r="31960">
      <c r="A31960" s="39"/>
      <c r="E31960" s="40" t="s">
        <v>11404</v>
      </c>
      <c r="F31960" s="40" t="s">
        <v>11404</v>
      </c>
      <c r="G31960" s="40" t="s">
        <v>11404</v>
      </c>
      <c r="H31960" s="40" t="s">
        <v>11404</v>
      </c>
    </row>
    <row r="31961">
      <c r="A31961" s="39"/>
      <c r="E31961" s="40" t="s">
        <v>11404</v>
      </c>
      <c r="F31961" s="40" t="s">
        <v>11404</v>
      </c>
      <c r="G31961" s="40" t="s">
        <v>11404</v>
      </c>
      <c r="H31961" s="40" t="s">
        <v>11404</v>
      </c>
    </row>
    <row r="31962">
      <c r="A31962" s="39"/>
      <c r="E31962" s="40" t="s">
        <v>11404</v>
      </c>
      <c r="F31962" s="40" t="s">
        <v>11404</v>
      </c>
      <c r="G31962" s="40" t="s">
        <v>11404</v>
      </c>
      <c r="H31962" s="40" t="s">
        <v>11404</v>
      </c>
    </row>
    <row r="31963">
      <c r="A31963" s="39"/>
      <c r="E31963" s="40" t="s">
        <v>11404</v>
      </c>
      <c r="F31963" s="40" t="s">
        <v>11404</v>
      </c>
      <c r="G31963" s="40" t="s">
        <v>11404</v>
      </c>
      <c r="H31963" s="40" t="s">
        <v>11404</v>
      </c>
    </row>
    <row r="31964">
      <c r="A31964" s="39"/>
      <c r="E31964" s="40" t="s">
        <v>11404</v>
      </c>
      <c r="F31964" s="40" t="s">
        <v>11404</v>
      </c>
      <c r="G31964" s="40" t="s">
        <v>11404</v>
      </c>
      <c r="H31964" s="40" t="s">
        <v>11404</v>
      </c>
    </row>
    <row r="31965">
      <c r="A31965" s="39"/>
      <c r="E31965" s="40" t="s">
        <v>11404</v>
      </c>
      <c r="F31965" s="40" t="s">
        <v>11404</v>
      </c>
      <c r="G31965" s="40" t="s">
        <v>11404</v>
      </c>
      <c r="H31965" s="40" t="s">
        <v>11404</v>
      </c>
    </row>
    <row r="31966">
      <c r="A31966" s="39"/>
      <c r="E31966" s="40" t="s">
        <v>11404</v>
      </c>
      <c r="F31966" s="40" t="s">
        <v>11404</v>
      </c>
      <c r="G31966" s="40" t="s">
        <v>11404</v>
      </c>
      <c r="H31966" s="40" t="s">
        <v>11404</v>
      </c>
    </row>
    <row r="31967">
      <c r="A31967" s="39"/>
      <c r="E31967" s="40" t="s">
        <v>11404</v>
      </c>
      <c r="F31967" s="40" t="s">
        <v>11404</v>
      </c>
      <c r="G31967" s="40" t="s">
        <v>11404</v>
      </c>
      <c r="H31967" s="40" t="s">
        <v>11404</v>
      </c>
    </row>
    <row r="31968">
      <c r="A31968" s="39"/>
      <c r="E31968" s="40" t="s">
        <v>11404</v>
      </c>
      <c r="F31968" s="40" t="s">
        <v>11404</v>
      </c>
      <c r="G31968" s="40" t="s">
        <v>11404</v>
      </c>
      <c r="H31968" s="40" t="s">
        <v>11404</v>
      </c>
    </row>
    <row r="31969">
      <c r="A31969" s="39"/>
      <c r="E31969" s="40" t="s">
        <v>11404</v>
      </c>
      <c r="F31969" s="40" t="s">
        <v>11404</v>
      </c>
      <c r="G31969" s="40" t="s">
        <v>11404</v>
      </c>
      <c r="H31969" s="40" t="s">
        <v>11404</v>
      </c>
    </row>
    <row r="31970">
      <c r="A31970" s="39"/>
      <c r="E31970" s="40" t="s">
        <v>11404</v>
      </c>
      <c r="F31970" s="40" t="s">
        <v>11404</v>
      </c>
      <c r="G31970" s="40" t="s">
        <v>11404</v>
      </c>
      <c r="H31970" s="40" t="s">
        <v>11404</v>
      </c>
    </row>
    <row r="31971">
      <c r="A31971" s="39"/>
      <c r="E31971" s="40" t="s">
        <v>11404</v>
      </c>
      <c r="F31971" s="40" t="s">
        <v>11404</v>
      </c>
      <c r="G31971" s="40" t="s">
        <v>11404</v>
      </c>
      <c r="H31971" s="40" t="s">
        <v>11404</v>
      </c>
    </row>
    <row r="31972">
      <c r="A31972" s="39"/>
      <c r="E31972" s="40" t="s">
        <v>11404</v>
      </c>
      <c r="F31972" s="40" t="s">
        <v>11404</v>
      </c>
      <c r="G31972" s="40" t="s">
        <v>11404</v>
      </c>
      <c r="H31972" s="40" t="s">
        <v>11404</v>
      </c>
    </row>
    <row r="31973">
      <c r="A31973" s="39"/>
      <c r="E31973" s="40" t="s">
        <v>11404</v>
      </c>
      <c r="F31973" s="40" t="s">
        <v>11404</v>
      </c>
      <c r="G31973" s="40" t="s">
        <v>11404</v>
      </c>
      <c r="H31973" s="40" t="s">
        <v>11404</v>
      </c>
    </row>
    <row r="31974">
      <c r="A31974" s="39"/>
      <c r="E31974" s="40" t="s">
        <v>11404</v>
      </c>
      <c r="F31974" s="40" t="s">
        <v>11404</v>
      </c>
      <c r="G31974" s="40" t="s">
        <v>11404</v>
      </c>
      <c r="H31974" s="40" t="s">
        <v>11404</v>
      </c>
    </row>
    <row r="31975">
      <c r="A31975" s="39"/>
      <c r="E31975" s="40" t="s">
        <v>11404</v>
      </c>
      <c r="F31975" s="40" t="s">
        <v>11404</v>
      </c>
      <c r="G31975" s="40" t="s">
        <v>11404</v>
      </c>
      <c r="H31975" s="40" t="s">
        <v>11404</v>
      </c>
    </row>
    <row r="31976">
      <c r="A31976" s="39"/>
      <c r="E31976" s="40" t="s">
        <v>11404</v>
      </c>
      <c r="F31976" s="40" t="s">
        <v>11404</v>
      </c>
      <c r="G31976" s="40" t="s">
        <v>11404</v>
      </c>
      <c r="H31976" s="40" t="s">
        <v>11404</v>
      </c>
    </row>
    <row r="31977">
      <c r="A31977" s="39"/>
      <c r="E31977" s="40" t="s">
        <v>11404</v>
      </c>
      <c r="F31977" s="40" t="s">
        <v>11404</v>
      </c>
      <c r="G31977" s="40" t="s">
        <v>11404</v>
      </c>
      <c r="H31977" s="40" t="s">
        <v>11404</v>
      </c>
    </row>
    <row r="31978">
      <c r="A31978" s="39"/>
      <c r="E31978" s="40" t="s">
        <v>11404</v>
      </c>
      <c r="F31978" s="40" t="s">
        <v>11404</v>
      </c>
      <c r="G31978" s="40" t="s">
        <v>11404</v>
      </c>
      <c r="H31978" s="40" t="s">
        <v>11404</v>
      </c>
    </row>
    <row r="31979">
      <c r="A31979" s="39"/>
      <c r="E31979" s="40" t="s">
        <v>11404</v>
      </c>
      <c r="F31979" s="40" t="s">
        <v>11404</v>
      </c>
      <c r="G31979" s="40" t="s">
        <v>11404</v>
      </c>
      <c r="H31979" s="40" t="s">
        <v>11404</v>
      </c>
    </row>
    <row r="31980">
      <c r="A31980" s="39"/>
      <c r="E31980" s="40" t="s">
        <v>11404</v>
      </c>
      <c r="F31980" s="40" t="s">
        <v>11404</v>
      </c>
      <c r="G31980" s="40" t="s">
        <v>11404</v>
      </c>
      <c r="H31980" s="40" t="s">
        <v>11404</v>
      </c>
    </row>
    <row r="31981">
      <c r="A31981" s="39"/>
      <c r="E31981" s="40" t="s">
        <v>11404</v>
      </c>
      <c r="F31981" s="40" t="s">
        <v>11404</v>
      </c>
      <c r="G31981" s="40" t="s">
        <v>11404</v>
      </c>
      <c r="H31981" s="40" t="s">
        <v>11404</v>
      </c>
    </row>
    <row r="31982">
      <c r="A31982" s="39"/>
      <c r="E31982" s="40" t="s">
        <v>11404</v>
      </c>
      <c r="F31982" s="40" t="s">
        <v>11404</v>
      </c>
      <c r="G31982" s="40" t="s">
        <v>11404</v>
      </c>
      <c r="H31982" s="40" t="s">
        <v>11404</v>
      </c>
    </row>
    <row r="31983">
      <c r="A31983" s="39"/>
      <c r="E31983" s="40" t="s">
        <v>11404</v>
      </c>
      <c r="F31983" s="40" t="s">
        <v>11404</v>
      </c>
      <c r="G31983" s="40" t="s">
        <v>11404</v>
      </c>
      <c r="H31983" s="40" t="s">
        <v>11404</v>
      </c>
    </row>
    <row r="31984">
      <c r="A31984" s="39"/>
      <c r="E31984" s="40" t="s">
        <v>11404</v>
      </c>
      <c r="F31984" s="40" t="s">
        <v>11404</v>
      </c>
      <c r="G31984" s="40" t="s">
        <v>11404</v>
      </c>
      <c r="H31984" s="40" t="s">
        <v>11404</v>
      </c>
    </row>
    <row r="31985">
      <c r="A31985" s="39"/>
      <c r="E31985" s="40" t="s">
        <v>11404</v>
      </c>
      <c r="F31985" s="40" t="s">
        <v>11404</v>
      </c>
      <c r="G31985" s="40" t="s">
        <v>11404</v>
      </c>
      <c r="H31985" s="40" t="s">
        <v>11404</v>
      </c>
    </row>
    <row r="31986">
      <c r="A31986" s="39"/>
      <c r="E31986" s="40" t="s">
        <v>11404</v>
      </c>
      <c r="F31986" s="40" t="s">
        <v>11404</v>
      </c>
      <c r="G31986" s="40" t="s">
        <v>11404</v>
      </c>
      <c r="H31986" s="40" t="s">
        <v>11404</v>
      </c>
    </row>
    <row r="31987">
      <c r="A31987" s="39"/>
      <c r="E31987" s="40" t="s">
        <v>11404</v>
      </c>
      <c r="F31987" s="40" t="s">
        <v>11404</v>
      </c>
      <c r="G31987" s="40" t="s">
        <v>11404</v>
      </c>
      <c r="H31987" s="40" t="s">
        <v>11404</v>
      </c>
    </row>
    <row r="31988">
      <c r="A31988" s="39"/>
      <c r="E31988" s="40" t="s">
        <v>11404</v>
      </c>
      <c r="F31988" s="40" t="s">
        <v>11404</v>
      </c>
      <c r="G31988" s="40" t="s">
        <v>11404</v>
      </c>
      <c r="H31988" s="40" t="s">
        <v>11404</v>
      </c>
    </row>
    <row r="31989">
      <c r="A31989" s="39"/>
      <c r="E31989" s="40" t="s">
        <v>11404</v>
      </c>
      <c r="F31989" s="40" t="s">
        <v>11404</v>
      </c>
      <c r="G31989" s="40" t="s">
        <v>11404</v>
      </c>
      <c r="H31989" s="40" t="s">
        <v>11404</v>
      </c>
    </row>
    <row r="31990">
      <c r="A31990" s="39"/>
      <c r="E31990" s="40" t="s">
        <v>11404</v>
      </c>
      <c r="F31990" s="40" t="s">
        <v>11404</v>
      </c>
      <c r="G31990" s="40" t="s">
        <v>11404</v>
      </c>
      <c r="H31990" s="40" t="s">
        <v>11404</v>
      </c>
    </row>
    <row r="31991">
      <c r="A31991" s="39"/>
      <c r="E31991" s="40" t="s">
        <v>11404</v>
      </c>
      <c r="F31991" s="40" t="s">
        <v>11404</v>
      </c>
      <c r="G31991" s="40" t="s">
        <v>11404</v>
      </c>
      <c r="H31991" s="40" t="s">
        <v>11404</v>
      </c>
    </row>
    <row r="31992">
      <c r="A31992" s="39"/>
      <c r="E31992" s="40" t="s">
        <v>11404</v>
      </c>
      <c r="F31992" s="40" t="s">
        <v>11404</v>
      </c>
      <c r="G31992" s="40" t="s">
        <v>11404</v>
      </c>
      <c r="H31992" s="40" t="s">
        <v>11404</v>
      </c>
    </row>
    <row r="31993">
      <c r="A31993" s="39"/>
      <c r="E31993" s="40" t="s">
        <v>11404</v>
      </c>
      <c r="F31993" s="40" t="s">
        <v>11404</v>
      </c>
      <c r="G31993" s="40" t="s">
        <v>11404</v>
      </c>
      <c r="H31993" s="40" t="s">
        <v>11404</v>
      </c>
    </row>
    <row r="31994">
      <c r="A31994" s="39"/>
      <c r="E31994" s="40" t="s">
        <v>11404</v>
      </c>
      <c r="F31994" s="40" t="s">
        <v>11404</v>
      </c>
      <c r="G31994" s="40" t="s">
        <v>11404</v>
      </c>
      <c r="H31994" s="40" t="s">
        <v>11404</v>
      </c>
    </row>
    <row r="31995">
      <c r="A31995" s="39"/>
      <c r="E31995" s="40" t="s">
        <v>11404</v>
      </c>
      <c r="F31995" s="40" t="s">
        <v>11404</v>
      </c>
      <c r="G31995" s="40" t="s">
        <v>11404</v>
      </c>
      <c r="H31995" s="40" t="s">
        <v>11404</v>
      </c>
    </row>
    <row r="31996">
      <c r="A31996" s="39"/>
      <c r="E31996" s="40" t="s">
        <v>11404</v>
      </c>
      <c r="F31996" s="40" t="s">
        <v>11404</v>
      </c>
      <c r="G31996" s="40" t="s">
        <v>11404</v>
      </c>
      <c r="H31996" s="40" t="s">
        <v>11404</v>
      </c>
    </row>
    <row r="31997">
      <c r="A31997" s="39"/>
      <c r="E31997" s="40" t="s">
        <v>11404</v>
      </c>
      <c r="F31997" s="40" t="s">
        <v>11404</v>
      </c>
      <c r="G31997" s="40" t="s">
        <v>11404</v>
      </c>
      <c r="H31997" s="40" t="s">
        <v>11404</v>
      </c>
    </row>
    <row r="31998">
      <c r="A31998" s="39"/>
      <c r="E31998" s="40" t="s">
        <v>11404</v>
      </c>
      <c r="F31998" s="40" t="s">
        <v>11404</v>
      </c>
      <c r="G31998" s="40" t="s">
        <v>11404</v>
      </c>
      <c r="H31998" s="40" t="s">
        <v>11404</v>
      </c>
    </row>
    <row r="31999">
      <c r="A31999" s="39"/>
      <c r="E31999" s="40" t="s">
        <v>11404</v>
      </c>
      <c r="F31999" s="40" t="s">
        <v>11404</v>
      </c>
      <c r="G31999" s="40" t="s">
        <v>11404</v>
      </c>
      <c r="H31999" s="40" t="s">
        <v>11404</v>
      </c>
    </row>
    <row r="32000">
      <c r="A32000" s="39"/>
      <c r="E32000" s="40" t="s">
        <v>11404</v>
      </c>
      <c r="F32000" s="40" t="s">
        <v>11404</v>
      </c>
      <c r="G32000" s="40" t="s">
        <v>11404</v>
      </c>
      <c r="H32000" s="40" t="s">
        <v>11404</v>
      </c>
    </row>
    <row r="32001">
      <c r="A32001" s="39"/>
      <c r="E32001" s="40" t="s">
        <v>11404</v>
      </c>
      <c r="F32001" s="40" t="s">
        <v>11404</v>
      </c>
      <c r="G32001" s="40" t="s">
        <v>11404</v>
      </c>
      <c r="H32001" s="40" t="s">
        <v>11404</v>
      </c>
    </row>
    <row r="32002">
      <c r="A32002" s="39"/>
      <c r="E32002" s="40" t="s">
        <v>11404</v>
      </c>
      <c r="F32002" s="40" t="s">
        <v>11404</v>
      </c>
      <c r="G32002" s="40" t="s">
        <v>11404</v>
      </c>
      <c r="H32002" s="40" t="s">
        <v>11404</v>
      </c>
    </row>
    <row r="32003">
      <c r="A32003" s="39"/>
      <c r="E32003" s="40" t="s">
        <v>11404</v>
      </c>
      <c r="F32003" s="40" t="s">
        <v>11404</v>
      </c>
      <c r="G32003" s="40" t="s">
        <v>11404</v>
      </c>
      <c r="H32003" s="40" t="s">
        <v>11404</v>
      </c>
    </row>
    <row r="32004">
      <c r="A32004" s="39"/>
      <c r="E32004" s="40" t="s">
        <v>11404</v>
      </c>
      <c r="F32004" s="40" t="s">
        <v>11404</v>
      </c>
      <c r="G32004" s="40" t="s">
        <v>11404</v>
      </c>
      <c r="H32004" s="40" t="s">
        <v>11404</v>
      </c>
    </row>
    <row r="32005">
      <c r="A32005" s="39"/>
      <c r="E32005" s="40" t="s">
        <v>11404</v>
      </c>
      <c r="F32005" s="40" t="s">
        <v>11404</v>
      </c>
      <c r="G32005" s="40" t="s">
        <v>11404</v>
      </c>
      <c r="H32005" s="40" t="s">
        <v>11404</v>
      </c>
    </row>
    <row r="32006">
      <c r="A32006" s="39"/>
      <c r="E32006" s="40" t="s">
        <v>11404</v>
      </c>
      <c r="F32006" s="40" t="s">
        <v>11404</v>
      </c>
      <c r="G32006" s="40" t="s">
        <v>11404</v>
      </c>
      <c r="H32006" s="40" t="s">
        <v>11404</v>
      </c>
    </row>
    <row r="32007">
      <c r="A32007" s="39"/>
      <c r="E32007" s="40" t="s">
        <v>11404</v>
      </c>
      <c r="F32007" s="40" t="s">
        <v>11404</v>
      </c>
      <c r="G32007" s="40" t="s">
        <v>11404</v>
      </c>
      <c r="H32007" s="40" t="s">
        <v>11404</v>
      </c>
    </row>
    <row r="32008">
      <c r="A32008" s="39"/>
      <c r="E32008" s="40" t="s">
        <v>11404</v>
      </c>
      <c r="F32008" s="40" t="s">
        <v>11404</v>
      </c>
      <c r="G32008" s="40" t="s">
        <v>11404</v>
      </c>
      <c r="H32008" s="40" t="s">
        <v>11404</v>
      </c>
    </row>
    <row r="32009">
      <c r="A32009" s="39"/>
      <c r="E32009" s="40" t="s">
        <v>11404</v>
      </c>
      <c r="F32009" s="40" t="s">
        <v>11404</v>
      </c>
      <c r="G32009" s="40" t="s">
        <v>11404</v>
      </c>
      <c r="H32009" s="40" t="s">
        <v>11404</v>
      </c>
    </row>
    <row r="32010">
      <c r="A32010" s="39"/>
      <c r="E32010" s="40" t="s">
        <v>11404</v>
      </c>
      <c r="F32010" s="40" t="s">
        <v>11404</v>
      </c>
      <c r="G32010" s="40" t="s">
        <v>11404</v>
      </c>
      <c r="H32010" s="40" t="s">
        <v>11404</v>
      </c>
    </row>
    <row r="32011">
      <c r="A32011" s="39"/>
      <c r="E32011" s="40" t="s">
        <v>11404</v>
      </c>
      <c r="F32011" s="40" t="s">
        <v>11404</v>
      </c>
      <c r="G32011" s="40" t="s">
        <v>11404</v>
      </c>
      <c r="H32011" s="40" t="s">
        <v>11404</v>
      </c>
    </row>
    <row r="32012">
      <c r="A32012" s="39"/>
      <c r="E32012" s="40" t="s">
        <v>11404</v>
      </c>
      <c r="F32012" s="40" t="s">
        <v>11404</v>
      </c>
      <c r="G32012" s="40" t="s">
        <v>11404</v>
      </c>
      <c r="H32012" s="40" t="s">
        <v>11404</v>
      </c>
    </row>
    <row r="32013">
      <c r="A32013" s="39"/>
      <c r="E32013" s="40" t="s">
        <v>11404</v>
      </c>
      <c r="F32013" s="40" t="s">
        <v>11404</v>
      </c>
      <c r="G32013" s="40" t="s">
        <v>11404</v>
      </c>
      <c r="H32013" s="40" t="s">
        <v>11404</v>
      </c>
    </row>
    <row r="32014">
      <c r="A32014" s="39"/>
      <c r="E32014" s="40" t="s">
        <v>11404</v>
      </c>
      <c r="F32014" s="40" t="s">
        <v>11404</v>
      </c>
      <c r="G32014" s="40" t="s">
        <v>11404</v>
      </c>
      <c r="H32014" s="40" t="s">
        <v>11404</v>
      </c>
    </row>
    <row r="32015">
      <c r="A32015" s="39"/>
      <c r="E32015" s="40" t="s">
        <v>11404</v>
      </c>
      <c r="F32015" s="40" t="s">
        <v>11404</v>
      </c>
      <c r="G32015" s="40" t="s">
        <v>11404</v>
      </c>
      <c r="H32015" s="40" t="s">
        <v>11404</v>
      </c>
    </row>
    <row r="32016">
      <c r="A32016" s="39"/>
      <c r="E32016" s="40" t="s">
        <v>11404</v>
      </c>
      <c r="F32016" s="40" t="s">
        <v>11404</v>
      </c>
      <c r="G32016" s="40" t="s">
        <v>11404</v>
      </c>
      <c r="H32016" s="40" t="s">
        <v>11404</v>
      </c>
    </row>
    <row r="32017">
      <c r="A32017" s="39"/>
      <c r="E32017" s="40" t="s">
        <v>11404</v>
      </c>
      <c r="F32017" s="40" t="s">
        <v>11404</v>
      </c>
      <c r="G32017" s="40" t="s">
        <v>11404</v>
      </c>
      <c r="H32017" s="40" t="s">
        <v>11404</v>
      </c>
    </row>
    <row r="32018">
      <c r="A32018" s="39"/>
      <c r="E32018" s="40" t="s">
        <v>11404</v>
      </c>
      <c r="F32018" s="40" t="s">
        <v>11404</v>
      </c>
      <c r="G32018" s="40" t="s">
        <v>11404</v>
      </c>
      <c r="H32018" s="40" t="s">
        <v>11404</v>
      </c>
    </row>
    <row r="32019">
      <c r="A32019" s="39"/>
      <c r="E32019" s="40" t="s">
        <v>11404</v>
      </c>
      <c r="F32019" s="40" t="s">
        <v>11404</v>
      </c>
      <c r="G32019" s="40" t="s">
        <v>11404</v>
      </c>
      <c r="H32019" s="40" t="s">
        <v>11404</v>
      </c>
    </row>
    <row r="32020">
      <c r="A32020" s="39"/>
      <c r="E32020" s="40" t="s">
        <v>11404</v>
      </c>
      <c r="F32020" s="40" t="s">
        <v>11404</v>
      </c>
      <c r="G32020" s="40" t="s">
        <v>11404</v>
      </c>
      <c r="H32020" s="40" t="s">
        <v>11404</v>
      </c>
    </row>
    <row r="32021">
      <c r="A32021" s="39"/>
      <c r="E32021" s="40" t="s">
        <v>11404</v>
      </c>
      <c r="F32021" s="40" t="s">
        <v>11404</v>
      </c>
      <c r="G32021" s="40" t="s">
        <v>11404</v>
      </c>
      <c r="H32021" s="40" t="s">
        <v>11404</v>
      </c>
    </row>
    <row r="32022">
      <c r="A32022" s="39"/>
      <c r="E32022" s="40" t="s">
        <v>11404</v>
      </c>
      <c r="F32022" s="40" t="s">
        <v>11404</v>
      </c>
      <c r="G32022" s="40" t="s">
        <v>11404</v>
      </c>
      <c r="H32022" s="40" t="s">
        <v>11404</v>
      </c>
    </row>
    <row r="32023">
      <c r="A32023" s="39"/>
      <c r="E32023" s="40" t="s">
        <v>11404</v>
      </c>
      <c r="F32023" s="40" t="s">
        <v>11404</v>
      </c>
      <c r="G32023" s="40" t="s">
        <v>11404</v>
      </c>
      <c r="H32023" s="40" t="s">
        <v>11404</v>
      </c>
    </row>
    <row r="32024">
      <c r="A32024" s="39"/>
      <c r="E32024" s="40" t="s">
        <v>11404</v>
      </c>
      <c r="F32024" s="40" t="s">
        <v>11404</v>
      </c>
      <c r="G32024" s="40" t="s">
        <v>11404</v>
      </c>
      <c r="H32024" s="40" t="s">
        <v>11404</v>
      </c>
    </row>
    <row r="32025">
      <c r="A32025" s="39"/>
      <c r="E32025" s="40" t="s">
        <v>11404</v>
      </c>
      <c r="F32025" s="40" t="s">
        <v>11404</v>
      </c>
      <c r="G32025" s="40" t="s">
        <v>11404</v>
      </c>
      <c r="H32025" s="40" t="s">
        <v>11404</v>
      </c>
    </row>
    <row r="32026">
      <c r="A32026" s="39"/>
      <c r="E32026" s="40" t="s">
        <v>11404</v>
      </c>
      <c r="F32026" s="40" t="s">
        <v>11404</v>
      </c>
      <c r="G32026" s="40" t="s">
        <v>11404</v>
      </c>
      <c r="H32026" s="40" t="s">
        <v>11404</v>
      </c>
    </row>
    <row r="32027">
      <c r="A32027" s="39"/>
      <c r="E32027" s="40" t="s">
        <v>11404</v>
      </c>
      <c r="F32027" s="40" t="s">
        <v>11404</v>
      </c>
      <c r="G32027" s="40" t="s">
        <v>11404</v>
      </c>
      <c r="H32027" s="40" t="s">
        <v>11404</v>
      </c>
    </row>
    <row r="32028">
      <c r="A32028" s="39"/>
      <c r="E32028" s="40" t="s">
        <v>11404</v>
      </c>
      <c r="F32028" s="40" t="s">
        <v>11404</v>
      </c>
      <c r="G32028" s="40" t="s">
        <v>11404</v>
      </c>
      <c r="H32028" s="40" t="s">
        <v>11404</v>
      </c>
    </row>
    <row r="32029">
      <c r="A32029" s="39"/>
      <c r="E32029" s="40" t="s">
        <v>11404</v>
      </c>
      <c r="F32029" s="40" t="s">
        <v>11404</v>
      </c>
      <c r="G32029" s="40" t="s">
        <v>11404</v>
      </c>
      <c r="H32029" s="40" t="s">
        <v>11404</v>
      </c>
    </row>
    <row r="32030">
      <c r="A32030" s="39"/>
      <c r="E32030" s="40" t="s">
        <v>11404</v>
      </c>
      <c r="F32030" s="40" t="s">
        <v>11404</v>
      </c>
      <c r="G32030" s="40" t="s">
        <v>11404</v>
      </c>
      <c r="H32030" s="40" t="s">
        <v>11404</v>
      </c>
    </row>
    <row r="32031">
      <c r="A32031" s="39"/>
      <c r="E32031" s="40" t="s">
        <v>11404</v>
      </c>
      <c r="F32031" s="40" t="s">
        <v>11404</v>
      </c>
      <c r="G32031" s="40" t="s">
        <v>11404</v>
      </c>
      <c r="H32031" s="40" t="s">
        <v>11404</v>
      </c>
    </row>
    <row r="32032">
      <c r="A32032" s="39"/>
      <c r="E32032" s="40" t="s">
        <v>11404</v>
      </c>
      <c r="F32032" s="40" t="s">
        <v>11404</v>
      </c>
      <c r="G32032" s="40" t="s">
        <v>11404</v>
      </c>
      <c r="H32032" s="40" t="s">
        <v>11404</v>
      </c>
    </row>
    <row r="32033">
      <c r="A32033" s="39"/>
      <c r="E32033" s="40" t="s">
        <v>11404</v>
      </c>
      <c r="F32033" s="40" t="s">
        <v>11404</v>
      </c>
      <c r="G32033" s="40" t="s">
        <v>11404</v>
      </c>
      <c r="H32033" s="40" t="s">
        <v>11404</v>
      </c>
    </row>
    <row r="32034">
      <c r="A32034" s="39"/>
      <c r="E32034" s="40" t="s">
        <v>11404</v>
      </c>
      <c r="F32034" s="40" t="s">
        <v>11404</v>
      </c>
      <c r="G32034" s="40" t="s">
        <v>11404</v>
      </c>
      <c r="H32034" s="40" t="s">
        <v>11404</v>
      </c>
    </row>
    <row r="32035">
      <c r="A32035" s="39"/>
      <c r="E32035" s="40" t="s">
        <v>11404</v>
      </c>
      <c r="F32035" s="40" t="s">
        <v>11404</v>
      </c>
      <c r="G32035" s="40" t="s">
        <v>11404</v>
      </c>
      <c r="H32035" s="40" t="s">
        <v>11404</v>
      </c>
    </row>
    <row r="32036">
      <c r="A32036" s="39"/>
      <c r="E32036" s="40" t="s">
        <v>11404</v>
      </c>
      <c r="F32036" s="40" t="s">
        <v>11404</v>
      </c>
      <c r="G32036" s="40" t="s">
        <v>11404</v>
      </c>
      <c r="H32036" s="40" t="s">
        <v>11404</v>
      </c>
    </row>
    <row r="32037">
      <c r="A32037" s="39"/>
      <c r="E32037" s="40" t="s">
        <v>11404</v>
      </c>
      <c r="F32037" s="40" t="s">
        <v>11404</v>
      </c>
      <c r="G32037" s="40" t="s">
        <v>11404</v>
      </c>
      <c r="H32037" s="40" t="s">
        <v>11404</v>
      </c>
    </row>
    <row r="32038">
      <c r="A32038" s="39"/>
      <c r="E32038" s="40" t="s">
        <v>11404</v>
      </c>
      <c r="F32038" s="40" t="s">
        <v>11404</v>
      </c>
      <c r="G32038" s="40" t="s">
        <v>11404</v>
      </c>
      <c r="H32038" s="40" t="s">
        <v>11404</v>
      </c>
    </row>
    <row r="32039">
      <c r="A32039" s="39"/>
      <c r="E32039" s="40" t="s">
        <v>11404</v>
      </c>
      <c r="F32039" s="40" t="s">
        <v>11404</v>
      </c>
      <c r="G32039" s="40" t="s">
        <v>11404</v>
      </c>
      <c r="H32039" s="40" t="s">
        <v>11404</v>
      </c>
    </row>
    <row r="32040">
      <c r="A32040" s="39"/>
      <c r="E32040" s="40" t="s">
        <v>11404</v>
      </c>
      <c r="F32040" s="40" t="s">
        <v>11404</v>
      </c>
      <c r="G32040" s="40" t="s">
        <v>11404</v>
      </c>
      <c r="H32040" s="40" t="s">
        <v>11404</v>
      </c>
    </row>
    <row r="32041">
      <c r="A32041" s="39"/>
      <c r="E32041" s="40" t="s">
        <v>11404</v>
      </c>
      <c r="F32041" s="40" t="s">
        <v>11404</v>
      </c>
      <c r="G32041" s="40" t="s">
        <v>11404</v>
      </c>
      <c r="H32041" s="40" t="s">
        <v>11404</v>
      </c>
    </row>
    <row r="32042">
      <c r="A32042" s="39"/>
      <c r="E32042" s="40" t="s">
        <v>11404</v>
      </c>
      <c r="F32042" s="40" t="s">
        <v>11404</v>
      </c>
      <c r="G32042" s="40" t="s">
        <v>11404</v>
      </c>
      <c r="H32042" s="40" t="s">
        <v>11404</v>
      </c>
    </row>
    <row r="32043">
      <c r="A32043" s="39"/>
      <c r="E32043" s="40" t="s">
        <v>11404</v>
      </c>
      <c r="F32043" s="40" t="s">
        <v>11404</v>
      </c>
      <c r="G32043" s="40" t="s">
        <v>11404</v>
      </c>
      <c r="H32043" s="40" t="s">
        <v>11404</v>
      </c>
    </row>
    <row r="32044">
      <c r="A32044" s="39"/>
      <c r="E32044" s="40" t="s">
        <v>11404</v>
      </c>
      <c r="F32044" s="40" t="s">
        <v>11404</v>
      </c>
      <c r="G32044" s="40" t="s">
        <v>11404</v>
      </c>
      <c r="H32044" s="40" t="s">
        <v>11404</v>
      </c>
    </row>
    <row r="32045">
      <c r="A32045" s="39"/>
      <c r="E32045" s="40" t="s">
        <v>11404</v>
      </c>
      <c r="F32045" s="40" t="s">
        <v>11404</v>
      </c>
      <c r="G32045" s="40" t="s">
        <v>11404</v>
      </c>
      <c r="H32045" s="40" t="s">
        <v>11404</v>
      </c>
    </row>
    <row r="32046">
      <c r="A32046" s="39"/>
      <c r="E32046" s="40" t="s">
        <v>11404</v>
      </c>
      <c r="F32046" s="40" t="s">
        <v>11404</v>
      </c>
      <c r="G32046" s="40" t="s">
        <v>11404</v>
      </c>
      <c r="H32046" s="40" t="s">
        <v>11404</v>
      </c>
    </row>
    <row r="32047">
      <c r="A32047" s="39"/>
      <c r="E32047" s="40" t="s">
        <v>11404</v>
      </c>
      <c r="F32047" s="40" t="s">
        <v>11404</v>
      </c>
      <c r="G32047" s="40" t="s">
        <v>11404</v>
      </c>
      <c r="H32047" s="40" t="s">
        <v>11404</v>
      </c>
    </row>
    <row r="32048">
      <c r="A32048" s="39"/>
      <c r="E32048" s="40" t="s">
        <v>11404</v>
      </c>
      <c r="F32048" s="40" t="s">
        <v>11404</v>
      </c>
      <c r="G32048" s="40" t="s">
        <v>11404</v>
      </c>
      <c r="H32048" s="40" t="s">
        <v>11404</v>
      </c>
    </row>
    <row r="32049">
      <c r="A32049" s="39"/>
      <c r="E32049" s="40" t="s">
        <v>11404</v>
      </c>
      <c r="F32049" s="40" t="s">
        <v>11404</v>
      </c>
      <c r="G32049" s="40" t="s">
        <v>11404</v>
      </c>
      <c r="H32049" s="40" t="s">
        <v>11404</v>
      </c>
    </row>
    <row r="32050">
      <c r="A32050" s="39"/>
      <c r="E32050" s="40" t="s">
        <v>11404</v>
      </c>
      <c r="F32050" s="40" t="s">
        <v>11404</v>
      </c>
      <c r="G32050" s="40" t="s">
        <v>11404</v>
      </c>
      <c r="H32050" s="40" t="s">
        <v>11404</v>
      </c>
    </row>
    <row r="32051">
      <c r="A32051" s="39"/>
      <c r="E32051" s="40" t="s">
        <v>11404</v>
      </c>
      <c r="F32051" s="40" t="s">
        <v>11404</v>
      </c>
      <c r="G32051" s="40" t="s">
        <v>11404</v>
      </c>
      <c r="H32051" s="40" t="s">
        <v>11404</v>
      </c>
    </row>
    <row r="32052">
      <c r="A32052" s="39"/>
      <c r="E32052" s="40" t="s">
        <v>11404</v>
      </c>
      <c r="F32052" s="40" t="s">
        <v>11404</v>
      </c>
      <c r="G32052" s="40" t="s">
        <v>11404</v>
      </c>
      <c r="H32052" s="40" t="s">
        <v>11404</v>
      </c>
    </row>
    <row r="32053">
      <c r="A32053" s="39"/>
      <c r="E32053" s="40" t="s">
        <v>11404</v>
      </c>
      <c r="F32053" s="40" t="s">
        <v>11404</v>
      </c>
      <c r="G32053" s="40" t="s">
        <v>11404</v>
      </c>
      <c r="H32053" s="40" t="s">
        <v>11404</v>
      </c>
    </row>
    <row r="32054">
      <c r="A32054" s="39"/>
      <c r="E32054" s="40" t="s">
        <v>11404</v>
      </c>
      <c r="F32054" s="40" t="s">
        <v>11404</v>
      </c>
      <c r="G32054" s="40" t="s">
        <v>11404</v>
      </c>
      <c r="H32054" s="40" t="s">
        <v>11404</v>
      </c>
    </row>
    <row r="32055">
      <c r="A32055" s="39"/>
      <c r="E32055" s="40" t="s">
        <v>11404</v>
      </c>
      <c r="F32055" s="40" t="s">
        <v>11404</v>
      </c>
      <c r="G32055" s="40" t="s">
        <v>11404</v>
      </c>
      <c r="H32055" s="40" t="s">
        <v>11404</v>
      </c>
    </row>
    <row r="32056">
      <c r="A32056" s="39"/>
      <c r="E32056" s="40" t="s">
        <v>11404</v>
      </c>
      <c r="F32056" s="40" t="s">
        <v>11404</v>
      </c>
      <c r="G32056" s="40" t="s">
        <v>11404</v>
      </c>
      <c r="H32056" s="40" t="s">
        <v>11404</v>
      </c>
    </row>
    <row r="32057">
      <c r="A32057" s="39"/>
      <c r="E32057" s="40" t="s">
        <v>11404</v>
      </c>
      <c r="F32057" s="40" t="s">
        <v>11404</v>
      </c>
      <c r="G32057" s="40" t="s">
        <v>11404</v>
      </c>
      <c r="H32057" s="40" t="s">
        <v>11404</v>
      </c>
    </row>
    <row r="32058">
      <c r="A32058" s="39"/>
      <c r="E32058" s="40" t="s">
        <v>11404</v>
      </c>
      <c r="F32058" s="40" t="s">
        <v>11404</v>
      </c>
      <c r="G32058" s="40" t="s">
        <v>11404</v>
      </c>
      <c r="H32058" s="40" t="s">
        <v>11404</v>
      </c>
    </row>
    <row r="32059">
      <c r="A32059" s="39"/>
      <c r="E32059" s="40" t="s">
        <v>11404</v>
      </c>
      <c r="F32059" s="40" t="s">
        <v>11404</v>
      </c>
      <c r="G32059" s="40" t="s">
        <v>11404</v>
      </c>
      <c r="H32059" s="40" t="s">
        <v>11404</v>
      </c>
    </row>
    <row r="32060">
      <c r="A32060" s="39"/>
      <c r="E32060" s="40" t="s">
        <v>11404</v>
      </c>
      <c r="F32060" s="40" t="s">
        <v>11404</v>
      </c>
      <c r="G32060" s="40" t="s">
        <v>11404</v>
      </c>
      <c r="H32060" s="40" t="s">
        <v>11404</v>
      </c>
    </row>
    <row r="32061">
      <c r="A32061" s="39"/>
      <c r="E32061" s="40" t="s">
        <v>11404</v>
      </c>
      <c r="F32061" s="40" t="s">
        <v>11404</v>
      </c>
      <c r="G32061" s="40" t="s">
        <v>11404</v>
      </c>
      <c r="H32061" s="40" t="s">
        <v>11404</v>
      </c>
    </row>
    <row r="32062">
      <c r="A32062" s="39"/>
      <c r="E32062" s="40" t="s">
        <v>11404</v>
      </c>
      <c r="F32062" s="40" t="s">
        <v>11404</v>
      </c>
      <c r="G32062" s="40" t="s">
        <v>11404</v>
      </c>
      <c r="H32062" s="40" t="s">
        <v>11404</v>
      </c>
    </row>
    <row r="32063">
      <c r="A32063" s="39"/>
      <c r="E32063" s="40" t="s">
        <v>11404</v>
      </c>
      <c r="F32063" s="40" t="s">
        <v>11404</v>
      </c>
      <c r="G32063" s="40" t="s">
        <v>11404</v>
      </c>
      <c r="H32063" s="40" t="s">
        <v>11404</v>
      </c>
    </row>
    <row r="32064">
      <c r="A32064" s="39"/>
      <c r="E32064" s="40" t="s">
        <v>11404</v>
      </c>
      <c r="F32064" s="40" t="s">
        <v>11404</v>
      </c>
      <c r="G32064" s="40" t="s">
        <v>11404</v>
      </c>
      <c r="H32064" s="40" t="s">
        <v>11404</v>
      </c>
    </row>
    <row r="32065">
      <c r="A32065" s="39"/>
      <c r="E32065" s="40" t="s">
        <v>11404</v>
      </c>
      <c r="F32065" s="40" t="s">
        <v>11404</v>
      </c>
      <c r="G32065" s="40" t="s">
        <v>11404</v>
      </c>
      <c r="H32065" s="40" t="s">
        <v>11404</v>
      </c>
    </row>
    <row r="32066">
      <c r="A32066" s="39"/>
      <c r="E32066" s="40" t="s">
        <v>11404</v>
      </c>
      <c r="F32066" s="40" t="s">
        <v>11404</v>
      </c>
      <c r="G32066" s="40" t="s">
        <v>11404</v>
      </c>
      <c r="H32066" s="40" t="s">
        <v>11404</v>
      </c>
    </row>
    <row r="32067">
      <c r="A32067" s="39"/>
      <c r="E32067" s="40" t="s">
        <v>11404</v>
      </c>
      <c r="F32067" s="40" t="s">
        <v>11404</v>
      </c>
      <c r="G32067" s="40" t="s">
        <v>11404</v>
      </c>
      <c r="H32067" s="40" t="s">
        <v>11404</v>
      </c>
    </row>
    <row r="32068">
      <c r="A32068" s="39"/>
      <c r="E32068" s="40" t="s">
        <v>11404</v>
      </c>
      <c r="F32068" s="40" t="s">
        <v>11404</v>
      </c>
      <c r="G32068" s="40" t="s">
        <v>11404</v>
      </c>
      <c r="H32068" s="40" t="s">
        <v>11404</v>
      </c>
    </row>
    <row r="32069">
      <c r="A32069" s="39"/>
      <c r="E32069" s="40" t="s">
        <v>11404</v>
      </c>
      <c r="F32069" s="40" t="s">
        <v>11404</v>
      </c>
      <c r="G32069" s="40" t="s">
        <v>11404</v>
      </c>
      <c r="H32069" s="40" t="s">
        <v>11404</v>
      </c>
    </row>
    <row r="32070">
      <c r="A32070" s="39"/>
      <c r="E32070" s="40" t="s">
        <v>11404</v>
      </c>
      <c r="F32070" s="40" t="s">
        <v>11404</v>
      </c>
      <c r="G32070" s="40" t="s">
        <v>11404</v>
      </c>
      <c r="H32070" s="40" t="s">
        <v>11404</v>
      </c>
    </row>
    <row r="32071">
      <c r="A32071" s="39"/>
      <c r="E32071" s="40" t="s">
        <v>11404</v>
      </c>
      <c r="F32071" s="40" t="s">
        <v>11404</v>
      </c>
      <c r="G32071" s="40" t="s">
        <v>11404</v>
      </c>
      <c r="H32071" s="40" t="s">
        <v>11404</v>
      </c>
    </row>
    <row r="32072">
      <c r="A32072" s="39"/>
      <c r="E32072" s="40" t="s">
        <v>11404</v>
      </c>
      <c r="F32072" s="40" t="s">
        <v>11404</v>
      </c>
      <c r="G32072" s="40" t="s">
        <v>11404</v>
      </c>
      <c r="H32072" s="40" t="s">
        <v>11404</v>
      </c>
    </row>
    <row r="32073">
      <c r="A32073" s="39"/>
      <c r="E32073" s="40" t="s">
        <v>11404</v>
      </c>
      <c r="F32073" s="40" t="s">
        <v>11404</v>
      </c>
      <c r="G32073" s="40" t="s">
        <v>11404</v>
      </c>
      <c r="H32073" s="40" t="s">
        <v>11404</v>
      </c>
    </row>
    <row r="32074">
      <c r="A32074" s="39"/>
      <c r="E32074" s="40" t="s">
        <v>11404</v>
      </c>
      <c r="F32074" s="40" t="s">
        <v>11404</v>
      </c>
      <c r="G32074" s="40" t="s">
        <v>11404</v>
      </c>
      <c r="H32074" s="40" t="s">
        <v>11404</v>
      </c>
    </row>
    <row r="32075">
      <c r="A32075" s="39"/>
      <c r="E32075" s="40" t="s">
        <v>11404</v>
      </c>
      <c r="F32075" s="40" t="s">
        <v>11404</v>
      </c>
      <c r="G32075" s="40" t="s">
        <v>11404</v>
      </c>
      <c r="H32075" s="40" t="s">
        <v>11404</v>
      </c>
    </row>
    <row r="32076">
      <c r="A32076" s="39"/>
      <c r="E32076" s="40" t="s">
        <v>11404</v>
      </c>
      <c r="F32076" s="40" t="s">
        <v>11404</v>
      </c>
      <c r="G32076" s="40" t="s">
        <v>11404</v>
      </c>
      <c r="H32076" s="40" t="s">
        <v>11404</v>
      </c>
    </row>
    <row r="32077">
      <c r="A32077" s="39"/>
      <c r="E32077" s="40" t="s">
        <v>11404</v>
      </c>
      <c r="F32077" s="40" t="s">
        <v>11404</v>
      </c>
      <c r="G32077" s="40" t="s">
        <v>11404</v>
      </c>
      <c r="H32077" s="40" t="s">
        <v>11404</v>
      </c>
    </row>
    <row r="32078">
      <c r="A32078" s="39"/>
      <c r="E32078" s="40" t="s">
        <v>11404</v>
      </c>
      <c r="F32078" s="40" t="s">
        <v>11404</v>
      </c>
      <c r="G32078" s="40" t="s">
        <v>11404</v>
      </c>
      <c r="H32078" s="40" t="s">
        <v>11404</v>
      </c>
    </row>
    <row r="32079">
      <c r="A32079" s="39"/>
      <c r="E32079" s="40" t="s">
        <v>11404</v>
      </c>
      <c r="F32079" s="40" t="s">
        <v>11404</v>
      </c>
      <c r="G32079" s="40" t="s">
        <v>11404</v>
      </c>
      <c r="H32079" s="40" t="s">
        <v>11404</v>
      </c>
    </row>
    <row r="32080">
      <c r="A32080" s="39"/>
      <c r="E32080" s="40" t="s">
        <v>11404</v>
      </c>
      <c r="F32080" s="40" t="s">
        <v>11404</v>
      </c>
      <c r="G32080" s="40" t="s">
        <v>11404</v>
      </c>
      <c r="H32080" s="40" t="s">
        <v>11404</v>
      </c>
    </row>
    <row r="32081">
      <c r="A32081" s="39"/>
      <c r="E32081" s="40" t="s">
        <v>11404</v>
      </c>
      <c r="F32081" s="40" t="s">
        <v>11404</v>
      </c>
      <c r="G32081" s="40" t="s">
        <v>11404</v>
      </c>
      <c r="H32081" s="40" t="s">
        <v>11404</v>
      </c>
    </row>
    <row r="32082">
      <c r="A32082" s="39"/>
      <c r="E32082" s="40" t="s">
        <v>11404</v>
      </c>
      <c r="F32082" s="40" t="s">
        <v>11404</v>
      </c>
      <c r="G32082" s="40" t="s">
        <v>11404</v>
      </c>
      <c r="H32082" s="40" t="s">
        <v>11404</v>
      </c>
    </row>
    <row r="32083">
      <c r="A32083" s="39"/>
      <c r="E32083" s="40" t="s">
        <v>11404</v>
      </c>
      <c r="F32083" s="40" t="s">
        <v>11404</v>
      </c>
      <c r="G32083" s="40" t="s">
        <v>11404</v>
      </c>
      <c r="H32083" s="40" t="s">
        <v>11404</v>
      </c>
    </row>
    <row r="32084">
      <c r="A32084" s="39"/>
      <c r="E32084" s="40" t="s">
        <v>11404</v>
      </c>
      <c r="F32084" s="40" t="s">
        <v>11404</v>
      </c>
      <c r="G32084" s="40" t="s">
        <v>11404</v>
      </c>
      <c r="H32084" s="40" t="s">
        <v>11404</v>
      </c>
    </row>
    <row r="32085">
      <c r="A32085" s="39"/>
      <c r="E32085" s="40" t="s">
        <v>11404</v>
      </c>
      <c r="F32085" s="40" t="s">
        <v>11404</v>
      </c>
      <c r="G32085" s="40" t="s">
        <v>11404</v>
      </c>
      <c r="H32085" s="40" t="s">
        <v>11404</v>
      </c>
    </row>
    <row r="32086">
      <c r="A32086" s="39"/>
      <c r="E32086" s="40" t="s">
        <v>11404</v>
      </c>
      <c r="F32086" s="40" t="s">
        <v>11404</v>
      </c>
      <c r="G32086" s="40" t="s">
        <v>11404</v>
      </c>
      <c r="H32086" s="40" t="s">
        <v>11404</v>
      </c>
    </row>
    <row r="32087">
      <c r="A32087" s="39"/>
      <c r="E32087" s="40" t="s">
        <v>11404</v>
      </c>
      <c r="F32087" s="40" t="s">
        <v>11404</v>
      </c>
      <c r="G32087" s="40" t="s">
        <v>11404</v>
      </c>
      <c r="H32087" s="40" t="s">
        <v>11404</v>
      </c>
    </row>
    <row r="32088">
      <c r="A32088" s="39"/>
      <c r="E32088" s="40" t="s">
        <v>11404</v>
      </c>
      <c r="F32088" s="40" t="s">
        <v>11404</v>
      </c>
      <c r="G32088" s="40" t="s">
        <v>11404</v>
      </c>
      <c r="H32088" s="40" t="s">
        <v>11404</v>
      </c>
    </row>
    <row r="32089">
      <c r="A32089" s="39"/>
      <c r="E32089" s="40" t="s">
        <v>11404</v>
      </c>
      <c r="F32089" s="40" t="s">
        <v>11404</v>
      </c>
      <c r="G32089" s="40" t="s">
        <v>11404</v>
      </c>
      <c r="H32089" s="40" t="s">
        <v>11404</v>
      </c>
    </row>
    <row r="32090">
      <c r="A32090" s="39"/>
      <c r="E32090" s="40" t="s">
        <v>11404</v>
      </c>
      <c r="F32090" s="40" t="s">
        <v>11404</v>
      </c>
      <c r="G32090" s="40" t="s">
        <v>11404</v>
      </c>
      <c r="H32090" s="40" t="s">
        <v>11404</v>
      </c>
    </row>
    <row r="32091">
      <c r="A32091" s="39"/>
      <c r="E32091" s="40" t="s">
        <v>11404</v>
      </c>
      <c r="F32091" s="40" t="s">
        <v>11404</v>
      </c>
      <c r="G32091" s="40" t="s">
        <v>11404</v>
      </c>
      <c r="H32091" s="40" t="s">
        <v>11404</v>
      </c>
    </row>
    <row r="32092">
      <c r="A32092" s="39"/>
      <c r="E32092" s="40" t="s">
        <v>11404</v>
      </c>
      <c r="F32092" s="40" t="s">
        <v>11404</v>
      </c>
      <c r="G32092" s="40" t="s">
        <v>11404</v>
      </c>
      <c r="H32092" s="40" t="s">
        <v>11404</v>
      </c>
    </row>
    <row r="32093">
      <c r="A32093" s="39"/>
      <c r="E32093" s="40" t="s">
        <v>11404</v>
      </c>
      <c r="F32093" s="40" t="s">
        <v>11404</v>
      </c>
      <c r="G32093" s="40" t="s">
        <v>11404</v>
      </c>
      <c r="H32093" s="40" t="s">
        <v>11404</v>
      </c>
    </row>
    <row r="32094">
      <c r="A32094" s="39"/>
      <c r="E32094" s="40" t="s">
        <v>11404</v>
      </c>
      <c r="F32094" s="40" t="s">
        <v>11404</v>
      </c>
      <c r="G32094" s="40" t="s">
        <v>11404</v>
      </c>
      <c r="H32094" s="40" t="s">
        <v>11404</v>
      </c>
    </row>
    <row r="32095">
      <c r="A32095" s="39"/>
      <c r="E32095" s="40" t="s">
        <v>11404</v>
      </c>
      <c r="F32095" s="40" t="s">
        <v>11404</v>
      </c>
      <c r="G32095" s="40" t="s">
        <v>11404</v>
      </c>
      <c r="H32095" s="40" t="s">
        <v>11404</v>
      </c>
    </row>
    <row r="32096">
      <c r="A32096" s="39"/>
      <c r="E32096" s="40" t="s">
        <v>11404</v>
      </c>
      <c r="F32096" s="40" t="s">
        <v>11404</v>
      </c>
      <c r="G32096" s="40" t="s">
        <v>11404</v>
      </c>
      <c r="H32096" s="40" t="s">
        <v>11404</v>
      </c>
    </row>
    <row r="32097">
      <c r="A32097" s="39"/>
      <c r="E32097" s="40" t="s">
        <v>11404</v>
      </c>
      <c r="F32097" s="40" t="s">
        <v>11404</v>
      </c>
      <c r="G32097" s="40" t="s">
        <v>11404</v>
      </c>
      <c r="H32097" s="40" t="s">
        <v>11404</v>
      </c>
    </row>
    <row r="32098">
      <c r="A32098" s="39"/>
      <c r="E32098" s="40" t="s">
        <v>11404</v>
      </c>
      <c r="F32098" s="40" t="s">
        <v>11404</v>
      </c>
      <c r="G32098" s="40" t="s">
        <v>11404</v>
      </c>
      <c r="H32098" s="40" t="s">
        <v>11404</v>
      </c>
    </row>
    <row r="32099">
      <c r="A32099" s="39"/>
      <c r="E32099" s="40" t="s">
        <v>11404</v>
      </c>
      <c r="F32099" s="40" t="s">
        <v>11404</v>
      </c>
      <c r="G32099" s="40" t="s">
        <v>11404</v>
      </c>
      <c r="H32099" s="40" t="s">
        <v>11404</v>
      </c>
    </row>
    <row r="32100">
      <c r="A32100" s="39"/>
      <c r="E32100" s="40" t="s">
        <v>11404</v>
      </c>
      <c r="F32100" s="40" t="s">
        <v>11404</v>
      </c>
      <c r="G32100" s="40" t="s">
        <v>11404</v>
      </c>
      <c r="H32100" s="40" t="s">
        <v>11404</v>
      </c>
    </row>
    <row r="32101">
      <c r="A32101" s="39"/>
      <c r="E32101" s="40" t="s">
        <v>11404</v>
      </c>
      <c r="F32101" s="40" t="s">
        <v>11404</v>
      </c>
      <c r="G32101" s="40" t="s">
        <v>11404</v>
      </c>
      <c r="H32101" s="40" t="s">
        <v>11404</v>
      </c>
    </row>
    <row r="32102">
      <c r="A32102" s="39"/>
      <c r="E32102" s="40" t="s">
        <v>11404</v>
      </c>
      <c r="F32102" s="40" t="s">
        <v>11404</v>
      </c>
      <c r="G32102" s="40" t="s">
        <v>11404</v>
      </c>
      <c r="H32102" s="40" t="s">
        <v>11404</v>
      </c>
    </row>
    <row r="32103">
      <c r="A32103" s="39"/>
      <c r="E32103" s="40" t="s">
        <v>11404</v>
      </c>
      <c r="F32103" s="40" t="s">
        <v>11404</v>
      </c>
      <c r="G32103" s="40" t="s">
        <v>11404</v>
      </c>
      <c r="H32103" s="40" t="s">
        <v>11404</v>
      </c>
    </row>
    <row r="32104">
      <c r="A32104" s="39"/>
      <c r="E32104" s="40" t="s">
        <v>11404</v>
      </c>
      <c r="F32104" s="40" t="s">
        <v>11404</v>
      </c>
      <c r="G32104" s="40" t="s">
        <v>11404</v>
      </c>
      <c r="H32104" s="40" t="s">
        <v>11404</v>
      </c>
    </row>
    <row r="32105">
      <c r="A32105" s="39"/>
      <c r="E32105" s="40" t="s">
        <v>11404</v>
      </c>
      <c r="F32105" s="40" t="s">
        <v>11404</v>
      </c>
      <c r="G32105" s="40" t="s">
        <v>11404</v>
      </c>
      <c r="H32105" s="40" t="s">
        <v>11404</v>
      </c>
    </row>
    <row r="32106">
      <c r="A32106" s="39"/>
      <c r="E32106" s="40" t="s">
        <v>11404</v>
      </c>
      <c r="F32106" s="40" t="s">
        <v>11404</v>
      </c>
      <c r="G32106" s="40" t="s">
        <v>11404</v>
      </c>
      <c r="H32106" s="40" t="s">
        <v>11404</v>
      </c>
    </row>
    <row r="32107">
      <c r="A32107" s="39"/>
      <c r="E32107" s="40" t="s">
        <v>11404</v>
      </c>
      <c r="F32107" s="40" t="s">
        <v>11404</v>
      </c>
      <c r="G32107" s="40" t="s">
        <v>11404</v>
      </c>
      <c r="H32107" s="40" t="s">
        <v>11404</v>
      </c>
    </row>
    <row r="32108">
      <c r="A32108" s="39"/>
      <c r="E32108" s="40" t="s">
        <v>11404</v>
      </c>
      <c r="F32108" s="40" t="s">
        <v>11404</v>
      </c>
      <c r="G32108" s="40" t="s">
        <v>11404</v>
      </c>
      <c r="H32108" s="40" t="s">
        <v>11404</v>
      </c>
    </row>
    <row r="32109">
      <c r="A32109" s="39"/>
      <c r="E32109" s="40" t="s">
        <v>11404</v>
      </c>
      <c r="F32109" s="40" t="s">
        <v>11404</v>
      </c>
      <c r="G32109" s="40" t="s">
        <v>11404</v>
      </c>
      <c r="H32109" s="40" t="s">
        <v>11404</v>
      </c>
    </row>
    <row r="32110">
      <c r="A32110" s="39"/>
      <c r="E32110" s="40" t="s">
        <v>11404</v>
      </c>
      <c r="F32110" s="40" t="s">
        <v>11404</v>
      </c>
      <c r="G32110" s="40" t="s">
        <v>11404</v>
      </c>
      <c r="H32110" s="40" t="s">
        <v>11404</v>
      </c>
    </row>
    <row r="32111">
      <c r="A32111" s="39"/>
      <c r="E32111" s="40" t="s">
        <v>11404</v>
      </c>
      <c r="F32111" s="40" t="s">
        <v>11404</v>
      </c>
      <c r="G32111" s="40" t="s">
        <v>11404</v>
      </c>
      <c r="H32111" s="40" t="s">
        <v>11404</v>
      </c>
    </row>
    <row r="32112">
      <c r="A32112" s="39"/>
      <c r="E32112" s="40" t="s">
        <v>11404</v>
      </c>
      <c r="F32112" s="40" t="s">
        <v>11404</v>
      </c>
      <c r="G32112" s="40" t="s">
        <v>11404</v>
      </c>
      <c r="H32112" s="40" t="s">
        <v>11404</v>
      </c>
    </row>
    <row r="32113">
      <c r="A32113" s="39"/>
      <c r="E32113" s="40" t="s">
        <v>11404</v>
      </c>
      <c r="F32113" s="40" t="s">
        <v>11404</v>
      </c>
      <c r="G32113" s="40" t="s">
        <v>11404</v>
      </c>
      <c r="H32113" s="40" t="s">
        <v>11404</v>
      </c>
    </row>
    <row r="32114">
      <c r="A32114" s="39"/>
      <c r="E32114" s="40" t="s">
        <v>11404</v>
      </c>
      <c r="F32114" s="40" t="s">
        <v>11404</v>
      </c>
      <c r="G32114" s="40" t="s">
        <v>11404</v>
      </c>
      <c r="H32114" s="40" t="s">
        <v>11404</v>
      </c>
    </row>
    <row r="32115">
      <c r="A32115" s="39"/>
      <c r="E32115" s="40" t="s">
        <v>11404</v>
      </c>
      <c r="F32115" s="40" t="s">
        <v>11404</v>
      </c>
      <c r="G32115" s="40" t="s">
        <v>11404</v>
      </c>
      <c r="H32115" s="40" t="s">
        <v>11404</v>
      </c>
    </row>
    <row r="32116">
      <c r="A32116" s="39"/>
      <c r="E32116" s="40" t="s">
        <v>11404</v>
      </c>
      <c r="F32116" s="40" t="s">
        <v>11404</v>
      </c>
      <c r="G32116" s="40" t="s">
        <v>11404</v>
      </c>
      <c r="H32116" s="40" t="s">
        <v>11404</v>
      </c>
    </row>
    <row r="32117">
      <c r="A32117" s="39"/>
      <c r="E32117" s="40" t="s">
        <v>11404</v>
      </c>
      <c r="F32117" s="40" t="s">
        <v>11404</v>
      </c>
      <c r="G32117" s="40" t="s">
        <v>11404</v>
      </c>
      <c r="H32117" s="40" t="s">
        <v>11404</v>
      </c>
    </row>
    <row r="32118">
      <c r="A32118" s="39"/>
      <c r="E32118" s="40" t="s">
        <v>11404</v>
      </c>
      <c r="F32118" s="40" t="s">
        <v>11404</v>
      </c>
      <c r="G32118" s="40" t="s">
        <v>11404</v>
      </c>
      <c r="H32118" s="40" t="s">
        <v>11404</v>
      </c>
    </row>
    <row r="32119">
      <c r="A32119" s="39"/>
      <c r="E32119" s="40" t="s">
        <v>11404</v>
      </c>
      <c r="F32119" s="40" t="s">
        <v>11404</v>
      </c>
      <c r="G32119" s="40" t="s">
        <v>11404</v>
      </c>
      <c r="H32119" s="40" t="s">
        <v>11404</v>
      </c>
    </row>
    <row r="32120">
      <c r="A32120" s="39"/>
      <c r="E32120" s="40" t="s">
        <v>11404</v>
      </c>
      <c r="F32120" s="40" t="s">
        <v>11404</v>
      </c>
      <c r="G32120" s="40" t="s">
        <v>11404</v>
      </c>
      <c r="H32120" s="40" t="s">
        <v>11404</v>
      </c>
    </row>
    <row r="32121">
      <c r="A32121" s="39"/>
      <c r="E32121" s="40" t="s">
        <v>11404</v>
      </c>
      <c r="F32121" s="40" t="s">
        <v>11404</v>
      </c>
      <c r="G32121" s="40" t="s">
        <v>11404</v>
      </c>
      <c r="H32121" s="40" t="s">
        <v>11404</v>
      </c>
    </row>
    <row r="32122">
      <c r="A32122" s="39"/>
      <c r="E32122" s="40" t="s">
        <v>11404</v>
      </c>
      <c r="F32122" s="40" t="s">
        <v>11404</v>
      </c>
      <c r="G32122" s="40" t="s">
        <v>11404</v>
      </c>
      <c r="H32122" s="40" t="s">
        <v>11404</v>
      </c>
    </row>
    <row r="32123">
      <c r="A32123" s="39"/>
      <c r="E32123" s="40" t="s">
        <v>11404</v>
      </c>
      <c r="F32123" s="40" t="s">
        <v>11404</v>
      </c>
      <c r="G32123" s="40" t="s">
        <v>11404</v>
      </c>
      <c r="H32123" s="40" t="s">
        <v>11404</v>
      </c>
    </row>
    <row r="32124">
      <c r="A32124" s="39"/>
      <c r="E32124" s="40" t="s">
        <v>11404</v>
      </c>
      <c r="F32124" s="40" t="s">
        <v>11404</v>
      </c>
      <c r="G32124" s="40" t="s">
        <v>11404</v>
      </c>
      <c r="H32124" s="40" t="s">
        <v>11404</v>
      </c>
    </row>
    <row r="32125">
      <c r="A32125" s="39"/>
      <c r="E32125" s="40" t="s">
        <v>11404</v>
      </c>
      <c r="F32125" s="40" t="s">
        <v>11404</v>
      </c>
      <c r="G32125" s="40" t="s">
        <v>11404</v>
      </c>
      <c r="H32125" s="40" t="s">
        <v>11404</v>
      </c>
    </row>
    <row r="32126">
      <c r="A32126" s="39"/>
      <c r="E32126" s="40" t="s">
        <v>11404</v>
      </c>
      <c r="F32126" s="40" t="s">
        <v>11404</v>
      </c>
      <c r="G32126" s="40" t="s">
        <v>11404</v>
      </c>
      <c r="H32126" s="40" t="s">
        <v>11404</v>
      </c>
    </row>
    <row r="32127">
      <c r="A32127" s="39"/>
      <c r="E32127" s="40" t="s">
        <v>11404</v>
      </c>
      <c r="F32127" s="40" t="s">
        <v>11404</v>
      </c>
      <c r="G32127" s="40" t="s">
        <v>11404</v>
      </c>
      <c r="H32127" s="40" t="s">
        <v>11404</v>
      </c>
    </row>
    <row r="32128">
      <c r="A32128" s="39"/>
      <c r="E32128" s="40" t="s">
        <v>11404</v>
      </c>
      <c r="F32128" s="40" t="s">
        <v>11404</v>
      </c>
      <c r="G32128" s="40" t="s">
        <v>11404</v>
      </c>
      <c r="H32128" s="40" t="s">
        <v>11404</v>
      </c>
    </row>
    <row r="32129">
      <c r="A32129" s="39"/>
      <c r="E32129" s="40" t="s">
        <v>11404</v>
      </c>
      <c r="F32129" s="40" t="s">
        <v>11404</v>
      </c>
      <c r="G32129" s="40" t="s">
        <v>11404</v>
      </c>
      <c r="H32129" s="40" t="s">
        <v>11404</v>
      </c>
    </row>
    <row r="32130">
      <c r="A32130" s="39"/>
      <c r="E32130" s="40" t="s">
        <v>11404</v>
      </c>
      <c r="F32130" s="40" t="s">
        <v>11404</v>
      </c>
      <c r="G32130" s="40" t="s">
        <v>11404</v>
      </c>
      <c r="H32130" s="40" t="s">
        <v>11404</v>
      </c>
    </row>
    <row r="32131">
      <c r="A32131" s="39"/>
      <c r="E32131" s="40" t="s">
        <v>11404</v>
      </c>
      <c r="F32131" s="40" t="s">
        <v>11404</v>
      </c>
      <c r="G32131" s="40" t="s">
        <v>11404</v>
      </c>
      <c r="H32131" s="40" t="s">
        <v>11404</v>
      </c>
    </row>
    <row r="32132">
      <c r="A32132" s="39"/>
      <c r="E32132" s="40" t="s">
        <v>11404</v>
      </c>
      <c r="F32132" s="40" t="s">
        <v>11404</v>
      </c>
      <c r="G32132" s="40" t="s">
        <v>11404</v>
      </c>
      <c r="H32132" s="40" t="s">
        <v>11404</v>
      </c>
    </row>
    <row r="32133">
      <c r="A32133" s="39"/>
      <c r="E32133" s="40" t="s">
        <v>11404</v>
      </c>
      <c r="F32133" s="40" t="s">
        <v>11404</v>
      </c>
      <c r="G32133" s="40" t="s">
        <v>11404</v>
      </c>
      <c r="H32133" s="40" t="s">
        <v>11404</v>
      </c>
    </row>
    <row r="32134">
      <c r="A32134" s="39"/>
      <c r="E32134" s="40" t="s">
        <v>11404</v>
      </c>
      <c r="F32134" s="40" t="s">
        <v>11404</v>
      </c>
      <c r="G32134" s="40" t="s">
        <v>11404</v>
      </c>
      <c r="H32134" s="40" t="s">
        <v>11404</v>
      </c>
    </row>
    <row r="32135">
      <c r="A32135" s="39"/>
      <c r="E32135" s="40" t="s">
        <v>11404</v>
      </c>
      <c r="F32135" s="40" t="s">
        <v>11404</v>
      </c>
      <c r="G32135" s="40" t="s">
        <v>11404</v>
      </c>
      <c r="H32135" s="40" t="s">
        <v>11404</v>
      </c>
    </row>
    <row r="32136">
      <c r="A32136" s="39"/>
      <c r="E32136" s="40" t="s">
        <v>11404</v>
      </c>
      <c r="F32136" s="40" t="s">
        <v>11404</v>
      </c>
      <c r="G32136" s="40" t="s">
        <v>11404</v>
      </c>
      <c r="H32136" s="40" t="s">
        <v>11404</v>
      </c>
    </row>
    <row r="32137">
      <c r="A32137" s="39"/>
      <c r="E32137" s="40" t="s">
        <v>11404</v>
      </c>
      <c r="F32137" s="40" t="s">
        <v>11404</v>
      </c>
      <c r="G32137" s="40" t="s">
        <v>11404</v>
      </c>
      <c r="H32137" s="40" t="s">
        <v>11404</v>
      </c>
    </row>
    <row r="32138">
      <c r="A32138" s="39"/>
      <c r="E32138" s="40" t="s">
        <v>11404</v>
      </c>
      <c r="F32138" s="40" t="s">
        <v>11404</v>
      </c>
      <c r="G32138" s="40" t="s">
        <v>11404</v>
      </c>
      <c r="H32138" s="40" t="s">
        <v>11404</v>
      </c>
    </row>
    <row r="32139">
      <c r="A32139" s="39"/>
      <c r="E32139" s="40" t="s">
        <v>11404</v>
      </c>
      <c r="F32139" s="40" t="s">
        <v>11404</v>
      </c>
      <c r="G32139" s="40" t="s">
        <v>11404</v>
      </c>
      <c r="H32139" s="40" t="s">
        <v>11404</v>
      </c>
    </row>
    <row r="32140">
      <c r="A32140" s="39"/>
      <c r="E32140" s="40" t="s">
        <v>11404</v>
      </c>
      <c r="F32140" s="40" t="s">
        <v>11404</v>
      </c>
      <c r="G32140" s="40" t="s">
        <v>11404</v>
      </c>
      <c r="H32140" s="40" t="s">
        <v>11404</v>
      </c>
    </row>
    <row r="32141">
      <c r="A32141" s="39"/>
      <c r="E32141" s="40" t="s">
        <v>11404</v>
      </c>
      <c r="F32141" s="40" t="s">
        <v>11404</v>
      </c>
      <c r="G32141" s="40" t="s">
        <v>11404</v>
      </c>
      <c r="H32141" s="40" t="s">
        <v>11404</v>
      </c>
    </row>
    <row r="32142">
      <c r="A32142" s="39"/>
      <c r="E32142" s="40" t="s">
        <v>11404</v>
      </c>
      <c r="F32142" s="40" t="s">
        <v>11404</v>
      </c>
      <c r="G32142" s="40" t="s">
        <v>11404</v>
      </c>
      <c r="H32142" s="40" t="s">
        <v>11404</v>
      </c>
    </row>
    <row r="32143">
      <c r="A32143" s="39"/>
      <c r="E32143" s="40" t="s">
        <v>11404</v>
      </c>
      <c r="F32143" s="40" t="s">
        <v>11404</v>
      </c>
      <c r="G32143" s="40" t="s">
        <v>11404</v>
      </c>
      <c r="H32143" s="40" t="s">
        <v>11404</v>
      </c>
    </row>
    <row r="32144">
      <c r="A32144" s="39"/>
      <c r="E32144" s="40" t="s">
        <v>11404</v>
      </c>
      <c r="F32144" s="40" t="s">
        <v>11404</v>
      </c>
      <c r="G32144" s="40" t="s">
        <v>11404</v>
      </c>
      <c r="H32144" s="40" t="s">
        <v>11404</v>
      </c>
    </row>
    <row r="32145">
      <c r="A32145" s="39"/>
      <c r="E32145" s="40" t="s">
        <v>11404</v>
      </c>
      <c r="F32145" s="40" t="s">
        <v>11404</v>
      </c>
      <c r="G32145" s="40" t="s">
        <v>11404</v>
      </c>
      <c r="H32145" s="40" t="s">
        <v>11404</v>
      </c>
    </row>
    <row r="32146">
      <c r="A32146" s="39"/>
      <c r="E32146" s="40" t="s">
        <v>11404</v>
      </c>
      <c r="F32146" s="40" t="s">
        <v>11404</v>
      </c>
      <c r="G32146" s="40" t="s">
        <v>11404</v>
      </c>
      <c r="H32146" s="40" t="s">
        <v>11404</v>
      </c>
    </row>
    <row r="32147">
      <c r="A32147" s="39"/>
      <c r="E32147" s="40" t="s">
        <v>11404</v>
      </c>
      <c r="F32147" s="40" t="s">
        <v>11404</v>
      </c>
      <c r="G32147" s="40" t="s">
        <v>11404</v>
      </c>
      <c r="H32147" s="40" t="s">
        <v>11404</v>
      </c>
    </row>
    <row r="32148">
      <c r="A32148" s="39"/>
      <c r="E32148" s="40" t="s">
        <v>11404</v>
      </c>
      <c r="F32148" s="40" t="s">
        <v>11404</v>
      </c>
      <c r="G32148" s="40" t="s">
        <v>11404</v>
      </c>
      <c r="H32148" s="40" t="s">
        <v>11404</v>
      </c>
    </row>
    <row r="32149">
      <c r="A32149" s="39"/>
      <c r="E32149" s="40" t="s">
        <v>11404</v>
      </c>
      <c r="F32149" s="40" t="s">
        <v>11404</v>
      </c>
      <c r="G32149" s="40" t="s">
        <v>11404</v>
      </c>
      <c r="H32149" s="40" t="s">
        <v>11404</v>
      </c>
    </row>
    <row r="32150">
      <c r="A32150" s="39"/>
      <c r="E32150" s="40" t="s">
        <v>11404</v>
      </c>
      <c r="F32150" s="40" t="s">
        <v>11404</v>
      </c>
      <c r="G32150" s="40" t="s">
        <v>11404</v>
      </c>
      <c r="H32150" s="40" t="s">
        <v>11404</v>
      </c>
    </row>
    <row r="32151">
      <c r="A32151" s="39"/>
      <c r="E32151" s="40" t="s">
        <v>11404</v>
      </c>
      <c r="F32151" s="40" t="s">
        <v>11404</v>
      </c>
      <c r="G32151" s="40" t="s">
        <v>11404</v>
      </c>
      <c r="H32151" s="40" t="s">
        <v>11404</v>
      </c>
    </row>
    <row r="32152">
      <c r="A32152" s="39"/>
      <c r="E32152" s="40" t="s">
        <v>11404</v>
      </c>
      <c r="F32152" s="40" t="s">
        <v>11404</v>
      </c>
      <c r="G32152" s="40" t="s">
        <v>11404</v>
      </c>
      <c r="H32152" s="40" t="s">
        <v>11404</v>
      </c>
    </row>
    <row r="32153">
      <c r="A32153" s="39"/>
      <c r="E32153" s="40" t="s">
        <v>11404</v>
      </c>
      <c r="F32153" s="40" t="s">
        <v>11404</v>
      </c>
      <c r="G32153" s="40" t="s">
        <v>11404</v>
      </c>
      <c r="H32153" s="40" t="s">
        <v>11404</v>
      </c>
    </row>
    <row r="32154">
      <c r="A32154" s="39"/>
      <c r="E32154" s="40" t="s">
        <v>11404</v>
      </c>
      <c r="F32154" s="40" t="s">
        <v>11404</v>
      </c>
      <c r="G32154" s="40" t="s">
        <v>11404</v>
      </c>
      <c r="H32154" s="40" t="s">
        <v>11404</v>
      </c>
    </row>
    <row r="32155">
      <c r="A32155" s="39"/>
      <c r="E32155" s="40" t="s">
        <v>11404</v>
      </c>
      <c r="F32155" s="40" t="s">
        <v>11404</v>
      </c>
      <c r="G32155" s="40" t="s">
        <v>11404</v>
      </c>
      <c r="H32155" s="40" t="s">
        <v>11404</v>
      </c>
    </row>
    <row r="32156">
      <c r="A32156" s="39"/>
      <c r="E32156" s="40" t="s">
        <v>11404</v>
      </c>
      <c r="F32156" s="40" t="s">
        <v>11404</v>
      </c>
      <c r="G32156" s="40" t="s">
        <v>11404</v>
      </c>
      <c r="H32156" s="40" t="s">
        <v>11404</v>
      </c>
    </row>
    <row r="32157">
      <c r="A32157" s="39"/>
      <c r="E32157" s="40" t="s">
        <v>11404</v>
      </c>
      <c r="F32157" s="40" t="s">
        <v>11404</v>
      </c>
      <c r="G32157" s="40" t="s">
        <v>11404</v>
      </c>
      <c r="H32157" s="40" t="s">
        <v>11404</v>
      </c>
    </row>
    <row r="32158">
      <c r="A32158" s="39"/>
      <c r="E32158" s="40" t="s">
        <v>11404</v>
      </c>
      <c r="F32158" s="40" t="s">
        <v>11404</v>
      </c>
      <c r="G32158" s="40" t="s">
        <v>11404</v>
      </c>
      <c r="H32158" s="40" t="s">
        <v>11404</v>
      </c>
    </row>
    <row r="32159">
      <c r="A32159" s="39"/>
      <c r="E32159" s="40" t="s">
        <v>11404</v>
      </c>
      <c r="F32159" s="40" t="s">
        <v>11404</v>
      </c>
      <c r="G32159" s="40" t="s">
        <v>11404</v>
      </c>
      <c r="H32159" s="40" t="s">
        <v>11404</v>
      </c>
    </row>
    <row r="32160">
      <c r="A32160" s="39"/>
      <c r="E32160" s="40" t="s">
        <v>11404</v>
      </c>
      <c r="F32160" s="40" t="s">
        <v>11404</v>
      </c>
      <c r="G32160" s="40" t="s">
        <v>11404</v>
      </c>
      <c r="H32160" s="40" t="s">
        <v>11404</v>
      </c>
    </row>
    <row r="32161">
      <c r="A32161" s="39"/>
      <c r="E32161" s="40" t="s">
        <v>11404</v>
      </c>
      <c r="F32161" s="40" t="s">
        <v>11404</v>
      </c>
      <c r="G32161" s="40" t="s">
        <v>11404</v>
      </c>
      <c r="H32161" s="40" t="s">
        <v>11404</v>
      </c>
    </row>
    <row r="32162">
      <c r="A32162" s="39"/>
      <c r="E32162" s="40" t="s">
        <v>11404</v>
      </c>
      <c r="F32162" s="40" t="s">
        <v>11404</v>
      </c>
      <c r="G32162" s="40" t="s">
        <v>11404</v>
      </c>
      <c r="H32162" s="40" t="s">
        <v>11404</v>
      </c>
    </row>
    <row r="32163">
      <c r="A32163" s="39"/>
      <c r="E32163" s="40" t="s">
        <v>11404</v>
      </c>
      <c r="F32163" s="40" t="s">
        <v>11404</v>
      </c>
      <c r="G32163" s="40" t="s">
        <v>11404</v>
      </c>
      <c r="H32163" s="40" t="s">
        <v>11404</v>
      </c>
    </row>
    <row r="32164">
      <c r="A32164" s="39"/>
      <c r="E32164" s="40" t="s">
        <v>11404</v>
      </c>
      <c r="F32164" s="40" t="s">
        <v>11404</v>
      </c>
      <c r="G32164" s="40" t="s">
        <v>11404</v>
      </c>
      <c r="H32164" s="40" t="s">
        <v>11404</v>
      </c>
    </row>
    <row r="32165">
      <c r="A32165" s="39"/>
      <c r="E32165" s="40" t="s">
        <v>11404</v>
      </c>
      <c r="F32165" s="40" t="s">
        <v>11404</v>
      </c>
      <c r="G32165" s="40" t="s">
        <v>11404</v>
      </c>
      <c r="H32165" s="40" t="s">
        <v>11404</v>
      </c>
    </row>
    <row r="32166">
      <c r="A32166" s="39"/>
      <c r="E32166" s="40" t="s">
        <v>11404</v>
      </c>
      <c r="F32166" s="40" t="s">
        <v>11404</v>
      </c>
      <c r="G32166" s="40" t="s">
        <v>11404</v>
      </c>
      <c r="H32166" s="40" t="s">
        <v>11404</v>
      </c>
    </row>
    <row r="32167">
      <c r="A32167" s="39"/>
      <c r="E32167" s="40" t="s">
        <v>11404</v>
      </c>
      <c r="F32167" s="40" t="s">
        <v>11404</v>
      </c>
      <c r="G32167" s="40" t="s">
        <v>11404</v>
      </c>
      <c r="H32167" s="40" t="s">
        <v>11404</v>
      </c>
    </row>
    <row r="32168">
      <c r="A32168" s="39"/>
      <c r="E32168" s="40" t="s">
        <v>11404</v>
      </c>
      <c r="F32168" s="40" t="s">
        <v>11404</v>
      </c>
      <c r="G32168" s="40" t="s">
        <v>11404</v>
      </c>
      <c r="H32168" s="40" t="s">
        <v>11404</v>
      </c>
    </row>
    <row r="32169">
      <c r="A32169" s="39"/>
      <c r="E32169" s="40" t="s">
        <v>11404</v>
      </c>
      <c r="F32169" s="40" t="s">
        <v>11404</v>
      </c>
      <c r="G32169" s="40" t="s">
        <v>11404</v>
      </c>
      <c r="H32169" s="40" t="s">
        <v>11404</v>
      </c>
    </row>
    <row r="32170">
      <c r="A32170" s="39"/>
      <c r="E32170" s="40" t="s">
        <v>11404</v>
      </c>
      <c r="F32170" s="40" t="s">
        <v>11404</v>
      </c>
      <c r="G32170" s="40" t="s">
        <v>11404</v>
      </c>
      <c r="H32170" s="40" t="s">
        <v>11404</v>
      </c>
    </row>
    <row r="32171">
      <c r="A32171" s="39"/>
      <c r="E32171" s="40" t="s">
        <v>11404</v>
      </c>
      <c r="F32171" s="40" t="s">
        <v>11404</v>
      </c>
      <c r="G32171" s="40" t="s">
        <v>11404</v>
      </c>
      <c r="H32171" s="40" t="s">
        <v>11404</v>
      </c>
    </row>
    <row r="32172">
      <c r="A32172" s="39"/>
      <c r="E32172" s="40" t="s">
        <v>11404</v>
      </c>
      <c r="F32172" s="40" t="s">
        <v>11404</v>
      </c>
      <c r="G32172" s="40" t="s">
        <v>11404</v>
      </c>
      <c r="H32172" s="40" t="s">
        <v>11404</v>
      </c>
    </row>
    <row r="32173">
      <c r="A32173" s="39"/>
      <c r="E32173" s="40" t="s">
        <v>11404</v>
      </c>
      <c r="F32173" s="40" t="s">
        <v>11404</v>
      </c>
      <c r="G32173" s="40" t="s">
        <v>11404</v>
      </c>
      <c r="H32173" s="40" t="s">
        <v>11404</v>
      </c>
    </row>
    <row r="32174">
      <c r="A32174" s="39"/>
      <c r="E32174" s="40" t="s">
        <v>11404</v>
      </c>
      <c r="F32174" s="40" t="s">
        <v>11404</v>
      </c>
      <c r="G32174" s="40" t="s">
        <v>11404</v>
      </c>
      <c r="H32174" s="40" t="s">
        <v>11404</v>
      </c>
    </row>
    <row r="32175">
      <c r="A32175" s="39"/>
      <c r="E32175" s="40" t="s">
        <v>11404</v>
      </c>
      <c r="F32175" s="40" t="s">
        <v>11404</v>
      </c>
      <c r="G32175" s="40" t="s">
        <v>11404</v>
      </c>
      <c r="H32175" s="40" t="s">
        <v>11404</v>
      </c>
    </row>
    <row r="32176">
      <c r="A32176" s="39"/>
      <c r="E32176" s="40" t="s">
        <v>11404</v>
      </c>
      <c r="F32176" s="40" t="s">
        <v>11404</v>
      </c>
      <c r="G32176" s="40" t="s">
        <v>11404</v>
      </c>
      <c r="H32176" s="40" t="s">
        <v>11404</v>
      </c>
    </row>
    <row r="32177">
      <c r="A32177" s="39"/>
      <c r="E32177" s="40" t="s">
        <v>11404</v>
      </c>
      <c r="F32177" s="40" t="s">
        <v>11404</v>
      </c>
      <c r="G32177" s="40" t="s">
        <v>11404</v>
      </c>
      <c r="H32177" s="40" t="s">
        <v>11404</v>
      </c>
    </row>
    <row r="32178">
      <c r="A32178" s="39"/>
      <c r="E32178" s="40" t="s">
        <v>11404</v>
      </c>
      <c r="F32178" s="40" t="s">
        <v>11404</v>
      </c>
      <c r="G32178" s="40" t="s">
        <v>11404</v>
      </c>
      <c r="H32178" s="40" t="s">
        <v>11404</v>
      </c>
    </row>
    <row r="32179">
      <c r="A32179" s="39"/>
      <c r="E32179" s="40" t="s">
        <v>11404</v>
      </c>
      <c r="F32179" s="40" t="s">
        <v>11404</v>
      </c>
      <c r="G32179" s="40" t="s">
        <v>11404</v>
      </c>
      <c r="H32179" s="40" t="s">
        <v>11404</v>
      </c>
    </row>
    <row r="32180">
      <c r="A32180" s="39"/>
      <c r="E32180" s="40" t="s">
        <v>11404</v>
      </c>
      <c r="F32180" s="40" t="s">
        <v>11404</v>
      </c>
      <c r="G32180" s="40" t="s">
        <v>11404</v>
      </c>
      <c r="H32180" s="40" t="s">
        <v>11404</v>
      </c>
    </row>
    <row r="32181">
      <c r="A32181" s="39"/>
      <c r="E32181" s="40" t="s">
        <v>11404</v>
      </c>
      <c r="F32181" s="40" t="s">
        <v>11404</v>
      </c>
      <c r="G32181" s="40" t="s">
        <v>11404</v>
      </c>
      <c r="H32181" s="40" t="s">
        <v>11404</v>
      </c>
    </row>
    <row r="32182">
      <c r="A32182" s="39"/>
      <c r="E32182" s="40" t="s">
        <v>11404</v>
      </c>
      <c r="F32182" s="40" t="s">
        <v>11404</v>
      </c>
      <c r="G32182" s="40" t="s">
        <v>11404</v>
      </c>
      <c r="H32182" s="40" t="s">
        <v>11404</v>
      </c>
    </row>
    <row r="32183">
      <c r="A32183" s="39"/>
      <c r="E32183" s="40" t="s">
        <v>11404</v>
      </c>
      <c r="F32183" s="40" t="s">
        <v>11404</v>
      </c>
      <c r="G32183" s="40" t="s">
        <v>11404</v>
      </c>
      <c r="H32183" s="40" t="s">
        <v>11404</v>
      </c>
    </row>
    <row r="32184">
      <c r="A32184" s="39"/>
      <c r="E32184" s="40" t="s">
        <v>11404</v>
      </c>
      <c r="F32184" s="40" t="s">
        <v>11404</v>
      </c>
      <c r="G32184" s="40" t="s">
        <v>11404</v>
      </c>
      <c r="H32184" s="40" t="s">
        <v>11404</v>
      </c>
    </row>
    <row r="32185">
      <c r="A32185" s="39"/>
      <c r="E32185" s="40" t="s">
        <v>11404</v>
      </c>
      <c r="F32185" s="40" t="s">
        <v>11404</v>
      </c>
      <c r="G32185" s="40" t="s">
        <v>11404</v>
      </c>
      <c r="H32185" s="40" t="s">
        <v>11404</v>
      </c>
    </row>
    <row r="32186">
      <c r="A32186" s="39"/>
      <c r="E32186" s="40" t="s">
        <v>11404</v>
      </c>
      <c r="F32186" s="40" t="s">
        <v>11404</v>
      </c>
      <c r="G32186" s="40" t="s">
        <v>11404</v>
      </c>
      <c r="H32186" s="40" t="s">
        <v>11404</v>
      </c>
    </row>
    <row r="32187">
      <c r="A32187" s="39"/>
      <c r="E32187" s="40" t="s">
        <v>11404</v>
      </c>
      <c r="F32187" s="40" t="s">
        <v>11404</v>
      </c>
      <c r="G32187" s="40" t="s">
        <v>11404</v>
      </c>
      <c r="H32187" s="40" t="s">
        <v>11404</v>
      </c>
    </row>
    <row r="32188">
      <c r="A32188" s="39"/>
      <c r="E32188" s="40" t="s">
        <v>11404</v>
      </c>
      <c r="F32188" s="40" t="s">
        <v>11404</v>
      </c>
      <c r="G32188" s="40" t="s">
        <v>11404</v>
      </c>
      <c r="H32188" s="40" t="s">
        <v>11404</v>
      </c>
    </row>
    <row r="32189">
      <c r="A32189" s="39"/>
      <c r="E32189" s="40" t="s">
        <v>11404</v>
      </c>
      <c r="F32189" s="40" t="s">
        <v>11404</v>
      </c>
      <c r="G32189" s="40" t="s">
        <v>11404</v>
      </c>
      <c r="H32189" s="40" t="s">
        <v>11404</v>
      </c>
    </row>
    <row r="32190">
      <c r="A32190" s="39"/>
      <c r="E32190" s="40" t="s">
        <v>11404</v>
      </c>
      <c r="F32190" s="40" t="s">
        <v>11404</v>
      </c>
      <c r="G32190" s="40" t="s">
        <v>11404</v>
      </c>
      <c r="H32190" s="40" t="s">
        <v>11404</v>
      </c>
    </row>
    <row r="32191">
      <c r="A32191" s="39"/>
      <c r="E32191" s="40" t="s">
        <v>11404</v>
      </c>
      <c r="F32191" s="40" t="s">
        <v>11404</v>
      </c>
      <c r="G32191" s="40" t="s">
        <v>11404</v>
      </c>
      <c r="H32191" s="40" t="s">
        <v>11404</v>
      </c>
    </row>
    <row r="32192">
      <c r="A32192" s="39"/>
      <c r="E32192" s="40" t="s">
        <v>11404</v>
      </c>
      <c r="F32192" s="40" t="s">
        <v>11404</v>
      </c>
      <c r="G32192" s="40" t="s">
        <v>11404</v>
      </c>
      <c r="H32192" s="40" t="s">
        <v>11404</v>
      </c>
    </row>
    <row r="32193">
      <c r="A32193" s="39"/>
      <c r="E32193" s="40" t="s">
        <v>11404</v>
      </c>
      <c r="F32193" s="40" t="s">
        <v>11404</v>
      </c>
      <c r="G32193" s="40" t="s">
        <v>11404</v>
      </c>
      <c r="H32193" s="40" t="s">
        <v>11404</v>
      </c>
    </row>
    <row r="32194">
      <c r="A32194" s="39"/>
      <c r="E32194" s="40" t="s">
        <v>11404</v>
      </c>
      <c r="F32194" s="40" t="s">
        <v>11404</v>
      </c>
      <c r="G32194" s="40" t="s">
        <v>11404</v>
      </c>
      <c r="H32194" s="40" t="s">
        <v>11404</v>
      </c>
    </row>
    <row r="32195">
      <c r="A32195" s="39"/>
      <c r="E32195" s="40" t="s">
        <v>11404</v>
      </c>
      <c r="F32195" s="40" t="s">
        <v>11404</v>
      </c>
      <c r="G32195" s="40" t="s">
        <v>11404</v>
      </c>
      <c r="H32195" s="40" t="s">
        <v>11404</v>
      </c>
    </row>
    <row r="32196">
      <c r="A32196" s="39"/>
      <c r="E32196" s="40" t="s">
        <v>11404</v>
      </c>
      <c r="F32196" s="40" t="s">
        <v>11404</v>
      </c>
      <c r="G32196" s="40" t="s">
        <v>11404</v>
      </c>
      <c r="H32196" s="40" t="s">
        <v>11404</v>
      </c>
    </row>
    <row r="32197">
      <c r="A32197" s="39"/>
      <c r="E32197" s="40" t="s">
        <v>11404</v>
      </c>
      <c r="F32197" s="40" t="s">
        <v>11404</v>
      </c>
      <c r="G32197" s="40" t="s">
        <v>11404</v>
      </c>
      <c r="H32197" s="40" t="s">
        <v>11404</v>
      </c>
    </row>
    <row r="32198">
      <c r="A32198" s="39"/>
      <c r="E32198" s="40" t="s">
        <v>11404</v>
      </c>
      <c r="F32198" s="40" t="s">
        <v>11404</v>
      </c>
      <c r="G32198" s="40" t="s">
        <v>11404</v>
      </c>
      <c r="H32198" s="40" t="s">
        <v>11404</v>
      </c>
    </row>
    <row r="32199">
      <c r="A32199" s="39"/>
      <c r="E32199" s="40" t="s">
        <v>11404</v>
      </c>
      <c r="F32199" s="40" t="s">
        <v>11404</v>
      </c>
      <c r="G32199" s="40" t="s">
        <v>11404</v>
      </c>
      <c r="H32199" s="40" t="s">
        <v>11404</v>
      </c>
    </row>
    <row r="32200">
      <c r="A32200" s="39"/>
      <c r="E32200" s="40" t="s">
        <v>11404</v>
      </c>
      <c r="F32200" s="40" t="s">
        <v>11404</v>
      </c>
      <c r="G32200" s="40" t="s">
        <v>11404</v>
      </c>
      <c r="H32200" s="40" t="s">
        <v>11404</v>
      </c>
    </row>
    <row r="32201">
      <c r="A32201" s="39"/>
      <c r="E32201" s="40" t="s">
        <v>11404</v>
      </c>
      <c r="F32201" s="40" t="s">
        <v>11404</v>
      </c>
      <c r="G32201" s="40" t="s">
        <v>11404</v>
      </c>
      <c r="H32201" s="40" t="s">
        <v>11404</v>
      </c>
    </row>
    <row r="32202">
      <c r="A32202" s="39"/>
      <c r="E32202" s="40" t="s">
        <v>11404</v>
      </c>
      <c r="F32202" s="40" t="s">
        <v>11404</v>
      </c>
      <c r="G32202" s="40" t="s">
        <v>11404</v>
      </c>
      <c r="H32202" s="40" t="s">
        <v>11404</v>
      </c>
    </row>
    <row r="32203">
      <c r="A32203" s="39"/>
      <c r="E32203" s="40" t="s">
        <v>11404</v>
      </c>
      <c r="F32203" s="40" t="s">
        <v>11404</v>
      </c>
      <c r="G32203" s="40" t="s">
        <v>11404</v>
      </c>
      <c r="H32203" s="40" t="s">
        <v>11404</v>
      </c>
    </row>
    <row r="32204">
      <c r="A32204" s="39"/>
      <c r="E32204" s="40" t="s">
        <v>11404</v>
      </c>
      <c r="F32204" s="40" t="s">
        <v>11404</v>
      </c>
      <c r="G32204" s="40" t="s">
        <v>11404</v>
      </c>
      <c r="H32204" s="40" t="s">
        <v>11404</v>
      </c>
    </row>
    <row r="32205">
      <c r="A32205" s="39"/>
      <c r="E32205" s="40" t="s">
        <v>11404</v>
      </c>
      <c r="F32205" s="40" t="s">
        <v>11404</v>
      </c>
      <c r="G32205" s="40" t="s">
        <v>11404</v>
      </c>
      <c r="H32205" s="40" t="s">
        <v>11404</v>
      </c>
    </row>
    <row r="32206">
      <c r="A32206" s="39"/>
      <c r="E32206" s="40" t="s">
        <v>11404</v>
      </c>
      <c r="F32206" s="40" t="s">
        <v>11404</v>
      </c>
      <c r="G32206" s="40" t="s">
        <v>11404</v>
      </c>
      <c r="H32206" s="40" t="s">
        <v>11404</v>
      </c>
    </row>
    <row r="32207">
      <c r="A32207" s="39"/>
      <c r="E32207" s="40" t="s">
        <v>11404</v>
      </c>
      <c r="F32207" s="40" t="s">
        <v>11404</v>
      </c>
      <c r="G32207" s="40" t="s">
        <v>11404</v>
      </c>
      <c r="H32207" s="40" t="s">
        <v>11404</v>
      </c>
    </row>
    <row r="32208">
      <c r="A32208" s="39"/>
      <c r="E32208" s="40" t="s">
        <v>11404</v>
      </c>
      <c r="F32208" s="40" t="s">
        <v>11404</v>
      </c>
      <c r="G32208" s="40" t="s">
        <v>11404</v>
      </c>
      <c r="H32208" s="40" t="s">
        <v>11404</v>
      </c>
    </row>
    <row r="32209">
      <c r="A32209" s="39"/>
      <c r="E32209" s="40" t="s">
        <v>11404</v>
      </c>
      <c r="F32209" s="40" t="s">
        <v>11404</v>
      </c>
      <c r="G32209" s="40" t="s">
        <v>11404</v>
      </c>
      <c r="H32209" s="40" t="s">
        <v>11404</v>
      </c>
    </row>
    <row r="32210">
      <c r="A32210" s="39"/>
      <c r="E32210" s="40" t="s">
        <v>11404</v>
      </c>
      <c r="F32210" s="40" t="s">
        <v>11404</v>
      </c>
      <c r="G32210" s="40" t="s">
        <v>11404</v>
      </c>
      <c r="H32210" s="40" t="s">
        <v>11404</v>
      </c>
    </row>
    <row r="32211">
      <c r="A32211" s="39"/>
      <c r="E32211" s="40" t="s">
        <v>11404</v>
      </c>
      <c r="F32211" s="40" t="s">
        <v>11404</v>
      </c>
      <c r="G32211" s="40" t="s">
        <v>11404</v>
      </c>
      <c r="H32211" s="40" t="s">
        <v>11404</v>
      </c>
    </row>
    <row r="32212">
      <c r="A32212" s="39"/>
      <c r="E32212" s="40" t="s">
        <v>11404</v>
      </c>
      <c r="F32212" s="40" t="s">
        <v>11404</v>
      </c>
      <c r="G32212" s="40" t="s">
        <v>11404</v>
      </c>
      <c r="H32212" s="40" t="s">
        <v>11404</v>
      </c>
    </row>
    <row r="32213">
      <c r="A32213" s="39"/>
      <c r="E32213" s="40" t="s">
        <v>11404</v>
      </c>
      <c r="F32213" s="40" t="s">
        <v>11404</v>
      </c>
      <c r="G32213" s="40" t="s">
        <v>11404</v>
      </c>
      <c r="H32213" s="40" t="s">
        <v>11404</v>
      </c>
    </row>
    <row r="32214">
      <c r="A32214" s="39"/>
      <c r="E32214" s="40" t="s">
        <v>11404</v>
      </c>
      <c r="F32214" s="40" t="s">
        <v>11404</v>
      </c>
      <c r="G32214" s="40" t="s">
        <v>11404</v>
      </c>
      <c r="H32214" s="40" t="s">
        <v>11404</v>
      </c>
    </row>
    <row r="32215">
      <c r="A32215" s="39"/>
      <c r="E32215" s="40" t="s">
        <v>11404</v>
      </c>
      <c r="F32215" s="40" t="s">
        <v>11404</v>
      </c>
      <c r="G32215" s="40" t="s">
        <v>11404</v>
      </c>
      <c r="H32215" s="40" t="s">
        <v>11404</v>
      </c>
    </row>
    <row r="32216">
      <c r="A32216" s="39"/>
      <c r="E32216" s="40" t="s">
        <v>11404</v>
      </c>
      <c r="F32216" s="40" t="s">
        <v>11404</v>
      </c>
      <c r="G32216" s="40" t="s">
        <v>11404</v>
      </c>
      <c r="H32216" s="40" t="s">
        <v>11404</v>
      </c>
    </row>
    <row r="32217">
      <c r="A32217" s="39"/>
      <c r="E32217" s="40" t="s">
        <v>11404</v>
      </c>
      <c r="F32217" s="40" t="s">
        <v>11404</v>
      </c>
      <c r="G32217" s="40" t="s">
        <v>11404</v>
      </c>
      <c r="H32217" s="40" t="s">
        <v>11404</v>
      </c>
    </row>
    <row r="32218">
      <c r="A32218" s="39"/>
      <c r="E32218" s="40" t="s">
        <v>11404</v>
      </c>
      <c r="F32218" s="40" t="s">
        <v>11404</v>
      </c>
      <c r="G32218" s="40" t="s">
        <v>11404</v>
      </c>
      <c r="H32218" s="40" t="s">
        <v>11404</v>
      </c>
    </row>
    <row r="32219">
      <c r="A32219" s="39"/>
      <c r="E32219" s="40" t="s">
        <v>11404</v>
      </c>
      <c r="F32219" s="40" t="s">
        <v>11404</v>
      </c>
      <c r="G32219" s="40" t="s">
        <v>11404</v>
      </c>
      <c r="H32219" s="40" t="s">
        <v>11404</v>
      </c>
    </row>
    <row r="32220">
      <c r="A32220" s="39"/>
      <c r="E32220" s="40" t="s">
        <v>11404</v>
      </c>
      <c r="F32220" s="40" t="s">
        <v>11404</v>
      </c>
      <c r="G32220" s="40" t="s">
        <v>11404</v>
      </c>
      <c r="H32220" s="40" t="s">
        <v>11404</v>
      </c>
    </row>
    <row r="32221">
      <c r="A32221" s="39"/>
      <c r="E32221" s="40" t="s">
        <v>11404</v>
      </c>
      <c r="F32221" s="40" t="s">
        <v>11404</v>
      </c>
      <c r="G32221" s="40" t="s">
        <v>11404</v>
      </c>
      <c r="H32221" s="40" t="s">
        <v>11404</v>
      </c>
    </row>
    <row r="32222">
      <c r="A32222" s="39"/>
      <c r="E32222" s="40" t="s">
        <v>11404</v>
      </c>
      <c r="F32222" s="40" t="s">
        <v>11404</v>
      </c>
      <c r="G32222" s="40" t="s">
        <v>11404</v>
      </c>
      <c r="H32222" s="40" t="s">
        <v>11404</v>
      </c>
    </row>
    <row r="32223">
      <c r="A32223" s="39"/>
      <c r="E32223" s="40" t="s">
        <v>11404</v>
      </c>
      <c r="F32223" s="40" t="s">
        <v>11404</v>
      </c>
      <c r="G32223" s="40" t="s">
        <v>11404</v>
      </c>
      <c r="H32223" s="40" t="s">
        <v>11404</v>
      </c>
    </row>
    <row r="32224">
      <c r="A32224" s="39"/>
      <c r="E32224" s="40" t="s">
        <v>11404</v>
      </c>
      <c r="F32224" s="40" t="s">
        <v>11404</v>
      </c>
      <c r="G32224" s="40" t="s">
        <v>11404</v>
      </c>
      <c r="H32224" s="40" t="s">
        <v>11404</v>
      </c>
    </row>
    <row r="32225">
      <c r="A32225" s="39"/>
      <c r="E32225" s="40" t="s">
        <v>11404</v>
      </c>
      <c r="F32225" s="40" t="s">
        <v>11404</v>
      </c>
      <c r="G32225" s="40" t="s">
        <v>11404</v>
      </c>
      <c r="H32225" s="40" t="s">
        <v>11404</v>
      </c>
    </row>
    <row r="32226">
      <c r="A32226" s="39"/>
      <c r="E32226" s="40" t="s">
        <v>11404</v>
      </c>
      <c r="F32226" s="40" t="s">
        <v>11404</v>
      </c>
      <c r="G32226" s="40" t="s">
        <v>11404</v>
      </c>
      <c r="H32226" s="40" t="s">
        <v>11404</v>
      </c>
    </row>
    <row r="32227">
      <c r="A32227" s="39"/>
      <c r="E32227" s="40" t="s">
        <v>11404</v>
      </c>
      <c r="F32227" s="40" t="s">
        <v>11404</v>
      </c>
      <c r="G32227" s="40" t="s">
        <v>11404</v>
      </c>
      <c r="H32227" s="40" t="s">
        <v>11404</v>
      </c>
    </row>
    <row r="32228">
      <c r="A32228" s="39"/>
      <c r="E32228" s="40" t="s">
        <v>11404</v>
      </c>
      <c r="F32228" s="40" t="s">
        <v>11404</v>
      </c>
      <c r="G32228" s="40" t="s">
        <v>11404</v>
      </c>
      <c r="H32228" s="40" t="s">
        <v>11404</v>
      </c>
    </row>
    <row r="32229">
      <c r="A32229" s="39"/>
      <c r="E32229" s="40" t="s">
        <v>11404</v>
      </c>
      <c r="F32229" s="40" t="s">
        <v>11404</v>
      </c>
      <c r="G32229" s="40" t="s">
        <v>11404</v>
      </c>
      <c r="H32229" s="40" t="s">
        <v>11404</v>
      </c>
    </row>
    <row r="32230">
      <c r="A32230" s="39"/>
      <c r="E32230" s="40" t="s">
        <v>11404</v>
      </c>
      <c r="F32230" s="40" t="s">
        <v>11404</v>
      </c>
      <c r="G32230" s="40" t="s">
        <v>11404</v>
      </c>
      <c r="H32230" s="40" t="s">
        <v>11404</v>
      </c>
    </row>
    <row r="32231">
      <c r="A32231" s="39"/>
      <c r="E32231" s="40" t="s">
        <v>11404</v>
      </c>
      <c r="F32231" s="40" t="s">
        <v>11404</v>
      </c>
      <c r="G32231" s="40" t="s">
        <v>11404</v>
      </c>
      <c r="H32231" s="40" t="s">
        <v>11404</v>
      </c>
    </row>
    <row r="32232">
      <c r="A32232" s="39"/>
      <c r="E32232" s="40" t="s">
        <v>11404</v>
      </c>
      <c r="F32232" s="40" t="s">
        <v>11404</v>
      </c>
      <c r="G32232" s="40" t="s">
        <v>11404</v>
      </c>
      <c r="H32232" s="40" t="s">
        <v>11404</v>
      </c>
    </row>
    <row r="32233">
      <c r="A32233" s="39"/>
      <c r="E32233" s="40" t="s">
        <v>11404</v>
      </c>
      <c r="F32233" s="40" t="s">
        <v>11404</v>
      </c>
      <c r="G32233" s="40" t="s">
        <v>11404</v>
      </c>
      <c r="H32233" s="40" t="s">
        <v>11404</v>
      </c>
    </row>
    <row r="32234">
      <c r="A32234" s="39"/>
      <c r="E32234" s="40" t="s">
        <v>11404</v>
      </c>
      <c r="F32234" s="40" t="s">
        <v>11404</v>
      </c>
      <c r="G32234" s="40" t="s">
        <v>11404</v>
      </c>
      <c r="H32234" s="40" t="s">
        <v>11404</v>
      </c>
    </row>
    <row r="32235">
      <c r="A32235" s="39"/>
      <c r="E32235" s="40" t="s">
        <v>11404</v>
      </c>
      <c r="F32235" s="40" t="s">
        <v>11404</v>
      </c>
      <c r="G32235" s="40" t="s">
        <v>11404</v>
      </c>
      <c r="H32235" s="40" t="s">
        <v>11404</v>
      </c>
    </row>
    <row r="32236">
      <c r="A32236" s="39"/>
      <c r="E32236" s="40" t="s">
        <v>11404</v>
      </c>
      <c r="F32236" s="40" t="s">
        <v>11404</v>
      </c>
      <c r="G32236" s="40" t="s">
        <v>11404</v>
      </c>
      <c r="H32236" s="40" t="s">
        <v>11404</v>
      </c>
    </row>
    <row r="32237">
      <c r="A32237" s="39"/>
      <c r="E32237" s="40" t="s">
        <v>11404</v>
      </c>
      <c r="F32237" s="40" t="s">
        <v>11404</v>
      </c>
      <c r="G32237" s="40" t="s">
        <v>11404</v>
      </c>
      <c r="H32237" s="40" t="s">
        <v>11404</v>
      </c>
    </row>
    <row r="32238">
      <c r="A32238" s="39"/>
      <c r="E32238" s="40" t="s">
        <v>11404</v>
      </c>
      <c r="F32238" s="40" t="s">
        <v>11404</v>
      </c>
      <c r="G32238" s="40" t="s">
        <v>11404</v>
      </c>
      <c r="H32238" s="40" t="s">
        <v>11404</v>
      </c>
    </row>
    <row r="32239">
      <c r="A32239" s="39"/>
      <c r="E32239" s="40" t="s">
        <v>11404</v>
      </c>
      <c r="F32239" s="40" t="s">
        <v>11404</v>
      </c>
      <c r="G32239" s="40" t="s">
        <v>11404</v>
      </c>
      <c r="H32239" s="40" t="s">
        <v>11404</v>
      </c>
    </row>
    <row r="32240">
      <c r="A32240" s="39"/>
      <c r="E32240" s="40" t="s">
        <v>11404</v>
      </c>
      <c r="F32240" s="40" t="s">
        <v>11404</v>
      </c>
      <c r="G32240" s="40" t="s">
        <v>11404</v>
      </c>
      <c r="H32240" s="40" t="s">
        <v>11404</v>
      </c>
    </row>
    <row r="32241">
      <c r="A32241" s="39"/>
      <c r="E32241" s="40" t="s">
        <v>11404</v>
      </c>
      <c r="F32241" s="40" t="s">
        <v>11404</v>
      </c>
      <c r="G32241" s="40" t="s">
        <v>11404</v>
      </c>
      <c r="H32241" s="40" t="s">
        <v>11404</v>
      </c>
    </row>
    <row r="32242">
      <c r="A32242" s="39"/>
      <c r="E32242" s="40" t="s">
        <v>11404</v>
      </c>
      <c r="F32242" s="40" t="s">
        <v>11404</v>
      </c>
      <c r="G32242" s="40" t="s">
        <v>11404</v>
      </c>
      <c r="H32242" s="40" t="s">
        <v>11404</v>
      </c>
    </row>
    <row r="32243">
      <c r="A32243" s="39"/>
      <c r="E32243" s="40" t="s">
        <v>11404</v>
      </c>
      <c r="F32243" s="40" t="s">
        <v>11404</v>
      </c>
      <c r="G32243" s="40" t="s">
        <v>11404</v>
      </c>
      <c r="H32243" s="40" t="s">
        <v>11404</v>
      </c>
    </row>
    <row r="32244">
      <c r="A32244" s="39"/>
      <c r="E32244" s="40" t="s">
        <v>11404</v>
      </c>
      <c r="F32244" s="40" t="s">
        <v>11404</v>
      </c>
      <c r="G32244" s="40" t="s">
        <v>11404</v>
      </c>
      <c r="H32244" s="40" t="s">
        <v>11404</v>
      </c>
    </row>
    <row r="32245">
      <c r="A32245" s="39"/>
      <c r="E32245" s="40" t="s">
        <v>11404</v>
      </c>
      <c r="F32245" s="40" t="s">
        <v>11404</v>
      </c>
      <c r="G32245" s="40" t="s">
        <v>11404</v>
      </c>
      <c r="H32245" s="40" t="s">
        <v>11404</v>
      </c>
    </row>
    <row r="32246">
      <c r="A32246" s="39"/>
      <c r="E32246" s="40" t="s">
        <v>11404</v>
      </c>
      <c r="F32246" s="40" t="s">
        <v>11404</v>
      </c>
      <c r="G32246" s="40" t="s">
        <v>11404</v>
      </c>
      <c r="H32246" s="40" t="s">
        <v>11404</v>
      </c>
    </row>
    <row r="32247">
      <c r="A32247" s="39"/>
      <c r="E32247" s="40" t="s">
        <v>11404</v>
      </c>
      <c r="F32247" s="40" t="s">
        <v>11404</v>
      </c>
      <c r="G32247" s="40" t="s">
        <v>11404</v>
      </c>
      <c r="H32247" s="40" t="s">
        <v>11404</v>
      </c>
    </row>
    <row r="32248">
      <c r="A32248" s="39"/>
      <c r="E32248" s="40" t="s">
        <v>11404</v>
      </c>
      <c r="F32248" s="40" t="s">
        <v>11404</v>
      </c>
      <c r="G32248" s="40" t="s">
        <v>11404</v>
      </c>
      <c r="H32248" s="40" t="s">
        <v>11404</v>
      </c>
    </row>
    <row r="32249">
      <c r="A32249" s="39"/>
      <c r="E32249" s="40" t="s">
        <v>11404</v>
      </c>
      <c r="F32249" s="40" t="s">
        <v>11404</v>
      </c>
      <c r="G32249" s="40" t="s">
        <v>11404</v>
      </c>
      <c r="H32249" s="40" t="s">
        <v>11404</v>
      </c>
    </row>
    <row r="32250">
      <c r="A32250" s="39"/>
      <c r="E32250" s="40" t="s">
        <v>11404</v>
      </c>
      <c r="F32250" s="40" t="s">
        <v>11404</v>
      </c>
      <c r="G32250" s="40" t="s">
        <v>11404</v>
      </c>
      <c r="H32250" s="40" t="s">
        <v>11404</v>
      </c>
    </row>
    <row r="32251">
      <c r="A32251" s="39"/>
      <c r="E32251" s="40" t="s">
        <v>11404</v>
      </c>
      <c r="F32251" s="40" t="s">
        <v>11404</v>
      </c>
      <c r="G32251" s="40" t="s">
        <v>11404</v>
      </c>
      <c r="H32251" s="40" t="s">
        <v>11404</v>
      </c>
    </row>
    <row r="32252">
      <c r="A32252" s="39"/>
      <c r="E32252" s="40" t="s">
        <v>11404</v>
      </c>
      <c r="F32252" s="40" t="s">
        <v>11404</v>
      </c>
      <c r="G32252" s="40" t="s">
        <v>11404</v>
      </c>
      <c r="H32252" s="40" t="s">
        <v>11404</v>
      </c>
    </row>
    <row r="32253">
      <c r="A32253" s="39"/>
      <c r="E32253" s="40" t="s">
        <v>11404</v>
      </c>
      <c r="F32253" s="40" t="s">
        <v>11404</v>
      </c>
      <c r="G32253" s="40" t="s">
        <v>11404</v>
      </c>
      <c r="H32253" s="40" t="s">
        <v>11404</v>
      </c>
    </row>
    <row r="32254">
      <c r="A32254" s="39"/>
      <c r="E32254" s="40" t="s">
        <v>11404</v>
      </c>
      <c r="F32254" s="40" t="s">
        <v>11404</v>
      </c>
      <c r="G32254" s="40" t="s">
        <v>11404</v>
      </c>
      <c r="H32254" s="40" t="s">
        <v>11404</v>
      </c>
    </row>
    <row r="32255">
      <c r="A32255" s="39"/>
      <c r="E32255" s="40" t="s">
        <v>11404</v>
      </c>
      <c r="F32255" s="40" t="s">
        <v>11404</v>
      </c>
      <c r="G32255" s="40" t="s">
        <v>11404</v>
      </c>
      <c r="H32255" s="40" t="s">
        <v>11404</v>
      </c>
    </row>
    <row r="32256">
      <c r="A32256" s="39"/>
      <c r="E32256" s="40" t="s">
        <v>11404</v>
      </c>
      <c r="F32256" s="40" t="s">
        <v>11404</v>
      </c>
      <c r="G32256" s="40" t="s">
        <v>11404</v>
      </c>
      <c r="H32256" s="40" t="s">
        <v>11404</v>
      </c>
    </row>
    <row r="32257">
      <c r="A32257" s="39"/>
      <c r="E32257" s="40" t="s">
        <v>11404</v>
      </c>
      <c r="F32257" s="40" t="s">
        <v>11404</v>
      </c>
      <c r="G32257" s="40" t="s">
        <v>11404</v>
      </c>
      <c r="H32257" s="40" t="s">
        <v>11404</v>
      </c>
    </row>
    <row r="32258">
      <c r="A32258" s="39"/>
      <c r="E32258" s="40" t="s">
        <v>11404</v>
      </c>
      <c r="F32258" s="40" t="s">
        <v>11404</v>
      </c>
      <c r="G32258" s="40" t="s">
        <v>11404</v>
      </c>
      <c r="H32258" s="40" t="s">
        <v>11404</v>
      </c>
    </row>
    <row r="32259">
      <c r="A32259" s="39"/>
      <c r="E32259" s="40" t="s">
        <v>11404</v>
      </c>
      <c r="F32259" s="40" t="s">
        <v>11404</v>
      </c>
      <c r="G32259" s="40" t="s">
        <v>11404</v>
      </c>
      <c r="H32259" s="40" t="s">
        <v>11404</v>
      </c>
    </row>
    <row r="32260">
      <c r="A32260" s="39"/>
      <c r="E32260" s="40" t="s">
        <v>11404</v>
      </c>
      <c r="F32260" s="40" t="s">
        <v>11404</v>
      </c>
      <c r="G32260" s="40" t="s">
        <v>11404</v>
      </c>
      <c r="H32260" s="40" t="s">
        <v>11404</v>
      </c>
    </row>
    <row r="32261">
      <c r="A32261" s="39"/>
      <c r="E32261" s="40" t="s">
        <v>11404</v>
      </c>
      <c r="F32261" s="40" t="s">
        <v>11404</v>
      </c>
      <c r="G32261" s="40" t="s">
        <v>11404</v>
      </c>
      <c r="H32261" s="40" t="s">
        <v>11404</v>
      </c>
    </row>
    <row r="32262">
      <c r="A32262" s="39"/>
      <c r="E32262" s="40" t="s">
        <v>11404</v>
      </c>
      <c r="F32262" s="40" t="s">
        <v>11404</v>
      </c>
      <c r="G32262" s="40" t="s">
        <v>11404</v>
      </c>
      <c r="H32262" s="40" t="s">
        <v>11404</v>
      </c>
    </row>
    <row r="32263">
      <c r="A32263" s="39"/>
      <c r="E32263" s="40" t="s">
        <v>11404</v>
      </c>
      <c r="F32263" s="40" t="s">
        <v>11404</v>
      </c>
      <c r="G32263" s="40" t="s">
        <v>11404</v>
      </c>
      <c r="H32263" s="40" t="s">
        <v>11404</v>
      </c>
    </row>
    <row r="32264">
      <c r="A32264" s="39"/>
      <c r="E32264" s="40" t="s">
        <v>11404</v>
      </c>
      <c r="F32264" s="40" t="s">
        <v>11404</v>
      </c>
      <c r="G32264" s="40" t="s">
        <v>11404</v>
      </c>
      <c r="H32264" s="40" t="s">
        <v>11404</v>
      </c>
    </row>
    <row r="32265">
      <c r="A32265" s="39"/>
      <c r="E32265" s="40" t="s">
        <v>11404</v>
      </c>
      <c r="F32265" s="40" t="s">
        <v>11404</v>
      </c>
      <c r="G32265" s="40" t="s">
        <v>11404</v>
      </c>
      <c r="H32265" s="40" t="s">
        <v>11404</v>
      </c>
    </row>
    <row r="32266">
      <c r="A32266" s="39"/>
      <c r="E32266" s="40" t="s">
        <v>11404</v>
      </c>
      <c r="F32266" s="40" t="s">
        <v>11404</v>
      </c>
      <c r="G32266" s="40" t="s">
        <v>11404</v>
      </c>
      <c r="H32266" s="40" t="s">
        <v>11404</v>
      </c>
    </row>
    <row r="32267">
      <c r="A32267" s="39"/>
      <c r="E32267" s="40" t="s">
        <v>11404</v>
      </c>
      <c r="F32267" s="40" t="s">
        <v>11404</v>
      </c>
      <c r="G32267" s="40" t="s">
        <v>11404</v>
      </c>
      <c r="H32267" s="40" t="s">
        <v>11404</v>
      </c>
    </row>
    <row r="32268">
      <c r="A32268" s="39"/>
      <c r="E32268" s="40" t="s">
        <v>11404</v>
      </c>
      <c r="F32268" s="40" t="s">
        <v>11404</v>
      </c>
      <c r="G32268" s="40" t="s">
        <v>11404</v>
      </c>
      <c r="H32268" s="40" t="s">
        <v>11404</v>
      </c>
    </row>
    <row r="32269">
      <c r="A32269" s="39"/>
      <c r="E32269" s="40" t="s">
        <v>11404</v>
      </c>
      <c r="F32269" s="40" t="s">
        <v>11404</v>
      </c>
      <c r="G32269" s="40" t="s">
        <v>11404</v>
      </c>
      <c r="H32269" s="40" t="s">
        <v>11404</v>
      </c>
    </row>
    <row r="32270">
      <c r="A32270" s="39"/>
      <c r="E32270" s="40" t="s">
        <v>11404</v>
      </c>
      <c r="F32270" s="40" t="s">
        <v>11404</v>
      </c>
      <c r="G32270" s="40" t="s">
        <v>11404</v>
      </c>
      <c r="H32270" s="40" t="s">
        <v>11404</v>
      </c>
    </row>
    <row r="32271">
      <c r="A32271" s="39"/>
      <c r="E32271" s="40" t="s">
        <v>11404</v>
      </c>
      <c r="F32271" s="40" t="s">
        <v>11404</v>
      </c>
      <c r="G32271" s="40" t="s">
        <v>11404</v>
      </c>
      <c r="H32271" s="40" t="s">
        <v>11404</v>
      </c>
    </row>
    <row r="32272">
      <c r="A32272" s="39"/>
      <c r="E32272" s="40" t="s">
        <v>11404</v>
      </c>
      <c r="F32272" s="40" t="s">
        <v>11404</v>
      </c>
      <c r="G32272" s="40" t="s">
        <v>11404</v>
      </c>
      <c r="H32272" s="40" t="s">
        <v>11404</v>
      </c>
    </row>
    <row r="32273">
      <c r="A32273" s="39"/>
      <c r="E32273" s="40" t="s">
        <v>11404</v>
      </c>
      <c r="F32273" s="40" t="s">
        <v>11404</v>
      </c>
      <c r="G32273" s="40" t="s">
        <v>11404</v>
      </c>
      <c r="H32273" s="40" t="s">
        <v>11404</v>
      </c>
    </row>
    <row r="32274">
      <c r="A32274" s="39"/>
      <c r="E32274" s="40" t="s">
        <v>11404</v>
      </c>
      <c r="F32274" s="40" t="s">
        <v>11404</v>
      </c>
      <c r="G32274" s="40" t="s">
        <v>11404</v>
      </c>
      <c r="H32274" s="40" t="s">
        <v>11404</v>
      </c>
    </row>
    <row r="32275">
      <c r="A32275" s="39"/>
      <c r="E32275" s="40" t="s">
        <v>11404</v>
      </c>
      <c r="F32275" s="40" t="s">
        <v>11404</v>
      </c>
      <c r="G32275" s="40" t="s">
        <v>11404</v>
      </c>
      <c r="H32275" s="40" t="s">
        <v>11404</v>
      </c>
    </row>
    <row r="32276">
      <c r="A32276" s="39"/>
      <c r="E32276" s="40" t="s">
        <v>11404</v>
      </c>
      <c r="F32276" s="40" t="s">
        <v>11404</v>
      </c>
      <c r="G32276" s="40" t="s">
        <v>11404</v>
      </c>
      <c r="H32276" s="40" t="s">
        <v>11404</v>
      </c>
    </row>
    <row r="32277">
      <c r="A32277" s="39"/>
      <c r="E32277" s="40" t="s">
        <v>11404</v>
      </c>
      <c r="F32277" s="40" t="s">
        <v>11404</v>
      </c>
      <c r="G32277" s="40" t="s">
        <v>11404</v>
      </c>
      <c r="H32277" s="40" t="s">
        <v>11404</v>
      </c>
    </row>
    <row r="32278">
      <c r="A32278" s="39"/>
      <c r="E32278" s="40" t="s">
        <v>11404</v>
      </c>
      <c r="F32278" s="40" t="s">
        <v>11404</v>
      </c>
      <c r="G32278" s="40" t="s">
        <v>11404</v>
      </c>
      <c r="H32278" s="40" t="s">
        <v>11404</v>
      </c>
    </row>
    <row r="32279">
      <c r="A32279" s="39"/>
      <c r="E32279" s="40" t="s">
        <v>11404</v>
      </c>
      <c r="F32279" s="40" t="s">
        <v>11404</v>
      </c>
      <c r="G32279" s="40" t="s">
        <v>11404</v>
      </c>
      <c r="H32279" s="40" t="s">
        <v>11404</v>
      </c>
    </row>
    <row r="32280">
      <c r="A32280" s="39"/>
      <c r="E32280" s="40" t="s">
        <v>11404</v>
      </c>
      <c r="F32280" s="40" t="s">
        <v>11404</v>
      </c>
      <c r="G32280" s="40" t="s">
        <v>11404</v>
      </c>
      <c r="H32280" s="40" t="s">
        <v>11404</v>
      </c>
    </row>
    <row r="32281">
      <c r="A32281" s="39"/>
      <c r="E32281" s="40" t="s">
        <v>11404</v>
      </c>
      <c r="F32281" s="40" t="s">
        <v>11404</v>
      </c>
      <c r="G32281" s="40" t="s">
        <v>11404</v>
      </c>
      <c r="H32281" s="40" t="s">
        <v>11404</v>
      </c>
    </row>
    <row r="32282">
      <c r="A32282" s="39"/>
      <c r="E32282" s="40" t="s">
        <v>11404</v>
      </c>
      <c r="F32282" s="40" t="s">
        <v>11404</v>
      </c>
      <c r="G32282" s="40" t="s">
        <v>11404</v>
      </c>
      <c r="H32282" s="40" t="s">
        <v>11404</v>
      </c>
    </row>
    <row r="32283">
      <c r="A32283" s="39"/>
      <c r="E32283" s="40" t="s">
        <v>11404</v>
      </c>
      <c r="F32283" s="40" t="s">
        <v>11404</v>
      </c>
      <c r="G32283" s="40" t="s">
        <v>11404</v>
      </c>
      <c r="H32283" s="40" t="s">
        <v>11404</v>
      </c>
    </row>
    <row r="32284">
      <c r="A32284" s="39"/>
      <c r="E32284" s="40" t="s">
        <v>11404</v>
      </c>
      <c r="F32284" s="40" t="s">
        <v>11404</v>
      </c>
      <c r="G32284" s="40" t="s">
        <v>11404</v>
      </c>
      <c r="H32284" s="40" t="s">
        <v>11404</v>
      </c>
    </row>
    <row r="32285">
      <c r="A32285" s="39"/>
      <c r="E32285" s="40" t="s">
        <v>11404</v>
      </c>
      <c r="F32285" s="40" t="s">
        <v>11404</v>
      </c>
      <c r="G32285" s="40" t="s">
        <v>11404</v>
      </c>
      <c r="H32285" s="40" t="s">
        <v>11404</v>
      </c>
    </row>
    <row r="32286">
      <c r="A32286" s="39"/>
      <c r="E32286" s="40" t="s">
        <v>11404</v>
      </c>
      <c r="F32286" s="40" t="s">
        <v>11404</v>
      </c>
      <c r="G32286" s="40" t="s">
        <v>11404</v>
      </c>
      <c r="H32286" s="40" t="s">
        <v>11404</v>
      </c>
    </row>
    <row r="32287">
      <c r="A32287" s="39"/>
      <c r="E32287" s="40" t="s">
        <v>11404</v>
      </c>
      <c r="F32287" s="40" t="s">
        <v>11404</v>
      </c>
      <c r="G32287" s="40" t="s">
        <v>11404</v>
      </c>
      <c r="H32287" s="40" t="s">
        <v>11404</v>
      </c>
    </row>
    <row r="32288">
      <c r="A32288" s="39"/>
      <c r="E32288" s="40" t="s">
        <v>11404</v>
      </c>
      <c r="F32288" s="40" t="s">
        <v>11404</v>
      </c>
      <c r="G32288" s="40" t="s">
        <v>11404</v>
      </c>
      <c r="H32288" s="40" t="s">
        <v>11404</v>
      </c>
    </row>
    <row r="32289">
      <c r="A32289" s="39"/>
      <c r="E32289" s="40" t="s">
        <v>11404</v>
      </c>
      <c r="F32289" s="40" t="s">
        <v>11404</v>
      </c>
      <c r="G32289" s="40" t="s">
        <v>11404</v>
      </c>
      <c r="H32289" s="40" t="s">
        <v>11404</v>
      </c>
    </row>
    <row r="32290">
      <c r="A32290" s="39"/>
      <c r="E32290" s="40" t="s">
        <v>11404</v>
      </c>
      <c r="F32290" s="40" t="s">
        <v>11404</v>
      </c>
      <c r="G32290" s="40" t="s">
        <v>11404</v>
      </c>
      <c r="H32290" s="40" t="s">
        <v>11404</v>
      </c>
    </row>
    <row r="32291">
      <c r="A32291" s="39"/>
      <c r="E32291" s="40" t="s">
        <v>11404</v>
      </c>
      <c r="F32291" s="40" t="s">
        <v>11404</v>
      </c>
      <c r="G32291" s="40" t="s">
        <v>11404</v>
      </c>
      <c r="H32291" s="40" t="s">
        <v>11404</v>
      </c>
    </row>
    <row r="32292">
      <c r="A32292" s="39"/>
      <c r="E32292" s="40" t="s">
        <v>11404</v>
      </c>
      <c r="F32292" s="40" t="s">
        <v>11404</v>
      </c>
      <c r="G32292" s="40" t="s">
        <v>11404</v>
      </c>
      <c r="H32292" s="40" t="s">
        <v>11404</v>
      </c>
    </row>
    <row r="32293">
      <c r="A32293" s="39"/>
      <c r="E32293" s="40" t="s">
        <v>11404</v>
      </c>
      <c r="F32293" s="40" t="s">
        <v>11404</v>
      </c>
      <c r="G32293" s="40" t="s">
        <v>11404</v>
      </c>
      <c r="H32293" s="40" t="s">
        <v>11404</v>
      </c>
    </row>
    <row r="32294">
      <c r="A32294" s="39"/>
      <c r="E32294" s="40" t="s">
        <v>11404</v>
      </c>
      <c r="F32294" s="40" t="s">
        <v>11404</v>
      </c>
      <c r="G32294" s="40" t="s">
        <v>11404</v>
      </c>
      <c r="H32294" s="40" t="s">
        <v>11404</v>
      </c>
    </row>
    <row r="32295">
      <c r="A32295" s="39"/>
      <c r="E32295" s="40" t="s">
        <v>11404</v>
      </c>
      <c r="F32295" s="40" t="s">
        <v>11404</v>
      </c>
      <c r="G32295" s="40" t="s">
        <v>11404</v>
      </c>
      <c r="H32295" s="40" t="s">
        <v>11404</v>
      </c>
    </row>
    <row r="32296">
      <c r="A32296" s="39"/>
      <c r="E32296" s="40" t="s">
        <v>11404</v>
      </c>
      <c r="F32296" s="40" t="s">
        <v>11404</v>
      </c>
      <c r="G32296" s="40" t="s">
        <v>11404</v>
      </c>
      <c r="H32296" s="40" t="s">
        <v>11404</v>
      </c>
    </row>
    <row r="32297">
      <c r="A32297" s="39"/>
      <c r="E32297" s="40" t="s">
        <v>11404</v>
      </c>
      <c r="F32297" s="40" t="s">
        <v>11404</v>
      </c>
      <c r="G32297" s="40" t="s">
        <v>11404</v>
      </c>
      <c r="H32297" s="40" t="s">
        <v>11404</v>
      </c>
    </row>
    <row r="32298">
      <c r="A32298" s="39"/>
      <c r="E32298" s="40" t="s">
        <v>11404</v>
      </c>
      <c r="F32298" s="40" t="s">
        <v>11404</v>
      </c>
      <c r="G32298" s="40" t="s">
        <v>11404</v>
      </c>
      <c r="H32298" s="40" t="s">
        <v>11404</v>
      </c>
    </row>
    <row r="32299">
      <c r="A32299" s="39"/>
      <c r="E32299" s="40" t="s">
        <v>11404</v>
      </c>
      <c r="F32299" s="40" t="s">
        <v>11404</v>
      </c>
      <c r="G32299" s="40" t="s">
        <v>11404</v>
      </c>
      <c r="H32299" s="40" t="s">
        <v>11404</v>
      </c>
    </row>
    <row r="32300">
      <c r="A32300" s="39"/>
      <c r="E32300" s="40" t="s">
        <v>11404</v>
      </c>
      <c r="F32300" s="40" t="s">
        <v>11404</v>
      </c>
      <c r="G32300" s="40" t="s">
        <v>11404</v>
      </c>
      <c r="H32300" s="40" t="s">
        <v>11404</v>
      </c>
    </row>
    <row r="32301">
      <c r="A32301" s="39"/>
      <c r="E32301" s="40" t="s">
        <v>11404</v>
      </c>
      <c r="F32301" s="40" t="s">
        <v>11404</v>
      </c>
      <c r="G32301" s="40" t="s">
        <v>11404</v>
      </c>
      <c r="H32301" s="40" t="s">
        <v>11404</v>
      </c>
    </row>
    <row r="32302">
      <c r="A32302" s="39"/>
      <c r="E32302" s="40" t="s">
        <v>11404</v>
      </c>
      <c r="F32302" s="40" t="s">
        <v>11404</v>
      </c>
      <c r="G32302" s="40" t="s">
        <v>11404</v>
      </c>
      <c r="H32302" s="40" t="s">
        <v>11404</v>
      </c>
    </row>
    <row r="32303">
      <c r="A32303" s="39"/>
      <c r="E32303" s="40" t="s">
        <v>11404</v>
      </c>
      <c r="F32303" s="40" t="s">
        <v>11404</v>
      </c>
      <c r="G32303" s="40" t="s">
        <v>11404</v>
      </c>
      <c r="H32303" s="40" t="s">
        <v>11404</v>
      </c>
    </row>
    <row r="32304">
      <c r="A32304" s="39"/>
      <c r="E32304" s="40" t="s">
        <v>11404</v>
      </c>
      <c r="F32304" s="40" t="s">
        <v>11404</v>
      </c>
      <c r="G32304" s="40" t="s">
        <v>11404</v>
      </c>
      <c r="H32304" s="40" t="s">
        <v>11404</v>
      </c>
    </row>
    <row r="32305">
      <c r="A32305" s="39"/>
      <c r="E32305" s="40" t="s">
        <v>11404</v>
      </c>
      <c r="F32305" s="40" t="s">
        <v>11404</v>
      </c>
      <c r="G32305" s="40" t="s">
        <v>11404</v>
      </c>
      <c r="H32305" s="40" t="s">
        <v>11404</v>
      </c>
    </row>
    <row r="32306">
      <c r="A32306" s="39"/>
      <c r="E32306" s="40" t="s">
        <v>11404</v>
      </c>
      <c r="F32306" s="40" t="s">
        <v>11404</v>
      </c>
      <c r="G32306" s="40" t="s">
        <v>11404</v>
      </c>
      <c r="H32306" s="40" t="s">
        <v>11404</v>
      </c>
    </row>
    <row r="32307">
      <c r="A32307" s="39"/>
      <c r="E32307" s="40" t="s">
        <v>11404</v>
      </c>
      <c r="F32307" s="40" t="s">
        <v>11404</v>
      </c>
      <c r="G32307" s="40" t="s">
        <v>11404</v>
      </c>
      <c r="H32307" s="40" t="s">
        <v>11404</v>
      </c>
    </row>
    <row r="32308">
      <c r="A32308" s="39"/>
      <c r="E32308" s="40" t="s">
        <v>11404</v>
      </c>
      <c r="F32308" s="40" t="s">
        <v>11404</v>
      </c>
      <c r="G32308" s="40" t="s">
        <v>11404</v>
      </c>
      <c r="H32308" s="40" t="s">
        <v>11404</v>
      </c>
    </row>
    <row r="32309">
      <c r="A32309" s="39"/>
      <c r="E32309" s="40" t="s">
        <v>11404</v>
      </c>
      <c r="F32309" s="40" t="s">
        <v>11404</v>
      </c>
      <c r="G32309" s="40" t="s">
        <v>11404</v>
      </c>
      <c r="H32309" s="40" t="s">
        <v>11404</v>
      </c>
    </row>
    <row r="32310">
      <c r="A32310" s="39"/>
      <c r="E32310" s="40" t="s">
        <v>11404</v>
      </c>
      <c r="F32310" s="40" t="s">
        <v>11404</v>
      </c>
      <c r="G32310" s="40" t="s">
        <v>11404</v>
      </c>
      <c r="H32310" s="40" t="s">
        <v>11404</v>
      </c>
    </row>
    <row r="32311">
      <c r="A32311" s="39"/>
      <c r="E32311" s="40" t="s">
        <v>11404</v>
      </c>
      <c r="F32311" s="40" t="s">
        <v>11404</v>
      </c>
      <c r="G32311" s="40" t="s">
        <v>11404</v>
      </c>
      <c r="H32311" s="40" t="s">
        <v>11404</v>
      </c>
    </row>
    <row r="32312">
      <c r="A32312" s="39"/>
      <c r="E32312" s="40" t="s">
        <v>11404</v>
      </c>
      <c r="F32312" s="40" t="s">
        <v>11404</v>
      </c>
      <c r="G32312" s="40" t="s">
        <v>11404</v>
      </c>
      <c r="H32312" s="40" t="s">
        <v>11404</v>
      </c>
    </row>
    <row r="32313">
      <c r="A32313" s="39"/>
      <c r="E32313" s="40" t="s">
        <v>11404</v>
      </c>
      <c r="F32313" s="40" t="s">
        <v>11404</v>
      </c>
      <c r="G32313" s="40" t="s">
        <v>11404</v>
      </c>
      <c r="H32313" s="40" t="s">
        <v>11404</v>
      </c>
    </row>
    <row r="32314">
      <c r="A32314" s="39"/>
      <c r="E32314" s="40" t="s">
        <v>11404</v>
      </c>
      <c r="F32314" s="40" t="s">
        <v>11404</v>
      </c>
      <c r="G32314" s="40" t="s">
        <v>11404</v>
      </c>
      <c r="H32314" s="40" t="s">
        <v>11404</v>
      </c>
    </row>
    <row r="32315">
      <c r="A32315" s="39"/>
      <c r="E32315" s="40" t="s">
        <v>11404</v>
      </c>
      <c r="F32315" s="40" t="s">
        <v>11404</v>
      </c>
      <c r="G32315" s="40" t="s">
        <v>11404</v>
      </c>
      <c r="H32315" s="40" t="s">
        <v>11404</v>
      </c>
    </row>
    <row r="32316">
      <c r="A32316" s="39"/>
      <c r="E32316" s="40" t="s">
        <v>11404</v>
      </c>
      <c r="F32316" s="40" t="s">
        <v>11404</v>
      </c>
      <c r="G32316" s="40" t="s">
        <v>11404</v>
      </c>
      <c r="H32316" s="40" t="s">
        <v>11404</v>
      </c>
    </row>
    <row r="32317">
      <c r="A32317" s="39"/>
      <c r="E32317" s="40" t="s">
        <v>11404</v>
      </c>
      <c r="F32317" s="40" t="s">
        <v>11404</v>
      </c>
      <c r="G32317" s="40" t="s">
        <v>11404</v>
      </c>
      <c r="H32317" s="40" t="s">
        <v>11404</v>
      </c>
    </row>
    <row r="32318">
      <c r="A32318" s="39"/>
      <c r="E32318" s="40" t="s">
        <v>11404</v>
      </c>
      <c r="F32318" s="40" t="s">
        <v>11404</v>
      </c>
      <c r="G32318" s="40" t="s">
        <v>11404</v>
      </c>
      <c r="H32318" s="40" t="s">
        <v>11404</v>
      </c>
    </row>
    <row r="32319">
      <c r="A32319" s="39"/>
      <c r="E32319" s="40" t="s">
        <v>11404</v>
      </c>
      <c r="F32319" s="40" t="s">
        <v>11404</v>
      </c>
      <c r="G32319" s="40" t="s">
        <v>11404</v>
      </c>
      <c r="H32319" s="40" t="s">
        <v>11404</v>
      </c>
    </row>
    <row r="32320">
      <c r="A32320" s="39"/>
      <c r="E32320" s="40" t="s">
        <v>11404</v>
      </c>
      <c r="F32320" s="40" t="s">
        <v>11404</v>
      </c>
      <c r="G32320" s="40" t="s">
        <v>11404</v>
      </c>
      <c r="H32320" s="40" t="s">
        <v>11404</v>
      </c>
    </row>
    <row r="32321">
      <c r="A32321" s="39"/>
      <c r="E32321" s="40" t="s">
        <v>11404</v>
      </c>
      <c r="F32321" s="40" t="s">
        <v>11404</v>
      </c>
      <c r="G32321" s="40" t="s">
        <v>11404</v>
      </c>
      <c r="H32321" s="40" t="s">
        <v>11404</v>
      </c>
    </row>
    <row r="32322">
      <c r="A32322" s="39"/>
      <c r="E32322" s="40" t="s">
        <v>11404</v>
      </c>
      <c r="F32322" s="40" t="s">
        <v>11404</v>
      </c>
      <c r="G32322" s="40" t="s">
        <v>11404</v>
      </c>
      <c r="H32322" s="40" t="s">
        <v>11404</v>
      </c>
    </row>
    <row r="32323">
      <c r="A32323" s="39"/>
      <c r="E32323" s="40" t="s">
        <v>11404</v>
      </c>
      <c r="F32323" s="40" t="s">
        <v>11404</v>
      </c>
      <c r="G32323" s="40" t="s">
        <v>11404</v>
      </c>
      <c r="H32323" s="40" t="s">
        <v>11404</v>
      </c>
    </row>
    <row r="32324">
      <c r="A32324" s="39"/>
      <c r="E32324" s="40" t="s">
        <v>11404</v>
      </c>
      <c r="F32324" s="40" t="s">
        <v>11404</v>
      </c>
      <c r="G32324" s="40" t="s">
        <v>11404</v>
      </c>
      <c r="H32324" s="40" t="s">
        <v>11404</v>
      </c>
    </row>
    <row r="32325">
      <c r="A32325" s="39"/>
      <c r="E32325" s="40" t="s">
        <v>11404</v>
      </c>
      <c r="F32325" s="40" t="s">
        <v>11404</v>
      </c>
      <c r="G32325" s="40" t="s">
        <v>11404</v>
      </c>
      <c r="H32325" s="40" t="s">
        <v>11404</v>
      </c>
    </row>
    <row r="32326">
      <c r="A32326" s="39"/>
      <c r="E32326" s="40" t="s">
        <v>11404</v>
      </c>
      <c r="F32326" s="40" t="s">
        <v>11404</v>
      </c>
      <c r="G32326" s="40" t="s">
        <v>11404</v>
      </c>
      <c r="H32326" s="40" t="s">
        <v>11404</v>
      </c>
    </row>
    <row r="32327">
      <c r="A32327" s="39"/>
      <c r="E32327" s="40" t="s">
        <v>11404</v>
      </c>
      <c r="F32327" s="40" t="s">
        <v>11404</v>
      </c>
      <c r="G32327" s="40" t="s">
        <v>11404</v>
      </c>
      <c r="H32327" s="40" t="s">
        <v>11404</v>
      </c>
    </row>
    <row r="32328">
      <c r="A32328" s="39"/>
      <c r="E32328" s="40" t="s">
        <v>11404</v>
      </c>
      <c r="F32328" s="40" t="s">
        <v>11404</v>
      </c>
      <c r="G32328" s="40" t="s">
        <v>11404</v>
      </c>
      <c r="H32328" s="40" t="s">
        <v>11404</v>
      </c>
    </row>
    <row r="32329">
      <c r="A32329" s="39"/>
      <c r="E32329" s="40" t="s">
        <v>11404</v>
      </c>
      <c r="F32329" s="40" t="s">
        <v>11404</v>
      </c>
      <c r="G32329" s="40" t="s">
        <v>11404</v>
      </c>
      <c r="H32329" s="40" t="s">
        <v>11404</v>
      </c>
    </row>
    <row r="32330">
      <c r="A32330" s="39"/>
      <c r="E32330" s="40" t="s">
        <v>11404</v>
      </c>
      <c r="F32330" s="40" t="s">
        <v>11404</v>
      </c>
      <c r="G32330" s="40" t="s">
        <v>11404</v>
      </c>
      <c r="H32330" s="40" t="s">
        <v>11404</v>
      </c>
    </row>
    <row r="32331">
      <c r="A32331" s="39"/>
      <c r="E32331" s="40" t="s">
        <v>11404</v>
      </c>
      <c r="F32331" s="40" t="s">
        <v>11404</v>
      </c>
      <c r="G32331" s="40" t="s">
        <v>11404</v>
      </c>
      <c r="H32331" s="40" t="s">
        <v>11404</v>
      </c>
    </row>
    <row r="32332">
      <c r="A32332" s="39"/>
      <c r="E32332" s="40" t="s">
        <v>11404</v>
      </c>
      <c r="F32332" s="40" t="s">
        <v>11404</v>
      </c>
      <c r="G32332" s="40" t="s">
        <v>11404</v>
      </c>
      <c r="H32332" s="40" t="s">
        <v>11404</v>
      </c>
    </row>
    <row r="32333">
      <c r="A32333" s="39"/>
      <c r="E32333" s="40" t="s">
        <v>11404</v>
      </c>
      <c r="F32333" s="40" t="s">
        <v>11404</v>
      </c>
      <c r="G32333" s="40" t="s">
        <v>11404</v>
      </c>
      <c r="H32333" s="40" t="s">
        <v>11404</v>
      </c>
    </row>
    <row r="32334">
      <c r="A32334" s="39"/>
      <c r="E32334" s="40" t="s">
        <v>11404</v>
      </c>
      <c r="F32334" s="40" t="s">
        <v>11404</v>
      </c>
      <c r="G32334" s="40" t="s">
        <v>11404</v>
      </c>
      <c r="H32334" s="40" t="s">
        <v>11404</v>
      </c>
    </row>
    <row r="32335">
      <c r="A32335" s="39"/>
      <c r="E32335" s="40" t="s">
        <v>11404</v>
      </c>
      <c r="F32335" s="40" t="s">
        <v>11404</v>
      </c>
      <c r="G32335" s="40" t="s">
        <v>11404</v>
      </c>
      <c r="H32335" s="40" t="s">
        <v>11404</v>
      </c>
    </row>
    <row r="32336">
      <c r="A32336" s="39"/>
      <c r="E32336" s="40" t="s">
        <v>11404</v>
      </c>
      <c r="F32336" s="40" t="s">
        <v>11404</v>
      </c>
      <c r="G32336" s="40" t="s">
        <v>11404</v>
      </c>
      <c r="H32336" s="40" t="s">
        <v>11404</v>
      </c>
    </row>
    <row r="32337">
      <c r="A32337" s="39"/>
      <c r="E32337" s="40" t="s">
        <v>11404</v>
      </c>
      <c r="F32337" s="40" t="s">
        <v>11404</v>
      </c>
      <c r="G32337" s="40" t="s">
        <v>11404</v>
      </c>
      <c r="H32337" s="40" t="s">
        <v>11404</v>
      </c>
    </row>
    <row r="32338">
      <c r="A32338" s="39"/>
      <c r="E32338" s="40" t="s">
        <v>11404</v>
      </c>
      <c r="F32338" s="40" t="s">
        <v>11404</v>
      </c>
      <c r="G32338" s="40" t="s">
        <v>11404</v>
      </c>
      <c r="H32338" s="40" t="s">
        <v>11404</v>
      </c>
    </row>
    <row r="32339">
      <c r="A32339" s="39"/>
      <c r="E32339" s="40" t="s">
        <v>11404</v>
      </c>
      <c r="F32339" s="40" t="s">
        <v>11404</v>
      </c>
      <c r="G32339" s="40" t="s">
        <v>11404</v>
      </c>
      <c r="H32339" s="40" t="s">
        <v>11404</v>
      </c>
    </row>
    <row r="32340">
      <c r="A32340" s="39"/>
      <c r="E32340" s="40" t="s">
        <v>11404</v>
      </c>
      <c r="F32340" s="40" t="s">
        <v>11404</v>
      </c>
      <c r="G32340" s="40" t="s">
        <v>11404</v>
      </c>
      <c r="H32340" s="40" t="s">
        <v>11404</v>
      </c>
    </row>
    <row r="32341">
      <c r="A32341" s="39"/>
      <c r="E32341" s="40" t="s">
        <v>11404</v>
      </c>
      <c r="F32341" s="40" t="s">
        <v>11404</v>
      </c>
      <c r="G32341" s="40" t="s">
        <v>11404</v>
      </c>
      <c r="H32341" s="40" t="s">
        <v>11404</v>
      </c>
    </row>
    <row r="32342">
      <c r="A32342" s="39"/>
      <c r="E32342" s="40" t="s">
        <v>11404</v>
      </c>
      <c r="F32342" s="40" t="s">
        <v>11404</v>
      </c>
      <c r="G32342" s="40" t="s">
        <v>11404</v>
      </c>
      <c r="H32342" s="40" t="s">
        <v>11404</v>
      </c>
    </row>
    <row r="32343">
      <c r="A32343" s="39"/>
      <c r="E32343" s="40" t="s">
        <v>11404</v>
      </c>
      <c r="F32343" s="40" t="s">
        <v>11404</v>
      </c>
      <c r="G32343" s="40" t="s">
        <v>11404</v>
      </c>
      <c r="H32343" s="40" t="s">
        <v>11404</v>
      </c>
    </row>
    <row r="32344">
      <c r="A32344" s="39"/>
      <c r="E32344" s="40" t="s">
        <v>11404</v>
      </c>
      <c r="F32344" s="40" t="s">
        <v>11404</v>
      </c>
      <c r="G32344" s="40" t="s">
        <v>11404</v>
      </c>
      <c r="H32344" s="40" t="s">
        <v>11404</v>
      </c>
    </row>
    <row r="32345">
      <c r="A32345" s="39"/>
      <c r="E32345" s="40" t="s">
        <v>11404</v>
      </c>
      <c r="F32345" s="40" t="s">
        <v>11404</v>
      </c>
      <c r="G32345" s="40" t="s">
        <v>11404</v>
      </c>
      <c r="H32345" s="40" t="s">
        <v>11404</v>
      </c>
    </row>
    <row r="32346">
      <c r="A32346" s="39"/>
      <c r="E32346" s="40" t="s">
        <v>11404</v>
      </c>
      <c r="F32346" s="40" t="s">
        <v>11404</v>
      </c>
      <c r="G32346" s="40" t="s">
        <v>11404</v>
      </c>
      <c r="H32346" s="40" t="s">
        <v>11404</v>
      </c>
    </row>
    <row r="32347">
      <c r="A32347" s="39"/>
      <c r="E32347" s="40" t="s">
        <v>11404</v>
      </c>
      <c r="F32347" s="40" t="s">
        <v>11404</v>
      </c>
      <c r="G32347" s="40" t="s">
        <v>11404</v>
      </c>
      <c r="H32347" s="40" t="s">
        <v>11404</v>
      </c>
    </row>
    <row r="32348">
      <c r="A32348" s="39"/>
      <c r="E32348" s="40" t="s">
        <v>11404</v>
      </c>
      <c r="F32348" s="40" t="s">
        <v>11404</v>
      </c>
      <c r="G32348" s="40" t="s">
        <v>11404</v>
      </c>
      <c r="H32348" s="40" t="s">
        <v>11404</v>
      </c>
    </row>
    <row r="32349">
      <c r="A32349" s="39"/>
      <c r="E32349" s="40" t="s">
        <v>11404</v>
      </c>
      <c r="F32349" s="40" t="s">
        <v>11404</v>
      </c>
      <c r="G32349" s="40" t="s">
        <v>11404</v>
      </c>
      <c r="H32349" s="40" t="s">
        <v>11404</v>
      </c>
    </row>
    <row r="32350">
      <c r="A32350" s="39"/>
      <c r="E32350" s="40" t="s">
        <v>11404</v>
      </c>
      <c r="F32350" s="40" t="s">
        <v>11404</v>
      </c>
      <c r="G32350" s="40" t="s">
        <v>11404</v>
      </c>
      <c r="H32350" s="40" t="s">
        <v>11404</v>
      </c>
    </row>
    <row r="32351">
      <c r="A32351" s="39"/>
      <c r="E32351" s="40" t="s">
        <v>11404</v>
      </c>
      <c r="F32351" s="40" t="s">
        <v>11404</v>
      </c>
      <c r="G32351" s="40" t="s">
        <v>11404</v>
      </c>
      <c r="H32351" s="40" t="s">
        <v>11404</v>
      </c>
    </row>
    <row r="32352">
      <c r="A32352" s="39"/>
      <c r="E32352" s="40" t="s">
        <v>11404</v>
      </c>
      <c r="F32352" s="40" t="s">
        <v>11404</v>
      </c>
      <c r="G32352" s="40" t="s">
        <v>11404</v>
      </c>
      <c r="H32352" s="40" t="s">
        <v>11404</v>
      </c>
    </row>
    <row r="32353">
      <c r="A32353" s="39"/>
      <c r="E32353" s="40" t="s">
        <v>11404</v>
      </c>
      <c r="F32353" s="40" t="s">
        <v>11404</v>
      </c>
      <c r="G32353" s="40" t="s">
        <v>11404</v>
      </c>
      <c r="H32353" s="40" t="s">
        <v>11404</v>
      </c>
    </row>
    <row r="32354">
      <c r="A32354" s="39"/>
      <c r="E32354" s="40" t="s">
        <v>11404</v>
      </c>
      <c r="F32354" s="40" t="s">
        <v>11404</v>
      </c>
      <c r="G32354" s="40" t="s">
        <v>11404</v>
      </c>
      <c r="H32354" s="40" t="s">
        <v>11404</v>
      </c>
    </row>
    <row r="32355">
      <c r="A32355" s="39"/>
      <c r="E32355" s="40" t="s">
        <v>11404</v>
      </c>
      <c r="F32355" s="40" t="s">
        <v>11404</v>
      </c>
      <c r="G32355" s="40" t="s">
        <v>11404</v>
      </c>
      <c r="H32355" s="40" t="s">
        <v>11404</v>
      </c>
    </row>
    <row r="32356">
      <c r="A32356" s="39"/>
      <c r="E32356" s="40" t="s">
        <v>11404</v>
      </c>
      <c r="F32356" s="40" t="s">
        <v>11404</v>
      </c>
      <c r="G32356" s="40" t="s">
        <v>11404</v>
      </c>
      <c r="H32356" s="40" t="s">
        <v>11404</v>
      </c>
    </row>
    <row r="32357">
      <c r="A32357" s="39"/>
      <c r="E32357" s="40" t="s">
        <v>11404</v>
      </c>
      <c r="F32357" s="40" t="s">
        <v>11404</v>
      </c>
      <c r="G32357" s="40" t="s">
        <v>11404</v>
      </c>
      <c r="H32357" s="40" t="s">
        <v>11404</v>
      </c>
    </row>
    <row r="32358">
      <c r="A32358" s="39"/>
      <c r="E32358" s="40" t="s">
        <v>11404</v>
      </c>
      <c r="F32358" s="40" t="s">
        <v>11404</v>
      </c>
      <c r="G32358" s="40" t="s">
        <v>11404</v>
      </c>
      <c r="H32358" s="40" t="s">
        <v>11404</v>
      </c>
    </row>
    <row r="32359">
      <c r="A32359" s="39"/>
      <c r="E32359" s="40" t="s">
        <v>11404</v>
      </c>
      <c r="F32359" s="40" t="s">
        <v>11404</v>
      </c>
      <c r="G32359" s="40" t="s">
        <v>11404</v>
      </c>
      <c r="H32359" s="40" t="s">
        <v>11404</v>
      </c>
    </row>
    <row r="32360">
      <c r="A32360" s="39"/>
      <c r="E32360" s="40" t="s">
        <v>11404</v>
      </c>
      <c r="F32360" s="40" t="s">
        <v>11404</v>
      </c>
      <c r="G32360" s="40" t="s">
        <v>11404</v>
      </c>
      <c r="H32360" s="40" t="s">
        <v>11404</v>
      </c>
    </row>
    <row r="32361">
      <c r="A32361" s="39"/>
      <c r="E32361" s="40" t="s">
        <v>11404</v>
      </c>
      <c r="F32361" s="40" t="s">
        <v>11404</v>
      </c>
      <c r="G32361" s="40" t="s">
        <v>11404</v>
      </c>
      <c r="H32361" s="40" t="s">
        <v>11404</v>
      </c>
    </row>
    <row r="32362">
      <c r="A32362" s="39"/>
      <c r="E32362" s="40" t="s">
        <v>11404</v>
      </c>
      <c r="F32362" s="40" t="s">
        <v>11404</v>
      </c>
      <c r="G32362" s="40" t="s">
        <v>11404</v>
      </c>
      <c r="H32362" s="40" t="s">
        <v>11404</v>
      </c>
    </row>
    <row r="32363">
      <c r="A32363" s="39"/>
      <c r="E32363" s="40" t="s">
        <v>11404</v>
      </c>
      <c r="F32363" s="40" t="s">
        <v>11404</v>
      </c>
      <c r="G32363" s="40" t="s">
        <v>11404</v>
      </c>
      <c r="H32363" s="40" t="s">
        <v>11404</v>
      </c>
    </row>
    <row r="32364">
      <c r="A32364" s="39"/>
      <c r="E32364" s="40" t="s">
        <v>11404</v>
      </c>
      <c r="F32364" s="40" t="s">
        <v>11404</v>
      </c>
      <c r="G32364" s="40" t="s">
        <v>11404</v>
      </c>
      <c r="H32364" s="40" t="s">
        <v>11404</v>
      </c>
    </row>
    <row r="32365">
      <c r="A32365" s="39"/>
      <c r="E32365" s="40" t="s">
        <v>11404</v>
      </c>
      <c r="F32365" s="40" t="s">
        <v>11404</v>
      </c>
      <c r="G32365" s="40" t="s">
        <v>11404</v>
      </c>
      <c r="H32365" s="40" t="s">
        <v>11404</v>
      </c>
    </row>
    <row r="32366">
      <c r="A32366" s="39"/>
      <c r="E32366" s="40" t="s">
        <v>11404</v>
      </c>
      <c r="F32366" s="40" t="s">
        <v>11404</v>
      </c>
      <c r="G32366" s="40" t="s">
        <v>11404</v>
      </c>
      <c r="H32366" s="40" t="s">
        <v>11404</v>
      </c>
    </row>
    <row r="32367">
      <c r="A32367" s="39"/>
      <c r="E32367" s="40" t="s">
        <v>11404</v>
      </c>
      <c r="F32367" s="40" t="s">
        <v>11404</v>
      </c>
      <c r="G32367" s="40" t="s">
        <v>11404</v>
      </c>
      <c r="H32367" s="40" t="s">
        <v>11404</v>
      </c>
    </row>
    <row r="32368">
      <c r="A32368" s="39"/>
      <c r="E32368" s="40" t="s">
        <v>11404</v>
      </c>
      <c r="F32368" s="40" t="s">
        <v>11404</v>
      </c>
      <c r="G32368" s="40" t="s">
        <v>11404</v>
      </c>
      <c r="H32368" s="40" t="s">
        <v>11404</v>
      </c>
    </row>
    <row r="32369">
      <c r="A32369" s="39"/>
      <c r="E32369" s="40" t="s">
        <v>11404</v>
      </c>
      <c r="F32369" s="40" t="s">
        <v>11404</v>
      </c>
      <c r="G32369" s="40" t="s">
        <v>11404</v>
      </c>
      <c r="H32369" s="40" t="s">
        <v>11404</v>
      </c>
    </row>
    <row r="32370">
      <c r="A32370" s="39"/>
      <c r="E32370" s="40" t="s">
        <v>11404</v>
      </c>
      <c r="F32370" s="40" t="s">
        <v>11404</v>
      </c>
      <c r="G32370" s="40" t="s">
        <v>11404</v>
      </c>
      <c r="H32370" s="40" t="s">
        <v>11404</v>
      </c>
    </row>
    <row r="32371">
      <c r="A32371" s="39"/>
      <c r="E32371" s="40" t="s">
        <v>11404</v>
      </c>
      <c r="F32371" s="40" t="s">
        <v>11404</v>
      </c>
      <c r="G32371" s="40" t="s">
        <v>11404</v>
      </c>
      <c r="H32371" s="40" t="s">
        <v>11404</v>
      </c>
    </row>
    <row r="32372">
      <c r="A32372" s="39"/>
      <c r="E32372" s="40" t="s">
        <v>11404</v>
      </c>
      <c r="F32372" s="40" t="s">
        <v>11404</v>
      </c>
      <c r="G32372" s="40" t="s">
        <v>11404</v>
      </c>
      <c r="H32372" s="40" t="s">
        <v>11404</v>
      </c>
    </row>
    <row r="32373">
      <c r="A32373" s="39"/>
      <c r="E32373" s="40" t="s">
        <v>11404</v>
      </c>
      <c r="F32373" s="40" t="s">
        <v>11404</v>
      </c>
      <c r="G32373" s="40" t="s">
        <v>11404</v>
      </c>
      <c r="H32373" s="40" t="s">
        <v>11404</v>
      </c>
    </row>
    <row r="32374">
      <c r="A32374" s="39"/>
      <c r="E32374" s="40" t="s">
        <v>11404</v>
      </c>
      <c r="F32374" s="40" t="s">
        <v>11404</v>
      </c>
      <c r="G32374" s="40" t="s">
        <v>11404</v>
      </c>
      <c r="H32374" s="40" t="s">
        <v>11404</v>
      </c>
    </row>
    <row r="32375">
      <c r="A32375" s="39"/>
      <c r="E32375" s="40" t="s">
        <v>11404</v>
      </c>
      <c r="F32375" s="40" t="s">
        <v>11404</v>
      </c>
      <c r="G32375" s="40" t="s">
        <v>11404</v>
      </c>
      <c r="H32375" s="40" t="s">
        <v>11404</v>
      </c>
    </row>
    <row r="32376">
      <c r="A32376" s="39"/>
      <c r="E32376" s="40" t="s">
        <v>11404</v>
      </c>
      <c r="F32376" s="40" t="s">
        <v>11404</v>
      </c>
      <c r="G32376" s="40" t="s">
        <v>11404</v>
      </c>
      <c r="H32376" s="40" t="s">
        <v>11404</v>
      </c>
    </row>
    <row r="32377">
      <c r="A32377" s="39"/>
      <c r="E32377" s="40" t="s">
        <v>11404</v>
      </c>
      <c r="F32377" s="40" t="s">
        <v>11404</v>
      </c>
      <c r="G32377" s="40" t="s">
        <v>11404</v>
      </c>
      <c r="H32377" s="40" t="s">
        <v>11404</v>
      </c>
    </row>
    <row r="32378">
      <c r="A32378" s="39"/>
      <c r="E32378" s="40" t="s">
        <v>11404</v>
      </c>
      <c r="F32378" s="40" t="s">
        <v>11404</v>
      </c>
      <c r="G32378" s="40" t="s">
        <v>11404</v>
      </c>
      <c r="H32378" s="40" t="s">
        <v>11404</v>
      </c>
    </row>
    <row r="32379">
      <c r="A32379" s="39"/>
      <c r="E32379" s="40" t="s">
        <v>11404</v>
      </c>
      <c r="F32379" s="40" t="s">
        <v>11404</v>
      </c>
      <c r="G32379" s="40" t="s">
        <v>11404</v>
      </c>
      <c r="H32379" s="40" t="s">
        <v>11404</v>
      </c>
    </row>
    <row r="32380">
      <c r="A32380" s="39"/>
      <c r="E32380" s="40" t="s">
        <v>11404</v>
      </c>
      <c r="F32380" s="40" t="s">
        <v>11404</v>
      </c>
      <c r="G32380" s="40" t="s">
        <v>11404</v>
      </c>
      <c r="H32380" s="40" t="s">
        <v>11404</v>
      </c>
    </row>
    <row r="32381">
      <c r="A32381" s="39"/>
      <c r="E32381" s="40" t="s">
        <v>11404</v>
      </c>
      <c r="F32381" s="40" t="s">
        <v>11404</v>
      </c>
      <c r="G32381" s="40" t="s">
        <v>11404</v>
      </c>
      <c r="H32381" s="40" t="s">
        <v>11404</v>
      </c>
    </row>
    <row r="32382">
      <c r="A32382" s="39"/>
      <c r="E32382" s="40" t="s">
        <v>11404</v>
      </c>
      <c r="F32382" s="40" t="s">
        <v>11404</v>
      </c>
      <c r="G32382" s="40" t="s">
        <v>11404</v>
      </c>
      <c r="H32382" s="40" t="s">
        <v>11404</v>
      </c>
    </row>
    <row r="32383">
      <c r="A32383" s="39"/>
      <c r="E32383" s="40" t="s">
        <v>11404</v>
      </c>
      <c r="F32383" s="40" t="s">
        <v>11404</v>
      </c>
      <c r="G32383" s="40" t="s">
        <v>11404</v>
      </c>
      <c r="H32383" s="40" t="s">
        <v>11404</v>
      </c>
    </row>
    <row r="32384">
      <c r="A32384" s="39"/>
      <c r="E32384" s="40" t="s">
        <v>11404</v>
      </c>
      <c r="F32384" s="40" t="s">
        <v>11404</v>
      </c>
      <c r="G32384" s="40" t="s">
        <v>11404</v>
      </c>
      <c r="H32384" s="40" t="s">
        <v>11404</v>
      </c>
    </row>
    <row r="32385">
      <c r="A32385" s="39"/>
      <c r="E32385" s="40" t="s">
        <v>11404</v>
      </c>
      <c r="F32385" s="40" t="s">
        <v>11404</v>
      </c>
      <c r="G32385" s="40" t="s">
        <v>11404</v>
      </c>
      <c r="H32385" s="40" t="s">
        <v>11404</v>
      </c>
    </row>
    <row r="32386">
      <c r="A32386" s="39"/>
      <c r="E32386" s="40" t="s">
        <v>11404</v>
      </c>
      <c r="F32386" s="40" t="s">
        <v>11404</v>
      </c>
      <c r="G32386" s="40" t="s">
        <v>11404</v>
      </c>
      <c r="H32386" s="40" t="s">
        <v>11404</v>
      </c>
    </row>
    <row r="32387">
      <c r="A32387" s="39"/>
      <c r="E32387" s="40" t="s">
        <v>11404</v>
      </c>
      <c r="F32387" s="40" t="s">
        <v>11404</v>
      </c>
      <c r="G32387" s="40" t="s">
        <v>11404</v>
      </c>
      <c r="H32387" s="40" t="s">
        <v>11404</v>
      </c>
    </row>
    <row r="32388">
      <c r="A32388" s="39"/>
      <c r="E32388" s="40" t="s">
        <v>11404</v>
      </c>
      <c r="F32388" s="40" t="s">
        <v>11404</v>
      </c>
      <c r="G32388" s="40" t="s">
        <v>11404</v>
      </c>
      <c r="H32388" s="40" t="s">
        <v>11404</v>
      </c>
    </row>
    <row r="32389">
      <c r="A32389" s="39"/>
      <c r="E32389" s="40" t="s">
        <v>11404</v>
      </c>
      <c r="F32389" s="40" t="s">
        <v>11404</v>
      </c>
      <c r="G32389" s="40" t="s">
        <v>11404</v>
      </c>
      <c r="H32389" s="40" t="s">
        <v>11404</v>
      </c>
    </row>
    <row r="32390">
      <c r="A32390" s="39"/>
      <c r="E32390" s="40" t="s">
        <v>11404</v>
      </c>
      <c r="F32390" s="40" t="s">
        <v>11404</v>
      </c>
      <c r="G32390" s="40" t="s">
        <v>11404</v>
      </c>
      <c r="H32390" s="40" t="s">
        <v>11404</v>
      </c>
    </row>
    <row r="32391">
      <c r="A32391" s="39"/>
      <c r="E32391" s="40" t="s">
        <v>11404</v>
      </c>
      <c r="F32391" s="40" t="s">
        <v>11404</v>
      </c>
      <c r="G32391" s="40" t="s">
        <v>11404</v>
      </c>
      <c r="H32391" s="40" t="s">
        <v>11404</v>
      </c>
    </row>
    <row r="32392">
      <c r="A32392" s="39"/>
      <c r="E32392" s="40" t="s">
        <v>11404</v>
      </c>
      <c r="F32392" s="40" t="s">
        <v>11404</v>
      </c>
      <c r="G32392" s="40" t="s">
        <v>11404</v>
      </c>
      <c r="H32392" s="40" t="s">
        <v>11404</v>
      </c>
    </row>
    <row r="32393">
      <c r="A32393" s="39"/>
      <c r="E32393" s="40" t="s">
        <v>11404</v>
      </c>
      <c r="F32393" s="40" t="s">
        <v>11404</v>
      </c>
      <c r="G32393" s="40" t="s">
        <v>11404</v>
      </c>
      <c r="H32393" s="40" t="s">
        <v>11404</v>
      </c>
    </row>
    <row r="32394">
      <c r="A32394" s="39"/>
      <c r="E32394" s="40" t="s">
        <v>11404</v>
      </c>
      <c r="F32394" s="40" t="s">
        <v>11404</v>
      </c>
      <c r="G32394" s="40" t="s">
        <v>11404</v>
      </c>
      <c r="H32394" s="40" t="s">
        <v>11404</v>
      </c>
    </row>
    <row r="32395">
      <c r="A32395" s="39"/>
      <c r="E32395" s="40" t="s">
        <v>11404</v>
      </c>
      <c r="F32395" s="40" t="s">
        <v>11404</v>
      </c>
      <c r="G32395" s="40" t="s">
        <v>11404</v>
      </c>
      <c r="H32395" s="40" t="s">
        <v>11404</v>
      </c>
    </row>
    <row r="32396">
      <c r="A32396" s="39"/>
      <c r="E32396" s="40" t="s">
        <v>11404</v>
      </c>
      <c r="F32396" s="40" t="s">
        <v>11404</v>
      </c>
      <c r="G32396" s="40" t="s">
        <v>11404</v>
      </c>
      <c r="H32396" s="40" t="s">
        <v>11404</v>
      </c>
    </row>
    <row r="32397">
      <c r="A32397" s="39"/>
      <c r="E32397" s="40" t="s">
        <v>11404</v>
      </c>
      <c r="F32397" s="40" t="s">
        <v>11404</v>
      </c>
      <c r="G32397" s="40" t="s">
        <v>11404</v>
      </c>
      <c r="H32397" s="40" t="s">
        <v>11404</v>
      </c>
    </row>
    <row r="32398">
      <c r="A32398" s="39"/>
      <c r="E32398" s="40" t="s">
        <v>11404</v>
      </c>
      <c r="F32398" s="40" t="s">
        <v>11404</v>
      </c>
      <c r="G32398" s="40" t="s">
        <v>11404</v>
      </c>
      <c r="H32398" s="40" t="s">
        <v>11404</v>
      </c>
    </row>
    <row r="32399">
      <c r="A32399" s="39"/>
      <c r="E32399" s="40" t="s">
        <v>11404</v>
      </c>
      <c r="F32399" s="40" t="s">
        <v>11404</v>
      </c>
      <c r="G32399" s="40" t="s">
        <v>11404</v>
      </c>
      <c r="H32399" s="40" t="s">
        <v>11404</v>
      </c>
    </row>
    <row r="32400">
      <c r="A32400" s="39"/>
      <c r="E32400" s="40" t="s">
        <v>11404</v>
      </c>
      <c r="F32400" s="40" t="s">
        <v>11404</v>
      </c>
      <c r="G32400" s="40" t="s">
        <v>11404</v>
      </c>
      <c r="H32400" s="40" t="s">
        <v>11404</v>
      </c>
    </row>
    <row r="32401">
      <c r="A32401" s="39"/>
      <c r="E32401" s="40" t="s">
        <v>11404</v>
      </c>
      <c r="F32401" s="40" t="s">
        <v>11404</v>
      </c>
      <c r="G32401" s="40" t="s">
        <v>11404</v>
      </c>
      <c r="H32401" s="40" t="s">
        <v>11404</v>
      </c>
    </row>
    <row r="32402">
      <c r="A32402" s="39"/>
      <c r="E32402" s="40" t="s">
        <v>11404</v>
      </c>
      <c r="F32402" s="40" t="s">
        <v>11404</v>
      </c>
      <c r="G32402" s="40" t="s">
        <v>11404</v>
      </c>
      <c r="H32402" s="40" t="s">
        <v>11404</v>
      </c>
    </row>
    <row r="32403">
      <c r="A32403" s="39"/>
      <c r="E32403" s="40" t="s">
        <v>11404</v>
      </c>
      <c r="F32403" s="40" t="s">
        <v>11404</v>
      </c>
      <c r="G32403" s="40" t="s">
        <v>11404</v>
      </c>
      <c r="H32403" s="40" t="s">
        <v>11404</v>
      </c>
    </row>
    <row r="32404">
      <c r="A32404" s="39"/>
      <c r="E32404" s="40" t="s">
        <v>11404</v>
      </c>
      <c r="F32404" s="40" t="s">
        <v>11404</v>
      </c>
      <c r="G32404" s="40" t="s">
        <v>11404</v>
      </c>
      <c r="H32404" s="40" t="s">
        <v>11404</v>
      </c>
    </row>
    <row r="32405">
      <c r="A32405" s="39"/>
      <c r="E32405" s="40" t="s">
        <v>11404</v>
      </c>
      <c r="F32405" s="40" t="s">
        <v>11404</v>
      </c>
      <c r="G32405" s="40" t="s">
        <v>11404</v>
      </c>
      <c r="H32405" s="40" t="s">
        <v>11404</v>
      </c>
    </row>
    <row r="32406">
      <c r="A32406" s="39"/>
      <c r="E32406" s="40" t="s">
        <v>11404</v>
      </c>
      <c r="F32406" s="40" t="s">
        <v>11404</v>
      </c>
      <c r="G32406" s="40" t="s">
        <v>11404</v>
      </c>
      <c r="H32406" s="40" t="s">
        <v>11404</v>
      </c>
    </row>
    <row r="32407">
      <c r="A32407" s="39"/>
      <c r="E32407" s="40" t="s">
        <v>11404</v>
      </c>
      <c r="F32407" s="40" t="s">
        <v>11404</v>
      </c>
      <c r="G32407" s="40" t="s">
        <v>11404</v>
      </c>
      <c r="H32407" s="40" t="s">
        <v>11404</v>
      </c>
    </row>
    <row r="32408">
      <c r="A32408" s="39"/>
      <c r="E32408" s="40" t="s">
        <v>11404</v>
      </c>
      <c r="F32408" s="40" t="s">
        <v>11404</v>
      </c>
      <c r="G32408" s="40" t="s">
        <v>11404</v>
      </c>
      <c r="H32408" s="40" t="s">
        <v>11404</v>
      </c>
    </row>
    <row r="32409">
      <c r="A32409" s="39"/>
      <c r="E32409" s="40" t="s">
        <v>11404</v>
      </c>
      <c r="F32409" s="40" t="s">
        <v>11404</v>
      </c>
      <c r="G32409" s="40" t="s">
        <v>11404</v>
      </c>
      <c r="H32409" s="40" t="s">
        <v>11404</v>
      </c>
    </row>
    <row r="32410">
      <c r="A32410" s="39"/>
      <c r="E32410" s="40" t="s">
        <v>11404</v>
      </c>
      <c r="F32410" s="40" t="s">
        <v>11404</v>
      </c>
      <c r="G32410" s="40" t="s">
        <v>11404</v>
      </c>
      <c r="H32410" s="40" t="s">
        <v>11404</v>
      </c>
    </row>
    <row r="32411">
      <c r="A32411" s="39"/>
      <c r="E32411" s="40" t="s">
        <v>11404</v>
      </c>
      <c r="F32411" s="40" t="s">
        <v>11404</v>
      </c>
      <c r="G32411" s="40" t="s">
        <v>11404</v>
      </c>
      <c r="H32411" s="40" t="s">
        <v>11404</v>
      </c>
    </row>
    <row r="32412">
      <c r="A32412" s="39"/>
      <c r="E32412" s="40" t="s">
        <v>11404</v>
      </c>
      <c r="F32412" s="40" t="s">
        <v>11404</v>
      </c>
      <c r="G32412" s="40" t="s">
        <v>11404</v>
      </c>
      <c r="H32412" s="40" t="s">
        <v>11404</v>
      </c>
    </row>
    <row r="32413">
      <c r="A32413" s="39"/>
      <c r="E32413" s="40" t="s">
        <v>11404</v>
      </c>
      <c r="F32413" s="40" t="s">
        <v>11404</v>
      </c>
      <c r="G32413" s="40" t="s">
        <v>11404</v>
      </c>
      <c r="H32413" s="40" t="s">
        <v>11404</v>
      </c>
    </row>
    <row r="32414">
      <c r="A32414" s="39"/>
      <c r="E32414" s="40" t="s">
        <v>11404</v>
      </c>
      <c r="F32414" s="40" t="s">
        <v>11404</v>
      </c>
      <c r="G32414" s="40" t="s">
        <v>11404</v>
      </c>
      <c r="H32414" s="40" t="s">
        <v>11404</v>
      </c>
    </row>
    <row r="32415">
      <c r="A32415" s="39"/>
      <c r="E32415" s="40" t="s">
        <v>11404</v>
      </c>
      <c r="F32415" s="40" t="s">
        <v>11404</v>
      </c>
      <c r="G32415" s="40" t="s">
        <v>11404</v>
      </c>
      <c r="H32415" s="40" t="s">
        <v>11404</v>
      </c>
    </row>
    <row r="32416">
      <c r="A32416" s="39"/>
      <c r="E32416" s="40" t="s">
        <v>11404</v>
      </c>
      <c r="F32416" s="40" t="s">
        <v>11404</v>
      </c>
      <c r="G32416" s="40" t="s">
        <v>11404</v>
      </c>
      <c r="H32416" s="40" t="s">
        <v>11404</v>
      </c>
    </row>
    <row r="32417">
      <c r="A32417" s="39"/>
      <c r="E32417" s="40" t="s">
        <v>11404</v>
      </c>
      <c r="F32417" s="40" t="s">
        <v>11404</v>
      </c>
      <c r="G32417" s="40" t="s">
        <v>11404</v>
      </c>
      <c r="H32417" s="40" t="s">
        <v>11404</v>
      </c>
    </row>
    <row r="32418">
      <c r="A32418" s="39"/>
      <c r="E32418" s="40" t="s">
        <v>11404</v>
      </c>
      <c r="F32418" s="40" t="s">
        <v>11404</v>
      </c>
      <c r="G32418" s="40" t="s">
        <v>11404</v>
      </c>
      <c r="H32418" s="40" t="s">
        <v>11404</v>
      </c>
    </row>
    <row r="32419">
      <c r="A32419" s="39"/>
      <c r="E32419" s="40" t="s">
        <v>11404</v>
      </c>
      <c r="F32419" s="40" t="s">
        <v>11404</v>
      </c>
      <c r="G32419" s="40" t="s">
        <v>11404</v>
      </c>
      <c r="H32419" s="40" t="s">
        <v>11404</v>
      </c>
    </row>
    <row r="32420">
      <c r="A32420" s="39"/>
      <c r="E32420" s="40" t="s">
        <v>11404</v>
      </c>
      <c r="F32420" s="40" t="s">
        <v>11404</v>
      </c>
      <c r="G32420" s="40" t="s">
        <v>11404</v>
      </c>
      <c r="H32420" s="40" t="s">
        <v>11404</v>
      </c>
    </row>
    <row r="32421">
      <c r="A32421" s="39"/>
      <c r="E32421" s="40" t="s">
        <v>11404</v>
      </c>
      <c r="F32421" s="40" t="s">
        <v>11404</v>
      </c>
      <c r="G32421" s="40" t="s">
        <v>11404</v>
      </c>
      <c r="H32421" s="40" t="s">
        <v>11404</v>
      </c>
    </row>
    <row r="32422">
      <c r="A32422" s="39"/>
      <c r="E32422" s="40" t="s">
        <v>11404</v>
      </c>
      <c r="F32422" s="40" t="s">
        <v>11404</v>
      </c>
      <c r="G32422" s="40" t="s">
        <v>11404</v>
      </c>
      <c r="H32422" s="40" t="s">
        <v>11404</v>
      </c>
    </row>
    <row r="32423">
      <c r="A32423" s="39"/>
      <c r="E32423" s="40" t="s">
        <v>11404</v>
      </c>
      <c r="F32423" s="40" t="s">
        <v>11404</v>
      </c>
      <c r="G32423" s="40" t="s">
        <v>11404</v>
      </c>
      <c r="H32423" s="40" t="s">
        <v>11404</v>
      </c>
    </row>
    <row r="32424">
      <c r="A32424" s="39"/>
      <c r="E32424" s="40" t="s">
        <v>11404</v>
      </c>
      <c r="F32424" s="40" t="s">
        <v>11404</v>
      </c>
      <c r="G32424" s="40" t="s">
        <v>11404</v>
      </c>
      <c r="H32424" s="40" t="s">
        <v>11404</v>
      </c>
    </row>
    <row r="32425">
      <c r="A32425" s="39"/>
      <c r="E32425" s="40" t="s">
        <v>11404</v>
      </c>
      <c r="F32425" s="40" t="s">
        <v>11404</v>
      </c>
      <c r="G32425" s="40" t="s">
        <v>11404</v>
      </c>
      <c r="H32425" s="40" t="s">
        <v>11404</v>
      </c>
    </row>
    <row r="32426">
      <c r="A32426" s="39"/>
      <c r="E32426" s="40" t="s">
        <v>11404</v>
      </c>
      <c r="F32426" s="40" t="s">
        <v>11404</v>
      </c>
      <c r="G32426" s="40" t="s">
        <v>11404</v>
      </c>
      <c r="H32426" s="40" t="s">
        <v>11404</v>
      </c>
    </row>
    <row r="32427">
      <c r="A32427" s="39"/>
      <c r="E32427" s="40" t="s">
        <v>11404</v>
      </c>
      <c r="F32427" s="40" t="s">
        <v>11404</v>
      </c>
      <c r="G32427" s="40" t="s">
        <v>11404</v>
      </c>
      <c r="H32427" s="40" t="s">
        <v>11404</v>
      </c>
    </row>
    <row r="32428">
      <c r="A32428" s="39"/>
      <c r="E32428" s="40" t="s">
        <v>11404</v>
      </c>
      <c r="F32428" s="40" t="s">
        <v>11404</v>
      </c>
      <c r="G32428" s="40" t="s">
        <v>11404</v>
      </c>
      <c r="H32428" s="40" t="s">
        <v>11404</v>
      </c>
    </row>
    <row r="32429">
      <c r="A32429" s="39"/>
      <c r="E32429" s="40" t="s">
        <v>11404</v>
      </c>
      <c r="F32429" s="40" t="s">
        <v>11404</v>
      </c>
      <c r="G32429" s="40" t="s">
        <v>11404</v>
      </c>
      <c r="H32429" s="40" t="s">
        <v>11404</v>
      </c>
    </row>
    <row r="32430">
      <c r="A32430" s="39"/>
      <c r="E32430" s="40" t="s">
        <v>11404</v>
      </c>
      <c r="F32430" s="40" t="s">
        <v>11404</v>
      </c>
      <c r="G32430" s="40" t="s">
        <v>11404</v>
      </c>
      <c r="H32430" s="40" t="s">
        <v>11404</v>
      </c>
    </row>
    <row r="32431">
      <c r="A32431" s="39"/>
      <c r="E32431" s="40" t="s">
        <v>11404</v>
      </c>
      <c r="F32431" s="40" t="s">
        <v>11404</v>
      </c>
      <c r="G32431" s="40" t="s">
        <v>11404</v>
      </c>
      <c r="H32431" s="40" t="s">
        <v>11404</v>
      </c>
    </row>
    <row r="32432">
      <c r="A32432" s="39"/>
      <c r="E32432" s="40" t="s">
        <v>11404</v>
      </c>
      <c r="F32432" s="40" t="s">
        <v>11404</v>
      </c>
      <c r="G32432" s="40" t="s">
        <v>11404</v>
      </c>
      <c r="H32432" s="40" t="s">
        <v>11404</v>
      </c>
    </row>
    <row r="32433">
      <c r="A32433" s="39"/>
      <c r="E32433" s="40" t="s">
        <v>11404</v>
      </c>
      <c r="F32433" s="40" t="s">
        <v>11404</v>
      </c>
      <c r="G32433" s="40" t="s">
        <v>11404</v>
      </c>
      <c r="H32433" s="40" t="s">
        <v>11404</v>
      </c>
    </row>
    <row r="32434">
      <c r="A32434" s="39"/>
      <c r="E32434" s="40" t="s">
        <v>11404</v>
      </c>
      <c r="F32434" s="40" t="s">
        <v>11404</v>
      </c>
      <c r="G32434" s="40" t="s">
        <v>11404</v>
      </c>
      <c r="H32434" s="40" t="s">
        <v>11404</v>
      </c>
    </row>
    <row r="32435">
      <c r="A32435" s="39"/>
      <c r="E32435" s="40" t="s">
        <v>11404</v>
      </c>
      <c r="F32435" s="40" t="s">
        <v>11404</v>
      </c>
      <c r="G32435" s="40" t="s">
        <v>11404</v>
      </c>
      <c r="H32435" s="40" t="s">
        <v>11404</v>
      </c>
    </row>
    <row r="32436">
      <c r="A32436" s="39"/>
      <c r="E32436" s="40" t="s">
        <v>11404</v>
      </c>
      <c r="F32436" s="40" t="s">
        <v>11404</v>
      </c>
      <c r="G32436" s="40" t="s">
        <v>11404</v>
      </c>
      <c r="H32436" s="40" t="s">
        <v>11404</v>
      </c>
    </row>
    <row r="32437">
      <c r="A32437" s="39"/>
      <c r="E32437" s="40" t="s">
        <v>11404</v>
      </c>
      <c r="F32437" s="40" t="s">
        <v>11404</v>
      </c>
      <c r="G32437" s="40" t="s">
        <v>11404</v>
      </c>
      <c r="H32437" s="40" t="s">
        <v>11404</v>
      </c>
    </row>
    <row r="32438">
      <c r="A32438" s="39"/>
      <c r="E32438" s="40" t="s">
        <v>11404</v>
      </c>
      <c r="F32438" s="40" t="s">
        <v>11404</v>
      </c>
      <c r="G32438" s="40" t="s">
        <v>11404</v>
      </c>
      <c r="H32438" s="40" t="s">
        <v>11404</v>
      </c>
    </row>
    <row r="32439">
      <c r="A32439" s="39"/>
      <c r="E32439" s="40" t="s">
        <v>11404</v>
      </c>
      <c r="F32439" s="40" t="s">
        <v>11404</v>
      </c>
      <c r="G32439" s="40" t="s">
        <v>11404</v>
      </c>
      <c r="H32439" s="40" t="s">
        <v>11404</v>
      </c>
    </row>
    <row r="32440">
      <c r="A32440" s="39"/>
      <c r="E32440" s="40" t="s">
        <v>11404</v>
      </c>
      <c r="F32440" s="40" t="s">
        <v>11404</v>
      </c>
      <c r="G32440" s="40" t="s">
        <v>11404</v>
      </c>
      <c r="H32440" s="40" t="s">
        <v>11404</v>
      </c>
    </row>
    <row r="32441">
      <c r="A32441" s="39"/>
      <c r="E32441" s="40" t="s">
        <v>11404</v>
      </c>
      <c r="F32441" s="40" t="s">
        <v>11404</v>
      </c>
      <c r="G32441" s="40" t="s">
        <v>11404</v>
      </c>
      <c r="H32441" s="40" t="s">
        <v>11404</v>
      </c>
    </row>
    <row r="32442">
      <c r="A32442" s="39"/>
      <c r="E32442" s="40" t="s">
        <v>11404</v>
      </c>
      <c r="F32442" s="40" t="s">
        <v>11404</v>
      </c>
      <c r="G32442" s="40" t="s">
        <v>11404</v>
      </c>
      <c r="H32442" s="40" t="s">
        <v>11404</v>
      </c>
    </row>
    <row r="32443">
      <c r="A32443" s="39"/>
      <c r="E32443" s="40" t="s">
        <v>11404</v>
      </c>
      <c r="F32443" s="40" t="s">
        <v>11404</v>
      </c>
      <c r="G32443" s="40" t="s">
        <v>11404</v>
      </c>
      <c r="H32443" s="40" t="s">
        <v>11404</v>
      </c>
    </row>
    <row r="32444">
      <c r="A32444" s="39"/>
      <c r="E32444" s="40" t="s">
        <v>11404</v>
      </c>
      <c r="F32444" s="40" t="s">
        <v>11404</v>
      </c>
      <c r="G32444" s="40" t="s">
        <v>11404</v>
      </c>
      <c r="H32444" s="40" t="s">
        <v>11404</v>
      </c>
    </row>
    <row r="32445">
      <c r="A32445" s="39"/>
      <c r="E32445" s="40" t="s">
        <v>11404</v>
      </c>
      <c r="F32445" s="40" t="s">
        <v>11404</v>
      </c>
      <c r="G32445" s="40" t="s">
        <v>11404</v>
      </c>
      <c r="H32445" s="40" t="s">
        <v>11404</v>
      </c>
    </row>
    <row r="32446">
      <c r="A32446" s="39"/>
      <c r="E32446" s="40" t="s">
        <v>11404</v>
      </c>
      <c r="F32446" s="40" t="s">
        <v>11404</v>
      </c>
      <c r="G32446" s="40" t="s">
        <v>11404</v>
      </c>
      <c r="H32446" s="40" t="s">
        <v>11404</v>
      </c>
    </row>
    <row r="32447">
      <c r="A32447" s="39"/>
      <c r="E32447" s="40" t="s">
        <v>11404</v>
      </c>
      <c r="F32447" s="40" t="s">
        <v>11404</v>
      </c>
      <c r="G32447" s="40" t="s">
        <v>11404</v>
      </c>
      <c r="H32447" s="40" t="s">
        <v>11404</v>
      </c>
    </row>
    <row r="32448">
      <c r="A32448" s="39"/>
      <c r="E32448" s="40" t="s">
        <v>11404</v>
      </c>
      <c r="F32448" s="40" t="s">
        <v>11404</v>
      </c>
      <c r="G32448" s="40" t="s">
        <v>11404</v>
      </c>
      <c r="H32448" s="40" t="s">
        <v>11404</v>
      </c>
    </row>
    <row r="32449">
      <c r="A32449" s="39"/>
      <c r="E32449" s="40" t="s">
        <v>11404</v>
      </c>
      <c r="F32449" s="40" t="s">
        <v>11404</v>
      </c>
      <c r="G32449" s="40" t="s">
        <v>11404</v>
      </c>
      <c r="H32449" s="40" t="s">
        <v>11404</v>
      </c>
    </row>
    <row r="32450">
      <c r="A32450" s="39"/>
      <c r="E32450" s="40" t="s">
        <v>11404</v>
      </c>
      <c r="F32450" s="40" t="s">
        <v>11404</v>
      </c>
      <c r="G32450" s="40" t="s">
        <v>11404</v>
      </c>
      <c r="H32450" s="40" t="s">
        <v>11404</v>
      </c>
    </row>
    <row r="32451">
      <c r="A32451" s="39"/>
      <c r="E32451" s="40" t="s">
        <v>11404</v>
      </c>
      <c r="F32451" s="40" t="s">
        <v>11404</v>
      </c>
      <c r="G32451" s="40" t="s">
        <v>11404</v>
      </c>
      <c r="H32451" s="40" t="s">
        <v>11404</v>
      </c>
    </row>
    <row r="32452">
      <c r="A32452" s="39"/>
      <c r="E32452" s="40" t="s">
        <v>11404</v>
      </c>
      <c r="F32452" s="40" t="s">
        <v>11404</v>
      </c>
      <c r="G32452" s="40" t="s">
        <v>11404</v>
      </c>
      <c r="H32452" s="40" t="s">
        <v>11404</v>
      </c>
    </row>
    <row r="32453">
      <c r="A32453" s="39"/>
      <c r="E32453" s="40" t="s">
        <v>11404</v>
      </c>
      <c r="F32453" s="40" t="s">
        <v>11404</v>
      </c>
      <c r="G32453" s="40" t="s">
        <v>11404</v>
      </c>
      <c r="H32453" s="40" t="s">
        <v>11404</v>
      </c>
    </row>
    <row r="32454">
      <c r="A32454" s="39"/>
      <c r="E32454" s="40" t="s">
        <v>11404</v>
      </c>
      <c r="F32454" s="40" t="s">
        <v>11404</v>
      </c>
      <c r="G32454" s="40" t="s">
        <v>11404</v>
      </c>
      <c r="H32454" s="40" t="s">
        <v>11404</v>
      </c>
    </row>
    <row r="32455">
      <c r="A32455" s="39"/>
      <c r="E32455" s="40" t="s">
        <v>11404</v>
      </c>
      <c r="F32455" s="40" t="s">
        <v>11404</v>
      </c>
      <c r="G32455" s="40" t="s">
        <v>11404</v>
      </c>
      <c r="H32455" s="40" t="s">
        <v>11404</v>
      </c>
    </row>
    <row r="32456">
      <c r="A32456" s="39"/>
      <c r="E32456" s="40" t="s">
        <v>11404</v>
      </c>
      <c r="F32456" s="40" t="s">
        <v>11404</v>
      </c>
      <c r="G32456" s="40" t="s">
        <v>11404</v>
      </c>
      <c r="H32456" s="40" t="s">
        <v>11404</v>
      </c>
    </row>
    <row r="32457">
      <c r="A32457" s="39"/>
      <c r="E32457" s="40" t="s">
        <v>11404</v>
      </c>
      <c r="F32457" s="40" t="s">
        <v>11404</v>
      </c>
      <c r="G32457" s="40" t="s">
        <v>11404</v>
      </c>
      <c r="H32457" s="40" t="s">
        <v>11404</v>
      </c>
    </row>
    <row r="32458">
      <c r="A32458" s="39"/>
      <c r="E32458" s="40" t="s">
        <v>11404</v>
      </c>
      <c r="F32458" s="40" t="s">
        <v>11404</v>
      </c>
      <c r="G32458" s="40" t="s">
        <v>11404</v>
      </c>
      <c r="H32458" s="40" t="s">
        <v>11404</v>
      </c>
    </row>
    <row r="32459">
      <c r="A32459" s="39"/>
      <c r="E32459" s="40" t="s">
        <v>11404</v>
      </c>
      <c r="F32459" s="40" t="s">
        <v>11404</v>
      </c>
      <c r="G32459" s="40" t="s">
        <v>11404</v>
      </c>
      <c r="H32459" s="40" t="s">
        <v>11404</v>
      </c>
    </row>
    <row r="32460">
      <c r="A32460" s="39"/>
      <c r="E32460" s="40" t="s">
        <v>11404</v>
      </c>
      <c r="F32460" s="40" t="s">
        <v>11404</v>
      </c>
      <c r="G32460" s="40" t="s">
        <v>11404</v>
      </c>
      <c r="H32460" s="40" t="s">
        <v>11404</v>
      </c>
    </row>
    <row r="32461">
      <c r="A32461" s="39"/>
      <c r="E32461" s="40" t="s">
        <v>11404</v>
      </c>
      <c r="F32461" s="40" t="s">
        <v>11404</v>
      </c>
      <c r="G32461" s="40" t="s">
        <v>11404</v>
      </c>
      <c r="H32461" s="40" t="s">
        <v>11404</v>
      </c>
    </row>
    <row r="32462">
      <c r="A32462" s="39"/>
      <c r="E32462" s="40" t="s">
        <v>11404</v>
      </c>
      <c r="F32462" s="40" t="s">
        <v>11404</v>
      </c>
      <c r="G32462" s="40" t="s">
        <v>11404</v>
      </c>
      <c r="H32462" s="40" t="s">
        <v>11404</v>
      </c>
    </row>
    <row r="32463">
      <c r="A32463" s="39"/>
      <c r="E32463" s="40" t="s">
        <v>11404</v>
      </c>
      <c r="F32463" s="40" t="s">
        <v>11404</v>
      </c>
      <c r="G32463" s="40" t="s">
        <v>11404</v>
      </c>
      <c r="H32463" s="40" t="s">
        <v>11404</v>
      </c>
    </row>
    <row r="32464">
      <c r="A32464" s="39"/>
      <c r="E32464" s="40" t="s">
        <v>11404</v>
      </c>
      <c r="F32464" s="40" t="s">
        <v>11404</v>
      </c>
      <c r="G32464" s="40" t="s">
        <v>11404</v>
      </c>
      <c r="H32464" s="40" t="s">
        <v>11404</v>
      </c>
    </row>
    <row r="32465">
      <c r="A32465" s="39"/>
      <c r="E32465" s="40" t="s">
        <v>11404</v>
      </c>
      <c r="F32465" s="40" t="s">
        <v>11404</v>
      </c>
      <c r="G32465" s="40" t="s">
        <v>11404</v>
      </c>
      <c r="H32465" s="40" t="s">
        <v>11404</v>
      </c>
    </row>
    <row r="32466">
      <c r="A32466" s="39"/>
      <c r="E32466" s="40" t="s">
        <v>11404</v>
      </c>
      <c r="F32466" s="40" t="s">
        <v>11404</v>
      </c>
      <c r="G32466" s="40" t="s">
        <v>11404</v>
      </c>
      <c r="H32466" s="40" t="s">
        <v>11404</v>
      </c>
    </row>
    <row r="32467">
      <c r="A32467" s="39"/>
      <c r="E32467" s="40" t="s">
        <v>11404</v>
      </c>
      <c r="F32467" s="40" t="s">
        <v>11404</v>
      </c>
      <c r="G32467" s="40" t="s">
        <v>11404</v>
      </c>
      <c r="H32467" s="40" t="s">
        <v>11404</v>
      </c>
    </row>
    <row r="32468">
      <c r="A32468" s="39"/>
      <c r="E32468" s="40" t="s">
        <v>11404</v>
      </c>
      <c r="F32468" s="40" t="s">
        <v>11404</v>
      </c>
      <c r="G32468" s="40" t="s">
        <v>11404</v>
      </c>
      <c r="H32468" s="40" t="s">
        <v>11404</v>
      </c>
    </row>
    <row r="32469">
      <c r="A32469" s="39"/>
      <c r="E32469" s="40" t="s">
        <v>11404</v>
      </c>
      <c r="F32469" s="40" t="s">
        <v>11404</v>
      </c>
      <c r="G32469" s="40" t="s">
        <v>11404</v>
      </c>
      <c r="H32469" s="40" t="s">
        <v>11404</v>
      </c>
    </row>
    <row r="32470">
      <c r="A32470" s="39"/>
      <c r="E32470" s="40" t="s">
        <v>11404</v>
      </c>
      <c r="F32470" s="40" t="s">
        <v>11404</v>
      </c>
      <c r="G32470" s="40" t="s">
        <v>11404</v>
      </c>
      <c r="H32470" s="40" t="s">
        <v>11404</v>
      </c>
    </row>
    <row r="32471">
      <c r="A32471" s="39"/>
      <c r="E32471" s="40" t="s">
        <v>11404</v>
      </c>
      <c r="F32471" s="40" t="s">
        <v>11404</v>
      </c>
      <c r="G32471" s="40" t="s">
        <v>11404</v>
      </c>
      <c r="H32471" s="40" t="s">
        <v>11404</v>
      </c>
    </row>
    <row r="32472">
      <c r="A32472" s="39"/>
      <c r="E32472" s="40" t="s">
        <v>11404</v>
      </c>
      <c r="F32472" s="40" t="s">
        <v>11404</v>
      </c>
      <c r="G32472" s="40" t="s">
        <v>11404</v>
      </c>
      <c r="H32472" s="40" t="s">
        <v>11404</v>
      </c>
    </row>
    <row r="32473">
      <c r="A32473" s="39"/>
      <c r="E32473" s="40" t="s">
        <v>11404</v>
      </c>
      <c r="F32473" s="40" t="s">
        <v>11404</v>
      </c>
      <c r="G32473" s="40" t="s">
        <v>11404</v>
      </c>
      <c r="H32473" s="40" t="s">
        <v>11404</v>
      </c>
    </row>
    <row r="32474">
      <c r="A32474" s="39"/>
      <c r="E32474" s="40" t="s">
        <v>11404</v>
      </c>
      <c r="F32474" s="40" t="s">
        <v>11404</v>
      </c>
      <c r="G32474" s="40" t="s">
        <v>11404</v>
      </c>
      <c r="H32474" s="40" t="s">
        <v>11404</v>
      </c>
    </row>
    <row r="32475">
      <c r="A32475" s="39"/>
      <c r="E32475" s="40" t="s">
        <v>11404</v>
      </c>
      <c r="F32475" s="40" t="s">
        <v>11404</v>
      </c>
      <c r="G32475" s="40" t="s">
        <v>11404</v>
      </c>
      <c r="H32475" s="40" t="s">
        <v>11404</v>
      </c>
    </row>
    <row r="32476">
      <c r="A32476" s="39"/>
      <c r="E32476" s="40" t="s">
        <v>11404</v>
      </c>
      <c r="F32476" s="40" t="s">
        <v>11404</v>
      </c>
      <c r="G32476" s="40" t="s">
        <v>11404</v>
      </c>
      <c r="H32476" s="40" t="s">
        <v>11404</v>
      </c>
    </row>
    <row r="32477">
      <c r="A32477" s="39"/>
      <c r="E32477" s="40" t="s">
        <v>11404</v>
      </c>
      <c r="F32477" s="40" t="s">
        <v>11404</v>
      </c>
      <c r="G32477" s="40" t="s">
        <v>11404</v>
      </c>
      <c r="H32477" s="40" t="s">
        <v>11404</v>
      </c>
    </row>
    <row r="32478">
      <c r="A32478" s="39"/>
      <c r="E32478" s="40" t="s">
        <v>11404</v>
      </c>
      <c r="F32478" s="40" t="s">
        <v>11404</v>
      </c>
      <c r="G32478" s="40" t="s">
        <v>11404</v>
      </c>
      <c r="H32478" s="40" t="s">
        <v>11404</v>
      </c>
    </row>
    <row r="32479">
      <c r="A32479" s="39"/>
      <c r="E32479" s="40" t="s">
        <v>11404</v>
      </c>
      <c r="F32479" s="40" t="s">
        <v>11404</v>
      </c>
      <c r="G32479" s="40" t="s">
        <v>11404</v>
      </c>
      <c r="H32479" s="40" t="s">
        <v>11404</v>
      </c>
    </row>
    <row r="32480">
      <c r="A32480" s="39"/>
      <c r="E32480" s="40" t="s">
        <v>11404</v>
      </c>
      <c r="F32480" s="40" t="s">
        <v>11404</v>
      </c>
      <c r="G32480" s="40" t="s">
        <v>11404</v>
      </c>
      <c r="H32480" s="40" t="s">
        <v>11404</v>
      </c>
    </row>
    <row r="32481">
      <c r="A32481" s="39"/>
      <c r="E32481" s="40" t="s">
        <v>11404</v>
      </c>
      <c r="F32481" s="40" t="s">
        <v>11404</v>
      </c>
      <c r="G32481" s="40" t="s">
        <v>11404</v>
      </c>
      <c r="H32481" s="40" t="s">
        <v>11404</v>
      </c>
    </row>
    <row r="32482">
      <c r="A32482" s="39"/>
      <c r="E32482" s="40" t="s">
        <v>11404</v>
      </c>
      <c r="F32482" s="40" t="s">
        <v>11404</v>
      </c>
      <c r="G32482" s="40" t="s">
        <v>11404</v>
      </c>
      <c r="H32482" s="40" t="s">
        <v>11404</v>
      </c>
    </row>
    <row r="32483">
      <c r="A32483" s="39"/>
      <c r="E32483" s="40" t="s">
        <v>11404</v>
      </c>
      <c r="F32483" s="40" t="s">
        <v>11404</v>
      </c>
      <c r="G32483" s="40" t="s">
        <v>11404</v>
      </c>
      <c r="H32483" s="40" t="s">
        <v>11404</v>
      </c>
    </row>
    <row r="32484">
      <c r="A32484" s="39"/>
      <c r="E32484" s="40" t="s">
        <v>11404</v>
      </c>
      <c r="F32484" s="40" t="s">
        <v>11404</v>
      </c>
      <c r="G32484" s="40" t="s">
        <v>11404</v>
      </c>
      <c r="H32484" s="40" t="s">
        <v>11404</v>
      </c>
    </row>
    <row r="32485">
      <c r="A32485" s="39"/>
      <c r="E32485" s="40" t="s">
        <v>11404</v>
      </c>
      <c r="F32485" s="40" t="s">
        <v>11404</v>
      </c>
      <c r="G32485" s="40" t="s">
        <v>11404</v>
      </c>
      <c r="H32485" s="40" t="s">
        <v>11404</v>
      </c>
    </row>
    <row r="32486">
      <c r="A32486" s="39"/>
      <c r="E32486" s="40" t="s">
        <v>11404</v>
      </c>
      <c r="F32486" s="40" t="s">
        <v>11404</v>
      </c>
      <c r="G32486" s="40" t="s">
        <v>11404</v>
      </c>
      <c r="H32486" s="40" t="s">
        <v>11404</v>
      </c>
    </row>
    <row r="32487">
      <c r="A32487" s="39"/>
      <c r="E32487" s="40" t="s">
        <v>11404</v>
      </c>
      <c r="F32487" s="40" t="s">
        <v>11404</v>
      </c>
      <c r="G32487" s="40" t="s">
        <v>11404</v>
      </c>
      <c r="H32487" s="40" t="s">
        <v>11404</v>
      </c>
    </row>
    <row r="32488">
      <c r="A32488" s="39"/>
      <c r="E32488" s="40" t="s">
        <v>11404</v>
      </c>
      <c r="F32488" s="40" t="s">
        <v>11404</v>
      </c>
      <c r="G32488" s="40" t="s">
        <v>11404</v>
      </c>
      <c r="H32488" s="40" t="s">
        <v>11404</v>
      </c>
    </row>
    <row r="32489">
      <c r="A32489" s="39"/>
      <c r="E32489" s="40" t="s">
        <v>11404</v>
      </c>
      <c r="F32489" s="40" t="s">
        <v>11404</v>
      </c>
      <c r="G32489" s="40" t="s">
        <v>11404</v>
      </c>
      <c r="H32489" s="40" t="s">
        <v>11404</v>
      </c>
    </row>
    <row r="32490">
      <c r="A32490" s="39"/>
      <c r="E32490" s="40" t="s">
        <v>11404</v>
      </c>
      <c r="F32490" s="40" t="s">
        <v>11404</v>
      </c>
      <c r="G32490" s="40" t="s">
        <v>11404</v>
      </c>
      <c r="H32490" s="40" t="s">
        <v>11404</v>
      </c>
    </row>
    <row r="32491">
      <c r="A32491" s="39"/>
      <c r="E32491" s="40" t="s">
        <v>11404</v>
      </c>
      <c r="F32491" s="40" t="s">
        <v>11404</v>
      </c>
      <c r="G32491" s="40" t="s">
        <v>11404</v>
      </c>
      <c r="H32491" s="40" t="s">
        <v>11404</v>
      </c>
    </row>
    <row r="32492">
      <c r="A32492" s="39"/>
      <c r="E32492" s="40" t="s">
        <v>11404</v>
      </c>
      <c r="F32492" s="40" t="s">
        <v>11404</v>
      </c>
      <c r="G32492" s="40" t="s">
        <v>11404</v>
      </c>
      <c r="H32492" s="40" t="s">
        <v>11404</v>
      </c>
    </row>
    <row r="32493">
      <c r="A32493" s="39"/>
      <c r="E32493" s="40" t="s">
        <v>11404</v>
      </c>
      <c r="F32493" s="40" t="s">
        <v>11404</v>
      </c>
      <c r="G32493" s="40" t="s">
        <v>11404</v>
      </c>
      <c r="H32493" s="40" t="s">
        <v>11404</v>
      </c>
    </row>
    <row r="32494">
      <c r="A32494" s="39"/>
      <c r="E32494" s="40" t="s">
        <v>11404</v>
      </c>
      <c r="F32494" s="40" t="s">
        <v>11404</v>
      </c>
      <c r="G32494" s="40" t="s">
        <v>11404</v>
      </c>
      <c r="H32494" s="40" t="s">
        <v>11404</v>
      </c>
    </row>
    <row r="32495">
      <c r="A32495" s="39"/>
      <c r="E32495" s="40" t="s">
        <v>11404</v>
      </c>
      <c r="F32495" s="40" t="s">
        <v>11404</v>
      </c>
      <c r="G32495" s="40" t="s">
        <v>11404</v>
      </c>
      <c r="H32495" s="40" t="s">
        <v>11404</v>
      </c>
    </row>
    <row r="32496">
      <c r="A32496" s="39"/>
      <c r="E32496" s="40" t="s">
        <v>11404</v>
      </c>
      <c r="F32496" s="40" t="s">
        <v>11404</v>
      </c>
      <c r="G32496" s="40" t="s">
        <v>11404</v>
      </c>
      <c r="H32496" s="40" t="s">
        <v>11404</v>
      </c>
    </row>
    <row r="32497">
      <c r="A32497" s="39"/>
      <c r="E32497" s="40" t="s">
        <v>11404</v>
      </c>
      <c r="F32497" s="40" t="s">
        <v>11404</v>
      </c>
      <c r="G32497" s="40" t="s">
        <v>11404</v>
      </c>
      <c r="H32497" s="40" t="s">
        <v>11404</v>
      </c>
    </row>
    <row r="32498">
      <c r="A32498" s="39"/>
      <c r="E32498" s="40" t="s">
        <v>11404</v>
      </c>
      <c r="F32498" s="40" t="s">
        <v>11404</v>
      </c>
      <c r="G32498" s="40" t="s">
        <v>11404</v>
      </c>
      <c r="H32498" s="40" t="s">
        <v>11404</v>
      </c>
    </row>
    <row r="32499">
      <c r="A32499" s="39"/>
      <c r="E32499" s="40" t="s">
        <v>11404</v>
      </c>
      <c r="F32499" s="40" t="s">
        <v>11404</v>
      </c>
      <c r="G32499" s="40" t="s">
        <v>11404</v>
      </c>
      <c r="H32499" s="40" t="s">
        <v>11404</v>
      </c>
    </row>
    <row r="32500">
      <c r="A32500" s="39"/>
      <c r="E32500" s="40" t="s">
        <v>11404</v>
      </c>
      <c r="F32500" s="40" t="s">
        <v>11404</v>
      </c>
      <c r="G32500" s="40" t="s">
        <v>11404</v>
      </c>
      <c r="H32500" s="40" t="s">
        <v>11404</v>
      </c>
    </row>
    <row r="32501">
      <c r="A32501" s="39"/>
      <c r="E32501" s="40" t="s">
        <v>11404</v>
      </c>
      <c r="F32501" s="40" t="s">
        <v>11404</v>
      </c>
      <c r="G32501" s="40" t="s">
        <v>11404</v>
      </c>
      <c r="H32501" s="40" t="s">
        <v>11404</v>
      </c>
    </row>
    <row r="32502">
      <c r="A32502" s="39"/>
      <c r="E32502" s="40" t="s">
        <v>11404</v>
      </c>
      <c r="F32502" s="40" t="s">
        <v>11404</v>
      </c>
      <c r="G32502" s="40" t="s">
        <v>11404</v>
      </c>
      <c r="H32502" s="40" t="s">
        <v>11404</v>
      </c>
    </row>
    <row r="32503">
      <c r="A32503" s="39"/>
      <c r="E32503" s="40" t="s">
        <v>11404</v>
      </c>
      <c r="F32503" s="40" t="s">
        <v>11404</v>
      </c>
      <c r="G32503" s="40" t="s">
        <v>11404</v>
      </c>
      <c r="H32503" s="40" t="s">
        <v>11404</v>
      </c>
    </row>
    <row r="32504">
      <c r="A32504" s="39"/>
      <c r="E32504" s="40" t="s">
        <v>11404</v>
      </c>
      <c r="F32504" s="40" t="s">
        <v>11404</v>
      </c>
      <c r="G32504" s="40" t="s">
        <v>11404</v>
      </c>
      <c r="H32504" s="40" t="s">
        <v>11404</v>
      </c>
    </row>
    <row r="32505">
      <c r="A32505" s="39"/>
      <c r="E32505" s="40" t="s">
        <v>11404</v>
      </c>
      <c r="F32505" s="40" t="s">
        <v>11404</v>
      </c>
      <c r="G32505" s="40" t="s">
        <v>11404</v>
      </c>
      <c r="H32505" s="40" t="s">
        <v>11404</v>
      </c>
    </row>
    <row r="32506">
      <c r="A32506" s="39"/>
      <c r="E32506" s="40" t="s">
        <v>11404</v>
      </c>
      <c r="F32506" s="40" t="s">
        <v>11404</v>
      </c>
      <c r="G32506" s="40" t="s">
        <v>11404</v>
      </c>
      <c r="H32506" s="40" t="s">
        <v>11404</v>
      </c>
    </row>
    <row r="32507">
      <c r="A32507" s="39"/>
      <c r="E32507" s="40" t="s">
        <v>11404</v>
      </c>
      <c r="F32507" s="40" t="s">
        <v>11404</v>
      </c>
      <c r="G32507" s="40" t="s">
        <v>11404</v>
      </c>
      <c r="H32507" s="40" t="s">
        <v>11404</v>
      </c>
    </row>
    <row r="32508">
      <c r="A32508" s="39"/>
      <c r="E32508" s="40" t="s">
        <v>11404</v>
      </c>
      <c r="F32508" s="40" t="s">
        <v>11404</v>
      </c>
      <c r="G32508" s="40" t="s">
        <v>11404</v>
      </c>
      <c r="H32508" s="40" t="s">
        <v>11404</v>
      </c>
    </row>
    <row r="32509">
      <c r="A32509" s="39"/>
      <c r="E32509" s="40" t="s">
        <v>11404</v>
      </c>
      <c r="F32509" s="40" t="s">
        <v>11404</v>
      </c>
      <c r="G32509" s="40" t="s">
        <v>11404</v>
      </c>
      <c r="H32509" s="40" t="s">
        <v>11404</v>
      </c>
    </row>
    <row r="32510">
      <c r="A32510" s="39"/>
      <c r="E32510" s="40" t="s">
        <v>11404</v>
      </c>
      <c r="F32510" s="40" t="s">
        <v>11404</v>
      </c>
      <c r="G32510" s="40" t="s">
        <v>11404</v>
      </c>
      <c r="H32510" s="40" t="s">
        <v>11404</v>
      </c>
    </row>
    <row r="32511">
      <c r="A32511" s="39"/>
      <c r="E32511" s="40" t="s">
        <v>11404</v>
      </c>
      <c r="F32511" s="40" t="s">
        <v>11404</v>
      </c>
      <c r="G32511" s="40" t="s">
        <v>11404</v>
      </c>
      <c r="H32511" s="40" t="s">
        <v>11404</v>
      </c>
    </row>
    <row r="32512">
      <c r="A32512" s="39"/>
      <c r="E32512" s="40" t="s">
        <v>11404</v>
      </c>
      <c r="F32512" s="40" t="s">
        <v>11404</v>
      </c>
      <c r="G32512" s="40" t="s">
        <v>11404</v>
      </c>
      <c r="H32512" s="40" t="s">
        <v>11404</v>
      </c>
    </row>
    <row r="32513">
      <c r="A32513" s="39"/>
      <c r="E32513" s="40" t="s">
        <v>11404</v>
      </c>
      <c r="F32513" s="40" t="s">
        <v>11404</v>
      </c>
      <c r="G32513" s="40" t="s">
        <v>11404</v>
      </c>
      <c r="H32513" s="40" t="s">
        <v>11404</v>
      </c>
    </row>
    <row r="32514">
      <c r="A32514" s="39"/>
      <c r="E32514" s="40" t="s">
        <v>11404</v>
      </c>
      <c r="F32514" s="40" t="s">
        <v>11404</v>
      </c>
      <c r="G32514" s="40" t="s">
        <v>11404</v>
      </c>
      <c r="H32514" s="40" t="s">
        <v>11404</v>
      </c>
    </row>
    <row r="32515">
      <c r="A32515" s="39"/>
      <c r="E32515" s="40" t="s">
        <v>11404</v>
      </c>
      <c r="F32515" s="40" t="s">
        <v>11404</v>
      </c>
      <c r="G32515" s="40" t="s">
        <v>11404</v>
      </c>
      <c r="H32515" s="40" t="s">
        <v>11404</v>
      </c>
    </row>
    <row r="32516">
      <c r="A32516" s="39"/>
      <c r="E32516" s="40" t="s">
        <v>11404</v>
      </c>
      <c r="F32516" s="40" t="s">
        <v>11404</v>
      </c>
      <c r="G32516" s="40" t="s">
        <v>11404</v>
      </c>
      <c r="H32516" s="40" t="s">
        <v>11404</v>
      </c>
    </row>
    <row r="32517">
      <c r="A32517" s="39"/>
      <c r="E32517" s="40" t="s">
        <v>11404</v>
      </c>
      <c r="F32517" s="40" t="s">
        <v>11404</v>
      </c>
      <c r="G32517" s="40" t="s">
        <v>11404</v>
      </c>
      <c r="H32517" s="40" t="s">
        <v>11404</v>
      </c>
    </row>
    <row r="32518">
      <c r="A32518" s="39"/>
      <c r="E32518" s="40" t="s">
        <v>11404</v>
      </c>
      <c r="F32518" s="40" t="s">
        <v>11404</v>
      </c>
      <c r="G32518" s="40" t="s">
        <v>11404</v>
      </c>
      <c r="H32518" s="40" t="s">
        <v>11404</v>
      </c>
    </row>
    <row r="32519">
      <c r="A32519" s="39"/>
      <c r="E32519" s="40" t="s">
        <v>11404</v>
      </c>
      <c r="F32519" s="40" t="s">
        <v>11404</v>
      </c>
      <c r="G32519" s="40" t="s">
        <v>11404</v>
      </c>
      <c r="H32519" s="40" t="s">
        <v>11404</v>
      </c>
    </row>
    <row r="32520">
      <c r="A32520" s="39"/>
      <c r="E32520" s="40" t="s">
        <v>11404</v>
      </c>
      <c r="F32520" s="40" t="s">
        <v>11404</v>
      </c>
      <c r="G32520" s="40" t="s">
        <v>11404</v>
      </c>
      <c r="H32520" s="40" t="s">
        <v>11404</v>
      </c>
    </row>
    <row r="32521">
      <c r="A32521" s="39"/>
      <c r="E32521" s="40" t="s">
        <v>11404</v>
      </c>
      <c r="F32521" s="40" t="s">
        <v>11404</v>
      </c>
      <c r="G32521" s="40" t="s">
        <v>11404</v>
      </c>
      <c r="H32521" s="40" t="s">
        <v>11404</v>
      </c>
    </row>
    <row r="32522">
      <c r="A32522" s="39"/>
      <c r="E32522" s="40" t="s">
        <v>11404</v>
      </c>
      <c r="F32522" s="40" t="s">
        <v>11404</v>
      </c>
      <c r="G32522" s="40" t="s">
        <v>11404</v>
      </c>
      <c r="H32522" s="40" t="s">
        <v>11404</v>
      </c>
    </row>
    <row r="32523">
      <c r="A32523" s="39"/>
      <c r="E32523" s="40" t="s">
        <v>11404</v>
      </c>
      <c r="F32523" s="40" t="s">
        <v>11404</v>
      </c>
      <c r="G32523" s="40" t="s">
        <v>11404</v>
      </c>
      <c r="H32523" s="40" t="s">
        <v>11404</v>
      </c>
    </row>
    <row r="32524">
      <c r="A32524" s="39"/>
      <c r="E32524" s="40" t="s">
        <v>11404</v>
      </c>
      <c r="F32524" s="40" t="s">
        <v>11404</v>
      </c>
      <c r="G32524" s="40" t="s">
        <v>11404</v>
      </c>
      <c r="H32524" s="40" t="s">
        <v>11404</v>
      </c>
    </row>
    <row r="32525">
      <c r="A32525" s="39"/>
      <c r="E32525" s="40" t="s">
        <v>11404</v>
      </c>
      <c r="F32525" s="40" t="s">
        <v>11404</v>
      </c>
      <c r="G32525" s="40" t="s">
        <v>11404</v>
      </c>
      <c r="H32525" s="40" t="s">
        <v>11404</v>
      </c>
    </row>
    <row r="32526">
      <c r="A32526" s="39"/>
      <c r="E32526" s="40" t="s">
        <v>11404</v>
      </c>
      <c r="F32526" s="40" t="s">
        <v>11404</v>
      </c>
      <c r="G32526" s="40" t="s">
        <v>11404</v>
      </c>
      <c r="H32526" s="40" t="s">
        <v>11404</v>
      </c>
    </row>
    <row r="32527">
      <c r="A32527" s="39"/>
      <c r="E32527" s="40" t="s">
        <v>11404</v>
      </c>
      <c r="F32527" s="40" t="s">
        <v>11404</v>
      </c>
      <c r="G32527" s="40" t="s">
        <v>11404</v>
      </c>
      <c r="H32527" s="40" t="s">
        <v>11404</v>
      </c>
    </row>
    <row r="32528">
      <c r="A32528" s="39"/>
      <c r="E32528" s="40" t="s">
        <v>11404</v>
      </c>
      <c r="F32528" s="40" t="s">
        <v>11404</v>
      </c>
      <c r="G32528" s="40" t="s">
        <v>11404</v>
      </c>
      <c r="H32528" s="40" t="s">
        <v>11404</v>
      </c>
    </row>
    <row r="32529">
      <c r="A32529" s="39"/>
      <c r="E32529" s="40" t="s">
        <v>11404</v>
      </c>
      <c r="F32529" s="40" t="s">
        <v>11404</v>
      </c>
      <c r="G32529" s="40" t="s">
        <v>11404</v>
      </c>
      <c r="H32529" s="40" t="s">
        <v>11404</v>
      </c>
    </row>
    <row r="32530">
      <c r="A32530" s="39"/>
      <c r="E32530" s="40" t="s">
        <v>11404</v>
      </c>
      <c r="F32530" s="40" t="s">
        <v>11404</v>
      </c>
      <c r="G32530" s="40" t="s">
        <v>11404</v>
      </c>
      <c r="H32530" s="40" t="s">
        <v>11404</v>
      </c>
    </row>
    <row r="32531">
      <c r="A32531" s="39"/>
      <c r="E32531" s="40" t="s">
        <v>11404</v>
      </c>
      <c r="F32531" s="40" t="s">
        <v>11404</v>
      </c>
      <c r="G32531" s="40" t="s">
        <v>11404</v>
      </c>
      <c r="H32531" s="40" t="s">
        <v>11404</v>
      </c>
    </row>
    <row r="32532">
      <c r="A32532" s="39"/>
      <c r="E32532" s="40" t="s">
        <v>11404</v>
      </c>
      <c r="F32532" s="40" t="s">
        <v>11404</v>
      </c>
      <c r="G32532" s="40" t="s">
        <v>11404</v>
      </c>
      <c r="H32532" s="40" t="s">
        <v>11404</v>
      </c>
    </row>
    <row r="32533">
      <c r="A32533" s="39"/>
      <c r="E32533" s="40" t="s">
        <v>11404</v>
      </c>
      <c r="F32533" s="40" t="s">
        <v>11404</v>
      </c>
      <c r="G32533" s="40" t="s">
        <v>11404</v>
      </c>
      <c r="H32533" s="40" t="s">
        <v>11404</v>
      </c>
    </row>
    <row r="32534">
      <c r="A32534" s="39"/>
      <c r="E32534" s="40" t="s">
        <v>11404</v>
      </c>
      <c r="F32534" s="40" t="s">
        <v>11404</v>
      </c>
      <c r="G32534" s="40" t="s">
        <v>11404</v>
      </c>
      <c r="H32534" s="40" t="s">
        <v>11404</v>
      </c>
    </row>
    <row r="32535">
      <c r="A32535" s="39"/>
      <c r="E32535" s="40" t="s">
        <v>11404</v>
      </c>
      <c r="F32535" s="40" t="s">
        <v>11404</v>
      </c>
      <c r="G32535" s="40" t="s">
        <v>11404</v>
      </c>
      <c r="H32535" s="40" t="s">
        <v>11404</v>
      </c>
    </row>
    <row r="32536">
      <c r="A32536" s="39"/>
      <c r="E32536" s="40" t="s">
        <v>11404</v>
      </c>
      <c r="F32536" s="40" t="s">
        <v>11404</v>
      </c>
      <c r="G32536" s="40" t="s">
        <v>11404</v>
      </c>
      <c r="H32536" s="40" t="s">
        <v>11404</v>
      </c>
    </row>
    <row r="32537">
      <c r="A32537" s="39"/>
      <c r="E32537" s="40" t="s">
        <v>11404</v>
      </c>
      <c r="F32537" s="40" t="s">
        <v>11404</v>
      </c>
      <c r="G32537" s="40" t="s">
        <v>11404</v>
      </c>
      <c r="H32537" s="40" t="s">
        <v>11404</v>
      </c>
    </row>
    <row r="32538">
      <c r="A32538" s="39"/>
      <c r="E32538" s="40" t="s">
        <v>11404</v>
      </c>
      <c r="F32538" s="40" t="s">
        <v>11404</v>
      </c>
      <c r="G32538" s="40" t="s">
        <v>11404</v>
      </c>
      <c r="H32538" s="40" t="s">
        <v>11404</v>
      </c>
    </row>
    <row r="32539">
      <c r="A32539" s="39"/>
      <c r="E32539" s="40" t="s">
        <v>11404</v>
      </c>
      <c r="F32539" s="40" t="s">
        <v>11404</v>
      </c>
      <c r="G32539" s="40" t="s">
        <v>11404</v>
      </c>
      <c r="H32539" s="40" t="s">
        <v>11404</v>
      </c>
    </row>
    <row r="32540">
      <c r="A32540" s="39"/>
      <c r="E32540" s="40" t="s">
        <v>11404</v>
      </c>
      <c r="F32540" s="40" t="s">
        <v>11404</v>
      </c>
      <c r="G32540" s="40" t="s">
        <v>11404</v>
      </c>
      <c r="H32540" s="40" t="s">
        <v>11404</v>
      </c>
    </row>
    <row r="32541">
      <c r="A32541" s="39"/>
      <c r="E32541" s="40" t="s">
        <v>11404</v>
      </c>
      <c r="F32541" s="40" t="s">
        <v>11404</v>
      </c>
      <c r="G32541" s="40" t="s">
        <v>11404</v>
      </c>
      <c r="H32541" s="40" t="s">
        <v>11404</v>
      </c>
    </row>
    <row r="32542">
      <c r="A32542" s="39"/>
      <c r="E32542" s="40" t="s">
        <v>11404</v>
      </c>
      <c r="F32542" s="40" t="s">
        <v>11404</v>
      </c>
      <c r="G32542" s="40" t="s">
        <v>11404</v>
      </c>
      <c r="H32542" s="40" t="s">
        <v>11404</v>
      </c>
    </row>
    <row r="32543">
      <c r="A32543" s="39"/>
      <c r="E32543" s="40" t="s">
        <v>11404</v>
      </c>
      <c r="F32543" s="40" t="s">
        <v>11404</v>
      </c>
      <c r="G32543" s="40" t="s">
        <v>11404</v>
      </c>
      <c r="H32543" s="40" t="s">
        <v>11404</v>
      </c>
    </row>
    <row r="32544">
      <c r="A32544" s="39"/>
      <c r="E32544" s="40" t="s">
        <v>11404</v>
      </c>
      <c r="F32544" s="40" t="s">
        <v>11404</v>
      </c>
      <c r="G32544" s="40" t="s">
        <v>11404</v>
      </c>
      <c r="H32544" s="40" t="s">
        <v>11404</v>
      </c>
    </row>
    <row r="32545">
      <c r="A32545" s="39"/>
      <c r="E32545" s="40" t="s">
        <v>11404</v>
      </c>
      <c r="F32545" s="40" t="s">
        <v>11404</v>
      </c>
      <c r="G32545" s="40" t="s">
        <v>11404</v>
      </c>
      <c r="H32545" s="40" t="s">
        <v>11404</v>
      </c>
    </row>
    <row r="32546">
      <c r="A32546" s="39"/>
      <c r="E32546" s="40" t="s">
        <v>11404</v>
      </c>
      <c r="F32546" s="40" t="s">
        <v>11404</v>
      </c>
      <c r="G32546" s="40" t="s">
        <v>11404</v>
      </c>
      <c r="H32546" s="40" t="s">
        <v>11404</v>
      </c>
    </row>
    <row r="32547">
      <c r="A32547" s="39"/>
      <c r="E32547" s="40" t="s">
        <v>11404</v>
      </c>
      <c r="F32547" s="40" t="s">
        <v>11404</v>
      </c>
      <c r="G32547" s="40" t="s">
        <v>11404</v>
      </c>
      <c r="H32547" s="40" t="s">
        <v>11404</v>
      </c>
    </row>
    <row r="32548">
      <c r="A32548" s="39"/>
      <c r="E32548" s="40" t="s">
        <v>11404</v>
      </c>
      <c r="F32548" s="40" t="s">
        <v>11404</v>
      </c>
      <c r="G32548" s="40" t="s">
        <v>11404</v>
      </c>
      <c r="H32548" s="40" t="s">
        <v>11404</v>
      </c>
    </row>
    <row r="32549">
      <c r="A32549" s="39"/>
      <c r="E32549" s="40" t="s">
        <v>11404</v>
      </c>
      <c r="F32549" s="40" t="s">
        <v>11404</v>
      </c>
      <c r="G32549" s="40" t="s">
        <v>11404</v>
      </c>
      <c r="H32549" s="40" t="s">
        <v>11404</v>
      </c>
    </row>
    <row r="32550">
      <c r="A32550" s="39"/>
      <c r="E32550" s="40" t="s">
        <v>11404</v>
      </c>
      <c r="F32550" s="40" t="s">
        <v>11404</v>
      </c>
      <c r="G32550" s="40" t="s">
        <v>11404</v>
      </c>
      <c r="H32550" s="40" t="s">
        <v>11404</v>
      </c>
    </row>
    <row r="32551">
      <c r="A32551" s="39"/>
      <c r="E32551" s="40" t="s">
        <v>11404</v>
      </c>
      <c r="F32551" s="40" t="s">
        <v>11404</v>
      </c>
      <c r="G32551" s="40" t="s">
        <v>11404</v>
      </c>
      <c r="H32551" s="40" t="s">
        <v>11404</v>
      </c>
    </row>
    <row r="32552">
      <c r="A32552" s="39"/>
      <c r="E32552" s="40" t="s">
        <v>11404</v>
      </c>
      <c r="F32552" s="40" t="s">
        <v>11404</v>
      </c>
      <c r="G32552" s="40" t="s">
        <v>11404</v>
      </c>
      <c r="H32552" s="40" t="s">
        <v>11404</v>
      </c>
    </row>
    <row r="32553">
      <c r="A32553" s="39"/>
      <c r="E32553" s="40" t="s">
        <v>11404</v>
      </c>
      <c r="F32553" s="40" t="s">
        <v>11404</v>
      </c>
      <c r="G32553" s="40" t="s">
        <v>11404</v>
      </c>
      <c r="H32553" s="40" t="s">
        <v>11404</v>
      </c>
    </row>
    <row r="32554">
      <c r="A32554" s="39"/>
      <c r="E32554" s="40" t="s">
        <v>11404</v>
      </c>
      <c r="F32554" s="40" t="s">
        <v>11404</v>
      </c>
      <c r="G32554" s="40" t="s">
        <v>11404</v>
      </c>
      <c r="H32554" s="40" t="s">
        <v>11404</v>
      </c>
    </row>
    <row r="32555">
      <c r="A32555" s="39"/>
      <c r="E32555" s="40" t="s">
        <v>11404</v>
      </c>
      <c r="F32555" s="40" t="s">
        <v>11404</v>
      </c>
      <c r="G32555" s="40" t="s">
        <v>11404</v>
      </c>
      <c r="H32555" s="40" t="s">
        <v>11404</v>
      </c>
    </row>
    <row r="32556">
      <c r="A32556" s="39"/>
      <c r="E32556" s="40" t="s">
        <v>11404</v>
      </c>
      <c r="F32556" s="40" t="s">
        <v>11404</v>
      </c>
      <c r="G32556" s="40" t="s">
        <v>11404</v>
      </c>
      <c r="H32556" s="40" t="s">
        <v>11404</v>
      </c>
    </row>
    <row r="32557">
      <c r="A32557" s="39"/>
      <c r="E32557" s="40" t="s">
        <v>11404</v>
      </c>
      <c r="F32557" s="40" t="s">
        <v>11404</v>
      </c>
      <c r="G32557" s="40" t="s">
        <v>11404</v>
      </c>
      <c r="H32557" s="40" t="s">
        <v>11404</v>
      </c>
    </row>
    <row r="32558">
      <c r="A32558" s="39"/>
      <c r="E32558" s="40" t="s">
        <v>11404</v>
      </c>
      <c r="F32558" s="40" t="s">
        <v>11404</v>
      </c>
      <c r="G32558" s="40" t="s">
        <v>11404</v>
      </c>
      <c r="H32558" s="40" t="s">
        <v>11404</v>
      </c>
    </row>
    <row r="32559">
      <c r="A32559" s="39"/>
      <c r="E32559" s="40" t="s">
        <v>11404</v>
      </c>
      <c r="F32559" s="40" t="s">
        <v>11404</v>
      </c>
      <c r="G32559" s="40" t="s">
        <v>11404</v>
      </c>
      <c r="H32559" s="40" t="s">
        <v>11404</v>
      </c>
    </row>
    <row r="32560">
      <c r="A32560" s="39"/>
      <c r="E32560" s="40" t="s">
        <v>11404</v>
      </c>
      <c r="F32560" s="40" t="s">
        <v>11404</v>
      </c>
      <c r="G32560" s="40" t="s">
        <v>11404</v>
      </c>
      <c r="H32560" s="40" t="s">
        <v>11404</v>
      </c>
    </row>
    <row r="32561">
      <c r="A32561" s="39"/>
      <c r="E32561" s="40" t="s">
        <v>11404</v>
      </c>
      <c r="F32561" s="40" t="s">
        <v>11404</v>
      </c>
      <c r="G32561" s="40" t="s">
        <v>11404</v>
      </c>
      <c r="H32561" s="40" t="s">
        <v>11404</v>
      </c>
    </row>
    <row r="32562">
      <c r="A32562" s="39"/>
      <c r="E32562" s="40" t="s">
        <v>11404</v>
      </c>
      <c r="F32562" s="40" t="s">
        <v>11404</v>
      </c>
      <c r="G32562" s="40" t="s">
        <v>11404</v>
      </c>
      <c r="H32562" s="40" t="s">
        <v>11404</v>
      </c>
    </row>
    <row r="32563">
      <c r="A32563" s="39"/>
      <c r="E32563" s="40" t="s">
        <v>11404</v>
      </c>
      <c r="F32563" s="40" t="s">
        <v>11404</v>
      </c>
      <c r="G32563" s="40" t="s">
        <v>11404</v>
      </c>
      <c r="H32563" s="40" t="s">
        <v>11404</v>
      </c>
    </row>
    <row r="32564">
      <c r="A32564" s="39"/>
      <c r="E32564" s="40" t="s">
        <v>11404</v>
      </c>
      <c r="F32564" s="40" t="s">
        <v>11404</v>
      </c>
      <c r="G32564" s="40" t="s">
        <v>11404</v>
      </c>
      <c r="H32564" s="40" t="s">
        <v>11404</v>
      </c>
    </row>
    <row r="32565">
      <c r="A32565" s="39"/>
      <c r="E32565" s="40" t="s">
        <v>11404</v>
      </c>
      <c r="F32565" s="40" t="s">
        <v>11404</v>
      </c>
      <c r="G32565" s="40" t="s">
        <v>11404</v>
      </c>
      <c r="H32565" s="40" t="s">
        <v>11404</v>
      </c>
    </row>
    <row r="32566">
      <c r="A32566" s="39"/>
      <c r="E32566" s="40" t="s">
        <v>11404</v>
      </c>
      <c r="F32566" s="40" t="s">
        <v>11404</v>
      </c>
      <c r="G32566" s="40" t="s">
        <v>11404</v>
      </c>
      <c r="H32566" s="40" t="s">
        <v>11404</v>
      </c>
    </row>
    <row r="32567">
      <c r="A32567" s="39"/>
      <c r="E32567" s="40" t="s">
        <v>11404</v>
      </c>
      <c r="F32567" s="40" t="s">
        <v>11404</v>
      </c>
      <c r="G32567" s="40" t="s">
        <v>11404</v>
      </c>
      <c r="H32567" s="40" t="s">
        <v>11404</v>
      </c>
    </row>
    <row r="32568">
      <c r="A32568" s="39"/>
      <c r="E32568" s="40" t="s">
        <v>11404</v>
      </c>
      <c r="F32568" s="40" t="s">
        <v>11404</v>
      </c>
      <c r="G32568" s="40" t="s">
        <v>11404</v>
      </c>
      <c r="H32568" s="40" t="s">
        <v>11404</v>
      </c>
    </row>
    <row r="32569">
      <c r="A32569" s="39"/>
      <c r="E32569" s="40" t="s">
        <v>11404</v>
      </c>
      <c r="F32569" s="40" t="s">
        <v>11404</v>
      </c>
      <c r="G32569" s="40" t="s">
        <v>11404</v>
      </c>
      <c r="H32569" s="40" t="s">
        <v>11404</v>
      </c>
    </row>
    <row r="32570">
      <c r="A32570" s="39"/>
      <c r="E32570" s="40" t="s">
        <v>11404</v>
      </c>
      <c r="F32570" s="40" t="s">
        <v>11404</v>
      </c>
      <c r="G32570" s="40" t="s">
        <v>11404</v>
      </c>
      <c r="H32570" s="40" t="s">
        <v>11404</v>
      </c>
    </row>
    <row r="32571">
      <c r="A32571" s="39"/>
      <c r="E32571" s="40" t="s">
        <v>11404</v>
      </c>
      <c r="F32571" s="40" t="s">
        <v>11404</v>
      </c>
      <c r="G32571" s="40" t="s">
        <v>11404</v>
      </c>
      <c r="H32571" s="40" t="s">
        <v>11404</v>
      </c>
    </row>
    <row r="32572">
      <c r="A32572" s="39"/>
      <c r="E32572" s="40" t="s">
        <v>11404</v>
      </c>
      <c r="F32572" s="40" t="s">
        <v>11404</v>
      </c>
      <c r="G32572" s="40" t="s">
        <v>11404</v>
      </c>
      <c r="H32572" s="40" t="s">
        <v>11404</v>
      </c>
    </row>
    <row r="32573">
      <c r="A32573" s="39"/>
      <c r="E32573" s="40" t="s">
        <v>11404</v>
      </c>
      <c r="F32573" s="40" t="s">
        <v>11404</v>
      </c>
      <c r="G32573" s="40" t="s">
        <v>11404</v>
      </c>
      <c r="H32573" s="40" t="s">
        <v>11404</v>
      </c>
    </row>
    <row r="32574">
      <c r="A32574" s="39"/>
      <c r="E32574" s="40" t="s">
        <v>11404</v>
      </c>
      <c r="F32574" s="40" t="s">
        <v>11404</v>
      </c>
      <c r="G32574" s="40" t="s">
        <v>11404</v>
      </c>
      <c r="H32574" s="40" t="s">
        <v>11404</v>
      </c>
    </row>
    <row r="32575">
      <c r="A32575" s="39"/>
      <c r="E32575" s="40" t="s">
        <v>11404</v>
      </c>
      <c r="F32575" s="40" t="s">
        <v>11404</v>
      </c>
      <c r="G32575" s="40" t="s">
        <v>11404</v>
      </c>
      <c r="H32575" s="40" t="s">
        <v>11404</v>
      </c>
    </row>
    <row r="32576">
      <c r="A32576" s="39"/>
      <c r="E32576" s="40" t="s">
        <v>11404</v>
      </c>
      <c r="F32576" s="40" t="s">
        <v>11404</v>
      </c>
      <c r="G32576" s="40" t="s">
        <v>11404</v>
      </c>
      <c r="H32576" s="40" t="s">
        <v>11404</v>
      </c>
    </row>
    <row r="32577">
      <c r="A32577" s="39"/>
      <c r="E32577" s="40" t="s">
        <v>11404</v>
      </c>
      <c r="F32577" s="40" t="s">
        <v>11404</v>
      </c>
      <c r="G32577" s="40" t="s">
        <v>11404</v>
      </c>
      <c r="H32577" s="40" t="s">
        <v>11404</v>
      </c>
    </row>
    <row r="32578">
      <c r="A32578" s="39"/>
      <c r="E32578" s="40" t="s">
        <v>11404</v>
      </c>
      <c r="F32578" s="40" t="s">
        <v>11404</v>
      </c>
      <c r="G32578" s="40" t="s">
        <v>11404</v>
      </c>
      <c r="H32578" s="40" t="s">
        <v>11404</v>
      </c>
    </row>
    <row r="32579">
      <c r="A32579" s="39"/>
      <c r="E32579" s="40" t="s">
        <v>11404</v>
      </c>
      <c r="F32579" s="40" t="s">
        <v>11404</v>
      </c>
      <c r="G32579" s="40" t="s">
        <v>11404</v>
      </c>
      <c r="H32579" s="40" t="s">
        <v>11404</v>
      </c>
    </row>
    <row r="32580">
      <c r="A32580" s="39"/>
      <c r="E32580" s="40" t="s">
        <v>11404</v>
      </c>
      <c r="F32580" s="40" t="s">
        <v>11404</v>
      </c>
      <c r="G32580" s="40" t="s">
        <v>11404</v>
      </c>
      <c r="H32580" s="40" t="s">
        <v>11404</v>
      </c>
    </row>
    <row r="32581">
      <c r="A32581" s="39"/>
      <c r="E32581" s="40" t="s">
        <v>11404</v>
      </c>
      <c r="F32581" s="40" t="s">
        <v>11404</v>
      </c>
      <c r="G32581" s="40" t="s">
        <v>11404</v>
      </c>
      <c r="H32581" s="40" t="s">
        <v>11404</v>
      </c>
    </row>
    <row r="32582">
      <c r="A32582" s="39"/>
      <c r="E32582" s="40" t="s">
        <v>11404</v>
      </c>
      <c r="F32582" s="40" t="s">
        <v>11404</v>
      </c>
      <c r="G32582" s="40" t="s">
        <v>11404</v>
      </c>
      <c r="H32582" s="40" t="s">
        <v>11404</v>
      </c>
    </row>
    <row r="32583">
      <c r="A32583" s="39"/>
      <c r="E32583" s="40" t="s">
        <v>11404</v>
      </c>
      <c r="F32583" s="40" t="s">
        <v>11404</v>
      </c>
      <c r="G32583" s="40" t="s">
        <v>11404</v>
      </c>
      <c r="H32583" s="40" t="s">
        <v>11404</v>
      </c>
    </row>
    <row r="32584">
      <c r="A32584" s="39"/>
      <c r="E32584" s="40" t="s">
        <v>11404</v>
      </c>
      <c r="F32584" s="40" t="s">
        <v>11404</v>
      </c>
      <c r="G32584" s="40" t="s">
        <v>11404</v>
      </c>
      <c r="H32584" s="40" t="s">
        <v>11404</v>
      </c>
    </row>
    <row r="32585">
      <c r="A32585" s="39"/>
      <c r="E32585" s="40" t="s">
        <v>11404</v>
      </c>
      <c r="F32585" s="40" t="s">
        <v>11404</v>
      </c>
      <c r="G32585" s="40" t="s">
        <v>11404</v>
      </c>
      <c r="H32585" s="40" t="s">
        <v>11404</v>
      </c>
    </row>
    <row r="32586">
      <c r="A32586" s="39"/>
      <c r="E32586" s="40" t="s">
        <v>11404</v>
      </c>
      <c r="F32586" s="40" t="s">
        <v>11404</v>
      </c>
      <c r="G32586" s="40" t="s">
        <v>11404</v>
      </c>
      <c r="H32586" s="40" t="s">
        <v>11404</v>
      </c>
    </row>
    <row r="32587">
      <c r="A32587" s="39"/>
      <c r="E32587" s="40" t="s">
        <v>11404</v>
      </c>
      <c r="F32587" s="40" t="s">
        <v>11404</v>
      </c>
      <c r="G32587" s="40" t="s">
        <v>11404</v>
      </c>
      <c r="H32587" s="40" t="s">
        <v>11404</v>
      </c>
    </row>
    <row r="32588">
      <c r="A32588" s="39"/>
      <c r="E32588" s="40" t="s">
        <v>11404</v>
      </c>
      <c r="F32588" s="40" t="s">
        <v>11404</v>
      </c>
      <c r="G32588" s="40" t="s">
        <v>11404</v>
      </c>
      <c r="H32588" s="40" t="s">
        <v>11404</v>
      </c>
    </row>
    <row r="32589">
      <c r="A32589" s="39"/>
      <c r="E32589" s="40" t="s">
        <v>11404</v>
      </c>
      <c r="F32589" s="40" t="s">
        <v>11404</v>
      </c>
      <c r="G32589" s="40" t="s">
        <v>11404</v>
      </c>
      <c r="H32589" s="40" t="s">
        <v>11404</v>
      </c>
    </row>
    <row r="32590">
      <c r="A32590" s="39"/>
      <c r="E32590" s="40" t="s">
        <v>11404</v>
      </c>
      <c r="F32590" s="40" t="s">
        <v>11404</v>
      </c>
      <c r="G32590" s="40" t="s">
        <v>11404</v>
      </c>
      <c r="H32590" s="40" t="s">
        <v>11404</v>
      </c>
    </row>
    <row r="32591">
      <c r="A32591" s="39"/>
      <c r="E32591" s="40" t="s">
        <v>11404</v>
      </c>
      <c r="F32591" s="40" t="s">
        <v>11404</v>
      </c>
      <c r="G32591" s="40" t="s">
        <v>11404</v>
      </c>
      <c r="H32591" s="40" t="s">
        <v>11404</v>
      </c>
    </row>
    <row r="32592">
      <c r="A32592" s="39"/>
      <c r="E32592" s="40" t="s">
        <v>11404</v>
      </c>
      <c r="F32592" s="40" t="s">
        <v>11404</v>
      </c>
      <c r="G32592" s="40" t="s">
        <v>11404</v>
      </c>
      <c r="H32592" s="40" t="s">
        <v>11404</v>
      </c>
    </row>
    <row r="32593">
      <c r="A32593" s="39"/>
      <c r="E32593" s="40" t="s">
        <v>11404</v>
      </c>
      <c r="F32593" s="40" t="s">
        <v>11404</v>
      </c>
      <c r="G32593" s="40" t="s">
        <v>11404</v>
      </c>
      <c r="H32593" s="40" t="s">
        <v>11404</v>
      </c>
    </row>
    <row r="32594">
      <c r="A32594" s="39"/>
      <c r="E32594" s="40" t="s">
        <v>11404</v>
      </c>
      <c r="F32594" s="40" t="s">
        <v>11404</v>
      </c>
      <c r="G32594" s="40" t="s">
        <v>11404</v>
      </c>
      <c r="H32594" s="40" t="s">
        <v>11404</v>
      </c>
    </row>
    <row r="32595">
      <c r="A32595" s="39"/>
      <c r="E32595" s="40" t="s">
        <v>11404</v>
      </c>
      <c r="F32595" s="40" t="s">
        <v>11404</v>
      </c>
      <c r="G32595" s="40" t="s">
        <v>11404</v>
      </c>
      <c r="H32595" s="40" t="s">
        <v>11404</v>
      </c>
    </row>
    <row r="32596">
      <c r="A32596" s="39"/>
      <c r="E32596" s="40" t="s">
        <v>11404</v>
      </c>
      <c r="F32596" s="40" t="s">
        <v>11404</v>
      </c>
      <c r="G32596" s="40" t="s">
        <v>11404</v>
      </c>
      <c r="H32596" s="40" t="s">
        <v>11404</v>
      </c>
    </row>
    <row r="32597">
      <c r="A32597" s="39"/>
      <c r="E32597" s="40" t="s">
        <v>11404</v>
      </c>
      <c r="F32597" s="40" t="s">
        <v>11404</v>
      </c>
      <c r="G32597" s="40" t="s">
        <v>11404</v>
      </c>
      <c r="H32597" s="40" t="s">
        <v>11404</v>
      </c>
    </row>
    <row r="32598">
      <c r="A32598" s="39"/>
      <c r="E32598" s="40" t="s">
        <v>11404</v>
      </c>
      <c r="F32598" s="40" t="s">
        <v>11404</v>
      </c>
      <c r="G32598" s="40" t="s">
        <v>11404</v>
      </c>
      <c r="H32598" s="40" t="s">
        <v>11404</v>
      </c>
    </row>
    <row r="32599">
      <c r="A32599" s="39"/>
      <c r="E32599" s="40" t="s">
        <v>11404</v>
      </c>
      <c r="F32599" s="40" t="s">
        <v>11404</v>
      </c>
      <c r="G32599" s="40" t="s">
        <v>11404</v>
      </c>
      <c r="H32599" s="40" t="s">
        <v>11404</v>
      </c>
    </row>
    <row r="32600">
      <c r="A32600" s="39"/>
      <c r="E32600" s="40" t="s">
        <v>11404</v>
      </c>
      <c r="F32600" s="40" t="s">
        <v>11404</v>
      </c>
      <c r="G32600" s="40" t="s">
        <v>11404</v>
      </c>
      <c r="H32600" s="40" t="s">
        <v>11404</v>
      </c>
    </row>
    <row r="32601">
      <c r="A32601" s="39"/>
      <c r="E32601" s="40" t="s">
        <v>11404</v>
      </c>
      <c r="F32601" s="40" t="s">
        <v>11404</v>
      </c>
      <c r="G32601" s="40" t="s">
        <v>11404</v>
      </c>
      <c r="H32601" s="40" t="s">
        <v>11404</v>
      </c>
    </row>
    <row r="32602">
      <c r="A32602" s="39"/>
      <c r="E32602" s="40" t="s">
        <v>11404</v>
      </c>
      <c r="F32602" s="40" t="s">
        <v>11404</v>
      </c>
      <c r="G32602" s="40" t="s">
        <v>11404</v>
      </c>
      <c r="H32602" s="40" t="s">
        <v>11404</v>
      </c>
    </row>
    <row r="32603">
      <c r="A32603" s="39"/>
      <c r="E32603" s="40" t="s">
        <v>11404</v>
      </c>
      <c r="F32603" s="40" t="s">
        <v>11404</v>
      </c>
      <c r="G32603" s="40" t="s">
        <v>11404</v>
      </c>
      <c r="H32603" s="40" t="s">
        <v>11404</v>
      </c>
    </row>
    <row r="32604">
      <c r="A32604" s="39"/>
      <c r="E32604" s="40" t="s">
        <v>11404</v>
      </c>
      <c r="F32604" s="40" t="s">
        <v>11404</v>
      </c>
      <c r="G32604" s="40" t="s">
        <v>11404</v>
      </c>
      <c r="H32604" s="40" t="s">
        <v>11404</v>
      </c>
    </row>
    <row r="32605">
      <c r="A32605" s="39"/>
      <c r="E32605" s="40" t="s">
        <v>11404</v>
      </c>
      <c r="F32605" s="40" t="s">
        <v>11404</v>
      </c>
      <c r="G32605" s="40" t="s">
        <v>11404</v>
      </c>
      <c r="H32605" s="40" t="s">
        <v>11404</v>
      </c>
    </row>
    <row r="32606">
      <c r="A32606" s="39"/>
      <c r="E32606" s="40" t="s">
        <v>11404</v>
      </c>
      <c r="F32606" s="40" t="s">
        <v>11404</v>
      </c>
      <c r="G32606" s="40" t="s">
        <v>11404</v>
      </c>
      <c r="H32606" s="40" t="s">
        <v>11404</v>
      </c>
    </row>
    <row r="32607">
      <c r="A32607" s="39"/>
      <c r="E32607" s="40" t="s">
        <v>11404</v>
      </c>
      <c r="F32607" s="40" t="s">
        <v>11404</v>
      </c>
      <c r="G32607" s="40" t="s">
        <v>11404</v>
      </c>
      <c r="H32607" s="40" t="s">
        <v>11404</v>
      </c>
    </row>
    <row r="32608">
      <c r="A32608" s="39"/>
      <c r="E32608" s="40" t="s">
        <v>11404</v>
      </c>
      <c r="F32608" s="40" t="s">
        <v>11404</v>
      </c>
      <c r="G32608" s="40" t="s">
        <v>11404</v>
      </c>
      <c r="H32608" s="40" t="s">
        <v>11404</v>
      </c>
    </row>
    <row r="32609">
      <c r="A32609" s="39"/>
      <c r="E32609" s="40" t="s">
        <v>11404</v>
      </c>
      <c r="F32609" s="40" t="s">
        <v>11404</v>
      </c>
      <c r="G32609" s="40" t="s">
        <v>11404</v>
      </c>
      <c r="H32609" s="40" t="s">
        <v>11404</v>
      </c>
    </row>
    <row r="32610">
      <c r="A32610" s="39"/>
      <c r="E32610" s="40" t="s">
        <v>11404</v>
      </c>
      <c r="F32610" s="40" t="s">
        <v>11404</v>
      </c>
      <c r="G32610" s="40" t="s">
        <v>11404</v>
      </c>
      <c r="H32610" s="40" t="s">
        <v>11404</v>
      </c>
    </row>
    <row r="32611">
      <c r="A32611" s="39"/>
      <c r="E32611" s="40" t="s">
        <v>11404</v>
      </c>
      <c r="F32611" s="40" t="s">
        <v>11404</v>
      </c>
      <c r="G32611" s="40" t="s">
        <v>11404</v>
      </c>
      <c r="H32611" s="40" t="s">
        <v>11404</v>
      </c>
    </row>
    <row r="32612">
      <c r="A32612" s="39"/>
      <c r="E32612" s="40" t="s">
        <v>11404</v>
      </c>
      <c r="F32612" s="40" t="s">
        <v>11404</v>
      </c>
      <c r="G32612" s="40" t="s">
        <v>11404</v>
      </c>
      <c r="H32612" s="40" t="s">
        <v>11404</v>
      </c>
    </row>
    <row r="32613">
      <c r="A32613" s="39"/>
      <c r="E32613" s="40" t="s">
        <v>11404</v>
      </c>
      <c r="F32613" s="40" t="s">
        <v>11404</v>
      </c>
      <c r="G32613" s="40" t="s">
        <v>11404</v>
      </c>
      <c r="H32613" s="40" t="s">
        <v>11404</v>
      </c>
    </row>
    <row r="32614">
      <c r="A32614" s="39"/>
      <c r="E32614" s="40" t="s">
        <v>11404</v>
      </c>
      <c r="F32614" s="40" t="s">
        <v>11404</v>
      </c>
      <c r="G32614" s="40" t="s">
        <v>11404</v>
      </c>
      <c r="H32614" s="40" t="s">
        <v>11404</v>
      </c>
    </row>
    <row r="32615">
      <c r="A32615" s="39"/>
      <c r="E32615" s="40" t="s">
        <v>11404</v>
      </c>
      <c r="F32615" s="40" t="s">
        <v>11404</v>
      </c>
      <c r="G32615" s="40" t="s">
        <v>11404</v>
      </c>
      <c r="H32615" s="40" t="s">
        <v>11404</v>
      </c>
    </row>
    <row r="32616">
      <c r="A32616" s="39"/>
      <c r="E32616" s="40" t="s">
        <v>11404</v>
      </c>
      <c r="F32616" s="40" t="s">
        <v>11404</v>
      </c>
      <c r="G32616" s="40" t="s">
        <v>11404</v>
      </c>
      <c r="H32616" s="40" t="s">
        <v>11404</v>
      </c>
    </row>
    <row r="32617">
      <c r="A32617" s="39"/>
      <c r="E32617" s="40" t="s">
        <v>11404</v>
      </c>
      <c r="F32617" s="40" t="s">
        <v>11404</v>
      </c>
      <c r="G32617" s="40" t="s">
        <v>11404</v>
      </c>
      <c r="H32617" s="40" t="s">
        <v>11404</v>
      </c>
    </row>
    <row r="32618">
      <c r="A32618" s="39"/>
      <c r="E32618" s="40" t="s">
        <v>11404</v>
      </c>
      <c r="F32618" s="40" t="s">
        <v>11404</v>
      </c>
      <c r="G32618" s="40" t="s">
        <v>11404</v>
      </c>
      <c r="H32618" s="40" t="s">
        <v>11404</v>
      </c>
    </row>
    <row r="32619">
      <c r="A32619" s="39"/>
      <c r="E32619" s="40" t="s">
        <v>11404</v>
      </c>
      <c r="F32619" s="40" t="s">
        <v>11404</v>
      </c>
      <c r="G32619" s="40" t="s">
        <v>11404</v>
      </c>
      <c r="H32619" s="40" t="s">
        <v>11404</v>
      </c>
    </row>
    <row r="32620">
      <c r="A32620" s="39"/>
      <c r="E32620" s="40" t="s">
        <v>11404</v>
      </c>
      <c r="F32620" s="40" t="s">
        <v>11404</v>
      </c>
      <c r="G32620" s="40" t="s">
        <v>11404</v>
      </c>
      <c r="H32620" s="40" t="s">
        <v>11404</v>
      </c>
    </row>
    <row r="32621">
      <c r="A32621" s="39"/>
      <c r="E32621" s="40" t="s">
        <v>11404</v>
      </c>
      <c r="F32621" s="40" t="s">
        <v>11404</v>
      </c>
      <c r="G32621" s="40" t="s">
        <v>11404</v>
      </c>
      <c r="H32621" s="40" t="s">
        <v>11404</v>
      </c>
    </row>
    <row r="32622">
      <c r="A32622" s="39"/>
      <c r="E32622" s="40" t="s">
        <v>11404</v>
      </c>
      <c r="F32622" s="40" t="s">
        <v>11404</v>
      </c>
      <c r="G32622" s="40" t="s">
        <v>11404</v>
      </c>
      <c r="H32622" s="40" t="s">
        <v>11404</v>
      </c>
    </row>
    <row r="32623">
      <c r="A32623" s="39"/>
      <c r="E32623" s="40" t="s">
        <v>11404</v>
      </c>
      <c r="F32623" s="40" t="s">
        <v>11404</v>
      </c>
      <c r="G32623" s="40" t="s">
        <v>11404</v>
      </c>
      <c r="H32623" s="40" t="s">
        <v>11404</v>
      </c>
    </row>
    <row r="32624">
      <c r="A32624" s="39"/>
      <c r="E32624" s="40" t="s">
        <v>11404</v>
      </c>
      <c r="F32624" s="40" t="s">
        <v>11404</v>
      </c>
      <c r="G32624" s="40" t="s">
        <v>11404</v>
      </c>
      <c r="H32624" s="40" t="s">
        <v>11404</v>
      </c>
    </row>
    <row r="32625">
      <c r="A32625" s="39"/>
      <c r="E32625" s="40" t="s">
        <v>11404</v>
      </c>
      <c r="F32625" s="40" t="s">
        <v>11404</v>
      </c>
      <c r="G32625" s="40" t="s">
        <v>11404</v>
      </c>
      <c r="H32625" s="40" t="s">
        <v>11404</v>
      </c>
    </row>
    <row r="32626">
      <c r="A32626" s="39"/>
      <c r="E32626" s="40" t="s">
        <v>11404</v>
      </c>
      <c r="F32626" s="40" t="s">
        <v>11404</v>
      </c>
      <c r="G32626" s="40" t="s">
        <v>11404</v>
      </c>
      <c r="H32626" s="40" t="s">
        <v>11404</v>
      </c>
    </row>
    <row r="32627">
      <c r="A32627" s="39"/>
      <c r="E32627" s="40" t="s">
        <v>11404</v>
      </c>
      <c r="F32627" s="40" t="s">
        <v>11404</v>
      </c>
      <c r="G32627" s="40" t="s">
        <v>11404</v>
      </c>
      <c r="H32627" s="40" t="s">
        <v>11404</v>
      </c>
    </row>
    <row r="32628">
      <c r="A32628" s="39"/>
      <c r="E32628" s="40" t="s">
        <v>11404</v>
      </c>
      <c r="F32628" s="40" t="s">
        <v>11404</v>
      </c>
      <c r="G32628" s="40" t="s">
        <v>11404</v>
      </c>
      <c r="H32628" s="40" t="s">
        <v>11404</v>
      </c>
    </row>
    <row r="32629">
      <c r="A32629" s="39"/>
      <c r="E32629" s="40" t="s">
        <v>11404</v>
      </c>
      <c r="F32629" s="40" t="s">
        <v>11404</v>
      </c>
      <c r="G32629" s="40" t="s">
        <v>11404</v>
      </c>
      <c r="H32629" s="40" t="s">
        <v>11404</v>
      </c>
    </row>
    <row r="32630">
      <c r="A32630" s="39"/>
      <c r="E32630" s="40" t="s">
        <v>11404</v>
      </c>
      <c r="F32630" s="40" t="s">
        <v>11404</v>
      </c>
      <c r="G32630" s="40" t="s">
        <v>11404</v>
      </c>
      <c r="H32630" s="40" t="s">
        <v>11404</v>
      </c>
    </row>
    <row r="32631">
      <c r="A32631" s="39"/>
      <c r="E32631" s="40" t="s">
        <v>11404</v>
      </c>
      <c r="F32631" s="40" t="s">
        <v>11404</v>
      </c>
      <c r="G32631" s="40" t="s">
        <v>11404</v>
      </c>
      <c r="H32631" s="40" t="s">
        <v>11404</v>
      </c>
    </row>
    <row r="32632">
      <c r="A32632" s="39"/>
      <c r="E32632" s="40" t="s">
        <v>11404</v>
      </c>
      <c r="F32632" s="40" t="s">
        <v>11404</v>
      </c>
      <c r="G32632" s="40" t="s">
        <v>11404</v>
      </c>
      <c r="H32632" s="40" t="s">
        <v>11404</v>
      </c>
    </row>
    <row r="32633">
      <c r="A32633" s="39"/>
      <c r="E32633" s="40" t="s">
        <v>11404</v>
      </c>
      <c r="F32633" s="40" t="s">
        <v>11404</v>
      </c>
      <c r="G32633" s="40" t="s">
        <v>11404</v>
      </c>
      <c r="H32633" s="40" t="s">
        <v>11404</v>
      </c>
    </row>
    <row r="32634">
      <c r="A32634" s="39"/>
      <c r="E32634" s="40" t="s">
        <v>11404</v>
      </c>
      <c r="F32634" s="40" t="s">
        <v>11404</v>
      </c>
      <c r="G32634" s="40" t="s">
        <v>11404</v>
      </c>
      <c r="H32634" s="40" t="s">
        <v>11404</v>
      </c>
    </row>
    <row r="32635">
      <c r="A32635" s="39"/>
      <c r="E32635" s="40" t="s">
        <v>11404</v>
      </c>
      <c r="F32635" s="40" t="s">
        <v>11404</v>
      </c>
      <c r="G32635" s="40" t="s">
        <v>11404</v>
      </c>
      <c r="H32635" s="40" t="s">
        <v>11404</v>
      </c>
    </row>
    <row r="32636">
      <c r="A32636" s="39"/>
      <c r="E32636" s="40" t="s">
        <v>11404</v>
      </c>
      <c r="F32636" s="40" t="s">
        <v>11404</v>
      </c>
      <c r="G32636" s="40" t="s">
        <v>11404</v>
      </c>
      <c r="H32636" s="40" t="s">
        <v>11404</v>
      </c>
    </row>
    <row r="32637">
      <c r="A32637" s="39"/>
      <c r="E32637" s="40" t="s">
        <v>11404</v>
      </c>
      <c r="F32637" s="40" t="s">
        <v>11404</v>
      </c>
      <c r="G32637" s="40" t="s">
        <v>11404</v>
      </c>
      <c r="H32637" s="40" t="s">
        <v>11404</v>
      </c>
    </row>
    <row r="32638">
      <c r="A32638" s="39"/>
      <c r="E32638" s="40" t="s">
        <v>11404</v>
      </c>
      <c r="F32638" s="40" t="s">
        <v>11404</v>
      </c>
      <c r="G32638" s="40" t="s">
        <v>11404</v>
      </c>
      <c r="H32638" s="40" t="s">
        <v>11404</v>
      </c>
    </row>
    <row r="32639">
      <c r="A32639" s="39"/>
      <c r="E32639" s="40" t="s">
        <v>11404</v>
      </c>
      <c r="F32639" s="40" t="s">
        <v>11404</v>
      </c>
      <c r="G32639" s="40" t="s">
        <v>11404</v>
      </c>
      <c r="H32639" s="40" t="s">
        <v>11404</v>
      </c>
    </row>
    <row r="32640">
      <c r="A32640" s="39"/>
      <c r="E32640" s="40" t="s">
        <v>11404</v>
      </c>
      <c r="F32640" s="40" t="s">
        <v>11404</v>
      </c>
      <c r="G32640" s="40" t="s">
        <v>11404</v>
      </c>
      <c r="H32640" s="40" t="s">
        <v>11404</v>
      </c>
    </row>
    <row r="32641">
      <c r="A32641" s="39"/>
      <c r="E32641" s="40" t="s">
        <v>11404</v>
      </c>
      <c r="F32641" s="40" t="s">
        <v>11404</v>
      </c>
      <c r="G32641" s="40" t="s">
        <v>11404</v>
      </c>
      <c r="H32641" s="40" t="s">
        <v>11404</v>
      </c>
    </row>
    <row r="32642">
      <c r="A32642" s="39"/>
      <c r="E32642" s="40" t="s">
        <v>11404</v>
      </c>
      <c r="F32642" s="40" t="s">
        <v>11404</v>
      </c>
      <c r="G32642" s="40" t="s">
        <v>11404</v>
      </c>
      <c r="H32642" s="40" t="s">
        <v>11404</v>
      </c>
    </row>
    <row r="32643">
      <c r="A32643" s="39"/>
      <c r="E32643" s="40" t="s">
        <v>11404</v>
      </c>
      <c r="F32643" s="40" t="s">
        <v>11404</v>
      </c>
      <c r="G32643" s="40" t="s">
        <v>11404</v>
      </c>
      <c r="H32643" s="40" t="s">
        <v>11404</v>
      </c>
    </row>
    <row r="32644">
      <c r="A32644" s="39"/>
      <c r="E32644" s="40" t="s">
        <v>11404</v>
      </c>
      <c r="F32644" s="40" t="s">
        <v>11404</v>
      </c>
      <c r="G32644" s="40" t="s">
        <v>11404</v>
      </c>
      <c r="H32644" s="40" t="s">
        <v>11404</v>
      </c>
    </row>
    <row r="32645">
      <c r="A32645" s="39"/>
      <c r="E32645" s="40" t="s">
        <v>11404</v>
      </c>
      <c r="F32645" s="40" t="s">
        <v>11404</v>
      </c>
      <c r="G32645" s="40" t="s">
        <v>11404</v>
      </c>
      <c r="H32645" s="40" t="s">
        <v>11404</v>
      </c>
    </row>
    <row r="32646">
      <c r="A32646" s="39"/>
      <c r="E32646" s="40" t="s">
        <v>11404</v>
      </c>
      <c r="F32646" s="40" t="s">
        <v>11404</v>
      </c>
      <c r="G32646" s="40" t="s">
        <v>11404</v>
      </c>
      <c r="H32646" s="40" t="s">
        <v>11404</v>
      </c>
    </row>
    <row r="32647">
      <c r="A32647" s="39"/>
      <c r="E32647" s="40" t="s">
        <v>11404</v>
      </c>
      <c r="F32647" s="40" t="s">
        <v>11404</v>
      </c>
      <c r="G32647" s="40" t="s">
        <v>11404</v>
      </c>
      <c r="H32647" s="40" t="s">
        <v>11404</v>
      </c>
    </row>
    <row r="32648">
      <c r="A32648" s="39"/>
      <c r="E32648" s="40" t="s">
        <v>11404</v>
      </c>
      <c r="F32648" s="40" t="s">
        <v>11404</v>
      </c>
      <c r="G32648" s="40" t="s">
        <v>11404</v>
      </c>
      <c r="H32648" s="40" t="s">
        <v>11404</v>
      </c>
    </row>
    <row r="32649">
      <c r="A32649" s="39"/>
      <c r="E32649" s="40" t="s">
        <v>11404</v>
      </c>
      <c r="F32649" s="40" t="s">
        <v>11404</v>
      </c>
      <c r="G32649" s="40" t="s">
        <v>11404</v>
      </c>
      <c r="H32649" s="40" t="s">
        <v>11404</v>
      </c>
    </row>
    <row r="32650">
      <c r="A32650" s="39"/>
      <c r="E32650" s="40" t="s">
        <v>11404</v>
      </c>
      <c r="F32650" s="40" t="s">
        <v>11404</v>
      </c>
      <c r="G32650" s="40" t="s">
        <v>11404</v>
      </c>
      <c r="H32650" s="40" t="s">
        <v>11404</v>
      </c>
    </row>
    <row r="32651">
      <c r="A32651" s="39"/>
      <c r="E32651" s="40" t="s">
        <v>11404</v>
      </c>
      <c r="F32651" s="40" t="s">
        <v>11404</v>
      </c>
      <c r="G32651" s="40" t="s">
        <v>11404</v>
      </c>
      <c r="H32651" s="40" t="s">
        <v>11404</v>
      </c>
    </row>
    <row r="32652">
      <c r="A32652" s="39"/>
      <c r="E32652" s="40" t="s">
        <v>11404</v>
      </c>
      <c r="F32652" s="40" t="s">
        <v>11404</v>
      </c>
      <c r="G32652" s="40" t="s">
        <v>11404</v>
      </c>
      <c r="H32652" s="40" t="s">
        <v>11404</v>
      </c>
    </row>
    <row r="32653">
      <c r="A32653" s="39"/>
      <c r="E32653" s="40" t="s">
        <v>11404</v>
      </c>
      <c r="F32653" s="40" t="s">
        <v>11404</v>
      </c>
      <c r="G32653" s="40" t="s">
        <v>11404</v>
      </c>
      <c r="H32653" s="40" t="s">
        <v>11404</v>
      </c>
    </row>
    <row r="32654">
      <c r="A32654" s="39"/>
      <c r="E32654" s="40" t="s">
        <v>11404</v>
      </c>
      <c r="F32654" s="40" t="s">
        <v>11404</v>
      </c>
      <c r="G32654" s="40" t="s">
        <v>11404</v>
      </c>
      <c r="H32654" s="40" t="s">
        <v>11404</v>
      </c>
    </row>
    <row r="32655">
      <c r="A32655" s="39"/>
      <c r="E32655" s="40" t="s">
        <v>11404</v>
      </c>
      <c r="F32655" s="40" t="s">
        <v>11404</v>
      </c>
      <c r="G32655" s="40" t="s">
        <v>11404</v>
      </c>
      <c r="H32655" s="40" t="s">
        <v>11404</v>
      </c>
    </row>
    <row r="32656">
      <c r="A32656" s="39"/>
      <c r="E32656" s="40" t="s">
        <v>11404</v>
      </c>
      <c r="F32656" s="40" t="s">
        <v>11404</v>
      </c>
      <c r="G32656" s="40" t="s">
        <v>11404</v>
      </c>
      <c r="H32656" s="40" t="s">
        <v>11404</v>
      </c>
    </row>
    <row r="32657">
      <c r="A32657" s="39"/>
      <c r="E32657" s="40" t="s">
        <v>11404</v>
      </c>
      <c r="F32657" s="40" t="s">
        <v>11404</v>
      </c>
      <c r="G32657" s="40" t="s">
        <v>11404</v>
      </c>
      <c r="H32657" s="40" t="s">
        <v>11404</v>
      </c>
    </row>
    <row r="32658">
      <c r="A32658" s="39"/>
      <c r="E32658" s="40" t="s">
        <v>11404</v>
      </c>
      <c r="F32658" s="40" t="s">
        <v>11404</v>
      </c>
      <c r="G32658" s="40" t="s">
        <v>11404</v>
      </c>
      <c r="H32658" s="40" t="s">
        <v>11404</v>
      </c>
    </row>
    <row r="32659">
      <c r="A32659" s="39"/>
      <c r="E32659" s="40" t="s">
        <v>11404</v>
      </c>
      <c r="F32659" s="40" t="s">
        <v>11404</v>
      </c>
      <c r="G32659" s="40" t="s">
        <v>11404</v>
      </c>
      <c r="H32659" s="40" t="s">
        <v>11404</v>
      </c>
    </row>
    <row r="32660">
      <c r="A32660" s="39"/>
      <c r="E32660" s="40" t="s">
        <v>11404</v>
      </c>
      <c r="F32660" s="40" t="s">
        <v>11404</v>
      </c>
      <c r="G32660" s="40" t="s">
        <v>11404</v>
      </c>
      <c r="H32660" s="40" t="s">
        <v>11404</v>
      </c>
    </row>
    <row r="32661">
      <c r="A32661" s="39"/>
      <c r="E32661" s="40" t="s">
        <v>11404</v>
      </c>
      <c r="F32661" s="40" t="s">
        <v>11404</v>
      </c>
      <c r="G32661" s="40" t="s">
        <v>11404</v>
      </c>
      <c r="H32661" s="40" t="s">
        <v>11404</v>
      </c>
    </row>
    <row r="32662">
      <c r="A32662" s="39"/>
      <c r="E32662" s="40" t="s">
        <v>11404</v>
      </c>
      <c r="F32662" s="40" t="s">
        <v>11404</v>
      </c>
      <c r="G32662" s="40" t="s">
        <v>11404</v>
      </c>
      <c r="H32662" s="40" t="s">
        <v>11404</v>
      </c>
    </row>
    <row r="32663">
      <c r="A32663" s="39"/>
      <c r="E32663" s="40" t="s">
        <v>11404</v>
      </c>
      <c r="F32663" s="40" t="s">
        <v>11404</v>
      </c>
      <c r="G32663" s="40" t="s">
        <v>11404</v>
      </c>
      <c r="H32663" s="40" t="s">
        <v>11404</v>
      </c>
    </row>
    <row r="32664">
      <c r="A32664" s="39"/>
      <c r="E32664" s="40" t="s">
        <v>11404</v>
      </c>
      <c r="F32664" s="40" t="s">
        <v>11404</v>
      </c>
      <c r="G32664" s="40" t="s">
        <v>11404</v>
      </c>
      <c r="H32664" s="40" t="s">
        <v>11404</v>
      </c>
    </row>
    <row r="32665">
      <c r="A32665" s="39"/>
      <c r="E32665" s="40" t="s">
        <v>11404</v>
      </c>
      <c r="F32665" s="40" t="s">
        <v>11404</v>
      </c>
      <c r="G32665" s="40" t="s">
        <v>11404</v>
      </c>
      <c r="H32665" s="40" t="s">
        <v>11404</v>
      </c>
    </row>
    <row r="32666">
      <c r="A32666" s="39"/>
      <c r="E32666" s="40" t="s">
        <v>11404</v>
      </c>
      <c r="F32666" s="40" t="s">
        <v>11404</v>
      </c>
      <c r="G32666" s="40" t="s">
        <v>11404</v>
      </c>
      <c r="H32666" s="40" t="s">
        <v>11404</v>
      </c>
    </row>
    <row r="32667">
      <c r="A32667" s="39"/>
      <c r="E32667" s="40" t="s">
        <v>11404</v>
      </c>
      <c r="F32667" s="40" t="s">
        <v>11404</v>
      </c>
      <c r="G32667" s="40" t="s">
        <v>11404</v>
      </c>
      <c r="H32667" s="40" t="s">
        <v>11404</v>
      </c>
    </row>
    <row r="32668">
      <c r="A32668" s="39"/>
      <c r="E32668" s="40" t="s">
        <v>11404</v>
      </c>
      <c r="F32668" s="40" t="s">
        <v>11404</v>
      </c>
      <c r="G32668" s="40" t="s">
        <v>11404</v>
      </c>
      <c r="H32668" s="40" t="s">
        <v>11404</v>
      </c>
    </row>
    <row r="32669">
      <c r="A32669" s="39"/>
      <c r="E32669" s="40" t="s">
        <v>11404</v>
      </c>
      <c r="F32669" s="40" t="s">
        <v>11404</v>
      </c>
      <c r="G32669" s="40" t="s">
        <v>11404</v>
      </c>
      <c r="H32669" s="40" t="s">
        <v>11404</v>
      </c>
    </row>
    <row r="32670">
      <c r="A32670" s="39"/>
      <c r="E32670" s="40" t="s">
        <v>11404</v>
      </c>
      <c r="F32670" s="40" t="s">
        <v>11404</v>
      </c>
      <c r="G32670" s="40" t="s">
        <v>11404</v>
      </c>
      <c r="H32670" s="40" t="s">
        <v>11404</v>
      </c>
    </row>
    <row r="32671">
      <c r="A32671" s="39"/>
      <c r="E32671" s="40" t="s">
        <v>11404</v>
      </c>
      <c r="F32671" s="40" t="s">
        <v>11404</v>
      </c>
      <c r="G32671" s="40" t="s">
        <v>11404</v>
      </c>
      <c r="H32671" s="40" t="s">
        <v>11404</v>
      </c>
    </row>
    <row r="32672">
      <c r="A32672" s="39"/>
      <c r="E32672" s="40" t="s">
        <v>11404</v>
      </c>
      <c r="F32672" s="40" t="s">
        <v>11404</v>
      </c>
      <c r="G32672" s="40" t="s">
        <v>11404</v>
      </c>
      <c r="H32672" s="40" t="s">
        <v>11404</v>
      </c>
    </row>
    <row r="32673">
      <c r="A32673" s="39"/>
      <c r="E32673" s="40" t="s">
        <v>11404</v>
      </c>
      <c r="F32673" s="40" t="s">
        <v>11404</v>
      </c>
      <c r="G32673" s="40" t="s">
        <v>11404</v>
      </c>
      <c r="H32673" s="40" t="s">
        <v>11404</v>
      </c>
    </row>
    <row r="32674">
      <c r="A32674" s="39"/>
      <c r="E32674" s="40" t="s">
        <v>11404</v>
      </c>
      <c r="F32674" s="40" t="s">
        <v>11404</v>
      </c>
      <c r="G32674" s="40" t="s">
        <v>11404</v>
      </c>
      <c r="H32674" s="40" t="s">
        <v>11404</v>
      </c>
    </row>
    <row r="32675">
      <c r="A32675" s="39"/>
      <c r="E32675" s="40" t="s">
        <v>11404</v>
      </c>
      <c r="F32675" s="40" t="s">
        <v>11404</v>
      </c>
      <c r="G32675" s="40" t="s">
        <v>11404</v>
      </c>
      <c r="H32675" s="40" t="s">
        <v>11404</v>
      </c>
    </row>
    <row r="32676">
      <c r="A32676" s="39"/>
      <c r="E32676" s="40" t="s">
        <v>11404</v>
      </c>
      <c r="F32676" s="40" t="s">
        <v>11404</v>
      </c>
      <c r="G32676" s="40" t="s">
        <v>11404</v>
      </c>
      <c r="H32676" s="40" t="s">
        <v>11404</v>
      </c>
    </row>
    <row r="32677">
      <c r="A32677" s="39"/>
      <c r="E32677" s="40" t="s">
        <v>11404</v>
      </c>
      <c r="F32677" s="40" t="s">
        <v>11404</v>
      </c>
      <c r="G32677" s="40" t="s">
        <v>11404</v>
      </c>
      <c r="H32677" s="40" t="s">
        <v>11404</v>
      </c>
    </row>
    <row r="32678">
      <c r="A32678" s="39"/>
      <c r="E32678" s="40" t="s">
        <v>11404</v>
      </c>
      <c r="F32678" s="40" t="s">
        <v>11404</v>
      </c>
      <c r="G32678" s="40" t="s">
        <v>11404</v>
      </c>
      <c r="H32678" s="40" t="s">
        <v>11404</v>
      </c>
    </row>
    <row r="32679">
      <c r="A32679" s="39"/>
      <c r="E32679" s="40" t="s">
        <v>11404</v>
      </c>
      <c r="F32679" s="40" t="s">
        <v>11404</v>
      </c>
      <c r="G32679" s="40" t="s">
        <v>11404</v>
      </c>
      <c r="H32679" s="40" t="s">
        <v>11404</v>
      </c>
    </row>
    <row r="32680">
      <c r="A32680" s="39"/>
      <c r="E32680" s="40" t="s">
        <v>11404</v>
      </c>
      <c r="F32680" s="40" t="s">
        <v>11404</v>
      </c>
      <c r="G32680" s="40" t="s">
        <v>11404</v>
      </c>
      <c r="H32680" s="40" t="s">
        <v>11404</v>
      </c>
    </row>
    <row r="32681">
      <c r="A32681" s="39"/>
      <c r="E32681" s="40" t="s">
        <v>11404</v>
      </c>
      <c r="F32681" s="40" t="s">
        <v>11404</v>
      </c>
      <c r="G32681" s="40" t="s">
        <v>11404</v>
      </c>
      <c r="H32681" s="40" t="s">
        <v>11404</v>
      </c>
    </row>
    <row r="32682">
      <c r="A32682" s="39"/>
      <c r="E32682" s="40" t="s">
        <v>11404</v>
      </c>
      <c r="F32682" s="40" t="s">
        <v>11404</v>
      </c>
      <c r="G32682" s="40" t="s">
        <v>11404</v>
      </c>
      <c r="H32682" s="40" t="s">
        <v>11404</v>
      </c>
    </row>
    <row r="32683">
      <c r="A32683" s="39"/>
      <c r="E32683" s="40" t="s">
        <v>11404</v>
      </c>
      <c r="F32683" s="40" t="s">
        <v>11404</v>
      </c>
      <c r="G32683" s="40" t="s">
        <v>11404</v>
      </c>
      <c r="H32683" s="40" t="s">
        <v>11404</v>
      </c>
    </row>
    <row r="32684">
      <c r="A32684" s="39"/>
      <c r="E32684" s="40" t="s">
        <v>11404</v>
      </c>
      <c r="F32684" s="40" t="s">
        <v>11404</v>
      </c>
      <c r="G32684" s="40" t="s">
        <v>11404</v>
      </c>
      <c r="H32684" s="40" t="s">
        <v>11404</v>
      </c>
    </row>
    <row r="32685">
      <c r="A32685" s="39"/>
      <c r="E32685" s="40" t="s">
        <v>11404</v>
      </c>
      <c r="F32685" s="40" t="s">
        <v>11404</v>
      </c>
      <c r="G32685" s="40" t="s">
        <v>11404</v>
      </c>
      <c r="H32685" s="40" t="s">
        <v>11404</v>
      </c>
    </row>
    <row r="32686">
      <c r="A32686" s="39"/>
      <c r="E32686" s="40" t="s">
        <v>11404</v>
      </c>
      <c r="F32686" s="40" t="s">
        <v>11404</v>
      </c>
      <c r="G32686" s="40" t="s">
        <v>11404</v>
      </c>
      <c r="H32686" s="40" t="s">
        <v>11404</v>
      </c>
    </row>
    <row r="32687">
      <c r="A32687" s="39"/>
      <c r="E32687" s="40" t="s">
        <v>11404</v>
      </c>
      <c r="F32687" s="40" t="s">
        <v>11404</v>
      </c>
      <c r="G32687" s="40" t="s">
        <v>11404</v>
      </c>
      <c r="H32687" s="40" t="s">
        <v>11404</v>
      </c>
    </row>
    <row r="32688">
      <c r="A32688" s="39"/>
      <c r="E32688" s="40" t="s">
        <v>11404</v>
      </c>
      <c r="F32688" s="40" t="s">
        <v>11404</v>
      </c>
      <c r="G32688" s="40" t="s">
        <v>11404</v>
      </c>
      <c r="H32688" s="40" t="s">
        <v>11404</v>
      </c>
    </row>
    <row r="32689">
      <c r="A32689" s="39"/>
      <c r="E32689" s="40" t="s">
        <v>11404</v>
      </c>
      <c r="F32689" s="40" t="s">
        <v>11404</v>
      </c>
      <c r="G32689" s="40" t="s">
        <v>11404</v>
      </c>
      <c r="H32689" s="40" t="s">
        <v>11404</v>
      </c>
    </row>
    <row r="32690">
      <c r="A32690" s="39"/>
      <c r="E32690" s="40" t="s">
        <v>11404</v>
      </c>
      <c r="F32690" s="40" t="s">
        <v>11404</v>
      </c>
      <c r="G32690" s="40" t="s">
        <v>11404</v>
      </c>
      <c r="H32690" s="40" t="s">
        <v>11404</v>
      </c>
    </row>
    <row r="32691">
      <c r="A32691" s="39"/>
      <c r="E32691" s="40" t="s">
        <v>11404</v>
      </c>
      <c r="F32691" s="40" t="s">
        <v>11404</v>
      </c>
      <c r="G32691" s="40" t="s">
        <v>11404</v>
      </c>
      <c r="H32691" s="40" t="s">
        <v>11404</v>
      </c>
    </row>
    <row r="32692">
      <c r="A32692" s="39"/>
      <c r="E32692" s="40" t="s">
        <v>11404</v>
      </c>
      <c r="F32692" s="40" t="s">
        <v>11404</v>
      </c>
      <c r="G32692" s="40" t="s">
        <v>11404</v>
      </c>
      <c r="H32692" s="40" t="s">
        <v>11404</v>
      </c>
    </row>
    <row r="32693">
      <c r="A32693" s="39"/>
      <c r="E32693" s="40" t="s">
        <v>11404</v>
      </c>
      <c r="F32693" s="40" t="s">
        <v>11404</v>
      </c>
      <c r="G32693" s="40" t="s">
        <v>11404</v>
      </c>
      <c r="H32693" s="40" t="s">
        <v>11404</v>
      </c>
    </row>
    <row r="32694">
      <c r="A32694" s="39"/>
      <c r="E32694" s="40" t="s">
        <v>11404</v>
      </c>
      <c r="F32694" s="40" t="s">
        <v>11404</v>
      </c>
      <c r="G32694" s="40" t="s">
        <v>11404</v>
      </c>
      <c r="H32694" s="40" t="s">
        <v>11404</v>
      </c>
    </row>
    <row r="32695">
      <c r="A32695" s="39"/>
      <c r="E32695" s="40" t="s">
        <v>11404</v>
      </c>
      <c r="F32695" s="40" t="s">
        <v>11404</v>
      </c>
      <c r="G32695" s="40" t="s">
        <v>11404</v>
      </c>
      <c r="H32695" s="40" t="s">
        <v>11404</v>
      </c>
    </row>
    <row r="32696">
      <c r="A32696" s="39"/>
      <c r="E32696" s="40" t="s">
        <v>11404</v>
      </c>
      <c r="F32696" s="40" t="s">
        <v>11404</v>
      </c>
      <c r="G32696" s="40" t="s">
        <v>11404</v>
      </c>
      <c r="H32696" s="40" t="s">
        <v>11404</v>
      </c>
    </row>
    <row r="32697">
      <c r="A32697" s="39"/>
      <c r="E32697" s="40" t="s">
        <v>11404</v>
      </c>
      <c r="F32697" s="40" t="s">
        <v>11404</v>
      </c>
      <c r="G32697" s="40" t="s">
        <v>11404</v>
      </c>
      <c r="H32697" s="40" t="s">
        <v>11404</v>
      </c>
    </row>
    <row r="32698">
      <c r="A32698" s="39"/>
      <c r="E32698" s="40" t="s">
        <v>11404</v>
      </c>
      <c r="F32698" s="40" t="s">
        <v>11404</v>
      </c>
      <c r="G32698" s="40" t="s">
        <v>11404</v>
      </c>
      <c r="H32698" s="40" t="s">
        <v>11404</v>
      </c>
    </row>
    <row r="32699">
      <c r="A32699" s="39"/>
      <c r="E32699" s="40" t="s">
        <v>11404</v>
      </c>
      <c r="F32699" s="40" t="s">
        <v>11404</v>
      </c>
      <c r="G32699" s="40" t="s">
        <v>11404</v>
      </c>
      <c r="H32699" s="40" t="s">
        <v>11404</v>
      </c>
    </row>
    <row r="32700">
      <c r="A32700" s="39"/>
      <c r="E32700" s="40" t="s">
        <v>11404</v>
      </c>
      <c r="F32700" s="40" t="s">
        <v>11404</v>
      </c>
      <c r="G32700" s="40" t="s">
        <v>11404</v>
      </c>
      <c r="H32700" s="40" t="s">
        <v>11404</v>
      </c>
    </row>
    <row r="32701">
      <c r="A32701" s="39"/>
      <c r="E32701" s="40" t="s">
        <v>11404</v>
      </c>
      <c r="F32701" s="40" t="s">
        <v>11404</v>
      </c>
      <c r="G32701" s="40" t="s">
        <v>11404</v>
      </c>
      <c r="H32701" s="40" t="s">
        <v>11404</v>
      </c>
    </row>
    <row r="32702">
      <c r="A32702" s="39"/>
      <c r="E32702" s="40" t="s">
        <v>11404</v>
      </c>
      <c r="F32702" s="40" t="s">
        <v>11404</v>
      </c>
      <c r="G32702" s="40" t="s">
        <v>11404</v>
      </c>
      <c r="H32702" s="40" t="s">
        <v>11404</v>
      </c>
    </row>
    <row r="32703">
      <c r="A32703" s="39"/>
      <c r="E32703" s="40" t="s">
        <v>11404</v>
      </c>
      <c r="F32703" s="40" t="s">
        <v>11404</v>
      </c>
      <c r="G32703" s="40" t="s">
        <v>11404</v>
      </c>
      <c r="H32703" s="40" t="s">
        <v>11404</v>
      </c>
    </row>
    <row r="32704">
      <c r="A32704" s="39"/>
      <c r="E32704" s="40" t="s">
        <v>11404</v>
      </c>
      <c r="F32704" s="40" t="s">
        <v>11404</v>
      </c>
      <c r="G32704" s="40" t="s">
        <v>11404</v>
      </c>
      <c r="H32704" s="40" t="s">
        <v>11404</v>
      </c>
    </row>
    <row r="32705">
      <c r="A32705" s="39"/>
      <c r="E32705" s="40" t="s">
        <v>11404</v>
      </c>
      <c r="F32705" s="40" t="s">
        <v>11404</v>
      </c>
      <c r="G32705" s="40" t="s">
        <v>11404</v>
      </c>
      <c r="H32705" s="40" t="s">
        <v>11404</v>
      </c>
    </row>
    <row r="32706">
      <c r="A32706" s="39"/>
      <c r="E32706" s="40" t="s">
        <v>11404</v>
      </c>
      <c r="F32706" s="40" t="s">
        <v>11404</v>
      </c>
      <c r="G32706" s="40" t="s">
        <v>11404</v>
      </c>
      <c r="H32706" s="40" t="s">
        <v>11404</v>
      </c>
    </row>
    <row r="32707">
      <c r="A32707" s="39"/>
      <c r="E32707" s="40" t="s">
        <v>11404</v>
      </c>
      <c r="F32707" s="40" t="s">
        <v>11404</v>
      </c>
      <c r="G32707" s="40" t="s">
        <v>11404</v>
      </c>
      <c r="H32707" s="40" t="s">
        <v>11404</v>
      </c>
    </row>
    <row r="32708">
      <c r="A32708" s="39"/>
      <c r="E32708" s="40" t="s">
        <v>11404</v>
      </c>
      <c r="F32708" s="40" t="s">
        <v>11404</v>
      </c>
      <c r="G32708" s="40" t="s">
        <v>11404</v>
      </c>
      <c r="H32708" s="40" t="s">
        <v>11404</v>
      </c>
    </row>
    <row r="32709">
      <c r="A32709" s="39"/>
      <c r="E32709" s="40" t="s">
        <v>11404</v>
      </c>
      <c r="F32709" s="40" t="s">
        <v>11404</v>
      </c>
      <c r="G32709" s="40" t="s">
        <v>11404</v>
      </c>
      <c r="H32709" s="40" t="s">
        <v>11404</v>
      </c>
    </row>
    <row r="32710">
      <c r="A32710" s="39"/>
      <c r="E32710" s="40" t="s">
        <v>11404</v>
      </c>
      <c r="F32710" s="40" t="s">
        <v>11404</v>
      </c>
      <c r="G32710" s="40" t="s">
        <v>11404</v>
      </c>
      <c r="H32710" s="40" t="s">
        <v>11404</v>
      </c>
    </row>
    <row r="32711">
      <c r="A32711" s="39"/>
      <c r="E32711" s="40" t="s">
        <v>11404</v>
      </c>
      <c r="F32711" s="40" t="s">
        <v>11404</v>
      </c>
      <c r="G32711" s="40" t="s">
        <v>11404</v>
      </c>
      <c r="H32711" s="40" t="s">
        <v>11404</v>
      </c>
    </row>
    <row r="32712">
      <c r="A32712" s="39"/>
      <c r="E32712" s="40" t="s">
        <v>11404</v>
      </c>
      <c r="F32712" s="40" t="s">
        <v>11404</v>
      </c>
      <c r="G32712" s="40" t="s">
        <v>11404</v>
      </c>
      <c r="H32712" s="40" t="s">
        <v>11404</v>
      </c>
    </row>
    <row r="32713">
      <c r="A32713" s="39"/>
      <c r="E32713" s="40" t="s">
        <v>11404</v>
      </c>
      <c r="F32713" s="40" t="s">
        <v>11404</v>
      </c>
      <c r="G32713" s="40" t="s">
        <v>11404</v>
      </c>
      <c r="H32713" s="40" t="s">
        <v>11404</v>
      </c>
    </row>
    <row r="32714">
      <c r="A32714" s="39"/>
      <c r="E32714" s="40" t="s">
        <v>11404</v>
      </c>
      <c r="F32714" s="40" t="s">
        <v>11404</v>
      </c>
      <c r="G32714" s="40" t="s">
        <v>11404</v>
      </c>
      <c r="H32714" s="40" t="s">
        <v>11404</v>
      </c>
    </row>
    <row r="32715">
      <c r="A32715" s="39"/>
      <c r="E32715" s="40" t="s">
        <v>11404</v>
      </c>
      <c r="F32715" s="40" t="s">
        <v>11404</v>
      </c>
      <c r="G32715" s="40" t="s">
        <v>11404</v>
      </c>
      <c r="H32715" s="40" t="s">
        <v>11404</v>
      </c>
    </row>
    <row r="32716">
      <c r="A32716" s="39"/>
      <c r="E32716" s="40" t="s">
        <v>11404</v>
      </c>
      <c r="F32716" s="40" t="s">
        <v>11404</v>
      </c>
      <c r="G32716" s="40" t="s">
        <v>11404</v>
      </c>
      <c r="H32716" s="40" t="s">
        <v>11404</v>
      </c>
    </row>
    <row r="32717">
      <c r="A32717" s="39"/>
      <c r="E32717" s="40" t="s">
        <v>11404</v>
      </c>
      <c r="F32717" s="40" t="s">
        <v>11404</v>
      </c>
      <c r="G32717" s="40" t="s">
        <v>11404</v>
      </c>
      <c r="H32717" s="40" t="s">
        <v>11404</v>
      </c>
    </row>
    <row r="32718">
      <c r="A32718" s="39"/>
      <c r="E32718" s="40" t="s">
        <v>11404</v>
      </c>
      <c r="F32718" s="40" t="s">
        <v>11404</v>
      </c>
      <c r="G32718" s="40" t="s">
        <v>11404</v>
      </c>
      <c r="H32718" s="40" t="s">
        <v>11404</v>
      </c>
    </row>
    <row r="32719">
      <c r="A32719" s="39"/>
      <c r="E32719" s="40" t="s">
        <v>11404</v>
      </c>
      <c r="F32719" s="40" t="s">
        <v>11404</v>
      </c>
      <c r="G32719" s="40" t="s">
        <v>11404</v>
      </c>
      <c r="H32719" s="40" t="s">
        <v>11404</v>
      </c>
    </row>
    <row r="32720">
      <c r="A32720" s="39"/>
      <c r="E32720" s="40" t="s">
        <v>11404</v>
      </c>
      <c r="F32720" s="40" t="s">
        <v>11404</v>
      </c>
      <c r="G32720" s="40" t="s">
        <v>11404</v>
      </c>
      <c r="H32720" s="40" t="s">
        <v>11404</v>
      </c>
    </row>
    <row r="32721">
      <c r="A32721" s="39"/>
      <c r="E32721" s="40" t="s">
        <v>11404</v>
      </c>
      <c r="F32721" s="40" t="s">
        <v>11404</v>
      </c>
      <c r="G32721" s="40" t="s">
        <v>11404</v>
      </c>
      <c r="H32721" s="40" t="s">
        <v>11404</v>
      </c>
    </row>
    <row r="32722">
      <c r="A32722" s="39"/>
      <c r="E32722" s="40" t="s">
        <v>11404</v>
      </c>
      <c r="F32722" s="40" t="s">
        <v>11404</v>
      </c>
      <c r="G32722" s="40" t="s">
        <v>11404</v>
      </c>
      <c r="H32722" s="40" t="s">
        <v>11404</v>
      </c>
    </row>
    <row r="32723">
      <c r="A32723" s="39"/>
      <c r="E32723" s="40" t="s">
        <v>11404</v>
      </c>
      <c r="F32723" s="40" t="s">
        <v>11404</v>
      </c>
      <c r="G32723" s="40" t="s">
        <v>11404</v>
      </c>
      <c r="H32723" s="40" t="s">
        <v>11404</v>
      </c>
    </row>
    <row r="32724">
      <c r="A32724" s="39"/>
      <c r="E32724" s="40" t="s">
        <v>11404</v>
      </c>
      <c r="F32724" s="40" t="s">
        <v>11404</v>
      </c>
      <c r="G32724" s="40" t="s">
        <v>11404</v>
      </c>
      <c r="H32724" s="40" t="s">
        <v>11404</v>
      </c>
    </row>
    <row r="32725">
      <c r="A32725" s="39"/>
      <c r="E32725" s="40" t="s">
        <v>11404</v>
      </c>
      <c r="F32725" s="40" t="s">
        <v>11404</v>
      </c>
      <c r="G32725" s="40" t="s">
        <v>11404</v>
      </c>
      <c r="H32725" s="40" t="s">
        <v>11404</v>
      </c>
    </row>
    <row r="32726">
      <c r="A32726" s="39"/>
      <c r="E32726" s="40" t="s">
        <v>11404</v>
      </c>
      <c r="F32726" s="40" t="s">
        <v>11404</v>
      </c>
      <c r="G32726" s="40" t="s">
        <v>11404</v>
      </c>
      <c r="H32726" s="40" t="s">
        <v>11404</v>
      </c>
    </row>
    <row r="32727">
      <c r="A32727" s="39"/>
      <c r="E32727" s="40" t="s">
        <v>11404</v>
      </c>
      <c r="F32727" s="40" t="s">
        <v>11404</v>
      </c>
      <c r="G32727" s="40" t="s">
        <v>11404</v>
      </c>
      <c r="H32727" s="40" t="s">
        <v>11404</v>
      </c>
    </row>
    <row r="32728">
      <c r="A32728" s="39"/>
      <c r="E32728" s="40" t="s">
        <v>11404</v>
      </c>
      <c r="F32728" s="40" t="s">
        <v>11404</v>
      </c>
      <c r="G32728" s="40" t="s">
        <v>11404</v>
      </c>
      <c r="H32728" s="40" t="s">
        <v>11404</v>
      </c>
    </row>
    <row r="32729">
      <c r="A32729" s="39"/>
      <c r="E32729" s="40" t="s">
        <v>11404</v>
      </c>
      <c r="F32729" s="40" t="s">
        <v>11404</v>
      </c>
      <c r="G32729" s="40" t="s">
        <v>11404</v>
      </c>
      <c r="H32729" s="40" t="s">
        <v>11404</v>
      </c>
    </row>
    <row r="32730">
      <c r="A32730" s="39"/>
      <c r="E32730" s="40" t="s">
        <v>11404</v>
      </c>
      <c r="F32730" s="40" t="s">
        <v>11404</v>
      </c>
      <c r="G32730" s="40" t="s">
        <v>11404</v>
      </c>
      <c r="H32730" s="40" t="s">
        <v>11404</v>
      </c>
    </row>
    <row r="32731">
      <c r="A32731" s="39"/>
      <c r="E32731" s="40" t="s">
        <v>11404</v>
      </c>
      <c r="F32731" s="40" t="s">
        <v>11404</v>
      </c>
      <c r="G32731" s="40" t="s">
        <v>11404</v>
      </c>
      <c r="H32731" s="40" t="s">
        <v>11404</v>
      </c>
    </row>
    <row r="32732">
      <c r="A32732" s="39"/>
      <c r="E32732" s="40" t="s">
        <v>11404</v>
      </c>
      <c r="F32732" s="40" t="s">
        <v>11404</v>
      </c>
      <c r="G32732" s="40" t="s">
        <v>11404</v>
      </c>
      <c r="H32732" s="40" t="s">
        <v>11404</v>
      </c>
    </row>
    <row r="32733">
      <c r="A32733" s="39"/>
      <c r="E32733" s="40" t="s">
        <v>11404</v>
      </c>
      <c r="F32733" s="40" t="s">
        <v>11404</v>
      </c>
      <c r="G32733" s="40" t="s">
        <v>11404</v>
      </c>
      <c r="H32733" s="40" t="s">
        <v>11404</v>
      </c>
    </row>
    <row r="32734">
      <c r="A32734" s="39"/>
      <c r="E32734" s="40" t="s">
        <v>11404</v>
      </c>
      <c r="F32734" s="40" t="s">
        <v>11404</v>
      </c>
      <c r="G32734" s="40" t="s">
        <v>11404</v>
      </c>
      <c r="H32734" s="40" t="s">
        <v>11404</v>
      </c>
    </row>
    <row r="32735">
      <c r="A32735" s="39"/>
      <c r="E32735" s="40" t="s">
        <v>11404</v>
      </c>
      <c r="F32735" s="40" t="s">
        <v>11404</v>
      </c>
      <c r="G32735" s="40" t="s">
        <v>11404</v>
      </c>
      <c r="H32735" s="40" t="s">
        <v>11404</v>
      </c>
    </row>
    <row r="32736">
      <c r="A32736" s="39"/>
      <c r="E32736" s="40" t="s">
        <v>11404</v>
      </c>
      <c r="F32736" s="40" t="s">
        <v>11404</v>
      </c>
      <c r="G32736" s="40" t="s">
        <v>11404</v>
      </c>
      <c r="H32736" s="40" t="s">
        <v>11404</v>
      </c>
    </row>
    <row r="32737">
      <c r="A32737" s="39"/>
      <c r="E32737" s="40" t="s">
        <v>11404</v>
      </c>
      <c r="F32737" s="40" t="s">
        <v>11404</v>
      </c>
      <c r="G32737" s="40" t="s">
        <v>11404</v>
      </c>
      <c r="H32737" s="40" t="s">
        <v>11404</v>
      </c>
    </row>
    <row r="32738">
      <c r="A32738" s="39"/>
      <c r="E32738" s="40" t="s">
        <v>11404</v>
      </c>
      <c r="F32738" s="40" t="s">
        <v>11404</v>
      </c>
      <c r="G32738" s="40" t="s">
        <v>11404</v>
      </c>
      <c r="H32738" s="40" t="s">
        <v>11404</v>
      </c>
    </row>
    <row r="32739">
      <c r="A32739" s="39"/>
      <c r="E32739" s="40" t="s">
        <v>11404</v>
      </c>
      <c r="F32739" s="40" t="s">
        <v>11404</v>
      </c>
      <c r="G32739" s="40" t="s">
        <v>11404</v>
      </c>
      <c r="H32739" s="40" t="s">
        <v>11404</v>
      </c>
    </row>
    <row r="32740">
      <c r="A32740" s="39"/>
      <c r="E32740" s="40" t="s">
        <v>11404</v>
      </c>
      <c r="F32740" s="40" t="s">
        <v>11404</v>
      </c>
      <c r="G32740" s="40" t="s">
        <v>11404</v>
      </c>
      <c r="H32740" s="40" t="s">
        <v>11404</v>
      </c>
    </row>
    <row r="32741">
      <c r="A32741" s="39"/>
      <c r="E32741" s="40" t="s">
        <v>11404</v>
      </c>
      <c r="F32741" s="40" t="s">
        <v>11404</v>
      </c>
      <c r="G32741" s="40" t="s">
        <v>11404</v>
      </c>
      <c r="H32741" s="40" t="s">
        <v>11404</v>
      </c>
    </row>
    <row r="32742">
      <c r="A32742" s="39"/>
      <c r="E32742" s="40" t="s">
        <v>11404</v>
      </c>
      <c r="F32742" s="40" t="s">
        <v>11404</v>
      </c>
      <c r="G32742" s="40" t="s">
        <v>11404</v>
      </c>
      <c r="H32742" s="40" t="s">
        <v>11404</v>
      </c>
    </row>
    <row r="32743">
      <c r="A32743" s="39"/>
      <c r="E32743" s="40" t="s">
        <v>11404</v>
      </c>
      <c r="F32743" s="40" t="s">
        <v>11404</v>
      </c>
      <c r="G32743" s="40" t="s">
        <v>11404</v>
      </c>
      <c r="H32743" s="40" t="s">
        <v>11404</v>
      </c>
    </row>
    <row r="32744">
      <c r="A32744" s="39"/>
      <c r="E32744" s="40" t="s">
        <v>11404</v>
      </c>
      <c r="F32744" s="40" t="s">
        <v>11404</v>
      </c>
      <c r="G32744" s="40" t="s">
        <v>11404</v>
      </c>
      <c r="H32744" s="40" t="s">
        <v>11404</v>
      </c>
    </row>
    <row r="32745">
      <c r="A32745" s="39"/>
      <c r="E32745" s="40" t="s">
        <v>11404</v>
      </c>
      <c r="F32745" s="40" t="s">
        <v>11404</v>
      </c>
      <c r="G32745" s="40" t="s">
        <v>11404</v>
      </c>
      <c r="H32745" s="40" t="s">
        <v>11404</v>
      </c>
    </row>
    <row r="32746">
      <c r="A32746" s="39"/>
      <c r="E32746" s="40" t="s">
        <v>11404</v>
      </c>
      <c r="F32746" s="40" t="s">
        <v>11404</v>
      </c>
      <c r="G32746" s="40" t="s">
        <v>11404</v>
      </c>
      <c r="H32746" s="40" t="s">
        <v>11404</v>
      </c>
    </row>
    <row r="32747">
      <c r="A32747" s="39"/>
      <c r="E32747" s="40" t="s">
        <v>11404</v>
      </c>
      <c r="F32747" s="40" t="s">
        <v>11404</v>
      </c>
      <c r="G32747" s="40" t="s">
        <v>11404</v>
      </c>
      <c r="H32747" s="40" t="s">
        <v>11404</v>
      </c>
    </row>
    <row r="32748">
      <c r="A32748" s="39"/>
      <c r="E32748" s="40" t="s">
        <v>11404</v>
      </c>
      <c r="F32748" s="40" t="s">
        <v>11404</v>
      </c>
      <c r="G32748" s="40" t="s">
        <v>11404</v>
      </c>
      <c r="H32748" s="40" t="s">
        <v>11404</v>
      </c>
    </row>
    <row r="32749">
      <c r="A32749" s="39"/>
      <c r="E32749" s="40" t="s">
        <v>11404</v>
      </c>
      <c r="F32749" s="40" t="s">
        <v>11404</v>
      </c>
      <c r="G32749" s="40" t="s">
        <v>11404</v>
      </c>
      <c r="H32749" s="40" t="s">
        <v>11404</v>
      </c>
    </row>
    <row r="32750">
      <c r="A32750" s="39"/>
      <c r="E32750" s="40" t="s">
        <v>11404</v>
      </c>
      <c r="F32750" s="40" t="s">
        <v>11404</v>
      </c>
      <c r="G32750" s="40" t="s">
        <v>11404</v>
      </c>
      <c r="H32750" s="40" t="s">
        <v>11404</v>
      </c>
    </row>
    <row r="32751">
      <c r="A32751" s="39"/>
      <c r="E32751" s="40" t="s">
        <v>11404</v>
      </c>
      <c r="F32751" s="40" t="s">
        <v>11404</v>
      </c>
      <c r="G32751" s="40" t="s">
        <v>11404</v>
      </c>
      <c r="H32751" s="40" t="s">
        <v>11404</v>
      </c>
    </row>
    <row r="32752">
      <c r="A32752" s="39"/>
      <c r="E32752" s="40" t="s">
        <v>11404</v>
      </c>
      <c r="F32752" s="40" t="s">
        <v>11404</v>
      </c>
      <c r="G32752" s="40" t="s">
        <v>11404</v>
      </c>
      <c r="H32752" s="40" t="s">
        <v>11404</v>
      </c>
    </row>
    <row r="32753">
      <c r="A32753" s="39"/>
      <c r="E32753" s="40" t="s">
        <v>11404</v>
      </c>
      <c r="F32753" s="40" t="s">
        <v>11404</v>
      </c>
      <c r="G32753" s="40" t="s">
        <v>11404</v>
      </c>
      <c r="H32753" s="40" t="s">
        <v>11404</v>
      </c>
    </row>
    <row r="32754">
      <c r="A32754" s="39"/>
      <c r="E32754" s="40" t="s">
        <v>11404</v>
      </c>
      <c r="F32754" s="40" t="s">
        <v>11404</v>
      </c>
      <c r="G32754" s="40" t="s">
        <v>11404</v>
      </c>
      <c r="H32754" s="40" t="s">
        <v>11404</v>
      </c>
    </row>
    <row r="32755">
      <c r="A32755" s="39"/>
      <c r="E32755" s="40" t="s">
        <v>11404</v>
      </c>
      <c r="F32755" s="40" t="s">
        <v>11404</v>
      </c>
      <c r="G32755" s="40" t="s">
        <v>11404</v>
      </c>
      <c r="H32755" s="40" t="s">
        <v>11404</v>
      </c>
    </row>
    <row r="32756">
      <c r="A32756" s="39"/>
      <c r="E32756" s="40" t="s">
        <v>11404</v>
      </c>
      <c r="F32756" s="40" t="s">
        <v>11404</v>
      </c>
      <c r="G32756" s="40" t="s">
        <v>11404</v>
      </c>
      <c r="H32756" s="40" t="s">
        <v>11404</v>
      </c>
    </row>
    <row r="32757">
      <c r="A32757" s="39"/>
      <c r="E32757" s="40" t="s">
        <v>11404</v>
      </c>
      <c r="F32757" s="40" t="s">
        <v>11404</v>
      </c>
      <c r="G32757" s="40" t="s">
        <v>11404</v>
      </c>
      <c r="H32757" s="40" t="s">
        <v>11404</v>
      </c>
    </row>
    <row r="32758">
      <c r="A32758" s="39"/>
      <c r="E32758" s="40" t="s">
        <v>11404</v>
      </c>
      <c r="F32758" s="40" t="s">
        <v>11404</v>
      </c>
      <c r="G32758" s="40" t="s">
        <v>11404</v>
      </c>
      <c r="H32758" s="40" t="s">
        <v>11404</v>
      </c>
    </row>
    <row r="32759">
      <c r="A32759" s="39"/>
      <c r="E32759" s="40" t="s">
        <v>11404</v>
      </c>
      <c r="F32759" s="40" t="s">
        <v>11404</v>
      </c>
      <c r="G32759" s="40" t="s">
        <v>11404</v>
      </c>
      <c r="H32759" s="40" t="s">
        <v>11404</v>
      </c>
    </row>
    <row r="32760">
      <c r="A32760" s="39"/>
      <c r="E32760" s="40" t="s">
        <v>11404</v>
      </c>
      <c r="F32760" s="40" t="s">
        <v>11404</v>
      </c>
      <c r="G32760" s="40" t="s">
        <v>11404</v>
      </c>
      <c r="H32760" s="40" t="s">
        <v>11404</v>
      </c>
    </row>
    <row r="32761">
      <c r="A32761" s="39"/>
      <c r="E32761" s="40" t="s">
        <v>11404</v>
      </c>
      <c r="F32761" s="40" t="s">
        <v>11404</v>
      </c>
      <c r="G32761" s="40" t="s">
        <v>11404</v>
      </c>
      <c r="H32761" s="40" t="s">
        <v>11404</v>
      </c>
    </row>
    <row r="32762">
      <c r="A32762" s="39"/>
      <c r="E32762" s="40" t="s">
        <v>11404</v>
      </c>
      <c r="F32762" s="40" t="s">
        <v>11404</v>
      </c>
      <c r="G32762" s="40" t="s">
        <v>11404</v>
      </c>
      <c r="H32762" s="40" t="s">
        <v>11404</v>
      </c>
    </row>
    <row r="32763">
      <c r="A32763" s="39"/>
      <c r="E32763" s="40" t="s">
        <v>11404</v>
      </c>
      <c r="F32763" s="40" t="s">
        <v>11404</v>
      </c>
      <c r="G32763" s="40" t="s">
        <v>11404</v>
      </c>
      <c r="H32763" s="40" t="s">
        <v>11404</v>
      </c>
    </row>
    <row r="32764">
      <c r="A32764" s="39"/>
      <c r="E32764" s="40" t="s">
        <v>11404</v>
      </c>
      <c r="F32764" s="40" t="s">
        <v>11404</v>
      </c>
      <c r="G32764" s="40" t="s">
        <v>11404</v>
      </c>
      <c r="H32764" s="40" t="s">
        <v>11404</v>
      </c>
    </row>
    <row r="32765">
      <c r="A32765" s="39"/>
      <c r="E32765" s="40" t="s">
        <v>11404</v>
      </c>
      <c r="F32765" s="40" t="s">
        <v>11404</v>
      </c>
      <c r="G32765" s="40" t="s">
        <v>11404</v>
      </c>
      <c r="H32765" s="40" t="s">
        <v>11404</v>
      </c>
    </row>
    <row r="32766">
      <c r="A32766" s="39"/>
      <c r="E32766" s="40" t="s">
        <v>11404</v>
      </c>
      <c r="F32766" s="40" t="s">
        <v>11404</v>
      </c>
      <c r="G32766" s="40" t="s">
        <v>11404</v>
      </c>
      <c r="H32766" s="40" t="s">
        <v>11404</v>
      </c>
    </row>
    <row r="32767">
      <c r="A32767" s="39"/>
      <c r="E32767" s="40" t="s">
        <v>11404</v>
      </c>
      <c r="F32767" s="40" t="s">
        <v>11404</v>
      </c>
      <c r="G32767" s="40" t="s">
        <v>11404</v>
      </c>
      <c r="H32767" s="40" t="s">
        <v>11404</v>
      </c>
    </row>
    <row r="32768">
      <c r="A32768" s="39"/>
      <c r="E32768" s="40" t="s">
        <v>11404</v>
      </c>
      <c r="F32768" s="40" t="s">
        <v>11404</v>
      </c>
      <c r="G32768" s="40" t="s">
        <v>11404</v>
      </c>
      <c r="H32768" s="40" t="s">
        <v>11404</v>
      </c>
    </row>
    <row r="32769">
      <c r="A32769" s="39"/>
      <c r="E32769" s="40" t="s">
        <v>11404</v>
      </c>
      <c r="F32769" s="40" t="s">
        <v>11404</v>
      </c>
      <c r="G32769" s="40" t="s">
        <v>11404</v>
      </c>
      <c r="H32769" s="40" t="s">
        <v>11404</v>
      </c>
    </row>
    <row r="32770">
      <c r="A32770" s="39"/>
      <c r="E32770" s="40" t="s">
        <v>11404</v>
      </c>
      <c r="F32770" s="40" t="s">
        <v>11404</v>
      </c>
      <c r="G32770" s="40" t="s">
        <v>11404</v>
      </c>
      <c r="H32770" s="40" t="s">
        <v>11404</v>
      </c>
    </row>
    <row r="32771">
      <c r="A32771" s="39"/>
      <c r="E32771" s="40" t="s">
        <v>11404</v>
      </c>
      <c r="F32771" s="40" t="s">
        <v>11404</v>
      </c>
      <c r="G32771" s="40" t="s">
        <v>11404</v>
      </c>
      <c r="H32771" s="40" t="s">
        <v>11404</v>
      </c>
    </row>
    <row r="32772">
      <c r="A32772" s="39"/>
      <c r="E32772" s="40" t="s">
        <v>11404</v>
      </c>
      <c r="F32772" s="40" t="s">
        <v>11404</v>
      </c>
      <c r="G32772" s="40" t="s">
        <v>11404</v>
      </c>
      <c r="H32772" s="40" t="s">
        <v>11404</v>
      </c>
    </row>
    <row r="32773">
      <c r="A32773" s="39"/>
      <c r="E32773" s="40" t="s">
        <v>11404</v>
      </c>
      <c r="F32773" s="40" t="s">
        <v>11404</v>
      </c>
      <c r="G32773" s="40" t="s">
        <v>11404</v>
      </c>
      <c r="H32773" s="40" t="s">
        <v>11404</v>
      </c>
    </row>
    <row r="32774">
      <c r="A32774" s="39"/>
      <c r="E32774" s="40" t="s">
        <v>11404</v>
      </c>
      <c r="F32774" s="40" t="s">
        <v>11404</v>
      </c>
      <c r="G32774" s="40" t="s">
        <v>11404</v>
      </c>
      <c r="H32774" s="40" t="s">
        <v>11404</v>
      </c>
    </row>
    <row r="32775">
      <c r="A32775" s="39"/>
      <c r="E32775" s="40" t="s">
        <v>11404</v>
      </c>
      <c r="F32775" s="40" t="s">
        <v>11404</v>
      </c>
      <c r="G32775" s="40" t="s">
        <v>11404</v>
      </c>
      <c r="H32775" s="40" t="s">
        <v>11404</v>
      </c>
    </row>
    <row r="32776">
      <c r="A32776" s="39"/>
      <c r="E32776" s="40" t="s">
        <v>11404</v>
      </c>
      <c r="F32776" s="40" t="s">
        <v>11404</v>
      </c>
      <c r="G32776" s="40" t="s">
        <v>11404</v>
      </c>
      <c r="H32776" s="40" t="s">
        <v>11404</v>
      </c>
    </row>
    <row r="32777">
      <c r="A32777" s="39"/>
      <c r="E32777" s="40" t="s">
        <v>11404</v>
      </c>
      <c r="F32777" s="40" t="s">
        <v>11404</v>
      </c>
      <c r="G32777" s="40" t="s">
        <v>11404</v>
      </c>
      <c r="H32777" s="40" t="s">
        <v>11404</v>
      </c>
    </row>
    <row r="32778">
      <c r="A32778" s="39"/>
      <c r="E32778" s="40" t="s">
        <v>11404</v>
      </c>
      <c r="F32778" s="40" t="s">
        <v>11404</v>
      </c>
      <c r="G32778" s="40" t="s">
        <v>11404</v>
      </c>
      <c r="H32778" s="40" t="s">
        <v>11404</v>
      </c>
    </row>
    <row r="32779">
      <c r="A32779" s="39"/>
      <c r="E32779" s="40" t="s">
        <v>11404</v>
      </c>
      <c r="F32779" s="40" t="s">
        <v>11404</v>
      </c>
      <c r="G32779" s="40" t="s">
        <v>11404</v>
      </c>
      <c r="H32779" s="40" t="s">
        <v>11404</v>
      </c>
    </row>
    <row r="32780">
      <c r="A32780" s="39"/>
      <c r="E32780" s="40" t="s">
        <v>11404</v>
      </c>
      <c r="F32780" s="40" t="s">
        <v>11404</v>
      </c>
      <c r="G32780" s="40" t="s">
        <v>11404</v>
      </c>
      <c r="H32780" s="40" t="s">
        <v>11404</v>
      </c>
    </row>
    <row r="32781">
      <c r="A32781" s="39"/>
      <c r="E32781" s="40" t="s">
        <v>11404</v>
      </c>
      <c r="F32781" s="40" t="s">
        <v>11404</v>
      </c>
      <c r="G32781" s="40" t="s">
        <v>11404</v>
      </c>
      <c r="H32781" s="40" t="s">
        <v>11404</v>
      </c>
    </row>
    <row r="32782">
      <c r="A32782" s="39"/>
      <c r="E32782" s="40" t="s">
        <v>11404</v>
      </c>
      <c r="F32782" s="40" t="s">
        <v>11404</v>
      </c>
      <c r="G32782" s="40" t="s">
        <v>11404</v>
      </c>
      <c r="H32782" s="40" t="s">
        <v>11404</v>
      </c>
    </row>
    <row r="32783">
      <c r="A32783" s="39"/>
      <c r="E32783" s="40" t="s">
        <v>11404</v>
      </c>
      <c r="F32783" s="40" t="s">
        <v>11404</v>
      </c>
      <c r="G32783" s="40" t="s">
        <v>11404</v>
      </c>
      <c r="H32783" s="40" t="s">
        <v>11404</v>
      </c>
    </row>
    <row r="32784">
      <c r="A32784" s="39"/>
      <c r="E32784" s="40" t="s">
        <v>11404</v>
      </c>
      <c r="F32784" s="40" t="s">
        <v>11404</v>
      </c>
      <c r="G32784" s="40" t="s">
        <v>11404</v>
      </c>
      <c r="H32784" s="40" t="s">
        <v>11404</v>
      </c>
    </row>
    <row r="32785">
      <c r="A32785" s="39"/>
      <c r="E32785" s="40" t="s">
        <v>11404</v>
      </c>
      <c r="F32785" s="40" t="s">
        <v>11404</v>
      </c>
      <c r="G32785" s="40" t="s">
        <v>11404</v>
      </c>
      <c r="H32785" s="40" t="s">
        <v>11404</v>
      </c>
    </row>
    <row r="32786">
      <c r="A32786" s="39"/>
      <c r="E32786" s="40" t="s">
        <v>11404</v>
      </c>
      <c r="F32786" s="40" t="s">
        <v>11404</v>
      </c>
      <c r="G32786" s="40" t="s">
        <v>11404</v>
      </c>
      <c r="H32786" s="40" t="s">
        <v>11404</v>
      </c>
    </row>
    <row r="32787">
      <c r="A32787" s="39"/>
      <c r="E32787" s="40" t="s">
        <v>11404</v>
      </c>
      <c r="F32787" s="40" t="s">
        <v>11404</v>
      </c>
      <c r="G32787" s="40" t="s">
        <v>11404</v>
      </c>
      <c r="H32787" s="40" t="s">
        <v>11404</v>
      </c>
    </row>
    <row r="32788">
      <c r="A32788" s="39"/>
      <c r="E32788" s="40" t="s">
        <v>11404</v>
      </c>
      <c r="F32788" s="40" t="s">
        <v>11404</v>
      </c>
      <c r="G32788" s="40" t="s">
        <v>11404</v>
      </c>
      <c r="H32788" s="40" t="s">
        <v>11404</v>
      </c>
    </row>
    <row r="32789">
      <c r="A32789" s="39"/>
      <c r="E32789" s="40" t="s">
        <v>11404</v>
      </c>
      <c r="F32789" s="40" t="s">
        <v>11404</v>
      </c>
      <c r="G32789" s="40" t="s">
        <v>11404</v>
      </c>
      <c r="H32789" s="40" t="s">
        <v>11404</v>
      </c>
    </row>
    <row r="32790">
      <c r="A32790" s="39"/>
      <c r="E32790" s="40" t="s">
        <v>11404</v>
      </c>
      <c r="F32790" s="40" t="s">
        <v>11404</v>
      </c>
      <c r="G32790" s="40" t="s">
        <v>11404</v>
      </c>
      <c r="H32790" s="40" t="s">
        <v>11404</v>
      </c>
    </row>
    <row r="32791">
      <c r="A32791" s="39"/>
      <c r="E32791" s="40" t="s">
        <v>11404</v>
      </c>
      <c r="F32791" s="40" t="s">
        <v>11404</v>
      </c>
      <c r="G32791" s="40" t="s">
        <v>11404</v>
      </c>
      <c r="H32791" s="40" t="s">
        <v>11404</v>
      </c>
    </row>
    <row r="32792">
      <c r="A32792" s="39"/>
      <c r="E32792" s="40" t="s">
        <v>11404</v>
      </c>
      <c r="F32792" s="40" t="s">
        <v>11404</v>
      </c>
      <c r="G32792" s="40" t="s">
        <v>11404</v>
      </c>
      <c r="H32792" s="40" t="s">
        <v>11404</v>
      </c>
    </row>
    <row r="32793">
      <c r="A32793" s="39"/>
      <c r="E32793" s="40" t="s">
        <v>11404</v>
      </c>
      <c r="F32793" s="40" t="s">
        <v>11404</v>
      </c>
      <c r="G32793" s="40" t="s">
        <v>11404</v>
      </c>
      <c r="H32793" s="40" t="s">
        <v>11404</v>
      </c>
    </row>
    <row r="32794">
      <c r="A32794" s="39"/>
      <c r="E32794" s="40" t="s">
        <v>11404</v>
      </c>
      <c r="F32794" s="40" t="s">
        <v>11404</v>
      </c>
      <c r="G32794" s="40" t="s">
        <v>11404</v>
      </c>
      <c r="H32794" s="40" t="s">
        <v>11404</v>
      </c>
    </row>
    <row r="32795">
      <c r="A32795" s="39"/>
      <c r="E32795" s="40" t="s">
        <v>11404</v>
      </c>
      <c r="F32795" s="40" t="s">
        <v>11404</v>
      </c>
      <c r="G32795" s="40" t="s">
        <v>11404</v>
      </c>
      <c r="H32795" s="40" t="s">
        <v>11404</v>
      </c>
    </row>
    <row r="32796">
      <c r="A32796" s="39"/>
      <c r="E32796" s="40" t="s">
        <v>11404</v>
      </c>
      <c r="F32796" s="40" t="s">
        <v>11404</v>
      </c>
      <c r="G32796" s="40" t="s">
        <v>11404</v>
      </c>
      <c r="H32796" s="40" t="s">
        <v>11404</v>
      </c>
    </row>
    <row r="32797">
      <c r="A32797" s="39"/>
      <c r="E32797" s="40" t="s">
        <v>11404</v>
      </c>
      <c r="F32797" s="40" t="s">
        <v>11404</v>
      </c>
      <c r="G32797" s="40" t="s">
        <v>11404</v>
      </c>
      <c r="H32797" s="40" t="s">
        <v>11404</v>
      </c>
    </row>
    <row r="32798">
      <c r="A32798" s="39"/>
      <c r="E32798" s="40" t="s">
        <v>11404</v>
      </c>
      <c r="F32798" s="40" t="s">
        <v>11404</v>
      </c>
      <c r="G32798" s="40" t="s">
        <v>11404</v>
      </c>
      <c r="H32798" s="40" t="s">
        <v>11404</v>
      </c>
    </row>
    <row r="32799">
      <c r="A32799" s="39"/>
      <c r="E32799" s="40" t="s">
        <v>11404</v>
      </c>
      <c r="F32799" s="40" t="s">
        <v>11404</v>
      </c>
      <c r="G32799" s="40" t="s">
        <v>11404</v>
      </c>
      <c r="H32799" s="40" t="s">
        <v>11404</v>
      </c>
    </row>
    <row r="32800">
      <c r="A32800" s="39"/>
      <c r="E32800" s="40" t="s">
        <v>11404</v>
      </c>
      <c r="F32800" s="40" t="s">
        <v>11404</v>
      </c>
      <c r="G32800" s="40" t="s">
        <v>11404</v>
      </c>
      <c r="H32800" s="40" t="s">
        <v>11404</v>
      </c>
    </row>
    <row r="32801">
      <c r="A32801" s="39"/>
      <c r="E32801" s="40" t="s">
        <v>11404</v>
      </c>
      <c r="F32801" s="40" t="s">
        <v>11404</v>
      </c>
      <c r="G32801" s="40" t="s">
        <v>11404</v>
      </c>
      <c r="H32801" s="40" t="s">
        <v>11404</v>
      </c>
    </row>
    <row r="32802">
      <c r="A32802" s="39"/>
      <c r="E32802" s="40" t="s">
        <v>11404</v>
      </c>
      <c r="F32802" s="40" t="s">
        <v>11404</v>
      </c>
      <c r="G32802" s="40" t="s">
        <v>11404</v>
      </c>
      <c r="H32802" s="40" t="s">
        <v>11404</v>
      </c>
    </row>
    <row r="32803">
      <c r="A32803" s="39"/>
      <c r="E32803" s="40" t="s">
        <v>11404</v>
      </c>
      <c r="F32803" s="40" t="s">
        <v>11404</v>
      </c>
      <c r="G32803" s="40" t="s">
        <v>11404</v>
      </c>
      <c r="H32803" s="40" t="s">
        <v>11404</v>
      </c>
    </row>
    <row r="32804">
      <c r="A32804" s="39"/>
      <c r="E32804" s="40" t="s">
        <v>11404</v>
      </c>
      <c r="F32804" s="40" t="s">
        <v>11404</v>
      </c>
      <c r="G32804" s="40" t="s">
        <v>11404</v>
      </c>
      <c r="H32804" s="40" t="s">
        <v>11404</v>
      </c>
    </row>
    <row r="32805">
      <c r="A32805" s="39"/>
      <c r="E32805" s="40" t="s">
        <v>11404</v>
      </c>
      <c r="F32805" s="40" t="s">
        <v>11404</v>
      </c>
      <c r="G32805" s="40" t="s">
        <v>11404</v>
      </c>
      <c r="H32805" s="40" t="s">
        <v>11404</v>
      </c>
    </row>
    <row r="32806">
      <c r="A32806" s="39"/>
      <c r="E32806" s="40" t="s">
        <v>11404</v>
      </c>
      <c r="F32806" s="40" t="s">
        <v>11404</v>
      </c>
      <c r="G32806" s="40" t="s">
        <v>11404</v>
      </c>
      <c r="H32806" s="40" t="s">
        <v>11404</v>
      </c>
    </row>
    <row r="32807">
      <c r="A32807" s="39"/>
      <c r="E32807" s="40" t="s">
        <v>11404</v>
      </c>
      <c r="F32807" s="40" t="s">
        <v>11404</v>
      </c>
      <c r="G32807" s="40" t="s">
        <v>11404</v>
      </c>
      <c r="H32807" s="40" t="s">
        <v>11404</v>
      </c>
    </row>
    <row r="32808">
      <c r="A32808" s="39"/>
      <c r="E32808" s="40" t="s">
        <v>11404</v>
      </c>
      <c r="F32808" s="40" t="s">
        <v>11404</v>
      </c>
      <c r="G32808" s="40" t="s">
        <v>11404</v>
      </c>
      <c r="H32808" s="40" t="s">
        <v>11404</v>
      </c>
    </row>
    <row r="32809">
      <c r="A32809" s="39"/>
      <c r="E32809" s="40" t="s">
        <v>11404</v>
      </c>
      <c r="F32809" s="40" t="s">
        <v>11404</v>
      </c>
      <c r="G32809" s="40" t="s">
        <v>11404</v>
      </c>
      <c r="H32809" s="40" t="s">
        <v>11404</v>
      </c>
    </row>
    <row r="32810">
      <c r="A32810" s="39"/>
      <c r="E32810" s="40" t="s">
        <v>11404</v>
      </c>
      <c r="F32810" s="40" t="s">
        <v>11404</v>
      </c>
      <c r="G32810" s="40" t="s">
        <v>11404</v>
      </c>
      <c r="H32810" s="40" t="s">
        <v>11404</v>
      </c>
    </row>
    <row r="32811">
      <c r="A32811" s="39"/>
      <c r="E32811" s="40" t="s">
        <v>11404</v>
      </c>
      <c r="F32811" s="40" t="s">
        <v>11404</v>
      </c>
      <c r="G32811" s="40" t="s">
        <v>11404</v>
      </c>
      <c r="H32811" s="40" t="s">
        <v>11404</v>
      </c>
    </row>
    <row r="32812">
      <c r="A32812" s="39"/>
      <c r="E32812" s="40" t="s">
        <v>11404</v>
      </c>
      <c r="F32812" s="40" t="s">
        <v>11404</v>
      </c>
      <c r="G32812" s="40" t="s">
        <v>11404</v>
      </c>
      <c r="H32812" s="40" t="s">
        <v>11404</v>
      </c>
    </row>
    <row r="32813">
      <c r="A32813" s="39"/>
      <c r="E32813" s="40" t="s">
        <v>11404</v>
      </c>
      <c r="F32813" s="40" t="s">
        <v>11404</v>
      </c>
      <c r="G32813" s="40" t="s">
        <v>11404</v>
      </c>
      <c r="H32813" s="40" t="s">
        <v>11404</v>
      </c>
    </row>
    <row r="32814">
      <c r="A32814" s="39"/>
      <c r="E32814" s="40" t="s">
        <v>11404</v>
      </c>
      <c r="F32814" s="40" t="s">
        <v>11404</v>
      </c>
      <c r="G32814" s="40" t="s">
        <v>11404</v>
      </c>
      <c r="H32814" s="40" t="s">
        <v>11404</v>
      </c>
    </row>
    <row r="32815">
      <c r="A32815" s="39"/>
      <c r="E32815" s="40" t="s">
        <v>11404</v>
      </c>
      <c r="F32815" s="40" t="s">
        <v>11404</v>
      </c>
      <c r="G32815" s="40" t="s">
        <v>11404</v>
      </c>
      <c r="H32815" s="40" t="s">
        <v>11404</v>
      </c>
    </row>
    <row r="32816">
      <c r="A32816" s="39"/>
      <c r="E32816" s="40" t="s">
        <v>11404</v>
      </c>
      <c r="F32816" s="40" t="s">
        <v>11404</v>
      </c>
      <c r="G32816" s="40" t="s">
        <v>11404</v>
      </c>
      <c r="H32816" s="40" t="s">
        <v>11404</v>
      </c>
    </row>
    <row r="32817">
      <c r="A32817" s="39"/>
      <c r="E32817" s="40" t="s">
        <v>11404</v>
      </c>
      <c r="F32817" s="40" t="s">
        <v>11404</v>
      </c>
      <c r="G32817" s="40" t="s">
        <v>11404</v>
      </c>
      <c r="H32817" s="40" t="s">
        <v>11404</v>
      </c>
    </row>
    <row r="32818">
      <c r="A32818" s="39"/>
      <c r="E32818" s="40" t="s">
        <v>11404</v>
      </c>
      <c r="F32818" s="40" t="s">
        <v>11404</v>
      </c>
      <c r="G32818" s="40" t="s">
        <v>11404</v>
      </c>
      <c r="H32818" s="40" t="s">
        <v>11404</v>
      </c>
    </row>
    <row r="32819">
      <c r="A32819" s="39"/>
      <c r="E32819" s="40" t="s">
        <v>11404</v>
      </c>
      <c r="F32819" s="40" t="s">
        <v>11404</v>
      </c>
      <c r="G32819" s="40" t="s">
        <v>11404</v>
      </c>
      <c r="H32819" s="40" t="s">
        <v>11404</v>
      </c>
    </row>
    <row r="32820">
      <c r="A32820" s="39"/>
      <c r="E32820" s="40" t="s">
        <v>11404</v>
      </c>
      <c r="F32820" s="40" t="s">
        <v>11404</v>
      </c>
      <c r="G32820" s="40" t="s">
        <v>11404</v>
      </c>
      <c r="H32820" s="40" t="s">
        <v>11404</v>
      </c>
    </row>
    <row r="32821">
      <c r="A32821" s="39"/>
      <c r="E32821" s="40" t="s">
        <v>11404</v>
      </c>
      <c r="F32821" s="40" t="s">
        <v>11404</v>
      </c>
      <c r="G32821" s="40" t="s">
        <v>11404</v>
      </c>
      <c r="H32821" s="40" t="s">
        <v>11404</v>
      </c>
    </row>
    <row r="32822">
      <c r="A32822" s="39"/>
      <c r="E32822" s="40" t="s">
        <v>11404</v>
      </c>
      <c r="F32822" s="40" t="s">
        <v>11404</v>
      </c>
      <c r="G32822" s="40" t="s">
        <v>11404</v>
      </c>
      <c r="H32822" s="40" t="s">
        <v>11404</v>
      </c>
    </row>
    <row r="32823">
      <c r="A32823" s="39"/>
      <c r="E32823" s="40" t="s">
        <v>11404</v>
      </c>
      <c r="F32823" s="40" t="s">
        <v>11404</v>
      </c>
      <c r="G32823" s="40" t="s">
        <v>11404</v>
      </c>
      <c r="H32823" s="40" t="s">
        <v>11404</v>
      </c>
    </row>
    <row r="32824">
      <c r="A32824" s="39"/>
      <c r="E32824" s="40" t="s">
        <v>11404</v>
      </c>
      <c r="F32824" s="40" t="s">
        <v>11404</v>
      </c>
      <c r="G32824" s="40" t="s">
        <v>11404</v>
      </c>
      <c r="H32824" s="40" t="s">
        <v>11404</v>
      </c>
    </row>
    <row r="32825">
      <c r="A32825" s="39"/>
      <c r="E32825" s="40" t="s">
        <v>11404</v>
      </c>
      <c r="F32825" s="40" t="s">
        <v>11404</v>
      </c>
      <c r="G32825" s="40" t="s">
        <v>11404</v>
      </c>
      <c r="H32825" s="40" t="s">
        <v>11404</v>
      </c>
    </row>
    <row r="32826">
      <c r="A32826" s="39"/>
      <c r="E32826" s="40" t="s">
        <v>11404</v>
      </c>
      <c r="F32826" s="40" t="s">
        <v>11404</v>
      </c>
      <c r="G32826" s="40" t="s">
        <v>11404</v>
      </c>
      <c r="H32826" s="40" t="s">
        <v>11404</v>
      </c>
    </row>
    <row r="32827">
      <c r="A32827" s="39"/>
      <c r="E32827" s="40" t="s">
        <v>11404</v>
      </c>
      <c r="F32827" s="40" t="s">
        <v>11404</v>
      </c>
      <c r="G32827" s="40" t="s">
        <v>11404</v>
      </c>
      <c r="H32827" s="40" t="s">
        <v>11404</v>
      </c>
    </row>
    <row r="32828">
      <c r="A32828" s="39"/>
      <c r="E32828" s="40" t="s">
        <v>11404</v>
      </c>
      <c r="F32828" s="40" t="s">
        <v>11404</v>
      </c>
      <c r="G32828" s="40" t="s">
        <v>11404</v>
      </c>
      <c r="H32828" s="40" t="s">
        <v>11404</v>
      </c>
    </row>
    <row r="32829">
      <c r="A32829" s="39"/>
      <c r="E32829" s="40" t="s">
        <v>11404</v>
      </c>
      <c r="F32829" s="40" t="s">
        <v>11404</v>
      </c>
      <c r="G32829" s="40" t="s">
        <v>11404</v>
      </c>
      <c r="H32829" s="40" t="s">
        <v>11404</v>
      </c>
    </row>
    <row r="32830">
      <c r="A32830" s="39"/>
      <c r="E32830" s="40" t="s">
        <v>11404</v>
      </c>
      <c r="F32830" s="40" t="s">
        <v>11404</v>
      </c>
      <c r="G32830" s="40" t="s">
        <v>11404</v>
      </c>
      <c r="H32830" s="40" t="s">
        <v>11404</v>
      </c>
    </row>
    <row r="32831">
      <c r="A32831" s="39"/>
      <c r="E32831" s="40" t="s">
        <v>11404</v>
      </c>
      <c r="F32831" s="40" t="s">
        <v>11404</v>
      </c>
      <c r="G32831" s="40" t="s">
        <v>11404</v>
      </c>
      <c r="H32831" s="40" t="s">
        <v>11404</v>
      </c>
    </row>
    <row r="32832">
      <c r="A32832" s="39"/>
      <c r="E32832" s="40" t="s">
        <v>11404</v>
      </c>
      <c r="F32832" s="40" t="s">
        <v>11404</v>
      </c>
      <c r="G32832" s="40" t="s">
        <v>11404</v>
      </c>
      <c r="H32832" s="40" t="s">
        <v>11404</v>
      </c>
    </row>
    <row r="32833">
      <c r="A32833" s="39"/>
      <c r="E32833" s="40" t="s">
        <v>11404</v>
      </c>
      <c r="F32833" s="40" t="s">
        <v>11404</v>
      </c>
      <c r="G32833" s="40" t="s">
        <v>11404</v>
      </c>
      <c r="H32833" s="40" t="s">
        <v>11404</v>
      </c>
    </row>
    <row r="32834">
      <c r="A32834" s="39"/>
      <c r="E32834" s="40" t="s">
        <v>11404</v>
      </c>
      <c r="F32834" s="40" t="s">
        <v>11404</v>
      </c>
      <c r="G32834" s="40" t="s">
        <v>11404</v>
      </c>
      <c r="H32834" s="40" t="s">
        <v>11404</v>
      </c>
    </row>
    <row r="32835">
      <c r="A32835" s="39"/>
      <c r="E32835" s="40" t="s">
        <v>11404</v>
      </c>
      <c r="F32835" s="40" t="s">
        <v>11404</v>
      </c>
      <c r="G32835" s="40" t="s">
        <v>11404</v>
      </c>
      <c r="H32835" s="40" t="s">
        <v>11404</v>
      </c>
    </row>
    <row r="32836">
      <c r="A32836" s="39"/>
      <c r="E32836" s="40" t="s">
        <v>11404</v>
      </c>
      <c r="F32836" s="40" t="s">
        <v>11404</v>
      </c>
      <c r="G32836" s="40" t="s">
        <v>11404</v>
      </c>
      <c r="H32836" s="40" t="s">
        <v>11404</v>
      </c>
    </row>
    <row r="32837">
      <c r="A32837" s="39"/>
      <c r="E32837" s="40" t="s">
        <v>11404</v>
      </c>
      <c r="F32837" s="40" t="s">
        <v>11404</v>
      </c>
      <c r="G32837" s="40" t="s">
        <v>11404</v>
      </c>
      <c r="H32837" s="40" t="s">
        <v>11404</v>
      </c>
    </row>
    <row r="32838">
      <c r="A32838" s="39"/>
      <c r="E32838" s="40" t="s">
        <v>11404</v>
      </c>
      <c r="F32838" s="40" t="s">
        <v>11404</v>
      </c>
      <c r="G32838" s="40" t="s">
        <v>11404</v>
      </c>
      <c r="H32838" s="40" t="s">
        <v>11404</v>
      </c>
    </row>
    <row r="32839">
      <c r="A32839" s="39"/>
      <c r="E32839" s="40" t="s">
        <v>11404</v>
      </c>
      <c r="F32839" s="40" t="s">
        <v>11404</v>
      </c>
      <c r="G32839" s="40" t="s">
        <v>11404</v>
      </c>
      <c r="H32839" s="40" t="s">
        <v>11404</v>
      </c>
    </row>
    <row r="32840">
      <c r="A32840" s="39"/>
      <c r="E32840" s="40" t="s">
        <v>11404</v>
      </c>
      <c r="F32840" s="40" t="s">
        <v>11404</v>
      </c>
      <c r="G32840" s="40" t="s">
        <v>11404</v>
      </c>
      <c r="H32840" s="40" t="s">
        <v>11404</v>
      </c>
    </row>
    <row r="32841">
      <c r="A32841" s="39"/>
      <c r="E32841" s="40" t="s">
        <v>11404</v>
      </c>
      <c r="F32841" s="40" t="s">
        <v>11404</v>
      </c>
      <c r="G32841" s="40" t="s">
        <v>11404</v>
      </c>
      <c r="H32841" s="40" t="s">
        <v>11404</v>
      </c>
    </row>
    <row r="32842">
      <c r="A32842" s="39"/>
      <c r="E32842" s="40" t="s">
        <v>11404</v>
      </c>
      <c r="F32842" s="40" t="s">
        <v>11404</v>
      </c>
      <c r="G32842" s="40" t="s">
        <v>11404</v>
      </c>
      <c r="H32842" s="40" t="s">
        <v>11404</v>
      </c>
    </row>
    <row r="32843">
      <c r="A32843" s="39"/>
      <c r="E32843" s="40" t="s">
        <v>11404</v>
      </c>
      <c r="F32843" s="40" t="s">
        <v>11404</v>
      </c>
      <c r="G32843" s="40" t="s">
        <v>11404</v>
      </c>
      <c r="H32843" s="40" t="s">
        <v>11404</v>
      </c>
    </row>
    <row r="32844">
      <c r="A32844" s="39"/>
      <c r="E32844" s="40" t="s">
        <v>11404</v>
      </c>
      <c r="F32844" s="40" t="s">
        <v>11404</v>
      </c>
      <c r="G32844" s="40" t="s">
        <v>11404</v>
      </c>
      <c r="H32844" s="40" t="s">
        <v>11404</v>
      </c>
    </row>
    <row r="32845">
      <c r="A32845" s="39"/>
      <c r="E32845" s="40" t="s">
        <v>11404</v>
      </c>
      <c r="F32845" s="40" t="s">
        <v>11404</v>
      </c>
      <c r="G32845" s="40" t="s">
        <v>11404</v>
      </c>
      <c r="H32845" s="40" t="s">
        <v>11404</v>
      </c>
    </row>
    <row r="32846">
      <c r="A32846" s="39"/>
      <c r="E32846" s="40" t="s">
        <v>11404</v>
      </c>
      <c r="F32846" s="40" t="s">
        <v>11404</v>
      </c>
      <c r="G32846" s="40" t="s">
        <v>11404</v>
      </c>
      <c r="H32846" s="40" t="s">
        <v>11404</v>
      </c>
    </row>
    <row r="32847">
      <c r="A32847" s="39"/>
      <c r="E32847" s="40" t="s">
        <v>11404</v>
      </c>
      <c r="F32847" s="40" t="s">
        <v>11404</v>
      </c>
      <c r="G32847" s="40" t="s">
        <v>11404</v>
      </c>
      <c r="H32847" s="40" t="s">
        <v>11404</v>
      </c>
    </row>
    <row r="32848">
      <c r="A32848" s="39"/>
      <c r="E32848" s="40" t="s">
        <v>11404</v>
      </c>
      <c r="F32848" s="40" t="s">
        <v>11404</v>
      </c>
      <c r="G32848" s="40" t="s">
        <v>11404</v>
      </c>
      <c r="H32848" s="40" t="s">
        <v>11404</v>
      </c>
    </row>
    <row r="32849">
      <c r="A32849" s="39"/>
      <c r="E32849" s="40" t="s">
        <v>11404</v>
      </c>
      <c r="F32849" s="40" t="s">
        <v>11404</v>
      </c>
      <c r="G32849" s="40" t="s">
        <v>11404</v>
      </c>
      <c r="H32849" s="40" t="s">
        <v>11404</v>
      </c>
    </row>
    <row r="32850">
      <c r="A32850" s="39"/>
      <c r="E32850" s="40" t="s">
        <v>11404</v>
      </c>
      <c r="F32850" s="40" t="s">
        <v>11404</v>
      </c>
      <c r="G32850" s="40" t="s">
        <v>11404</v>
      </c>
      <c r="H32850" s="40" t="s">
        <v>11404</v>
      </c>
    </row>
    <row r="32851">
      <c r="A32851" s="39"/>
      <c r="E32851" s="40" t="s">
        <v>11404</v>
      </c>
      <c r="F32851" s="40" t="s">
        <v>11404</v>
      </c>
      <c r="G32851" s="40" t="s">
        <v>11404</v>
      </c>
      <c r="H32851" s="40" t="s">
        <v>11404</v>
      </c>
    </row>
    <row r="32852">
      <c r="A32852" s="39"/>
      <c r="E32852" s="40" t="s">
        <v>11404</v>
      </c>
      <c r="F32852" s="40" t="s">
        <v>11404</v>
      </c>
      <c r="G32852" s="40" t="s">
        <v>11404</v>
      </c>
      <c r="H32852" s="40" t="s">
        <v>11404</v>
      </c>
    </row>
    <row r="32853">
      <c r="A32853" s="39"/>
      <c r="E32853" s="40" t="s">
        <v>11404</v>
      </c>
      <c r="F32853" s="40" t="s">
        <v>11404</v>
      </c>
      <c r="G32853" s="40" t="s">
        <v>11404</v>
      </c>
      <c r="H32853" s="40" t="s">
        <v>11404</v>
      </c>
    </row>
    <row r="32854">
      <c r="A32854" s="39"/>
      <c r="E32854" s="40" t="s">
        <v>11404</v>
      </c>
      <c r="F32854" s="40" t="s">
        <v>11404</v>
      </c>
      <c r="G32854" s="40" t="s">
        <v>11404</v>
      </c>
      <c r="H32854" s="40" t="s">
        <v>11404</v>
      </c>
    </row>
    <row r="32855">
      <c r="A32855" s="39"/>
      <c r="E32855" s="40" t="s">
        <v>11404</v>
      </c>
      <c r="F32855" s="40" t="s">
        <v>11404</v>
      </c>
      <c r="G32855" s="40" t="s">
        <v>11404</v>
      </c>
      <c r="H32855" s="40" t="s">
        <v>11404</v>
      </c>
    </row>
    <row r="32856">
      <c r="A32856" s="39"/>
      <c r="E32856" s="40" t="s">
        <v>11404</v>
      </c>
      <c r="F32856" s="40" t="s">
        <v>11404</v>
      </c>
      <c r="G32856" s="40" t="s">
        <v>11404</v>
      </c>
      <c r="H32856" s="40" t="s">
        <v>11404</v>
      </c>
    </row>
    <row r="32857">
      <c r="A32857" s="39"/>
      <c r="E32857" s="40" t="s">
        <v>11404</v>
      </c>
      <c r="F32857" s="40" t="s">
        <v>11404</v>
      </c>
      <c r="G32857" s="40" t="s">
        <v>11404</v>
      </c>
      <c r="H32857" s="40" t="s">
        <v>11404</v>
      </c>
    </row>
    <row r="32858">
      <c r="A32858" s="39"/>
      <c r="E32858" s="40" t="s">
        <v>11404</v>
      </c>
      <c r="F32858" s="40" t="s">
        <v>11404</v>
      </c>
      <c r="G32858" s="40" t="s">
        <v>11404</v>
      </c>
      <c r="H32858" s="40" t="s">
        <v>11404</v>
      </c>
    </row>
    <row r="32859">
      <c r="A32859" s="39"/>
      <c r="E32859" s="40" t="s">
        <v>11404</v>
      </c>
      <c r="F32859" s="40" t="s">
        <v>11404</v>
      </c>
      <c r="G32859" s="40" t="s">
        <v>11404</v>
      </c>
      <c r="H32859" s="40" t="s">
        <v>11404</v>
      </c>
    </row>
    <row r="32860">
      <c r="A32860" s="39"/>
      <c r="E32860" s="40" t="s">
        <v>11404</v>
      </c>
      <c r="F32860" s="40" t="s">
        <v>11404</v>
      </c>
      <c r="G32860" s="40" t="s">
        <v>11404</v>
      </c>
      <c r="H32860" s="40" t="s">
        <v>11404</v>
      </c>
    </row>
    <row r="32861">
      <c r="A32861" s="39"/>
      <c r="E32861" s="40" t="s">
        <v>11404</v>
      </c>
      <c r="F32861" s="40" t="s">
        <v>11404</v>
      </c>
      <c r="G32861" s="40" t="s">
        <v>11404</v>
      </c>
      <c r="H32861" s="40" t="s">
        <v>11404</v>
      </c>
    </row>
    <row r="32862">
      <c r="A32862" s="39"/>
      <c r="E32862" s="40" t="s">
        <v>11404</v>
      </c>
      <c r="F32862" s="40" t="s">
        <v>11404</v>
      </c>
      <c r="G32862" s="40" t="s">
        <v>11404</v>
      </c>
      <c r="H32862" s="40" t="s">
        <v>11404</v>
      </c>
    </row>
    <row r="32863">
      <c r="A32863" s="39"/>
      <c r="E32863" s="40" t="s">
        <v>11404</v>
      </c>
      <c r="F32863" s="40" t="s">
        <v>11404</v>
      </c>
      <c r="G32863" s="40" t="s">
        <v>11404</v>
      </c>
      <c r="H32863" s="40" t="s">
        <v>11404</v>
      </c>
    </row>
    <row r="32864">
      <c r="A32864" s="39"/>
      <c r="E32864" s="40" t="s">
        <v>11404</v>
      </c>
      <c r="F32864" s="40" t="s">
        <v>11404</v>
      </c>
      <c r="G32864" s="40" t="s">
        <v>11404</v>
      </c>
      <c r="H32864" s="40" t="s">
        <v>11404</v>
      </c>
    </row>
    <row r="32865">
      <c r="A32865" s="39"/>
      <c r="E32865" s="40" t="s">
        <v>11404</v>
      </c>
      <c r="F32865" s="40" t="s">
        <v>11404</v>
      </c>
      <c r="G32865" s="40" t="s">
        <v>11404</v>
      </c>
      <c r="H32865" s="40" t="s">
        <v>11404</v>
      </c>
    </row>
    <row r="32866">
      <c r="A32866" s="39"/>
      <c r="E32866" s="40" t="s">
        <v>11404</v>
      </c>
      <c r="F32866" s="40" t="s">
        <v>11404</v>
      </c>
      <c r="G32866" s="40" t="s">
        <v>11404</v>
      </c>
      <c r="H32866" s="40" t="s">
        <v>11404</v>
      </c>
    </row>
    <row r="32867">
      <c r="A32867" s="39"/>
      <c r="E32867" s="40" t="s">
        <v>11404</v>
      </c>
      <c r="F32867" s="40" t="s">
        <v>11404</v>
      </c>
      <c r="G32867" s="40" t="s">
        <v>11404</v>
      </c>
      <c r="H32867" s="40" t="s">
        <v>11404</v>
      </c>
    </row>
    <row r="32868">
      <c r="A32868" s="39"/>
      <c r="E32868" s="40" t="s">
        <v>11404</v>
      </c>
      <c r="F32868" s="40" t="s">
        <v>11404</v>
      </c>
      <c r="G32868" s="40" t="s">
        <v>11404</v>
      </c>
      <c r="H32868" s="40" t="s">
        <v>11404</v>
      </c>
    </row>
    <row r="32869">
      <c r="A32869" s="39"/>
      <c r="E32869" s="40" t="s">
        <v>11404</v>
      </c>
      <c r="F32869" s="40" t="s">
        <v>11404</v>
      </c>
      <c r="G32869" s="40" t="s">
        <v>11404</v>
      </c>
      <c r="H32869" s="40" t="s">
        <v>11404</v>
      </c>
    </row>
    <row r="32870">
      <c r="A32870" s="39"/>
      <c r="E32870" s="40" t="s">
        <v>11404</v>
      </c>
      <c r="F32870" s="40" t="s">
        <v>11404</v>
      </c>
      <c r="G32870" s="40" t="s">
        <v>11404</v>
      </c>
      <c r="H32870" s="40" t="s">
        <v>11404</v>
      </c>
    </row>
    <row r="32871">
      <c r="A32871" s="39"/>
      <c r="E32871" s="40" t="s">
        <v>11404</v>
      </c>
      <c r="F32871" s="40" t="s">
        <v>11404</v>
      </c>
      <c r="G32871" s="40" t="s">
        <v>11404</v>
      </c>
      <c r="H32871" s="40" t="s">
        <v>11404</v>
      </c>
    </row>
    <row r="32872">
      <c r="A32872" s="39"/>
      <c r="E32872" s="40" t="s">
        <v>11404</v>
      </c>
      <c r="F32872" s="40" t="s">
        <v>11404</v>
      </c>
      <c r="G32872" s="40" t="s">
        <v>11404</v>
      </c>
      <c r="H32872" s="40" t="s">
        <v>11404</v>
      </c>
    </row>
    <row r="32873">
      <c r="A32873" s="39"/>
      <c r="E32873" s="40" t="s">
        <v>11404</v>
      </c>
      <c r="F32873" s="40" t="s">
        <v>11404</v>
      </c>
      <c r="G32873" s="40" t="s">
        <v>11404</v>
      </c>
      <c r="H32873" s="40" t="s">
        <v>11404</v>
      </c>
    </row>
    <row r="32874">
      <c r="A32874" s="39"/>
      <c r="E32874" s="40" t="s">
        <v>11404</v>
      </c>
      <c r="F32874" s="40" t="s">
        <v>11404</v>
      </c>
      <c r="G32874" s="40" t="s">
        <v>11404</v>
      </c>
      <c r="H32874" s="40" t="s">
        <v>11404</v>
      </c>
    </row>
    <row r="32875">
      <c r="A32875" s="39"/>
      <c r="E32875" s="40" t="s">
        <v>11404</v>
      </c>
      <c r="F32875" s="40" t="s">
        <v>11404</v>
      </c>
      <c r="G32875" s="40" t="s">
        <v>11404</v>
      </c>
      <c r="H32875" s="40" t="s">
        <v>11404</v>
      </c>
    </row>
    <row r="32876">
      <c r="A32876" s="39"/>
      <c r="E32876" s="40" t="s">
        <v>11404</v>
      </c>
      <c r="F32876" s="40" t="s">
        <v>11404</v>
      </c>
      <c r="G32876" s="40" t="s">
        <v>11404</v>
      </c>
      <c r="H32876" s="40" t="s">
        <v>11404</v>
      </c>
    </row>
    <row r="32877">
      <c r="A32877" s="39"/>
      <c r="E32877" s="40" t="s">
        <v>11404</v>
      </c>
      <c r="F32877" s="40" t="s">
        <v>11404</v>
      </c>
      <c r="G32877" s="40" t="s">
        <v>11404</v>
      </c>
      <c r="H32877" s="40" t="s">
        <v>11404</v>
      </c>
    </row>
    <row r="32878">
      <c r="A32878" s="39"/>
      <c r="E32878" s="40" t="s">
        <v>11404</v>
      </c>
      <c r="F32878" s="40" t="s">
        <v>11404</v>
      </c>
      <c r="G32878" s="40" t="s">
        <v>11404</v>
      </c>
      <c r="H32878" s="40" t="s">
        <v>11404</v>
      </c>
    </row>
    <row r="32879">
      <c r="A32879" s="39"/>
      <c r="E32879" s="40" t="s">
        <v>11404</v>
      </c>
      <c r="F32879" s="40" t="s">
        <v>11404</v>
      </c>
      <c r="G32879" s="40" t="s">
        <v>11404</v>
      </c>
      <c r="H32879" s="40" t="s">
        <v>11404</v>
      </c>
    </row>
    <row r="32880">
      <c r="A32880" s="39"/>
      <c r="E32880" s="40" t="s">
        <v>11404</v>
      </c>
      <c r="F32880" s="40" t="s">
        <v>11404</v>
      </c>
      <c r="G32880" s="40" t="s">
        <v>11404</v>
      </c>
      <c r="H32880" s="40" t="s">
        <v>11404</v>
      </c>
    </row>
    <row r="32881">
      <c r="A32881" s="39"/>
      <c r="E32881" s="40" t="s">
        <v>11404</v>
      </c>
      <c r="F32881" s="40" t="s">
        <v>11404</v>
      </c>
      <c r="G32881" s="40" t="s">
        <v>11404</v>
      </c>
      <c r="H32881" s="40" t="s">
        <v>11404</v>
      </c>
    </row>
    <row r="32882">
      <c r="A32882" s="39"/>
      <c r="E32882" s="40" t="s">
        <v>11404</v>
      </c>
      <c r="F32882" s="40" t="s">
        <v>11404</v>
      </c>
      <c r="G32882" s="40" t="s">
        <v>11404</v>
      </c>
      <c r="H32882" s="40" t="s">
        <v>11404</v>
      </c>
    </row>
    <row r="32883">
      <c r="A32883" s="39"/>
      <c r="E32883" s="40" t="s">
        <v>11404</v>
      </c>
      <c r="F32883" s="40" t="s">
        <v>11404</v>
      </c>
      <c r="G32883" s="40" t="s">
        <v>11404</v>
      </c>
      <c r="H32883" s="40" t="s">
        <v>11404</v>
      </c>
    </row>
    <row r="32884">
      <c r="A32884" s="39"/>
      <c r="E32884" s="40" t="s">
        <v>11404</v>
      </c>
      <c r="F32884" s="40" t="s">
        <v>11404</v>
      </c>
      <c r="G32884" s="40" t="s">
        <v>11404</v>
      </c>
      <c r="H32884" s="40" t="s">
        <v>11404</v>
      </c>
    </row>
    <row r="32885">
      <c r="A32885" s="39"/>
      <c r="E32885" s="40" t="s">
        <v>11404</v>
      </c>
      <c r="F32885" s="40" t="s">
        <v>11404</v>
      </c>
      <c r="G32885" s="40" t="s">
        <v>11404</v>
      </c>
      <c r="H32885" s="40" t="s">
        <v>11404</v>
      </c>
    </row>
    <row r="32886">
      <c r="A32886" s="39"/>
      <c r="E32886" s="40" t="s">
        <v>11404</v>
      </c>
      <c r="F32886" s="40" t="s">
        <v>11404</v>
      </c>
      <c r="G32886" s="40" t="s">
        <v>11404</v>
      </c>
      <c r="H32886" s="40" t="s">
        <v>11404</v>
      </c>
    </row>
    <row r="32887">
      <c r="A32887" s="39"/>
      <c r="E32887" s="40" t="s">
        <v>11404</v>
      </c>
      <c r="F32887" s="40" t="s">
        <v>11404</v>
      </c>
      <c r="G32887" s="40" t="s">
        <v>11404</v>
      </c>
      <c r="H32887" s="40" t="s">
        <v>11404</v>
      </c>
    </row>
    <row r="32888">
      <c r="A32888" s="39"/>
      <c r="E32888" s="40" t="s">
        <v>11404</v>
      </c>
      <c r="F32888" s="40" t="s">
        <v>11404</v>
      </c>
      <c r="G32888" s="40" t="s">
        <v>11404</v>
      </c>
      <c r="H32888" s="40" t="s">
        <v>11404</v>
      </c>
    </row>
    <row r="32889">
      <c r="A32889" s="39"/>
      <c r="E32889" s="40" t="s">
        <v>11404</v>
      </c>
      <c r="F32889" s="40" t="s">
        <v>11404</v>
      </c>
      <c r="G32889" s="40" t="s">
        <v>11404</v>
      </c>
      <c r="H32889" s="40" t="s">
        <v>11404</v>
      </c>
    </row>
    <row r="32890">
      <c r="A32890" s="39"/>
      <c r="E32890" s="40" t="s">
        <v>11404</v>
      </c>
      <c r="F32890" s="40" t="s">
        <v>11404</v>
      </c>
      <c r="G32890" s="40" t="s">
        <v>11404</v>
      </c>
      <c r="H32890" s="40" t="s">
        <v>11404</v>
      </c>
    </row>
    <row r="32891">
      <c r="A32891" s="39"/>
      <c r="E32891" s="40" t="s">
        <v>11404</v>
      </c>
      <c r="F32891" s="40" t="s">
        <v>11404</v>
      </c>
      <c r="G32891" s="40" t="s">
        <v>11404</v>
      </c>
      <c r="H32891" s="40" t="s">
        <v>11404</v>
      </c>
    </row>
    <row r="32892">
      <c r="A32892" s="39"/>
      <c r="E32892" s="40" t="s">
        <v>11404</v>
      </c>
      <c r="F32892" s="40" t="s">
        <v>11404</v>
      </c>
      <c r="G32892" s="40" t="s">
        <v>11404</v>
      </c>
      <c r="H32892" s="40" t="s">
        <v>11404</v>
      </c>
    </row>
    <row r="32893">
      <c r="A32893" s="39"/>
      <c r="E32893" s="40" t="s">
        <v>11404</v>
      </c>
      <c r="F32893" s="40" t="s">
        <v>11404</v>
      </c>
      <c r="G32893" s="40" t="s">
        <v>11404</v>
      </c>
      <c r="H32893" s="40" t="s">
        <v>11404</v>
      </c>
    </row>
    <row r="32894">
      <c r="A32894" s="39"/>
      <c r="E32894" s="40" t="s">
        <v>11404</v>
      </c>
      <c r="F32894" s="40" t="s">
        <v>11404</v>
      </c>
      <c r="G32894" s="40" t="s">
        <v>11404</v>
      </c>
      <c r="H32894" s="40" t="s">
        <v>11404</v>
      </c>
    </row>
    <row r="32895">
      <c r="A32895" s="39"/>
      <c r="E32895" s="40" t="s">
        <v>11404</v>
      </c>
      <c r="F32895" s="40" t="s">
        <v>11404</v>
      </c>
      <c r="G32895" s="40" t="s">
        <v>11404</v>
      </c>
      <c r="H32895" s="40" t="s">
        <v>11404</v>
      </c>
    </row>
    <row r="32896">
      <c r="A32896" s="39"/>
      <c r="E32896" s="40" t="s">
        <v>11404</v>
      </c>
      <c r="F32896" s="40" t="s">
        <v>11404</v>
      </c>
      <c r="G32896" s="40" t="s">
        <v>11404</v>
      </c>
      <c r="H32896" s="40" t="s">
        <v>11404</v>
      </c>
    </row>
    <row r="32897">
      <c r="A32897" s="39"/>
      <c r="E32897" s="40" t="s">
        <v>11404</v>
      </c>
      <c r="F32897" s="40" t="s">
        <v>11404</v>
      </c>
      <c r="G32897" s="40" t="s">
        <v>11404</v>
      </c>
      <c r="H32897" s="40" t="s">
        <v>11404</v>
      </c>
    </row>
    <row r="32898">
      <c r="A32898" s="39"/>
      <c r="E32898" s="40" t="s">
        <v>11404</v>
      </c>
      <c r="F32898" s="40" t="s">
        <v>11404</v>
      </c>
      <c r="G32898" s="40" t="s">
        <v>11404</v>
      </c>
      <c r="H32898" s="40" t="s">
        <v>11404</v>
      </c>
    </row>
    <row r="32899">
      <c r="A32899" s="39"/>
      <c r="E32899" s="40" t="s">
        <v>11404</v>
      </c>
      <c r="F32899" s="40" t="s">
        <v>11404</v>
      </c>
      <c r="G32899" s="40" t="s">
        <v>11404</v>
      </c>
      <c r="H32899" s="40" t="s">
        <v>11404</v>
      </c>
    </row>
    <row r="32900">
      <c r="A32900" s="39"/>
      <c r="E32900" s="40" t="s">
        <v>11404</v>
      </c>
      <c r="F32900" s="40" t="s">
        <v>11404</v>
      </c>
      <c r="G32900" s="40" t="s">
        <v>11404</v>
      </c>
      <c r="H32900" s="40" t="s">
        <v>11404</v>
      </c>
    </row>
    <row r="32901">
      <c r="A32901" s="39"/>
      <c r="E32901" s="40" t="s">
        <v>11404</v>
      </c>
      <c r="F32901" s="40" t="s">
        <v>11404</v>
      </c>
      <c r="G32901" s="40" t="s">
        <v>11404</v>
      </c>
      <c r="H32901" s="40" t="s">
        <v>11404</v>
      </c>
    </row>
    <row r="32902">
      <c r="A32902" s="39"/>
      <c r="E32902" s="40" t="s">
        <v>11404</v>
      </c>
      <c r="F32902" s="40" t="s">
        <v>11404</v>
      </c>
      <c r="G32902" s="40" t="s">
        <v>11404</v>
      </c>
      <c r="H32902" s="40" t="s">
        <v>11404</v>
      </c>
    </row>
    <row r="32903">
      <c r="A32903" s="39"/>
      <c r="E32903" s="40" t="s">
        <v>11404</v>
      </c>
      <c r="F32903" s="40" t="s">
        <v>11404</v>
      </c>
      <c r="G32903" s="40" t="s">
        <v>11404</v>
      </c>
      <c r="H32903" s="40" t="s">
        <v>11404</v>
      </c>
    </row>
    <row r="32904">
      <c r="A32904" s="39"/>
      <c r="E32904" s="40" t="s">
        <v>11404</v>
      </c>
      <c r="F32904" s="40" t="s">
        <v>11404</v>
      </c>
      <c r="G32904" s="40" t="s">
        <v>11404</v>
      </c>
      <c r="H32904" s="40" t="s">
        <v>11404</v>
      </c>
    </row>
    <row r="32905">
      <c r="A32905" s="39"/>
      <c r="E32905" s="40" t="s">
        <v>11404</v>
      </c>
      <c r="F32905" s="40" t="s">
        <v>11404</v>
      </c>
      <c r="G32905" s="40" t="s">
        <v>11404</v>
      </c>
      <c r="H32905" s="40" t="s">
        <v>11404</v>
      </c>
    </row>
    <row r="32906">
      <c r="A32906" s="39"/>
      <c r="E32906" s="40" t="s">
        <v>11404</v>
      </c>
      <c r="F32906" s="40" t="s">
        <v>11404</v>
      </c>
      <c r="G32906" s="40" t="s">
        <v>11404</v>
      </c>
      <c r="H32906" s="40" t="s">
        <v>11404</v>
      </c>
    </row>
    <row r="32907">
      <c r="A32907" s="39"/>
      <c r="E32907" s="40" t="s">
        <v>11404</v>
      </c>
      <c r="F32907" s="40" t="s">
        <v>11404</v>
      </c>
      <c r="G32907" s="40" t="s">
        <v>11404</v>
      </c>
      <c r="H32907" s="40" t="s">
        <v>11404</v>
      </c>
    </row>
    <row r="32908">
      <c r="A32908" s="39"/>
      <c r="E32908" s="40" t="s">
        <v>11404</v>
      </c>
      <c r="F32908" s="40" t="s">
        <v>11404</v>
      </c>
      <c r="G32908" s="40" t="s">
        <v>11404</v>
      </c>
      <c r="H32908" s="40" t="s">
        <v>11404</v>
      </c>
    </row>
    <row r="32909">
      <c r="A32909" s="39"/>
      <c r="E32909" s="40" t="s">
        <v>11404</v>
      </c>
      <c r="F32909" s="40" t="s">
        <v>11404</v>
      </c>
      <c r="G32909" s="40" t="s">
        <v>11404</v>
      </c>
      <c r="H32909" s="40" t="s">
        <v>11404</v>
      </c>
    </row>
    <row r="32910">
      <c r="A32910" s="39"/>
      <c r="E32910" s="40" t="s">
        <v>11404</v>
      </c>
      <c r="F32910" s="40" t="s">
        <v>11404</v>
      </c>
      <c r="G32910" s="40" t="s">
        <v>11404</v>
      </c>
      <c r="H32910" s="40" t="s">
        <v>11404</v>
      </c>
    </row>
    <row r="32911">
      <c r="A32911" s="39"/>
      <c r="E32911" s="40" t="s">
        <v>11404</v>
      </c>
      <c r="F32911" s="40" t="s">
        <v>11404</v>
      </c>
      <c r="G32911" s="40" t="s">
        <v>11404</v>
      </c>
      <c r="H32911" s="40" t="s">
        <v>11404</v>
      </c>
    </row>
    <row r="32912">
      <c r="A32912" s="39"/>
      <c r="E32912" s="40" t="s">
        <v>11404</v>
      </c>
      <c r="F32912" s="40" t="s">
        <v>11404</v>
      </c>
      <c r="G32912" s="40" t="s">
        <v>11404</v>
      </c>
      <c r="H32912" s="40" t="s">
        <v>11404</v>
      </c>
    </row>
    <row r="32913">
      <c r="A32913" s="39"/>
      <c r="E32913" s="40" t="s">
        <v>11404</v>
      </c>
      <c r="F32913" s="40" t="s">
        <v>11404</v>
      </c>
      <c r="G32913" s="40" t="s">
        <v>11404</v>
      </c>
      <c r="H32913" s="40" t="s">
        <v>11404</v>
      </c>
    </row>
    <row r="32914">
      <c r="A32914" s="39"/>
      <c r="E32914" s="40" t="s">
        <v>11404</v>
      </c>
      <c r="F32914" s="40" t="s">
        <v>11404</v>
      </c>
      <c r="G32914" s="40" t="s">
        <v>11404</v>
      </c>
      <c r="H32914" s="40" t="s">
        <v>11404</v>
      </c>
    </row>
    <row r="32915">
      <c r="A32915" s="39"/>
      <c r="E32915" s="40" t="s">
        <v>11404</v>
      </c>
      <c r="F32915" s="40" t="s">
        <v>11404</v>
      </c>
      <c r="G32915" s="40" t="s">
        <v>11404</v>
      </c>
      <c r="H32915" s="40" t="s">
        <v>11404</v>
      </c>
    </row>
    <row r="32916">
      <c r="A32916" s="39"/>
      <c r="E32916" s="40" t="s">
        <v>11404</v>
      </c>
      <c r="F32916" s="40" t="s">
        <v>11404</v>
      </c>
      <c r="G32916" s="40" t="s">
        <v>11404</v>
      </c>
      <c r="H32916" s="40" t="s">
        <v>11404</v>
      </c>
    </row>
    <row r="32917">
      <c r="A32917" s="39"/>
      <c r="E32917" s="40" t="s">
        <v>11404</v>
      </c>
      <c r="F32917" s="40" t="s">
        <v>11404</v>
      </c>
      <c r="G32917" s="40" t="s">
        <v>11404</v>
      </c>
      <c r="H32917" s="40" t="s">
        <v>11404</v>
      </c>
    </row>
    <row r="32918">
      <c r="A32918" s="39"/>
      <c r="E32918" s="40" t="s">
        <v>11404</v>
      </c>
      <c r="F32918" s="40" t="s">
        <v>11404</v>
      </c>
      <c r="G32918" s="40" t="s">
        <v>11404</v>
      </c>
      <c r="H32918" s="40" t="s">
        <v>11404</v>
      </c>
    </row>
    <row r="32919">
      <c r="A32919" s="39"/>
      <c r="E32919" s="40" t="s">
        <v>11404</v>
      </c>
      <c r="F32919" s="40" t="s">
        <v>11404</v>
      </c>
      <c r="G32919" s="40" t="s">
        <v>11404</v>
      </c>
      <c r="H32919" s="40" t="s">
        <v>11404</v>
      </c>
    </row>
    <row r="32920">
      <c r="A32920" s="39"/>
      <c r="E32920" s="40" t="s">
        <v>11404</v>
      </c>
      <c r="F32920" s="40" t="s">
        <v>11404</v>
      </c>
      <c r="G32920" s="40" t="s">
        <v>11404</v>
      </c>
      <c r="H32920" s="40" t="s">
        <v>11404</v>
      </c>
    </row>
    <row r="32921">
      <c r="A32921" s="39"/>
      <c r="E32921" s="40" t="s">
        <v>11404</v>
      </c>
      <c r="F32921" s="40" t="s">
        <v>11404</v>
      </c>
      <c r="G32921" s="40" t="s">
        <v>11404</v>
      </c>
      <c r="H32921" s="40" t="s">
        <v>11404</v>
      </c>
    </row>
    <row r="32922">
      <c r="A32922" s="39"/>
      <c r="E32922" s="40" t="s">
        <v>11404</v>
      </c>
      <c r="F32922" s="40" t="s">
        <v>11404</v>
      </c>
      <c r="G32922" s="40" t="s">
        <v>11404</v>
      </c>
      <c r="H32922" s="40" t="s">
        <v>11404</v>
      </c>
    </row>
    <row r="32923">
      <c r="A32923" s="39"/>
      <c r="E32923" s="40" t="s">
        <v>11404</v>
      </c>
      <c r="F32923" s="40" t="s">
        <v>11404</v>
      </c>
      <c r="G32923" s="40" t="s">
        <v>11404</v>
      </c>
      <c r="H32923" s="40" t="s">
        <v>11404</v>
      </c>
    </row>
    <row r="32924">
      <c r="A32924" s="39"/>
      <c r="E32924" s="40" t="s">
        <v>11404</v>
      </c>
      <c r="F32924" s="40" t="s">
        <v>11404</v>
      </c>
      <c r="G32924" s="40" t="s">
        <v>11404</v>
      </c>
      <c r="H32924" s="40" t="s">
        <v>11404</v>
      </c>
    </row>
    <row r="32925">
      <c r="A32925" s="39"/>
      <c r="E32925" s="40" t="s">
        <v>11404</v>
      </c>
      <c r="F32925" s="40" t="s">
        <v>11404</v>
      </c>
      <c r="G32925" s="40" t="s">
        <v>11404</v>
      </c>
      <c r="H32925" s="40" t="s">
        <v>11404</v>
      </c>
    </row>
    <row r="32926">
      <c r="A32926" s="39"/>
      <c r="E32926" s="40" t="s">
        <v>11404</v>
      </c>
      <c r="F32926" s="40" t="s">
        <v>11404</v>
      </c>
      <c r="G32926" s="40" t="s">
        <v>11404</v>
      </c>
      <c r="H32926" s="40" t="s">
        <v>11404</v>
      </c>
    </row>
    <row r="32927">
      <c r="A32927" s="39"/>
      <c r="E32927" s="40" t="s">
        <v>11404</v>
      </c>
      <c r="F32927" s="40" t="s">
        <v>11404</v>
      </c>
      <c r="G32927" s="40" t="s">
        <v>11404</v>
      </c>
      <c r="H32927" s="40" t="s">
        <v>11404</v>
      </c>
    </row>
    <row r="32928">
      <c r="A32928" s="39"/>
      <c r="E32928" s="40" t="s">
        <v>11404</v>
      </c>
      <c r="F32928" s="40" t="s">
        <v>11404</v>
      </c>
      <c r="G32928" s="40" t="s">
        <v>11404</v>
      </c>
      <c r="H32928" s="40" t="s">
        <v>11404</v>
      </c>
    </row>
    <row r="32929">
      <c r="A32929" s="39"/>
      <c r="E32929" s="40" t="s">
        <v>11404</v>
      </c>
      <c r="F32929" s="40" t="s">
        <v>11404</v>
      </c>
      <c r="G32929" s="40" t="s">
        <v>11404</v>
      </c>
      <c r="H32929" s="40" t="s">
        <v>11404</v>
      </c>
    </row>
    <row r="32930">
      <c r="A32930" s="39"/>
      <c r="E32930" s="40" t="s">
        <v>11404</v>
      </c>
      <c r="F32930" s="40" t="s">
        <v>11404</v>
      </c>
      <c r="G32930" s="40" t="s">
        <v>11404</v>
      </c>
      <c r="H32930" s="40" t="s">
        <v>11404</v>
      </c>
    </row>
    <row r="32931">
      <c r="A32931" s="39"/>
      <c r="E32931" s="40" t="s">
        <v>11404</v>
      </c>
      <c r="F32931" s="40" t="s">
        <v>11404</v>
      </c>
      <c r="G32931" s="40" t="s">
        <v>11404</v>
      </c>
      <c r="H32931" s="40" t="s">
        <v>11404</v>
      </c>
    </row>
    <row r="32932">
      <c r="A32932" s="39"/>
      <c r="E32932" s="40" t="s">
        <v>11404</v>
      </c>
      <c r="F32932" s="40" t="s">
        <v>11404</v>
      </c>
      <c r="G32932" s="40" t="s">
        <v>11404</v>
      </c>
      <c r="H32932" s="40" t="s">
        <v>11404</v>
      </c>
    </row>
    <row r="32933">
      <c r="A32933" s="39"/>
      <c r="E32933" s="40" t="s">
        <v>11404</v>
      </c>
      <c r="F32933" s="40" t="s">
        <v>11404</v>
      </c>
      <c r="G32933" s="40" t="s">
        <v>11404</v>
      </c>
      <c r="H32933" s="40" t="s">
        <v>11404</v>
      </c>
    </row>
    <row r="32934">
      <c r="A32934" s="39"/>
      <c r="E32934" s="40" t="s">
        <v>11404</v>
      </c>
      <c r="F32934" s="40" t="s">
        <v>11404</v>
      </c>
      <c r="G32934" s="40" t="s">
        <v>11404</v>
      </c>
      <c r="H32934" s="40" t="s">
        <v>11404</v>
      </c>
    </row>
    <row r="32935">
      <c r="A32935" s="39"/>
      <c r="E32935" s="40" t="s">
        <v>11404</v>
      </c>
      <c r="F32935" s="40" t="s">
        <v>11404</v>
      </c>
      <c r="G32935" s="40" t="s">
        <v>11404</v>
      </c>
      <c r="H32935" s="40" t="s">
        <v>11404</v>
      </c>
    </row>
    <row r="32936">
      <c r="A32936" s="39"/>
      <c r="E32936" s="40" t="s">
        <v>11404</v>
      </c>
      <c r="F32936" s="40" t="s">
        <v>11404</v>
      </c>
      <c r="G32936" s="40" t="s">
        <v>11404</v>
      </c>
      <c r="H32936" s="40" t="s">
        <v>11404</v>
      </c>
    </row>
    <row r="32937">
      <c r="A32937" s="39"/>
      <c r="E32937" s="40" t="s">
        <v>11404</v>
      </c>
      <c r="F32937" s="40" t="s">
        <v>11404</v>
      </c>
      <c r="G32937" s="40" t="s">
        <v>11404</v>
      </c>
      <c r="H32937" s="40" t="s">
        <v>11404</v>
      </c>
    </row>
    <row r="32938">
      <c r="A32938" s="39"/>
      <c r="E32938" s="40" t="s">
        <v>11404</v>
      </c>
      <c r="F32938" s="40" t="s">
        <v>11404</v>
      </c>
      <c r="G32938" s="40" t="s">
        <v>11404</v>
      </c>
      <c r="H32938" s="40" t="s">
        <v>11404</v>
      </c>
    </row>
    <row r="32939">
      <c r="A32939" s="39"/>
      <c r="E32939" s="40" t="s">
        <v>11404</v>
      </c>
      <c r="F32939" s="40" t="s">
        <v>11404</v>
      </c>
      <c r="G32939" s="40" t="s">
        <v>11404</v>
      </c>
      <c r="H32939" s="40" t="s">
        <v>11404</v>
      </c>
    </row>
    <row r="32940">
      <c r="A32940" s="39"/>
      <c r="E32940" s="40" t="s">
        <v>11404</v>
      </c>
      <c r="F32940" s="40" t="s">
        <v>11404</v>
      </c>
      <c r="G32940" s="40" t="s">
        <v>11404</v>
      </c>
      <c r="H32940" s="40" t="s">
        <v>11404</v>
      </c>
    </row>
    <row r="32941">
      <c r="A32941" s="39"/>
      <c r="E32941" s="40" t="s">
        <v>11404</v>
      </c>
      <c r="F32941" s="40" t="s">
        <v>11404</v>
      </c>
      <c r="G32941" s="40" t="s">
        <v>11404</v>
      </c>
      <c r="H32941" s="40" t="s">
        <v>11404</v>
      </c>
    </row>
    <row r="32942">
      <c r="A32942" s="39"/>
      <c r="E32942" s="40" t="s">
        <v>11404</v>
      </c>
      <c r="F32942" s="40" t="s">
        <v>11404</v>
      </c>
      <c r="G32942" s="40" t="s">
        <v>11404</v>
      </c>
      <c r="H32942" s="40" t="s">
        <v>11404</v>
      </c>
    </row>
    <row r="32943">
      <c r="A32943" s="39"/>
      <c r="E32943" s="40" t="s">
        <v>11404</v>
      </c>
      <c r="F32943" s="40" t="s">
        <v>11404</v>
      </c>
      <c r="G32943" s="40" t="s">
        <v>11404</v>
      </c>
      <c r="H32943" s="40" t="s">
        <v>11404</v>
      </c>
    </row>
    <row r="32944">
      <c r="A32944" s="39"/>
      <c r="E32944" s="40" t="s">
        <v>11404</v>
      </c>
      <c r="F32944" s="40" t="s">
        <v>11404</v>
      </c>
      <c r="G32944" s="40" t="s">
        <v>11404</v>
      </c>
      <c r="H32944" s="40" t="s">
        <v>11404</v>
      </c>
    </row>
    <row r="32945">
      <c r="A32945" s="39"/>
      <c r="E32945" s="40" t="s">
        <v>11404</v>
      </c>
      <c r="F32945" s="40" t="s">
        <v>11404</v>
      </c>
      <c r="G32945" s="40" t="s">
        <v>11404</v>
      </c>
      <c r="H32945" s="40" t="s">
        <v>11404</v>
      </c>
    </row>
    <row r="32946">
      <c r="A32946" s="39"/>
      <c r="E32946" s="40" t="s">
        <v>11404</v>
      </c>
      <c r="F32946" s="40" t="s">
        <v>11404</v>
      </c>
      <c r="G32946" s="40" t="s">
        <v>11404</v>
      </c>
      <c r="H32946" s="40" t="s">
        <v>11404</v>
      </c>
    </row>
    <row r="32947">
      <c r="A32947" s="39"/>
      <c r="E32947" s="40" t="s">
        <v>11404</v>
      </c>
      <c r="F32947" s="40" t="s">
        <v>11404</v>
      </c>
      <c r="G32947" s="40" t="s">
        <v>11404</v>
      </c>
      <c r="H32947" s="40" t="s">
        <v>11404</v>
      </c>
    </row>
    <row r="32948">
      <c r="A32948" s="39"/>
      <c r="E32948" s="40" t="s">
        <v>11404</v>
      </c>
      <c r="F32948" s="40" t="s">
        <v>11404</v>
      </c>
      <c r="G32948" s="40" t="s">
        <v>11404</v>
      </c>
      <c r="H32948" s="40" t="s">
        <v>11404</v>
      </c>
    </row>
    <row r="32949">
      <c r="A32949" s="39"/>
      <c r="E32949" s="40" t="s">
        <v>11404</v>
      </c>
      <c r="F32949" s="40" t="s">
        <v>11404</v>
      </c>
      <c r="G32949" s="40" t="s">
        <v>11404</v>
      </c>
      <c r="H32949" s="40" t="s">
        <v>11404</v>
      </c>
    </row>
    <row r="32950">
      <c r="A32950" s="39"/>
      <c r="E32950" s="40" t="s">
        <v>11404</v>
      </c>
      <c r="F32950" s="40" t="s">
        <v>11404</v>
      </c>
      <c r="G32950" s="40" t="s">
        <v>11404</v>
      </c>
      <c r="H32950" s="40" t="s">
        <v>11404</v>
      </c>
    </row>
    <row r="32951">
      <c r="A32951" s="39"/>
      <c r="E32951" s="40" t="s">
        <v>11404</v>
      </c>
      <c r="F32951" s="40" t="s">
        <v>11404</v>
      </c>
      <c r="G32951" s="40" t="s">
        <v>11404</v>
      </c>
      <c r="H32951" s="40" t="s">
        <v>11404</v>
      </c>
    </row>
    <row r="32952">
      <c r="A32952" s="39"/>
      <c r="E32952" s="40" t="s">
        <v>11404</v>
      </c>
      <c r="F32952" s="40" t="s">
        <v>11404</v>
      </c>
      <c r="G32952" s="40" t="s">
        <v>11404</v>
      </c>
      <c r="H32952" s="40" t="s">
        <v>11404</v>
      </c>
    </row>
    <row r="32953">
      <c r="A32953" s="39"/>
      <c r="E32953" s="40" t="s">
        <v>11404</v>
      </c>
      <c r="F32953" s="40" t="s">
        <v>11404</v>
      </c>
      <c r="G32953" s="40" t="s">
        <v>11404</v>
      </c>
      <c r="H32953" s="40" t="s">
        <v>11404</v>
      </c>
    </row>
    <row r="32954">
      <c r="A32954" s="39"/>
      <c r="E32954" s="40" t="s">
        <v>11404</v>
      </c>
      <c r="F32954" s="40" t="s">
        <v>11404</v>
      </c>
      <c r="G32954" s="40" t="s">
        <v>11404</v>
      </c>
      <c r="H32954" s="40" t="s">
        <v>11404</v>
      </c>
    </row>
    <row r="32955">
      <c r="A32955" s="39"/>
      <c r="E32955" s="40" t="s">
        <v>11404</v>
      </c>
      <c r="F32955" s="40" t="s">
        <v>11404</v>
      </c>
      <c r="G32955" s="40" t="s">
        <v>11404</v>
      </c>
      <c r="H32955" s="40" t="s">
        <v>11404</v>
      </c>
    </row>
    <row r="32956">
      <c r="A32956" s="39"/>
      <c r="E32956" s="40" t="s">
        <v>11404</v>
      </c>
      <c r="F32956" s="40" t="s">
        <v>11404</v>
      </c>
      <c r="G32956" s="40" t="s">
        <v>11404</v>
      </c>
      <c r="H32956" s="40" t="s">
        <v>11404</v>
      </c>
    </row>
    <row r="32957">
      <c r="A32957" s="39"/>
      <c r="E32957" s="40" t="s">
        <v>11404</v>
      </c>
      <c r="F32957" s="40" t="s">
        <v>11404</v>
      </c>
      <c r="G32957" s="40" t="s">
        <v>11404</v>
      </c>
      <c r="H32957" s="40" t="s">
        <v>11404</v>
      </c>
    </row>
    <row r="32958">
      <c r="A32958" s="39"/>
      <c r="E32958" s="40" t="s">
        <v>11404</v>
      </c>
      <c r="F32958" s="40" t="s">
        <v>11404</v>
      </c>
      <c r="G32958" s="40" t="s">
        <v>11404</v>
      </c>
      <c r="H32958" s="40" t="s">
        <v>11404</v>
      </c>
    </row>
    <row r="32959">
      <c r="A32959" s="39"/>
      <c r="E32959" s="40" t="s">
        <v>11404</v>
      </c>
      <c r="F32959" s="40" t="s">
        <v>11404</v>
      </c>
      <c r="G32959" s="40" t="s">
        <v>11404</v>
      </c>
      <c r="H32959" s="40" t="s">
        <v>11404</v>
      </c>
    </row>
    <row r="32960">
      <c r="A32960" s="39"/>
      <c r="E32960" s="40" t="s">
        <v>11404</v>
      </c>
      <c r="F32960" s="40" t="s">
        <v>11404</v>
      </c>
      <c r="G32960" s="40" t="s">
        <v>11404</v>
      </c>
      <c r="H32960" s="40" t="s">
        <v>11404</v>
      </c>
    </row>
    <row r="32961">
      <c r="A32961" s="39"/>
      <c r="E32961" s="40" t="s">
        <v>11404</v>
      </c>
      <c r="F32961" s="40" t="s">
        <v>11404</v>
      </c>
      <c r="G32961" s="40" t="s">
        <v>11404</v>
      </c>
      <c r="H32961" s="40" t="s">
        <v>11404</v>
      </c>
    </row>
    <row r="32962">
      <c r="A32962" s="39"/>
      <c r="E32962" s="40" t="s">
        <v>11404</v>
      </c>
      <c r="F32962" s="40" t="s">
        <v>11404</v>
      </c>
      <c r="G32962" s="40" t="s">
        <v>11404</v>
      </c>
      <c r="H32962" s="40" t="s">
        <v>11404</v>
      </c>
    </row>
    <row r="32963">
      <c r="A32963" s="39"/>
      <c r="E32963" s="40" t="s">
        <v>11404</v>
      </c>
      <c r="F32963" s="40" t="s">
        <v>11404</v>
      </c>
      <c r="G32963" s="40" t="s">
        <v>11404</v>
      </c>
      <c r="H32963" s="40" t="s">
        <v>11404</v>
      </c>
    </row>
    <row r="32964">
      <c r="A32964" s="39"/>
      <c r="E32964" s="40" t="s">
        <v>11404</v>
      </c>
      <c r="F32964" s="40" t="s">
        <v>11404</v>
      </c>
      <c r="G32964" s="40" t="s">
        <v>11404</v>
      </c>
      <c r="H32964" s="40" t="s">
        <v>11404</v>
      </c>
    </row>
    <row r="32965">
      <c r="A32965" s="39"/>
      <c r="E32965" s="40" t="s">
        <v>11404</v>
      </c>
      <c r="F32965" s="40" t="s">
        <v>11404</v>
      </c>
      <c r="G32965" s="40" t="s">
        <v>11404</v>
      </c>
      <c r="H32965" s="40" t="s">
        <v>11404</v>
      </c>
    </row>
    <row r="32966">
      <c r="A32966" s="39"/>
      <c r="E32966" s="40" t="s">
        <v>11404</v>
      </c>
      <c r="F32966" s="40" t="s">
        <v>11404</v>
      </c>
      <c r="G32966" s="40" t="s">
        <v>11404</v>
      </c>
      <c r="H32966" s="40" t="s">
        <v>11404</v>
      </c>
    </row>
    <row r="32967">
      <c r="A32967" s="39"/>
      <c r="E32967" s="40" t="s">
        <v>11404</v>
      </c>
      <c r="F32967" s="40" t="s">
        <v>11404</v>
      </c>
      <c r="G32967" s="40" t="s">
        <v>11404</v>
      </c>
      <c r="H32967" s="40" t="s">
        <v>11404</v>
      </c>
    </row>
    <row r="32968">
      <c r="A32968" s="39"/>
      <c r="E32968" s="40" t="s">
        <v>11404</v>
      </c>
      <c r="F32968" s="40" t="s">
        <v>11404</v>
      </c>
      <c r="G32968" s="40" t="s">
        <v>11404</v>
      </c>
      <c r="H32968" s="40" t="s">
        <v>11404</v>
      </c>
    </row>
    <row r="32969">
      <c r="A32969" s="39"/>
      <c r="E32969" s="40" t="s">
        <v>11404</v>
      </c>
      <c r="F32969" s="40" t="s">
        <v>11404</v>
      </c>
      <c r="G32969" s="40" t="s">
        <v>11404</v>
      </c>
      <c r="H32969" s="40" t="s">
        <v>11404</v>
      </c>
    </row>
    <row r="32970">
      <c r="A32970" s="39"/>
      <c r="E32970" s="40" t="s">
        <v>11404</v>
      </c>
      <c r="F32970" s="40" t="s">
        <v>11404</v>
      </c>
      <c r="G32970" s="40" t="s">
        <v>11404</v>
      </c>
      <c r="H32970" s="40" t="s">
        <v>11404</v>
      </c>
    </row>
    <row r="32971">
      <c r="A32971" s="39"/>
      <c r="E32971" s="40" t="s">
        <v>11404</v>
      </c>
      <c r="F32971" s="40" t="s">
        <v>11404</v>
      </c>
      <c r="G32971" s="40" t="s">
        <v>11404</v>
      </c>
      <c r="H32971" s="40" t="s">
        <v>11404</v>
      </c>
    </row>
    <row r="32972">
      <c r="A32972" s="39"/>
      <c r="E32972" s="40" t="s">
        <v>11404</v>
      </c>
      <c r="F32972" s="40" t="s">
        <v>11404</v>
      </c>
      <c r="G32972" s="40" t="s">
        <v>11404</v>
      </c>
      <c r="H32972" s="40" t="s">
        <v>11404</v>
      </c>
    </row>
    <row r="32973">
      <c r="A32973" s="39"/>
      <c r="E32973" s="40" t="s">
        <v>11404</v>
      </c>
      <c r="F32973" s="40" t="s">
        <v>11404</v>
      </c>
      <c r="G32973" s="40" t="s">
        <v>11404</v>
      </c>
      <c r="H32973" s="40" t="s">
        <v>11404</v>
      </c>
    </row>
    <row r="32974">
      <c r="A32974" s="39"/>
      <c r="E32974" s="40" t="s">
        <v>11404</v>
      </c>
      <c r="F32974" s="40" t="s">
        <v>11404</v>
      </c>
      <c r="G32974" s="40" t="s">
        <v>11404</v>
      </c>
      <c r="H32974" s="40" t="s">
        <v>11404</v>
      </c>
    </row>
    <row r="32975">
      <c r="A32975" s="39"/>
      <c r="E32975" s="40" t="s">
        <v>11404</v>
      </c>
      <c r="F32975" s="40" t="s">
        <v>11404</v>
      </c>
      <c r="G32975" s="40" t="s">
        <v>11404</v>
      </c>
      <c r="H32975" s="40" t="s">
        <v>11404</v>
      </c>
    </row>
    <row r="32976">
      <c r="A32976" s="39"/>
      <c r="E32976" s="40" t="s">
        <v>11404</v>
      </c>
      <c r="F32976" s="40" t="s">
        <v>11404</v>
      </c>
      <c r="G32976" s="40" t="s">
        <v>11404</v>
      </c>
      <c r="H32976" s="40" t="s">
        <v>11404</v>
      </c>
    </row>
    <row r="32977">
      <c r="A32977" s="39"/>
      <c r="E32977" s="40" t="s">
        <v>11404</v>
      </c>
      <c r="F32977" s="40" t="s">
        <v>11404</v>
      </c>
      <c r="G32977" s="40" t="s">
        <v>11404</v>
      </c>
      <c r="H32977" s="40" t="s">
        <v>11404</v>
      </c>
    </row>
    <row r="32978">
      <c r="A32978" s="39"/>
      <c r="E32978" s="40" t="s">
        <v>11404</v>
      </c>
      <c r="F32978" s="40" t="s">
        <v>11404</v>
      </c>
      <c r="G32978" s="40" t="s">
        <v>11404</v>
      </c>
      <c r="H32978" s="40" t="s">
        <v>11404</v>
      </c>
    </row>
    <row r="32979">
      <c r="A32979" s="39"/>
      <c r="E32979" s="40" t="s">
        <v>11404</v>
      </c>
      <c r="F32979" s="40" t="s">
        <v>11404</v>
      </c>
      <c r="G32979" s="40" t="s">
        <v>11404</v>
      </c>
      <c r="H32979" s="40" t="s">
        <v>11404</v>
      </c>
    </row>
    <row r="32980">
      <c r="A32980" s="39"/>
      <c r="E32980" s="40" t="s">
        <v>11404</v>
      </c>
      <c r="F32980" s="40" t="s">
        <v>11404</v>
      </c>
      <c r="G32980" s="40" t="s">
        <v>11404</v>
      </c>
      <c r="H32980" s="40" t="s">
        <v>11404</v>
      </c>
    </row>
    <row r="32981">
      <c r="A32981" s="39"/>
      <c r="E32981" s="40" t="s">
        <v>11404</v>
      </c>
      <c r="F32981" s="40" t="s">
        <v>11404</v>
      </c>
      <c r="G32981" s="40" t="s">
        <v>11404</v>
      </c>
      <c r="H32981" s="40" t="s">
        <v>11404</v>
      </c>
    </row>
    <row r="32982">
      <c r="A32982" s="39"/>
      <c r="E32982" s="40" t="s">
        <v>11404</v>
      </c>
      <c r="F32982" s="40" t="s">
        <v>11404</v>
      </c>
      <c r="G32982" s="40" t="s">
        <v>11404</v>
      </c>
      <c r="H32982" s="40" t="s">
        <v>11404</v>
      </c>
    </row>
    <row r="32983">
      <c r="A32983" s="39"/>
      <c r="E32983" s="40" t="s">
        <v>11404</v>
      </c>
      <c r="F32983" s="40" t="s">
        <v>11404</v>
      </c>
      <c r="G32983" s="40" t="s">
        <v>11404</v>
      </c>
      <c r="H32983" s="40" t="s">
        <v>11404</v>
      </c>
    </row>
    <row r="32984">
      <c r="A32984" s="39"/>
      <c r="E32984" s="40" t="s">
        <v>11404</v>
      </c>
      <c r="F32984" s="40" t="s">
        <v>11404</v>
      </c>
      <c r="G32984" s="40" t="s">
        <v>11404</v>
      </c>
      <c r="H32984" s="40" t="s">
        <v>11404</v>
      </c>
    </row>
    <row r="32985">
      <c r="A32985" s="39"/>
      <c r="E32985" s="40" t="s">
        <v>11404</v>
      </c>
      <c r="F32985" s="40" t="s">
        <v>11404</v>
      </c>
      <c r="G32985" s="40" t="s">
        <v>11404</v>
      </c>
      <c r="H32985" s="40" t="s">
        <v>11404</v>
      </c>
    </row>
    <row r="32986">
      <c r="A32986" s="39"/>
      <c r="E32986" s="40" t="s">
        <v>11404</v>
      </c>
      <c r="F32986" s="40" t="s">
        <v>11404</v>
      </c>
      <c r="G32986" s="40" t="s">
        <v>11404</v>
      </c>
      <c r="H32986" s="40" t="s">
        <v>11404</v>
      </c>
    </row>
    <row r="32987">
      <c r="A32987" s="39"/>
      <c r="E32987" s="40" t="s">
        <v>11404</v>
      </c>
      <c r="F32987" s="40" t="s">
        <v>11404</v>
      </c>
      <c r="G32987" s="40" t="s">
        <v>11404</v>
      </c>
      <c r="H32987" s="40" t="s">
        <v>11404</v>
      </c>
    </row>
    <row r="32988">
      <c r="A32988" s="39"/>
      <c r="E32988" s="40" t="s">
        <v>11404</v>
      </c>
      <c r="F32988" s="40" t="s">
        <v>11404</v>
      </c>
      <c r="G32988" s="40" t="s">
        <v>11404</v>
      </c>
      <c r="H32988" s="40" t="s">
        <v>11404</v>
      </c>
    </row>
    <row r="32989">
      <c r="A32989" s="39"/>
      <c r="E32989" s="40" t="s">
        <v>11404</v>
      </c>
      <c r="F32989" s="40" t="s">
        <v>11404</v>
      </c>
      <c r="G32989" s="40" t="s">
        <v>11404</v>
      </c>
      <c r="H32989" s="40" t="s">
        <v>11404</v>
      </c>
    </row>
    <row r="32990">
      <c r="A32990" s="39"/>
      <c r="E32990" s="40" t="s">
        <v>11404</v>
      </c>
      <c r="F32990" s="40" t="s">
        <v>11404</v>
      </c>
      <c r="G32990" s="40" t="s">
        <v>11404</v>
      </c>
      <c r="H32990" s="40" t="s">
        <v>11404</v>
      </c>
    </row>
    <row r="32991">
      <c r="A32991" s="39"/>
      <c r="E32991" s="40" t="s">
        <v>11404</v>
      </c>
      <c r="F32991" s="40" t="s">
        <v>11404</v>
      </c>
      <c r="G32991" s="40" t="s">
        <v>11404</v>
      </c>
      <c r="H32991" s="40" t="s">
        <v>11404</v>
      </c>
    </row>
    <row r="32992">
      <c r="A32992" s="39"/>
      <c r="E32992" s="40" t="s">
        <v>11404</v>
      </c>
      <c r="F32992" s="40" t="s">
        <v>11404</v>
      </c>
      <c r="G32992" s="40" t="s">
        <v>11404</v>
      </c>
      <c r="H32992" s="40" t="s">
        <v>11404</v>
      </c>
    </row>
    <row r="32993">
      <c r="A32993" s="39"/>
      <c r="E32993" s="40" t="s">
        <v>11404</v>
      </c>
      <c r="F32993" s="40" t="s">
        <v>11404</v>
      </c>
      <c r="G32993" s="40" t="s">
        <v>11404</v>
      </c>
      <c r="H32993" s="40" t="s">
        <v>11404</v>
      </c>
    </row>
    <row r="32994">
      <c r="A32994" s="39"/>
      <c r="E32994" s="40" t="s">
        <v>11404</v>
      </c>
      <c r="F32994" s="40" t="s">
        <v>11404</v>
      </c>
      <c r="G32994" s="40" t="s">
        <v>11404</v>
      </c>
      <c r="H32994" s="40" t="s">
        <v>11404</v>
      </c>
    </row>
    <row r="32995">
      <c r="A32995" s="39"/>
      <c r="E32995" s="40" t="s">
        <v>11404</v>
      </c>
      <c r="F32995" s="40" t="s">
        <v>11404</v>
      </c>
      <c r="G32995" s="40" t="s">
        <v>11404</v>
      </c>
      <c r="H32995" s="40" t="s">
        <v>11404</v>
      </c>
    </row>
    <row r="32996">
      <c r="A32996" s="39"/>
      <c r="E32996" s="40" t="s">
        <v>11404</v>
      </c>
      <c r="F32996" s="40" t="s">
        <v>11404</v>
      </c>
      <c r="G32996" s="40" t="s">
        <v>11404</v>
      </c>
      <c r="H32996" s="40" t="s">
        <v>11404</v>
      </c>
    </row>
    <row r="32997">
      <c r="A32997" s="39"/>
      <c r="E32997" s="40" t="s">
        <v>11404</v>
      </c>
      <c r="F32997" s="40" t="s">
        <v>11404</v>
      </c>
      <c r="G32997" s="40" t="s">
        <v>11404</v>
      </c>
      <c r="H32997" s="40" t="s">
        <v>11404</v>
      </c>
    </row>
    <row r="32998">
      <c r="A32998" s="39"/>
      <c r="E32998" s="40" t="s">
        <v>11404</v>
      </c>
      <c r="F32998" s="40" t="s">
        <v>11404</v>
      </c>
      <c r="G32998" s="40" t="s">
        <v>11404</v>
      </c>
      <c r="H32998" s="40" t="s">
        <v>11404</v>
      </c>
    </row>
    <row r="32999">
      <c r="A32999" s="39"/>
      <c r="E32999" s="40" t="s">
        <v>11404</v>
      </c>
      <c r="F32999" s="40" t="s">
        <v>11404</v>
      </c>
      <c r="G32999" s="40" t="s">
        <v>11404</v>
      </c>
      <c r="H32999" s="40" t="s">
        <v>11404</v>
      </c>
    </row>
    <row r="33000">
      <c r="A33000" s="39"/>
      <c r="E33000" s="40" t="s">
        <v>11404</v>
      </c>
      <c r="F33000" s="40" t="s">
        <v>11404</v>
      </c>
      <c r="G33000" s="40" t="s">
        <v>11404</v>
      </c>
      <c r="H33000" s="40" t="s">
        <v>11404</v>
      </c>
    </row>
    <row r="33001">
      <c r="A33001" s="39"/>
      <c r="E33001" s="40" t="s">
        <v>11404</v>
      </c>
      <c r="F33001" s="40" t="s">
        <v>11404</v>
      </c>
      <c r="G33001" s="40" t="s">
        <v>11404</v>
      </c>
      <c r="H33001" s="40" t="s">
        <v>11404</v>
      </c>
    </row>
    <row r="33002">
      <c r="A33002" s="39"/>
      <c r="E33002" s="40" t="s">
        <v>11404</v>
      </c>
      <c r="F33002" s="40" t="s">
        <v>11404</v>
      </c>
      <c r="G33002" s="40" t="s">
        <v>11404</v>
      </c>
      <c r="H33002" s="40" t="s">
        <v>11404</v>
      </c>
    </row>
    <row r="33003">
      <c r="A33003" s="39"/>
      <c r="E33003" s="40" t="s">
        <v>11404</v>
      </c>
      <c r="F33003" s="40" t="s">
        <v>11404</v>
      </c>
      <c r="G33003" s="40" t="s">
        <v>11404</v>
      </c>
      <c r="H33003" s="40" t="s">
        <v>11404</v>
      </c>
    </row>
    <row r="33004">
      <c r="A33004" s="39"/>
      <c r="E33004" s="40" t="s">
        <v>11404</v>
      </c>
      <c r="F33004" s="40" t="s">
        <v>11404</v>
      </c>
      <c r="G33004" s="40" t="s">
        <v>11404</v>
      </c>
      <c r="H33004" s="40" t="s">
        <v>11404</v>
      </c>
    </row>
    <row r="33005">
      <c r="A33005" s="39"/>
      <c r="E33005" s="40" t="s">
        <v>11404</v>
      </c>
      <c r="F33005" s="40" t="s">
        <v>11404</v>
      </c>
      <c r="G33005" s="40" t="s">
        <v>11404</v>
      </c>
      <c r="H33005" s="40" t="s">
        <v>11404</v>
      </c>
    </row>
    <row r="33006">
      <c r="A33006" s="39"/>
      <c r="E33006" s="40" t="s">
        <v>11404</v>
      </c>
      <c r="F33006" s="40" t="s">
        <v>11404</v>
      </c>
      <c r="G33006" s="40" t="s">
        <v>11404</v>
      </c>
      <c r="H33006" s="40" t="s">
        <v>11404</v>
      </c>
    </row>
    <row r="33007">
      <c r="A33007" s="39"/>
      <c r="E33007" s="40" t="s">
        <v>11404</v>
      </c>
      <c r="F33007" s="40" t="s">
        <v>11404</v>
      </c>
      <c r="G33007" s="40" t="s">
        <v>11404</v>
      </c>
      <c r="H33007" s="40" t="s">
        <v>11404</v>
      </c>
    </row>
    <row r="33008">
      <c r="A33008" s="39"/>
      <c r="E33008" s="40" t="s">
        <v>11404</v>
      </c>
      <c r="F33008" s="40" t="s">
        <v>11404</v>
      </c>
      <c r="G33008" s="40" t="s">
        <v>11404</v>
      </c>
      <c r="H33008" s="40" t="s">
        <v>11404</v>
      </c>
    </row>
    <row r="33009">
      <c r="A33009" s="39"/>
      <c r="E33009" s="40" t="s">
        <v>11404</v>
      </c>
      <c r="F33009" s="40" t="s">
        <v>11404</v>
      </c>
      <c r="G33009" s="40" t="s">
        <v>11404</v>
      </c>
      <c r="H33009" s="40" t="s">
        <v>11404</v>
      </c>
    </row>
    <row r="33010">
      <c r="A33010" s="39"/>
      <c r="E33010" s="40" t="s">
        <v>11404</v>
      </c>
      <c r="F33010" s="40" t="s">
        <v>11404</v>
      </c>
      <c r="G33010" s="40" t="s">
        <v>11404</v>
      </c>
      <c r="H33010" s="40" t="s">
        <v>11404</v>
      </c>
    </row>
    <row r="33011">
      <c r="A33011" s="39"/>
      <c r="E33011" s="40" t="s">
        <v>11404</v>
      </c>
      <c r="F33011" s="40" t="s">
        <v>11404</v>
      </c>
      <c r="G33011" s="40" t="s">
        <v>11404</v>
      </c>
      <c r="H33011" s="40" t="s">
        <v>11404</v>
      </c>
    </row>
    <row r="33012">
      <c r="A33012" s="39"/>
      <c r="E33012" s="40" t="s">
        <v>11404</v>
      </c>
      <c r="F33012" s="40" t="s">
        <v>11404</v>
      </c>
      <c r="G33012" s="40" t="s">
        <v>11404</v>
      </c>
      <c r="H33012" s="40" t="s">
        <v>11404</v>
      </c>
    </row>
    <row r="33013">
      <c r="A33013" s="39"/>
      <c r="E33013" s="40" t="s">
        <v>11404</v>
      </c>
      <c r="F33013" s="40" t="s">
        <v>11404</v>
      </c>
      <c r="G33013" s="40" t="s">
        <v>11404</v>
      </c>
      <c r="H33013" s="40" t="s">
        <v>11404</v>
      </c>
    </row>
    <row r="33014">
      <c r="A33014" s="39"/>
      <c r="E33014" s="40" t="s">
        <v>11404</v>
      </c>
      <c r="F33014" s="40" t="s">
        <v>11404</v>
      </c>
      <c r="G33014" s="40" t="s">
        <v>11404</v>
      </c>
      <c r="H33014" s="40" t="s">
        <v>11404</v>
      </c>
    </row>
    <row r="33015">
      <c r="A33015" s="39"/>
      <c r="E33015" s="40" t="s">
        <v>11404</v>
      </c>
      <c r="F33015" s="40" t="s">
        <v>11404</v>
      </c>
      <c r="G33015" s="40" t="s">
        <v>11404</v>
      </c>
      <c r="H33015" s="40" t="s">
        <v>11404</v>
      </c>
    </row>
    <row r="33016">
      <c r="A33016" s="39"/>
      <c r="E33016" s="40" t="s">
        <v>11404</v>
      </c>
      <c r="F33016" s="40" t="s">
        <v>11404</v>
      </c>
      <c r="G33016" s="40" t="s">
        <v>11404</v>
      </c>
      <c r="H33016" s="40" t="s">
        <v>11404</v>
      </c>
    </row>
    <row r="33017">
      <c r="A33017" s="39"/>
      <c r="E33017" s="40" t="s">
        <v>11404</v>
      </c>
      <c r="F33017" s="40" t="s">
        <v>11404</v>
      </c>
      <c r="G33017" s="40" t="s">
        <v>11404</v>
      </c>
      <c r="H33017" s="40" t="s">
        <v>11404</v>
      </c>
    </row>
    <row r="33018">
      <c r="A33018" s="39"/>
      <c r="E33018" s="40" t="s">
        <v>11404</v>
      </c>
      <c r="F33018" s="40" t="s">
        <v>11404</v>
      </c>
      <c r="G33018" s="40" t="s">
        <v>11404</v>
      </c>
      <c r="H33018" s="40" t="s">
        <v>11404</v>
      </c>
    </row>
    <row r="33019">
      <c r="A33019" s="39"/>
      <c r="E33019" s="40" t="s">
        <v>11404</v>
      </c>
      <c r="F33019" s="40" t="s">
        <v>11404</v>
      </c>
      <c r="G33019" s="40" t="s">
        <v>11404</v>
      </c>
      <c r="H33019" s="40" t="s">
        <v>11404</v>
      </c>
    </row>
    <row r="33020">
      <c r="A33020" s="39"/>
      <c r="E33020" s="40" t="s">
        <v>11404</v>
      </c>
      <c r="F33020" s="40" t="s">
        <v>11404</v>
      </c>
      <c r="G33020" s="40" t="s">
        <v>11404</v>
      </c>
      <c r="H33020" s="40" t="s">
        <v>11404</v>
      </c>
    </row>
    <row r="33021">
      <c r="A33021" s="39"/>
      <c r="E33021" s="40" t="s">
        <v>11404</v>
      </c>
      <c r="F33021" s="40" t="s">
        <v>11404</v>
      </c>
      <c r="G33021" s="40" t="s">
        <v>11404</v>
      </c>
      <c r="H33021" s="40" t="s">
        <v>11404</v>
      </c>
    </row>
    <row r="33022">
      <c r="A33022" s="39"/>
      <c r="E33022" s="40" t="s">
        <v>11404</v>
      </c>
      <c r="F33022" s="40" t="s">
        <v>11404</v>
      </c>
      <c r="G33022" s="40" t="s">
        <v>11404</v>
      </c>
      <c r="H33022" s="40" t="s">
        <v>11404</v>
      </c>
    </row>
    <row r="33023">
      <c r="A33023" s="39"/>
      <c r="E33023" s="40" t="s">
        <v>11404</v>
      </c>
      <c r="F33023" s="40" t="s">
        <v>11404</v>
      </c>
      <c r="G33023" s="40" t="s">
        <v>11404</v>
      </c>
      <c r="H33023" s="40" t="s">
        <v>11404</v>
      </c>
    </row>
    <row r="33024">
      <c r="A33024" s="39"/>
      <c r="E33024" s="40" t="s">
        <v>11404</v>
      </c>
      <c r="F33024" s="40" t="s">
        <v>11404</v>
      </c>
      <c r="G33024" s="40" t="s">
        <v>11404</v>
      </c>
      <c r="H33024" s="40" t="s">
        <v>11404</v>
      </c>
    </row>
    <row r="33025">
      <c r="A33025" s="39"/>
      <c r="E33025" s="40" t="s">
        <v>11404</v>
      </c>
      <c r="F33025" s="40" t="s">
        <v>11404</v>
      </c>
      <c r="G33025" s="40" t="s">
        <v>11404</v>
      </c>
      <c r="H33025" s="40" t="s">
        <v>11404</v>
      </c>
    </row>
    <row r="33026">
      <c r="A33026" s="39"/>
      <c r="E33026" s="40" t="s">
        <v>11404</v>
      </c>
      <c r="F33026" s="40" t="s">
        <v>11404</v>
      </c>
      <c r="G33026" s="40" t="s">
        <v>11404</v>
      </c>
      <c r="H33026" s="40" t="s">
        <v>11404</v>
      </c>
    </row>
    <row r="33027">
      <c r="A33027" s="39"/>
      <c r="E33027" s="40" t="s">
        <v>11404</v>
      </c>
      <c r="F33027" s="40" t="s">
        <v>11404</v>
      </c>
      <c r="G33027" s="40" t="s">
        <v>11404</v>
      </c>
      <c r="H33027" s="40" t="s">
        <v>11404</v>
      </c>
    </row>
    <row r="33028">
      <c r="A33028" s="39"/>
      <c r="E33028" s="40" t="s">
        <v>11404</v>
      </c>
      <c r="F33028" s="40" t="s">
        <v>11404</v>
      </c>
      <c r="G33028" s="40" t="s">
        <v>11404</v>
      </c>
      <c r="H33028" s="40" t="s">
        <v>11404</v>
      </c>
    </row>
    <row r="33029">
      <c r="A33029" s="39"/>
      <c r="E33029" s="40" t="s">
        <v>11404</v>
      </c>
      <c r="F33029" s="40" t="s">
        <v>11404</v>
      </c>
      <c r="G33029" s="40" t="s">
        <v>11404</v>
      </c>
      <c r="H33029" s="40" t="s">
        <v>11404</v>
      </c>
    </row>
    <row r="33030">
      <c r="A33030" s="39"/>
      <c r="E33030" s="40" t="s">
        <v>11404</v>
      </c>
      <c r="F33030" s="40" t="s">
        <v>11404</v>
      </c>
      <c r="G33030" s="40" t="s">
        <v>11404</v>
      </c>
      <c r="H33030" s="40" t="s">
        <v>11404</v>
      </c>
    </row>
    <row r="33031">
      <c r="A33031" s="39"/>
      <c r="E33031" s="40" t="s">
        <v>11404</v>
      </c>
      <c r="F33031" s="40" t="s">
        <v>11404</v>
      </c>
      <c r="G33031" s="40" t="s">
        <v>11404</v>
      </c>
      <c r="H33031" s="40" t="s">
        <v>11404</v>
      </c>
    </row>
    <row r="33032">
      <c r="A33032" s="39"/>
      <c r="E33032" s="40" t="s">
        <v>11404</v>
      </c>
      <c r="F33032" s="40" t="s">
        <v>11404</v>
      </c>
      <c r="G33032" s="40" t="s">
        <v>11404</v>
      </c>
      <c r="H33032" s="40" t="s">
        <v>11404</v>
      </c>
    </row>
    <row r="33033">
      <c r="A33033" s="39"/>
      <c r="E33033" s="40" t="s">
        <v>11404</v>
      </c>
      <c r="F33033" s="40" t="s">
        <v>11404</v>
      </c>
      <c r="G33033" s="40" t="s">
        <v>11404</v>
      </c>
      <c r="H33033" s="40" t="s">
        <v>11404</v>
      </c>
    </row>
    <row r="33034">
      <c r="A33034" s="39"/>
      <c r="E33034" s="40" t="s">
        <v>11404</v>
      </c>
      <c r="F33034" s="40" t="s">
        <v>11404</v>
      </c>
      <c r="G33034" s="40" t="s">
        <v>11404</v>
      </c>
      <c r="H33034" s="40" t="s">
        <v>11404</v>
      </c>
    </row>
    <row r="33035">
      <c r="A33035" s="39"/>
      <c r="E33035" s="40" t="s">
        <v>11404</v>
      </c>
      <c r="F33035" s="40" t="s">
        <v>11404</v>
      </c>
      <c r="G33035" s="40" t="s">
        <v>11404</v>
      </c>
      <c r="H33035" s="40" t="s">
        <v>11404</v>
      </c>
    </row>
    <row r="33036">
      <c r="A33036" s="39"/>
      <c r="E33036" s="40" t="s">
        <v>11404</v>
      </c>
      <c r="F33036" s="40" t="s">
        <v>11404</v>
      </c>
      <c r="G33036" s="40" t="s">
        <v>11404</v>
      </c>
      <c r="H33036" s="40" t="s">
        <v>11404</v>
      </c>
    </row>
    <row r="33037">
      <c r="A33037" s="39"/>
      <c r="E33037" s="40" t="s">
        <v>11404</v>
      </c>
      <c r="F33037" s="40" t="s">
        <v>11404</v>
      </c>
      <c r="G33037" s="40" t="s">
        <v>11404</v>
      </c>
      <c r="H33037" s="40" t="s">
        <v>11404</v>
      </c>
    </row>
    <row r="33038">
      <c r="A33038" s="39"/>
      <c r="E33038" s="40" t="s">
        <v>11404</v>
      </c>
      <c r="F33038" s="40" t="s">
        <v>11404</v>
      </c>
      <c r="G33038" s="40" t="s">
        <v>11404</v>
      </c>
      <c r="H33038" s="40" t="s">
        <v>11404</v>
      </c>
    </row>
    <row r="33039">
      <c r="A33039" s="39"/>
      <c r="E33039" s="40" t="s">
        <v>11404</v>
      </c>
      <c r="F33039" s="40" t="s">
        <v>11404</v>
      </c>
      <c r="G33039" s="40" t="s">
        <v>11404</v>
      </c>
      <c r="H33039" s="40" t="s">
        <v>11404</v>
      </c>
    </row>
    <row r="33040">
      <c r="A33040" s="39"/>
      <c r="E33040" s="40" t="s">
        <v>11404</v>
      </c>
      <c r="F33040" s="40" t="s">
        <v>11404</v>
      </c>
      <c r="G33040" s="40" t="s">
        <v>11404</v>
      </c>
      <c r="H33040" s="40" t="s">
        <v>11404</v>
      </c>
    </row>
    <row r="33041">
      <c r="A33041" s="39"/>
      <c r="E33041" s="40" t="s">
        <v>11404</v>
      </c>
      <c r="F33041" s="40" t="s">
        <v>11404</v>
      </c>
      <c r="G33041" s="40" t="s">
        <v>11404</v>
      </c>
      <c r="H33041" s="40" t="s">
        <v>11404</v>
      </c>
    </row>
    <row r="33042">
      <c r="A33042" s="39"/>
      <c r="E33042" s="40" t="s">
        <v>11404</v>
      </c>
      <c r="F33042" s="40" t="s">
        <v>11404</v>
      </c>
      <c r="G33042" s="40" t="s">
        <v>11404</v>
      </c>
      <c r="H33042" s="40" t="s">
        <v>11404</v>
      </c>
    </row>
    <row r="33043">
      <c r="A33043" s="39"/>
      <c r="E33043" s="40" t="s">
        <v>11404</v>
      </c>
      <c r="F33043" s="40" t="s">
        <v>11404</v>
      </c>
      <c r="G33043" s="40" t="s">
        <v>11404</v>
      </c>
      <c r="H33043" s="40" t="s">
        <v>11404</v>
      </c>
    </row>
    <row r="33044">
      <c r="A33044" s="39"/>
      <c r="E33044" s="40" t="s">
        <v>11404</v>
      </c>
      <c r="F33044" s="40" t="s">
        <v>11404</v>
      </c>
      <c r="G33044" s="40" t="s">
        <v>11404</v>
      </c>
      <c r="H33044" s="40" t="s">
        <v>11404</v>
      </c>
    </row>
    <row r="33045">
      <c r="A33045" s="39"/>
      <c r="E33045" s="40" t="s">
        <v>11404</v>
      </c>
      <c r="F33045" s="40" t="s">
        <v>11404</v>
      </c>
      <c r="G33045" s="40" t="s">
        <v>11404</v>
      </c>
      <c r="H33045" s="40" t="s">
        <v>11404</v>
      </c>
    </row>
    <row r="33046">
      <c r="A33046" s="39"/>
      <c r="E33046" s="40" t="s">
        <v>11404</v>
      </c>
      <c r="F33046" s="40" t="s">
        <v>11404</v>
      </c>
      <c r="G33046" s="40" t="s">
        <v>11404</v>
      </c>
      <c r="H33046" s="40" t="s">
        <v>11404</v>
      </c>
    </row>
    <row r="33047">
      <c r="A33047" s="39"/>
      <c r="E33047" s="40" t="s">
        <v>11404</v>
      </c>
      <c r="F33047" s="40" t="s">
        <v>11404</v>
      </c>
      <c r="G33047" s="40" t="s">
        <v>11404</v>
      </c>
      <c r="H33047" s="40" t="s">
        <v>11404</v>
      </c>
    </row>
    <row r="33048">
      <c r="A33048" s="39"/>
      <c r="E33048" s="40" t="s">
        <v>11404</v>
      </c>
      <c r="F33048" s="40" t="s">
        <v>11404</v>
      </c>
      <c r="G33048" s="40" t="s">
        <v>11404</v>
      </c>
      <c r="H33048" s="40" t="s">
        <v>11404</v>
      </c>
    </row>
    <row r="33049">
      <c r="A33049" s="39"/>
      <c r="E33049" s="40" t="s">
        <v>11404</v>
      </c>
      <c r="F33049" s="40" t="s">
        <v>11404</v>
      </c>
      <c r="G33049" s="40" t="s">
        <v>11404</v>
      </c>
      <c r="H33049" s="40" t="s">
        <v>11404</v>
      </c>
    </row>
    <row r="33050">
      <c r="A33050" s="39"/>
      <c r="E33050" s="40" t="s">
        <v>11404</v>
      </c>
      <c r="F33050" s="40" t="s">
        <v>11404</v>
      </c>
      <c r="G33050" s="40" t="s">
        <v>11404</v>
      </c>
      <c r="H33050" s="40" t="s">
        <v>11404</v>
      </c>
    </row>
    <row r="33051">
      <c r="A33051" s="39"/>
      <c r="E33051" s="40" t="s">
        <v>11404</v>
      </c>
      <c r="F33051" s="40" t="s">
        <v>11404</v>
      </c>
      <c r="G33051" s="40" t="s">
        <v>11404</v>
      </c>
      <c r="H33051" s="40" t="s">
        <v>11404</v>
      </c>
    </row>
    <row r="33052">
      <c r="A33052" s="39"/>
      <c r="E33052" s="40" t="s">
        <v>11404</v>
      </c>
      <c r="F33052" s="40" t="s">
        <v>11404</v>
      </c>
      <c r="G33052" s="40" t="s">
        <v>11404</v>
      </c>
      <c r="H33052" s="40" t="s">
        <v>11404</v>
      </c>
    </row>
    <row r="33053">
      <c r="A33053" s="39"/>
      <c r="E33053" s="40" t="s">
        <v>11404</v>
      </c>
      <c r="F33053" s="40" t="s">
        <v>11404</v>
      </c>
      <c r="G33053" s="40" t="s">
        <v>11404</v>
      </c>
      <c r="H33053" s="40" t="s">
        <v>11404</v>
      </c>
    </row>
    <row r="33054">
      <c r="A33054" s="39"/>
      <c r="E33054" s="40" t="s">
        <v>11404</v>
      </c>
      <c r="F33054" s="40" t="s">
        <v>11404</v>
      </c>
      <c r="G33054" s="40" t="s">
        <v>11404</v>
      </c>
      <c r="H33054" s="40" t="s">
        <v>11404</v>
      </c>
    </row>
    <row r="33055">
      <c r="A33055" s="39"/>
      <c r="E33055" s="40" t="s">
        <v>11404</v>
      </c>
      <c r="F33055" s="40" t="s">
        <v>11404</v>
      </c>
      <c r="G33055" s="40" t="s">
        <v>11404</v>
      </c>
      <c r="H33055" s="40" t="s">
        <v>11404</v>
      </c>
    </row>
    <row r="33056">
      <c r="A33056" s="39"/>
      <c r="E33056" s="40" t="s">
        <v>11404</v>
      </c>
      <c r="F33056" s="40" t="s">
        <v>11404</v>
      </c>
      <c r="G33056" s="40" t="s">
        <v>11404</v>
      </c>
      <c r="H33056" s="40" t="s">
        <v>11404</v>
      </c>
    </row>
    <row r="33057">
      <c r="A33057" s="39"/>
      <c r="E33057" s="40" t="s">
        <v>11404</v>
      </c>
      <c r="F33057" s="40" t="s">
        <v>11404</v>
      </c>
      <c r="G33057" s="40" t="s">
        <v>11404</v>
      </c>
      <c r="H33057" s="40" t="s">
        <v>11404</v>
      </c>
    </row>
    <row r="33058">
      <c r="A33058" s="39"/>
      <c r="E33058" s="40" t="s">
        <v>11404</v>
      </c>
      <c r="F33058" s="40" t="s">
        <v>11404</v>
      </c>
      <c r="G33058" s="40" t="s">
        <v>11404</v>
      </c>
      <c r="H33058" s="40" t="s">
        <v>11404</v>
      </c>
    </row>
    <row r="33059">
      <c r="A33059" s="39"/>
      <c r="E33059" s="40" t="s">
        <v>11404</v>
      </c>
      <c r="F33059" s="40" t="s">
        <v>11404</v>
      </c>
      <c r="G33059" s="40" t="s">
        <v>11404</v>
      </c>
      <c r="H33059" s="40" t="s">
        <v>11404</v>
      </c>
    </row>
    <row r="33060">
      <c r="A33060" s="39"/>
      <c r="E33060" s="40" t="s">
        <v>11404</v>
      </c>
      <c r="F33060" s="40" t="s">
        <v>11404</v>
      </c>
      <c r="G33060" s="40" t="s">
        <v>11404</v>
      </c>
      <c r="H33060" s="40" t="s">
        <v>11404</v>
      </c>
    </row>
    <row r="33061">
      <c r="A33061" s="39"/>
      <c r="E33061" s="40" t="s">
        <v>11404</v>
      </c>
      <c r="F33061" s="40" t="s">
        <v>11404</v>
      </c>
      <c r="G33061" s="40" t="s">
        <v>11404</v>
      </c>
      <c r="H33061" s="40" t="s">
        <v>11404</v>
      </c>
    </row>
    <row r="33062">
      <c r="A33062" s="39"/>
      <c r="E33062" s="40" t="s">
        <v>11404</v>
      </c>
      <c r="F33062" s="40" t="s">
        <v>11404</v>
      </c>
      <c r="G33062" s="40" t="s">
        <v>11404</v>
      </c>
      <c r="H33062" s="40" t="s">
        <v>11404</v>
      </c>
    </row>
    <row r="33063">
      <c r="A33063" s="39"/>
      <c r="E33063" s="40" t="s">
        <v>11404</v>
      </c>
      <c r="F33063" s="40" t="s">
        <v>11404</v>
      </c>
      <c r="G33063" s="40" t="s">
        <v>11404</v>
      </c>
      <c r="H33063" s="40" t="s">
        <v>11404</v>
      </c>
    </row>
    <row r="33064">
      <c r="A33064" s="39"/>
      <c r="E33064" s="40" t="s">
        <v>11404</v>
      </c>
      <c r="F33064" s="40" t="s">
        <v>11404</v>
      </c>
      <c r="G33064" s="40" t="s">
        <v>11404</v>
      </c>
      <c r="H33064" s="40" t="s">
        <v>11404</v>
      </c>
    </row>
    <row r="33065">
      <c r="A33065" s="39"/>
      <c r="E33065" s="40" t="s">
        <v>11404</v>
      </c>
      <c r="F33065" s="40" t="s">
        <v>11404</v>
      </c>
      <c r="G33065" s="40" t="s">
        <v>11404</v>
      </c>
      <c r="H33065" s="40" t="s">
        <v>11404</v>
      </c>
    </row>
    <row r="33066">
      <c r="A33066" s="39"/>
      <c r="E33066" s="40" t="s">
        <v>11404</v>
      </c>
      <c r="F33066" s="40" t="s">
        <v>11404</v>
      </c>
      <c r="G33066" s="40" t="s">
        <v>11404</v>
      </c>
      <c r="H33066" s="40" t="s">
        <v>11404</v>
      </c>
    </row>
    <row r="33067">
      <c r="A33067" s="39"/>
      <c r="E33067" s="40" t="s">
        <v>11404</v>
      </c>
      <c r="F33067" s="40" t="s">
        <v>11404</v>
      </c>
      <c r="G33067" s="40" t="s">
        <v>11404</v>
      </c>
      <c r="H33067" s="40" t="s">
        <v>11404</v>
      </c>
    </row>
    <row r="33068">
      <c r="A33068" s="39"/>
      <c r="E33068" s="40" t="s">
        <v>11404</v>
      </c>
      <c r="F33068" s="40" t="s">
        <v>11404</v>
      </c>
      <c r="G33068" s="40" t="s">
        <v>11404</v>
      </c>
      <c r="H33068" s="40" t="s">
        <v>11404</v>
      </c>
    </row>
    <row r="33069">
      <c r="A33069" s="39"/>
      <c r="E33069" s="40" t="s">
        <v>11404</v>
      </c>
      <c r="F33069" s="40" t="s">
        <v>11404</v>
      </c>
      <c r="G33069" s="40" t="s">
        <v>11404</v>
      </c>
      <c r="H33069" s="40" t="s">
        <v>11404</v>
      </c>
    </row>
    <row r="33070">
      <c r="A33070" s="39"/>
      <c r="E33070" s="40" t="s">
        <v>11404</v>
      </c>
      <c r="F33070" s="40" t="s">
        <v>11404</v>
      </c>
      <c r="G33070" s="40" t="s">
        <v>11404</v>
      </c>
      <c r="H33070" s="40" t="s">
        <v>11404</v>
      </c>
    </row>
    <row r="33071">
      <c r="A33071" s="39"/>
      <c r="E33071" s="40" t="s">
        <v>11404</v>
      </c>
      <c r="F33071" s="40" t="s">
        <v>11404</v>
      </c>
      <c r="G33071" s="40" t="s">
        <v>11404</v>
      </c>
      <c r="H33071" s="40" t="s">
        <v>11404</v>
      </c>
    </row>
    <row r="33072">
      <c r="A33072" s="39"/>
      <c r="E33072" s="40" t="s">
        <v>11404</v>
      </c>
      <c r="F33072" s="40" t="s">
        <v>11404</v>
      </c>
      <c r="G33072" s="40" t="s">
        <v>11404</v>
      </c>
      <c r="H33072" s="40" t="s">
        <v>11404</v>
      </c>
    </row>
    <row r="33073">
      <c r="A33073" s="39"/>
      <c r="E33073" s="40" t="s">
        <v>11404</v>
      </c>
      <c r="F33073" s="40" t="s">
        <v>11404</v>
      </c>
      <c r="G33073" s="40" t="s">
        <v>11404</v>
      </c>
      <c r="H33073" s="40" t="s">
        <v>11404</v>
      </c>
    </row>
    <row r="33074">
      <c r="A33074" s="39"/>
      <c r="E33074" s="40" t="s">
        <v>11404</v>
      </c>
      <c r="F33074" s="40" t="s">
        <v>11404</v>
      </c>
      <c r="G33074" s="40" t="s">
        <v>11404</v>
      </c>
      <c r="H33074" s="40" t="s">
        <v>11404</v>
      </c>
    </row>
    <row r="33075">
      <c r="A33075" s="39"/>
      <c r="E33075" s="40" t="s">
        <v>11404</v>
      </c>
      <c r="F33075" s="40" t="s">
        <v>11404</v>
      </c>
      <c r="G33075" s="40" t="s">
        <v>11404</v>
      </c>
      <c r="H33075" s="40" t="s">
        <v>11404</v>
      </c>
    </row>
    <row r="33076">
      <c r="A33076" s="39"/>
      <c r="E33076" s="40" t="s">
        <v>11404</v>
      </c>
      <c r="F33076" s="40" t="s">
        <v>11404</v>
      </c>
      <c r="G33076" s="40" t="s">
        <v>11404</v>
      </c>
      <c r="H33076" s="40" t="s">
        <v>11404</v>
      </c>
    </row>
    <row r="33077">
      <c r="A33077" s="39"/>
      <c r="E33077" s="40" t="s">
        <v>11404</v>
      </c>
      <c r="F33077" s="40" t="s">
        <v>11404</v>
      </c>
      <c r="G33077" s="40" t="s">
        <v>11404</v>
      </c>
      <c r="H33077" s="40" t="s">
        <v>11404</v>
      </c>
    </row>
    <row r="33078">
      <c r="A33078" s="39"/>
      <c r="E33078" s="40" t="s">
        <v>11404</v>
      </c>
      <c r="F33078" s="40" t="s">
        <v>11404</v>
      </c>
      <c r="G33078" s="40" t="s">
        <v>11404</v>
      </c>
      <c r="H33078" s="40" t="s">
        <v>11404</v>
      </c>
    </row>
    <row r="33079">
      <c r="A33079" s="39"/>
      <c r="E33079" s="40" t="s">
        <v>11404</v>
      </c>
      <c r="F33079" s="40" t="s">
        <v>11404</v>
      </c>
      <c r="G33079" s="40" t="s">
        <v>11404</v>
      </c>
      <c r="H33079" s="40" t="s">
        <v>11404</v>
      </c>
    </row>
    <row r="33080">
      <c r="A33080" s="39"/>
      <c r="E33080" s="40" t="s">
        <v>11404</v>
      </c>
      <c r="F33080" s="40" t="s">
        <v>11404</v>
      </c>
      <c r="G33080" s="40" t="s">
        <v>11404</v>
      </c>
      <c r="H33080" s="40" t="s">
        <v>11404</v>
      </c>
    </row>
    <row r="33081">
      <c r="A33081" s="39"/>
      <c r="E33081" s="40" t="s">
        <v>11404</v>
      </c>
      <c r="F33081" s="40" t="s">
        <v>11404</v>
      </c>
      <c r="G33081" s="40" t="s">
        <v>11404</v>
      </c>
      <c r="H33081" s="40" t="s">
        <v>11404</v>
      </c>
    </row>
    <row r="33082">
      <c r="A33082" s="39"/>
      <c r="E33082" s="40" t="s">
        <v>11404</v>
      </c>
      <c r="F33082" s="40" t="s">
        <v>11404</v>
      </c>
      <c r="G33082" s="40" t="s">
        <v>11404</v>
      </c>
      <c r="H33082" s="40" t="s">
        <v>11404</v>
      </c>
    </row>
    <row r="33083">
      <c r="A33083" s="39"/>
      <c r="E33083" s="40" t="s">
        <v>11404</v>
      </c>
      <c r="F33083" s="40" t="s">
        <v>11404</v>
      </c>
      <c r="G33083" s="40" t="s">
        <v>11404</v>
      </c>
      <c r="H33083" s="40" t="s">
        <v>11404</v>
      </c>
    </row>
    <row r="33084">
      <c r="A33084" s="39"/>
      <c r="E33084" s="40" t="s">
        <v>11404</v>
      </c>
      <c r="F33084" s="40" t="s">
        <v>11404</v>
      </c>
      <c r="G33084" s="40" t="s">
        <v>11404</v>
      </c>
      <c r="H33084" s="40" t="s">
        <v>11404</v>
      </c>
    </row>
    <row r="33085">
      <c r="A33085" s="39"/>
      <c r="E33085" s="40" t="s">
        <v>11404</v>
      </c>
      <c r="F33085" s="40" t="s">
        <v>11404</v>
      </c>
      <c r="G33085" s="40" t="s">
        <v>11404</v>
      </c>
      <c r="H33085" s="40" t="s">
        <v>11404</v>
      </c>
    </row>
    <row r="33086">
      <c r="A33086" s="39"/>
      <c r="E33086" s="40" t="s">
        <v>11404</v>
      </c>
      <c r="F33086" s="40" t="s">
        <v>11404</v>
      </c>
      <c r="G33086" s="40" t="s">
        <v>11404</v>
      </c>
      <c r="H33086" s="40" t="s">
        <v>11404</v>
      </c>
    </row>
    <row r="33087">
      <c r="A33087" s="39"/>
      <c r="E33087" s="40" t="s">
        <v>11404</v>
      </c>
      <c r="F33087" s="40" t="s">
        <v>11404</v>
      </c>
      <c r="G33087" s="40" t="s">
        <v>11404</v>
      </c>
      <c r="H33087" s="40" t="s">
        <v>11404</v>
      </c>
    </row>
    <row r="33088">
      <c r="A33088" s="39"/>
      <c r="E33088" s="40" t="s">
        <v>11404</v>
      </c>
      <c r="F33088" s="40" t="s">
        <v>11404</v>
      </c>
      <c r="G33088" s="40" t="s">
        <v>11404</v>
      </c>
      <c r="H33088" s="40" t="s">
        <v>11404</v>
      </c>
    </row>
    <row r="33089">
      <c r="A33089" s="39"/>
      <c r="E33089" s="40" t="s">
        <v>11404</v>
      </c>
      <c r="F33089" s="40" t="s">
        <v>11404</v>
      </c>
      <c r="G33089" s="40" t="s">
        <v>11404</v>
      </c>
      <c r="H33089" s="40" t="s">
        <v>11404</v>
      </c>
    </row>
    <row r="33090">
      <c r="A33090" s="39"/>
      <c r="E33090" s="40" t="s">
        <v>11404</v>
      </c>
      <c r="F33090" s="40" t="s">
        <v>11404</v>
      </c>
      <c r="G33090" s="40" t="s">
        <v>11404</v>
      </c>
      <c r="H33090" s="40" t="s">
        <v>11404</v>
      </c>
    </row>
    <row r="33091">
      <c r="A33091" s="39"/>
      <c r="E33091" s="40" t="s">
        <v>11404</v>
      </c>
      <c r="F33091" s="40" t="s">
        <v>11404</v>
      </c>
      <c r="G33091" s="40" t="s">
        <v>11404</v>
      </c>
      <c r="H33091" s="40" t="s">
        <v>11404</v>
      </c>
    </row>
    <row r="33092">
      <c r="A33092" s="39"/>
      <c r="E33092" s="40" t="s">
        <v>11404</v>
      </c>
      <c r="F33092" s="40" t="s">
        <v>11404</v>
      </c>
      <c r="G33092" s="40" t="s">
        <v>11404</v>
      </c>
      <c r="H33092" s="40" t="s">
        <v>11404</v>
      </c>
    </row>
    <row r="33093">
      <c r="A33093" s="39"/>
      <c r="E33093" s="40" t="s">
        <v>11404</v>
      </c>
      <c r="F33093" s="40" t="s">
        <v>11404</v>
      </c>
      <c r="G33093" s="40" t="s">
        <v>11404</v>
      </c>
      <c r="H33093" s="40" t="s">
        <v>11404</v>
      </c>
    </row>
    <row r="33094">
      <c r="A33094" s="39"/>
      <c r="E33094" s="40" t="s">
        <v>11404</v>
      </c>
      <c r="F33094" s="40" t="s">
        <v>11404</v>
      </c>
      <c r="G33094" s="40" t="s">
        <v>11404</v>
      </c>
      <c r="H33094" s="40" t="s">
        <v>11404</v>
      </c>
    </row>
    <row r="33095">
      <c r="A33095" s="39"/>
      <c r="E33095" s="40" t="s">
        <v>11404</v>
      </c>
      <c r="F33095" s="40" t="s">
        <v>11404</v>
      </c>
      <c r="G33095" s="40" t="s">
        <v>11404</v>
      </c>
      <c r="H33095" s="40" t="s">
        <v>11404</v>
      </c>
    </row>
    <row r="33096">
      <c r="A33096" s="39"/>
      <c r="E33096" s="40" t="s">
        <v>11404</v>
      </c>
      <c r="F33096" s="40" t="s">
        <v>11404</v>
      </c>
      <c r="G33096" s="40" t="s">
        <v>11404</v>
      </c>
      <c r="H33096" s="40" t="s">
        <v>11404</v>
      </c>
    </row>
    <row r="33097">
      <c r="A33097" s="39"/>
      <c r="E33097" s="40" t="s">
        <v>11404</v>
      </c>
      <c r="F33097" s="40" t="s">
        <v>11404</v>
      </c>
      <c r="G33097" s="40" t="s">
        <v>11404</v>
      </c>
      <c r="H33097" s="40" t="s">
        <v>11404</v>
      </c>
    </row>
    <row r="33098">
      <c r="A33098" s="39"/>
      <c r="E33098" s="40" t="s">
        <v>11404</v>
      </c>
      <c r="F33098" s="40" t="s">
        <v>11404</v>
      </c>
      <c r="G33098" s="40" t="s">
        <v>11404</v>
      </c>
      <c r="H33098" s="40" t="s">
        <v>11404</v>
      </c>
    </row>
    <row r="33099">
      <c r="A33099" s="39"/>
      <c r="E33099" s="40" t="s">
        <v>11404</v>
      </c>
      <c r="F33099" s="40" t="s">
        <v>11404</v>
      </c>
      <c r="G33099" s="40" t="s">
        <v>11404</v>
      </c>
      <c r="H33099" s="40" t="s">
        <v>11404</v>
      </c>
    </row>
    <row r="33100">
      <c r="A33100" s="39"/>
      <c r="E33100" s="40" t="s">
        <v>11404</v>
      </c>
      <c r="F33100" s="40" t="s">
        <v>11404</v>
      </c>
      <c r="G33100" s="40" t="s">
        <v>11404</v>
      </c>
      <c r="H33100" s="40" t="s">
        <v>11404</v>
      </c>
    </row>
    <row r="33101">
      <c r="A33101" s="39"/>
      <c r="E33101" s="40" t="s">
        <v>11404</v>
      </c>
      <c r="F33101" s="40" t="s">
        <v>11404</v>
      </c>
      <c r="G33101" s="40" t="s">
        <v>11404</v>
      </c>
      <c r="H33101" s="40" t="s">
        <v>11404</v>
      </c>
    </row>
    <row r="33102">
      <c r="A33102" s="39"/>
      <c r="E33102" s="40" t="s">
        <v>11404</v>
      </c>
      <c r="F33102" s="40" t="s">
        <v>11404</v>
      </c>
      <c r="G33102" s="40" t="s">
        <v>11404</v>
      </c>
      <c r="H33102" s="40" t="s">
        <v>11404</v>
      </c>
    </row>
    <row r="33103">
      <c r="A33103" s="39"/>
      <c r="E33103" s="40" t="s">
        <v>11404</v>
      </c>
      <c r="F33103" s="40" t="s">
        <v>11404</v>
      </c>
      <c r="G33103" s="40" t="s">
        <v>11404</v>
      </c>
      <c r="H33103" s="40" t="s">
        <v>11404</v>
      </c>
    </row>
    <row r="33104">
      <c r="A33104" s="39"/>
      <c r="E33104" s="40" t="s">
        <v>11404</v>
      </c>
      <c r="F33104" s="40" t="s">
        <v>11404</v>
      </c>
      <c r="G33104" s="40" t="s">
        <v>11404</v>
      </c>
      <c r="H33104" s="40" t="s">
        <v>11404</v>
      </c>
    </row>
    <row r="33105">
      <c r="A33105" s="39"/>
      <c r="E33105" s="40" t="s">
        <v>11404</v>
      </c>
      <c r="F33105" s="40" t="s">
        <v>11404</v>
      </c>
      <c r="G33105" s="40" t="s">
        <v>11404</v>
      </c>
      <c r="H33105" s="40" t="s">
        <v>11404</v>
      </c>
    </row>
    <row r="33106">
      <c r="A33106" s="39"/>
      <c r="E33106" s="40" t="s">
        <v>11404</v>
      </c>
      <c r="F33106" s="40" t="s">
        <v>11404</v>
      </c>
      <c r="G33106" s="40" t="s">
        <v>11404</v>
      </c>
      <c r="H33106" s="40" t="s">
        <v>11404</v>
      </c>
    </row>
    <row r="33107">
      <c r="A33107" s="39"/>
      <c r="E33107" s="40" t="s">
        <v>11404</v>
      </c>
      <c r="F33107" s="40" t="s">
        <v>11404</v>
      </c>
      <c r="G33107" s="40" t="s">
        <v>11404</v>
      </c>
      <c r="H33107" s="40" t="s">
        <v>11404</v>
      </c>
    </row>
    <row r="33108">
      <c r="A33108" s="39"/>
      <c r="E33108" s="40" t="s">
        <v>11404</v>
      </c>
      <c r="F33108" s="40" t="s">
        <v>11404</v>
      </c>
      <c r="G33108" s="40" t="s">
        <v>11404</v>
      </c>
      <c r="H33108" s="40" t="s">
        <v>11404</v>
      </c>
    </row>
    <row r="33109">
      <c r="A33109" s="39"/>
      <c r="E33109" s="40" t="s">
        <v>11404</v>
      </c>
      <c r="F33109" s="40" t="s">
        <v>11404</v>
      </c>
      <c r="G33109" s="40" t="s">
        <v>11404</v>
      </c>
      <c r="H33109" s="40" t="s">
        <v>11404</v>
      </c>
    </row>
    <row r="33110">
      <c r="A33110" s="39"/>
      <c r="E33110" s="40" t="s">
        <v>11404</v>
      </c>
      <c r="F33110" s="40" t="s">
        <v>11404</v>
      </c>
      <c r="G33110" s="40" t="s">
        <v>11404</v>
      </c>
      <c r="H33110" s="40" t="s">
        <v>11404</v>
      </c>
    </row>
    <row r="33111">
      <c r="A33111" s="39"/>
      <c r="E33111" s="40" t="s">
        <v>11404</v>
      </c>
      <c r="F33111" s="40" t="s">
        <v>11404</v>
      </c>
      <c r="G33111" s="40" t="s">
        <v>11404</v>
      </c>
      <c r="H33111" s="40" t="s">
        <v>11404</v>
      </c>
    </row>
    <row r="33112">
      <c r="A33112" s="39"/>
      <c r="E33112" s="40" t="s">
        <v>11404</v>
      </c>
      <c r="F33112" s="40" t="s">
        <v>11404</v>
      </c>
      <c r="G33112" s="40" t="s">
        <v>11404</v>
      </c>
      <c r="H33112" s="40" t="s">
        <v>11404</v>
      </c>
    </row>
    <row r="33113">
      <c r="A33113" s="39"/>
      <c r="E33113" s="40" t="s">
        <v>11404</v>
      </c>
      <c r="F33113" s="40" t="s">
        <v>11404</v>
      </c>
      <c r="G33113" s="40" t="s">
        <v>11404</v>
      </c>
      <c r="H33113" s="40" t="s">
        <v>11404</v>
      </c>
    </row>
    <row r="33114">
      <c r="A33114" s="39"/>
      <c r="E33114" s="40" t="s">
        <v>11404</v>
      </c>
      <c r="F33114" s="40" t="s">
        <v>11404</v>
      </c>
      <c r="G33114" s="40" t="s">
        <v>11404</v>
      </c>
      <c r="H33114" s="40" t="s">
        <v>11404</v>
      </c>
    </row>
    <row r="33115">
      <c r="A33115" s="39"/>
      <c r="E33115" s="40" t="s">
        <v>11404</v>
      </c>
      <c r="F33115" s="40" t="s">
        <v>11404</v>
      </c>
      <c r="G33115" s="40" t="s">
        <v>11404</v>
      </c>
      <c r="H33115" s="40" t="s">
        <v>11404</v>
      </c>
    </row>
    <row r="33116">
      <c r="A33116" s="39"/>
      <c r="E33116" s="40" t="s">
        <v>11404</v>
      </c>
      <c r="F33116" s="40" t="s">
        <v>11404</v>
      </c>
      <c r="G33116" s="40" t="s">
        <v>11404</v>
      </c>
      <c r="H33116" s="40" t="s">
        <v>11404</v>
      </c>
    </row>
    <row r="33117">
      <c r="A33117" s="39"/>
      <c r="E33117" s="40" t="s">
        <v>11404</v>
      </c>
      <c r="F33117" s="40" t="s">
        <v>11404</v>
      </c>
      <c r="G33117" s="40" t="s">
        <v>11404</v>
      </c>
      <c r="H33117" s="40" t="s">
        <v>11404</v>
      </c>
    </row>
    <row r="33118">
      <c r="A33118" s="39"/>
      <c r="E33118" s="40" t="s">
        <v>11404</v>
      </c>
      <c r="F33118" s="40" t="s">
        <v>11404</v>
      </c>
      <c r="G33118" s="40" t="s">
        <v>11404</v>
      </c>
      <c r="H33118" s="40" t="s">
        <v>11404</v>
      </c>
    </row>
    <row r="33119">
      <c r="A33119" s="39"/>
      <c r="E33119" s="40" t="s">
        <v>11404</v>
      </c>
      <c r="F33119" s="40" t="s">
        <v>11404</v>
      </c>
      <c r="G33119" s="40" t="s">
        <v>11404</v>
      </c>
      <c r="H33119" s="40" t="s">
        <v>11404</v>
      </c>
    </row>
    <row r="33120">
      <c r="A33120" s="39"/>
      <c r="E33120" s="40" t="s">
        <v>11404</v>
      </c>
      <c r="F33120" s="40" t="s">
        <v>11404</v>
      </c>
      <c r="G33120" s="40" t="s">
        <v>11404</v>
      </c>
      <c r="H33120" s="40" t="s">
        <v>11404</v>
      </c>
    </row>
    <row r="33121">
      <c r="A33121" s="39"/>
      <c r="E33121" s="40" t="s">
        <v>11404</v>
      </c>
      <c r="F33121" s="40" t="s">
        <v>11404</v>
      </c>
      <c r="G33121" s="40" t="s">
        <v>11404</v>
      </c>
      <c r="H33121" s="40" t="s">
        <v>11404</v>
      </c>
    </row>
    <row r="33122">
      <c r="A33122" s="39"/>
      <c r="E33122" s="40" t="s">
        <v>11404</v>
      </c>
      <c r="F33122" s="40" t="s">
        <v>11404</v>
      </c>
      <c r="G33122" s="40" t="s">
        <v>11404</v>
      </c>
      <c r="H33122" s="40" t="s">
        <v>11404</v>
      </c>
    </row>
    <row r="33123">
      <c r="A33123" s="39"/>
      <c r="E33123" s="40" t="s">
        <v>11404</v>
      </c>
      <c r="F33123" s="40" t="s">
        <v>11404</v>
      </c>
      <c r="G33123" s="40" t="s">
        <v>11404</v>
      </c>
      <c r="H33123" s="40" t="s">
        <v>11404</v>
      </c>
    </row>
    <row r="33124">
      <c r="A33124" s="39"/>
      <c r="E33124" s="40" t="s">
        <v>11404</v>
      </c>
      <c r="F33124" s="40" t="s">
        <v>11404</v>
      </c>
      <c r="G33124" s="40" t="s">
        <v>11404</v>
      </c>
      <c r="H33124" s="40" t="s">
        <v>11404</v>
      </c>
    </row>
    <row r="33125">
      <c r="A33125" s="39"/>
      <c r="E33125" s="40" t="s">
        <v>11404</v>
      </c>
      <c r="F33125" s="40" t="s">
        <v>11404</v>
      </c>
      <c r="G33125" s="40" t="s">
        <v>11404</v>
      </c>
      <c r="H33125" s="40" t="s">
        <v>11404</v>
      </c>
    </row>
    <row r="33126">
      <c r="A33126" s="39"/>
      <c r="E33126" s="40" t="s">
        <v>11404</v>
      </c>
      <c r="F33126" s="40" t="s">
        <v>11404</v>
      </c>
      <c r="G33126" s="40" t="s">
        <v>11404</v>
      </c>
      <c r="H33126" s="40" t="s">
        <v>11404</v>
      </c>
    </row>
    <row r="33127">
      <c r="A33127" s="39"/>
      <c r="E33127" s="40" t="s">
        <v>11404</v>
      </c>
      <c r="F33127" s="40" t="s">
        <v>11404</v>
      </c>
      <c r="G33127" s="40" t="s">
        <v>11404</v>
      </c>
      <c r="H33127" s="40" t="s">
        <v>11404</v>
      </c>
    </row>
    <row r="33128">
      <c r="A33128" s="39"/>
      <c r="E33128" s="40" t="s">
        <v>11404</v>
      </c>
      <c r="F33128" s="40" t="s">
        <v>11404</v>
      </c>
      <c r="G33128" s="40" t="s">
        <v>11404</v>
      </c>
      <c r="H33128" s="40" t="s">
        <v>11404</v>
      </c>
    </row>
    <row r="33129">
      <c r="A33129" s="39"/>
      <c r="E33129" s="40" t="s">
        <v>11404</v>
      </c>
      <c r="F33129" s="40" t="s">
        <v>11404</v>
      </c>
      <c r="G33129" s="40" t="s">
        <v>11404</v>
      </c>
      <c r="H33129" s="40" t="s">
        <v>11404</v>
      </c>
    </row>
    <row r="33130">
      <c r="A33130" s="39"/>
      <c r="E33130" s="40" t="s">
        <v>11404</v>
      </c>
      <c r="F33130" s="40" t="s">
        <v>11404</v>
      </c>
      <c r="G33130" s="40" t="s">
        <v>11404</v>
      </c>
      <c r="H33130" s="40" t="s">
        <v>11404</v>
      </c>
    </row>
    <row r="33131">
      <c r="A33131" s="39"/>
      <c r="E33131" s="40" t="s">
        <v>11404</v>
      </c>
      <c r="F33131" s="40" t="s">
        <v>11404</v>
      </c>
      <c r="G33131" s="40" t="s">
        <v>11404</v>
      </c>
      <c r="H33131" s="40" t="s">
        <v>11404</v>
      </c>
    </row>
    <row r="33132">
      <c r="A33132" s="39"/>
      <c r="E33132" s="40" t="s">
        <v>11404</v>
      </c>
      <c r="F33132" s="40" t="s">
        <v>11404</v>
      </c>
      <c r="G33132" s="40" t="s">
        <v>11404</v>
      </c>
      <c r="H33132" s="40" t="s">
        <v>11404</v>
      </c>
    </row>
    <row r="33133">
      <c r="A33133" s="39"/>
      <c r="E33133" s="40" t="s">
        <v>11404</v>
      </c>
      <c r="F33133" s="40" t="s">
        <v>11404</v>
      </c>
      <c r="G33133" s="40" t="s">
        <v>11404</v>
      </c>
      <c r="H33133" s="40" t="s">
        <v>11404</v>
      </c>
    </row>
    <row r="33134">
      <c r="A33134" s="39"/>
      <c r="E33134" s="40" t="s">
        <v>11404</v>
      </c>
      <c r="F33134" s="40" t="s">
        <v>11404</v>
      </c>
      <c r="G33134" s="40" t="s">
        <v>11404</v>
      </c>
      <c r="H33134" s="40" t="s">
        <v>11404</v>
      </c>
    </row>
    <row r="33135">
      <c r="A33135" s="39"/>
      <c r="E33135" s="40" t="s">
        <v>11404</v>
      </c>
      <c r="F33135" s="40" t="s">
        <v>11404</v>
      </c>
      <c r="G33135" s="40" t="s">
        <v>11404</v>
      </c>
      <c r="H33135" s="40" t="s">
        <v>11404</v>
      </c>
    </row>
    <row r="33136">
      <c r="A33136" s="39"/>
      <c r="E33136" s="40" t="s">
        <v>11404</v>
      </c>
      <c r="F33136" s="40" t="s">
        <v>11404</v>
      </c>
      <c r="G33136" s="40" t="s">
        <v>11404</v>
      </c>
      <c r="H33136" s="40" t="s">
        <v>11404</v>
      </c>
    </row>
    <row r="33137">
      <c r="A33137" s="39"/>
      <c r="E33137" s="40" t="s">
        <v>11404</v>
      </c>
      <c r="F33137" s="40" t="s">
        <v>11404</v>
      </c>
      <c r="G33137" s="40" t="s">
        <v>11404</v>
      </c>
      <c r="H33137" s="40" t="s">
        <v>11404</v>
      </c>
    </row>
    <row r="33138">
      <c r="A33138" s="39"/>
      <c r="E33138" s="40" t="s">
        <v>11404</v>
      </c>
      <c r="F33138" s="40" t="s">
        <v>11404</v>
      </c>
      <c r="G33138" s="40" t="s">
        <v>11404</v>
      </c>
      <c r="H33138" s="40" t="s">
        <v>11404</v>
      </c>
    </row>
    <row r="33139">
      <c r="A33139" s="39"/>
      <c r="E33139" s="40" t="s">
        <v>11404</v>
      </c>
      <c r="F33139" s="40" t="s">
        <v>11404</v>
      </c>
      <c r="G33139" s="40" t="s">
        <v>11404</v>
      </c>
      <c r="H33139" s="40" t="s">
        <v>11404</v>
      </c>
    </row>
    <row r="33140">
      <c r="A33140" s="39"/>
      <c r="E33140" s="40" t="s">
        <v>11404</v>
      </c>
      <c r="F33140" s="40" t="s">
        <v>11404</v>
      </c>
      <c r="G33140" s="40" t="s">
        <v>11404</v>
      </c>
      <c r="H33140" s="40" t="s">
        <v>11404</v>
      </c>
    </row>
    <row r="33141">
      <c r="A33141" s="39"/>
      <c r="E33141" s="40" t="s">
        <v>11404</v>
      </c>
      <c r="F33141" s="40" t="s">
        <v>11404</v>
      </c>
      <c r="G33141" s="40" t="s">
        <v>11404</v>
      </c>
      <c r="H33141" s="40" t="s">
        <v>11404</v>
      </c>
    </row>
    <row r="33142">
      <c r="A33142" s="39"/>
      <c r="E33142" s="40" t="s">
        <v>11404</v>
      </c>
      <c r="F33142" s="40" t="s">
        <v>11404</v>
      </c>
      <c r="G33142" s="40" t="s">
        <v>11404</v>
      </c>
      <c r="H33142" s="40" t="s">
        <v>11404</v>
      </c>
    </row>
    <row r="33143">
      <c r="A33143" s="39"/>
      <c r="E33143" s="40" t="s">
        <v>11404</v>
      </c>
      <c r="F33143" s="40" t="s">
        <v>11404</v>
      </c>
      <c r="G33143" s="40" t="s">
        <v>11404</v>
      </c>
      <c r="H33143" s="40" t="s">
        <v>11404</v>
      </c>
    </row>
    <row r="33144">
      <c r="A33144" s="39"/>
      <c r="E33144" s="40" t="s">
        <v>11404</v>
      </c>
      <c r="F33144" s="40" t="s">
        <v>11404</v>
      </c>
      <c r="G33144" s="40" t="s">
        <v>11404</v>
      </c>
      <c r="H33144" s="40" t="s">
        <v>11404</v>
      </c>
    </row>
    <row r="33145">
      <c r="A33145" s="39"/>
      <c r="E33145" s="40" t="s">
        <v>11404</v>
      </c>
      <c r="F33145" s="40" t="s">
        <v>11404</v>
      </c>
      <c r="G33145" s="40" t="s">
        <v>11404</v>
      </c>
      <c r="H33145" s="40" t="s">
        <v>11404</v>
      </c>
    </row>
    <row r="33146">
      <c r="A33146" s="39"/>
      <c r="E33146" s="40" t="s">
        <v>11404</v>
      </c>
      <c r="F33146" s="40" t="s">
        <v>11404</v>
      </c>
      <c r="G33146" s="40" t="s">
        <v>11404</v>
      </c>
      <c r="H33146" s="40" t="s">
        <v>11404</v>
      </c>
    </row>
    <row r="33147">
      <c r="A33147" s="39"/>
      <c r="E33147" s="40" t="s">
        <v>11404</v>
      </c>
      <c r="F33147" s="40" t="s">
        <v>11404</v>
      </c>
      <c r="G33147" s="40" t="s">
        <v>11404</v>
      </c>
      <c r="H33147" s="40" t="s">
        <v>11404</v>
      </c>
    </row>
    <row r="33148">
      <c r="A33148" s="39"/>
      <c r="E33148" s="40" t="s">
        <v>11404</v>
      </c>
      <c r="F33148" s="40" t="s">
        <v>11404</v>
      </c>
      <c r="G33148" s="40" t="s">
        <v>11404</v>
      </c>
      <c r="H33148" s="40" t="s">
        <v>11404</v>
      </c>
    </row>
    <row r="33149">
      <c r="A33149" s="39"/>
      <c r="E33149" s="40" t="s">
        <v>11404</v>
      </c>
      <c r="F33149" s="40" t="s">
        <v>11404</v>
      </c>
      <c r="G33149" s="40" t="s">
        <v>11404</v>
      </c>
      <c r="H33149" s="40" t="s">
        <v>11404</v>
      </c>
    </row>
    <row r="33150">
      <c r="A33150" s="39"/>
      <c r="E33150" s="40" t="s">
        <v>11404</v>
      </c>
      <c r="F33150" s="40" t="s">
        <v>11404</v>
      </c>
      <c r="G33150" s="40" t="s">
        <v>11404</v>
      </c>
      <c r="H33150" s="40" t="s">
        <v>11404</v>
      </c>
    </row>
    <row r="33151">
      <c r="A33151" s="39"/>
      <c r="E33151" s="40" t="s">
        <v>11404</v>
      </c>
      <c r="F33151" s="40" t="s">
        <v>11404</v>
      </c>
      <c r="G33151" s="40" t="s">
        <v>11404</v>
      </c>
      <c r="H33151" s="40" t="s">
        <v>11404</v>
      </c>
    </row>
    <row r="33152">
      <c r="A33152" s="39"/>
      <c r="E33152" s="40" t="s">
        <v>11404</v>
      </c>
      <c r="F33152" s="40" t="s">
        <v>11404</v>
      </c>
      <c r="G33152" s="40" t="s">
        <v>11404</v>
      </c>
      <c r="H33152" s="40" t="s">
        <v>11404</v>
      </c>
    </row>
    <row r="33153">
      <c r="A33153" s="39"/>
      <c r="E33153" s="40" t="s">
        <v>11404</v>
      </c>
      <c r="F33153" s="40" t="s">
        <v>11404</v>
      </c>
      <c r="G33153" s="40" t="s">
        <v>11404</v>
      </c>
      <c r="H33153" s="40" t="s">
        <v>11404</v>
      </c>
    </row>
    <row r="33154">
      <c r="A33154" s="39"/>
      <c r="E33154" s="40" t="s">
        <v>11404</v>
      </c>
      <c r="F33154" s="40" t="s">
        <v>11404</v>
      </c>
      <c r="G33154" s="40" t="s">
        <v>11404</v>
      </c>
      <c r="H33154" s="40" t="s">
        <v>11404</v>
      </c>
    </row>
    <row r="33155">
      <c r="A33155" s="39"/>
      <c r="E33155" s="40" t="s">
        <v>11404</v>
      </c>
      <c r="F33155" s="40" t="s">
        <v>11404</v>
      </c>
      <c r="G33155" s="40" t="s">
        <v>11404</v>
      </c>
      <c r="H33155" s="40" t="s">
        <v>11404</v>
      </c>
    </row>
    <row r="33156">
      <c r="A33156" s="39"/>
      <c r="E33156" s="40" t="s">
        <v>11404</v>
      </c>
      <c r="F33156" s="40" t="s">
        <v>11404</v>
      </c>
      <c r="G33156" s="40" t="s">
        <v>11404</v>
      </c>
      <c r="H33156" s="40" t="s">
        <v>11404</v>
      </c>
    </row>
    <row r="33157">
      <c r="A33157" s="39"/>
      <c r="E33157" s="40" t="s">
        <v>11404</v>
      </c>
      <c r="F33157" s="40" t="s">
        <v>11404</v>
      </c>
      <c r="G33157" s="40" t="s">
        <v>11404</v>
      </c>
      <c r="H33157" s="40" t="s">
        <v>11404</v>
      </c>
    </row>
    <row r="33158">
      <c r="A33158" s="39"/>
      <c r="E33158" s="40" t="s">
        <v>11404</v>
      </c>
      <c r="F33158" s="40" t="s">
        <v>11404</v>
      </c>
      <c r="G33158" s="40" t="s">
        <v>11404</v>
      </c>
      <c r="H33158" s="40" t="s">
        <v>11404</v>
      </c>
    </row>
    <row r="33159">
      <c r="A33159" s="39"/>
      <c r="E33159" s="40" t="s">
        <v>11404</v>
      </c>
      <c r="F33159" s="40" t="s">
        <v>11404</v>
      </c>
      <c r="G33159" s="40" t="s">
        <v>11404</v>
      </c>
      <c r="H33159" s="40" t="s">
        <v>11404</v>
      </c>
    </row>
    <row r="33160">
      <c r="A33160" s="39"/>
      <c r="E33160" s="40" t="s">
        <v>11404</v>
      </c>
      <c r="F33160" s="40" t="s">
        <v>11404</v>
      </c>
      <c r="G33160" s="40" t="s">
        <v>11404</v>
      </c>
      <c r="H33160" s="40" t="s">
        <v>11404</v>
      </c>
    </row>
    <row r="33161">
      <c r="A33161" s="39"/>
      <c r="E33161" s="40" t="s">
        <v>11404</v>
      </c>
      <c r="F33161" s="40" t="s">
        <v>11404</v>
      </c>
      <c r="G33161" s="40" t="s">
        <v>11404</v>
      </c>
      <c r="H33161" s="40" t="s">
        <v>11404</v>
      </c>
    </row>
    <row r="33162">
      <c r="A33162" s="39"/>
      <c r="E33162" s="40" t="s">
        <v>11404</v>
      </c>
      <c r="F33162" s="40" t="s">
        <v>11404</v>
      </c>
      <c r="G33162" s="40" t="s">
        <v>11404</v>
      </c>
      <c r="H33162" s="40" t="s">
        <v>11404</v>
      </c>
    </row>
    <row r="33163">
      <c r="A33163" s="39"/>
      <c r="E33163" s="40" t="s">
        <v>11404</v>
      </c>
      <c r="F33163" s="40" t="s">
        <v>11404</v>
      </c>
      <c r="G33163" s="40" t="s">
        <v>11404</v>
      </c>
      <c r="H33163" s="40" t="s">
        <v>11404</v>
      </c>
    </row>
    <row r="33164">
      <c r="A33164" s="39"/>
      <c r="E33164" s="40" t="s">
        <v>11404</v>
      </c>
      <c r="F33164" s="40" t="s">
        <v>11404</v>
      </c>
      <c r="G33164" s="40" t="s">
        <v>11404</v>
      </c>
      <c r="H33164" s="40" t="s">
        <v>11404</v>
      </c>
    </row>
    <row r="33165">
      <c r="A33165" s="39"/>
      <c r="E33165" s="40" t="s">
        <v>11404</v>
      </c>
      <c r="F33165" s="40" t="s">
        <v>11404</v>
      </c>
      <c r="G33165" s="40" t="s">
        <v>11404</v>
      </c>
      <c r="H33165" s="40" t="s">
        <v>11404</v>
      </c>
    </row>
    <row r="33166">
      <c r="A33166" s="39"/>
      <c r="E33166" s="40" t="s">
        <v>11404</v>
      </c>
      <c r="F33166" s="40" t="s">
        <v>11404</v>
      </c>
      <c r="G33166" s="40" t="s">
        <v>11404</v>
      </c>
      <c r="H33166" s="40" t="s">
        <v>11404</v>
      </c>
    </row>
    <row r="33167">
      <c r="A33167" s="39"/>
      <c r="E33167" s="40" t="s">
        <v>11404</v>
      </c>
      <c r="F33167" s="40" t="s">
        <v>11404</v>
      </c>
      <c r="G33167" s="40" t="s">
        <v>11404</v>
      </c>
      <c r="H33167" s="40" t="s">
        <v>11404</v>
      </c>
    </row>
    <row r="33168">
      <c r="A33168" s="39"/>
      <c r="E33168" s="40" t="s">
        <v>11404</v>
      </c>
      <c r="F33168" s="40" t="s">
        <v>11404</v>
      </c>
      <c r="G33168" s="40" t="s">
        <v>11404</v>
      </c>
      <c r="H33168" s="40" t="s">
        <v>11404</v>
      </c>
    </row>
    <row r="33169">
      <c r="A33169" s="39"/>
      <c r="E33169" s="40" t="s">
        <v>11404</v>
      </c>
      <c r="F33169" s="40" t="s">
        <v>11404</v>
      </c>
      <c r="G33169" s="40" t="s">
        <v>11404</v>
      </c>
      <c r="H33169" s="40" t="s">
        <v>11404</v>
      </c>
    </row>
    <row r="33170">
      <c r="A33170" s="39"/>
      <c r="E33170" s="40" t="s">
        <v>11404</v>
      </c>
      <c r="F33170" s="40" t="s">
        <v>11404</v>
      </c>
      <c r="G33170" s="40" t="s">
        <v>11404</v>
      </c>
      <c r="H33170" s="40" t="s">
        <v>11404</v>
      </c>
    </row>
    <row r="33171">
      <c r="A33171" s="39"/>
      <c r="E33171" s="40" t="s">
        <v>11404</v>
      </c>
      <c r="F33171" s="40" t="s">
        <v>11404</v>
      </c>
      <c r="G33171" s="40" t="s">
        <v>11404</v>
      </c>
      <c r="H33171" s="40" t="s">
        <v>11404</v>
      </c>
    </row>
    <row r="33172">
      <c r="A33172" s="39"/>
      <c r="E33172" s="40" t="s">
        <v>11404</v>
      </c>
      <c r="F33172" s="40" t="s">
        <v>11404</v>
      </c>
      <c r="G33172" s="40" t="s">
        <v>11404</v>
      </c>
      <c r="H33172" s="40" t="s">
        <v>11404</v>
      </c>
    </row>
    <row r="33173">
      <c r="A33173" s="39"/>
      <c r="E33173" s="40" t="s">
        <v>11404</v>
      </c>
      <c r="F33173" s="40" t="s">
        <v>11404</v>
      </c>
      <c r="G33173" s="40" t="s">
        <v>11404</v>
      </c>
      <c r="H33173" s="40" t="s">
        <v>11404</v>
      </c>
    </row>
    <row r="33174">
      <c r="A33174" s="39"/>
      <c r="E33174" s="40" t="s">
        <v>11404</v>
      </c>
      <c r="F33174" s="40" t="s">
        <v>11404</v>
      </c>
      <c r="G33174" s="40" t="s">
        <v>11404</v>
      </c>
      <c r="H33174" s="40" t="s">
        <v>11404</v>
      </c>
    </row>
    <row r="33175">
      <c r="A33175" s="39"/>
      <c r="E33175" s="40" t="s">
        <v>11404</v>
      </c>
      <c r="F33175" s="40" t="s">
        <v>11404</v>
      </c>
      <c r="G33175" s="40" t="s">
        <v>11404</v>
      </c>
      <c r="H33175" s="40" t="s">
        <v>11404</v>
      </c>
    </row>
    <row r="33176">
      <c r="A33176" s="39"/>
      <c r="E33176" s="40" t="s">
        <v>11404</v>
      </c>
      <c r="F33176" s="40" t="s">
        <v>11404</v>
      </c>
      <c r="G33176" s="40" t="s">
        <v>11404</v>
      </c>
      <c r="H33176" s="40" t="s">
        <v>11404</v>
      </c>
    </row>
    <row r="33177">
      <c r="A33177" s="39"/>
      <c r="E33177" s="40" t="s">
        <v>11404</v>
      </c>
      <c r="F33177" s="40" t="s">
        <v>11404</v>
      </c>
      <c r="G33177" s="40" t="s">
        <v>11404</v>
      </c>
      <c r="H33177" s="40" t="s">
        <v>11404</v>
      </c>
    </row>
    <row r="33178">
      <c r="A33178" s="39"/>
      <c r="E33178" s="40" t="s">
        <v>11404</v>
      </c>
      <c r="F33178" s="40" t="s">
        <v>11404</v>
      </c>
      <c r="G33178" s="40" t="s">
        <v>11404</v>
      </c>
      <c r="H33178" s="40" t="s">
        <v>11404</v>
      </c>
    </row>
    <row r="33179">
      <c r="A33179" s="39"/>
      <c r="E33179" s="40" t="s">
        <v>11404</v>
      </c>
      <c r="F33179" s="40" t="s">
        <v>11404</v>
      </c>
      <c r="G33179" s="40" t="s">
        <v>11404</v>
      </c>
      <c r="H33179" s="40" t="s">
        <v>11404</v>
      </c>
    </row>
    <row r="33180">
      <c r="A33180" s="39"/>
      <c r="E33180" s="40" t="s">
        <v>11404</v>
      </c>
      <c r="F33180" s="40" t="s">
        <v>11404</v>
      </c>
      <c r="G33180" s="40" t="s">
        <v>11404</v>
      </c>
      <c r="H33180" s="40" t="s">
        <v>11404</v>
      </c>
    </row>
    <row r="33181">
      <c r="A33181" s="39"/>
      <c r="E33181" s="40" t="s">
        <v>11404</v>
      </c>
      <c r="F33181" s="40" t="s">
        <v>11404</v>
      </c>
      <c r="G33181" s="40" t="s">
        <v>11404</v>
      </c>
      <c r="H33181" s="40" t="s">
        <v>11404</v>
      </c>
    </row>
    <row r="33182">
      <c r="A33182" s="39"/>
      <c r="E33182" s="40" t="s">
        <v>11404</v>
      </c>
      <c r="F33182" s="40" t="s">
        <v>11404</v>
      </c>
      <c r="G33182" s="40" t="s">
        <v>11404</v>
      </c>
      <c r="H33182" s="40" t="s">
        <v>11404</v>
      </c>
    </row>
    <row r="33183">
      <c r="A33183" s="39"/>
      <c r="E33183" s="40" t="s">
        <v>11404</v>
      </c>
      <c r="F33183" s="40" t="s">
        <v>11404</v>
      </c>
      <c r="G33183" s="40" t="s">
        <v>11404</v>
      </c>
      <c r="H33183" s="40" t="s">
        <v>11404</v>
      </c>
    </row>
    <row r="33184">
      <c r="A33184" s="39"/>
      <c r="E33184" s="40" t="s">
        <v>11404</v>
      </c>
      <c r="F33184" s="40" t="s">
        <v>11404</v>
      </c>
      <c r="G33184" s="40" t="s">
        <v>11404</v>
      </c>
      <c r="H33184" s="40" t="s">
        <v>11404</v>
      </c>
    </row>
    <row r="33185">
      <c r="A33185" s="39"/>
      <c r="E33185" s="40" t="s">
        <v>11404</v>
      </c>
      <c r="F33185" s="40" t="s">
        <v>11404</v>
      </c>
      <c r="G33185" s="40" t="s">
        <v>11404</v>
      </c>
      <c r="H33185" s="40" t="s">
        <v>11404</v>
      </c>
    </row>
    <row r="33186">
      <c r="A33186" s="39"/>
      <c r="E33186" s="40" t="s">
        <v>11404</v>
      </c>
      <c r="F33186" s="40" t="s">
        <v>11404</v>
      </c>
      <c r="G33186" s="40" t="s">
        <v>11404</v>
      </c>
      <c r="H33186" s="40" t="s">
        <v>11404</v>
      </c>
    </row>
    <row r="33187">
      <c r="A33187" s="39"/>
      <c r="E33187" s="40" t="s">
        <v>11404</v>
      </c>
      <c r="F33187" s="40" t="s">
        <v>11404</v>
      </c>
      <c r="G33187" s="40" t="s">
        <v>11404</v>
      </c>
      <c r="H33187" s="40" t="s">
        <v>11404</v>
      </c>
    </row>
    <row r="33188">
      <c r="A33188" s="39"/>
      <c r="E33188" s="40" t="s">
        <v>11404</v>
      </c>
      <c r="F33188" s="40" t="s">
        <v>11404</v>
      </c>
      <c r="G33188" s="40" t="s">
        <v>11404</v>
      </c>
      <c r="H33188" s="40" t="s">
        <v>11404</v>
      </c>
    </row>
    <row r="33189">
      <c r="A33189" s="39"/>
      <c r="E33189" s="40" t="s">
        <v>11404</v>
      </c>
      <c r="F33189" s="40" t="s">
        <v>11404</v>
      </c>
      <c r="G33189" s="40" t="s">
        <v>11404</v>
      </c>
      <c r="H33189" s="40" t="s">
        <v>11404</v>
      </c>
    </row>
    <row r="33190">
      <c r="A33190" s="39"/>
      <c r="E33190" s="40" t="s">
        <v>11404</v>
      </c>
      <c r="F33190" s="40" t="s">
        <v>11404</v>
      </c>
      <c r="G33190" s="40" t="s">
        <v>11404</v>
      </c>
      <c r="H33190" s="40" t="s">
        <v>11404</v>
      </c>
    </row>
    <row r="33191">
      <c r="A33191" s="39"/>
      <c r="E33191" s="40" t="s">
        <v>11404</v>
      </c>
      <c r="F33191" s="40" t="s">
        <v>11404</v>
      </c>
      <c r="G33191" s="40" t="s">
        <v>11404</v>
      </c>
      <c r="H33191" s="40" t="s">
        <v>11404</v>
      </c>
    </row>
    <row r="33192">
      <c r="A33192" s="39"/>
      <c r="E33192" s="40" t="s">
        <v>11404</v>
      </c>
      <c r="F33192" s="40" t="s">
        <v>11404</v>
      </c>
      <c r="G33192" s="40" t="s">
        <v>11404</v>
      </c>
      <c r="H33192" s="40" t="s">
        <v>11404</v>
      </c>
    </row>
    <row r="33193">
      <c r="A33193" s="39"/>
      <c r="E33193" s="40" t="s">
        <v>11404</v>
      </c>
      <c r="F33193" s="40" t="s">
        <v>11404</v>
      </c>
      <c r="G33193" s="40" t="s">
        <v>11404</v>
      </c>
      <c r="H33193" s="40" t="s">
        <v>11404</v>
      </c>
    </row>
    <row r="33194">
      <c r="A33194" s="39"/>
      <c r="E33194" s="40" t="s">
        <v>11404</v>
      </c>
      <c r="F33194" s="40" t="s">
        <v>11404</v>
      </c>
      <c r="G33194" s="40" t="s">
        <v>11404</v>
      </c>
      <c r="H33194" s="40" t="s">
        <v>11404</v>
      </c>
    </row>
    <row r="33195">
      <c r="A33195" s="39"/>
      <c r="E33195" s="40" t="s">
        <v>11404</v>
      </c>
      <c r="F33195" s="40" t="s">
        <v>11404</v>
      </c>
      <c r="G33195" s="40" t="s">
        <v>11404</v>
      </c>
      <c r="H33195" s="40" t="s">
        <v>11404</v>
      </c>
    </row>
    <row r="33196">
      <c r="A33196" s="39"/>
      <c r="E33196" s="40" t="s">
        <v>11404</v>
      </c>
      <c r="F33196" s="40" t="s">
        <v>11404</v>
      </c>
      <c r="G33196" s="40" t="s">
        <v>11404</v>
      </c>
      <c r="H33196" s="40" t="s">
        <v>11404</v>
      </c>
    </row>
    <row r="33197">
      <c r="A33197" s="39"/>
      <c r="E33197" s="40" t="s">
        <v>11404</v>
      </c>
      <c r="F33197" s="40" t="s">
        <v>11404</v>
      </c>
      <c r="G33197" s="40" t="s">
        <v>11404</v>
      </c>
      <c r="H33197" s="40" t="s">
        <v>11404</v>
      </c>
    </row>
    <row r="33198">
      <c r="A33198" s="39"/>
      <c r="E33198" s="40" t="s">
        <v>11404</v>
      </c>
      <c r="F33198" s="40" t="s">
        <v>11404</v>
      </c>
      <c r="G33198" s="40" t="s">
        <v>11404</v>
      </c>
      <c r="H33198" s="40" t="s">
        <v>11404</v>
      </c>
    </row>
    <row r="33199">
      <c r="A33199" s="39"/>
      <c r="E33199" s="40" t="s">
        <v>11404</v>
      </c>
      <c r="F33199" s="40" t="s">
        <v>11404</v>
      </c>
      <c r="G33199" s="40" t="s">
        <v>11404</v>
      </c>
      <c r="H33199" s="40" t="s">
        <v>11404</v>
      </c>
    </row>
    <row r="33200">
      <c r="A33200" s="39"/>
      <c r="E33200" s="40" t="s">
        <v>11404</v>
      </c>
      <c r="F33200" s="40" t="s">
        <v>11404</v>
      </c>
      <c r="G33200" s="40" t="s">
        <v>11404</v>
      </c>
      <c r="H33200" s="40" t="s">
        <v>11404</v>
      </c>
    </row>
    <row r="33201">
      <c r="A33201" s="39"/>
      <c r="E33201" s="40" t="s">
        <v>11404</v>
      </c>
      <c r="F33201" s="40" t="s">
        <v>11404</v>
      </c>
      <c r="G33201" s="40" t="s">
        <v>11404</v>
      </c>
      <c r="H33201" s="40" t="s">
        <v>11404</v>
      </c>
    </row>
    <row r="33202">
      <c r="A33202" s="39"/>
      <c r="E33202" s="40" t="s">
        <v>11404</v>
      </c>
      <c r="F33202" s="40" t="s">
        <v>11404</v>
      </c>
      <c r="G33202" s="40" t="s">
        <v>11404</v>
      </c>
      <c r="H33202" s="40" t="s">
        <v>11404</v>
      </c>
    </row>
    <row r="33203">
      <c r="A33203" s="39"/>
      <c r="E33203" s="40" t="s">
        <v>11404</v>
      </c>
      <c r="F33203" s="40" t="s">
        <v>11404</v>
      </c>
      <c r="G33203" s="40" t="s">
        <v>11404</v>
      </c>
      <c r="H33203" s="40" t="s">
        <v>11404</v>
      </c>
    </row>
    <row r="33204">
      <c r="A33204" s="39"/>
      <c r="E33204" s="40" t="s">
        <v>11404</v>
      </c>
      <c r="F33204" s="40" t="s">
        <v>11404</v>
      </c>
      <c r="G33204" s="40" t="s">
        <v>11404</v>
      </c>
      <c r="H33204" s="40" t="s">
        <v>11404</v>
      </c>
    </row>
    <row r="33205">
      <c r="A33205" s="39"/>
      <c r="E33205" s="40" t="s">
        <v>11404</v>
      </c>
      <c r="F33205" s="40" t="s">
        <v>11404</v>
      </c>
      <c r="G33205" s="40" t="s">
        <v>11404</v>
      </c>
      <c r="H33205" s="40" t="s">
        <v>11404</v>
      </c>
    </row>
    <row r="33206">
      <c r="A33206" s="39"/>
      <c r="E33206" s="40" t="s">
        <v>11404</v>
      </c>
      <c r="F33206" s="40" t="s">
        <v>11404</v>
      </c>
      <c r="G33206" s="40" t="s">
        <v>11404</v>
      </c>
      <c r="H33206" s="40" t="s">
        <v>11404</v>
      </c>
    </row>
    <row r="33207">
      <c r="A33207" s="39"/>
      <c r="E33207" s="40" t="s">
        <v>11404</v>
      </c>
      <c r="F33207" s="40" t="s">
        <v>11404</v>
      </c>
      <c r="G33207" s="40" t="s">
        <v>11404</v>
      </c>
      <c r="H33207" s="40" t="s">
        <v>11404</v>
      </c>
    </row>
    <row r="33208">
      <c r="A33208" s="39"/>
      <c r="E33208" s="40" t="s">
        <v>11404</v>
      </c>
      <c r="F33208" s="40" t="s">
        <v>11404</v>
      </c>
      <c r="G33208" s="40" t="s">
        <v>11404</v>
      </c>
      <c r="H33208" s="40" t="s">
        <v>11404</v>
      </c>
    </row>
    <row r="33209">
      <c r="A33209" s="39"/>
      <c r="E33209" s="40" t="s">
        <v>11404</v>
      </c>
      <c r="F33209" s="40" t="s">
        <v>11404</v>
      </c>
      <c r="G33209" s="40" t="s">
        <v>11404</v>
      </c>
      <c r="H33209" s="40" t="s">
        <v>11404</v>
      </c>
    </row>
    <row r="33210">
      <c r="A33210" s="39"/>
      <c r="E33210" s="40" t="s">
        <v>11404</v>
      </c>
      <c r="F33210" s="40" t="s">
        <v>11404</v>
      </c>
      <c r="G33210" s="40" t="s">
        <v>11404</v>
      </c>
      <c r="H33210" s="40" t="s">
        <v>11404</v>
      </c>
    </row>
    <row r="33211">
      <c r="A33211" s="39"/>
      <c r="E33211" s="40" t="s">
        <v>11404</v>
      </c>
      <c r="F33211" s="40" t="s">
        <v>11404</v>
      </c>
      <c r="G33211" s="40" t="s">
        <v>11404</v>
      </c>
      <c r="H33211" s="40" t="s">
        <v>11404</v>
      </c>
    </row>
    <row r="33212">
      <c r="A33212" s="39"/>
      <c r="E33212" s="40" t="s">
        <v>11404</v>
      </c>
      <c r="F33212" s="40" t="s">
        <v>11404</v>
      </c>
      <c r="G33212" s="40" t="s">
        <v>11404</v>
      </c>
      <c r="H33212" s="40" t="s">
        <v>11404</v>
      </c>
    </row>
    <row r="33213">
      <c r="A33213" s="39"/>
      <c r="E33213" s="40" t="s">
        <v>11404</v>
      </c>
      <c r="F33213" s="40" t="s">
        <v>11404</v>
      </c>
      <c r="G33213" s="40" t="s">
        <v>11404</v>
      </c>
      <c r="H33213" s="40" t="s">
        <v>11404</v>
      </c>
    </row>
    <row r="33214">
      <c r="A33214" s="39"/>
      <c r="E33214" s="40" t="s">
        <v>11404</v>
      </c>
      <c r="F33214" s="40" t="s">
        <v>11404</v>
      </c>
      <c r="G33214" s="40" t="s">
        <v>11404</v>
      </c>
      <c r="H33214" s="40" t="s">
        <v>11404</v>
      </c>
    </row>
    <row r="33215">
      <c r="A33215" s="39"/>
      <c r="E33215" s="40" t="s">
        <v>11404</v>
      </c>
      <c r="F33215" s="40" t="s">
        <v>11404</v>
      </c>
      <c r="G33215" s="40" t="s">
        <v>11404</v>
      </c>
      <c r="H33215" s="40" t="s">
        <v>11404</v>
      </c>
    </row>
    <row r="33216">
      <c r="A33216" s="39"/>
      <c r="E33216" s="40" t="s">
        <v>11404</v>
      </c>
      <c r="F33216" s="40" t="s">
        <v>11404</v>
      </c>
      <c r="G33216" s="40" t="s">
        <v>11404</v>
      </c>
      <c r="H33216" s="40" t="s">
        <v>11404</v>
      </c>
    </row>
    <row r="33217">
      <c r="A33217" s="39"/>
      <c r="E33217" s="40" t="s">
        <v>11404</v>
      </c>
      <c r="F33217" s="40" t="s">
        <v>11404</v>
      </c>
      <c r="G33217" s="40" t="s">
        <v>11404</v>
      </c>
      <c r="H33217" s="40" t="s">
        <v>11404</v>
      </c>
    </row>
    <row r="33218">
      <c r="A33218" s="39"/>
      <c r="E33218" s="40" t="s">
        <v>11404</v>
      </c>
      <c r="F33218" s="40" t="s">
        <v>11404</v>
      </c>
      <c r="G33218" s="40" t="s">
        <v>11404</v>
      </c>
      <c r="H33218" s="40" t="s">
        <v>11404</v>
      </c>
    </row>
    <row r="33219">
      <c r="A33219" s="39"/>
      <c r="E33219" s="40" t="s">
        <v>11404</v>
      </c>
      <c r="F33219" s="40" t="s">
        <v>11404</v>
      </c>
      <c r="G33219" s="40" t="s">
        <v>11404</v>
      </c>
      <c r="H33219" s="40" t="s">
        <v>11404</v>
      </c>
    </row>
    <row r="33220">
      <c r="A33220" s="39"/>
      <c r="E33220" s="40" t="s">
        <v>11404</v>
      </c>
      <c r="F33220" s="40" t="s">
        <v>11404</v>
      </c>
      <c r="G33220" s="40" t="s">
        <v>11404</v>
      </c>
      <c r="H33220" s="40" t="s">
        <v>11404</v>
      </c>
    </row>
    <row r="33221">
      <c r="A33221" s="39"/>
      <c r="E33221" s="40" t="s">
        <v>11404</v>
      </c>
      <c r="F33221" s="40" t="s">
        <v>11404</v>
      </c>
      <c r="G33221" s="40" t="s">
        <v>11404</v>
      </c>
      <c r="H33221" s="40" t="s">
        <v>11404</v>
      </c>
    </row>
    <row r="33222">
      <c r="A33222" s="39"/>
      <c r="E33222" s="40" t="s">
        <v>11404</v>
      </c>
      <c r="F33222" s="40" t="s">
        <v>11404</v>
      </c>
      <c r="G33222" s="40" t="s">
        <v>11404</v>
      </c>
      <c r="H33222" s="40" t="s">
        <v>11404</v>
      </c>
    </row>
    <row r="33223">
      <c r="A33223" s="39"/>
      <c r="E33223" s="40" t="s">
        <v>11404</v>
      </c>
      <c r="F33223" s="40" t="s">
        <v>11404</v>
      </c>
      <c r="G33223" s="40" t="s">
        <v>11404</v>
      </c>
      <c r="H33223" s="40" t="s">
        <v>11404</v>
      </c>
    </row>
    <row r="33224">
      <c r="A33224" s="39"/>
      <c r="E33224" s="40" t="s">
        <v>11404</v>
      </c>
      <c r="F33224" s="40" t="s">
        <v>11404</v>
      </c>
      <c r="G33224" s="40" t="s">
        <v>11404</v>
      </c>
      <c r="H33224" s="40" t="s">
        <v>11404</v>
      </c>
    </row>
    <row r="33225">
      <c r="A33225" s="39"/>
      <c r="E33225" s="40" t="s">
        <v>11404</v>
      </c>
      <c r="F33225" s="40" t="s">
        <v>11404</v>
      </c>
      <c r="G33225" s="40" t="s">
        <v>11404</v>
      </c>
      <c r="H33225" s="40" t="s">
        <v>11404</v>
      </c>
    </row>
    <row r="33226">
      <c r="A33226" s="39"/>
      <c r="E33226" s="40" t="s">
        <v>11404</v>
      </c>
      <c r="F33226" s="40" t="s">
        <v>11404</v>
      </c>
      <c r="G33226" s="40" t="s">
        <v>11404</v>
      </c>
      <c r="H33226" s="40" t="s">
        <v>11404</v>
      </c>
    </row>
    <row r="33227">
      <c r="A33227" s="39"/>
      <c r="E33227" s="40" t="s">
        <v>11404</v>
      </c>
      <c r="F33227" s="40" t="s">
        <v>11404</v>
      </c>
      <c r="G33227" s="40" t="s">
        <v>11404</v>
      </c>
      <c r="H33227" s="40" t="s">
        <v>11404</v>
      </c>
    </row>
    <row r="33228">
      <c r="A33228" s="39"/>
      <c r="E33228" s="40" t="s">
        <v>11404</v>
      </c>
      <c r="F33228" s="40" t="s">
        <v>11404</v>
      </c>
      <c r="G33228" s="40" t="s">
        <v>11404</v>
      </c>
      <c r="H33228" s="40" t="s">
        <v>11404</v>
      </c>
    </row>
    <row r="33229">
      <c r="A33229" s="39"/>
      <c r="E33229" s="40" t="s">
        <v>11404</v>
      </c>
      <c r="F33229" s="40" t="s">
        <v>11404</v>
      </c>
      <c r="G33229" s="40" t="s">
        <v>11404</v>
      </c>
      <c r="H33229" s="40" t="s">
        <v>11404</v>
      </c>
    </row>
    <row r="33230">
      <c r="A33230" s="39"/>
      <c r="E33230" s="40" t="s">
        <v>11404</v>
      </c>
      <c r="F33230" s="40" t="s">
        <v>11404</v>
      </c>
      <c r="G33230" s="40" t="s">
        <v>11404</v>
      </c>
      <c r="H33230" s="40" t="s">
        <v>11404</v>
      </c>
    </row>
    <row r="33231">
      <c r="A33231" s="39"/>
      <c r="E33231" s="40" t="s">
        <v>11404</v>
      </c>
      <c r="F33231" s="40" t="s">
        <v>11404</v>
      </c>
      <c r="G33231" s="40" t="s">
        <v>11404</v>
      </c>
      <c r="H33231" s="40" t="s">
        <v>11404</v>
      </c>
    </row>
    <row r="33232">
      <c r="A33232" s="39"/>
      <c r="E33232" s="40" t="s">
        <v>11404</v>
      </c>
      <c r="F33232" s="40" t="s">
        <v>11404</v>
      </c>
      <c r="G33232" s="40" t="s">
        <v>11404</v>
      </c>
      <c r="H33232" s="40" t="s">
        <v>11404</v>
      </c>
    </row>
    <row r="33233">
      <c r="A33233" s="39"/>
      <c r="E33233" s="40" t="s">
        <v>11404</v>
      </c>
      <c r="F33233" s="40" t="s">
        <v>11404</v>
      </c>
      <c r="G33233" s="40" t="s">
        <v>11404</v>
      </c>
      <c r="H33233" s="40" t="s">
        <v>11404</v>
      </c>
    </row>
    <row r="33234">
      <c r="A33234" s="39"/>
      <c r="E33234" s="40" t="s">
        <v>11404</v>
      </c>
      <c r="F33234" s="40" t="s">
        <v>11404</v>
      </c>
      <c r="G33234" s="40" t="s">
        <v>11404</v>
      </c>
      <c r="H33234" s="40" t="s">
        <v>11404</v>
      </c>
    </row>
    <row r="33235">
      <c r="A33235" s="39"/>
      <c r="E33235" s="40" t="s">
        <v>11404</v>
      </c>
      <c r="F33235" s="40" t="s">
        <v>11404</v>
      </c>
      <c r="G33235" s="40" t="s">
        <v>11404</v>
      </c>
      <c r="H33235" s="40" t="s">
        <v>11404</v>
      </c>
    </row>
    <row r="33236">
      <c r="A33236" s="39"/>
      <c r="E33236" s="40" t="s">
        <v>11404</v>
      </c>
      <c r="F33236" s="40" t="s">
        <v>11404</v>
      </c>
      <c r="G33236" s="40" t="s">
        <v>11404</v>
      </c>
      <c r="H33236" s="40" t="s">
        <v>11404</v>
      </c>
    </row>
    <row r="33237">
      <c r="A33237" s="39"/>
      <c r="E33237" s="40" t="s">
        <v>11404</v>
      </c>
      <c r="F33237" s="40" t="s">
        <v>11404</v>
      </c>
      <c r="G33237" s="40" t="s">
        <v>11404</v>
      </c>
      <c r="H33237" s="40" t="s">
        <v>11404</v>
      </c>
    </row>
    <row r="33238">
      <c r="A33238" s="39"/>
      <c r="E33238" s="40" t="s">
        <v>11404</v>
      </c>
      <c r="F33238" s="40" t="s">
        <v>11404</v>
      </c>
      <c r="G33238" s="40" t="s">
        <v>11404</v>
      </c>
      <c r="H33238" s="40" t="s">
        <v>11404</v>
      </c>
    </row>
    <row r="33239">
      <c r="A33239" s="39"/>
      <c r="E33239" s="40" t="s">
        <v>11404</v>
      </c>
      <c r="F33239" s="40" t="s">
        <v>11404</v>
      </c>
      <c r="G33239" s="40" t="s">
        <v>11404</v>
      </c>
      <c r="H33239" s="40" t="s">
        <v>11404</v>
      </c>
    </row>
    <row r="33240">
      <c r="A33240" s="39"/>
      <c r="E33240" s="40" t="s">
        <v>11404</v>
      </c>
      <c r="F33240" s="40" t="s">
        <v>11404</v>
      </c>
      <c r="G33240" s="40" t="s">
        <v>11404</v>
      </c>
      <c r="H33240" s="40" t="s">
        <v>11404</v>
      </c>
    </row>
    <row r="33241">
      <c r="A33241" s="39"/>
      <c r="E33241" s="40" t="s">
        <v>11404</v>
      </c>
      <c r="F33241" s="40" t="s">
        <v>11404</v>
      </c>
      <c r="G33241" s="40" t="s">
        <v>11404</v>
      </c>
      <c r="H33241" s="40" t="s">
        <v>11404</v>
      </c>
    </row>
    <row r="33242">
      <c r="A33242" s="39"/>
      <c r="E33242" s="40" t="s">
        <v>11404</v>
      </c>
      <c r="F33242" s="40" t="s">
        <v>11404</v>
      </c>
      <c r="G33242" s="40" t="s">
        <v>11404</v>
      </c>
      <c r="H33242" s="40" t="s">
        <v>11404</v>
      </c>
    </row>
    <row r="33243">
      <c r="A33243" s="39"/>
      <c r="E33243" s="40" t="s">
        <v>11404</v>
      </c>
      <c r="F33243" s="40" t="s">
        <v>11404</v>
      </c>
      <c r="G33243" s="40" t="s">
        <v>11404</v>
      </c>
      <c r="H33243" s="40" t="s">
        <v>11404</v>
      </c>
    </row>
    <row r="33244">
      <c r="A33244" s="39"/>
      <c r="E33244" s="40" t="s">
        <v>11404</v>
      </c>
      <c r="F33244" s="40" t="s">
        <v>11404</v>
      </c>
      <c r="G33244" s="40" t="s">
        <v>11404</v>
      </c>
      <c r="H33244" s="40" t="s">
        <v>11404</v>
      </c>
    </row>
    <row r="33245">
      <c r="A33245" s="39"/>
      <c r="E33245" s="40" t="s">
        <v>11404</v>
      </c>
      <c r="F33245" s="40" t="s">
        <v>11404</v>
      </c>
      <c r="G33245" s="40" t="s">
        <v>11404</v>
      </c>
      <c r="H33245" s="40" t="s">
        <v>11404</v>
      </c>
    </row>
    <row r="33246">
      <c r="A33246" s="39"/>
      <c r="E33246" s="40" t="s">
        <v>11404</v>
      </c>
      <c r="F33246" s="40" t="s">
        <v>11404</v>
      </c>
      <c r="G33246" s="40" t="s">
        <v>11404</v>
      </c>
      <c r="H33246" s="40" t="s">
        <v>11404</v>
      </c>
    </row>
    <row r="33247">
      <c r="A33247" s="39"/>
      <c r="E33247" s="40" t="s">
        <v>11404</v>
      </c>
      <c r="F33247" s="40" t="s">
        <v>11404</v>
      </c>
      <c r="G33247" s="40" t="s">
        <v>11404</v>
      </c>
      <c r="H33247" s="40" t="s">
        <v>11404</v>
      </c>
    </row>
    <row r="33248">
      <c r="A33248" s="39"/>
      <c r="E33248" s="40" t="s">
        <v>11404</v>
      </c>
      <c r="F33248" s="40" t="s">
        <v>11404</v>
      </c>
      <c r="G33248" s="40" t="s">
        <v>11404</v>
      </c>
      <c r="H33248" s="40" t="s">
        <v>11404</v>
      </c>
    </row>
    <row r="33249">
      <c r="A33249" s="39"/>
      <c r="E33249" s="40" t="s">
        <v>11404</v>
      </c>
      <c r="F33249" s="40" t="s">
        <v>11404</v>
      </c>
      <c r="G33249" s="40" t="s">
        <v>11404</v>
      </c>
      <c r="H33249" s="40" t="s">
        <v>11404</v>
      </c>
    </row>
    <row r="33250">
      <c r="A33250" s="39"/>
      <c r="E33250" s="40" t="s">
        <v>11404</v>
      </c>
      <c r="F33250" s="40" t="s">
        <v>11404</v>
      </c>
      <c r="G33250" s="40" t="s">
        <v>11404</v>
      </c>
      <c r="H33250" s="40" t="s">
        <v>11404</v>
      </c>
    </row>
    <row r="33251">
      <c r="A33251" s="39"/>
      <c r="E33251" s="40" t="s">
        <v>11404</v>
      </c>
      <c r="F33251" s="40" t="s">
        <v>11404</v>
      </c>
      <c r="G33251" s="40" t="s">
        <v>11404</v>
      </c>
      <c r="H33251" s="40" t="s">
        <v>11404</v>
      </c>
    </row>
    <row r="33252">
      <c r="A33252" s="39"/>
      <c r="E33252" s="40" t="s">
        <v>11404</v>
      </c>
      <c r="F33252" s="40" t="s">
        <v>11404</v>
      </c>
      <c r="G33252" s="40" t="s">
        <v>11404</v>
      </c>
      <c r="H33252" s="40" t="s">
        <v>11404</v>
      </c>
    </row>
    <row r="33253">
      <c r="A33253" s="39"/>
      <c r="E33253" s="40" t="s">
        <v>11404</v>
      </c>
      <c r="F33253" s="40" t="s">
        <v>11404</v>
      </c>
      <c r="G33253" s="40" t="s">
        <v>11404</v>
      </c>
      <c r="H33253" s="40" t="s">
        <v>11404</v>
      </c>
    </row>
    <row r="33254">
      <c r="A33254" s="39"/>
      <c r="E33254" s="40" t="s">
        <v>11404</v>
      </c>
      <c r="F33254" s="40" t="s">
        <v>11404</v>
      </c>
      <c r="G33254" s="40" t="s">
        <v>11404</v>
      </c>
      <c r="H33254" s="40" t="s">
        <v>11404</v>
      </c>
    </row>
    <row r="33255">
      <c r="A33255" s="39"/>
      <c r="E33255" s="40" t="s">
        <v>11404</v>
      </c>
      <c r="F33255" s="40" t="s">
        <v>11404</v>
      </c>
      <c r="G33255" s="40" t="s">
        <v>11404</v>
      </c>
      <c r="H33255" s="40" t="s">
        <v>11404</v>
      </c>
    </row>
    <row r="33256">
      <c r="A33256" s="39"/>
      <c r="E33256" s="40" t="s">
        <v>11404</v>
      </c>
      <c r="F33256" s="40" t="s">
        <v>11404</v>
      </c>
      <c r="G33256" s="40" t="s">
        <v>11404</v>
      </c>
      <c r="H33256" s="40" t="s">
        <v>11404</v>
      </c>
    </row>
    <row r="33257">
      <c r="A33257" s="39"/>
      <c r="E33257" s="40" t="s">
        <v>11404</v>
      </c>
      <c r="F33257" s="40" t="s">
        <v>11404</v>
      </c>
      <c r="G33257" s="40" t="s">
        <v>11404</v>
      </c>
      <c r="H33257" s="40" t="s">
        <v>11404</v>
      </c>
    </row>
    <row r="33258">
      <c r="A33258" s="39"/>
      <c r="E33258" s="40" t="s">
        <v>11404</v>
      </c>
      <c r="F33258" s="40" t="s">
        <v>11404</v>
      </c>
      <c r="G33258" s="40" t="s">
        <v>11404</v>
      </c>
      <c r="H33258" s="40" t="s">
        <v>11404</v>
      </c>
    </row>
    <row r="33259">
      <c r="A33259" s="39"/>
      <c r="E33259" s="40" t="s">
        <v>11404</v>
      </c>
      <c r="F33259" s="40" t="s">
        <v>11404</v>
      </c>
      <c r="G33259" s="40" t="s">
        <v>11404</v>
      </c>
      <c r="H33259" s="40" t="s">
        <v>11404</v>
      </c>
    </row>
    <row r="33260">
      <c r="A33260" s="39"/>
      <c r="E33260" s="40" t="s">
        <v>11404</v>
      </c>
      <c r="F33260" s="40" t="s">
        <v>11404</v>
      </c>
      <c r="G33260" s="40" t="s">
        <v>11404</v>
      </c>
      <c r="H33260" s="40" t="s">
        <v>11404</v>
      </c>
    </row>
    <row r="33261">
      <c r="A33261" s="39"/>
      <c r="E33261" s="40" t="s">
        <v>11404</v>
      </c>
      <c r="F33261" s="40" t="s">
        <v>11404</v>
      </c>
      <c r="G33261" s="40" t="s">
        <v>11404</v>
      </c>
      <c r="H33261" s="40" t="s">
        <v>11404</v>
      </c>
    </row>
    <row r="33262">
      <c r="A33262" s="39"/>
      <c r="E33262" s="40" t="s">
        <v>11404</v>
      </c>
      <c r="F33262" s="40" t="s">
        <v>11404</v>
      </c>
      <c r="G33262" s="40" t="s">
        <v>11404</v>
      </c>
      <c r="H33262" s="40" t="s">
        <v>11404</v>
      </c>
    </row>
    <row r="33263">
      <c r="A33263" s="39"/>
      <c r="E33263" s="40" t="s">
        <v>11404</v>
      </c>
      <c r="F33263" s="40" t="s">
        <v>11404</v>
      </c>
      <c r="G33263" s="40" t="s">
        <v>11404</v>
      </c>
      <c r="H33263" s="40" t="s">
        <v>11404</v>
      </c>
    </row>
    <row r="33264">
      <c r="A33264" s="39"/>
      <c r="E33264" s="40" t="s">
        <v>11404</v>
      </c>
      <c r="F33264" s="40" t="s">
        <v>11404</v>
      </c>
      <c r="G33264" s="40" t="s">
        <v>11404</v>
      </c>
      <c r="H33264" s="40" t="s">
        <v>11404</v>
      </c>
    </row>
    <row r="33265">
      <c r="A33265" s="39"/>
      <c r="E33265" s="40" t="s">
        <v>11404</v>
      </c>
      <c r="F33265" s="40" t="s">
        <v>11404</v>
      </c>
      <c r="G33265" s="40" t="s">
        <v>11404</v>
      </c>
      <c r="H33265" s="40" t="s">
        <v>11404</v>
      </c>
    </row>
    <row r="33266">
      <c r="A33266" s="39"/>
      <c r="E33266" s="40" t="s">
        <v>11404</v>
      </c>
      <c r="F33266" s="40" t="s">
        <v>11404</v>
      </c>
      <c r="G33266" s="40" t="s">
        <v>11404</v>
      </c>
      <c r="H33266" s="40" t="s">
        <v>11404</v>
      </c>
    </row>
    <row r="33267">
      <c r="A33267" s="39"/>
      <c r="E33267" s="40" t="s">
        <v>11404</v>
      </c>
      <c r="F33267" s="40" t="s">
        <v>11404</v>
      </c>
      <c r="G33267" s="40" t="s">
        <v>11404</v>
      </c>
      <c r="H33267" s="40" t="s">
        <v>11404</v>
      </c>
    </row>
    <row r="33268">
      <c r="A33268" s="39"/>
      <c r="E33268" s="40" t="s">
        <v>11404</v>
      </c>
      <c r="F33268" s="40" t="s">
        <v>11404</v>
      </c>
      <c r="G33268" s="40" t="s">
        <v>11404</v>
      </c>
      <c r="H33268" s="40" t="s">
        <v>11404</v>
      </c>
    </row>
    <row r="33269">
      <c r="A33269" s="39"/>
      <c r="E33269" s="40" t="s">
        <v>11404</v>
      </c>
      <c r="F33269" s="40" t="s">
        <v>11404</v>
      </c>
      <c r="G33269" s="40" t="s">
        <v>11404</v>
      </c>
      <c r="H33269" s="40" t="s">
        <v>11404</v>
      </c>
    </row>
    <row r="33270">
      <c r="A33270" s="39"/>
      <c r="E33270" s="40" t="s">
        <v>11404</v>
      </c>
      <c r="F33270" s="40" t="s">
        <v>11404</v>
      </c>
      <c r="G33270" s="40" t="s">
        <v>11404</v>
      </c>
      <c r="H33270" s="40" t="s">
        <v>11404</v>
      </c>
    </row>
    <row r="33271">
      <c r="A33271" s="39"/>
      <c r="E33271" s="40" t="s">
        <v>11404</v>
      </c>
      <c r="F33271" s="40" t="s">
        <v>11404</v>
      </c>
      <c r="G33271" s="40" t="s">
        <v>11404</v>
      </c>
      <c r="H33271" s="40" t="s">
        <v>11404</v>
      </c>
    </row>
    <row r="33272">
      <c r="A33272" s="39"/>
      <c r="E33272" s="40" t="s">
        <v>11404</v>
      </c>
      <c r="F33272" s="40" t="s">
        <v>11404</v>
      </c>
      <c r="G33272" s="40" t="s">
        <v>11404</v>
      </c>
      <c r="H33272" s="40" t="s">
        <v>11404</v>
      </c>
    </row>
    <row r="33273">
      <c r="A33273" s="39"/>
      <c r="E33273" s="40" t="s">
        <v>11404</v>
      </c>
      <c r="F33273" s="40" t="s">
        <v>11404</v>
      </c>
      <c r="G33273" s="40" t="s">
        <v>11404</v>
      </c>
      <c r="H33273" s="40" t="s">
        <v>11404</v>
      </c>
    </row>
    <row r="33274">
      <c r="A33274" s="39"/>
      <c r="E33274" s="40" t="s">
        <v>11404</v>
      </c>
      <c r="F33274" s="40" t="s">
        <v>11404</v>
      </c>
      <c r="G33274" s="40" t="s">
        <v>11404</v>
      </c>
      <c r="H33274" s="40" t="s">
        <v>11404</v>
      </c>
    </row>
    <row r="33275">
      <c r="A33275" s="39"/>
      <c r="E33275" s="40" t="s">
        <v>11404</v>
      </c>
      <c r="F33275" s="40" t="s">
        <v>11404</v>
      </c>
      <c r="G33275" s="40" t="s">
        <v>11404</v>
      </c>
      <c r="H33275" s="40" t="s">
        <v>11404</v>
      </c>
    </row>
    <row r="33276">
      <c r="A33276" s="39"/>
      <c r="E33276" s="40" t="s">
        <v>11404</v>
      </c>
      <c r="F33276" s="40" t="s">
        <v>11404</v>
      </c>
      <c r="G33276" s="40" t="s">
        <v>11404</v>
      </c>
      <c r="H33276" s="40" t="s">
        <v>11404</v>
      </c>
    </row>
    <row r="33277">
      <c r="A33277" s="39"/>
      <c r="E33277" s="40" t="s">
        <v>11404</v>
      </c>
      <c r="F33277" s="40" t="s">
        <v>11404</v>
      </c>
      <c r="G33277" s="40" t="s">
        <v>11404</v>
      </c>
      <c r="H33277" s="40" t="s">
        <v>11404</v>
      </c>
    </row>
    <row r="33278">
      <c r="A33278" s="39"/>
      <c r="E33278" s="40" t="s">
        <v>11404</v>
      </c>
      <c r="F33278" s="40" t="s">
        <v>11404</v>
      </c>
      <c r="G33278" s="40" t="s">
        <v>11404</v>
      </c>
      <c r="H33278" s="40" t="s">
        <v>11404</v>
      </c>
    </row>
    <row r="33279">
      <c r="A33279" s="39"/>
      <c r="E33279" s="40" t="s">
        <v>11404</v>
      </c>
      <c r="F33279" s="40" t="s">
        <v>11404</v>
      </c>
      <c r="G33279" s="40" t="s">
        <v>11404</v>
      </c>
      <c r="H33279" s="40" t="s">
        <v>11404</v>
      </c>
    </row>
    <row r="33280">
      <c r="A33280" s="39"/>
      <c r="E33280" s="40" t="s">
        <v>11404</v>
      </c>
      <c r="F33280" s="40" t="s">
        <v>11404</v>
      </c>
      <c r="G33280" s="40" t="s">
        <v>11404</v>
      </c>
      <c r="H33280" s="40" t="s">
        <v>11404</v>
      </c>
    </row>
    <row r="33281">
      <c r="A33281" s="39"/>
      <c r="E33281" s="40" t="s">
        <v>11404</v>
      </c>
      <c r="F33281" s="40" t="s">
        <v>11404</v>
      </c>
      <c r="G33281" s="40" t="s">
        <v>11404</v>
      </c>
      <c r="H33281" s="40" t="s">
        <v>11404</v>
      </c>
    </row>
    <row r="33282">
      <c r="A33282" s="39"/>
      <c r="E33282" s="40" t="s">
        <v>11404</v>
      </c>
      <c r="F33282" s="40" t="s">
        <v>11404</v>
      </c>
      <c r="G33282" s="40" t="s">
        <v>11404</v>
      </c>
      <c r="H33282" s="40" t="s">
        <v>11404</v>
      </c>
    </row>
    <row r="33283">
      <c r="A33283" s="39"/>
      <c r="E33283" s="40" t="s">
        <v>11404</v>
      </c>
      <c r="F33283" s="40" t="s">
        <v>11404</v>
      </c>
      <c r="G33283" s="40" t="s">
        <v>11404</v>
      </c>
      <c r="H33283" s="40" t="s">
        <v>11404</v>
      </c>
    </row>
    <row r="33284">
      <c r="A33284" s="39"/>
      <c r="E33284" s="40" t="s">
        <v>11404</v>
      </c>
      <c r="F33284" s="40" t="s">
        <v>11404</v>
      </c>
      <c r="G33284" s="40" t="s">
        <v>11404</v>
      </c>
      <c r="H33284" s="40" t="s">
        <v>11404</v>
      </c>
    </row>
    <row r="33285">
      <c r="A33285" s="39"/>
      <c r="E33285" s="40" t="s">
        <v>11404</v>
      </c>
      <c r="F33285" s="40" t="s">
        <v>11404</v>
      </c>
      <c r="G33285" s="40" t="s">
        <v>11404</v>
      </c>
      <c r="H33285" s="40" t="s">
        <v>11404</v>
      </c>
    </row>
    <row r="33286">
      <c r="A33286" s="39"/>
      <c r="E33286" s="40" t="s">
        <v>11404</v>
      </c>
      <c r="F33286" s="40" t="s">
        <v>11404</v>
      </c>
      <c r="G33286" s="40" t="s">
        <v>11404</v>
      </c>
      <c r="H33286" s="40" t="s">
        <v>11404</v>
      </c>
    </row>
    <row r="33287">
      <c r="A33287" s="39"/>
      <c r="E33287" s="40" t="s">
        <v>11404</v>
      </c>
      <c r="F33287" s="40" t="s">
        <v>11404</v>
      </c>
      <c r="G33287" s="40" t="s">
        <v>11404</v>
      </c>
      <c r="H33287" s="40" t="s">
        <v>11404</v>
      </c>
    </row>
    <row r="33288">
      <c r="A33288" s="39"/>
      <c r="E33288" s="40" t="s">
        <v>11404</v>
      </c>
      <c r="F33288" s="40" t="s">
        <v>11404</v>
      </c>
      <c r="G33288" s="40" t="s">
        <v>11404</v>
      </c>
      <c r="H33288" s="40" t="s">
        <v>11404</v>
      </c>
    </row>
    <row r="33289">
      <c r="A33289" s="39"/>
      <c r="E33289" s="40" t="s">
        <v>11404</v>
      </c>
      <c r="F33289" s="40" t="s">
        <v>11404</v>
      </c>
      <c r="G33289" s="40" t="s">
        <v>11404</v>
      </c>
      <c r="H33289" s="40" t="s">
        <v>11404</v>
      </c>
    </row>
    <row r="33290">
      <c r="A33290" s="39"/>
      <c r="E33290" s="40" t="s">
        <v>11404</v>
      </c>
      <c r="F33290" s="40" t="s">
        <v>11404</v>
      </c>
      <c r="G33290" s="40" t="s">
        <v>11404</v>
      </c>
      <c r="H33290" s="40" t="s">
        <v>11404</v>
      </c>
    </row>
    <row r="33291">
      <c r="A33291" s="39"/>
      <c r="E33291" s="40" t="s">
        <v>11404</v>
      </c>
      <c r="F33291" s="40" t="s">
        <v>11404</v>
      </c>
      <c r="G33291" s="40" t="s">
        <v>11404</v>
      </c>
      <c r="H33291" s="40" t="s">
        <v>11404</v>
      </c>
    </row>
    <row r="33292">
      <c r="A33292" s="39"/>
      <c r="E33292" s="40" t="s">
        <v>11404</v>
      </c>
      <c r="F33292" s="40" t="s">
        <v>11404</v>
      </c>
      <c r="G33292" s="40" t="s">
        <v>11404</v>
      </c>
      <c r="H33292" s="40" t="s">
        <v>11404</v>
      </c>
    </row>
    <row r="33293">
      <c r="A33293" s="39"/>
      <c r="E33293" s="40" t="s">
        <v>11404</v>
      </c>
      <c r="F33293" s="40" t="s">
        <v>11404</v>
      </c>
      <c r="G33293" s="40" t="s">
        <v>11404</v>
      </c>
      <c r="H33293" s="40" t="s">
        <v>11404</v>
      </c>
    </row>
    <row r="33294">
      <c r="A33294" s="39"/>
      <c r="E33294" s="40" t="s">
        <v>11404</v>
      </c>
      <c r="F33294" s="40" t="s">
        <v>11404</v>
      </c>
      <c r="G33294" s="40" t="s">
        <v>11404</v>
      </c>
      <c r="H33294" s="40" t="s">
        <v>11404</v>
      </c>
    </row>
    <row r="33295">
      <c r="A33295" s="39"/>
      <c r="E33295" s="40" t="s">
        <v>11404</v>
      </c>
      <c r="F33295" s="40" t="s">
        <v>11404</v>
      </c>
      <c r="G33295" s="40" t="s">
        <v>11404</v>
      </c>
      <c r="H33295" s="40" t="s">
        <v>11404</v>
      </c>
    </row>
    <row r="33296">
      <c r="A33296" s="39"/>
      <c r="E33296" s="40" t="s">
        <v>11404</v>
      </c>
      <c r="F33296" s="40" t="s">
        <v>11404</v>
      </c>
      <c r="G33296" s="40" t="s">
        <v>11404</v>
      </c>
      <c r="H33296" s="40" t="s">
        <v>11404</v>
      </c>
    </row>
    <row r="33297">
      <c r="A33297" s="39"/>
      <c r="E33297" s="40" t="s">
        <v>11404</v>
      </c>
      <c r="F33297" s="40" t="s">
        <v>11404</v>
      </c>
      <c r="G33297" s="40" t="s">
        <v>11404</v>
      </c>
      <c r="H33297" s="40" t="s">
        <v>11404</v>
      </c>
    </row>
    <row r="33298">
      <c r="A33298" s="39"/>
      <c r="E33298" s="40" t="s">
        <v>11404</v>
      </c>
      <c r="F33298" s="40" t="s">
        <v>11404</v>
      </c>
      <c r="G33298" s="40" t="s">
        <v>11404</v>
      </c>
      <c r="H33298" s="40" t="s">
        <v>11404</v>
      </c>
    </row>
    <row r="33299">
      <c r="A33299" s="39"/>
      <c r="E33299" s="40" t="s">
        <v>11404</v>
      </c>
      <c r="F33299" s="40" t="s">
        <v>11404</v>
      </c>
      <c r="G33299" s="40" t="s">
        <v>11404</v>
      </c>
      <c r="H33299" s="40" t="s">
        <v>11404</v>
      </c>
    </row>
    <row r="33300">
      <c r="A33300" s="39"/>
      <c r="E33300" s="40" t="s">
        <v>11404</v>
      </c>
      <c r="F33300" s="40" t="s">
        <v>11404</v>
      </c>
      <c r="G33300" s="40" t="s">
        <v>11404</v>
      </c>
      <c r="H33300" s="40" t="s">
        <v>11404</v>
      </c>
    </row>
    <row r="33301">
      <c r="A33301" s="39"/>
      <c r="E33301" s="40" t="s">
        <v>11404</v>
      </c>
      <c r="F33301" s="40" t="s">
        <v>11404</v>
      </c>
      <c r="G33301" s="40" t="s">
        <v>11404</v>
      </c>
      <c r="H33301" s="40" t="s">
        <v>11404</v>
      </c>
    </row>
    <row r="33302">
      <c r="A33302" s="39"/>
      <c r="E33302" s="40" t="s">
        <v>11404</v>
      </c>
      <c r="F33302" s="40" t="s">
        <v>11404</v>
      </c>
      <c r="G33302" s="40" t="s">
        <v>11404</v>
      </c>
      <c r="H33302" s="40" t="s">
        <v>11404</v>
      </c>
    </row>
    <row r="33303">
      <c r="A33303" s="39"/>
      <c r="E33303" s="40" t="s">
        <v>11404</v>
      </c>
      <c r="F33303" s="40" t="s">
        <v>11404</v>
      </c>
      <c r="G33303" s="40" t="s">
        <v>11404</v>
      </c>
      <c r="H33303" s="40" t="s">
        <v>11404</v>
      </c>
    </row>
    <row r="33304">
      <c r="A33304" s="39"/>
      <c r="E33304" s="40" t="s">
        <v>11404</v>
      </c>
      <c r="F33304" s="40" t="s">
        <v>11404</v>
      </c>
      <c r="G33304" s="40" t="s">
        <v>11404</v>
      </c>
      <c r="H33304" s="40" t="s">
        <v>11404</v>
      </c>
    </row>
    <row r="33305">
      <c r="A33305" s="39"/>
      <c r="E33305" s="40" t="s">
        <v>11404</v>
      </c>
      <c r="F33305" s="40" t="s">
        <v>11404</v>
      </c>
      <c r="G33305" s="40" t="s">
        <v>11404</v>
      </c>
      <c r="H33305" s="40" t="s">
        <v>11404</v>
      </c>
    </row>
    <row r="33306">
      <c r="A33306" s="39"/>
      <c r="E33306" s="40" t="s">
        <v>11404</v>
      </c>
      <c r="F33306" s="40" t="s">
        <v>11404</v>
      </c>
      <c r="G33306" s="40" t="s">
        <v>11404</v>
      </c>
      <c r="H33306" s="40" t="s">
        <v>11404</v>
      </c>
    </row>
    <row r="33307">
      <c r="A33307" s="39"/>
      <c r="E33307" s="40" t="s">
        <v>11404</v>
      </c>
      <c r="F33307" s="40" t="s">
        <v>11404</v>
      </c>
      <c r="G33307" s="40" t="s">
        <v>11404</v>
      </c>
      <c r="H33307" s="40" t="s">
        <v>11404</v>
      </c>
    </row>
    <row r="33308">
      <c r="A33308" s="39"/>
      <c r="E33308" s="40" t="s">
        <v>11404</v>
      </c>
      <c r="F33308" s="40" t="s">
        <v>11404</v>
      </c>
      <c r="G33308" s="40" t="s">
        <v>11404</v>
      </c>
      <c r="H33308" s="40" t="s">
        <v>11404</v>
      </c>
    </row>
    <row r="33309">
      <c r="A33309" s="39"/>
      <c r="E33309" s="40" t="s">
        <v>11404</v>
      </c>
      <c r="F33309" s="40" t="s">
        <v>11404</v>
      </c>
      <c r="G33309" s="40" t="s">
        <v>11404</v>
      </c>
      <c r="H33309" s="40" t="s">
        <v>11404</v>
      </c>
    </row>
    <row r="33310">
      <c r="A33310" s="39"/>
      <c r="E33310" s="40" t="s">
        <v>11404</v>
      </c>
      <c r="F33310" s="40" t="s">
        <v>11404</v>
      </c>
      <c r="G33310" s="40" t="s">
        <v>11404</v>
      </c>
      <c r="H33310" s="40" t="s">
        <v>11404</v>
      </c>
    </row>
    <row r="33311">
      <c r="A33311" s="39"/>
      <c r="E33311" s="40" t="s">
        <v>11404</v>
      </c>
      <c r="F33311" s="40" t="s">
        <v>11404</v>
      </c>
      <c r="G33311" s="40" t="s">
        <v>11404</v>
      </c>
      <c r="H33311" s="40" t="s">
        <v>11404</v>
      </c>
    </row>
    <row r="33312">
      <c r="A33312" s="39"/>
      <c r="E33312" s="40" t="s">
        <v>11404</v>
      </c>
      <c r="F33312" s="40" t="s">
        <v>11404</v>
      </c>
      <c r="G33312" s="40" t="s">
        <v>11404</v>
      </c>
      <c r="H33312" s="40" t="s">
        <v>11404</v>
      </c>
    </row>
    <row r="33313">
      <c r="A33313" s="39"/>
      <c r="E33313" s="40" t="s">
        <v>11404</v>
      </c>
      <c r="F33313" s="40" t="s">
        <v>11404</v>
      </c>
      <c r="G33313" s="40" t="s">
        <v>11404</v>
      </c>
      <c r="H33313" s="40" t="s">
        <v>11404</v>
      </c>
    </row>
    <row r="33314">
      <c r="A33314" s="39"/>
      <c r="E33314" s="40" t="s">
        <v>11404</v>
      </c>
      <c r="F33314" s="40" t="s">
        <v>11404</v>
      </c>
      <c r="G33314" s="40" t="s">
        <v>11404</v>
      </c>
      <c r="H33314" s="40" t="s">
        <v>11404</v>
      </c>
    </row>
    <row r="33315">
      <c r="A33315" s="39"/>
      <c r="E33315" s="40" t="s">
        <v>11404</v>
      </c>
      <c r="F33315" s="40" t="s">
        <v>11404</v>
      </c>
      <c r="G33315" s="40" t="s">
        <v>11404</v>
      </c>
      <c r="H33315" s="40" t="s">
        <v>11404</v>
      </c>
    </row>
    <row r="33316">
      <c r="A33316" s="39"/>
      <c r="E33316" s="40" t="s">
        <v>11404</v>
      </c>
      <c r="F33316" s="40" t="s">
        <v>11404</v>
      </c>
      <c r="G33316" s="40" t="s">
        <v>11404</v>
      </c>
      <c r="H33316" s="40" t="s">
        <v>11404</v>
      </c>
    </row>
    <row r="33317">
      <c r="A33317" s="39"/>
      <c r="E33317" s="40" t="s">
        <v>11404</v>
      </c>
      <c r="F33317" s="40" t="s">
        <v>11404</v>
      </c>
      <c r="G33317" s="40" t="s">
        <v>11404</v>
      </c>
      <c r="H33317" s="40" t="s">
        <v>11404</v>
      </c>
    </row>
    <row r="33318">
      <c r="A33318" s="39"/>
      <c r="E33318" s="40" t="s">
        <v>11404</v>
      </c>
      <c r="F33318" s="40" t="s">
        <v>11404</v>
      </c>
      <c r="G33318" s="40" t="s">
        <v>11404</v>
      </c>
      <c r="H33318" s="40" t="s">
        <v>11404</v>
      </c>
    </row>
    <row r="33319">
      <c r="A33319" s="39"/>
      <c r="E33319" s="40" t="s">
        <v>11404</v>
      </c>
      <c r="F33319" s="40" t="s">
        <v>11404</v>
      </c>
      <c r="G33319" s="40" t="s">
        <v>11404</v>
      </c>
      <c r="H33319" s="40" t="s">
        <v>11404</v>
      </c>
    </row>
    <row r="33320">
      <c r="A33320" s="39"/>
      <c r="E33320" s="40" t="s">
        <v>11404</v>
      </c>
      <c r="F33320" s="40" t="s">
        <v>11404</v>
      </c>
      <c r="G33320" s="40" t="s">
        <v>11404</v>
      </c>
      <c r="H33320" s="40" t="s">
        <v>11404</v>
      </c>
    </row>
    <row r="33321">
      <c r="A33321" s="39"/>
      <c r="E33321" s="40" t="s">
        <v>11404</v>
      </c>
      <c r="F33321" s="40" t="s">
        <v>11404</v>
      </c>
      <c r="G33321" s="40" t="s">
        <v>11404</v>
      </c>
      <c r="H33321" s="40" t="s">
        <v>11404</v>
      </c>
    </row>
    <row r="33322">
      <c r="A33322" s="39"/>
      <c r="E33322" s="40" t="s">
        <v>11404</v>
      </c>
      <c r="F33322" s="40" t="s">
        <v>11404</v>
      </c>
      <c r="G33322" s="40" t="s">
        <v>11404</v>
      </c>
      <c r="H33322" s="40" t="s">
        <v>11404</v>
      </c>
    </row>
    <row r="33323">
      <c r="A33323" s="39"/>
      <c r="E33323" s="40" t="s">
        <v>11404</v>
      </c>
      <c r="F33323" s="40" t="s">
        <v>11404</v>
      </c>
      <c r="G33323" s="40" t="s">
        <v>11404</v>
      </c>
      <c r="H33323" s="40" t="s">
        <v>11404</v>
      </c>
    </row>
    <row r="33324">
      <c r="A33324" s="39"/>
      <c r="E33324" s="40" t="s">
        <v>11404</v>
      </c>
      <c r="F33324" s="40" t="s">
        <v>11404</v>
      </c>
      <c r="G33324" s="40" t="s">
        <v>11404</v>
      </c>
      <c r="H33324" s="40" t="s">
        <v>11404</v>
      </c>
    </row>
    <row r="33325">
      <c r="A33325" s="39"/>
      <c r="E33325" s="40" t="s">
        <v>11404</v>
      </c>
      <c r="F33325" s="40" t="s">
        <v>11404</v>
      </c>
      <c r="G33325" s="40" t="s">
        <v>11404</v>
      </c>
      <c r="H33325" s="40" t="s">
        <v>11404</v>
      </c>
    </row>
    <row r="33326">
      <c r="A33326" s="39"/>
      <c r="E33326" s="40" t="s">
        <v>11404</v>
      </c>
      <c r="F33326" s="40" t="s">
        <v>11404</v>
      </c>
      <c r="G33326" s="40" t="s">
        <v>11404</v>
      </c>
      <c r="H33326" s="40" t="s">
        <v>11404</v>
      </c>
    </row>
    <row r="33327">
      <c r="A33327" s="39"/>
      <c r="E33327" s="40" t="s">
        <v>11404</v>
      </c>
      <c r="F33327" s="40" t="s">
        <v>11404</v>
      </c>
      <c r="G33327" s="40" t="s">
        <v>11404</v>
      </c>
      <c r="H33327" s="40" t="s">
        <v>11404</v>
      </c>
    </row>
    <row r="33328">
      <c r="A33328" s="39"/>
      <c r="E33328" s="40" t="s">
        <v>11404</v>
      </c>
      <c r="F33328" s="40" t="s">
        <v>11404</v>
      </c>
      <c r="G33328" s="40" t="s">
        <v>11404</v>
      </c>
      <c r="H33328" s="40" t="s">
        <v>11404</v>
      </c>
    </row>
    <row r="33329">
      <c r="A33329" s="39"/>
      <c r="E33329" s="40" t="s">
        <v>11404</v>
      </c>
      <c r="F33329" s="40" t="s">
        <v>11404</v>
      </c>
      <c r="G33329" s="40" t="s">
        <v>11404</v>
      </c>
      <c r="H33329" s="40" t="s">
        <v>11404</v>
      </c>
    </row>
    <row r="33330">
      <c r="A33330" s="39"/>
      <c r="E33330" s="40" t="s">
        <v>11404</v>
      </c>
      <c r="F33330" s="40" t="s">
        <v>11404</v>
      </c>
      <c r="G33330" s="40" t="s">
        <v>11404</v>
      </c>
      <c r="H33330" s="40" t="s">
        <v>11404</v>
      </c>
    </row>
    <row r="33331">
      <c r="A33331" s="39"/>
      <c r="E33331" s="40" t="s">
        <v>11404</v>
      </c>
      <c r="F33331" s="40" t="s">
        <v>11404</v>
      </c>
      <c r="G33331" s="40" t="s">
        <v>11404</v>
      </c>
      <c r="H33331" s="40" t="s">
        <v>11404</v>
      </c>
    </row>
    <row r="33332">
      <c r="A33332" s="39"/>
      <c r="E33332" s="40" t="s">
        <v>11404</v>
      </c>
      <c r="F33332" s="40" t="s">
        <v>11404</v>
      </c>
      <c r="G33332" s="40" t="s">
        <v>11404</v>
      </c>
      <c r="H33332" s="40" t="s">
        <v>11404</v>
      </c>
    </row>
    <row r="33333">
      <c r="A33333" s="39"/>
      <c r="E33333" s="40" t="s">
        <v>11404</v>
      </c>
      <c r="F33333" s="40" t="s">
        <v>11404</v>
      </c>
      <c r="G33333" s="40" t="s">
        <v>11404</v>
      </c>
      <c r="H33333" s="40" t="s">
        <v>11404</v>
      </c>
    </row>
    <row r="33334">
      <c r="A33334" s="39"/>
      <c r="E33334" s="40" t="s">
        <v>11404</v>
      </c>
      <c r="F33334" s="40" t="s">
        <v>11404</v>
      </c>
      <c r="G33334" s="40" t="s">
        <v>11404</v>
      </c>
      <c r="H33334" s="40" t="s">
        <v>11404</v>
      </c>
    </row>
    <row r="33335">
      <c r="A33335" s="39"/>
      <c r="E33335" s="40" t="s">
        <v>11404</v>
      </c>
      <c r="F33335" s="40" t="s">
        <v>11404</v>
      </c>
      <c r="G33335" s="40" t="s">
        <v>11404</v>
      </c>
      <c r="H33335" s="40" t="s">
        <v>11404</v>
      </c>
    </row>
    <row r="33336">
      <c r="A33336" s="39"/>
      <c r="E33336" s="40" t="s">
        <v>11404</v>
      </c>
      <c r="F33336" s="40" t="s">
        <v>11404</v>
      </c>
      <c r="G33336" s="40" t="s">
        <v>11404</v>
      </c>
      <c r="H33336" s="40" t="s">
        <v>11404</v>
      </c>
    </row>
    <row r="33337">
      <c r="A33337" s="39"/>
      <c r="E33337" s="40" t="s">
        <v>11404</v>
      </c>
      <c r="F33337" s="40" t="s">
        <v>11404</v>
      </c>
      <c r="G33337" s="40" t="s">
        <v>11404</v>
      </c>
      <c r="H33337" s="40" t="s">
        <v>11404</v>
      </c>
    </row>
    <row r="33338">
      <c r="A33338" s="39"/>
      <c r="E33338" s="40" t="s">
        <v>11404</v>
      </c>
      <c r="F33338" s="40" t="s">
        <v>11404</v>
      </c>
      <c r="G33338" s="40" t="s">
        <v>11404</v>
      </c>
      <c r="H33338" s="40" t="s">
        <v>11404</v>
      </c>
    </row>
    <row r="33339">
      <c r="A33339" s="39"/>
      <c r="E33339" s="40" t="s">
        <v>11404</v>
      </c>
      <c r="F33339" s="40" t="s">
        <v>11404</v>
      </c>
      <c r="G33339" s="40" t="s">
        <v>11404</v>
      </c>
      <c r="H33339" s="40" t="s">
        <v>11404</v>
      </c>
    </row>
    <row r="33340">
      <c r="A33340" s="39"/>
      <c r="E33340" s="40" t="s">
        <v>11404</v>
      </c>
      <c r="F33340" s="40" t="s">
        <v>11404</v>
      </c>
      <c r="G33340" s="40" t="s">
        <v>11404</v>
      </c>
      <c r="H33340" s="40" t="s">
        <v>11404</v>
      </c>
    </row>
    <row r="33341">
      <c r="A33341" s="39"/>
      <c r="E33341" s="40" t="s">
        <v>11404</v>
      </c>
      <c r="F33341" s="40" t="s">
        <v>11404</v>
      </c>
      <c r="G33341" s="40" t="s">
        <v>11404</v>
      </c>
      <c r="H33341" s="40" t="s">
        <v>11404</v>
      </c>
    </row>
    <row r="33342">
      <c r="A33342" s="39"/>
      <c r="E33342" s="40" t="s">
        <v>11404</v>
      </c>
      <c r="F33342" s="40" t="s">
        <v>11404</v>
      </c>
      <c r="G33342" s="40" t="s">
        <v>11404</v>
      </c>
      <c r="H33342" s="40" t="s">
        <v>11404</v>
      </c>
    </row>
    <row r="33343">
      <c r="A33343" s="39"/>
      <c r="E33343" s="40" t="s">
        <v>11404</v>
      </c>
      <c r="F33343" s="40" t="s">
        <v>11404</v>
      </c>
      <c r="G33343" s="40" t="s">
        <v>11404</v>
      </c>
      <c r="H33343" s="40" t="s">
        <v>11404</v>
      </c>
    </row>
    <row r="33344">
      <c r="A33344" s="39"/>
      <c r="E33344" s="40" t="s">
        <v>11404</v>
      </c>
      <c r="F33344" s="40" t="s">
        <v>11404</v>
      </c>
      <c r="G33344" s="40" t="s">
        <v>11404</v>
      </c>
      <c r="H33344" s="40" t="s">
        <v>11404</v>
      </c>
    </row>
    <row r="33345">
      <c r="A33345" s="39"/>
      <c r="E33345" s="40" t="s">
        <v>11404</v>
      </c>
      <c r="F33345" s="40" t="s">
        <v>11404</v>
      </c>
      <c r="G33345" s="40" t="s">
        <v>11404</v>
      </c>
      <c r="H33345" s="40" t="s">
        <v>11404</v>
      </c>
    </row>
    <row r="33346">
      <c r="A33346" s="39"/>
      <c r="E33346" s="40" t="s">
        <v>11404</v>
      </c>
      <c r="F33346" s="40" t="s">
        <v>11404</v>
      </c>
      <c r="G33346" s="40" t="s">
        <v>11404</v>
      </c>
      <c r="H33346" s="40" t="s">
        <v>11404</v>
      </c>
    </row>
    <row r="33347">
      <c r="A33347" s="39"/>
      <c r="E33347" s="40" t="s">
        <v>11404</v>
      </c>
      <c r="F33347" s="40" t="s">
        <v>11404</v>
      </c>
      <c r="G33347" s="40" t="s">
        <v>11404</v>
      </c>
      <c r="H33347" s="40" t="s">
        <v>11404</v>
      </c>
    </row>
    <row r="33348">
      <c r="A33348" s="39"/>
      <c r="E33348" s="40" t="s">
        <v>11404</v>
      </c>
      <c r="F33348" s="40" t="s">
        <v>11404</v>
      </c>
      <c r="G33348" s="40" t="s">
        <v>11404</v>
      </c>
      <c r="H33348" s="40" t="s">
        <v>11404</v>
      </c>
    </row>
    <row r="33349">
      <c r="A33349" s="39"/>
      <c r="E33349" s="40" t="s">
        <v>11404</v>
      </c>
      <c r="F33349" s="40" t="s">
        <v>11404</v>
      </c>
      <c r="G33349" s="40" t="s">
        <v>11404</v>
      </c>
      <c r="H33349" s="40" t="s">
        <v>11404</v>
      </c>
    </row>
    <row r="33350">
      <c r="A33350" s="39"/>
      <c r="E33350" s="40" t="s">
        <v>11404</v>
      </c>
      <c r="F33350" s="40" t="s">
        <v>11404</v>
      </c>
      <c r="G33350" s="40" t="s">
        <v>11404</v>
      </c>
      <c r="H33350" s="40" t="s">
        <v>11404</v>
      </c>
    </row>
    <row r="33351">
      <c r="A33351" s="39"/>
      <c r="E33351" s="40" t="s">
        <v>11404</v>
      </c>
      <c r="F33351" s="40" t="s">
        <v>11404</v>
      </c>
      <c r="G33351" s="40" t="s">
        <v>11404</v>
      </c>
      <c r="H33351" s="40" t="s">
        <v>11404</v>
      </c>
    </row>
    <row r="33352">
      <c r="A33352" s="39"/>
      <c r="E33352" s="40" t="s">
        <v>11404</v>
      </c>
      <c r="F33352" s="40" t="s">
        <v>11404</v>
      </c>
      <c r="G33352" s="40" t="s">
        <v>11404</v>
      </c>
      <c r="H33352" s="40" t="s">
        <v>11404</v>
      </c>
    </row>
    <row r="33353">
      <c r="A33353" s="39"/>
      <c r="E33353" s="40" t="s">
        <v>11404</v>
      </c>
      <c r="F33353" s="40" t="s">
        <v>11404</v>
      </c>
      <c r="G33353" s="40" t="s">
        <v>11404</v>
      </c>
      <c r="H33353" s="40" t="s">
        <v>11404</v>
      </c>
    </row>
    <row r="33354">
      <c r="A33354" s="39"/>
      <c r="E33354" s="40" t="s">
        <v>11404</v>
      </c>
      <c r="F33354" s="40" t="s">
        <v>11404</v>
      </c>
      <c r="G33354" s="40" t="s">
        <v>11404</v>
      </c>
      <c r="H33354" s="40" t="s">
        <v>11404</v>
      </c>
    </row>
    <row r="33355">
      <c r="A33355" s="39"/>
      <c r="E33355" s="40" t="s">
        <v>11404</v>
      </c>
      <c r="F33355" s="40" t="s">
        <v>11404</v>
      </c>
      <c r="G33355" s="40" t="s">
        <v>11404</v>
      </c>
      <c r="H33355" s="40" t="s">
        <v>11404</v>
      </c>
    </row>
    <row r="33356">
      <c r="A33356" s="39"/>
      <c r="E33356" s="40" t="s">
        <v>11404</v>
      </c>
      <c r="F33356" s="40" t="s">
        <v>11404</v>
      </c>
      <c r="G33356" s="40" t="s">
        <v>11404</v>
      </c>
      <c r="H33356" s="40" t="s">
        <v>11404</v>
      </c>
    </row>
    <row r="33357">
      <c r="A33357" s="39"/>
      <c r="E33357" s="40" t="s">
        <v>11404</v>
      </c>
      <c r="F33357" s="40" t="s">
        <v>11404</v>
      </c>
      <c r="G33357" s="40" t="s">
        <v>11404</v>
      </c>
      <c r="H33357" s="40" t="s">
        <v>11404</v>
      </c>
    </row>
    <row r="33358">
      <c r="A33358" s="39"/>
      <c r="E33358" s="40" t="s">
        <v>11404</v>
      </c>
      <c r="F33358" s="40" t="s">
        <v>11404</v>
      </c>
      <c r="G33358" s="40" t="s">
        <v>11404</v>
      </c>
      <c r="H33358" s="40" t="s">
        <v>11404</v>
      </c>
    </row>
    <row r="33359">
      <c r="A33359" s="39"/>
      <c r="E33359" s="40" t="s">
        <v>11404</v>
      </c>
      <c r="F33359" s="40" t="s">
        <v>11404</v>
      </c>
      <c r="G33359" s="40" t="s">
        <v>11404</v>
      </c>
      <c r="H33359" s="40" t="s">
        <v>11404</v>
      </c>
    </row>
    <row r="33360">
      <c r="A33360" s="39"/>
      <c r="E33360" s="40" t="s">
        <v>11404</v>
      </c>
      <c r="F33360" s="40" t="s">
        <v>11404</v>
      </c>
      <c r="G33360" s="40" t="s">
        <v>11404</v>
      </c>
      <c r="H33360" s="40" t="s">
        <v>11404</v>
      </c>
    </row>
    <row r="33361">
      <c r="A33361" s="39"/>
      <c r="E33361" s="40" t="s">
        <v>11404</v>
      </c>
      <c r="F33361" s="40" t="s">
        <v>11404</v>
      </c>
      <c r="G33361" s="40" t="s">
        <v>11404</v>
      </c>
      <c r="H33361" s="40" t="s">
        <v>11404</v>
      </c>
    </row>
    <row r="33362">
      <c r="A33362" s="39"/>
      <c r="E33362" s="40" t="s">
        <v>11404</v>
      </c>
      <c r="F33362" s="40" t="s">
        <v>11404</v>
      </c>
      <c r="G33362" s="40" t="s">
        <v>11404</v>
      </c>
      <c r="H33362" s="40" t="s">
        <v>11404</v>
      </c>
    </row>
    <row r="33363">
      <c r="A33363" s="39"/>
      <c r="E33363" s="40" t="s">
        <v>11404</v>
      </c>
      <c r="F33363" s="40" t="s">
        <v>11404</v>
      </c>
      <c r="G33363" s="40" t="s">
        <v>11404</v>
      </c>
      <c r="H33363" s="40" t="s">
        <v>11404</v>
      </c>
    </row>
    <row r="33364">
      <c r="A33364" s="39"/>
      <c r="E33364" s="40" t="s">
        <v>11404</v>
      </c>
      <c r="F33364" s="40" t="s">
        <v>11404</v>
      </c>
      <c r="G33364" s="40" t="s">
        <v>11404</v>
      </c>
      <c r="H33364" s="40" t="s">
        <v>11404</v>
      </c>
    </row>
    <row r="33365">
      <c r="A33365" s="39"/>
      <c r="E33365" s="40" t="s">
        <v>11404</v>
      </c>
      <c r="F33365" s="40" t="s">
        <v>11404</v>
      </c>
      <c r="G33365" s="40" t="s">
        <v>11404</v>
      </c>
      <c r="H33365" s="40" t="s">
        <v>11404</v>
      </c>
    </row>
    <row r="33366">
      <c r="A33366" s="39"/>
      <c r="E33366" s="40" t="s">
        <v>11404</v>
      </c>
      <c r="F33366" s="40" t="s">
        <v>11404</v>
      </c>
      <c r="G33366" s="40" t="s">
        <v>11404</v>
      </c>
      <c r="H33366" s="40" t="s">
        <v>11404</v>
      </c>
    </row>
    <row r="33367">
      <c r="A33367" s="39"/>
      <c r="E33367" s="40" t="s">
        <v>11404</v>
      </c>
      <c r="F33367" s="40" t="s">
        <v>11404</v>
      </c>
      <c r="G33367" s="40" t="s">
        <v>11404</v>
      </c>
      <c r="H33367" s="40" t="s">
        <v>11404</v>
      </c>
    </row>
    <row r="33368">
      <c r="A33368" s="39"/>
      <c r="E33368" s="40" t="s">
        <v>11404</v>
      </c>
      <c r="F33368" s="40" t="s">
        <v>11404</v>
      </c>
      <c r="G33368" s="40" t="s">
        <v>11404</v>
      </c>
      <c r="H33368" s="40" t="s">
        <v>11404</v>
      </c>
    </row>
    <row r="33369">
      <c r="A33369" s="39"/>
      <c r="E33369" s="40" t="s">
        <v>11404</v>
      </c>
      <c r="F33369" s="40" t="s">
        <v>11404</v>
      </c>
      <c r="G33369" s="40" t="s">
        <v>11404</v>
      </c>
      <c r="H33369" s="40" t="s">
        <v>11404</v>
      </c>
    </row>
    <row r="33370">
      <c r="A33370" s="39"/>
      <c r="E33370" s="40" t="s">
        <v>11404</v>
      </c>
      <c r="F33370" s="40" t="s">
        <v>11404</v>
      </c>
      <c r="G33370" s="40" t="s">
        <v>11404</v>
      </c>
      <c r="H33370" s="40" t="s">
        <v>11404</v>
      </c>
    </row>
    <row r="33371">
      <c r="A33371" s="39"/>
      <c r="E33371" s="40" t="s">
        <v>11404</v>
      </c>
      <c r="F33371" s="40" t="s">
        <v>11404</v>
      </c>
      <c r="G33371" s="40" t="s">
        <v>11404</v>
      </c>
      <c r="H33371" s="40" t="s">
        <v>11404</v>
      </c>
    </row>
    <row r="33372">
      <c r="A33372" s="39"/>
      <c r="E33372" s="40" t="s">
        <v>11404</v>
      </c>
      <c r="F33372" s="40" t="s">
        <v>11404</v>
      </c>
      <c r="G33372" s="40" t="s">
        <v>11404</v>
      </c>
      <c r="H33372" s="40" t="s">
        <v>11404</v>
      </c>
    </row>
    <row r="33373">
      <c r="A33373" s="39"/>
      <c r="E33373" s="40" t="s">
        <v>11404</v>
      </c>
      <c r="F33373" s="40" t="s">
        <v>11404</v>
      </c>
      <c r="G33373" s="40" t="s">
        <v>11404</v>
      </c>
      <c r="H33373" s="40" t="s">
        <v>11404</v>
      </c>
    </row>
    <row r="33374">
      <c r="A33374" s="39"/>
      <c r="E33374" s="40" t="s">
        <v>11404</v>
      </c>
      <c r="F33374" s="40" t="s">
        <v>11404</v>
      </c>
      <c r="G33374" s="40" t="s">
        <v>11404</v>
      </c>
      <c r="H33374" s="40" t="s">
        <v>11404</v>
      </c>
    </row>
    <row r="33375">
      <c r="A33375" s="39"/>
      <c r="E33375" s="40" t="s">
        <v>11404</v>
      </c>
      <c r="F33375" s="40" t="s">
        <v>11404</v>
      </c>
      <c r="G33375" s="40" t="s">
        <v>11404</v>
      </c>
      <c r="H33375" s="40" t="s">
        <v>11404</v>
      </c>
    </row>
    <row r="33376">
      <c r="A33376" s="39"/>
      <c r="E33376" s="40" t="s">
        <v>11404</v>
      </c>
      <c r="F33376" s="40" t="s">
        <v>11404</v>
      </c>
      <c r="G33376" s="40" t="s">
        <v>11404</v>
      </c>
      <c r="H33376" s="40" t="s">
        <v>11404</v>
      </c>
    </row>
    <row r="33377">
      <c r="A33377" s="39"/>
      <c r="E33377" s="40" t="s">
        <v>11404</v>
      </c>
      <c r="F33377" s="40" t="s">
        <v>11404</v>
      </c>
      <c r="G33377" s="40" t="s">
        <v>11404</v>
      </c>
      <c r="H33377" s="40" t="s">
        <v>11404</v>
      </c>
    </row>
    <row r="33378">
      <c r="A33378" s="39"/>
      <c r="E33378" s="40" t="s">
        <v>11404</v>
      </c>
      <c r="F33378" s="40" t="s">
        <v>11404</v>
      </c>
      <c r="G33378" s="40" t="s">
        <v>11404</v>
      </c>
      <c r="H33378" s="40" t="s">
        <v>11404</v>
      </c>
    </row>
    <row r="33379">
      <c r="A33379" s="39"/>
      <c r="E33379" s="40" t="s">
        <v>11404</v>
      </c>
      <c r="F33379" s="40" t="s">
        <v>11404</v>
      </c>
      <c r="G33379" s="40" t="s">
        <v>11404</v>
      </c>
      <c r="H33379" s="40" t="s">
        <v>11404</v>
      </c>
    </row>
    <row r="33380">
      <c r="A33380" s="39"/>
      <c r="E33380" s="40" t="s">
        <v>11404</v>
      </c>
      <c r="F33380" s="40" t="s">
        <v>11404</v>
      </c>
      <c r="G33380" s="40" t="s">
        <v>11404</v>
      </c>
      <c r="H33380" s="40" t="s">
        <v>11404</v>
      </c>
    </row>
    <row r="33381">
      <c r="A33381" s="39"/>
      <c r="E33381" s="40" t="s">
        <v>11404</v>
      </c>
      <c r="F33381" s="40" t="s">
        <v>11404</v>
      </c>
      <c r="G33381" s="40" t="s">
        <v>11404</v>
      </c>
      <c r="H33381" s="40" t="s">
        <v>11404</v>
      </c>
    </row>
    <row r="33382">
      <c r="A33382" s="39"/>
      <c r="E33382" s="40" t="s">
        <v>11404</v>
      </c>
      <c r="F33382" s="40" t="s">
        <v>11404</v>
      </c>
      <c r="G33382" s="40" t="s">
        <v>11404</v>
      </c>
      <c r="H33382" s="40" t="s">
        <v>11404</v>
      </c>
    </row>
    <row r="33383">
      <c r="A33383" s="39"/>
      <c r="E33383" s="40" t="s">
        <v>11404</v>
      </c>
      <c r="F33383" s="40" t="s">
        <v>11404</v>
      </c>
      <c r="G33383" s="40" t="s">
        <v>11404</v>
      </c>
      <c r="H33383" s="40" t="s">
        <v>11404</v>
      </c>
    </row>
    <row r="33384">
      <c r="A33384" s="39"/>
      <c r="E33384" s="40" t="s">
        <v>11404</v>
      </c>
      <c r="F33384" s="40" t="s">
        <v>11404</v>
      </c>
      <c r="G33384" s="40" t="s">
        <v>11404</v>
      </c>
      <c r="H33384" s="40" t="s">
        <v>11404</v>
      </c>
    </row>
    <row r="33385">
      <c r="A33385" s="39"/>
      <c r="E33385" s="40" t="s">
        <v>11404</v>
      </c>
      <c r="F33385" s="40" t="s">
        <v>11404</v>
      </c>
      <c r="G33385" s="40" t="s">
        <v>11404</v>
      </c>
      <c r="H33385" s="40" t="s">
        <v>11404</v>
      </c>
    </row>
    <row r="33386">
      <c r="A33386" s="39"/>
      <c r="E33386" s="40" t="s">
        <v>11404</v>
      </c>
      <c r="F33386" s="40" t="s">
        <v>11404</v>
      </c>
      <c r="G33386" s="40" t="s">
        <v>11404</v>
      </c>
      <c r="H33386" s="40" t="s">
        <v>11404</v>
      </c>
    </row>
    <row r="33387">
      <c r="A33387" s="39"/>
      <c r="E33387" s="40" t="s">
        <v>11404</v>
      </c>
      <c r="F33387" s="40" t="s">
        <v>11404</v>
      </c>
      <c r="G33387" s="40" t="s">
        <v>11404</v>
      </c>
      <c r="H33387" s="40" t="s">
        <v>11404</v>
      </c>
    </row>
    <row r="33388">
      <c r="A33388" s="39"/>
      <c r="E33388" s="40" t="s">
        <v>11404</v>
      </c>
      <c r="F33388" s="40" t="s">
        <v>11404</v>
      </c>
      <c r="G33388" s="40" t="s">
        <v>11404</v>
      </c>
      <c r="H33388" s="40" t="s">
        <v>11404</v>
      </c>
    </row>
    <row r="33389">
      <c r="A33389" s="39"/>
      <c r="E33389" s="40" t="s">
        <v>11404</v>
      </c>
      <c r="F33389" s="40" t="s">
        <v>11404</v>
      </c>
      <c r="G33389" s="40" t="s">
        <v>11404</v>
      </c>
      <c r="H33389" s="40" t="s">
        <v>11404</v>
      </c>
    </row>
    <row r="33390">
      <c r="A33390" s="39"/>
      <c r="E33390" s="40" t="s">
        <v>11404</v>
      </c>
      <c r="F33390" s="40" t="s">
        <v>11404</v>
      </c>
      <c r="G33390" s="40" t="s">
        <v>11404</v>
      </c>
      <c r="H33390" s="40" t="s">
        <v>11404</v>
      </c>
    </row>
    <row r="33391">
      <c r="A33391" s="39"/>
      <c r="E33391" s="40" t="s">
        <v>11404</v>
      </c>
      <c r="F33391" s="40" t="s">
        <v>11404</v>
      </c>
      <c r="G33391" s="40" t="s">
        <v>11404</v>
      </c>
      <c r="H33391" s="40" t="s">
        <v>11404</v>
      </c>
    </row>
    <row r="33392">
      <c r="A33392" s="39"/>
      <c r="E33392" s="40" t="s">
        <v>11404</v>
      </c>
      <c r="F33392" s="40" t="s">
        <v>11404</v>
      </c>
      <c r="G33392" s="40" t="s">
        <v>11404</v>
      </c>
      <c r="H33392" s="40" t="s">
        <v>11404</v>
      </c>
    </row>
    <row r="33393">
      <c r="A33393" s="39"/>
      <c r="E33393" s="40" t="s">
        <v>11404</v>
      </c>
      <c r="F33393" s="40" t="s">
        <v>11404</v>
      </c>
      <c r="G33393" s="40" t="s">
        <v>11404</v>
      </c>
      <c r="H33393" s="40" t="s">
        <v>11404</v>
      </c>
    </row>
    <row r="33394">
      <c r="A33394" s="39"/>
      <c r="E33394" s="40" t="s">
        <v>11404</v>
      </c>
      <c r="F33394" s="40" t="s">
        <v>11404</v>
      </c>
      <c r="G33394" s="40" t="s">
        <v>11404</v>
      </c>
      <c r="H33394" s="40" t="s">
        <v>11404</v>
      </c>
    </row>
    <row r="33395">
      <c r="A33395" s="39"/>
      <c r="E33395" s="40" t="s">
        <v>11404</v>
      </c>
      <c r="F33395" s="40" t="s">
        <v>11404</v>
      </c>
      <c r="G33395" s="40" t="s">
        <v>11404</v>
      </c>
      <c r="H33395" s="40" t="s">
        <v>11404</v>
      </c>
    </row>
    <row r="33396">
      <c r="A33396" s="39"/>
      <c r="E33396" s="40" t="s">
        <v>11404</v>
      </c>
      <c r="F33396" s="40" t="s">
        <v>11404</v>
      </c>
      <c r="G33396" s="40" t="s">
        <v>11404</v>
      </c>
      <c r="H33396" s="40" t="s">
        <v>11404</v>
      </c>
    </row>
    <row r="33397">
      <c r="A33397" s="39"/>
      <c r="E33397" s="40" t="s">
        <v>11404</v>
      </c>
      <c r="F33397" s="40" t="s">
        <v>11404</v>
      </c>
      <c r="G33397" s="40" t="s">
        <v>11404</v>
      </c>
      <c r="H33397" s="40" t="s">
        <v>11404</v>
      </c>
    </row>
    <row r="33398">
      <c r="A33398" s="39"/>
      <c r="E33398" s="40" t="s">
        <v>11404</v>
      </c>
      <c r="F33398" s="40" t="s">
        <v>11404</v>
      </c>
      <c r="G33398" s="40" t="s">
        <v>11404</v>
      </c>
      <c r="H33398" s="40" t="s">
        <v>11404</v>
      </c>
    </row>
    <row r="33399">
      <c r="A33399" s="39"/>
      <c r="E33399" s="40" t="s">
        <v>11404</v>
      </c>
      <c r="F33399" s="40" t="s">
        <v>11404</v>
      </c>
      <c r="G33399" s="40" t="s">
        <v>11404</v>
      </c>
      <c r="H33399" s="40" t="s">
        <v>11404</v>
      </c>
    </row>
    <row r="33400">
      <c r="A33400" s="39"/>
      <c r="E33400" s="40" t="s">
        <v>11404</v>
      </c>
      <c r="F33400" s="40" t="s">
        <v>11404</v>
      </c>
      <c r="G33400" s="40" t="s">
        <v>11404</v>
      </c>
      <c r="H33400" s="40" t="s">
        <v>11404</v>
      </c>
    </row>
    <row r="33401">
      <c r="A33401" s="39"/>
      <c r="E33401" s="40" t="s">
        <v>11404</v>
      </c>
      <c r="F33401" s="40" t="s">
        <v>11404</v>
      </c>
      <c r="G33401" s="40" t="s">
        <v>11404</v>
      </c>
      <c r="H33401" s="40" t="s">
        <v>11404</v>
      </c>
    </row>
    <row r="33402">
      <c r="A33402" s="39"/>
      <c r="E33402" s="40" t="s">
        <v>11404</v>
      </c>
      <c r="F33402" s="40" t="s">
        <v>11404</v>
      </c>
      <c r="G33402" s="40" t="s">
        <v>11404</v>
      </c>
      <c r="H33402" s="40" t="s">
        <v>11404</v>
      </c>
    </row>
    <row r="33403">
      <c r="A33403" s="39"/>
      <c r="E33403" s="40" t="s">
        <v>11404</v>
      </c>
      <c r="F33403" s="40" t="s">
        <v>11404</v>
      </c>
      <c r="G33403" s="40" t="s">
        <v>11404</v>
      </c>
      <c r="H33403" s="40" t="s">
        <v>11404</v>
      </c>
    </row>
    <row r="33404">
      <c r="A33404" s="39"/>
      <c r="E33404" s="40" t="s">
        <v>11404</v>
      </c>
      <c r="F33404" s="40" t="s">
        <v>11404</v>
      </c>
      <c r="G33404" s="40" t="s">
        <v>11404</v>
      </c>
      <c r="H33404" s="40" t="s">
        <v>11404</v>
      </c>
    </row>
    <row r="33405">
      <c r="A33405" s="39"/>
      <c r="E33405" s="40" t="s">
        <v>11404</v>
      </c>
      <c r="F33405" s="40" t="s">
        <v>11404</v>
      </c>
      <c r="G33405" s="40" t="s">
        <v>11404</v>
      </c>
      <c r="H33405" s="40" t="s">
        <v>11404</v>
      </c>
    </row>
    <row r="33406">
      <c r="A33406" s="39"/>
      <c r="E33406" s="40" t="s">
        <v>11404</v>
      </c>
      <c r="F33406" s="40" t="s">
        <v>11404</v>
      </c>
      <c r="G33406" s="40" t="s">
        <v>11404</v>
      </c>
      <c r="H33406" s="40" t="s">
        <v>11404</v>
      </c>
    </row>
    <row r="33407">
      <c r="A33407" s="39"/>
      <c r="E33407" s="40" t="s">
        <v>11404</v>
      </c>
      <c r="F33407" s="40" t="s">
        <v>11404</v>
      </c>
      <c r="G33407" s="40" t="s">
        <v>11404</v>
      </c>
      <c r="H33407" s="40" t="s">
        <v>11404</v>
      </c>
    </row>
    <row r="33408">
      <c r="A33408" s="39"/>
      <c r="E33408" s="40" t="s">
        <v>11404</v>
      </c>
      <c r="F33408" s="40" t="s">
        <v>11404</v>
      </c>
      <c r="G33408" s="40" t="s">
        <v>11404</v>
      </c>
      <c r="H33408" s="40" t="s">
        <v>11404</v>
      </c>
    </row>
    <row r="33409">
      <c r="A33409" s="39"/>
      <c r="E33409" s="40" t="s">
        <v>11404</v>
      </c>
      <c r="F33409" s="40" t="s">
        <v>11404</v>
      </c>
      <c r="G33409" s="40" t="s">
        <v>11404</v>
      </c>
      <c r="H33409" s="40" t="s">
        <v>11404</v>
      </c>
    </row>
    <row r="33410">
      <c r="A33410" s="39"/>
      <c r="E33410" s="40" t="s">
        <v>11404</v>
      </c>
      <c r="F33410" s="40" t="s">
        <v>11404</v>
      </c>
      <c r="G33410" s="40" t="s">
        <v>11404</v>
      </c>
      <c r="H33410" s="40" t="s">
        <v>11404</v>
      </c>
    </row>
    <row r="33411">
      <c r="A33411" s="39"/>
      <c r="E33411" s="40" t="s">
        <v>11404</v>
      </c>
      <c r="F33411" s="40" t="s">
        <v>11404</v>
      </c>
      <c r="G33411" s="40" t="s">
        <v>11404</v>
      </c>
      <c r="H33411" s="40" t="s">
        <v>11404</v>
      </c>
    </row>
    <row r="33412">
      <c r="A33412" s="39"/>
      <c r="E33412" s="40" t="s">
        <v>11404</v>
      </c>
      <c r="F33412" s="40" t="s">
        <v>11404</v>
      </c>
      <c r="G33412" s="40" t="s">
        <v>11404</v>
      </c>
      <c r="H33412" s="40" t="s">
        <v>11404</v>
      </c>
    </row>
    <row r="33413">
      <c r="A33413" s="39"/>
      <c r="E33413" s="40" t="s">
        <v>11404</v>
      </c>
      <c r="F33413" s="40" t="s">
        <v>11404</v>
      </c>
      <c r="G33413" s="40" t="s">
        <v>11404</v>
      </c>
      <c r="H33413" s="40" t="s">
        <v>11404</v>
      </c>
    </row>
    <row r="33414">
      <c r="A33414" s="39"/>
      <c r="E33414" s="40" t="s">
        <v>11404</v>
      </c>
      <c r="F33414" s="40" t="s">
        <v>11404</v>
      </c>
      <c r="G33414" s="40" t="s">
        <v>11404</v>
      </c>
      <c r="H33414" s="40" t="s">
        <v>11404</v>
      </c>
    </row>
    <row r="33415">
      <c r="A33415" s="39"/>
      <c r="E33415" s="40" t="s">
        <v>11404</v>
      </c>
      <c r="F33415" s="40" t="s">
        <v>11404</v>
      </c>
      <c r="G33415" s="40" t="s">
        <v>11404</v>
      </c>
      <c r="H33415" s="40" t="s">
        <v>11404</v>
      </c>
    </row>
    <row r="33416">
      <c r="A33416" s="39"/>
      <c r="E33416" s="40" t="s">
        <v>11404</v>
      </c>
      <c r="F33416" s="40" t="s">
        <v>11404</v>
      </c>
      <c r="G33416" s="40" t="s">
        <v>11404</v>
      </c>
      <c r="H33416" s="40" t="s">
        <v>11404</v>
      </c>
    </row>
    <row r="33417">
      <c r="A33417" s="39"/>
      <c r="E33417" s="40" t="s">
        <v>11404</v>
      </c>
      <c r="F33417" s="40" t="s">
        <v>11404</v>
      </c>
      <c r="G33417" s="40" t="s">
        <v>11404</v>
      </c>
      <c r="H33417" s="40" t="s">
        <v>11404</v>
      </c>
    </row>
    <row r="33418">
      <c r="A33418" s="39"/>
      <c r="E33418" s="40" t="s">
        <v>11404</v>
      </c>
      <c r="F33418" s="40" t="s">
        <v>11404</v>
      </c>
      <c r="G33418" s="40" t="s">
        <v>11404</v>
      </c>
      <c r="H33418" s="40" t="s">
        <v>11404</v>
      </c>
    </row>
    <row r="33419">
      <c r="A33419" s="39"/>
      <c r="E33419" s="40" t="s">
        <v>11404</v>
      </c>
      <c r="F33419" s="40" t="s">
        <v>11404</v>
      </c>
      <c r="G33419" s="40" t="s">
        <v>11404</v>
      </c>
      <c r="H33419" s="40" t="s">
        <v>11404</v>
      </c>
    </row>
    <row r="33420">
      <c r="A33420" s="39"/>
      <c r="E33420" s="40" t="s">
        <v>11404</v>
      </c>
      <c r="F33420" s="40" t="s">
        <v>11404</v>
      </c>
      <c r="G33420" s="40" t="s">
        <v>11404</v>
      </c>
      <c r="H33420" s="40" t="s">
        <v>11404</v>
      </c>
    </row>
    <row r="33421">
      <c r="A33421" s="39"/>
      <c r="E33421" s="40" t="s">
        <v>11404</v>
      </c>
      <c r="F33421" s="40" t="s">
        <v>11404</v>
      </c>
      <c r="G33421" s="40" t="s">
        <v>11404</v>
      </c>
      <c r="H33421" s="40" t="s">
        <v>11404</v>
      </c>
    </row>
    <row r="33422">
      <c r="A33422" s="39"/>
      <c r="E33422" s="40" t="s">
        <v>11404</v>
      </c>
      <c r="F33422" s="40" t="s">
        <v>11404</v>
      </c>
      <c r="G33422" s="40" t="s">
        <v>11404</v>
      </c>
      <c r="H33422" s="40" t="s">
        <v>11404</v>
      </c>
    </row>
    <row r="33423">
      <c r="A33423" s="39"/>
      <c r="E33423" s="40" t="s">
        <v>11404</v>
      </c>
      <c r="F33423" s="40" t="s">
        <v>11404</v>
      </c>
      <c r="G33423" s="40" t="s">
        <v>11404</v>
      </c>
      <c r="H33423" s="40" t="s">
        <v>11404</v>
      </c>
    </row>
    <row r="33424">
      <c r="A33424" s="39"/>
      <c r="E33424" s="40" t="s">
        <v>11404</v>
      </c>
      <c r="F33424" s="40" t="s">
        <v>11404</v>
      </c>
      <c r="G33424" s="40" t="s">
        <v>11404</v>
      </c>
      <c r="H33424" s="40" t="s">
        <v>11404</v>
      </c>
    </row>
    <row r="33425">
      <c r="A33425" s="39"/>
      <c r="E33425" s="40" t="s">
        <v>11404</v>
      </c>
      <c r="F33425" s="40" t="s">
        <v>11404</v>
      </c>
      <c r="G33425" s="40" t="s">
        <v>11404</v>
      </c>
      <c r="H33425" s="40" t="s">
        <v>11404</v>
      </c>
    </row>
    <row r="33426">
      <c r="A33426" s="39"/>
      <c r="E33426" s="40" t="s">
        <v>11404</v>
      </c>
      <c r="F33426" s="40" t="s">
        <v>11404</v>
      </c>
      <c r="G33426" s="40" t="s">
        <v>11404</v>
      </c>
      <c r="H33426" s="40" t="s">
        <v>11404</v>
      </c>
    </row>
    <row r="33427">
      <c r="A33427" s="39"/>
      <c r="E33427" s="40" t="s">
        <v>11404</v>
      </c>
      <c r="F33427" s="40" t="s">
        <v>11404</v>
      </c>
      <c r="G33427" s="40" t="s">
        <v>11404</v>
      </c>
      <c r="H33427" s="40" t="s">
        <v>11404</v>
      </c>
    </row>
    <row r="33428">
      <c r="A33428" s="39"/>
      <c r="E33428" s="40" t="s">
        <v>11404</v>
      </c>
      <c r="F33428" s="40" t="s">
        <v>11404</v>
      </c>
      <c r="G33428" s="40" t="s">
        <v>11404</v>
      </c>
      <c r="H33428" s="40" t="s">
        <v>11404</v>
      </c>
    </row>
    <row r="33429">
      <c r="A33429" s="39"/>
      <c r="E33429" s="40" t="s">
        <v>11404</v>
      </c>
      <c r="F33429" s="40" t="s">
        <v>11404</v>
      </c>
      <c r="G33429" s="40" t="s">
        <v>11404</v>
      </c>
      <c r="H33429" s="40" t="s">
        <v>11404</v>
      </c>
    </row>
    <row r="33430">
      <c r="A33430" s="39"/>
      <c r="E33430" s="40" t="s">
        <v>11404</v>
      </c>
      <c r="F33430" s="40" t="s">
        <v>11404</v>
      </c>
      <c r="G33430" s="40" t="s">
        <v>11404</v>
      </c>
      <c r="H33430" s="40" t="s">
        <v>11404</v>
      </c>
    </row>
    <row r="33431">
      <c r="A33431" s="39"/>
      <c r="E33431" s="40" t="s">
        <v>11404</v>
      </c>
      <c r="F33431" s="40" t="s">
        <v>11404</v>
      </c>
      <c r="G33431" s="40" t="s">
        <v>11404</v>
      </c>
      <c r="H33431" s="40" t="s">
        <v>11404</v>
      </c>
    </row>
    <row r="33432">
      <c r="A33432" s="39"/>
      <c r="E33432" s="40" t="s">
        <v>11404</v>
      </c>
      <c r="F33432" s="40" t="s">
        <v>11404</v>
      </c>
      <c r="G33432" s="40" t="s">
        <v>11404</v>
      </c>
      <c r="H33432" s="40" t="s">
        <v>11404</v>
      </c>
    </row>
    <row r="33433">
      <c r="A33433" s="39"/>
      <c r="E33433" s="40" t="s">
        <v>11404</v>
      </c>
      <c r="F33433" s="40" t="s">
        <v>11404</v>
      </c>
      <c r="G33433" s="40" t="s">
        <v>11404</v>
      </c>
      <c r="H33433" s="40" t="s">
        <v>11404</v>
      </c>
    </row>
    <row r="33434">
      <c r="A33434" s="39"/>
      <c r="E33434" s="40" t="s">
        <v>11404</v>
      </c>
      <c r="F33434" s="40" t="s">
        <v>11404</v>
      </c>
      <c r="G33434" s="40" t="s">
        <v>11404</v>
      </c>
      <c r="H33434" s="40" t="s">
        <v>11404</v>
      </c>
    </row>
    <row r="33435">
      <c r="A33435" s="39"/>
      <c r="E33435" s="40" t="s">
        <v>11404</v>
      </c>
      <c r="F33435" s="40" t="s">
        <v>11404</v>
      </c>
      <c r="G33435" s="40" t="s">
        <v>11404</v>
      </c>
      <c r="H33435" s="40" t="s">
        <v>11404</v>
      </c>
    </row>
    <row r="33436">
      <c r="A33436" s="39"/>
      <c r="E33436" s="40" t="s">
        <v>11404</v>
      </c>
      <c r="F33436" s="40" t="s">
        <v>11404</v>
      </c>
      <c r="G33436" s="40" t="s">
        <v>11404</v>
      </c>
      <c r="H33436" s="40" t="s">
        <v>11404</v>
      </c>
    </row>
    <row r="33437">
      <c r="A33437" s="39"/>
      <c r="E33437" s="40" t="s">
        <v>11404</v>
      </c>
      <c r="F33437" s="40" t="s">
        <v>11404</v>
      </c>
      <c r="G33437" s="40" t="s">
        <v>11404</v>
      </c>
      <c r="H33437" s="40" t="s">
        <v>11404</v>
      </c>
    </row>
    <row r="33438">
      <c r="A33438" s="39"/>
      <c r="E33438" s="40" t="s">
        <v>11404</v>
      </c>
      <c r="F33438" s="40" t="s">
        <v>11404</v>
      </c>
      <c r="G33438" s="40" t="s">
        <v>11404</v>
      </c>
      <c r="H33438" s="40" t="s">
        <v>11404</v>
      </c>
    </row>
    <row r="33439">
      <c r="A33439" s="39"/>
      <c r="E33439" s="40" t="s">
        <v>11404</v>
      </c>
      <c r="F33439" s="40" t="s">
        <v>11404</v>
      </c>
      <c r="G33439" s="40" t="s">
        <v>11404</v>
      </c>
      <c r="H33439" s="40" t="s">
        <v>11404</v>
      </c>
    </row>
    <row r="33440">
      <c r="A33440" s="39"/>
      <c r="E33440" s="40" t="s">
        <v>11404</v>
      </c>
      <c r="F33440" s="40" t="s">
        <v>11404</v>
      </c>
      <c r="G33440" s="40" t="s">
        <v>11404</v>
      </c>
      <c r="H33440" s="40" t="s">
        <v>11404</v>
      </c>
    </row>
    <row r="33441">
      <c r="A33441" s="39"/>
      <c r="E33441" s="40" t="s">
        <v>11404</v>
      </c>
      <c r="F33441" s="40" t="s">
        <v>11404</v>
      </c>
      <c r="G33441" s="40" t="s">
        <v>11404</v>
      </c>
      <c r="H33441" s="40" t="s">
        <v>11404</v>
      </c>
    </row>
    <row r="33442">
      <c r="A33442" s="39"/>
      <c r="E33442" s="40" t="s">
        <v>11404</v>
      </c>
      <c r="F33442" s="40" t="s">
        <v>11404</v>
      </c>
      <c r="G33442" s="40" t="s">
        <v>11404</v>
      </c>
      <c r="H33442" s="40" t="s">
        <v>11404</v>
      </c>
    </row>
    <row r="33443">
      <c r="A33443" s="39"/>
      <c r="E33443" s="40" t="s">
        <v>11404</v>
      </c>
      <c r="F33443" s="40" t="s">
        <v>11404</v>
      </c>
      <c r="G33443" s="40" t="s">
        <v>11404</v>
      </c>
      <c r="H33443" s="40" t="s">
        <v>11404</v>
      </c>
    </row>
    <row r="33444">
      <c r="A33444" s="39"/>
      <c r="E33444" s="40" t="s">
        <v>11404</v>
      </c>
      <c r="F33444" s="40" t="s">
        <v>11404</v>
      </c>
      <c r="G33444" s="40" t="s">
        <v>11404</v>
      </c>
      <c r="H33444" s="40" t="s">
        <v>11404</v>
      </c>
    </row>
    <row r="33445">
      <c r="A33445" s="39"/>
      <c r="E33445" s="40" t="s">
        <v>11404</v>
      </c>
      <c r="F33445" s="40" t="s">
        <v>11404</v>
      </c>
      <c r="G33445" s="40" t="s">
        <v>11404</v>
      </c>
      <c r="H33445" s="40" t="s">
        <v>11404</v>
      </c>
    </row>
    <row r="33446">
      <c r="A33446" s="39"/>
      <c r="E33446" s="40" t="s">
        <v>11404</v>
      </c>
      <c r="F33446" s="40" t="s">
        <v>11404</v>
      </c>
      <c r="G33446" s="40" t="s">
        <v>11404</v>
      </c>
      <c r="H33446" s="40" t="s">
        <v>11404</v>
      </c>
    </row>
    <row r="33447">
      <c r="A33447" s="39"/>
      <c r="E33447" s="40" t="s">
        <v>11404</v>
      </c>
      <c r="F33447" s="40" t="s">
        <v>11404</v>
      </c>
      <c r="G33447" s="40" t="s">
        <v>11404</v>
      </c>
      <c r="H33447" s="40" t="s">
        <v>11404</v>
      </c>
    </row>
    <row r="33448">
      <c r="A33448" s="39"/>
      <c r="E33448" s="40" t="s">
        <v>11404</v>
      </c>
      <c r="F33448" s="40" t="s">
        <v>11404</v>
      </c>
      <c r="G33448" s="40" t="s">
        <v>11404</v>
      </c>
      <c r="H33448" s="40" t="s">
        <v>11404</v>
      </c>
    </row>
    <row r="33449">
      <c r="A33449" s="39"/>
      <c r="E33449" s="40" t="s">
        <v>11404</v>
      </c>
      <c r="F33449" s="40" t="s">
        <v>11404</v>
      </c>
      <c r="G33449" s="40" t="s">
        <v>11404</v>
      </c>
      <c r="H33449" s="40" t="s">
        <v>11404</v>
      </c>
    </row>
    <row r="33450">
      <c r="A33450" s="39"/>
      <c r="E33450" s="40" t="s">
        <v>11404</v>
      </c>
      <c r="F33450" s="40" t="s">
        <v>11404</v>
      </c>
      <c r="G33450" s="40" t="s">
        <v>11404</v>
      </c>
      <c r="H33450" s="40" t="s">
        <v>11404</v>
      </c>
    </row>
    <row r="33451">
      <c r="A33451" s="39"/>
      <c r="E33451" s="40" t="s">
        <v>11404</v>
      </c>
      <c r="F33451" s="40" t="s">
        <v>11404</v>
      </c>
      <c r="G33451" s="40" t="s">
        <v>11404</v>
      </c>
      <c r="H33451" s="40" t="s">
        <v>11404</v>
      </c>
    </row>
    <row r="33452">
      <c r="A33452" s="39"/>
      <c r="E33452" s="40" t="s">
        <v>11404</v>
      </c>
      <c r="F33452" s="40" t="s">
        <v>11404</v>
      </c>
      <c r="G33452" s="40" t="s">
        <v>11404</v>
      </c>
      <c r="H33452" s="40" t="s">
        <v>11404</v>
      </c>
    </row>
    <row r="33453">
      <c r="A33453" s="39"/>
      <c r="E33453" s="40" t="s">
        <v>11404</v>
      </c>
      <c r="F33453" s="40" t="s">
        <v>11404</v>
      </c>
      <c r="G33453" s="40" t="s">
        <v>11404</v>
      </c>
      <c r="H33453" s="40" t="s">
        <v>11404</v>
      </c>
    </row>
    <row r="33454">
      <c r="A33454" s="39"/>
      <c r="E33454" s="40" t="s">
        <v>11404</v>
      </c>
      <c r="F33454" s="40" t="s">
        <v>11404</v>
      </c>
      <c r="G33454" s="40" t="s">
        <v>11404</v>
      </c>
      <c r="H33454" s="40" t="s">
        <v>11404</v>
      </c>
    </row>
    <row r="33455">
      <c r="A33455" s="39"/>
      <c r="E33455" s="40" t="s">
        <v>11404</v>
      </c>
      <c r="F33455" s="40" t="s">
        <v>11404</v>
      </c>
      <c r="G33455" s="40" t="s">
        <v>11404</v>
      </c>
      <c r="H33455" s="40" t="s">
        <v>11404</v>
      </c>
    </row>
    <row r="33456">
      <c r="A33456" s="39"/>
      <c r="E33456" s="40" t="s">
        <v>11404</v>
      </c>
      <c r="F33456" s="40" t="s">
        <v>11404</v>
      </c>
      <c r="G33456" s="40" t="s">
        <v>11404</v>
      </c>
      <c r="H33456" s="40" t="s">
        <v>11404</v>
      </c>
    </row>
    <row r="33457">
      <c r="A33457" s="39"/>
      <c r="E33457" s="40" t="s">
        <v>11404</v>
      </c>
      <c r="F33457" s="40" t="s">
        <v>11404</v>
      </c>
      <c r="G33457" s="40" t="s">
        <v>11404</v>
      </c>
      <c r="H33457" s="40" t="s">
        <v>11404</v>
      </c>
    </row>
    <row r="33458">
      <c r="A33458" s="39"/>
      <c r="E33458" s="40" t="s">
        <v>11404</v>
      </c>
      <c r="F33458" s="40" t="s">
        <v>11404</v>
      </c>
      <c r="G33458" s="40" t="s">
        <v>11404</v>
      </c>
      <c r="H33458" s="40" t="s">
        <v>11404</v>
      </c>
    </row>
    <row r="33459">
      <c r="A33459" s="39"/>
      <c r="E33459" s="40" t="s">
        <v>11404</v>
      </c>
      <c r="F33459" s="40" t="s">
        <v>11404</v>
      </c>
      <c r="G33459" s="40" t="s">
        <v>11404</v>
      </c>
      <c r="H33459" s="40" t="s">
        <v>11404</v>
      </c>
    </row>
    <row r="33460">
      <c r="A33460" s="39"/>
      <c r="E33460" s="40" t="s">
        <v>11404</v>
      </c>
      <c r="F33460" s="40" t="s">
        <v>11404</v>
      </c>
      <c r="G33460" s="40" t="s">
        <v>11404</v>
      </c>
      <c r="H33460" s="40" t="s">
        <v>11404</v>
      </c>
    </row>
    <row r="33461">
      <c r="A33461" s="39"/>
      <c r="E33461" s="40" t="s">
        <v>11404</v>
      </c>
      <c r="F33461" s="40" t="s">
        <v>11404</v>
      </c>
      <c r="G33461" s="40" t="s">
        <v>11404</v>
      </c>
      <c r="H33461" s="40" t="s">
        <v>11404</v>
      </c>
    </row>
    <row r="33462">
      <c r="A33462" s="39"/>
      <c r="E33462" s="40" t="s">
        <v>11404</v>
      </c>
      <c r="F33462" s="40" t="s">
        <v>11404</v>
      </c>
      <c r="G33462" s="40" t="s">
        <v>11404</v>
      </c>
      <c r="H33462" s="40" t="s">
        <v>11404</v>
      </c>
    </row>
    <row r="33463">
      <c r="A33463" s="39"/>
      <c r="E33463" s="40" t="s">
        <v>11404</v>
      </c>
      <c r="F33463" s="40" t="s">
        <v>11404</v>
      </c>
      <c r="G33463" s="40" t="s">
        <v>11404</v>
      </c>
      <c r="H33463" s="40" t="s">
        <v>11404</v>
      </c>
    </row>
    <row r="33464">
      <c r="A33464" s="39"/>
      <c r="E33464" s="40" t="s">
        <v>11404</v>
      </c>
      <c r="F33464" s="40" t="s">
        <v>11404</v>
      </c>
      <c r="G33464" s="40" t="s">
        <v>11404</v>
      </c>
      <c r="H33464" s="40" t="s">
        <v>11404</v>
      </c>
    </row>
    <row r="33465">
      <c r="A33465" s="39"/>
      <c r="E33465" s="40" t="s">
        <v>11404</v>
      </c>
      <c r="F33465" s="40" t="s">
        <v>11404</v>
      </c>
      <c r="G33465" s="40" t="s">
        <v>11404</v>
      </c>
      <c r="H33465" s="40" t="s">
        <v>11404</v>
      </c>
    </row>
    <row r="33466">
      <c r="A33466" s="39"/>
      <c r="E33466" s="40" t="s">
        <v>11404</v>
      </c>
      <c r="F33466" s="40" t="s">
        <v>11404</v>
      </c>
      <c r="G33466" s="40" t="s">
        <v>11404</v>
      </c>
      <c r="H33466" s="40" t="s">
        <v>11404</v>
      </c>
    </row>
    <row r="33467">
      <c r="A33467" s="39"/>
      <c r="E33467" s="40" t="s">
        <v>11404</v>
      </c>
      <c r="F33467" s="40" t="s">
        <v>11404</v>
      </c>
      <c r="G33467" s="40" t="s">
        <v>11404</v>
      </c>
      <c r="H33467" s="40" t="s">
        <v>11404</v>
      </c>
    </row>
    <row r="33468">
      <c r="A33468" s="39"/>
      <c r="E33468" s="40" t="s">
        <v>11404</v>
      </c>
      <c r="F33468" s="40" t="s">
        <v>11404</v>
      </c>
      <c r="G33468" s="40" t="s">
        <v>11404</v>
      </c>
      <c r="H33468" s="40" t="s">
        <v>11404</v>
      </c>
    </row>
    <row r="33469">
      <c r="A33469" s="39"/>
      <c r="E33469" s="40" t="s">
        <v>11404</v>
      </c>
      <c r="F33469" s="40" t="s">
        <v>11404</v>
      </c>
      <c r="G33469" s="40" t="s">
        <v>11404</v>
      </c>
      <c r="H33469" s="40" t="s">
        <v>11404</v>
      </c>
    </row>
    <row r="33470">
      <c r="A33470" s="39"/>
      <c r="E33470" s="40" t="s">
        <v>11404</v>
      </c>
      <c r="F33470" s="40" t="s">
        <v>11404</v>
      </c>
      <c r="G33470" s="40" t="s">
        <v>11404</v>
      </c>
      <c r="H33470" s="40" t="s">
        <v>11404</v>
      </c>
    </row>
    <row r="33471">
      <c r="A33471" s="39"/>
      <c r="E33471" s="40" t="s">
        <v>11404</v>
      </c>
      <c r="F33471" s="40" t="s">
        <v>11404</v>
      </c>
      <c r="G33471" s="40" t="s">
        <v>11404</v>
      </c>
      <c r="H33471" s="40" t="s">
        <v>11404</v>
      </c>
    </row>
    <row r="33472">
      <c r="A33472" s="39"/>
      <c r="E33472" s="40" t="s">
        <v>11404</v>
      </c>
      <c r="F33472" s="40" t="s">
        <v>11404</v>
      </c>
      <c r="G33472" s="40" t="s">
        <v>11404</v>
      </c>
      <c r="H33472" s="40" t="s">
        <v>11404</v>
      </c>
    </row>
    <row r="33473">
      <c r="A33473" s="39"/>
      <c r="E33473" s="40" t="s">
        <v>11404</v>
      </c>
      <c r="F33473" s="40" t="s">
        <v>11404</v>
      </c>
      <c r="G33473" s="40" t="s">
        <v>11404</v>
      </c>
      <c r="H33473" s="40" t="s">
        <v>11404</v>
      </c>
    </row>
    <row r="33474">
      <c r="A33474" s="39"/>
      <c r="E33474" s="40" t="s">
        <v>11404</v>
      </c>
      <c r="F33474" s="40" t="s">
        <v>11404</v>
      </c>
      <c r="G33474" s="40" t="s">
        <v>11404</v>
      </c>
      <c r="H33474" s="40" t="s">
        <v>11404</v>
      </c>
    </row>
    <row r="33475">
      <c r="A33475" s="39"/>
      <c r="E33475" s="40" t="s">
        <v>11404</v>
      </c>
      <c r="F33475" s="40" t="s">
        <v>11404</v>
      </c>
      <c r="G33475" s="40" t="s">
        <v>11404</v>
      </c>
      <c r="H33475" s="40" t="s">
        <v>11404</v>
      </c>
    </row>
    <row r="33476">
      <c r="A33476" s="39"/>
      <c r="E33476" s="40" t="s">
        <v>11404</v>
      </c>
      <c r="F33476" s="40" t="s">
        <v>11404</v>
      </c>
      <c r="G33476" s="40" t="s">
        <v>11404</v>
      </c>
      <c r="H33476" s="40" t="s">
        <v>11404</v>
      </c>
    </row>
    <row r="33477">
      <c r="A33477" s="39"/>
      <c r="E33477" s="40" t="s">
        <v>11404</v>
      </c>
      <c r="F33477" s="40" t="s">
        <v>11404</v>
      </c>
      <c r="G33477" s="40" t="s">
        <v>11404</v>
      </c>
      <c r="H33477" s="40" t="s">
        <v>11404</v>
      </c>
    </row>
    <row r="33478">
      <c r="A33478" s="39"/>
      <c r="E33478" s="40" t="s">
        <v>11404</v>
      </c>
      <c r="F33478" s="40" t="s">
        <v>11404</v>
      </c>
      <c r="G33478" s="40" t="s">
        <v>11404</v>
      </c>
      <c r="H33478" s="40" t="s">
        <v>11404</v>
      </c>
    </row>
    <row r="33479">
      <c r="A33479" s="39"/>
      <c r="E33479" s="40" t="s">
        <v>11404</v>
      </c>
      <c r="F33479" s="40" t="s">
        <v>11404</v>
      </c>
      <c r="G33479" s="40" t="s">
        <v>11404</v>
      </c>
      <c r="H33479" s="40" t="s">
        <v>11404</v>
      </c>
    </row>
    <row r="33480">
      <c r="A33480" s="39"/>
      <c r="E33480" s="40" t="s">
        <v>11404</v>
      </c>
      <c r="F33480" s="40" t="s">
        <v>11404</v>
      </c>
      <c r="G33480" s="40" t="s">
        <v>11404</v>
      </c>
      <c r="H33480" s="40" t="s">
        <v>11404</v>
      </c>
    </row>
    <row r="33481">
      <c r="A33481" s="39"/>
      <c r="E33481" s="40" t="s">
        <v>11404</v>
      </c>
      <c r="F33481" s="40" t="s">
        <v>11404</v>
      </c>
      <c r="G33481" s="40" t="s">
        <v>11404</v>
      </c>
      <c r="H33481" s="40" t="s">
        <v>11404</v>
      </c>
    </row>
    <row r="33482">
      <c r="A33482" s="39"/>
      <c r="E33482" s="40" t="s">
        <v>11404</v>
      </c>
      <c r="F33482" s="40" t="s">
        <v>11404</v>
      </c>
      <c r="G33482" s="40" t="s">
        <v>11404</v>
      </c>
      <c r="H33482" s="40" t="s">
        <v>11404</v>
      </c>
    </row>
    <row r="33483">
      <c r="A33483" s="39"/>
      <c r="E33483" s="40" t="s">
        <v>11404</v>
      </c>
      <c r="F33483" s="40" t="s">
        <v>11404</v>
      </c>
      <c r="G33483" s="40" t="s">
        <v>11404</v>
      </c>
      <c r="H33483" s="40" t="s">
        <v>11404</v>
      </c>
    </row>
    <row r="33484">
      <c r="A33484" s="39"/>
      <c r="E33484" s="40" t="s">
        <v>11404</v>
      </c>
      <c r="F33484" s="40" t="s">
        <v>11404</v>
      </c>
      <c r="G33484" s="40" t="s">
        <v>11404</v>
      </c>
      <c r="H33484" s="40" t="s">
        <v>11404</v>
      </c>
    </row>
    <row r="33485">
      <c r="A33485" s="39"/>
      <c r="E33485" s="40" t="s">
        <v>11404</v>
      </c>
      <c r="F33485" s="40" t="s">
        <v>11404</v>
      </c>
      <c r="G33485" s="40" t="s">
        <v>11404</v>
      </c>
      <c r="H33485" s="40" t="s">
        <v>11404</v>
      </c>
    </row>
    <row r="33486">
      <c r="A33486" s="39"/>
      <c r="E33486" s="40" t="s">
        <v>11404</v>
      </c>
      <c r="F33486" s="40" t="s">
        <v>11404</v>
      </c>
      <c r="G33486" s="40" t="s">
        <v>11404</v>
      </c>
      <c r="H33486" s="40" t="s">
        <v>11404</v>
      </c>
    </row>
    <row r="33487">
      <c r="A33487" s="39"/>
      <c r="E33487" s="40" t="s">
        <v>11404</v>
      </c>
      <c r="F33487" s="40" t="s">
        <v>11404</v>
      </c>
      <c r="G33487" s="40" t="s">
        <v>11404</v>
      </c>
      <c r="H33487" s="40" t="s">
        <v>11404</v>
      </c>
    </row>
    <row r="33488">
      <c r="A33488" s="39"/>
      <c r="E33488" s="40" t="s">
        <v>11404</v>
      </c>
      <c r="F33488" s="40" t="s">
        <v>11404</v>
      </c>
      <c r="G33488" s="40" t="s">
        <v>11404</v>
      </c>
      <c r="H33488" s="40" t="s">
        <v>11404</v>
      </c>
    </row>
    <row r="33489">
      <c r="A33489" s="39"/>
      <c r="E33489" s="40" t="s">
        <v>11404</v>
      </c>
      <c r="F33489" s="40" t="s">
        <v>11404</v>
      </c>
      <c r="G33489" s="40" t="s">
        <v>11404</v>
      </c>
      <c r="H33489" s="40" t="s">
        <v>11404</v>
      </c>
    </row>
    <row r="33490">
      <c r="A33490" s="39"/>
      <c r="E33490" s="40" t="s">
        <v>11404</v>
      </c>
      <c r="F33490" s="40" t="s">
        <v>11404</v>
      </c>
      <c r="G33490" s="40" t="s">
        <v>11404</v>
      </c>
      <c r="H33490" s="40" t="s">
        <v>11404</v>
      </c>
    </row>
    <row r="33491">
      <c r="A33491" s="39"/>
      <c r="E33491" s="40" t="s">
        <v>11404</v>
      </c>
      <c r="F33491" s="40" t="s">
        <v>11404</v>
      </c>
      <c r="G33491" s="40" t="s">
        <v>11404</v>
      </c>
      <c r="H33491" s="40" t="s">
        <v>11404</v>
      </c>
    </row>
    <row r="33492">
      <c r="A33492" s="39"/>
      <c r="E33492" s="40" t="s">
        <v>11404</v>
      </c>
      <c r="F33492" s="40" t="s">
        <v>11404</v>
      </c>
      <c r="G33492" s="40" t="s">
        <v>11404</v>
      </c>
      <c r="H33492" s="40" t="s">
        <v>11404</v>
      </c>
    </row>
    <row r="33493">
      <c r="A33493" s="39"/>
      <c r="E33493" s="40" t="s">
        <v>11404</v>
      </c>
      <c r="F33493" s="40" t="s">
        <v>11404</v>
      </c>
      <c r="G33493" s="40" t="s">
        <v>11404</v>
      </c>
      <c r="H33493" s="40" t="s">
        <v>11404</v>
      </c>
    </row>
    <row r="33494">
      <c r="A33494" s="39"/>
      <c r="E33494" s="40" t="s">
        <v>11404</v>
      </c>
      <c r="F33494" s="40" t="s">
        <v>11404</v>
      </c>
      <c r="G33494" s="40" t="s">
        <v>11404</v>
      </c>
      <c r="H33494" s="40" t="s">
        <v>11404</v>
      </c>
    </row>
    <row r="33495">
      <c r="A33495" s="39"/>
      <c r="E33495" s="40" t="s">
        <v>11404</v>
      </c>
      <c r="F33495" s="40" t="s">
        <v>11404</v>
      </c>
      <c r="G33495" s="40" t="s">
        <v>11404</v>
      </c>
      <c r="H33495" s="40" t="s">
        <v>11404</v>
      </c>
    </row>
    <row r="33496">
      <c r="A33496" s="39"/>
      <c r="E33496" s="40" t="s">
        <v>11404</v>
      </c>
      <c r="F33496" s="40" t="s">
        <v>11404</v>
      </c>
      <c r="G33496" s="40" t="s">
        <v>11404</v>
      </c>
      <c r="H33496" s="40" t="s">
        <v>11404</v>
      </c>
    </row>
    <row r="33497">
      <c r="A33497" s="39"/>
      <c r="E33497" s="40" t="s">
        <v>11404</v>
      </c>
      <c r="F33497" s="40" t="s">
        <v>11404</v>
      </c>
      <c r="G33497" s="40" t="s">
        <v>11404</v>
      </c>
      <c r="H33497" s="40" t="s">
        <v>11404</v>
      </c>
    </row>
    <row r="33498">
      <c r="A33498" s="39"/>
      <c r="E33498" s="40" t="s">
        <v>11404</v>
      </c>
      <c r="F33498" s="40" t="s">
        <v>11404</v>
      </c>
      <c r="G33498" s="40" t="s">
        <v>11404</v>
      </c>
      <c r="H33498" s="40" t="s">
        <v>11404</v>
      </c>
    </row>
    <row r="33499">
      <c r="A33499" s="39"/>
      <c r="E33499" s="40" t="s">
        <v>11404</v>
      </c>
      <c r="F33499" s="40" t="s">
        <v>11404</v>
      </c>
      <c r="G33499" s="40" t="s">
        <v>11404</v>
      </c>
      <c r="H33499" s="40" t="s">
        <v>11404</v>
      </c>
    </row>
    <row r="33500">
      <c r="A33500" s="39"/>
      <c r="E33500" s="40" t="s">
        <v>11404</v>
      </c>
      <c r="F33500" s="40" t="s">
        <v>11404</v>
      </c>
      <c r="G33500" s="40" t="s">
        <v>11404</v>
      </c>
      <c r="H33500" s="40" t="s">
        <v>11404</v>
      </c>
    </row>
    <row r="33501">
      <c r="A33501" s="39"/>
      <c r="E33501" s="40" t="s">
        <v>11404</v>
      </c>
      <c r="F33501" s="40" t="s">
        <v>11404</v>
      </c>
      <c r="G33501" s="40" t="s">
        <v>11404</v>
      </c>
      <c r="H33501" s="40" t="s">
        <v>11404</v>
      </c>
    </row>
    <row r="33502">
      <c r="A33502" s="39"/>
      <c r="E33502" s="40" t="s">
        <v>11404</v>
      </c>
      <c r="F33502" s="40" t="s">
        <v>11404</v>
      </c>
      <c r="G33502" s="40" t="s">
        <v>11404</v>
      </c>
      <c r="H33502" s="40" t="s">
        <v>11404</v>
      </c>
    </row>
    <row r="33503">
      <c r="A33503" s="39"/>
      <c r="E33503" s="40" t="s">
        <v>11404</v>
      </c>
      <c r="F33503" s="40" t="s">
        <v>11404</v>
      </c>
      <c r="G33503" s="40" t="s">
        <v>11404</v>
      </c>
      <c r="H33503" s="40" t="s">
        <v>11404</v>
      </c>
    </row>
    <row r="33504">
      <c r="A33504" s="39"/>
      <c r="E33504" s="40" t="s">
        <v>11404</v>
      </c>
      <c r="F33504" s="40" t="s">
        <v>11404</v>
      </c>
      <c r="G33504" s="40" t="s">
        <v>11404</v>
      </c>
      <c r="H33504" s="40" t="s">
        <v>11404</v>
      </c>
    </row>
    <row r="33505">
      <c r="A33505" s="39"/>
      <c r="E33505" s="40" t="s">
        <v>11404</v>
      </c>
      <c r="F33505" s="40" t="s">
        <v>11404</v>
      </c>
      <c r="G33505" s="40" t="s">
        <v>11404</v>
      </c>
      <c r="H33505" s="40" t="s">
        <v>11404</v>
      </c>
    </row>
    <row r="33506">
      <c r="A33506" s="39"/>
      <c r="E33506" s="40" t="s">
        <v>11404</v>
      </c>
      <c r="F33506" s="40" t="s">
        <v>11404</v>
      </c>
      <c r="G33506" s="40" t="s">
        <v>11404</v>
      </c>
      <c r="H33506" s="40" t="s">
        <v>11404</v>
      </c>
    </row>
    <row r="33507">
      <c r="A33507" s="39"/>
      <c r="E33507" s="40" t="s">
        <v>11404</v>
      </c>
      <c r="F33507" s="40" t="s">
        <v>11404</v>
      </c>
      <c r="G33507" s="40" t="s">
        <v>11404</v>
      </c>
      <c r="H33507" s="40" t="s">
        <v>11404</v>
      </c>
    </row>
    <row r="33508">
      <c r="A33508" s="39"/>
      <c r="E33508" s="40" t="s">
        <v>11404</v>
      </c>
      <c r="F33508" s="40" t="s">
        <v>11404</v>
      </c>
      <c r="G33508" s="40" t="s">
        <v>11404</v>
      </c>
      <c r="H33508" s="40" t="s">
        <v>11404</v>
      </c>
    </row>
    <row r="33509">
      <c r="A33509" s="39"/>
      <c r="E33509" s="40" t="s">
        <v>11404</v>
      </c>
      <c r="F33509" s="40" t="s">
        <v>11404</v>
      </c>
      <c r="G33509" s="40" t="s">
        <v>11404</v>
      </c>
      <c r="H33509" s="40" t="s">
        <v>11404</v>
      </c>
    </row>
    <row r="33510">
      <c r="A33510" s="39"/>
      <c r="E33510" s="40" t="s">
        <v>11404</v>
      </c>
      <c r="F33510" s="40" t="s">
        <v>11404</v>
      </c>
      <c r="G33510" s="40" t="s">
        <v>11404</v>
      </c>
      <c r="H33510" s="40" t="s">
        <v>11404</v>
      </c>
    </row>
    <row r="33511">
      <c r="A33511" s="39"/>
      <c r="E33511" s="40" t="s">
        <v>11404</v>
      </c>
      <c r="F33511" s="40" t="s">
        <v>11404</v>
      </c>
      <c r="G33511" s="40" t="s">
        <v>11404</v>
      </c>
      <c r="H33511" s="40" t="s">
        <v>11404</v>
      </c>
    </row>
    <row r="33512">
      <c r="A33512" s="39"/>
      <c r="E33512" s="40" t="s">
        <v>11404</v>
      </c>
      <c r="F33512" s="40" t="s">
        <v>11404</v>
      </c>
      <c r="G33512" s="40" t="s">
        <v>11404</v>
      </c>
      <c r="H33512" s="40" t="s">
        <v>11404</v>
      </c>
    </row>
    <row r="33513">
      <c r="A33513" s="39"/>
      <c r="E33513" s="40" t="s">
        <v>11404</v>
      </c>
      <c r="F33513" s="40" t="s">
        <v>11404</v>
      </c>
      <c r="G33513" s="40" t="s">
        <v>11404</v>
      </c>
      <c r="H33513" s="40" t="s">
        <v>11404</v>
      </c>
    </row>
    <row r="33514">
      <c r="A33514" s="39"/>
      <c r="E33514" s="40" t="s">
        <v>11404</v>
      </c>
      <c r="F33514" s="40" t="s">
        <v>11404</v>
      </c>
      <c r="G33514" s="40" t="s">
        <v>11404</v>
      </c>
      <c r="H33514" s="40" t="s">
        <v>11404</v>
      </c>
    </row>
    <row r="33515">
      <c r="A33515" s="39"/>
      <c r="E33515" s="40" t="s">
        <v>11404</v>
      </c>
      <c r="F33515" s="40" t="s">
        <v>11404</v>
      </c>
      <c r="G33515" s="40" t="s">
        <v>11404</v>
      </c>
      <c r="H33515" s="40" t="s">
        <v>11404</v>
      </c>
    </row>
    <row r="33516">
      <c r="A33516" s="39"/>
      <c r="E33516" s="40" t="s">
        <v>11404</v>
      </c>
      <c r="F33516" s="40" t="s">
        <v>11404</v>
      </c>
      <c r="G33516" s="40" t="s">
        <v>11404</v>
      </c>
      <c r="H33516" s="40" t="s">
        <v>11404</v>
      </c>
    </row>
    <row r="33517">
      <c r="A33517" s="39"/>
      <c r="E33517" s="40" t="s">
        <v>11404</v>
      </c>
      <c r="F33517" s="40" t="s">
        <v>11404</v>
      </c>
      <c r="G33517" s="40" t="s">
        <v>11404</v>
      </c>
      <c r="H33517" s="40" t="s">
        <v>11404</v>
      </c>
    </row>
    <row r="33518">
      <c r="A33518" s="39"/>
      <c r="E33518" s="40" t="s">
        <v>11404</v>
      </c>
      <c r="F33518" s="40" t="s">
        <v>11404</v>
      </c>
      <c r="G33518" s="40" t="s">
        <v>11404</v>
      </c>
      <c r="H33518" s="40" t="s">
        <v>11404</v>
      </c>
    </row>
    <row r="33519">
      <c r="A33519" s="39"/>
      <c r="E33519" s="40" t="s">
        <v>11404</v>
      </c>
      <c r="F33519" s="40" t="s">
        <v>11404</v>
      </c>
      <c r="G33519" s="40" t="s">
        <v>11404</v>
      </c>
      <c r="H33519" s="40" t="s">
        <v>11404</v>
      </c>
    </row>
    <row r="33520">
      <c r="A33520" s="39"/>
      <c r="E33520" s="40" t="s">
        <v>11404</v>
      </c>
      <c r="F33520" s="40" t="s">
        <v>11404</v>
      </c>
      <c r="G33520" s="40" t="s">
        <v>11404</v>
      </c>
      <c r="H33520" s="40" t="s">
        <v>11404</v>
      </c>
    </row>
    <row r="33521">
      <c r="A33521" s="39"/>
      <c r="E33521" s="40" t="s">
        <v>11404</v>
      </c>
      <c r="F33521" s="40" t="s">
        <v>11404</v>
      </c>
      <c r="G33521" s="40" t="s">
        <v>11404</v>
      </c>
      <c r="H33521" s="40" t="s">
        <v>11404</v>
      </c>
    </row>
    <row r="33522">
      <c r="A33522" s="39"/>
      <c r="E33522" s="40" t="s">
        <v>11404</v>
      </c>
      <c r="F33522" s="40" t="s">
        <v>11404</v>
      </c>
      <c r="G33522" s="40" t="s">
        <v>11404</v>
      </c>
      <c r="H33522" s="40" t="s">
        <v>11404</v>
      </c>
    </row>
    <row r="33523">
      <c r="A33523" s="39"/>
      <c r="E33523" s="40" t="s">
        <v>11404</v>
      </c>
      <c r="F33523" s="40" t="s">
        <v>11404</v>
      </c>
      <c r="G33523" s="40" t="s">
        <v>11404</v>
      </c>
      <c r="H33523" s="40" t="s">
        <v>11404</v>
      </c>
    </row>
    <row r="33524">
      <c r="A33524" s="39"/>
      <c r="E33524" s="40" t="s">
        <v>11404</v>
      </c>
      <c r="F33524" s="40" t="s">
        <v>11404</v>
      </c>
      <c r="G33524" s="40" t="s">
        <v>11404</v>
      </c>
      <c r="H33524" s="40" t="s">
        <v>11404</v>
      </c>
    </row>
    <row r="33525">
      <c r="A33525" s="39"/>
      <c r="E33525" s="40" t="s">
        <v>11404</v>
      </c>
      <c r="F33525" s="40" t="s">
        <v>11404</v>
      </c>
      <c r="G33525" s="40" t="s">
        <v>11404</v>
      </c>
      <c r="H33525" s="40" t="s">
        <v>11404</v>
      </c>
    </row>
    <row r="33526">
      <c r="A33526" s="39"/>
      <c r="E33526" s="40" t="s">
        <v>11404</v>
      </c>
      <c r="F33526" s="40" t="s">
        <v>11404</v>
      </c>
      <c r="G33526" s="40" t="s">
        <v>11404</v>
      </c>
      <c r="H33526" s="40" t="s">
        <v>11404</v>
      </c>
    </row>
    <row r="33527">
      <c r="A33527" s="39"/>
      <c r="E33527" s="40" t="s">
        <v>11404</v>
      </c>
      <c r="F33527" s="40" t="s">
        <v>11404</v>
      </c>
      <c r="G33527" s="40" t="s">
        <v>11404</v>
      </c>
      <c r="H33527" s="40" t="s">
        <v>11404</v>
      </c>
    </row>
    <row r="33528">
      <c r="A33528" s="39"/>
      <c r="E33528" s="40" t="s">
        <v>11404</v>
      </c>
      <c r="F33528" s="40" t="s">
        <v>11404</v>
      </c>
      <c r="G33528" s="40" t="s">
        <v>11404</v>
      </c>
      <c r="H33528" s="40" t="s">
        <v>11404</v>
      </c>
    </row>
    <row r="33529">
      <c r="A33529" s="39"/>
      <c r="E33529" s="40" t="s">
        <v>11404</v>
      </c>
      <c r="F33529" s="40" t="s">
        <v>11404</v>
      </c>
      <c r="G33529" s="40" t="s">
        <v>11404</v>
      </c>
      <c r="H33529" s="40" t="s">
        <v>11404</v>
      </c>
    </row>
    <row r="33530">
      <c r="A33530" s="39"/>
      <c r="E33530" s="40" t="s">
        <v>11404</v>
      </c>
      <c r="F33530" s="40" t="s">
        <v>11404</v>
      </c>
      <c r="G33530" s="40" t="s">
        <v>11404</v>
      </c>
      <c r="H33530" s="40" t="s">
        <v>11404</v>
      </c>
    </row>
    <row r="33531">
      <c r="A33531" s="39"/>
      <c r="E33531" s="40" t="s">
        <v>11404</v>
      </c>
      <c r="F33531" s="40" t="s">
        <v>11404</v>
      </c>
      <c r="G33531" s="40" t="s">
        <v>11404</v>
      </c>
      <c r="H33531" s="40" t="s">
        <v>11404</v>
      </c>
    </row>
    <row r="33532">
      <c r="A33532" s="39"/>
      <c r="E33532" s="40" t="s">
        <v>11404</v>
      </c>
      <c r="F33532" s="40" t="s">
        <v>11404</v>
      </c>
      <c r="G33532" s="40" t="s">
        <v>11404</v>
      </c>
      <c r="H33532" s="40" t="s">
        <v>11404</v>
      </c>
    </row>
    <row r="33533">
      <c r="A33533" s="39"/>
      <c r="E33533" s="40" t="s">
        <v>11404</v>
      </c>
      <c r="F33533" s="40" t="s">
        <v>11404</v>
      </c>
      <c r="G33533" s="40" t="s">
        <v>11404</v>
      </c>
      <c r="H33533" s="40" t="s">
        <v>11404</v>
      </c>
    </row>
    <row r="33534">
      <c r="A33534" s="39"/>
      <c r="E33534" s="40" t="s">
        <v>11404</v>
      </c>
      <c r="F33534" s="40" t="s">
        <v>11404</v>
      </c>
      <c r="G33534" s="40" t="s">
        <v>11404</v>
      </c>
      <c r="H33534" s="40" t="s">
        <v>11404</v>
      </c>
    </row>
    <row r="33535">
      <c r="A33535" s="39"/>
      <c r="E33535" s="40" t="s">
        <v>11404</v>
      </c>
      <c r="F33535" s="40" t="s">
        <v>11404</v>
      </c>
      <c r="G33535" s="40" t="s">
        <v>11404</v>
      </c>
      <c r="H33535" s="40" t="s">
        <v>11404</v>
      </c>
    </row>
    <row r="33536">
      <c r="A33536" s="39"/>
      <c r="E33536" s="40" t="s">
        <v>11404</v>
      </c>
      <c r="F33536" s="40" t="s">
        <v>11404</v>
      </c>
      <c r="G33536" s="40" t="s">
        <v>11404</v>
      </c>
      <c r="H33536" s="40" t="s">
        <v>11404</v>
      </c>
    </row>
    <row r="33537">
      <c r="A33537" s="39"/>
      <c r="E33537" s="40" t="s">
        <v>11404</v>
      </c>
      <c r="F33537" s="40" t="s">
        <v>11404</v>
      </c>
      <c r="G33537" s="40" t="s">
        <v>11404</v>
      </c>
      <c r="H33537" s="40" t="s">
        <v>11404</v>
      </c>
    </row>
    <row r="33538">
      <c r="A33538" s="39"/>
      <c r="E33538" s="40" t="s">
        <v>11404</v>
      </c>
      <c r="F33538" s="40" t="s">
        <v>11404</v>
      </c>
      <c r="G33538" s="40" t="s">
        <v>11404</v>
      </c>
      <c r="H33538" s="40" t="s">
        <v>11404</v>
      </c>
    </row>
    <row r="33539">
      <c r="A33539" s="39"/>
      <c r="E33539" s="40" t="s">
        <v>11404</v>
      </c>
      <c r="F33539" s="40" t="s">
        <v>11404</v>
      </c>
      <c r="G33539" s="40" t="s">
        <v>11404</v>
      </c>
      <c r="H33539" s="40" t="s">
        <v>11404</v>
      </c>
    </row>
    <row r="33540">
      <c r="A33540" s="39"/>
      <c r="E33540" s="40" t="s">
        <v>11404</v>
      </c>
      <c r="F33540" s="40" t="s">
        <v>11404</v>
      </c>
      <c r="G33540" s="40" t="s">
        <v>11404</v>
      </c>
      <c r="H33540" s="40" t="s">
        <v>11404</v>
      </c>
    </row>
    <row r="33541">
      <c r="A33541" s="39"/>
      <c r="E33541" s="40" t="s">
        <v>11404</v>
      </c>
      <c r="F33541" s="40" t="s">
        <v>11404</v>
      </c>
      <c r="G33541" s="40" t="s">
        <v>11404</v>
      </c>
      <c r="H33541" s="40" t="s">
        <v>11404</v>
      </c>
    </row>
    <row r="33542">
      <c r="A33542" s="39"/>
      <c r="E33542" s="40" t="s">
        <v>11404</v>
      </c>
      <c r="F33542" s="40" t="s">
        <v>11404</v>
      </c>
      <c r="G33542" s="40" t="s">
        <v>11404</v>
      </c>
      <c r="H33542" s="40" t="s">
        <v>11404</v>
      </c>
    </row>
    <row r="33543">
      <c r="A33543" s="39"/>
      <c r="E33543" s="40" t="s">
        <v>11404</v>
      </c>
      <c r="F33543" s="40" t="s">
        <v>11404</v>
      </c>
      <c r="G33543" s="40" t="s">
        <v>11404</v>
      </c>
      <c r="H33543" s="40" t="s">
        <v>11404</v>
      </c>
    </row>
    <row r="33544">
      <c r="A33544" s="39"/>
      <c r="E33544" s="40" t="s">
        <v>11404</v>
      </c>
      <c r="F33544" s="40" t="s">
        <v>11404</v>
      </c>
      <c r="G33544" s="40" t="s">
        <v>11404</v>
      </c>
      <c r="H33544" s="40" t="s">
        <v>11404</v>
      </c>
    </row>
    <row r="33545">
      <c r="A33545" s="39"/>
      <c r="E33545" s="40" t="s">
        <v>11404</v>
      </c>
      <c r="F33545" s="40" t="s">
        <v>11404</v>
      </c>
      <c r="G33545" s="40" t="s">
        <v>11404</v>
      </c>
      <c r="H33545" s="40" t="s">
        <v>11404</v>
      </c>
    </row>
    <row r="33546">
      <c r="A33546" s="39"/>
      <c r="E33546" s="40" t="s">
        <v>11404</v>
      </c>
      <c r="F33546" s="40" t="s">
        <v>11404</v>
      </c>
      <c r="G33546" s="40" t="s">
        <v>11404</v>
      </c>
      <c r="H33546" s="40" t="s">
        <v>11404</v>
      </c>
    </row>
    <row r="33547">
      <c r="A33547" s="39"/>
      <c r="E33547" s="40" t="s">
        <v>11404</v>
      </c>
      <c r="F33547" s="40" t="s">
        <v>11404</v>
      </c>
      <c r="G33547" s="40" t="s">
        <v>11404</v>
      </c>
      <c r="H33547" s="40" t="s">
        <v>11404</v>
      </c>
    </row>
    <row r="33548">
      <c r="A33548" s="39"/>
      <c r="E33548" s="40" t="s">
        <v>11404</v>
      </c>
      <c r="F33548" s="40" t="s">
        <v>11404</v>
      </c>
      <c r="G33548" s="40" t="s">
        <v>11404</v>
      </c>
      <c r="H33548" s="40" t="s">
        <v>11404</v>
      </c>
    </row>
    <row r="33549">
      <c r="A33549" s="39"/>
      <c r="E33549" s="40" t="s">
        <v>11404</v>
      </c>
      <c r="F33549" s="40" t="s">
        <v>11404</v>
      </c>
      <c r="G33549" s="40" t="s">
        <v>11404</v>
      </c>
      <c r="H33549" s="40" t="s">
        <v>11404</v>
      </c>
    </row>
    <row r="33550">
      <c r="A33550" s="39"/>
      <c r="E33550" s="40" t="s">
        <v>11404</v>
      </c>
      <c r="F33550" s="40" t="s">
        <v>11404</v>
      </c>
      <c r="G33550" s="40" t="s">
        <v>11404</v>
      </c>
      <c r="H33550" s="40" t="s">
        <v>11404</v>
      </c>
    </row>
    <row r="33551">
      <c r="A33551" s="39"/>
      <c r="E33551" s="40" t="s">
        <v>11404</v>
      </c>
      <c r="F33551" s="40" t="s">
        <v>11404</v>
      </c>
      <c r="G33551" s="40" t="s">
        <v>11404</v>
      </c>
      <c r="H33551" s="40" t="s">
        <v>11404</v>
      </c>
    </row>
    <row r="33552">
      <c r="A33552" s="39"/>
      <c r="E33552" s="40" t="s">
        <v>11404</v>
      </c>
      <c r="F33552" s="40" t="s">
        <v>11404</v>
      </c>
      <c r="G33552" s="40" t="s">
        <v>11404</v>
      </c>
      <c r="H33552" s="40" t="s">
        <v>11404</v>
      </c>
    </row>
    <row r="33553">
      <c r="A33553" s="39"/>
      <c r="E33553" s="40" t="s">
        <v>11404</v>
      </c>
      <c r="F33553" s="40" t="s">
        <v>11404</v>
      </c>
      <c r="G33553" s="40" t="s">
        <v>11404</v>
      </c>
      <c r="H33553" s="40" t="s">
        <v>11404</v>
      </c>
    </row>
    <row r="33554">
      <c r="A33554" s="39"/>
      <c r="E33554" s="40" t="s">
        <v>11404</v>
      </c>
      <c r="F33554" s="40" t="s">
        <v>11404</v>
      </c>
      <c r="G33554" s="40" t="s">
        <v>11404</v>
      </c>
      <c r="H33554" s="40" t="s">
        <v>11404</v>
      </c>
    </row>
    <row r="33555">
      <c r="A33555" s="39"/>
      <c r="E33555" s="40" t="s">
        <v>11404</v>
      </c>
      <c r="F33555" s="40" t="s">
        <v>11404</v>
      </c>
      <c r="G33555" s="40" t="s">
        <v>11404</v>
      </c>
      <c r="H33555" s="40" t="s">
        <v>11404</v>
      </c>
    </row>
    <row r="33556">
      <c r="A33556" s="39"/>
      <c r="E33556" s="40" t="s">
        <v>11404</v>
      </c>
      <c r="F33556" s="40" t="s">
        <v>11404</v>
      </c>
      <c r="G33556" s="40" t="s">
        <v>11404</v>
      </c>
      <c r="H33556" s="40" t="s">
        <v>11404</v>
      </c>
    </row>
    <row r="33557">
      <c r="A33557" s="39"/>
      <c r="E33557" s="40" t="s">
        <v>11404</v>
      </c>
      <c r="F33557" s="40" t="s">
        <v>11404</v>
      </c>
      <c r="G33557" s="40" t="s">
        <v>11404</v>
      </c>
      <c r="H33557" s="40" t="s">
        <v>11404</v>
      </c>
    </row>
    <row r="33558">
      <c r="A33558" s="39"/>
      <c r="E33558" s="40" t="s">
        <v>11404</v>
      </c>
      <c r="F33558" s="40" t="s">
        <v>11404</v>
      </c>
      <c r="G33558" s="40" t="s">
        <v>11404</v>
      </c>
      <c r="H33558" s="40" t="s">
        <v>11404</v>
      </c>
    </row>
    <row r="33559">
      <c r="A33559" s="39"/>
      <c r="E33559" s="40" t="s">
        <v>11404</v>
      </c>
      <c r="F33559" s="40" t="s">
        <v>11404</v>
      </c>
      <c r="G33559" s="40" t="s">
        <v>11404</v>
      </c>
      <c r="H33559" s="40" t="s">
        <v>11404</v>
      </c>
    </row>
    <row r="33560">
      <c r="A33560" s="39"/>
      <c r="E33560" s="40" t="s">
        <v>11404</v>
      </c>
      <c r="F33560" s="40" t="s">
        <v>11404</v>
      </c>
      <c r="G33560" s="40" t="s">
        <v>11404</v>
      </c>
      <c r="H33560" s="40" t="s">
        <v>11404</v>
      </c>
    </row>
    <row r="33561">
      <c r="A33561" s="39"/>
      <c r="E33561" s="40" t="s">
        <v>11404</v>
      </c>
      <c r="F33561" s="40" t="s">
        <v>11404</v>
      </c>
      <c r="G33561" s="40" t="s">
        <v>11404</v>
      </c>
      <c r="H33561" s="40" t="s">
        <v>11404</v>
      </c>
    </row>
    <row r="33562">
      <c r="A33562" s="39"/>
      <c r="E33562" s="40" t="s">
        <v>11404</v>
      </c>
      <c r="F33562" s="40" t="s">
        <v>11404</v>
      </c>
      <c r="G33562" s="40" t="s">
        <v>11404</v>
      </c>
      <c r="H33562" s="40" t="s">
        <v>11404</v>
      </c>
    </row>
    <row r="33563">
      <c r="A33563" s="39"/>
      <c r="E33563" s="40" t="s">
        <v>11404</v>
      </c>
      <c r="F33563" s="40" t="s">
        <v>11404</v>
      </c>
      <c r="G33563" s="40" t="s">
        <v>11404</v>
      </c>
      <c r="H33563" s="40" t="s">
        <v>11404</v>
      </c>
    </row>
    <row r="33564">
      <c r="A33564" s="39"/>
      <c r="E33564" s="40" t="s">
        <v>11404</v>
      </c>
      <c r="F33564" s="40" t="s">
        <v>11404</v>
      </c>
      <c r="G33564" s="40" t="s">
        <v>11404</v>
      </c>
      <c r="H33564" s="40" t="s">
        <v>11404</v>
      </c>
    </row>
    <row r="33565">
      <c r="A33565" s="39"/>
      <c r="E33565" s="40" t="s">
        <v>11404</v>
      </c>
      <c r="F33565" s="40" t="s">
        <v>11404</v>
      </c>
      <c r="G33565" s="40" t="s">
        <v>11404</v>
      </c>
      <c r="H33565" s="40" t="s">
        <v>11404</v>
      </c>
    </row>
    <row r="33566">
      <c r="A33566" s="39"/>
      <c r="E33566" s="40" t="s">
        <v>11404</v>
      </c>
      <c r="F33566" s="40" t="s">
        <v>11404</v>
      </c>
      <c r="G33566" s="40" t="s">
        <v>11404</v>
      </c>
      <c r="H33566" s="40" t="s">
        <v>11404</v>
      </c>
    </row>
    <row r="33567">
      <c r="A33567" s="39"/>
      <c r="E33567" s="40" t="s">
        <v>11404</v>
      </c>
      <c r="F33567" s="40" t="s">
        <v>11404</v>
      </c>
      <c r="G33567" s="40" t="s">
        <v>11404</v>
      </c>
      <c r="H33567" s="40" t="s">
        <v>11404</v>
      </c>
    </row>
    <row r="33568">
      <c r="A33568" s="39"/>
      <c r="E33568" s="40" t="s">
        <v>11404</v>
      </c>
      <c r="F33568" s="40" t="s">
        <v>11404</v>
      </c>
      <c r="G33568" s="40" t="s">
        <v>11404</v>
      </c>
      <c r="H33568" s="40" t="s">
        <v>11404</v>
      </c>
    </row>
    <row r="33569">
      <c r="A33569" s="39"/>
      <c r="E33569" s="40" t="s">
        <v>11404</v>
      </c>
      <c r="F33569" s="40" t="s">
        <v>11404</v>
      </c>
      <c r="G33569" s="40" t="s">
        <v>11404</v>
      </c>
      <c r="H33569" s="40" t="s">
        <v>11404</v>
      </c>
    </row>
    <row r="33570">
      <c r="A33570" s="39"/>
      <c r="E33570" s="40" t="s">
        <v>11404</v>
      </c>
      <c r="F33570" s="40" t="s">
        <v>11404</v>
      </c>
      <c r="G33570" s="40" t="s">
        <v>11404</v>
      </c>
      <c r="H33570" s="40" t="s">
        <v>11404</v>
      </c>
    </row>
    <row r="33571">
      <c r="A33571" s="39"/>
      <c r="E33571" s="40" t="s">
        <v>11404</v>
      </c>
      <c r="F33571" s="40" t="s">
        <v>11404</v>
      </c>
      <c r="G33571" s="40" t="s">
        <v>11404</v>
      </c>
      <c r="H33571" s="40" t="s">
        <v>11404</v>
      </c>
    </row>
    <row r="33572">
      <c r="A33572" s="39"/>
      <c r="E33572" s="40" t="s">
        <v>11404</v>
      </c>
      <c r="F33572" s="40" t="s">
        <v>11404</v>
      </c>
      <c r="G33572" s="40" t="s">
        <v>11404</v>
      </c>
      <c r="H33572" s="40" t="s">
        <v>11404</v>
      </c>
    </row>
    <row r="33573">
      <c r="A33573" s="39"/>
      <c r="E33573" s="40" t="s">
        <v>11404</v>
      </c>
      <c r="F33573" s="40" t="s">
        <v>11404</v>
      </c>
      <c r="G33573" s="40" t="s">
        <v>11404</v>
      </c>
      <c r="H33573" s="40" t="s">
        <v>11404</v>
      </c>
    </row>
    <row r="33574">
      <c r="A33574" s="39"/>
      <c r="E33574" s="40" t="s">
        <v>11404</v>
      </c>
      <c r="F33574" s="40" t="s">
        <v>11404</v>
      </c>
      <c r="G33574" s="40" t="s">
        <v>11404</v>
      </c>
      <c r="H33574" s="40" t="s">
        <v>11404</v>
      </c>
    </row>
    <row r="33575">
      <c r="A33575" s="39"/>
      <c r="E33575" s="40" t="s">
        <v>11404</v>
      </c>
      <c r="F33575" s="40" t="s">
        <v>11404</v>
      </c>
      <c r="G33575" s="40" t="s">
        <v>11404</v>
      </c>
      <c r="H33575" s="40" t="s">
        <v>11404</v>
      </c>
    </row>
    <row r="33576">
      <c r="A33576" s="39"/>
      <c r="E33576" s="40" t="s">
        <v>11404</v>
      </c>
      <c r="F33576" s="40" t="s">
        <v>11404</v>
      </c>
      <c r="G33576" s="40" t="s">
        <v>11404</v>
      </c>
      <c r="H33576" s="40" t="s">
        <v>11404</v>
      </c>
    </row>
    <row r="33577">
      <c r="A33577" s="39"/>
      <c r="E33577" s="40" t="s">
        <v>11404</v>
      </c>
      <c r="F33577" s="40" t="s">
        <v>11404</v>
      </c>
      <c r="G33577" s="40" t="s">
        <v>11404</v>
      </c>
      <c r="H33577" s="40" t="s">
        <v>11404</v>
      </c>
    </row>
    <row r="33578">
      <c r="A33578" s="39"/>
      <c r="E33578" s="40" t="s">
        <v>11404</v>
      </c>
      <c r="F33578" s="40" t="s">
        <v>11404</v>
      </c>
      <c r="G33578" s="40" t="s">
        <v>11404</v>
      </c>
      <c r="H33578" s="40" t="s">
        <v>11404</v>
      </c>
    </row>
    <row r="33579">
      <c r="A33579" s="39"/>
      <c r="E33579" s="40" t="s">
        <v>11404</v>
      </c>
      <c r="F33579" s="40" t="s">
        <v>11404</v>
      </c>
      <c r="G33579" s="40" t="s">
        <v>11404</v>
      </c>
      <c r="H33579" s="40" t="s">
        <v>11404</v>
      </c>
    </row>
    <row r="33580">
      <c r="A33580" s="39"/>
      <c r="E33580" s="40" t="s">
        <v>11404</v>
      </c>
      <c r="F33580" s="40" t="s">
        <v>11404</v>
      </c>
      <c r="G33580" s="40" t="s">
        <v>11404</v>
      </c>
      <c r="H33580" s="40" t="s">
        <v>11404</v>
      </c>
    </row>
    <row r="33581">
      <c r="A33581" s="39"/>
      <c r="E33581" s="40" t="s">
        <v>11404</v>
      </c>
      <c r="F33581" s="40" t="s">
        <v>11404</v>
      </c>
      <c r="G33581" s="40" t="s">
        <v>11404</v>
      </c>
      <c r="H33581" s="40" t="s">
        <v>11404</v>
      </c>
    </row>
    <row r="33582">
      <c r="A33582" s="39"/>
      <c r="E33582" s="40" t="s">
        <v>11404</v>
      </c>
      <c r="F33582" s="40" t="s">
        <v>11404</v>
      </c>
      <c r="G33582" s="40" t="s">
        <v>11404</v>
      </c>
      <c r="H33582" s="40" t="s">
        <v>11404</v>
      </c>
    </row>
    <row r="33583">
      <c r="A33583" s="39"/>
      <c r="E33583" s="40" t="s">
        <v>11404</v>
      </c>
      <c r="F33583" s="40" t="s">
        <v>11404</v>
      </c>
      <c r="G33583" s="40" t="s">
        <v>11404</v>
      </c>
      <c r="H33583" s="40" t="s">
        <v>11404</v>
      </c>
    </row>
    <row r="33584">
      <c r="A33584" s="39"/>
      <c r="E33584" s="40" t="s">
        <v>11404</v>
      </c>
      <c r="F33584" s="40" t="s">
        <v>11404</v>
      </c>
      <c r="G33584" s="40" t="s">
        <v>11404</v>
      </c>
      <c r="H33584" s="40" t="s">
        <v>11404</v>
      </c>
    </row>
    <row r="33585">
      <c r="A33585" s="39"/>
      <c r="E33585" s="40" t="s">
        <v>11404</v>
      </c>
      <c r="F33585" s="40" t="s">
        <v>11404</v>
      </c>
      <c r="G33585" s="40" t="s">
        <v>11404</v>
      </c>
      <c r="H33585" s="40" t="s">
        <v>11404</v>
      </c>
    </row>
    <row r="33586">
      <c r="A33586" s="39"/>
      <c r="E33586" s="40" t="s">
        <v>11404</v>
      </c>
      <c r="F33586" s="40" t="s">
        <v>11404</v>
      </c>
      <c r="G33586" s="40" t="s">
        <v>11404</v>
      </c>
      <c r="H33586" s="40" t="s">
        <v>11404</v>
      </c>
    </row>
    <row r="33587">
      <c r="A33587" s="39"/>
      <c r="E33587" s="40" t="s">
        <v>11404</v>
      </c>
      <c r="F33587" s="40" t="s">
        <v>11404</v>
      </c>
      <c r="G33587" s="40" t="s">
        <v>11404</v>
      </c>
      <c r="H33587" s="40" t="s">
        <v>11404</v>
      </c>
    </row>
    <row r="33588">
      <c r="A33588" s="39"/>
      <c r="E33588" s="40" t="s">
        <v>11404</v>
      </c>
      <c r="F33588" s="40" t="s">
        <v>11404</v>
      </c>
      <c r="G33588" s="40" t="s">
        <v>11404</v>
      </c>
      <c r="H33588" s="40" t="s">
        <v>11404</v>
      </c>
    </row>
    <row r="33589">
      <c r="A33589" s="39"/>
      <c r="E33589" s="40" t="s">
        <v>11404</v>
      </c>
      <c r="F33589" s="40" t="s">
        <v>11404</v>
      </c>
      <c r="G33589" s="40" t="s">
        <v>11404</v>
      </c>
      <c r="H33589" s="40" t="s">
        <v>11404</v>
      </c>
    </row>
    <row r="33590">
      <c r="A33590" s="39"/>
      <c r="E33590" s="40" t="s">
        <v>11404</v>
      </c>
      <c r="F33590" s="40" t="s">
        <v>11404</v>
      </c>
      <c r="G33590" s="40" t="s">
        <v>11404</v>
      </c>
      <c r="H33590" s="40" t="s">
        <v>11404</v>
      </c>
    </row>
    <row r="33591">
      <c r="A33591" s="39"/>
      <c r="E33591" s="40" t="s">
        <v>11404</v>
      </c>
      <c r="F33591" s="40" t="s">
        <v>11404</v>
      </c>
      <c r="G33591" s="40" t="s">
        <v>11404</v>
      </c>
      <c r="H33591" s="40" t="s">
        <v>11404</v>
      </c>
    </row>
    <row r="33592">
      <c r="A33592" s="39"/>
      <c r="E33592" s="40" t="s">
        <v>11404</v>
      </c>
      <c r="F33592" s="40" t="s">
        <v>11404</v>
      </c>
      <c r="G33592" s="40" t="s">
        <v>11404</v>
      </c>
      <c r="H33592" s="40" t="s">
        <v>11404</v>
      </c>
    </row>
    <row r="33593">
      <c r="A33593" s="39"/>
      <c r="E33593" s="40" t="s">
        <v>11404</v>
      </c>
      <c r="F33593" s="40" t="s">
        <v>11404</v>
      </c>
      <c r="G33593" s="40" t="s">
        <v>11404</v>
      </c>
      <c r="H33593" s="40" t="s">
        <v>11404</v>
      </c>
    </row>
    <row r="33594">
      <c r="A33594" s="39"/>
      <c r="E33594" s="40" t="s">
        <v>11404</v>
      </c>
      <c r="F33594" s="40" t="s">
        <v>11404</v>
      </c>
      <c r="G33594" s="40" t="s">
        <v>11404</v>
      </c>
      <c r="H33594" s="40" t="s">
        <v>11404</v>
      </c>
    </row>
    <row r="33595">
      <c r="A33595" s="39"/>
      <c r="E33595" s="40" t="s">
        <v>11404</v>
      </c>
      <c r="F33595" s="40" t="s">
        <v>11404</v>
      </c>
      <c r="G33595" s="40" t="s">
        <v>11404</v>
      </c>
      <c r="H33595" s="40" t="s">
        <v>11404</v>
      </c>
    </row>
    <row r="33596">
      <c r="A33596" s="39"/>
      <c r="E33596" s="40" t="s">
        <v>11404</v>
      </c>
      <c r="F33596" s="40" t="s">
        <v>11404</v>
      </c>
      <c r="G33596" s="40" t="s">
        <v>11404</v>
      </c>
      <c r="H33596" s="40" t="s">
        <v>11404</v>
      </c>
    </row>
    <row r="33597">
      <c r="A33597" s="39"/>
      <c r="E33597" s="40" t="s">
        <v>11404</v>
      </c>
      <c r="F33597" s="40" t="s">
        <v>11404</v>
      </c>
      <c r="G33597" s="40" t="s">
        <v>11404</v>
      </c>
      <c r="H33597" s="40" t="s">
        <v>11404</v>
      </c>
    </row>
    <row r="33598">
      <c r="A33598" s="39"/>
      <c r="E33598" s="40" t="s">
        <v>11404</v>
      </c>
      <c r="F33598" s="40" t="s">
        <v>11404</v>
      </c>
      <c r="G33598" s="40" t="s">
        <v>11404</v>
      </c>
      <c r="H33598" s="40" t="s">
        <v>11404</v>
      </c>
    </row>
    <row r="33599">
      <c r="A33599" s="39"/>
      <c r="E33599" s="40" t="s">
        <v>11404</v>
      </c>
      <c r="F33599" s="40" t="s">
        <v>11404</v>
      </c>
      <c r="G33599" s="40" t="s">
        <v>11404</v>
      </c>
      <c r="H33599" s="40" t="s">
        <v>11404</v>
      </c>
    </row>
    <row r="33600">
      <c r="A33600" s="39"/>
      <c r="E33600" s="40" t="s">
        <v>11404</v>
      </c>
      <c r="F33600" s="40" t="s">
        <v>11404</v>
      </c>
      <c r="G33600" s="40" t="s">
        <v>11404</v>
      </c>
      <c r="H33600" s="40" t="s">
        <v>11404</v>
      </c>
    </row>
    <row r="33601">
      <c r="A33601" s="39"/>
      <c r="E33601" s="40" t="s">
        <v>11404</v>
      </c>
      <c r="F33601" s="40" t="s">
        <v>11404</v>
      </c>
      <c r="G33601" s="40" t="s">
        <v>11404</v>
      </c>
      <c r="H33601" s="40" t="s">
        <v>11404</v>
      </c>
    </row>
    <row r="33602">
      <c r="A33602" s="39"/>
      <c r="E33602" s="40" t="s">
        <v>11404</v>
      </c>
      <c r="F33602" s="40" t="s">
        <v>11404</v>
      </c>
      <c r="G33602" s="40" t="s">
        <v>11404</v>
      </c>
      <c r="H33602" s="40" t="s">
        <v>11404</v>
      </c>
    </row>
    <row r="33603">
      <c r="A33603" s="39"/>
      <c r="E33603" s="40" t="s">
        <v>11404</v>
      </c>
      <c r="F33603" s="40" t="s">
        <v>11404</v>
      </c>
      <c r="G33603" s="40" t="s">
        <v>11404</v>
      </c>
      <c r="H33603" s="40" t="s">
        <v>11404</v>
      </c>
    </row>
    <row r="33604">
      <c r="A33604" s="39"/>
      <c r="E33604" s="40" t="s">
        <v>11404</v>
      </c>
      <c r="F33604" s="40" t="s">
        <v>11404</v>
      </c>
      <c r="G33604" s="40" t="s">
        <v>11404</v>
      </c>
      <c r="H33604" s="40" t="s">
        <v>11404</v>
      </c>
    </row>
    <row r="33605">
      <c r="A33605" s="39"/>
      <c r="E33605" s="40" t="s">
        <v>11404</v>
      </c>
      <c r="F33605" s="40" t="s">
        <v>11404</v>
      </c>
      <c r="G33605" s="40" t="s">
        <v>11404</v>
      </c>
      <c r="H33605" s="40" t="s">
        <v>11404</v>
      </c>
    </row>
    <row r="33606">
      <c r="A33606" s="39"/>
      <c r="E33606" s="40" t="s">
        <v>11404</v>
      </c>
      <c r="F33606" s="40" t="s">
        <v>11404</v>
      </c>
      <c r="G33606" s="40" t="s">
        <v>11404</v>
      </c>
      <c r="H33606" s="40" t="s">
        <v>11404</v>
      </c>
    </row>
    <row r="33607">
      <c r="A33607" s="39"/>
      <c r="E33607" s="40" t="s">
        <v>11404</v>
      </c>
      <c r="F33607" s="40" t="s">
        <v>11404</v>
      </c>
      <c r="G33607" s="40" t="s">
        <v>11404</v>
      </c>
      <c r="H33607" s="40" t="s">
        <v>11404</v>
      </c>
    </row>
    <row r="33608">
      <c r="A33608" s="39"/>
      <c r="E33608" s="40" t="s">
        <v>11404</v>
      </c>
      <c r="F33608" s="40" t="s">
        <v>11404</v>
      </c>
      <c r="G33608" s="40" t="s">
        <v>11404</v>
      </c>
      <c r="H33608" s="40" t="s">
        <v>11404</v>
      </c>
    </row>
    <row r="33609">
      <c r="A33609" s="39"/>
      <c r="E33609" s="40" t="s">
        <v>11404</v>
      </c>
      <c r="F33609" s="40" t="s">
        <v>11404</v>
      </c>
      <c r="G33609" s="40" t="s">
        <v>11404</v>
      </c>
      <c r="H33609" s="40" t="s">
        <v>11404</v>
      </c>
    </row>
    <row r="33610">
      <c r="A33610" s="39"/>
      <c r="E33610" s="40" t="s">
        <v>11404</v>
      </c>
      <c r="F33610" s="40" t="s">
        <v>11404</v>
      </c>
      <c r="G33610" s="40" t="s">
        <v>11404</v>
      </c>
      <c r="H33610" s="40" t="s">
        <v>11404</v>
      </c>
    </row>
    <row r="33611">
      <c r="A33611" s="39"/>
      <c r="E33611" s="40" t="s">
        <v>11404</v>
      </c>
      <c r="F33611" s="40" t="s">
        <v>11404</v>
      </c>
      <c r="G33611" s="40" t="s">
        <v>11404</v>
      </c>
      <c r="H33611" s="40" t="s">
        <v>11404</v>
      </c>
    </row>
    <row r="33612">
      <c r="A33612" s="39"/>
      <c r="E33612" s="40" t="s">
        <v>11404</v>
      </c>
      <c r="F33612" s="40" t="s">
        <v>11404</v>
      </c>
      <c r="G33612" s="40" t="s">
        <v>11404</v>
      </c>
      <c r="H33612" s="40" t="s">
        <v>11404</v>
      </c>
    </row>
    <row r="33613">
      <c r="A33613" s="39"/>
      <c r="E33613" s="40" t="s">
        <v>11404</v>
      </c>
      <c r="F33613" s="40" t="s">
        <v>11404</v>
      </c>
      <c r="G33613" s="40" t="s">
        <v>11404</v>
      </c>
      <c r="H33613" s="40" t="s">
        <v>11404</v>
      </c>
    </row>
    <row r="33614">
      <c r="A33614" s="39"/>
      <c r="E33614" s="40" t="s">
        <v>11404</v>
      </c>
      <c r="F33614" s="40" t="s">
        <v>11404</v>
      </c>
      <c r="G33614" s="40" t="s">
        <v>11404</v>
      </c>
      <c r="H33614" s="40" t="s">
        <v>11404</v>
      </c>
    </row>
    <row r="33615">
      <c r="A33615" s="39"/>
      <c r="E33615" s="40" t="s">
        <v>11404</v>
      </c>
      <c r="F33615" s="40" t="s">
        <v>11404</v>
      </c>
      <c r="G33615" s="40" t="s">
        <v>11404</v>
      </c>
      <c r="H33615" s="40" t="s">
        <v>11404</v>
      </c>
    </row>
    <row r="33616">
      <c r="A33616" s="39"/>
      <c r="E33616" s="40" t="s">
        <v>11404</v>
      </c>
      <c r="F33616" s="40" t="s">
        <v>11404</v>
      </c>
      <c r="G33616" s="40" t="s">
        <v>11404</v>
      </c>
      <c r="H33616" s="40" t="s">
        <v>11404</v>
      </c>
    </row>
    <row r="33617">
      <c r="A33617" s="39"/>
      <c r="E33617" s="40" t="s">
        <v>11404</v>
      </c>
      <c r="F33617" s="40" t="s">
        <v>11404</v>
      </c>
      <c r="G33617" s="40" t="s">
        <v>11404</v>
      </c>
      <c r="H33617" s="40" t="s">
        <v>11404</v>
      </c>
    </row>
    <row r="33618">
      <c r="A33618" s="39"/>
      <c r="E33618" s="40" t="s">
        <v>11404</v>
      </c>
      <c r="F33618" s="40" t="s">
        <v>11404</v>
      </c>
      <c r="G33618" s="40" t="s">
        <v>11404</v>
      </c>
      <c r="H33618" s="40" t="s">
        <v>11404</v>
      </c>
    </row>
    <row r="33619">
      <c r="A33619" s="39"/>
      <c r="E33619" s="40" t="s">
        <v>11404</v>
      </c>
      <c r="F33619" s="40" t="s">
        <v>11404</v>
      </c>
      <c r="G33619" s="40" t="s">
        <v>11404</v>
      </c>
      <c r="H33619" s="40" t="s">
        <v>11404</v>
      </c>
    </row>
    <row r="33620">
      <c r="A33620" s="39"/>
      <c r="E33620" s="40" t="s">
        <v>11404</v>
      </c>
      <c r="F33620" s="40" t="s">
        <v>11404</v>
      </c>
      <c r="G33620" s="40" t="s">
        <v>11404</v>
      </c>
      <c r="H33620" s="40" t="s">
        <v>11404</v>
      </c>
    </row>
    <row r="33621">
      <c r="A33621" s="39"/>
      <c r="E33621" s="40" t="s">
        <v>11404</v>
      </c>
      <c r="F33621" s="40" t="s">
        <v>11404</v>
      </c>
      <c r="G33621" s="40" t="s">
        <v>11404</v>
      </c>
      <c r="H33621" s="40" t="s">
        <v>11404</v>
      </c>
    </row>
    <row r="33622">
      <c r="A33622" s="39"/>
      <c r="E33622" s="40" t="s">
        <v>11404</v>
      </c>
      <c r="F33622" s="40" t="s">
        <v>11404</v>
      </c>
      <c r="G33622" s="40" t="s">
        <v>11404</v>
      </c>
      <c r="H33622" s="40" t="s">
        <v>11404</v>
      </c>
    </row>
    <row r="33623">
      <c r="A33623" s="39"/>
      <c r="E33623" s="40" t="s">
        <v>11404</v>
      </c>
      <c r="F33623" s="40" t="s">
        <v>11404</v>
      </c>
      <c r="G33623" s="40" t="s">
        <v>11404</v>
      </c>
      <c r="H33623" s="40" t="s">
        <v>11404</v>
      </c>
    </row>
    <row r="33624">
      <c r="A33624" s="39"/>
      <c r="E33624" s="40" t="s">
        <v>11404</v>
      </c>
      <c r="F33624" s="40" t="s">
        <v>11404</v>
      </c>
      <c r="G33624" s="40" t="s">
        <v>11404</v>
      </c>
      <c r="H33624" s="40" t="s">
        <v>11404</v>
      </c>
    </row>
    <row r="33625">
      <c r="A33625" s="39"/>
      <c r="E33625" s="40" t="s">
        <v>11404</v>
      </c>
      <c r="F33625" s="40" t="s">
        <v>11404</v>
      </c>
      <c r="G33625" s="40" t="s">
        <v>11404</v>
      </c>
      <c r="H33625" s="40" t="s">
        <v>11404</v>
      </c>
    </row>
    <row r="33626">
      <c r="A33626" s="39"/>
      <c r="E33626" s="40" t="s">
        <v>11404</v>
      </c>
      <c r="F33626" s="40" t="s">
        <v>11404</v>
      </c>
      <c r="G33626" s="40" t="s">
        <v>11404</v>
      </c>
      <c r="H33626" s="40" t="s">
        <v>11404</v>
      </c>
    </row>
    <row r="33627">
      <c r="A33627" s="39"/>
      <c r="E33627" s="40" t="s">
        <v>11404</v>
      </c>
      <c r="F33627" s="40" t="s">
        <v>11404</v>
      </c>
      <c r="G33627" s="40" t="s">
        <v>11404</v>
      </c>
      <c r="H33627" s="40" t="s">
        <v>11404</v>
      </c>
    </row>
    <row r="33628">
      <c r="A33628" s="39"/>
      <c r="E33628" s="40" t="s">
        <v>11404</v>
      </c>
      <c r="F33628" s="40" t="s">
        <v>11404</v>
      </c>
      <c r="G33628" s="40" t="s">
        <v>11404</v>
      </c>
      <c r="H33628" s="40" t="s">
        <v>11404</v>
      </c>
    </row>
    <row r="33629">
      <c r="A33629" s="39"/>
      <c r="E33629" s="40" t="s">
        <v>11404</v>
      </c>
      <c r="F33629" s="40" t="s">
        <v>11404</v>
      </c>
      <c r="G33629" s="40" t="s">
        <v>11404</v>
      </c>
      <c r="H33629" s="40" t="s">
        <v>11404</v>
      </c>
    </row>
    <row r="33630">
      <c r="A33630" s="39"/>
      <c r="E33630" s="40" t="s">
        <v>11404</v>
      </c>
      <c r="F33630" s="40" t="s">
        <v>11404</v>
      </c>
      <c r="G33630" s="40" t="s">
        <v>11404</v>
      </c>
      <c r="H33630" s="40" t="s">
        <v>11404</v>
      </c>
    </row>
    <row r="33631">
      <c r="A33631" s="39"/>
      <c r="E33631" s="40" t="s">
        <v>11404</v>
      </c>
      <c r="F33631" s="40" t="s">
        <v>11404</v>
      </c>
      <c r="G33631" s="40" t="s">
        <v>11404</v>
      </c>
      <c r="H33631" s="40" t="s">
        <v>11404</v>
      </c>
    </row>
    <row r="33632">
      <c r="A33632" s="39"/>
      <c r="E33632" s="40" t="s">
        <v>11404</v>
      </c>
      <c r="F33632" s="40" t="s">
        <v>11404</v>
      </c>
      <c r="G33632" s="40" t="s">
        <v>11404</v>
      </c>
      <c r="H33632" s="40" t="s">
        <v>11404</v>
      </c>
    </row>
    <row r="33633">
      <c r="A33633" s="39"/>
      <c r="E33633" s="40" t="s">
        <v>11404</v>
      </c>
      <c r="F33633" s="40" t="s">
        <v>11404</v>
      </c>
      <c r="G33633" s="40" t="s">
        <v>11404</v>
      </c>
      <c r="H33633" s="40" t="s">
        <v>11404</v>
      </c>
    </row>
    <row r="33634">
      <c r="A33634" s="39"/>
      <c r="E33634" s="40" t="s">
        <v>11404</v>
      </c>
      <c r="F33634" s="40" t="s">
        <v>11404</v>
      </c>
      <c r="G33634" s="40" t="s">
        <v>11404</v>
      </c>
      <c r="H33634" s="40" t="s">
        <v>11404</v>
      </c>
    </row>
    <row r="33635">
      <c r="A33635" s="39"/>
      <c r="E33635" s="40" t="s">
        <v>11404</v>
      </c>
      <c r="F33635" s="40" t="s">
        <v>11404</v>
      </c>
      <c r="G33635" s="40" t="s">
        <v>11404</v>
      </c>
      <c r="H33635" s="40" t="s">
        <v>11404</v>
      </c>
    </row>
    <row r="33636">
      <c r="A33636" s="39"/>
      <c r="E33636" s="40" t="s">
        <v>11404</v>
      </c>
      <c r="F33636" s="40" t="s">
        <v>11404</v>
      </c>
      <c r="G33636" s="40" t="s">
        <v>11404</v>
      </c>
      <c r="H33636" s="40" t="s">
        <v>11404</v>
      </c>
    </row>
    <row r="33637">
      <c r="A33637" s="39"/>
      <c r="E33637" s="40" t="s">
        <v>11404</v>
      </c>
      <c r="F33637" s="40" t="s">
        <v>11404</v>
      </c>
      <c r="G33637" s="40" t="s">
        <v>11404</v>
      </c>
      <c r="H33637" s="40" t="s">
        <v>11404</v>
      </c>
    </row>
    <row r="33638">
      <c r="A33638" s="39"/>
      <c r="E33638" s="40" t="s">
        <v>11404</v>
      </c>
      <c r="F33638" s="40" t="s">
        <v>11404</v>
      </c>
      <c r="G33638" s="40" t="s">
        <v>11404</v>
      </c>
      <c r="H33638" s="40" t="s">
        <v>11404</v>
      </c>
    </row>
    <row r="33639">
      <c r="A33639" s="39"/>
      <c r="E33639" s="40" t="s">
        <v>11404</v>
      </c>
      <c r="F33639" s="40" t="s">
        <v>11404</v>
      </c>
      <c r="G33639" s="40" t="s">
        <v>11404</v>
      </c>
      <c r="H33639" s="40" t="s">
        <v>11404</v>
      </c>
    </row>
    <row r="33640">
      <c r="A33640" s="39"/>
      <c r="E33640" s="40" t="s">
        <v>11404</v>
      </c>
      <c r="F33640" s="40" t="s">
        <v>11404</v>
      </c>
      <c r="G33640" s="40" t="s">
        <v>11404</v>
      </c>
      <c r="H33640" s="40" t="s">
        <v>11404</v>
      </c>
    </row>
    <row r="33641">
      <c r="A33641" s="39"/>
      <c r="E33641" s="40" t="s">
        <v>11404</v>
      </c>
      <c r="F33641" s="40" t="s">
        <v>11404</v>
      </c>
      <c r="G33641" s="40" t="s">
        <v>11404</v>
      </c>
      <c r="H33641" s="40" t="s">
        <v>11404</v>
      </c>
    </row>
    <row r="33642">
      <c r="A33642" s="39"/>
      <c r="E33642" s="40" t="s">
        <v>11404</v>
      </c>
      <c r="F33642" s="40" t="s">
        <v>11404</v>
      </c>
      <c r="G33642" s="40" t="s">
        <v>11404</v>
      </c>
      <c r="H33642" s="40" t="s">
        <v>11404</v>
      </c>
    </row>
    <row r="33643">
      <c r="A33643" s="39"/>
      <c r="E33643" s="40" t="s">
        <v>11404</v>
      </c>
      <c r="F33643" s="40" t="s">
        <v>11404</v>
      </c>
      <c r="G33643" s="40" t="s">
        <v>11404</v>
      </c>
      <c r="H33643" s="40" t="s">
        <v>11404</v>
      </c>
    </row>
    <row r="33644">
      <c r="A33644" s="39"/>
      <c r="E33644" s="40" t="s">
        <v>11404</v>
      </c>
      <c r="F33644" s="40" t="s">
        <v>11404</v>
      </c>
      <c r="G33644" s="40" t="s">
        <v>11404</v>
      </c>
      <c r="H33644" s="40" t="s">
        <v>11404</v>
      </c>
    </row>
    <row r="33645">
      <c r="A33645" s="39"/>
      <c r="E33645" s="40" t="s">
        <v>11404</v>
      </c>
      <c r="F33645" s="40" t="s">
        <v>11404</v>
      </c>
      <c r="G33645" s="40" t="s">
        <v>11404</v>
      </c>
      <c r="H33645" s="40" t="s">
        <v>11404</v>
      </c>
    </row>
    <row r="33646">
      <c r="A33646" s="39"/>
      <c r="E33646" s="40" t="s">
        <v>11404</v>
      </c>
      <c r="F33646" s="40" t="s">
        <v>11404</v>
      </c>
      <c r="G33646" s="40" t="s">
        <v>11404</v>
      </c>
      <c r="H33646" s="40" t="s">
        <v>11404</v>
      </c>
    </row>
    <row r="33647">
      <c r="A33647" s="39"/>
      <c r="E33647" s="40" t="s">
        <v>11404</v>
      </c>
      <c r="F33647" s="40" t="s">
        <v>11404</v>
      </c>
      <c r="G33647" s="40" t="s">
        <v>11404</v>
      </c>
      <c r="H33647" s="40" t="s">
        <v>11404</v>
      </c>
    </row>
    <row r="33648">
      <c r="A33648" s="39"/>
      <c r="E33648" s="40" t="s">
        <v>11404</v>
      </c>
      <c r="F33648" s="40" t="s">
        <v>11404</v>
      </c>
      <c r="G33648" s="40" t="s">
        <v>11404</v>
      </c>
      <c r="H33648" s="40" t="s">
        <v>11404</v>
      </c>
    </row>
    <row r="33649">
      <c r="A33649" s="39"/>
      <c r="E33649" s="40" t="s">
        <v>11404</v>
      </c>
      <c r="F33649" s="40" t="s">
        <v>11404</v>
      </c>
      <c r="G33649" s="40" t="s">
        <v>11404</v>
      </c>
      <c r="H33649" s="40" t="s">
        <v>11404</v>
      </c>
    </row>
    <row r="33650">
      <c r="A33650" s="39"/>
      <c r="E33650" s="40" t="s">
        <v>11404</v>
      </c>
      <c r="F33650" s="40" t="s">
        <v>11404</v>
      </c>
      <c r="G33650" s="40" t="s">
        <v>11404</v>
      </c>
      <c r="H33650" s="40" t="s">
        <v>11404</v>
      </c>
    </row>
    <row r="33651">
      <c r="A33651" s="39"/>
      <c r="E33651" s="40" t="s">
        <v>11404</v>
      </c>
      <c r="F33651" s="40" t="s">
        <v>11404</v>
      </c>
      <c r="G33651" s="40" t="s">
        <v>11404</v>
      </c>
      <c r="H33651" s="40" t="s">
        <v>11404</v>
      </c>
    </row>
    <row r="33652">
      <c r="A33652" s="39"/>
      <c r="E33652" s="40" t="s">
        <v>11404</v>
      </c>
      <c r="F33652" s="40" t="s">
        <v>11404</v>
      </c>
      <c r="G33652" s="40" t="s">
        <v>11404</v>
      </c>
      <c r="H33652" s="40" t="s">
        <v>11404</v>
      </c>
    </row>
    <row r="33653">
      <c r="A33653" s="39"/>
      <c r="E33653" s="40" t="s">
        <v>11404</v>
      </c>
      <c r="F33653" s="40" t="s">
        <v>11404</v>
      </c>
      <c r="G33653" s="40" t="s">
        <v>11404</v>
      </c>
      <c r="H33653" s="40" t="s">
        <v>11404</v>
      </c>
    </row>
    <row r="33654">
      <c r="A33654" s="39"/>
      <c r="E33654" s="40" t="s">
        <v>11404</v>
      </c>
      <c r="F33654" s="40" t="s">
        <v>11404</v>
      </c>
      <c r="G33654" s="40" t="s">
        <v>11404</v>
      </c>
      <c r="H33654" s="40" t="s">
        <v>11404</v>
      </c>
    </row>
    <row r="33655">
      <c r="A33655" s="39"/>
      <c r="E33655" s="40" t="s">
        <v>11404</v>
      </c>
      <c r="F33655" s="40" t="s">
        <v>11404</v>
      </c>
      <c r="G33655" s="40" t="s">
        <v>11404</v>
      </c>
      <c r="H33655" s="40" t="s">
        <v>11404</v>
      </c>
    </row>
    <row r="33656">
      <c r="A33656" s="39"/>
      <c r="E33656" s="40" t="s">
        <v>11404</v>
      </c>
      <c r="F33656" s="40" t="s">
        <v>11404</v>
      </c>
      <c r="G33656" s="40" t="s">
        <v>11404</v>
      </c>
      <c r="H33656" s="40" t="s">
        <v>11404</v>
      </c>
    </row>
    <row r="33657">
      <c r="A33657" s="39"/>
      <c r="E33657" s="40" t="s">
        <v>11404</v>
      </c>
      <c r="F33657" s="40" t="s">
        <v>11404</v>
      </c>
      <c r="G33657" s="40" t="s">
        <v>11404</v>
      </c>
      <c r="H33657" s="40" t="s">
        <v>11404</v>
      </c>
    </row>
    <row r="33658">
      <c r="A33658" s="39"/>
      <c r="E33658" s="40" t="s">
        <v>11404</v>
      </c>
      <c r="F33658" s="40" t="s">
        <v>11404</v>
      </c>
      <c r="G33658" s="40" t="s">
        <v>11404</v>
      </c>
      <c r="H33658" s="40" t="s">
        <v>11404</v>
      </c>
    </row>
    <row r="33659">
      <c r="A33659" s="39"/>
      <c r="E33659" s="40" t="s">
        <v>11404</v>
      </c>
      <c r="F33659" s="40" t="s">
        <v>11404</v>
      </c>
      <c r="G33659" s="40" t="s">
        <v>11404</v>
      </c>
      <c r="H33659" s="40" t="s">
        <v>11404</v>
      </c>
    </row>
    <row r="33660">
      <c r="A33660" s="39"/>
      <c r="E33660" s="40" t="s">
        <v>11404</v>
      </c>
      <c r="F33660" s="40" t="s">
        <v>11404</v>
      </c>
      <c r="G33660" s="40" t="s">
        <v>11404</v>
      </c>
      <c r="H33660" s="40" t="s">
        <v>11404</v>
      </c>
    </row>
    <row r="33661">
      <c r="A33661" s="39"/>
      <c r="E33661" s="40" t="s">
        <v>11404</v>
      </c>
      <c r="F33661" s="40" t="s">
        <v>11404</v>
      </c>
      <c r="G33661" s="40" t="s">
        <v>11404</v>
      </c>
      <c r="H33661" s="40" t="s">
        <v>11404</v>
      </c>
    </row>
    <row r="33662">
      <c r="A33662" s="39"/>
      <c r="E33662" s="40" t="s">
        <v>11404</v>
      </c>
      <c r="F33662" s="40" t="s">
        <v>11404</v>
      </c>
      <c r="G33662" s="40" t="s">
        <v>11404</v>
      </c>
      <c r="H33662" s="40" t="s">
        <v>11404</v>
      </c>
    </row>
    <row r="33663">
      <c r="A33663" s="39"/>
      <c r="E33663" s="40" t="s">
        <v>11404</v>
      </c>
      <c r="F33663" s="40" t="s">
        <v>11404</v>
      </c>
      <c r="G33663" s="40" t="s">
        <v>11404</v>
      </c>
      <c r="H33663" s="40" t="s">
        <v>11404</v>
      </c>
    </row>
    <row r="33664">
      <c r="A33664" s="39"/>
      <c r="E33664" s="40" t="s">
        <v>11404</v>
      </c>
      <c r="F33664" s="40" t="s">
        <v>11404</v>
      </c>
      <c r="G33664" s="40" t="s">
        <v>11404</v>
      </c>
      <c r="H33664" s="40" t="s">
        <v>11404</v>
      </c>
    </row>
    <row r="33665">
      <c r="A33665" s="39"/>
      <c r="E33665" s="40" t="s">
        <v>11404</v>
      </c>
      <c r="F33665" s="40" t="s">
        <v>11404</v>
      </c>
      <c r="G33665" s="40" t="s">
        <v>11404</v>
      </c>
      <c r="H33665" s="40" t="s">
        <v>11404</v>
      </c>
    </row>
    <row r="33666">
      <c r="A33666" s="39"/>
      <c r="E33666" s="40" t="s">
        <v>11404</v>
      </c>
      <c r="F33666" s="40" t="s">
        <v>11404</v>
      </c>
      <c r="G33666" s="40" t="s">
        <v>11404</v>
      </c>
      <c r="H33666" s="40" t="s">
        <v>11404</v>
      </c>
    </row>
    <row r="33667">
      <c r="A33667" s="39"/>
      <c r="E33667" s="40" t="s">
        <v>11404</v>
      </c>
      <c r="F33667" s="40" t="s">
        <v>11404</v>
      </c>
      <c r="G33667" s="40" t="s">
        <v>11404</v>
      </c>
      <c r="H33667" s="40" t="s">
        <v>11404</v>
      </c>
    </row>
    <row r="33668">
      <c r="A33668" s="39"/>
      <c r="E33668" s="40" t="s">
        <v>11404</v>
      </c>
      <c r="F33668" s="40" t="s">
        <v>11404</v>
      </c>
      <c r="G33668" s="40" t="s">
        <v>11404</v>
      </c>
      <c r="H33668" s="40" t="s">
        <v>11404</v>
      </c>
    </row>
    <row r="33669">
      <c r="A33669" s="39"/>
      <c r="E33669" s="40" t="s">
        <v>11404</v>
      </c>
      <c r="F33669" s="40" t="s">
        <v>11404</v>
      </c>
      <c r="G33669" s="40" t="s">
        <v>11404</v>
      </c>
      <c r="H33669" s="40" t="s">
        <v>11404</v>
      </c>
    </row>
    <row r="33670">
      <c r="A33670" s="39"/>
      <c r="E33670" s="40" t="s">
        <v>11404</v>
      </c>
      <c r="F33670" s="40" t="s">
        <v>11404</v>
      </c>
      <c r="G33670" s="40" t="s">
        <v>11404</v>
      </c>
      <c r="H33670" s="40" t="s">
        <v>11404</v>
      </c>
    </row>
    <row r="33671">
      <c r="A33671" s="39"/>
      <c r="E33671" s="40" t="s">
        <v>11404</v>
      </c>
      <c r="F33671" s="40" t="s">
        <v>11404</v>
      </c>
      <c r="G33671" s="40" t="s">
        <v>11404</v>
      </c>
      <c r="H33671" s="40" t="s">
        <v>11404</v>
      </c>
    </row>
    <row r="33672">
      <c r="A33672" s="39"/>
      <c r="E33672" s="40" t="s">
        <v>11404</v>
      </c>
      <c r="F33672" s="40" t="s">
        <v>11404</v>
      </c>
      <c r="G33672" s="40" t="s">
        <v>11404</v>
      </c>
      <c r="H33672" s="40" t="s">
        <v>11404</v>
      </c>
    </row>
    <row r="33673">
      <c r="A33673" s="39"/>
      <c r="E33673" s="40" t="s">
        <v>11404</v>
      </c>
      <c r="F33673" s="40" t="s">
        <v>11404</v>
      </c>
      <c r="G33673" s="40" t="s">
        <v>11404</v>
      </c>
      <c r="H33673" s="40" t="s">
        <v>11404</v>
      </c>
    </row>
    <row r="33674">
      <c r="A33674" s="39"/>
      <c r="E33674" s="40" t="s">
        <v>11404</v>
      </c>
      <c r="F33674" s="40" t="s">
        <v>11404</v>
      </c>
      <c r="G33674" s="40" t="s">
        <v>11404</v>
      </c>
      <c r="H33674" s="40" t="s">
        <v>11404</v>
      </c>
    </row>
    <row r="33675">
      <c r="A33675" s="39"/>
      <c r="E33675" s="40" t="s">
        <v>11404</v>
      </c>
      <c r="F33675" s="40" t="s">
        <v>11404</v>
      </c>
      <c r="G33675" s="40" t="s">
        <v>11404</v>
      </c>
      <c r="H33675" s="40" t="s">
        <v>11404</v>
      </c>
    </row>
    <row r="33676">
      <c r="A33676" s="39"/>
      <c r="E33676" s="40" t="s">
        <v>11404</v>
      </c>
      <c r="F33676" s="40" t="s">
        <v>11404</v>
      </c>
      <c r="G33676" s="40" t="s">
        <v>11404</v>
      </c>
      <c r="H33676" s="40" t="s">
        <v>11404</v>
      </c>
    </row>
    <row r="33677">
      <c r="A33677" s="39"/>
      <c r="E33677" s="40" t="s">
        <v>11404</v>
      </c>
      <c r="F33677" s="40" t="s">
        <v>11404</v>
      </c>
      <c r="G33677" s="40" t="s">
        <v>11404</v>
      </c>
      <c r="H33677" s="40" t="s">
        <v>11404</v>
      </c>
    </row>
    <row r="33678">
      <c r="A33678" s="39"/>
      <c r="E33678" s="40" t="s">
        <v>11404</v>
      </c>
      <c r="F33678" s="40" t="s">
        <v>11404</v>
      </c>
      <c r="G33678" s="40" t="s">
        <v>11404</v>
      </c>
      <c r="H33678" s="40" t="s">
        <v>11404</v>
      </c>
    </row>
    <row r="33679">
      <c r="A33679" s="39"/>
      <c r="E33679" s="40" t="s">
        <v>11404</v>
      </c>
      <c r="F33679" s="40" t="s">
        <v>11404</v>
      </c>
      <c r="G33679" s="40" t="s">
        <v>11404</v>
      </c>
      <c r="H33679" s="40" t="s">
        <v>11404</v>
      </c>
    </row>
    <row r="33680">
      <c r="A33680" s="39"/>
      <c r="E33680" s="40" t="s">
        <v>11404</v>
      </c>
      <c r="F33680" s="40" t="s">
        <v>11404</v>
      </c>
      <c r="G33680" s="40" t="s">
        <v>11404</v>
      </c>
      <c r="H33680" s="40" t="s">
        <v>11404</v>
      </c>
    </row>
    <row r="33681">
      <c r="A33681" s="39"/>
      <c r="E33681" s="40" t="s">
        <v>11404</v>
      </c>
      <c r="F33681" s="40" t="s">
        <v>11404</v>
      </c>
      <c r="G33681" s="40" t="s">
        <v>11404</v>
      </c>
      <c r="H33681" s="40" t="s">
        <v>11404</v>
      </c>
    </row>
    <row r="33682">
      <c r="A33682" s="39"/>
      <c r="E33682" s="40" t="s">
        <v>11404</v>
      </c>
      <c r="F33682" s="40" t="s">
        <v>11404</v>
      </c>
      <c r="G33682" s="40" t="s">
        <v>11404</v>
      </c>
      <c r="H33682" s="40" t="s">
        <v>11404</v>
      </c>
    </row>
    <row r="33683">
      <c r="A33683" s="39"/>
      <c r="E33683" s="40" t="s">
        <v>11404</v>
      </c>
      <c r="F33683" s="40" t="s">
        <v>11404</v>
      </c>
      <c r="G33683" s="40" t="s">
        <v>11404</v>
      </c>
      <c r="H33683" s="40" t="s">
        <v>11404</v>
      </c>
    </row>
    <row r="33684">
      <c r="A33684" s="39"/>
      <c r="E33684" s="40" t="s">
        <v>11404</v>
      </c>
      <c r="F33684" s="40" t="s">
        <v>11404</v>
      </c>
      <c r="G33684" s="40" t="s">
        <v>11404</v>
      </c>
      <c r="H33684" s="40" t="s">
        <v>11404</v>
      </c>
    </row>
    <row r="33685">
      <c r="A33685" s="39"/>
      <c r="E33685" s="40" t="s">
        <v>11404</v>
      </c>
      <c r="F33685" s="40" t="s">
        <v>11404</v>
      </c>
      <c r="G33685" s="40" t="s">
        <v>11404</v>
      </c>
      <c r="H33685" s="40" t="s">
        <v>11404</v>
      </c>
    </row>
    <row r="33686">
      <c r="A33686" s="39"/>
      <c r="E33686" s="40" t="s">
        <v>11404</v>
      </c>
      <c r="F33686" s="40" t="s">
        <v>11404</v>
      </c>
      <c r="G33686" s="40" t="s">
        <v>11404</v>
      </c>
      <c r="H33686" s="40" t="s">
        <v>11404</v>
      </c>
    </row>
    <row r="33687">
      <c r="A33687" s="39"/>
      <c r="E33687" s="40" t="s">
        <v>11404</v>
      </c>
      <c r="F33687" s="40" t="s">
        <v>11404</v>
      </c>
      <c r="G33687" s="40" t="s">
        <v>11404</v>
      </c>
      <c r="H33687" s="40" t="s">
        <v>11404</v>
      </c>
    </row>
    <row r="33688">
      <c r="A33688" s="39"/>
      <c r="E33688" s="40" t="s">
        <v>11404</v>
      </c>
      <c r="F33688" s="40" t="s">
        <v>11404</v>
      </c>
      <c r="G33688" s="40" t="s">
        <v>11404</v>
      </c>
      <c r="H33688" s="40" t="s">
        <v>11404</v>
      </c>
    </row>
    <row r="33689">
      <c r="A33689" s="39"/>
      <c r="E33689" s="40" t="s">
        <v>11404</v>
      </c>
      <c r="F33689" s="40" t="s">
        <v>11404</v>
      </c>
      <c r="G33689" s="40" t="s">
        <v>11404</v>
      </c>
      <c r="H33689" s="40" t="s">
        <v>11404</v>
      </c>
    </row>
    <row r="33690">
      <c r="A33690" s="39"/>
      <c r="E33690" s="40" t="s">
        <v>11404</v>
      </c>
      <c r="F33690" s="40" t="s">
        <v>11404</v>
      </c>
      <c r="G33690" s="40" t="s">
        <v>11404</v>
      </c>
      <c r="H33690" s="40" t="s">
        <v>11404</v>
      </c>
    </row>
    <row r="33691">
      <c r="A33691" s="39"/>
      <c r="E33691" s="40" t="s">
        <v>11404</v>
      </c>
      <c r="F33691" s="40" t="s">
        <v>11404</v>
      </c>
      <c r="G33691" s="40" t="s">
        <v>11404</v>
      </c>
      <c r="H33691" s="40" t="s">
        <v>11404</v>
      </c>
    </row>
    <row r="33692">
      <c r="A33692" s="39"/>
      <c r="E33692" s="40" t="s">
        <v>11404</v>
      </c>
      <c r="F33692" s="40" t="s">
        <v>11404</v>
      </c>
      <c r="G33692" s="40" t="s">
        <v>11404</v>
      </c>
      <c r="H33692" s="40" t="s">
        <v>11404</v>
      </c>
    </row>
    <row r="33693">
      <c r="A33693" s="39"/>
      <c r="E33693" s="40" t="s">
        <v>11404</v>
      </c>
      <c r="F33693" s="40" t="s">
        <v>11404</v>
      </c>
      <c r="G33693" s="40" t="s">
        <v>11404</v>
      </c>
      <c r="H33693" s="40" t="s">
        <v>11404</v>
      </c>
    </row>
    <row r="33694">
      <c r="A33694" s="39"/>
      <c r="E33694" s="40" t="s">
        <v>11404</v>
      </c>
      <c r="F33694" s="40" t="s">
        <v>11404</v>
      </c>
      <c r="G33694" s="40" t="s">
        <v>11404</v>
      </c>
      <c r="H33694" s="40" t="s">
        <v>11404</v>
      </c>
    </row>
    <row r="33695">
      <c r="A33695" s="39"/>
      <c r="E33695" s="40" t="s">
        <v>11404</v>
      </c>
      <c r="F33695" s="40" t="s">
        <v>11404</v>
      </c>
      <c r="G33695" s="40" t="s">
        <v>11404</v>
      </c>
      <c r="H33695" s="40" t="s">
        <v>11404</v>
      </c>
    </row>
    <row r="33696">
      <c r="A33696" s="39"/>
      <c r="E33696" s="40" t="s">
        <v>11404</v>
      </c>
      <c r="F33696" s="40" t="s">
        <v>11404</v>
      </c>
      <c r="G33696" s="40" t="s">
        <v>11404</v>
      </c>
      <c r="H33696" s="40" t="s">
        <v>11404</v>
      </c>
    </row>
    <row r="33697">
      <c r="A33697" s="39"/>
      <c r="E33697" s="40" t="s">
        <v>11404</v>
      </c>
      <c r="F33697" s="40" t="s">
        <v>11404</v>
      </c>
      <c r="G33697" s="40" t="s">
        <v>11404</v>
      </c>
      <c r="H33697" s="40" t="s">
        <v>11404</v>
      </c>
    </row>
    <row r="33698">
      <c r="A33698" s="39"/>
      <c r="E33698" s="40" t="s">
        <v>11404</v>
      </c>
      <c r="F33698" s="40" t="s">
        <v>11404</v>
      </c>
      <c r="G33698" s="40" t="s">
        <v>11404</v>
      </c>
      <c r="H33698" s="40" t="s">
        <v>11404</v>
      </c>
    </row>
    <row r="33699">
      <c r="A33699" s="39"/>
      <c r="E33699" s="40" t="s">
        <v>11404</v>
      </c>
      <c r="F33699" s="40" t="s">
        <v>11404</v>
      </c>
      <c r="G33699" s="40" t="s">
        <v>11404</v>
      </c>
      <c r="H33699" s="40" t="s">
        <v>11404</v>
      </c>
    </row>
    <row r="33700">
      <c r="A33700" s="39"/>
      <c r="E33700" s="40" t="s">
        <v>11404</v>
      </c>
      <c r="F33700" s="40" t="s">
        <v>11404</v>
      </c>
      <c r="G33700" s="40" t="s">
        <v>11404</v>
      </c>
      <c r="H33700" s="40" t="s">
        <v>11404</v>
      </c>
    </row>
    <row r="33701">
      <c r="A33701" s="39"/>
      <c r="E33701" s="40" t="s">
        <v>11404</v>
      </c>
      <c r="F33701" s="40" t="s">
        <v>11404</v>
      </c>
      <c r="G33701" s="40" t="s">
        <v>11404</v>
      </c>
      <c r="H33701" s="40" t="s">
        <v>11404</v>
      </c>
    </row>
    <row r="33702">
      <c r="A33702" s="39"/>
      <c r="E33702" s="40" t="s">
        <v>11404</v>
      </c>
      <c r="F33702" s="40" t="s">
        <v>11404</v>
      </c>
      <c r="G33702" s="40" t="s">
        <v>11404</v>
      </c>
      <c r="H33702" s="40" t="s">
        <v>11404</v>
      </c>
    </row>
    <row r="33703">
      <c r="A33703" s="39"/>
      <c r="E33703" s="40" t="s">
        <v>11404</v>
      </c>
      <c r="F33703" s="40" t="s">
        <v>11404</v>
      </c>
      <c r="G33703" s="40" t="s">
        <v>11404</v>
      </c>
      <c r="H33703" s="40" t="s">
        <v>11404</v>
      </c>
    </row>
    <row r="33704">
      <c r="A33704" s="39"/>
      <c r="E33704" s="40" t="s">
        <v>11404</v>
      </c>
      <c r="F33704" s="40" t="s">
        <v>11404</v>
      </c>
      <c r="G33704" s="40" t="s">
        <v>11404</v>
      </c>
      <c r="H33704" s="40" t="s">
        <v>11404</v>
      </c>
    </row>
    <row r="33705">
      <c r="A33705" s="39"/>
      <c r="E33705" s="40" t="s">
        <v>11404</v>
      </c>
      <c r="F33705" s="40" t="s">
        <v>11404</v>
      </c>
      <c r="G33705" s="40" t="s">
        <v>11404</v>
      </c>
      <c r="H33705" s="40" t="s">
        <v>11404</v>
      </c>
    </row>
    <row r="33706">
      <c r="A33706" s="39"/>
      <c r="E33706" s="40" t="s">
        <v>11404</v>
      </c>
      <c r="F33706" s="40" t="s">
        <v>11404</v>
      </c>
      <c r="G33706" s="40" t="s">
        <v>11404</v>
      </c>
      <c r="H33706" s="40" t="s">
        <v>11404</v>
      </c>
    </row>
    <row r="33707">
      <c r="A33707" s="39"/>
      <c r="E33707" s="40" t="s">
        <v>11404</v>
      </c>
      <c r="F33707" s="40" t="s">
        <v>11404</v>
      </c>
      <c r="G33707" s="40" t="s">
        <v>11404</v>
      </c>
      <c r="H33707" s="40" t="s">
        <v>11404</v>
      </c>
    </row>
    <row r="33708">
      <c r="A33708" s="39"/>
      <c r="E33708" s="40" t="s">
        <v>11404</v>
      </c>
      <c r="F33708" s="40" t="s">
        <v>11404</v>
      </c>
      <c r="G33708" s="40" t="s">
        <v>11404</v>
      </c>
      <c r="H33708" s="40" t="s">
        <v>11404</v>
      </c>
    </row>
    <row r="33709">
      <c r="A33709" s="39"/>
      <c r="E33709" s="40" t="s">
        <v>11404</v>
      </c>
      <c r="F33709" s="40" t="s">
        <v>11404</v>
      </c>
      <c r="G33709" s="40" t="s">
        <v>11404</v>
      </c>
      <c r="H33709" s="40" t="s">
        <v>11404</v>
      </c>
    </row>
    <row r="33710">
      <c r="A33710" s="39"/>
      <c r="E33710" s="40" t="s">
        <v>11404</v>
      </c>
      <c r="F33710" s="40" t="s">
        <v>11404</v>
      </c>
      <c r="G33710" s="40" t="s">
        <v>11404</v>
      </c>
      <c r="H33710" s="40" t="s">
        <v>11404</v>
      </c>
    </row>
    <row r="33711">
      <c r="A33711" s="39"/>
      <c r="E33711" s="40" t="s">
        <v>11404</v>
      </c>
      <c r="F33711" s="40" t="s">
        <v>11404</v>
      </c>
      <c r="G33711" s="40" t="s">
        <v>11404</v>
      </c>
      <c r="H33711" s="40" t="s">
        <v>11404</v>
      </c>
    </row>
    <row r="33712">
      <c r="A33712" s="39"/>
      <c r="E33712" s="40" t="s">
        <v>11404</v>
      </c>
      <c r="F33712" s="40" t="s">
        <v>11404</v>
      </c>
      <c r="G33712" s="40" t="s">
        <v>11404</v>
      </c>
      <c r="H33712" s="40" t="s">
        <v>11404</v>
      </c>
    </row>
    <row r="33713">
      <c r="A33713" s="39"/>
      <c r="E33713" s="40" t="s">
        <v>11404</v>
      </c>
      <c r="F33713" s="40" t="s">
        <v>11404</v>
      </c>
      <c r="G33713" s="40" t="s">
        <v>11404</v>
      </c>
      <c r="H33713" s="40" t="s">
        <v>11404</v>
      </c>
    </row>
    <row r="33714">
      <c r="A33714" s="39"/>
      <c r="E33714" s="40" t="s">
        <v>11404</v>
      </c>
      <c r="F33714" s="40" t="s">
        <v>11404</v>
      </c>
      <c r="G33714" s="40" t="s">
        <v>11404</v>
      </c>
      <c r="H33714" s="40" t="s">
        <v>11404</v>
      </c>
    </row>
    <row r="33715">
      <c r="A33715" s="39"/>
      <c r="E33715" s="40" t="s">
        <v>11404</v>
      </c>
      <c r="F33715" s="40" t="s">
        <v>11404</v>
      </c>
      <c r="G33715" s="40" t="s">
        <v>11404</v>
      </c>
      <c r="H33715" s="40" t="s">
        <v>11404</v>
      </c>
    </row>
    <row r="33716">
      <c r="A33716" s="39"/>
      <c r="E33716" s="40" t="s">
        <v>11404</v>
      </c>
      <c r="F33716" s="40" t="s">
        <v>11404</v>
      </c>
      <c r="G33716" s="40" t="s">
        <v>11404</v>
      </c>
      <c r="H33716" s="40" t="s">
        <v>11404</v>
      </c>
    </row>
    <row r="33717">
      <c r="A33717" s="39"/>
      <c r="E33717" s="40" t="s">
        <v>11404</v>
      </c>
      <c r="F33717" s="40" t="s">
        <v>11404</v>
      </c>
      <c r="G33717" s="40" t="s">
        <v>11404</v>
      </c>
      <c r="H33717" s="40" t="s">
        <v>11404</v>
      </c>
    </row>
    <row r="33718">
      <c r="A33718" s="39"/>
      <c r="E33718" s="40" t="s">
        <v>11404</v>
      </c>
      <c r="F33718" s="40" t="s">
        <v>11404</v>
      </c>
      <c r="G33718" s="40" t="s">
        <v>11404</v>
      </c>
      <c r="H33718" s="40" t="s">
        <v>11404</v>
      </c>
    </row>
    <row r="33719">
      <c r="A33719" s="39"/>
      <c r="E33719" s="40" t="s">
        <v>11404</v>
      </c>
      <c r="F33719" s="40" t="s">
        <v>11404</v>
      </c>
      <c r="G33719" s="40" t="s">
        <v>11404</v>
      </c>
      <c r="H33719" s="40" t="s">
        <v>11404</v>
      </c>
    </row>
    <row r="33720">
      <c r="A33720" s="39"/>
      <c r="E33720" s="40" t="s">
        <v>11404</v>
      </c>
      <c r="F33720" s="40" t="s">
        <v>11404</v>
      </c>
      <c r="G33720" s="40" t="s">
        <v>11404</v>
      </c>
      <c r="H33720" s="40" t="s">
        <v>11404</v>
      </c>
    </row>
    <row r="33721">
      <c r="A33721" s="39"/>
      <c r="E33721" s="40" t="s">
        <v>11404</v>
      </c>
      <c r="F33721" s="40" t="s">
        <v>11404</v>
      </c>
      <c r="G33721" s="40" t="s">
        <v>11404</v>
      </c>
      <c r="H33721" s="40" t="s">
        <v>11404</v>
      </c>
    </row>
    <row r="33722">
      <c r="A33722" s="39"/>
      <c r="E33722" s="40" t="s">
        <v>11404</v>
      </c>
      <c r="F33722" s="40" t="s">
        <v>11404</v>
      </c>
      <c r="G33722" s="40" t="s">
        <v>11404</v>
      </c>
      <c r="H33722" s="40" t="s">
        <v>11404</v>
      </c>
    </row>
    <row r="33723">
      <c r="A33723" s="39"/>
      <c r="E33723" s="40" t="s">
        <v>11404</v>
      </c>
      <c r="F33723" s="40" t="s">
        <v>11404</v>
      </c>
      <c r="G33723" s="40" t="s">
        <v>11404</v>
      </c>
      <c r="H33723" s="40" t="s">
        <v>11404</v>
      </c>
    </row>
    <row r="33724">
      <c r="A33724" s="39"/>
      <c r="E33724" s="40" t="s">
        <v>11404</v>
      </c>
      <c r="F33724" s="40" t="s">
        <v>11404</v>
      </c>
      <c r="G33724" s="40" t="s">
        <v>11404</v>
      </c>
      <c r="H33724" s="40" t="s">
        <v>11404</v>
      </c>
    </row>
    <row r="33725">
      <c r="A33725" s="39"/>
      <c r="E33725" s="40" t="s">
        <v>11404</v>
      </c>
      <c r="F33725" s="40" t="s">
        <v>11404</v>
      </c>
      <c r="G33725" s="40" t="s">
        <v>11404</v>
      </c>
      <c r="H33725" s="40" t="s">
        <v>11404</v>
      </c>
    </row>
    <row r="33726">
      <c r="A33726" s="39"/>
      <c r="E33726" s="40" t="s">
        <v>11404</v>
      </c>
      <c r="F33726" s="40" t="s">
        <v>11404</v>
      </c>
      <c r="G33726" s="40" t="s">
        <v>11404</v>
      </c>
      <c r="H33726" s="40" t="s">
        <v>11404</v>
      </c>
    </row>
    <row r="33727">
      <c r="A33727" s="39"/>
      <c r="E33727" s="40" t="s">
        <v>11404</v>
      </c>
      <c r="F33727" s="40" t="s">
        <v>11404</v>
      </c>
      <c r="G33727" s="40" t="s">
        <v>11404</v>
      </c>
      <c r="H33727" s="40" t="s">
        <v>11404</v>
      </c>
    </row>
    <row r="33728">
      <c r="A33728" s="39"/>
      <c r="E33728" s="40" t="s">
        <v>11404</v>
      </c>
      <c r="F33728" s="40" t="s">
        <v>11404</v>
      </c>
      <c r="G33728" s="40" t="s">
        <v>11404</v>
      </c>
      <c r="H33728" s="40" t="s">
        <v>11404</v>
      </c>
    </row>
    <row r="33729">
      <c r="A33729" s="39"/>
      <c r="E33729" s="40" t="s">
        <v>11404</v>
      </c>
      <c r="F33729" s="40" t="s">
        <v>11404</v>
      </c>
      <c r="G33729" s="40" t="s">
        <v>11404</v>
      </c>
      <c r="H33729" s="40" t="s">
        <v>11404</v>
      </c>
    </row>
    <row r="33730">
      <c r="A33730" s="39"/>
      <c r="E33730" s="40" t="s">
        <v>11404</v>
      </c>
      <c r="F33730" s="40" t="s">
        <v>11404</v>
      </c>
      <c r="G33730" s="40" t="s">
        <v>11404</v>
      </c>
      <c r="H33730" s="40" t="s">
        <v>11404</v>
      </c>
    </row>
    <row r="33731">
      <c r="A33731" s="39"/>
      <c r="E33731" s="40" t="s">
        <v>11404</v>
      </c>
      <c r="F33731" s="40" t="s">
        <v>11404</v>
      </c>
      <c r="G33731" s="40" t="s">
        <v>11404</v>
      </c>
      <c r="H33731" s="40" t="s">
        <v>11404</v>
      </c>
    </row>
    <row r="33732">
      <c r="A33732" s="39"/>
      <c r="E33732" s="40" t="s">
        <v>11404</v>
      </c>
      <c r="F33732" s="40" t="s">
        <v>11404</v>
      </c>
      <c r="G33732" s="40" t="s">
        <v>11404</v>
      </c>
      <c r="H33732" s="40" t="s">
        <v>11404</v>
      </c>
    </row>
    <row r="33733">
      <c r="A33733" s="39"/>
      <c r="E33733" s="40" t="s">
        <v>11404</v>
      </c>
      <c r="F33733" s="40" t="s">
        <v>11404</v>
      </c>
      <c r="G33733" s="40" t="s">
        <v>11404</v>
      </c>
      <c r="H33733" s="40" t="s">
        <v>11404</v>
      </c>
    </row>
    <row r="33734">
      <c r="A33734" s="39"/>
      <c r="E33734" s="40" t="s">
        <v>11404</v>
      </c>
      <c r="F33734" s="40" t="s">
        <v>11404</v>
      </c>
      <c r="G33734" s="40" t="s">
        <v>11404</v>
      </c>
      <c r="H33734" s="40" t="s">
        <v>11404</v>
      </c>
    </row>
    <row r="33735">
      <c r="A33735" s="39"/>
      <c r="E33735" s="40" t="s">
        <v>11404</v>
      </c>
      <c r="F33735" s="40" t="s">
        <v>11404</v>
      </c>
      <c r="G33735" s="40" t="s">
        <v>11404</v>
      </c>
      <c r="H33735" s="40" t="s">
        <v>11404</v>
      </c>
    </row>
    <row r="33736">
      <c r="A33736" s="39"/>
      <c r="E33736" s="40" t="s">
        <v>11404</v>
      </c>
      <c r="F33736" s="40" t="s">
        <v>11404</v>
      </c>
      <c r="G33736" s="40" t="s">
        <v>11404</v>
      </c>
      <c r="H33736" s="40" t="s">
        <v>11404</v>
      </c>
    </row>
    <row r="33737">
      <c r="A33737" s="39"/>
      <c r="E33737" s="40" t="s">
        <v>11404</v>
      </c>
      <c r="F33737" s="40" t="s">
        <v>11404</v>
      </c>
      <c r="G33737" s="40" t="s">
        <v>11404</v>
      </c>
      <c r="H33737" s="40" t="s">
        <v>11404</v>
      </c>
    </row>
    <row r="33738">
      <c r="A33738" s="39"/>
      <c r="E33738" s="40" t="s">
        <v>11404</v>
      </c>
      <c r="F33738" s="40" t="s">
        <v>11404</v>
      </c>
      <c r="G33738" s="40" t="s">
        <v>11404</v>
      </c>
      <c r="H33738" s="40" t="s">
        <v>11404</v>
      </c>
    </row>
    <row r="33739">
      <c r="A33739" s="39"/>
      <c r="E33739" s="40" t="s">
        <v>11404</v>
      </c>
      <c r="F33739" s="40" t="s">
        <v>11404</v>
      </c>
      <c r="G33739" s="40" t="s">
        <v>11404</v>
      </c>
      <c r="H33739" s="40" t="s">
        <v>11404</v>
      </c>
    </row>
    <row r="33740">
      <c r="A33740" s="39"/>
      <c r="E33740" s="40" t="s">
        <v>11404</v>
      </c>
      <c r="F33740" s="40" t="s">
        <v>11404</v>
      </c>
      <c r="G33740" s="40" t="s">
        <v>11404</v>
      </c>
      <c r="H33740" s="40" t="s">
        <v>11404</v>
      </c>
    </row>
    <row r="33741">
      <c r="A33741" s="39"/>
      <c r="E33741" s="40" t="s">
        <v>11404</v>
      </c>
      <c r="F33741" s="40" t="s">
        <v>11404</v>
      </c>
      <c r="G33741" s="40" t="s">
        <v>11404</v>
      </c>
      <c r="H33741" s="40" t="s">
        <v>11404</v>
      </c>
    </row>
    <row r="33742">
      <c r="A33742" s="39"/>
      <c r="E33742" s="40" t="s">
        <v>11404</v>
      </c>
      <c r="F33742" s="40" t="s">
        <v>11404</v>
      </c>
      <c r="G33742" s="40" t="s">
        <v>11404</v>
      </c>
      <c r="H33742" s="40" t="s">
        <v>11404</v>
      </c>
    </row>
    <row r="33743">
      <c r="A33743" s="39"/>
      <c r="E33743" s="40" t="s">
        <v>11404</v>
      </c>
      <c r="F33743" s="40" t="s">
        <v>11404</v>
      </c>
      <c r="G33743" s="40" t="s">
        <v>11404</v>
      </c>
      <c r="H33743" s="40" t="s">
        <v>11404</v>
      </c>
    </row>
    <row r="33744">
      <c r="A33744" s="39"/>
      <c r="E33744" s="40" t="s">
        <v>11404</v>
      </c>
      <c r="F33744" s="40" t="s">
        <v>11404</v>
      </c>
      <c r="G33744" s="40" t="s">
        <v>11404</v>
      </c>
      <c r="H33744" s="40" t="s">
        <v>11404</v>
      </c>
    </row>
    <row r="33745">
      <c r="A33745" s="39"/>
      <c r="E33745" s="40" t="s">
        <v>11404</v>
      </c>
      <c r="F33745" s="40" t="s">
        <v>11404</v>
      </c>
      <c r="G33745" s="40" t="s">
        <v>11404</v>
      </c>
      <c r="H33745" s="40" t="s">
        <v>11404</v>
      </c>
    </row>
    <row r="33746">
      <c r="A33746" s="39"/>
      <c r="E33746" s="40" t="s">
        <v>11404</v>
      </c>
      <c r="F33746" s="40" t="s">
        <v>11404</v>
      </c>
      <c r="G33746" s="40" t="s">
        <v>11404</v>
      </c>
      <c r="H33746" s="40" t="s">
        <v>11404</v>
      </c>
    </row>
    <row r="33747">
      <c r="A33747" s="39"/>
      <c r="E33747" s="40" t="s">
        <v>11404</v>
      </c>
      <c r="F33747" s="40" t="s">
        <v>11404</v>
      </c>
      <c r="G33747" s="40" t="s">
        <v>11404</v>
      </c>
      <c r="H33747" s="40" t="s">
        <v>11404</v>
      </c>
    </row>
    <row r="33748">
      <c r="A33748" s="39"/>
      <c r="E33748" s="40" t="s">
        <v>11404</v>
      </c>
      <c r="F33748" s="40" t="s">
        <v>11404</v>
      </c>
      <c r="G33748" s="40" t="s">
        <v>11404</v>
      </c>
      <c r="H33748" s="40" t="s">
        <v>11404</v>
      </c>
    </row>
    <row r="33749">
      <c r="A33749" s="39"/>
      <c r="E33749" s="40" t="s">
        <v>11404</v>
      </c>
      <c r="F33749" s="40" t="s">
        <v>11404</v>
      </c>
      <c r="G33749" s="40" t="s">
        <v>11404</v>
      </c>
      <c r="H33749" s="40" t="s">
        <v>11404</v>
      </c>
    </row>
    <row r="33750">
      <c r="A33750" s="39"/>
      <c r="E33750" s="40" t="s">
        <v>11404</v>
      </c>
      <c r="F33750" s="40" t="s">
        <v>11404</v>
      </c>
      <c r="G33750" s="40" t="s">
        <v>11404</v>
      </c>
      <c r="H33750" s="40" t="s">
        <v>11404</v>
      </c>
    </row>
    <row r="33751">
      <c r="A33751" s="39"/>
      <c r="E33751" s="40" t="s">
        <v>11404</v>
      </c>
      <c r="F33751" s="40" t="s">
        <v>11404</v>
      </c>
      <c r="G33751" s="40" t="s">
        <v>11404</v>
      </c>
      <c r="H33751" s="40" t="s">
        <v>11404</v>
      </c>
    </row>
    <row r="33752">
      <c r="A33752" s="39"/>
      <c r="E33752" s="40" t="s">
        <v>11404</v>
      </c>
      <c r="F33752" s="40" t="s">
        <v>11404</v>
      </c>
      <c r="G33752" s="40" t="s">
        <v>11404</v>
      </c>
      <c r="H33752" s="40" t="s">
        <v>11404</v>
      </c>
    </row>
    <row r="33753">
      <c r="A33753" s="39"/>
      <c r="E33753" s="40" t="s">
        <v>11404</v>
      </c>
      <c r="F33753" s="40" t="s">
        <v>11404</v>
      </c>
      <c r="G33753" s="40" t="s">
        <v>11404</v>
      </c>
      <c r="H33753" s="40" t="s">
        <v>11404</v>
      </c>
    </row>
    <row r="33754">
      <c r="A33754" s="39"/>
      <c r="E33754" s="40" t="s">
        <v>11404</v>
      </c>
      <c r="F33754" s="40" t="s">
        <v>11404</v>
      </c>
      <c r="G33754" s="40" t="s">
        <v>11404</v>
      </c>
      <c r="H33754" s="40" t="s">
        <v>11404</v>
      </c>
    </row>
    <row r="33755">
      <c r="A33755" s="39"/>
      <c r="E33755" s="40" t="s">
        <v>11404</v>
      </c>
      <c r="F33755" s="40" t="s">
        <v>11404</v>
      </c>
      <c r="G33755" s="40" t="s">
        <v>11404</v>
      </c>
      <c r="H33755" s="40" t="s">
        <v>11404</v>
      </c>
    </row>
    <row r="33756">
      <c r="A33756" s="39"/>
      <c r="E33756" s="40" t="s">
        <v>11404</v>
      </c>
      <c r="F33756" s="40" t="s">
        <v>11404</v>
      </c>
      <c r="G33756" s="40" t="s">
        <v>11404</v>
      </c>
      <c r="H33756" s="40" t="s">
        <v>11404</v>
      </c>
    </row>
    <row r="33757">
      <c r="A33757" s="39"/>
      <c r="E33757" s="40" t="s">
        <v>11404</v>
      </c>
      <c r="F33757" s="40" t="s">
        <v>11404</v>
      </c>
      <c r="G33757" s="40" t="s">
        <v>11404</v>
      </c>
      <c r="H33757" s="40" t="s">
        <v>11404</v>
      </c>
    </row>
    <row r="33758">
      <c r="A33758" s="39"/>
      <c r="E33758" s="40" t="s">
        <v>11404</v>
      </c>
      <c r="F33758" s="40" t="s">
        <v>11404</v>
      </c>
      <c r="G33758" s="40" t="s">
        <v>11404</v>
      </c>
      <c r="H33758" s="40" t="s">
        <v>11404</v>
      </c>
    </row>
    <row r="33759">
      <c r="A33759" s="39"/>
      <c r="E33759" s="40" t="s">
        <v>11404</v>
      </c>
      <c r="F33759" s="40" t="s">
        <v>11404</v>
      </c>
      <c r="G33759" s="40" t="s">
        <v>11404</v>
      </c>
      <c r="H33759" s="40" t="s">
        <v>11404</v>
      </c>
    </row>
    <row r="33760">
      <c r="A33760" s="39"/>
      <c r="E33760" s="40" t="s">
        <v>11404</v>
      </c>
      <c r="F33760" s="40" t="s">
        <v>11404</v>
      </c>
      <c r="G33760" s="40" t="s">
        <v>11404</v>
      </c>
      <c r="H33760" s="40" t="s">
        <v>11404</v>
      </c>
    </row>
    <row r="33761">
      <c r="A33761" s="39"/>
      <c r="E33761" s="40" t="s">
        <v>11404</v>
      </c>
      <c r="F33761" s="40" t="s">
        <v>11404</v>
      </c>
      <c r="G33761" s="40" t="s">
        <v>11404</v>
      </c>
      <c r="H33761" s="40" t="s">
        <v>11404</v>
      </c>
    </row>
    <row r="33762">
      <c r="A33762" s="39"/>
      <c r="E33762" s="40" t="s">
        <v>11404</v>
      </c>
      <c r="F33762" s="40" t="s">
        <v>11404</v>
      </c>
      <c r="G33762" s="40" t="s">
        <v>11404</v>
      </c>
      <c r="H33762" s="40" t="s">
        <v>11404</v>
      </c>
    </row>
    <row r="33763">
      <c r="A33763" s="39"/>
      <c r="E33763" s="40" t="s">
        <v>11404</v>
      </c>
      <c r="F33763" s="40" t="s">
        <v>11404</v>
      </c>
      <c r="G33763" s="40" t="s">
        <v>11404</v>
      </c>
      <c r="H33763" s="40" t="s">
        <v>11404</v>
      </c>
    </row>
    <row r="33764">
      <c r="A33764" s="39"/>
      <c r="E33764" s="40" t="s">
        <v>11404</v>
      </c>
      <c r="F33764" s="40" t="s">
        <v>11404</v>
      </c>
      <c r="G33764" s="40" t="s">
        <v>11404</v>
      </c>
      <c r="H33764" s="40" t="s">
        <v>11404</v>
      </c>
    </row>
    <row r="33765">
      <c r="A33765" s="39"/>
      <c r="E33765" s="40" t="s">
        <v>11404</v>
      </c>
      <c r="F33765" s="40" t="s">
        <v>11404</v>
      </c>
      <c r="G33765" s="40" t="s">
        <v>11404</v>
      </c>
      <c r="H33765" s="40" t="s">
        <v>11404</v>
      </c>
    </row>
    <row r="33766">
      <c r="A33766" s="39"/>
      <c r="E33766" s="40" t="s">
        <v>11404</v>
      </c>
      <c r="F33766" s="40" t="s">
        <v>11404</v>
      </c>
      <c r="G33766" s="40" t="s">
        <v>11404</v>
      </c>
      <c r="H33766" s="40" t="s">
        <v>11404</v>
      </c>
    </row>
    <row r="33767">
      <c r="A33767" s="39"/>
      <c r="E33767" s="40" t="s">
        <v>11404</v>
      </c>
      <c r="F33767" s="40" t="s">
        <v>11404</v>
      </c>
      <c r="G33767" s="40" t="s">
        <v>11404</v>
      </c>
      <c r="H33767" s="40" t="s">
        <v>11404</v>
      </c>
    </row>
    <row r="33768">
      <c r="A33768" s="39"/>
      <c r="E33768" s="40" t="s">
        <v>11404</v>
      </c>
      <c r="F33768" s="40" t="s">
        <v>11404</v>
      </c>
      <c r="G33768" s="40" t="s">
        <v>11404</v>
      </c>
      <c r="H33768" s="40" t="s">
        <v>11404</v>
      </c>
    </row>
    <row r="33769">
      <c r="A33769" s="39"/>
      <c r="E33769" s="40" t="s">
        <v>11404</v>
      </c>
      <c r="F33769" s="40" t="s">
        <v>11404</v>
      </c>
      <c r="G33769" s="40" t="s">
        <v>11404</v>
      </c>
      <c r="H33769" s="40" t="s">
        <v>11404</v>
      </c>
    </row>
    <row r="33770">
      <c r="A33770" s="39"/>
      <c r="E33770" s="40" t="s">
        <v>11404</v>
      </c>
      <c r="F33770" s="40" t="s">
        <v>11404</v>
      </c>
      <c r="G33770" s="40" t="s">
        <v>11404</v>
      </c>
      <c r="H33770" s="40" t="s">
        <v>11404</v>
      </c>
    </row>
    <row r="33771">
      <c r="A33771" s="39"/>
      <c r="E33771" s="40" t="s">
        <v>11404</v>
      </c>
      <c r="F33771" s="40" t="s">
        <v>11404</v>
      </c>
      <c r="G33771" s="40" t="s">
        <v>11404</v>
      </c>
      <c r="H33771" s="40" t="s">
        <v>11404</v>
      </c>
    </row>
    <row r="33772">
      <c r="A33772" s="39"/>
      <c r="E33772" s="40" t="s">
        <v>11404</v>
      </c>
      <c r="F33772" s="40" t="s">
        <v>11404</v>
      </c>
      <c r="G33772" s="40" t="s">
        <v>11404</v>
      </c>
      <c r="H33772" s="40" t="s">
        <v>11404</v>
      </c>
    </row>
    <row r="33773">
      <c r="A33773" s="39"/>
      <c r="E33773" s="40" t="s">
        <v>11404</v>
      </c>
      <c r="F33773" s="40" t="s">
        <v>11404</v>
      </c>
      <c r="G33773" s="40" t="s">
        <v>11404</v>
      </c>
      <c r="H33773" s="40" t="s">
        <v>11404</v>
      </c>
    </row>
    <row r="33774">
      <c r="A33774" s="39"/>
      <c r="E33774" s="40" t="s">
        <v>11404</v>
      </c>
      <c r="F33774" s="40" t="s">
        <v>11404</v>
      </c>
      <c r="G33774" s="40" t="s">
        <v>11404</v>
      </c>
      <c r="H33774" s="40" t="s">
        <v>11404</v>
      </c>
    </row>
    <row r="33775">
      <c r="A33775" s="39"/>
      <c r="E33775" s="40" t="s">
        <v>11404</v>
      </c>
      <c r="F33775" s="40" t="s">
        <v>11404</v>
      </c>
      <c r="G33775" s="40" t="s">
        <v>11404</v>
      </c>
      <c r="H33775" s="40" t="s">
        <v>11404</v>
      </c>
    </row>
    <row r="33776">
      <c r="A33776" s="39"/>
      <c r="E33776" s="40" t="s">
        <v>11404</v>
      </c>
      <c r="F33776" s="40" t="s">
        <v>11404</v>
      </c>
      <c r="G33776" s="40" t="s">
        <v>11404</v>
      </c>
      <c r="H33776" s="40" t="s">
        <v>11404</v>
      </c>
    </row>
    <row r="33777">
      <c r="A33777" s="39"/>
      <c r="E33777" s="40" t="s">
        <v>11404</v>
      </c>
      <c r="F33777" s="40" t="s">
        <v>11404</v>
      </c>
      <c r="G33777" s="40" t="s">
        <v>11404</v>
      </c>
      <c r="H33777" s="40" t="s">
        <v>11404</v>
      </c>
    </row>
    <row r="33778">
      <c r="A33778" s="39"/>
      <c r="E33778" s="40" t="s">
        <v>11404</v>
      </c>
      <c r="F33778" s="40" t="s">
        <v>11404</v>
      </c>
      <c r="G33778" s="40" t="s">
        <v>11404</v>
      </c>
      <c r="H33778" s="40" t="s">
        <v>11404</v>
      </c>
    </row>
    <row r="33779">
      <c r="A33779" s="39"/>
      <c r="E33779" s="40" t="s">
        <v>11404</v>
      </c>
      <c r="F33779" s="40" t="s">
        <v>11404</v>
      </c>
      <c r="G33779" s="40" t="s">
        <v>11404</v>
      </c>
      <c r="H33779" s="40" t="s">
        <v>11404</v>
      </c>
    </row>
    <row r="33780">
      <c r="A33780" s="39"/>
      <c r="E33780" s="40" t="s">
        <v>11404</v>
      </c>
      <c r="F33780" s="40" t="s">
        <v>11404</v>
      </c>
      <c r="G33780" s="40" t="s">
        <v>11404</v>
      </c>
      <c r="H33780" s="40" t="s">
        <v>11404</v>
      </c>
    </row>
    <row r="33781">
      <c r="A33781" s="39"/>
      <c r="E33781" s="40" t="s">
        <v>11404</v>
      </c>
      <c r="F33781" s="40" t="s">
        <v>11404</v>
      </c>
      <c r="G33781" s="40" t="s">
        <v>11404</v>
      </c>
      <c r="H33781" s="40" t="s">
        <v>11404</v>
      </c>
    </row>
    <row r="33782">
      <c r="A33782" s="39"/>
      <c r="E33782" s="40" t="s">
        <v>11404</v>
      </c>
      <c r="F33782" s="40" t="s">
        <v>11404</v>
      </c>
      <c r="G33782" s="40" t="s">
        <v>11404</v>
      </c>
      <c r="H33782" s="40" t="s">
        <v>11404</v>
      </c>
    </row>
    <row r="33783">
      <c r="A33783" s="39"/>
      <c r="E33783" s="40" t="s">
        <v>11404</v>
      </c>
      <c r="F33783" s="40" t="s">
        <v>11404</v>
      </c>
      <c r="G33783" s="40" t="s">
        <v>11404</v>
      </c>
      <c r="H33783" s="40" t="s">
        <v>11404</v>
      </c>
    </row>
    <row r="33784">
      <c r="A33784" s="39"/>
      <c r="E33784" s="40" t="s">
        <v>11404</v>
      </c>
      <c r="F33784" s="40" t="s">
        <v>11404</v>
      </c>
      <c r="G33784" s="40" t="s">
        <v>11404</v>
      </c>
      <c r="H33784" s="40" t="s">
        <v>11404</v>
      </c>
    </row>
    <row r="33785">
      <c r="A33785" s="39"/>
      <c r="E33785" s="40" t="s">
        <v>11404</v>
      </c>
      <c r="F33785" s="40" t="s">
        <v>11404</v>
      </c>
      <c r="G33785" s="40" t="s">
        <v>11404</v>
      </c>
      <c r="H33785" s="40" t="s">
        <v>11404</v>
      </c>
    </row>
    <row r="33786">
      <c r="A33786" s="39"/>
      <c r="E33786" s="40" t="s">
        <v>11404</v>
      </c>
      <c r="F33786" s="40" t="s">
        <v>11404</v>
      </c>
      <c r="G33786" s="40" t="s">
        <v>11404</v>
      </c>
      <c r="H33786" s="40" t="s">
        <v>11404</v>
      </c>
    </row>
    <row r="33787">
      <c r="A33787" s="39"/>
      <c r="E33787" s="40" t="s">
        <v>11404</v>
      </c>
      <c r="F33787" s="40" t="s">
        <v>11404</v>
      </c>
      <c r="G33787" s="40" t="s">
        <v>11404</v>
      </c>
      <c r="H33787" s="40" t="s">
        <v>11404</v>
      </c>
    </row>
    <row r="33788">
      <c r="A33788" s="39"/>
      <c r="E33788" s="40" t="s">
        <v>11404</v>
      </c>
      <c r="F33788" s="40" t="s">
        <v>11404</v>
      </c>
      <c r="G33788" s="40" t="s">
        <v>11404</v>
      </c>
      <c r="H33788" s="40" t="s">
        <v>11404</v>
      </c>
    </row>
    <row r="33789">
      <c r="A33789" s="39"/>
      <c r="E33789" s="40" t="s">
        <v>11404</v>
      </c>
      <c r="F33789" s="40" t="s">
        <v>11404</v>
      </c>
      <c r="G33789" s="40" t="s">
        <v>11404</v>
      </c>
      <c r="H33789" s="40" t="s">
        <v>11404</v>
      </c>
    </row>
    <row r="33790">
      <c r="A33790" s="39"/>
      <c r="E33790" s="40" t="s">
        <v>11404</v>
      </c>
      <c r="F33790" s="40" t="s">
        <v>11404</v>
      </c>
      <c r="G33790" s="40" t="s">
        <v>11404</v>
      </c>
      <c r="H33790" s="40" t="s">
        <v>11404</v>
      </c>
    </row>
    <row r="33791">
      <c r="A33791" s="39"/>
      <c r="E33791" s="40" t="s">
        <v>11404</v>
      </c>
      <c r="F33791" s="40" t="s">
        <v>11404</v>
      </c>
      <c r="G33791" s="40" t="s">
        <v>11404</v>
      </c>
      <c r="H33791" s="40" t="s">
        <v>11404</v>
      </c>
    </row>
    <row r="33792">
      <c r="A33792" s="39"/>
      <c r="E33792" s="40" t="s">
        <v>11404</v>
      </c>
      <c r="F33792" s="40" t="s">
        <v>11404</v>
      </c>
      <c r="G33792" s="40" t="s">
        <v>11404</v>
      </c>
      <c r="H33792" s="40" t="s">
        <v>11404</v>
      </c>
    </row>
    <row r="33793">
      <c r="A33793" s="39"/>
      <c r="E33793" s="40" t="s">
        <v>11404</v>
      </c>
      <c r="F33793" s="40" t="s">
        <v>11404</v>
      </c>
      <c r="G33793" s="40" t="s">
        <v>11404</v>
      </c>
      <c r="H33793" s="40" t="s">
        <v>11404</v>
      </c>
    </row>
    <row r="33794">
      <c r="A33794" s="39"/>
      <c r="E33794" s="40" t="s">
        <v>11404</v>
      </c>
      <c r="F33794" s="40" t="s">
        <v>11404</v>
      </c>
      <c r="G33794" s="40" t="s">
        <v>11404</v>
      </c>
      <c r="H33794" s="40" t="s">
        <v>11404</v>
      </c>
    </row>
    <row r="33795">
      <c r="A33795" s="39"/>
      <c r="E33795" s="40" t="s">
        <v>11404</v>
      </c>
      <c r="F33795" s="40" t="s">
        <v>11404</v>
      </c>
      <c r="G33795" s="40" t="s">
        <v>11404</v>
      </c>
      <c r="H33795" s="40" t="s">
        <v>11404</v>
      </c>
    </row>
    <row r="33796">
      <c r="A33796" s="39"/>
      <c r="E33796" s="40" t="s">
        <v>11404</v>
      </c>
      <c r="F33796" s="40" t="s">
        <v>11404</v>
      </c>
      <c r="G33796" s="40" t="s">
        <v>11404</v>
      </c>
      <c r="H33796" s="40" t="s">
        <v>11404</v>
      </c>
    </row>
    <row r="33797">
      <c r="A33797" s="39"/>
      <c r="E33797" s="40" t="s">
        <v>11404</v>
      </c>
      <c r="F33797" s="40" t="s">
        <v>11404</v>
      </c>
      <c r="G33797" s="40" t="s">
        <v>11404</v>
      </c>
      <c r="H33797" s="40" t="s">
        <v>11404</v>
      </c>
    </row>
    <row r="33798">
      <c r="A33798" s="39"/>
      <c r="E33798" s="40" t="s">
        <v>11404</v>
      </c>
      <c r="F33798" s="40" t="s">
        <v>11404</v>
      </c>
      <c r="G33798" s="40" t="s">
        <v>11404</v>
      </c>
      <c r="H33798" s="40" t="s">
        <v>11404</v>
      </c>
    </row>
    <row r="33799">
      <c r="A33799" s="39"/>
      <c r="E33799" s="40" t="s">
        <v>11404</v>
      </c>
      <c r="F33799" s="40" t="s">
        <v>11404</v>
      </c>
      <c r="G33799" s="40" t="s">
        <v>11404</v>
      </c>
      <c r="H33799" s="40" t="s">
        <v>11404</v>
      </c>
    </row>
    <row r="33800">
      <c r="A33800" s="39"/>
      <c r="E33800" s="40" t="s">
        <v>11404</v>
      </c>
      <c r="F33800" s="40" t="s">
        <v>11404</v>
      </c>
      <c r="G33800" s="40" t="s">
        <v>11404</v>
      </c>
      <c r="H33800" s="40" t="s">
        <v>11404</v>
      </c>
    </row>
    <row r="33801">
      <c r="A33801" s="39"/>
      <c r="E33801" s="40" t="s">
        <v>11404</v>
      </c>
      <c r="F33801" s="40" t="s">
        <v>11404</v>
      </c>
      <c r="G33801" s="40" t="s">
        <v>11404</v>
      </c>
      <c r="H33801" s="40" t="s">
        <v>11404</v>
      </c>
    </row>
    <row r="33802">
      <c r="A33802" s="39"/>
      <c r="E33802" s="40" t="s">
        <v>11404</v>
      </c>
      <c r="F33802" s="40" t="s">
        <v>11404</v>
      </c>
      <c r="G33802" s="40" t="s">
        <v>11404</v>
      </c>
      <c r="H33802" s="40" t="s">
        <v>11404</v>
      </c>
    </row>
    <row r="33803">
      <c r="A33803" s="39"/>
      <c r="E33803" s="40" t="s">
        <v>11404</v>
      </c>
      <c r="F33803" s="40" t="s">
        <v>11404</v>
      </c>
      <c r="G33803" s="40" t="s">
        <v>11404</v>
      </c>
      <c r="H33803" s="40" t="s">
        <v>11404</v>
      </c>
    </row>
    <row r="33804">
      <c r="A33804" s="39"/>
      <c r="E33804" s="40" t="s">
        <v>11404</v>
      </c>
      <c r="F33804" s="40" t="s">
        <v>11404</v>
      </c>
      <c r="G33804" s="40" t="s">
        <v>11404</v>
      </c>
      <c r="H33804" s="40" t="s">
        <v>11404</v>
      </c>
    </row>
    <row r="33805">
      <c r="A33805" s="39"/>
      <c r="E33805" s="40" t="s">
        <v>11404</v>
      </c>
      <c r="F33805" s="40" t="s">
        <v>11404</v>
      </c>
      <c r="G33805" s="40" t="s">
        <v>11404</v>
      </c>
      <c r="H33805" s="40" t="s">
        <v>11404</v>
      </c>
    </row>
    <row r="33806">
      <c r="A33806" s="39"/>
      <c r="E33806" s="40" t="s">
        <v>11404</v>
      </c>
      <c r="F33806" s="40" t="s">
        <v>11404</v>
      </c>
      <c r="G33806" s="40" t="s">
        <v>11404</v>
      </c>
      <c r="H33806" s="40" t="s">
        <v>11404</v>
      </c>
    </row>
    <row r="33807">
      <c r="A33807" s="39"/>
      <c r="E33807" s="40" t="s">
        <v>11404</v>
      </c>
      <c r="F33807" s="40" t="s">
        <v>11404</v>
      </c>
      <c r="G33807" s="40" t="s">
        <v>11404</v>
      </c>
      <c r="H33807" s="40" t="s">
        <v>11404</v>
      </c>
    </row>
    <row r="33808">
      <c r="A33808" s="39"/>
      <c r="E33808" s="40" t="s">
        <v>11404</v>
      </c>
      <c r="F33808" s="40" t="s">
        <v>11404</v>
      </c>
      <c r="G33808" s="40" t="s">
        <v>11404</v>
      </c>
      <c r="H33808" s="40" t="s">
        <v>11404</v>
      </c>
    </row>
    <row r="33809">
      <c r="A33809" s="39"/>
      <c r="E33809" s="40" t="s">
        <v>11404</v>
      </c>
      <c r="F33809" s="40" t="s">
        <v>11404</v>
      </c>
      <c r="G33809" s="40" t="s">
        <v>11404</v>
      </c>
      <c r="H33809" s="40" t="s">
        <v>11404</v>
      </c>
    </row>
    <row r="33810">
      <c r="A33810" s="39"/>
      <c r="E33810" s="40" t="s">
        <v>11404</v>
      </c>
      <c r="F33810" s="40" t="s">
        <v>11404</v>
      </c>
      <c r="G33810" s="40" t="s">
        <v>11404</v>
      </c>
      <c r="H33810" s="40" t="s">
        <v>11404</v>
      </c>
    </row>
    <row r="33811">
      <c r="A33811" s="39"/>
      <c r="E33811" s="40" t="s">
        <v>11404</v>
      </c>
      <c r="F33811" s="40" t="s">
        <v>11404</v>
      </c>
      <c r="G33811" s="40" t="s">
        <v>11404</v>
      </c>
      <c r="H33811" s="40" t="s">
        <v>11404</v>
      </c>
    </row>
    <row r="33812">
      <c r="A33812" s="39"/>
      <c r="E33812" s="40" t="s">
        <v>11404</v>
      </c>
      <c r="F33812" s="40" t="s">
        <v>11404</v>
      </c>
      <c r="G33812" s="40" t="s">
        <v>11404</v>
      </c>
      <c r="H33812" s="40" t="s">
        <v>11404</v>
      </c>
    </row>
    <row r="33813">
      <c r="A33813" s="39"/>
      <c r="E33813" s="40" t="s">
        <v>11404</v>
      </c>
      <c r="F33813" s="40" t="s">
        <v>11404</v>
      </c>
      <c r="G33813" s="40" t="s">
        <v>11404</v>
      </c>
      <c r="H33813" s="40" t="s">
        <v>11404</v>
      </c>
    </row>
    <row r="33814">
      <c r="A33814" s="39"/>
      <c r="E33814" s="40" t="s">
        <v>11404</v>
      </c>
      <c r="F33814" s="40" t="s">
        <v>11404</v>
      </c>
      <c r="G33814" s="40" t="s">
        <v>11404</v>
      </c>
      <c r="H33814" s="40" t="s">
        <v>11404</v>
      </c>
    </row>
    <row r="33815">
      <c r="A33815" s="39"/>
      <c r="E33815" s="40" t="s">
        <v>11404</v>
      </c>
      <c r="F33815" s="40" t="s">
        <v>11404</v>
      </c>
      <c r="G33815" s="40" t="s">
        <v>11404</v>
      </c>
      <c r="H33815" s="40" t="s">
        <v>11404</v>
      </c>
    </row>
    <row r="33816">
      <c r="A33816" s="39"/>
      <c r="E33816" s="40" t="s">
        <v>11404</v>
      </c>
      <c r="F33816" s="40" t="s">
        <v>11404</v>
      </c>
      <c r="G33816" s="40" t="s">
        <v>11404</v>
      </c>
      <c r="H33816" s="40" t="s">
        <v>11404</v>
      </c>
    </row>
    <row r="33817">
      <c r="A33817" s="39"/>
      <c r="E33817" s="40" t="s">
        <v>11404</v>
      </c>
      <c r="F33817" s="40" t="s">
        <v>11404</v>
      </c>
      <c r="G33817" s="40" t="s">
        <v>11404</v>
      </c>
      <c r="H33817" s="40" t="s">
        <v>11404</v>
      </c>
    </row>
    <row r="33818">
      <c r="A33818" s="39"/>
      <c r="E33818" s="40" t="s">
        <v>11404</v>
      </c>
      <c r="F33818" s="40" t="s">
        <v>11404</v>
      </c>
      <c r="G33818" s="40" t="s">
        <v>11404</v>
      </c>
      <c r="H33818" s="40" t="s">
        <v>11404</v>
      </c>
    </row>
    <row r="33819">
      <c r="A33819" s="39"/>
      <c r="E33819" s="40" t="s">
        <v>11404</v>
      </c>
      <c r="F33819" s="40" t="s">
        <v>11404</v>
      </c>
      <c r="G33819" s="40" t="s">
        <v>11404</v>
      </c>
      <c r="H33819" s="40" t="s">
        <v>11404</v>
      </c>
    </row>
    <row r="33820">
      <c r="A33820" s="39"/>
      <c r="E33820" s="40" t="s">
        <v>11404</v>
      </c>
      <c r="F33820" s="40" t="s">
        <v>11404</v>
      </c>
      <c r="G33820" s="40" t="s">
        <v>11404</v>
      </c>
      <c r="H33820" s="40" t="s">
        <v>11404</v>
      </c>
    </row>
    <row r="33821">
      <c r="A33821" s="39"/>
      <c r="E33821" s="40" t="s">
        <v>11404</v>
      </c>
      <c r="F33821" s="40" t="s">
        <v>11404</v>
      </c>
      <c r="G33821" s="40" t="s">
        <v>11404</v>
      </c>
      <c r="H33821" s="40" t="s">
        <v>11404</v>
      </c>
    </row>
    <row r="33822">
      <c r="A33822" s="39"/>
      <c r="E33822" s="40" t="s">
        <v>11404</v>
      </c>
      <c r="F33822" s="40" t="s">
        <v>11404</v>
      </c>
      <c r="G33822" s="40" t="s">
        <v>11404</v>
      </c>
      <c r="H33822" s="40" t="s">
        <v>11404</v>
      </c>
    </row>
    <row r="33823">
      <c r="A33823" s="39"/>
      <c r="E33823" s="40" t="s">
        <v>11404</v>
      </c>
      <c r="F33823" s="40" t="s">
        <v>11404</v>
      </c>
      <c r="G33823" s="40" t="s">
        <v>11404</v>
      </c>
      <c r="H33823" s="40" t="s">
        <v>11404</v>
      </c>
    </row>
    <row r="33824">
      <c r="A33824" s="39"/>
      <c r="E33824" s="40" t="s">
        <v>11404</v>
      </c>
      <c r="F33824" s="40" t="s">
        <v>11404</v>
      </c>
      <c r="G33824" s="40" t="s">
        <v>11404</v>
      </c>
      <c r="H33824" s="40" t="s">
        <v>11404</v>
      </c>
    </row>
    <row r="33825">
      <c r="A33825" s="39"/>
      <c r="E33825" s="40" t="s">
        <v>11404</v>
      </c>
      <c r="F33825" s="40" t="s">
        <v>11404</v>
      </c>
      <c r="G33825" s="40" t="s">
        <v>11404</v>
      </c>
      <c r="H33825" s="40" t="s">
        <v>11404</v>
      </c>
    </row>
    <row r="33826">
      <c r="A33826" s="39"/>
      <c r="E33826" s="40" t="s">
        <v>11404</v>
      </c>
      <c r="F33826" s="40" t="s">
        <v>11404</v>
      </c>
      <c r="G33826" s="40" t="s">
        <v>11404</v>
      </c>
      <c r="H33826" s="40" t="s">
        <v>11404</v>
      </c>
    </row>
    <row r="33827">
      <c r="A33827" s="39"/>
      <c r="E33827" s="40" t="s">
        <v>11404</v>
      </c>
      <c r="F33827" s="40" t="s">
        <v>11404</v>
      </c>
      <c r="G33827" s="40" t="s">
        <v>11404</v>
      </c>
      <c r="H33827" s="40" t="s">
        <v>11404</v>
      </c>
    </row>
    <row r="33828">
      <c r="A33828" s="39"/>
      <c r="E33828" s="40" t="s">
        <v>11404</v>
      </c>
      <c r="F33828" s="40" t="s">
        <v>11404</v>
      </c>
      <c r="G33828" s="40" t="s">
        <v>11404</v>
      </c>
      <c r="H33828" s="40" t="s">
        <v>11404</v>
      </c>
    </row>
    <row r="33829">
      <c r="A33829" s="39"/>
      <c r="E33829" s="40" t="s">
        <v>11404</v>
      </c>
      <c r="F33829" s="40" t="s">
        <v>11404</v>
      </c>
      <c r="G33829" s="40" t="s">
        <v>11404</v>
      </c>
      <c r="H33829" s="40" t="s">
        <v>11404</v>
      </c>
    </row>
    <row r="33830">
      <c r="A33830" s="39"/>
      <c r="E33830" s="40" t="s">
        <v>11404</v>
      </c>
      <c r="F33830" s="40" t="s">
        <v>11404</v>
      </c>
      <c r="G33830" s="40" t="s">
        <v>11404</v>
      </c>
      <c r="H33830" s="40" t="s">
        <v>11404</v>
      </c>
    </row>
    <row r="33831">
      <c r="A33831" s="39"/>
      <c r="E33831" s="40" t="s">
        <v>11404</v>
      </c>
      <c r="F33831" s="40" t="s">
        <v>11404</v>
      </c>
      <c r="G33831" s="40" t="s">
        <v>11404</v>
      </c>
      <c r="H33831" s="40" t="s">
        <v>11404</v>
      </c>
    </row>
    <row r="33832">
      <c r="A33832" s="39"/>
      <c r="E33832" s="40" t="s">
        <v>11404</v>
      </c>
      <c r="F33832" s="40" t="s">
        <v>11404</v>
      </c>
      <c r="G33832" s="40" t="s">
        <v>11404</v>
      </c>
      <c r="H33832" s="40" t="s">
        <v>11404</v>
      </c>
    </row>
    <row r="33833">
      <c r="A33833" s="39"/>
      <c r="E33833" s="40" t="s">
        <v>11404</v>
      </c>
      <c r="F33833" s="40" t="s">
        <v>11404</v>
      </c>
      <c r="G33833" s="40" t="s">
        <v>11404</v>
      </c>
      <c r="H33833" s="40" t="s">
        <v>11404</v>
      </c>
    </row>
    <row r="33834">
      <c r="A33834" s="39"/>
      <c r="E33834" s="40" t="s">
        <v>11404</v>
      </c>
      <c r="F33834" s="40" t="s">
        <v>11404</v>
      </c>
      <c r="G33834" s="40" t="s">
        <v>11404</v>
      </c>
      <c r="H33834" s="40" t="s">
        <v>11404</v>
      </c>
    </row>
    <row r="33835">
      <c r="A33835" s="39"/>
      <c r="E33835" s="40" t="s">
        <v>11404</v>
      </c>
      <c r="F33835" s="40" t="s">
        <v>11404</v>
      </c>
      <c r="G33835" s="40" t="s">
        <v>11404</v>
      </c>
      <c r="H33835" s="40" t="s">
        <v>11404</v>
      </c>
    </row>
    <row r="33836">
      <c r="A33836" s="39"/>
      <c r="E33836" s="40" t="s">
        <v>11404</v>
      </c>
      <c r="F33836" s="40" t="s">
        <v>11404</v>
      </c>
      <c r="G33836" s="40" t="s">
        <v>11404</v>
      </c>
      <c r="H33836" s="40" t="s">
        <v>11404</v>
      </c>
    </row>
    <row r="33837">
      <c r="A33837" s="39"/>
      <c r="E33837" s="40" t="s">
        <v>11404</v>
      </c>
      <c r="F33837" s="40" t="s">
        <v>11404</v>
      </c>
      <c r="G33837" s="40" t="s">
        <v>11404</v>
      </c>
      <c r="H33837" s="40" t="s">
        <v>11404</v>
      </c>
    </row>
    <row r="33838">
      <c r="A33838" s="39"/>
      <c r="E33838" s="40" t="s">
        <v>11404</v>
      </c>
      <c r="F33838" s="40" t="s">
        <v>11404</v>
      </c>
      <c r="G33838" s="40" t="s">
        <v>11404</v>
      </c>
      <c r="H33838" s="40" t="s">
        <v>11404</v>
      </c>
    </row>
    <row r="33839">
      <c r="A33839" s="39"/>
      <c r="E33839" s="40" t="s">
        <v>11404</v>
      </c>
      <c r="F33839" s="40" t="s">
        <v>11404</v>
      </c>
      <c r="G33839" s="40" t="s">
        <v>11404</v>
      </c>
      <c r="H33839" s="40" t="s">
        <v>11404</v>
      </c>
    </row>
    <row r="33840">
      <c r="A33840" s="39"/>
      <c r="E33840" s="40" t="s">
        <v>11404</v>
      </c>
      <c r="F33840" s="40" t="s">
        <v>11404</v>
      </c>
      <c r="G33840" s="40" t="s">
        <v>11404</v>
      </c>
      <c r="H33840" s="40" t="s">
        <v>11404</v>
      </c>
    </row>
    <row r="33841">
      <c r="A33841" s="39"/>
      <c r="E33841" s="40" t="s">
        <v>11404</v>
      </c>
      <c r="F33841" s="40" t="s">
        <v>11404</v>
      </c>
      <c r="G33841" s="40" t="s">
        <v>11404</v>
      </c>
      <c r="H33841" s="40" t="s">
        <v>11404</v>
      </c>
    </row>
    <row r="33842">
      <c r="A33842" s="39"/>
      <c r="E33842" s="40" t="s">
        <v>11404</v>
      </c>
      <c r="F33842" s="40" t="s">
        <v>11404</v>
      </c>
      <c r="G33842" s="40" t="s">
        <v>11404</v>
      </c>
      <c r="H33842" s="40" t="s">
        <v>11404</v>
      </c>
    </row>
    <row r="33843">
      <c r="A33843" s="39"/>
      <c r="E33843" s="40" t="s">
        <v>11404</v>
      </c>
      <c r="F33843" s="40" t="s">
        <v>11404</v>
      </c>
      <c r="G33843" s="40" t="s">
        <v>11404</v>
      </c>
      <c r="H33843" s="40" t="s">
        <v>11404</v>
      </c>
    </row>
    <row r="33844">
      <c r="A33844" s="39"/>
      <c r="E33844" s="40" t="s">
        <v>11404</v>
      </c>
      <c r="F33844" s="40" t="s">
        <v>11404</v>
      </c>
      <c r="G33844" s="40" t="s">
        <v>11404</v>
      </c>
      <c r="H33844" s="40" t="s">
        <v>11404</v>
      </c>
    </row>
    <row r="33845">
      <c r="A33845" s="39"/>
      <c r="E33845" s="40" t="s">
        <v>11404</v>
      </c>
      <c r="F33845" s="40" t="s">
        <v>11404</v>
      </c>
      <c r="G33845" s="40" t="s">
        <v>11404</v>
      </c>
      <c r="H33845" s="40" t="s">
        <v>11404</v>
      </c>
    </row>
    <row r="33846">
      <c r="A33846" s="39"/>
      <c r="E33846" s="40" t="s">
        <v>11404</v>
      </c>
      <c r="F33846" s="40" t="s">
        <v>11404</v>
      </c>
      <c r="G33846" s="40" t="s">
        <v>11404</v>
      </c>
      <c r="H33846" s="40" t="s">
        <v>11404</v>
      </c>
    </row>
    <row r="33847">
      <c r="A33847" s="39"/>
      <c r="E33847" s="40" t="s">
        <v>11404</v>
      </c>
      <c r="F33847" s="40" t="s">
        <v>11404</v>
      </c>
      <c r="G33847" s="40" t="s">
        <v>11404</v>
      </c>
      <c r="H33847" s="40" t="s">
        <v>11404</v>
      </c>
    </row>
    <row r="33848">
      <c r="A33848" s="39"/>
      <c r="E33848" s="40" t="s">
        <v>11404</v>
      </c>
      <c r="F33848" s="40" t="s">
        <v>11404</v>
      </c>
      <c r="G33848" s="40" t="s">
        <v>11404</v>
      </c>
      <c r="H33848" s="40" t="s">
        <v>11404</v>
      </c>
    </row>
    <row r="33849">
      <c r="A33849" s="39"/>
      <c r="E33849" s="40" t="s">
        <v>11404</v>
      </c>
      <c r="F33849" s="40" t="s">
        <v>11404</v>
      </c>
      <c r="G33849" s="40" t="s">
        <v>11404</v>
      </c>
      <c r="H33849" s="40" t="s">
        <v>11404</v>
      </c>
    </row>
    <row r="33850">
      <c r="A33850" s="39"/>
      <c r="E33850" s="40" t="s">
        <v>11404</v>
      </c>
      <c r="F33850" s="40" t="s">
        <v>11404</v>
      </c>
      <c r="G33850" s="40" t="s">
        <v>11404</v>
      </c>
      <c r="H33850" s="40" t="s">
        <v>11404</v>
      </c>
    </row>
    <row r="33851">
      <c r="A33851" s="39"/>
      <c r="E33851" s="40" t="s">
        <v>11404</v>
      </c>
      <c r="F33851" s="40" t="s">
        <v>11404</v>
      </c>
      <c r="G33851" s="40" t="s">
        <v>11404</v>
      </c>
      <c r="H33851" s="40" t="s">
        <v>11404</v>
      </c>
    </row>
    <row r="33852">
      <c r="A33852" s="39"/>
      <c r="E33852" s="40" t="s">
        <v>11404</v>
      </c>
      <c r="F33852" s="40" t="s">
        <v>11404</v>
      </c>
      <c r="G33852" s="40" t="s">
        <v>11404</v>
      </c>
      <c r="H33852" s="40" t="s">
        <v>11404</v>
      </c>
    </row>
    <row r="33853">
      <c r="A33853" s="39"/>
      <c r="E33853" s="40" t="s">
        <v>11404</v>
      </c>
      <c r="F33853" s="40" t="s">
        <v>11404</v>
      </c>
      <c r="G33853" s="40" t="s">
        <v>11404</v>
      </c>
      <c r="H33853" s="40" t="s">
        <v>11404</v>
      </c>
    </row>
    <row r="33854">
      <c r="A33854" s="39"/>
      <c r="E33854" s="40" t="s">
        <v>11404</v>
      </c>
      <c r="F33854" s="40" t="s">
        <v>11404</v>
      </c>
      <c r="G33854" s="40" t="s">
        <v>11404</v>
      </c>
      <c r="H33854" s="40" t="s">
        <v>11404</v>
      </c>
    </row>
    <row r="33855">
      <c r="A33855" s="39"/>
      <c r="E33855" s="40" t="s">
        <v>11404</v>
      </c>
      <c r="F33855" s="40" t="s">
        <v>11404</v>
      </c>
      <c r="G33855" s="40" t="s">
        <v>11404</v>
      </c>
      <c r="H33855" s="40" t="s">
        <v>11404</v>
      </c>
    </row>
    <row r="33856">
      <c r="A33856" s="39"/>
      <c r="E33856" s="40" t="s">
        <v>11404</v>
      </c>
      <c r="F33856" s="40" t="s">
        <v>11404</v>
      </c>
      <c r="G33856" s="40" t="s">
        <v>11404</v>
      </c>
      <c r="H33856" s="40" t="s">
        <v>11404</v>
      </c>
    </row>
    <row r="33857">
      <c r="A33857" s="39"/>
      <c r="E33857" s="40" t="s">
        <v>11404</v>
      </c>
      <c r="F33857" s="40" t="s">
        <v>11404</v>
      </c>
      <c r="G33857" s="40" t="s">
        <v>11404</v>
      </c>
      <c r="H33857" s="40" t="s">
        <v>11404</v>
      </c>
    </row>
    <row r="33858">
      <c r="A33858" s="39"/>
      <c r="E33858" s="40" t="s">
        <v>11404</v>
      </c>
      <c r="F33858" s="40" t="s">
        <v>11404</v>
      </c>
      <c r="G33858" s="40" t="s">
        <v>11404</v>
      </c>
      <c r="H33858" s="40" t="s">
        <v>11404</v>
      </c>
    </row>
    <row r="33859">
      <c r="A33859" s="39"/>
      <c r="E33859" s="40" t="s">
        <v>11404</v>
      </c>
      <c r="F33859" s="40" t="s">
        <v>11404</v>
      </c>
      <c r="G33859" s="40" t="s">
        <v>11404</v>
      </c>
      <c r="H33859" s="40" t="s">
        <v>11404</v>
      </c>
    </row>
    <row r="33860">
      <c r="A33860" s="39"/>
      <c r="E33860" s="40" t="s">
        <v>11404</v>
      </c>
      <c r="F33860" s="40" t="s">
        <v>11404</v>
      </c>
      <c r="G33860" s="40" t="s">
        <v>11404</v>
      </c>
      <c r="H33860" s="40" t="s">
        <v>11404</v>
      </c>
    </row>
    <row r="33861">
      <c r="A33861" s="39"/>
      <c r="E33861" s="40" t="s">
        <v>11404</v>
      </c>
      <c r="F33861" s="40" t="s">
        <v>11404</v>
      </c>
      <c r="G33861" s="40" t="s">
        <v>11404</v>
      </c>
      <c r="H33861" s="40" t="s">
        <v>11404</v>
      </c>
    </row>
    <row r="33862">
      <c r="A33862" s="39"/>
      <c r="E33862" s="40" t="s">
        <v>11404</v>
      </c>
      <c r="F33862" s="40" t="s">
        <v>11404</v>
      </c>
      <c r="G33862" s="40" t="s">
        <v>11404</v>
      </c>
      <c r="H33862" s="40" t="s">
        <v>11404</v>
      </c>
    </row>
    <row r="33863">
      <c r="A33863" s="39"/>
      <c r="E33863" s="40" t="s">
        <v>11404</v>
      </c>
      <c r="F33863" s="40" t="s">
        <v>11404</v>
      </c>
      <c r="G33863" s="40" t="s">
        <v>11404</v>
      </c>
      <c r="H33863" s="40" t="s">
        <v>11404</v>
      </c>
    </row>
    <row r="33864">
      <c r="A33864" s="39"/>
      <c r="E33864" s="40" t="s">
        <v>11404</v>
      </c>
      <c r="F33864" s="40" t="s">
        <v>11404</v>
      </c>
      <c r="G33864" s="40" t="s">
        <v>11404</v>
      </c>
      <c r="H33864" s="40" t="s">
        <v>11404</v>
      </c>
    </row>
    <row r="33865">
      <c r="A33865" s="39"/>
      <c r="E33865" s="40" t="s">
        <v>11404</v>
      </c>
      <c r="F33865" s="40" t="s">
        <v>11404</v>
      </c>
      <c r="G33865" s="40" t="s">
        <v>11404</v>
      </c>
      <c r="H33865" s="40" t="s">
        <v>11404</v>
      </c>
    </row>
    <row r="33866">
      <c r="A33866" s="39"/>
      <c r="E33866" s="40" t="s">
        <v>11404</v>
      </c>
      <c r="F33866" s="40" t="s">
        <v>11404</v>
      </c>
      <c r="G33866" s="40" t="s">
        <v>11404</v>
      </c>
      <c r="H33866" s="40" t="s">
        <v>11404</v>
      </c>
    </row>
    <row r="33867">
      <c r="A33867" s="39"/>
      <c r="E33867" s="40" t="s">
        <v>11404</v>
      </c>
      <c r="F33867" s="40" t="s">
        <v>11404</v>
      </c>
      <c r="G33867" s="40" t="s">
        <v>11404</v>
      </c>
      <c r="H33867" s="40" t="s">
        <v>11404</v>
      </c>
    </row>
    <row r="33868">
      <c r="A33868" s="39"/>
      <c r="E33868" s="40" t="s">
        <v>11404</v>
      </c>
      <c r="F33868" s="40" t="s">
        <v>11404</v>
      </c>
      <c r="G33868" s="40" t="s">
        <v>11404</v>
      </c>
      <c r="H33868" s="40" t="s">
        <v>11404</v>
      </c>
    </row>
    <row r="33869">
      <c r="A33869" s="39"/>
      <c r="E33869" s="40" t="s">
        <v>11404</v>
      </c>
      <c r="F33869" s="40" t="s">
        <v>11404</v>
      </c>
      <c r="G33869" s="40" t="s">
        <v>11404</v>
      </c>
      <c r="H33869" s="40" t="s">
        <v>11404</v>
      </c>
    </row>
    <row r="33870">
      <c r="A33870" s="39"/>
      <c r="E33870" s="40" t="s">
        <v>11404</v>
      </c>
      <c r="F33870" s="40" t="s">
        <v>11404</v>
      </c>
      <c r="G33870" s="40" t="s">
        <v>11404</v>
      </c>
      <c r="H33870" s="40" t="s">
        <v>11404</v>
      </c>
    </row>
    <row r="33871">
      <c r="A33871" s="39"/>
      <c r="E33871" s="40" t="s">
        <v>11404</v>
      </c>
      <c r="F33871" s="40" t="s">
        <v>11404</v>
      </c>
      <c r="G33871" s="40" t="s">
        <v>11404</v>
      </c>
      <c r="H33871" s="40" t="s">
        <v>11404</v>
      </c>
    </row>
    <row r="33872">
      <c r="A33872" s="39"/>
      <c r="E33872" s="40" t="s">
        <v>11404</v>
      </c>
      <c r="F33872" s="40" t="s">
        <v>11404</v>
      </c>
      <c r="G33872" s="40" t="s">
        <v>11404</v>
      </c>
      <c r="H33872" s="40" t="s">
        <v>11404</v>
      </c>
    </row>
    <row r="33873">
      <c r="A33873" s="39"/>
      <c r="E33873" s="40" t="s">
        <v>11404</v>
      </c>
      <c r="F33873" s="40" t="s">
        <v>11404</v>
      </c>
      <c r="G33873" s="40" t="s">
        <v>11404</v>
      </c>
      <c r="H33873" s="40" t="s">
        <v>11404</v>
      </c>
    </row>
    <row r="33874">
      <c r="A33874" s="39"/>
      <c r="E33874" s="40" t="s">
        <v>11404</v>
      </c>
      <c r="F33874" s="40" t="s">
        <v>11404</v>
      </c>
      <c r="G33874" s="40" t="s">
        <v>11404</v>
      </c>
      <c r="H33874" s="40" t="s">
        <v>11404</v>
      </c>
    </row>
    <row r="33875">
      <c r="A33875" s="39"/>
      <c r="E33875" s="40" t="s">
        <v>11404</v>
      </c>
      <c r="F33875" s="40" t="s">
        <v>11404</v>
      </c>
      <c r="G33875" s="40" t="s">
        <v>11404</v>
      </c>
      <c r="H33875" s="40" t="s">
        <v>11404</v>
      </c>
    </row>
    <row r="33876">
      <c r="A33876" s="39"/>
      <c r="E33876" s="40" t="s">
        <v>11404</v>
      </c>
      <c r="F33876" s="40" t="s">
        <v>11404</v>
      </c>
      <c r="G33876" s="40" t="s">
        <v>11404</v>
      </c>
      <c r="H33876" s="40" t="s">
        <v>11404</v>
      </c>
    </row>
    <row r="33877">
      <c r="A33877" s="39"/>
      <c r="E33877" s="40" t="s">
        <v>11404</v>
      </c>
      <c r="F33877" s="40" t="s">
        <v>11404</v>
      </c>
      <c r="G33877" s="40" t="s">
        <v>11404</v>
      </c>
      <c r="H33877" s="40" t="s">
        <v>11404</v>
      </c>
    </row>
    <row r="33878">
      <c r="A33878" s="39"/>
      <c r="E33878" s="40" t="s">
        <v>11404</v>
      </c>
      <c r="F33878" s="40" t="s">
        <v>11404</v>
      </c>
      <c r="G33878" s="40" t="s">
        <v>11404</v>
      </c>
      <c r="H33878" s="40" t="s">
        <v>11404</v>
      </c>
    </row>
    <row r="33879">
      <c r="A33879" s="39"/>
      <c r="E33879" s="40" t="s">
        <v>11404</v>
      </c>
      <c r="F33879" s="40" t="s">
        <v>11404</v>
      </c>
      <c r="G33879" s="40" t="s">
        <v>11404</v>
      </c>
      <c r="H33879" s="40" t="s">
        <v>11404</v>
      </c>
    </row>
    <row r="33880">
      <c r="A33880" s="39"/>
      <c r="E33880" s="40" t="s">
        <v>11404</v>
      </c>
      <c r="F33880" s="40" t="s">
        <v>11404</v>
      </c>
      <c r="G33880" s="40" t="s">
        <v>11404</v>
      </c>
      <c r="H33880" s="40" t="s">
        <v>11404</v>
      </c>
    </row>
    <row r="33881">
      <c r="A33881" s="39"/>
      <c r="E33881" s="40" t="s">
        <v>11404</v>
      </c>
      <c r="F33881" s="40" t="s">
        <v>11404</v>
      </c>
      <c r="G33881" s="40" t="s">
        <v>11404</v>
      </c>
      <c r="H33881" s="40" t="s">
        <v>11404</v>
      </c>
    </row>
    <row r="33882">
      <c r="A33882" s="39"/>
      <c r="E33882" s="40" t="s">
        <v>11404</v>
      </c>
      <c r="F33882" s="40" t="s">
        <v>11404</v>
      </c>
      <c r="G33882" s="40" t="s">
        <v>11404</v>
      </c>
      <c r="H33882" s="40" t="s">
        <v>11404</v>
      </c>
    </row>
    <row r="33883">
      <c r="A33883" s="39"/>
      <c r="E33883" s="40" t="s">
        <v>11404</v>
      </c>
      <c r="F33883" s="40" t="s">
        <v>11404</v>
      </c>
      <c r="G33883" s="40" t="s">
        <v>11404</v>
      </c>
      <c r="H33883" s="40" t="s">
        <v>11404</v>
      </c>
    </row>
    <row r="33884">
      <c r="A33884" s="39"/>
      <c r="E33884" s="40" t="s">
        <v>11404</v>
      </c>
      <c r="F33884" s="40" t="s">
        <v>11404</v>
      </c>
      <c r="G33884" s="40" t="s">
        <v>11404</v>
      </c>
      <c r="H33884" s="40" t="s">
        <v>11404</v>
      </c>
    </row>
    <row r="33885">
      <c r="A33885" s="39"/>
      <c r="E33885" s="40" t="s">
        <v>11404</v>
      </c>
      <c r="F33885" s="40" t="s">
        <v>11404</v>
      </c>
      <c r="G33885" s="40" t="s">
        <v>11404</v>
      </c>
      <c r="H33885" s="40" t="s">
        <v>11404</v>
      </c>
    </row>
    <row r="33886">
      <c r="A33886" s="39"/>
      <c r="E33886" s="40" t="s">
        <v>11404</v>
      </c>
      <c r="F33886" s="40" t="s">
        <v>11404</v>
      </c>
      <c r="G33886" s="40" t="s">
        <v>11404</v>
      </c>
      <c r="H33886" s="40" t="s">
        <v>11404</v>
      </c>
    </row>
    <row r="33887">
      <c r="A33887" s="39"/>
      <c r="E33887" s="40" t="s">
        <v>11404</v>
      </c>
      <c r="F33887" s="40" t="s">
        <v>11404</v>
      </c>
      <c r="G33887" s="40" t="s">
        <v>11404</v>
      </c>
      <c r="H33887" s="40" t="s">
        <v>11404</v>
      </c>
    </row>
    <row r="33888">
      <c r="A33888" s="39"/>
      <c r="E33888" s="40" t="s">
        <v>11404</v>
      </c>
      <c r="F33888" s="40" t="s">
        <v>11404</v>
      </c>
      <c r="G33888" s="40" t="s">
        <v>11404</v>
      </c>
      <c r="H33888" s="40" t="s">
        <v>11404</v>
      </c>
    </row>
    <row r="33889">
      <c r="A33889" s="39"/>
      <c r="E33889" s="40" t="s">
        <v>11404</v>
      </c>
      <c r="F33889" s="40" t="s">
        <v>11404</v>
      </c>
      <c r="G33889" s="40" t="s">
        <v>11404</v>
      </c>
      <c r="H33889" s="40" t="s">
        <v>11404</v>
      </c>
    </row>
    <row r="33890">
      <c r="A33890" s="39"/>
      <c r="E33890" s="40" t="s">
        <v>11404</v>
      </c>
      <c r="F33890" s="40" t="s">
        <v>11404</v>
      </c>
      <c r="G33890" s="40" t="s">
        <v>11404</v>
      </c>
      <c r="H33890" s="40" t="s">
        <v>11404</v>
      </c>
    </row>
    <row r="33891">
      <c r="A33891" s="39"/>
      <c r="E33891" s="40" t="s">
        <v>11404</v>
      </c>
      <c r="F33891" s="40" t="s">
        <v>11404</v>
      </c>
      <c r="G33891" s="40" t="s">
        <v>11404</v>
      </c>
      <c r="H33891" s="40" t="s">
        <v>11404</v>
      </c>
    </row>
    <row r="33892">
      <c r="A33892" s="39"/>
      <c r="E33892" s="40" t="s">
        <v>11404</v>
      </c>
      <c r="F33892" s="40" t="s">
        <v>11404</v>
      </c>
      <c r="G33892" s="40" t="s">
        <v>11404</v>
      </c>
      <c r="H33892" s="40" t="s">
        <v>11404</v>
      </c>
    </row>
    <row r="33893">
      <c r="A33893" s="39"/>
      <c r="E33893" s="40" t="s">
        <v>11404</v>
      </c>
      <c r="F33893" s="40" t="s">
        <v>11404</v>
      </c>
      <c r="G33893" s="40" t="s">
        <v>11404</v>
      </c>
      <c r="H33893" s="40" t="s">
        <v>11404</v>
      </c>
    </row>
    <row r="33894">
      <c r="A33894" s="39"/>
      <c r="E33894" s="40" t="s">
        <v>11404</v>
      </c>
      <c r="F33894" s="40" t="s">
        <v>11404</v>
      </c>
      <c r="G33894" s="40" t="s">
        <v>11404</v>
      </c>
      <c r="H33894" s="40" t="s">
        <v>11404</v>
      </c>
    </row>
    <row r="33895">
      <c r="A33895" s="39"/>
      <c r="E33895" s="40" t="s">
        <v>11404</v>
      </c>
      <c r="F33895" s="40" t="s">
        <v>11404</v>
      </c>
      <c r="G33895" s="40" t="s">
        <v>11404</v>
      </c>
      <c r="H33895" s="40" t="s">
        <v>11404</v>
      </c>
    </row>
    <row r="33896">
      <c r="A33896" s="39"/>
      <c r="E33896" s="40" t="s">
        <v>11404</v>
      </c>
      <c r="F33896" s="40" t="s">
        <v>11404</v>
      </c>
      <c r="G33896" s="40" t="s">
        <v>11404</v>
      </c>
      <c r="H33896" s="40" t="s">
        <v>11404</v>
      </c>
    </row>
    <row r="33897">
      <c r="A33897" s="39"/>
      <c r="E33897" s="40" t="s">
        <v>11404</v>
      </c>
      <c r="F33897" s="40" t="s">
        <v>11404</v>
      </c>
      <c r="G33897" s="40" t="s">
        <v>11404</v>
      </c>
      <c r="H33897" s="40" t="s">
        <v>11404</v>
      </c>
    </row>
    <row r="33898">
      <c r="A33898" s="39"/>
      <c r="E33898" s="40" t="s">
        <v>11404</v>
      </c>
      <c r="F33898" s="40" t="s">
        <v>11404</v>
      </c>
      <c r="G33898" s="40" t="s">
        <v>11404</v>
      </c>
      <c r="H33898" s="40" t="s">
        <v>11404</v>
      </c>
    </row>
    <row r="33899">
      <c r="A33899" s="39"/>
      <c r="E33899" s="40" t="s">
        <v>11404</v>
      </c>
      <c r="F33899" s="40" t="s">
        <v>11404</v>
      </c>
      <c r="G33899" s="40" t="s">
        <v>11404</v>
      </c>
      <c r="H33899" s="40" t="s">
        <v>11404</v>
      </c>
    </row>
    <row r="33900">
      <c r="A33900" s="39"/>
      <c r="E33900" s="40" t="s">
        <v>11404</v>
      </c>
      <c r="F33900" s="40" t="s">
        <v>11404</v>
      </c>
      <c r="G33900" s="40" t="s">
        <v>11404</v>
      </c>
      <c r="H33900" s="40" t="s">
        <v>11404</v>
      </c>
    </row>
    <row r="33901">
      <c r="A33901" s="39"/>
      <c r="E33901" s="40" t="s">
        <v>11404</v>
      </c>
      <c r="F33901" s="40" t="s">
        <v>11404</v>
      </c>
      <c r="G33901" s="40" t="s">
        <v>11404</v>
      </c>
      <c r="H33901" s="40" t="s">
        <v>11404</v>
      </c>
    </row>
    <row r="33902">
      <c r="A33902" s="39"/>
      <c r="E33902" s="40" t="s">
        <v>11404</v>
      </c>
      <c r="F33902" s="40" t="s">
        <v>11404</v>
      </c>
      <c r="G33902" s="40" t="s">
        <v>11404</v>
      </c>
      <c r="H33902" s="40" t="s">
        <v>11404</v>
      </c>
    </row>
    <row r="33903">
      <c r="A33903" s="39"/>
      <c r="E33903" s="40" t="s">
        <v>11404</v>
      </c>
      <c r="F33903" s="40" t="s">
        <v>11404</v>
      </c>
      <c r="G33903" s="40" t="s">
        <v>11404</v>
      </c>
      <c r="H33903" s="40" t="s">
        <v>11404</v>
      </c>
    </row>
    <row r="33904">
      <c r="A33904" s="39"/>
      <c r="E33904" s="40" t="s">
        <v>11404</v>
      </c>
      <c r="F33904" s="40" t="s">
        <v>11404</v>
      </c>
      <c r="G33904" s="40" t="s">
        <v>11404</v>
      </c>
      <c r="H33904" s="40" t="s">
        <v>11404</v>
      </c>
    </row>
    <row r="33905">
      <c r="A33905" s="39"/>
      <c r="E33905" s="40" t="s">
        <v>11404</v>
      </c>
      <c r="F33905" s="40" t="s">
        <v>11404</v>
      </c>
      <c r="G33905" s="40" t="s">
        <v>11404</v>
      </c>
      <c r="H33905" s="40" t="s">
        <v>11404</v>
      </c>
    </row>
    <row r="33906">
      <c r="A33906" s="39"/>
      <c r="E33906" s="40" t="s">
        <v>11404</v>
      </c>
      <c r="F33906" s="40" t="s">
        <v>11404</v>
      </c>
      <c r="G33906" s="40" t="s">
        <v>11404</v>
      </c>
      <c r="H33906" s="40" t="s">
        <v>11404</v>
      </c>
    </row>
    <row r="33907">
      <c r="A33907" s="39"/>
      <c r="E33907" s="40" t="s">
        <v>11404</v>
      </c>
      <c r="F33907" s="40" t="s">
        <v>11404</v>
      </c>
      <c r="G33907" s="40" t="s">
        <v>11404</v>
      </c>
      <c r="H33907" s="40" t="s">
        <v>11404</v>
      </c>
    </row>
    <row r="33908">
      <c r="A33908" s="39"/>
      <c r="E33908" s="40" t="s">
        <v>11404</v>
      </c>
      <c r="F33908" s="40" t="s">
        <v>11404</v>
      </c>
      <c r="G33908" s="40" t="s">
        <v>11404</v>
      </c>
      <c r="H33908" s="40" t="s">
        <v>11404</v>
      </c>
    </row>
    <row r="33909">
      <c r="A33909" s="39"/>
      <c r="E33909" s="40" t="s">
        <v>11404</v>
      </c>
      <c r="F33909" s="40" t="s">
        <v>11404</v>
      </c>
      <c r="G33909" s="40" t="s">
        <v>11404</v>
      </c>
      <c r="H33909" s="40" t="s">
        <v>11404</v>
      </c>
    </row>
    <row r="33910">
      <c r="A33910" s="39"/>
      <c r="E33910" s="40" t="s">
        <v>11404</v>
      </c>
      <c r="F33910" s="40" t="s">
        <v>11404</v>
      </c>
      <c r="G33910" s="40" t="s">
        <v>11404</v>
      </c>
      <c r="H33910" s="40" t="s">
        <v>11404</v>
      </c>
    </row>
    <row r="33911">
      <c r="A33911" s="39"/>
      <c r="E33911" s="40" t="s">
        <v>11404</v>
      </c>
      <c r="F33911" s="40" t="s">
        <v>11404</v>
      </c>
      <c r="G33911" s="40" t="s">
        <v>11404</v>
      </c>
      <c r="H33911" s="40" t="s">
        <v>11404</v>
      </c>
    </row>
    <row r="33912">
      <c r="A33912" s="39"/>
      <c r="E33912" s="40" t="s">
        <v>11404</v>
      </c>
      <c r="F33912" s="40" t="s">
        <v>11404</v>
      </c>
      <c r="G33912" s="40" t="s">
        <v>11404</v>
      </c>
      <c r="H33912" s="40" t="s">
        <v>11404</v>
      </c>
    </row>
    <row r="33913">
      <c r="A33913" s="39"/>
      <c r="E33913" s="40" t="s">
        <v>11404</v>
      </c>
      <c r="F33913" s="40" t="s">
        <v>11404</v>
      </c>
      <c r="G33913" s="40" t="s">
        <v>11404</v>
      </c>
      <c r="H33913" s="40" t="s">
        <v>11404</v>
      </c>
    </row>
    <row r="33914">
      <c r="A33914" s="39"/>
      <c r="E33914" s="40" t="s">
        <v>11404</v>
      </c>
      <c r="F33914" s="40" t="s">
        <v>11404</v>
      </c>
      <c r="G33914" s="40" t="s">
        <v>11404</v>
      </c>
      <c r="H33914" s="40" t="s">
        <v>11404</v>
      </c>
    </row>
    <row r="33915">
      <c r="A33915" s="39"/>
      <c r="E33915" s="40" t="s">
        <v>11404</v>
      </c>
      <c r="F33915" s="40" t="s">
        <v>11404</v>
      </c>
      <c r="G33915" s="40" t="s">
        <v>11404</v>
      </c>
      <c r="H33915" s="40" t="s">
        <v>11404</v>
      </c>
    </row>
    <row r="33916">
      <c r="A33916" s="39"/>
      <c r="E33916" s="40" t="s">
        <v>11404</v>
      </c>
      <c r="F33916" s="40" t="s">
        <v>11404</v>
      </c>
      <c r="G33916" s="40" t="s">
        <v>11404</v>
      </c>
      <c r="H33916" s="40" t="s">
        <v>11404</v>
      </c>
    </row>
    <row r="33917">
      <c r="A33917" s="39"/>
      <c r="E33917" s="40" t="s">
        <v>11404</v>
      </c>
      <c r="F33917" s="40" t="s">
        <v>11404</v>
      </c>
      <c r="G33917" s="40" t="s">
        <v>11404</v>
      </c>
      <c r="H33917" s="40" t="s">
        <v>11404</v>
      </c>
    </row>
    <row r="33918">
      <c r="A33918" s="39"/>
      <c r="E33918" s="40" t="s">
        <v>11404</v>
      </c>
      <c r="F33918" s="40" t="s">
        <v>11404</v>
      </c>
      <c r="G33918" s="40" t="s">
        <v>11404</v>
      </c>
      <c r="H33918" s="40" t="s">
        <v>11404</v>
      </c>
    </row>
    <row r="33919">
      <c r="A33919" s="39"/>
      <c r="E33919" s="40" t="s">
        <v>11404</v>
      </c>
      <c r="F33919" s="40" t="s">
        <v>11404</v>
      </c>
      <c r="G33919" s="40" t="s">
        <v>11404</v>
      </c>
      <c r="H33919" s="40" t="s">
        <v>11404</v>
      </c>
    </row>
    <row r="33920">
      <c r="A33920" s="39"/>
      <c r="E33920" s="40" t="s">
        <v>11404</v>
      </c>
      <c r="F33920" s="40" t="s">
        <v>11404</v>
      </c>
      <c r="G33920" s="40" t="s">
        <v>11404</v>
      </c>
      <c r="H33920" s="40" t="s">
        <v>11404</v>
      </c>
    </row>
    <row r="33921">
      <c r="A33921" s="39"/>
      <c r="E33921" s="40" t="s">
        <v>11404</v>
      </c>
      <c r="F33921" s="40" t="s">
        <v>11404</v>
      </c>
      <c r="G33921" s="40" t="s">
        <v>11404</v>
      </c>
      <c r="H33921" s="40" t="s">
        <v>11404</v>
      </c>
    </row>
    <row r="33922">
      <c r="A33922" s="39"/>
      <c r="E33922" s="40" t="s">
        <v>11404</v>
      </c>
      <c r="F33922" s="40" t="s">
        <v>11404</v>
      </c>
      <c r="G33922" s="40" t="s">
        <v>11404</v>
      </c>
      <c r="H33922" s="40" t="s">
        <v>11404</v>
      </c>
    </row>
    <row r="33923">
      <c r="A33923" s="39"/>
      <c r="E33923" s="40" t="s">
        <v>11404</v>
      </c>
      <c r="F33923" s="40" t="s">
        <v>11404</v>
      </c>
      <c r="G33923" s="40" t="s">
        <v>11404</v>
      </c>
      <c r="H33923" s="40" t="s">
        <v>11404</v>
      </c>
    </row>
    <row r="33924">
      <c r="A33924" s="39"/>
      <c r="E33924" s="40" t="s">
        <v>11404</v>
      </c>
      <c r="F33924" s="40" t="s">
        <v>11404</v>
      </c>
      <c r="G33924" s="40" t="s">
        <v>11404</v>
      </c>
      <c r="H33924" s="40" t="s">
        <v>11404</v>
      </c>
    </row>
    <row r="33925">
      <c r="A33925" s="39"/>
      <c r="E33925" s="40" t="s">
        <v>11404</v>
      </c>
      <c r="F33925" s="40" t="s">
        <v>11404</v>
      </c>
      <c r="G33925" s="40" t="s">
        <v>11404</v>
      </c>
      <c r="H33925" s="40" t="s">
        <v>11404</v>
      </c>
    </row>
    <row r="33926">
      <c r="A33926" s="39"/>
      <c r="E33926" s="40" t="s">
        <v>11404</v>
      </c>
      <c r="F33926" s="40" t="s">
        <v>11404</v>
      </c>
      <c r="G33926" s="40" t="s">
        <v>11404</v>
      </c>
      <c r="H33926" s="40" t="s">
        <v>11404</v>
      </c>
    </row>
    <row r="33927">
      <c r="A33927" s="39"/>
      <c r="E33927" s="40" t="s">
        <v>11404</v>
      </c>
      <c r="F33927" s="40" t="s">
        <v>11404</v>
      </c>
      <c r="G33927" s="40" t="s">
        <v>11404</v>
      </c>
      <c r="H33927" s="40" t="s">
        <v>11404</v>
      </c>
    </row>
    <row r="33928">
      <c r="A33928" s="39"/>
      <c r="E33928" s="40" t="s">
        <v>11404</v>
      </c>
      <c r="F33928" s="40" t="s">
        <v>11404</v>
      </c>
      <c r="G33928" s="40" t="s">
        <v>11404</v>
      </c>
      <c r="H33928" s="40" t="s">
        <v>11404</v>
      </c>
    </row>
    <row r="33929">
      <c r="A33929" s="39"/>
      <c r="E33929" s="40" t="s">
        <v>11404</v>
      </c>
      <c r="F33929" s="40" t="s">
        <v>11404</v>
      </c>
      <c r="G33929" s="40" t="s">
        <v>11404</v>
      </c>
      <c r="H33929" s="40" t="s">
        <v>11404</v>
      </c>
    </row>
    <row r="33930">
      <c r="A33930" s="39"/>
      <c r="E33930" s="40" t="s">
        <v>11404</v>
      </c>
      <c r="F33930" s="40" t="s">
        <v>11404</v>
      </c>
      <c r="G33930" s="40" t="s">
        <v>11404</v>
      </c>
      <c r="H33930" s="40" t="s">
        <v>11404</v>
      </c>
    </row>
    <row r="33931">
      <c r="A33931" s="39"/>
      <c r="E33931" s="40" t="s">
        <v>11404</v>
      </c>
      <c r="F33931" s="40" t="s">
        <v>11404</v>
      </c>
      <c r="G33931" s="40" t="s">
        <v>11404</v>
      </c>
      <c r="H33931" s="40" t="s">
        <v>11404</v>
      </c>
    </row>
    <row r="33932">
      <c r="A33932" s="39"/>
      <c r="E33932" s="40" t="s">
        <v>11404</v>
      </c>
      <c r="F33932" s="40" t="s">
        <v>11404</v>
      </c>
      <c r="G33932" s="40" t="s">
        <v>11404</v>
      </c>
      <c r="H33932" s="40" t="s">
        <v>11404</v>
      </c>
    </row>
    <row r="33933">
      <c r="A33933" s="39"/>
      <c r="E33933" s="40" t="s">
        <v>11404</v>
      </c>
      <c r="F33933" s="40" t="s">
        <v>11404</v>
      </c>
      <c r="G33933" s="40" t="s">
        <v>11404</v>
      </c>
      <c r="H33933" s="40" t="s">
        <v>11404</v>
      </c>
    </row>
    <row r="33934">
      <c r="A33934" s="39"/>
      <c r="E33934" s="40" t="s">
        <v>11404</v>
      </c>
      <c r="F33934" s="40" t="s">
        <v>11404</v>
      </c>
      <c r="G33934" s="40" t="s">
        <v>11404</v>
      </c>
      <c r="H33934" s="40" t="s">
        <v>11404</v>
      </c>
    </row>
    <row r="33935">
      <c r="A33935" s="39"/>
      <c r="E33935" s="40" t="s">
        <v>11404</v>
      </c>
      <c r="F33935" s="40" t="s">
        <v>11404</v>
      </c>
      <c r="G33935" s="40" t="s">
        <v>11404</v>
      </c>
      <c r="H33935" s="40" t="s">
        <v>11404</v>
      </c>
    </row>
    <row r="33936">
      <c r="A33936" s="39"/>
      <c r="E33936" s="40" t="s">
        <v>11404</v>
      </c>
      <c r="F33936" s="40" t="s">
        <v>11404</v>
      </c>
      <c r="G33936" s="40" t="s">
        <v>11404</v>
      </c>
      <c r="H33936" s="40" t="s">
        <v>11404</v>
      </c>
    </row>
    <row r="33937">
      <c r="A33937" s="39"/>
      <c r="E33937" s="40" t="s">
        <v>11404</v>
      </c>
      <c r="F33937" s="40" t="s">
        <v>11404</v>
      </c>
      <c r="G33937" s="40" t="s">
        <v>11404</v>
      </c>
      <c r="H33937" s="40" t="s">
        <v>11404</v>
      </c>
    </row>
    <row r="33938">
      <c r="A33938" s="39"/>
      <c r="E33938" s="40" t="s">
        <v>11404</v>
      </c>
      <c r="F33938" s="40" t="s">
        <v>11404</v>
      </c>
      <c r="G33938" s="40" t="s">
        <v>11404</v>
      </c>
      <c r="H33938" s="40" t="s">
        <v>11404</v>
      </c>
    </row>
    <row r="33939">
      <c r="A33939" s="39"/>
      <c r="E33939" s="40" t="s">
        <v>11404</v>
      </c>
      <c r="F33939" s="40" t="s">
        <v>11404</v>
      </c>
      <c r="G33939" s="40" t="s">
        <v>11404</v>
      </c>
      <c r="H33939" s="40" t="s">
        <v>11404</v>
      </c>
    </row>
    <row r="33940">
      <c r="A33940" s="39"/>
      <c r="E33940" s="40" t="s">
        <v>11404</v>
      </c>
      <c r="F33940" s="40" t="s">
        <v>11404</v>
      </c>
      <c r="G33940" s="40" t="s">
        <v>11404</v>
      </c>
      <c r="H33940" s="40" t="s">
        <v>11404</v>
      </c>
    </row>
    <row r="33941">
      <c r="A33941" s="39"/>
      <c r="E33941" s="40" t="s">
        <v>11404</v>
      </c>
      <c r="F33941" s="40" t="s">
        <v>11404</v>
      </c>
      <c r="G33941" s="40" t="s">
        <v>11404</v>
      </c>
      <c r="H33941" s="40" t="s">
        <v>11404</v>
      </c>
    </row>
    <row r="33942">
      <c r="A33942" s="39"/>
      <c r="E33942" s="40" t="s">
        <v>11404</v>
      </c>
      <c r="F33942" s="40" t="s">
        <v>11404</v>
      </c>
      <c r="G33942" s="40" t="s">
        <v>11404</v>
      </c>
      <c r="H33942" s="40" t="s">
        <v>11404</v>
      </c>
    </row>
    <row r="33943">
      <c r="A33943" s="39"/>
      <c r="E33943" s="40" t="s">
        <v>11404</v>
      </c>
      <c r="F33943" s="40" t="s">
        <v>11404</v>
      </c>
      <c r="G33943" s="40" t="s">
        <v>11404</v>
      </c>
      <c r="H33943" s="40" t="s">
        <v>11404</v>
      </c>
    </row>
    <row r="33944">
      <c r="A33944" s="39"/>
      <c r="E33944" s="40" t="s">
        <v>11404</v>
      </c>
      <c r="F33944" s="40" t="s">
        <v>11404</v>
      </c>
      <c r="G33944" s="40" t="s">
        <v>11404</v>
      </c>
      <c r="H33944" s="40" t="s">
        <v>11404</v>
      </c>
    </row>
    <row r="33945">
      <c r="A33945" s="39"/>
      <c r="E33945" s="40" t="s">
        <v>11404</v>
      </c>
      <c r="F33945" s="40" t="s">
        <v>11404</v>
      </c>
      <c r="G33945" s="40" t="s">
        <v>11404</v>
      </c>
      <c r="H33945" s="40" t="s">
        <v>11404</v>
      </c>
    </row>
    <row r="33946">
      <c r="A33946" s="39"/>
      <c r="E33946" s="40" t="s">
        <v>11404</v>
      </c>
      <c r="F33946" s="40" t="s">
        <v>11404</v>
      </c>
      <c r="G33946" s="40" t="s">
        <v>11404</v>
      </c>
      <c r="H33946" s="40" t="s">
        <v>11404</v>
      </c>
    </row>
    <row r="33947">
      <c r="A33947" s="39"/>
      <c r="E33947" s="40" t="s">
        <v>11404</v>
      </c>
      <c r="F33947" s="40" t="s">
        <v>11404</v>
      </c>
      <c r="G33947" s="40" t="s">
        <v>11404</v>
      </c>
      <c r="H33947" s="40" t="s">
        <v>11404</v>
      </c>
    </row>
    <row r="33948">
      <c r="A33948" s="39"/>
      <c r="E33948" s="40" t="s">
        <v>11404</v>
      </c>
      <c r="F33948" s="40" t="s">
        <v>11404</v>
      </c>
      <c r="G33948" s="40" t="s">
        <v>11404</v>
      </c>
      <c r="H33948" s="40" t="s">
        <v>11404</v>
      </c>
    </row>
    <row r="33949">
      <c r="A33949" s="39"/>
      <c r="E33949" s="40" t="s">
        <v>11404</v>
      </c>
      <c r="F33949" s="40" t="s">
        <v>11404</v>
      </c>
      <c r="G33949" s="40" t="s">
        <v>11404</v>
      </c>
      <c r="H33949" s="40" t="s">
        <v>11404</v>
      </c>
    </row>
    <row r="33950">
      <c r="A33950" s="39"/>
      <c r="E33950" s="40" t="s">
        <v>11404</v>
      </c>
      <c r="F33950" s="40" t="s">
        <v>11404</v>
      </c>
      <c r="G33950" s="40" t="s">
        <v>11404</v>
      </c>
      <c r="H33950" s="40" t="s">
        <v>11404</v>
      </c>
    </row>
    <row r="33951">
      <c r="A33951" s="39"/>
      <c r="E33951" s="40" t="s">
        <v>11404</v>
      </c>
      <c r="F33951" s="40" t="s">
        <v>11404</v>
      </c>
      <c r="G33951" s="40" t="s">
        <v>11404</v>
      </c>
      <c r="H33951" s="40" t="s">
        <v>11404</v>
      </c>
    </row>
    <row r="33952">
      <c r="A33952" s="39"/>
      <c r="E33952" s="40" t="s">
        <v>11404</v>
      </c>
      <c r="F33952" s="40" t="s">
        <v>11404</v>
      </c>
      <c r="G33952" s="40" t="s">
        <v>11404</v>
      </c>
      <c r="H33952" s="40" t="s">
        <v>11404</v>
      </c>
    </row>
    <row r="33953">
      <c r="A33953" s="39"/>
      <c r="E33953" s="40" t="s">
        <v>11404</v>
      </c>
      <c r="F33953" s="40" t="s">
        <v>11404</v>
      </c>
      <c r="G33953" s="40" t="s">
        <v>11404</v>
      </c>
      <c r="H33953" s="40" t="s">
        <v>11404</v>
      </c>
    </row>
    <row r="33954">
      <c r="A33954" s="39"/>
      <c r="E33954" s="40" t="s">
        <v>11404</v>
      </c>
      <c r="F33954" s="40" t="s">
        <v>11404</v>
      </c>
      <c r="G33954" s="40" t="s">
        <v>11404</v>
      </c>
      <c r="H33954" s="40" t="s">
        <v>11404</v>
      </c>
    </row>
    <row r="33955">
      <c r="A33955" s="39"/>
      <c r="E33955" s="40" t="s">
        <v>11404</v>
      </c>
      <c r="F33955" s="40" t="s">
        <v>11404</v>
      </c>
      <c r="G33955" s="40" t="s">
        <v>11404</v>
      </c>
      <c r="H33955" s="40" t="s">
        <v>11404</v>
      </c>
    </row>
    <row r="33956">
      <c r="A33956" s="39"/>
      <c r="E33956" s="40" t="s">
        <v>11404</v>
      </c>
      <c r="F33956" s="40" t="s">
        <v>11404</v>
      </c>
      <c r="G33956" s="40" t="s">
        <v>11404</v>
      </c>
      <c r="H33956" s="40" t="s">
        <v>11404</v>
      </c>
    </row>
    <row r="33957">
      <c r="A33957" s="39"/>
      <c r="E33957" s="40" t="s">
        <v>11404</v>
      </c>
      <c r="F33957" s="40" t="s">
        <v>11404</v>
      </c>
      <c r="G33957" s="40" t="s">
        <v>11404</v>
      </c>
      <c r="H33957" s="40" t="s">
        <v>11404</v>
      </c>
    </row>
    <row r="33958">
      <c r="A33958" s="39"/>
      <c r="E33958" s="40" t="s">
        <v>11404</v>
      </c>
      <c r="F33958" s="40" t="s">
        <v>11404</v>
      </c>
      <c r="G33958" s="40" t="s">
        <v>11404</v>
      </c>
      <c r="H33958" s="40" t="s">
        <v>11404</v>
      </c>
    </row>
    <row r="33959">
      <c r="A33959" s="39"/>
      <c r="E33959" s="40" t="s">
        <v>11404</v>
      </c>
      <c r="F33959" s="40" t="s">
        <v>11404</v>
      </c>
      <c r="G33959" s="40" t="s">
        <v>11404</v>
      </c>
      <c r="H33959" s="40" t="s">
        <v>11404</v>
      </c>
    </row>
    <row r="33960">
      <c r="A33960" s="39"/>
      <c r="E33960" s="40" t="s">
        <v>11404</v>
      </c>
      <c r="F33960" s="40" t="s">
        <v>11404</v>
      </c>
      <c r="G33960" s="40" t="s">
        <v>11404</v>
      </c>
      <c r="H33960" s="40" t="s">
        <v>11404</v>
      </c>
    </row>
    <row r="33961">
      <c r="A33961" s="39"/>
      <c r="E33961" s="40" t="s">
        <v>11404</v>
      </c>
      <c r="F33961" s="40" t="s">
        <v>11404</v>
      </c>
      <c r="G33961" s="40" t="s">
        <v>11404</v>
      </c>
      <c r="H33961" s="40" t="s">
        <v>11404</v>
      </c>
    </row>
    <row r="33962">
      <c r="A33962" s="39"/>
      <c r="E33962" s="40" t="s">
        <v>11404</v>
      </c>
      <c r="F33962" s="40" t="s">
        <v>11404</v>
      </c>
      <c r="G33962" s="40" t="s">
        <v>11404</v>
      </c>
      <c r="H33962" s="40" t="s">
        <v>11404</v>
      </c>
    </row>
    <row r="33963">
      <c r="A33963" s="39"/>
      <c r="E33963" s="40" t="s">
        <v>11404</v>
      </c>
      <c r="F33963" s="40" t="s">
        <v>11404</v>
      </c>
      <c r="G33963" s="40" t="s">
        <v>11404</v>
      </c>
      <c r="H33963" s="40" t="s">
        <v>11404</v>
      </c>
    </row>
    <row r="33964">
      <c r="A33964" s="39"/>
      <c r="E33964" s="40" t="s">
        <v>11404</v>
      </c>
      <c r="F33964" s="40" t="s">
        <v>11404</v>
      </c>
      <c r="G33964" s="40" t="s">
        <v>11404</v>
      </c>
      <c r="H33964" s="40" t="s">
        <v>11404</v>
      </c>
    </row>
    <row r="33965">
      <c r="A33965" s="39"/>
      <c r="E33965" s="40" t="s">
        <v>11404</v>
      </c>
      <c r="F33965" s="40" t="s">
        <v>11404</v>
      </c>
      <c r="G33965" s="40" t="s">
        <v>11404</v>
      </c>
      <c r="H33965" s="40" t="s">
        <v>11404</v>
      </c>
    </row>
    <row r="33966">
      <c r="A33966" s="39"/>
      <c r="E33966" s="40" t="s">
        <v>11404</v>
      </c>
      <c r="F33966" s="40" t="s">
        <v>11404</v>
      </c>
      <c r="G33966" s="40" t="s">
        <v>11404</v>
      </c>
      <c r="H33966" s="40" t="s">
        <v>11404</v>
      </c>
    </row>
    <row r="33967">
      <c r="A33967" s="39"/>
      <c r="E33967" s="40" t="s">
        <v>11404</v>
      </c>
      <c r="F33967" s="40" t="s">
        <v>11404</v>
      </c>
      <c r="G33967" s="40" t="s">
        <v>11404</v>
      </c>
      <c r="H33967" s="40" t="s">
        <v>11404</v>
      </c>
    </row>
    <row r="33968">
      <c r="A33968" s="39"/>
      <c r="E33968" s="40" t="s">
        <v>11404</v>
      </c>
      <c r="F33968" s="40" t="s">
        <v>11404</v>
      </c>
      <c r="G33968" s="40" t="s">
        <v>11404</v>
      </c>
      <c r="H33968" s="40" t="s">
        <v>11404</v>
      </c>
    </row>
    <row r="33969">
      <c r="A33969" s="39"/>
      <c r="E33969" s="40" t="s">
        <v>11404</v>
      </c>
      <c r="F33969" s="40" t="s">
        <v>11404</v>
      </c>
      <c r="G33969" s="40" t="s">
        <v>11404</v>
      </c>
      <c r="H33969" s="40" t="s">
        <v>11404</v>
      </c>
    </row>
    <row r="33970">
      <c r="A33970" s="39"/>
      <c r="E33970" s="40" t="s">
        <v>11404</v>
      </c>
      <c r="F33970" s="40" t="s">
        <v>11404</v>
      </c>
      <c r="G33970" s="40" t="s">
        <v>11404</v>
      </c>
      <c r="H33970" s="40" t="s">
        <v>11404</v>
      </c>
    </row>
    <row r="33971">
      <c r="A33971" s="39"/>
      <c r="E33971" s="40" t="s">
        <v>11404</v>
      </c>
      <c r="F33971" s="40" t="s">
        <v>11404</v>
      </c>
      <c r="G33971" s="40" t="s">
        <v>11404</v>
      </c>
      <c r="H33971" s="40" t="s">
        <v>11404</v>
      </c>
    </row>
    <row r="33972">
      <c r="A33972" s="39"/>
      <c r="E33972" s="40" t="s">
        <v>11404</v>
      </c>
      <c r="F33972" s="40" t="s">
        <v>11404</v>
      </c>
      <c r="G33972" s="40" t="s">
        <v>11404</v>
      </c>
      <c r="H33972" s="40" t="s">
        <v>11404</v>
      </c>
    </row>
    <row r="33973">
      <c r="A33973" s="39"/>
      <c r="E33973" s="40" t="s">
        <v>11404</v>
      </c>
      <c r="F33973" s="40" t="s">
        <v>11404</v>
      </c>
      <c r="G33973" s="40" t="s">
        <v>11404</v>
      </c>
      <c r="H33973" s="40" t="s">
        <v>11404</v>
      </c>
    </row>
    <row r="33974">
      <c r="A33974" s="39"/>
      <c r="E33974" s="40" t="s">
        <v>11404</v>
      </c>
      <c r="F33974" s="40" t="s">
        <v>11404</v>
      </c>
      <c r="G33974" s="40" t="s">
        <v>11404</v>
      </c>
      <c r="H33974" s="40" t="s">
        <v>11404</v>
      </c>
    </row>
    <row r="33975">
      <c r="A33975" s="39"/>
      <c r="E33975" s="40" t="s">
        <v>11404</v>
      </c>
      <c r="F33975" s="40" t="s">
        <v>11404</v>
      </c>
      <c r="G33975" s="40" t="s">
        <v>11404</v>
      </c>
      <c r="H33975" s="40" t="s">
        <v>11404</v>
      </c>
    </row>
    <row r="33976">
      <c r="A33976" s="39"/>
      <c r="E33976" s="40" t="s">
        <v>11404</v>
      </c>
      <c r="F33976" s="40" t="s">
        <v>11404</v>
      </c>
      <c r="G33976" s="40" t="s">
        <v>11404</v>
      </c>
      <c r="H33976" s="40" t="s">
        <v>11404</v>
      </c>
    </row>
    <row r="33977">
      <c r="A33977" s="39"/>
      <c r="E33977" s="40" t="s">
        <v>11404</v>
      </c>
      <c r="F33977" s="40" t="s">
        <v>11404</v>
      </c>
      <c r="G33977" s="40" t="s">
        <v>11404</v>
      </c>
      <c r="H33977" s="40" t="s">
        <v>11404</v>
      </c>
    </row>
    <row r="33978">
      <c r="A33978" s="39"/>
      <c r="E33978" s="40" t="s">
        <v>11404</v>
      </c>
      <c r="F33978" s="40" t="s">
        <v>11404</v>
      </c>
      <c r="G33978" s="40" t="s">
        <v>11404</v>
      </c>
      <c r="H33978" s="40" t="s">
        <v>11404</v>
      </c>
    </row>
    <row r="33979">
      <c r="A33979" s="39"/>
      <c r="E33979" s="40" t="s">
        <v>11404</v>
      </c>
      <c r="F33979" s="40" t="s">
        <v>11404</v>
      </c>
      <c r="G33979" s="40" t="s">
        <v>11404</v>
      </c>
      <c r="H33979" s="40" t="s">
        <v>11404</v>
      </c>
    </row>
    <row r="33980">
      <c r="A33980" s="39"/>
      <c r="E33980" s="40" t="s">
        <v>11404</v>
      </c>
      <c r="F33980" s="40" t="s">
        <v>11404</v>
      </c>
      <c r="G33980" s="40" t="s">
        <v>11404</v>
      </c>
      <c r="H33980" s="40" t="s">
        <v>11404</v>
      </c>
    </row>
    <row r="33981">
      <c r="A33981" s="39"/>
      <c r="E33981" s="40" t="s">
        <v>11404</v>
      </c>
      <c r="F33981" s="40" t="s">
        <v>11404</v>
      </c>
      <c r="G33981" s="40" t="s">
        <v>11404</v>
      </c>
      <c r="H33981" s="40" t="s">
        <v>11404</v>
      </c>
    </row>
    <row r="33982">
      <c r="A33982" s="39"/>
      <c r="E33982" s="40" t="s">
        <v>11404</v>
      </c>
      <c r="F33982" s="40" t="s">
        <v>11404</v>
      </c>
      <c r="G33982" s="40" t="s">
        <v>11404</v>
      </c>
      <c r="H33982" s="40" t="s">
        <v>11404</v>
      </c>
    </row>
    <row r="33983">
      <c r="A33983" s="39"/>
      <c r="E33983" s="40" t="s">
        <v>11404</v>
      </c>
      <c r="F33983" s="40" t="s">
        <v>11404</v>
      </c>
      <c r="G33983" s="40" t="s">
        <v>11404</v>
      </c>
      <c r="H33983" s="40" t="s">
        <v>11404</v>
      </c>
    </row>
    <row r="33984">
      <c r="A33984" s="39"/>
      <c r="E33984" s="40" t="s">
        <v>11404</v>
      </c>
      <c r="F33984" s="40" t="s">
        <v>11404</v>
      </c>
      <c r="G33984" s="40" t="s">
        <v>11404</v>
      </c>
      <c r="H33984" s="40" t="s">
        <v>11404</v>
      </c>
    </row>
    <row r="33985">
      <c r="A33985" s="39"/>
      <c r="E33985" s="40" t="s">
        <v>11404</v>
      </c>
      <c r="F33985" s="40" t="s">
        <v>11404</v>
      </c>
      <c r="G33985" s="40" t="s">
        <v>11404</v>
      </c>
      <c r="H33985" s="40" t="s">
        <v>11404</v>
      </c>
    </row>
    <row r="33986">
      <c r="A33986" s="39"/>
      <c r="E33986" s="40" t="s">
        <v>11404</v>
      </c>
      <c r="F33986" s="40" t="s">
        <v>11404</v>
      </c>
      <c r="G33986" s="40" t="s">
        <v>11404</v>
      </c>
      <c r="H33986" s="40" t="s">
        <v>11404</v>
      </c>
    </row>
    <row r="33987">
      <c r="A33987" s="39"/>
      <c r="E33987" s="40" t="s">
        <v>11404</v>
      </c>
      <c r="F33987" s="40" t="s">
        <v>11404</v>
      </c>
      <c r="G33987" s="40" t="s">
        <v>11404</v>
      </c>
      <c r="H33987" s="40" t="s">
        <v>11404</v>
      </c>
    </row>
    <row r="33988">
      <c r="A33988" s="39"/>
      <c r="E33988" s="40" t="s">
        <v>11404</v>
      </c>
      <c r="F33988" s="40" t="s">
        <v>11404</v>
      </c>
      <c r="G33988" s="40" t="s">
        <v>11404</v>
      </c>
      <c r="H33988" s="40" t="s">
        <v>11404</v>
      </c>
    </row>
    <row r="33989">
      <c r="A33989" s="39"/>
      <c r="E33989" s="40" t="s">
        <v>11404</v>
      </c>
      <c r="F33989" s="40" t="s">
        <v>11404</v>
      </c>
      <c r="G33989" s="40" t="s">
        <v>11404</v>
      </c>
      <c r="H33989" s="40" t="s">
        <v>11404</v>
      </c>
    </row>
    <row r="33990">
      <c r="A33990" s="39"/>
      <c r="E33990" s="40" t="s">
        <v>11404</v>
      </c>
      <c r="F33990" s="40" t="s">
        <v>11404</v>
      </c>
      <c r="G33990" s="40" t="s">
        <v>11404</v>
      </c>
      <c r="H33990" s="40" t="s">
        <v>11404</v>
      </c>
    </row>
    <row r="33991">
      <c r="A33991" s="39"/>
      <c r="E33991" s="40" t="s">
        <v>11404</v>
      </c>
      <c r="F33991" s="40" t="s">
        <v>11404</v>
      </c>
      <c r="G33991" s="40" t="s">
        <v>11404</v>
      </c>
      <c r="H33991" s="40" t="s">
        <v>11404</v>
      </c>
    </row>
    <row r="33992">
      <c r="A33992" s="39"/>
      <c r="E33992" s="40" t="s">
        <v>11404</v>
      </c>
      <c r="F33992" s="40" t="s">
        <v>11404</v>
      </c>
      <c r="G33992" s="40" t="s">
        <v>11404</v>
      </c>
      <c r="H33992" s="40" t="s">
        <v>11404</v>
      </c>
    </row>
    <row r="33993">
      <c r="A33993" s="39"/>
      <c r="E33993" s="40" t="s">
        <v>11404</v>
      </c>
      <c r="F33993" s="40" t="s">
        <v>11404</v>
      </c>
      <c r="G33993" s="40" t="s">
        <v>11404</v>
      </c>
      <c r="H33993" s="40" t="s">
        <v>11404</v>
      </c>
    </row>
    <row r="33994">
      <c r="A33994" s="39"/>
      <c r="E33994" s="40" t="s">
        <v>11404</v>
      </c>
      <c r="F33994" s="40" t="s">
        <v>11404</v>
      </c>
      <c r="G33994" s="40" t="s">
        <v>11404</v>
      </c>
      <c r="H33994" s="40" t="s">
        <v>11404</v>
      </c>
    </row>
    <row r="33995">
      <c r="A33995" s="39"/>
      <c r="E33995" s="40" t="s">
        <v>11404</v>
      </c>
      <c r="F33995" s="40" t="s">
        <v>11404</v>
      </c>
      <c r="G33995" s="40" t="s">
        <v>11404</v>
      </c>
      <c r="H33995" s="40" t="s">
        <v>11404</v>
      </c>
    </row>
    <row r="33996">
      <c r="A33996" s="39"/>
      <c r="E33996" s="40" t="s">
        <v>11404</v>
      </c>
      <c r="F33996" s="40" t="s">
        <v>11404</v>
      </c>
      <c r="G33996" s="40" t="s">
        <v>11404</v>
      </c>
      <c r="H33996" s="40" t="s">
        <v>11404</v>
      </c>
    </row>
    <row r="33997">
      <c r="A33997" s="39"/>
      <c r="E33997" s="40" t="s">
        <v>11404</v>
      </c>
      <c r="F33997" s="40" t="s">
        <v>11404</v>
      </c>
      <c r="G33997" s="40" t="s">
        <v>11404</v>
      </c>
      <c r="H33997" s="40" t="s">
        <v>11404</v>
      </c>
    </row>
    <row r="33998">
      <c r="A33998" s="39"/>
      <c r="E33998" s="40" t="s">
        <v>11404</v>
      </c>
      <c r="F33998" s="40" t="s">
        <v>11404</v>
      </c>
      <c r="G33998" s="40" t="s">
        <v>11404</v>
      </c>
      <c r="H33998" s="40" t="s">
        <v>11404</v>
      </c>
    </row>
    <row r="33999">
      <c r="A33999" s="39"/>
      <c r="E33999" s="40" t="s">
        <v>11404</v>
      </c>
      <c r="F33999" s="40" t="s">
        <v>11404</v>
      </c>
      <c r="G33999" s="40" t="s">
        <v>11404</v>
      </c>
      <c r="H33999" s="40" t="s">
        <v>11404</v>
      </c>
    </row>
    <row r="34000">
      <c r="A34000" s="39"/>
      <c r="E34000" s="40" t="s">
        <v>11404</v>
      </c>
      <c r="F34000" s="40" t="s">
        <v>11404</v>
      </c>
      <c r="G34000" s="40" t="s">
        <v>11404</v>
      </c>
      <c r="H34000" s="40" t="s">
        <v>11404</v>
      </c>
    </row>
    <row r="34001">
      <c r="A34001" s="39"/>
      <c r="E34001" s="40" t="s">
        <v>11404</v>
      </c>
      <c r="F34001" s="40" t="s">
        <v>11404</v>
      </c>
      <c r="G34001" s="40" t="s">
        <v>11404</v>
      </c>
      <c r="H34001" s="40" t="s">
        <v>11404</v>
      </c>
    </row>
    <row r="34002">
      <c r="A34002" s="39"/>
      <c r="E34002" s="40" t="s">
        <v>11404</v>
      </c>
      <c r="F34002" s="40" t="s">
        <v>11404</v>
      </c>
      <c r="G34002" s="40" t="s">
        <v>11404</v>
      </c>
      <c r="H34002" s="40" t="s">
        <v>11404</v>
      </c>
    </row>
    <row r="34003">
      <c r="A34003" s="39"/>
      <c r="E34003" s="40" t="s">
        <v>11404</v>
      </c>
      <c r="F34003" s="40" t="s">
        <v>11404</v>
      </c>
      <c r="G34003" s="40" t="s">
        <v>11404</v>
      </c>
      <c r="H34003" s="40" t="s">
        <v>11404</v>
      </c>
    </row>
    <row r="34004">
      <c r="A34004" s="39"/>
      <c r="E34004" s="40" t="s">
        <v>11404</v>
      </c>
      <c r="F34004" s="40" t="s">
        <v>11404</v>
      </c>
      <c r="G34004" s="40" t="s">
        <v>11404</v>
      </c>
      <c r="H34004" s="40" t="s">
        <v>11404</v>
      </c>
    </row>
    <row r="34005">
      <c r="A34005" s="39"/>
      <c r="E34005" s="40" t="s">
        <v>11404</v>
      </c>
      <c r="F34005" s="40" t="s">
        <v>11404</v>
      </c>
      <c r="G34005" s="40" t="s">
        <v>11404</v>
      </c>
      <c r="H34005" s="40" t="s">
        <v>11404</v>
      </c>
    </row>
    <row r="34006">
      <c r="A34006" s="39"/>
      <c r="E34006" s="40" t="s">
        <v>11404</v>
      </c>
      <c r="F34006" s="40" t="s">
        <v>11404</v>
      </c>
      <c r="G34006" s="40" t="s">
        <v>11404</v>
      </c>
      <c r="H34006" s="40" t="s">
        <v>11404</v>
      </c>
    </row>
    <row r="34007">
      <c r="A34007" s="39"/>
      <c r="E34007" s="40" t="s">
        <v>11404</v>
      </c>
      <c r="F34007" s="40" t="s">
        <v>11404</v>
      </c>
      <c r="G34007" s="40" t="s">
        <v>11404</v>
      </c>
      <c r="H34007" s="40" t="s">
        <v>11404</v>
      </c>
    </row>
    <row r="34008">
      <c r="A34008" s="39"/>
      <c r="E34008" s="40" t="s">
        <v>11404</v>
      </c>
      <c r="F34008" s="40" t="s">
        <v>11404</v>
      </c>
      <c r="G34008" s="40" t="s">
        <v>11404</v>
      </c>
      <c r="H34008" s="40" t="s">
        <v>11404</v>
      </c>
    </row>
    <row r="34009">
      <c r="A34009" s="39"/>
      <c r="E34009" s="40" t="s">
        <v>11404</v>
      </c>
      <c r="F34009" s="40" t="s">
        <v>11404</v>
      </c>
      <c r="G34009" s="40" t="s">
        <v>11404</v>
      </c>
      <c r="H34009" s="40" t="s">
        <v>11404</v>
      </c>
    </row>
    <row r="34010">
      <c r="A34010" s="39"/>
      <c r="E34010" s="40" t="s">
        <v>11404</v>
      </c>
      <c r="F34010" s="40" t="s">
        <v>11404</v>
      </c>
      <c r="G34010" s="40" t="s">
        <v>11404</v>
      </c>
      <c r="H34010" s="40" t="s">
        <v>11404</v>
      </c>
    </row>
    <row r="34011">
      <c r="A34011" s="39"/>
      <c r="E34011" s="40" t="s">
        <v>11404</v>
      </c>
      <c r="F34011" s="40" t="s">
        <v>11404</v>
      </c>
      <c r="G34011" s="40" t="s">
        <v>11404</v>
      </c>
      <c r="H34011" s="40" t="s">
        <v>11404</v>
      </c>
    </row>
    <row r="34012">
      <c r="A34012" s="39"/>
      <c r="E34012" s="40" t="s">
        <v>11404</v>
      </c>
      <c r="F34012" s="40" t="s">
        <v>11404</v>
      </c>
      <c r="G34012" s="40" t="s">
        <v>11404</v>
      </c>
      <c r="H34012" s="40" t="s">
        <v>11404</v>
      </c>
    </row>
    <row r="34013">
      <c r="A34013" s="39"/>
      <c r="E34013" s="40" t="s">
        <v>11404</v>
      </c>
      <c r="F34013" s="40" t="s">
        <v>11404</v>
      </c>
      <c r="G34013" s="40" t="s">
        <v>11404</v>
      </c>
      <c r="H34013" s="40" t="s">
        <v>11404</v>
      </c>
    </row>
    <row r="34014">
      <c r="A34014" s="39"/>
      <c r="E34014" s="40" t="s">
        <v>11404</v>
      </c>
      <c r="F34014" s="40" t="s">
        <v>11404</v>
      </c>
      <c r="G34014" s="40" t="s">
        <v>11404</v>
      </c>
      <c r="H34014" s="40" t="s">
        <v>11404</v>
      </c>
    </row>
    <row r="34015">
      <c r="A34015" s="39"/>
      <c r="E34015" s="40" t="s">
        <v>11404</v>
      </c>
      <c r="F34015" s="40" t="s">
        <v>11404</v>
      </c>
      <c r="G34015" s="40" t="s">
        <v>11404</v>
      </c>
      <c r="H34015" s="40" t="s">
        <v>11404</v>
      </c>
    </row>
    <row r="34016">
      <c r="A34016" s="39"/>
      <c r="E34016" s="40" t="s">
        <v>11404</v>
      </c>
      <c r="F34016" s="40" t="s">
        <v>11404</v>
      </c>
      <c r="G34016" s="40" t="s">
        <v>11404</v>
      </c>
      <c r="H34016" s="40" t="s">
        <v>11404</v>
      </c>
    </row>
    <row r="34017">
      <c r="A34017" s="39"/>
      <c r="E34017" s="40" t="s">
        <v>11404</v>
      </c>
      <c r="F34017" s="40" t="s">
        <v>11404</v>
      </c>
      <c r="G34017" s="40" t="s">
        <v>11404</v>
      </c>
      <c r="H34017" s="40" t="s">
        <v>11404</v>
      </c>
    </row>
    <row r="34018">
      <c r="A34018" s="39"/>
      <c r="E34018" s="40" t="s">
        <v>11404</v>
      </c>
      <c r="F34018" s="40" t="s">
        <v>11404</v>
      </c>
      <c r="G34018" s="40" t="s">
        <v>11404</v>
      </c>
      <c r="H34018" s="40" t="s">
        <v>11404</v>
      </c>
    </row>
    <row r="34019">
      <c r="A34019" s="39"/>
      <c r="E34019" s="40" t="s">
        <v>11404</v>
      </c>
      <c r="F34019" s="40" t="s">
        <v>11404</v>
      </c>
      <c r="G34019" s="40" t="s">
        <v>11404</v>
      </c>
      <c r="H34019" s="40" t="s">
        <v>11404</v>
      </c>
    </row>
    <row r="34020">
      <c r="A34020" s="39"/>
      <c r="E34020" s="40" t="s">
        <v>11404</v>
      </c>
      <c r="F34020" s="40" t="s">
        <v>11404</v>
      </c>
      <c r="G34020" s="40" t="s">
        <v>11404</v>
      </c>
      <c r="H34020" s="40" t="s">
        <v>11404</v>
      </c>
    </row>
    <row r="34021">
      <c r="A34021" s="39"/>
      <c r="E34021" s="40" t="s">
        <v>11404</v>
      </c>
      <c r="F34021" s="40" t="s">
        <v>11404</v>
      </c>
      <c r="G34021" s="40" t="s">
        <v>11404</v>
      </c>
      <c r="H34021" s="40" t="s">
        <v>11404</v>
      </c>
    </row>
    <row r="34022">
      <c r="A34022" s="39"/>
      <c r="E34022" s="40" t="s">
        <v>11404</v>
      </c>
      <c r="F34022" s="40" t="s">
        <v>11404</v>
      </c>
      <c r="G34022" s="40" t="s">
        <v>11404</v>
      </c>
      <c r="H34022" s="40" t="s">
        <v>11404</v>
      </c>
    </row>
    <row r="34023">
      <c r="A34023" s="39"/>
      <c r="E34023" s="40" t="s">
        <v>11404</v>
      </c>
      <c r="F34023" s="40" t="s">
        <v>11404</v>
      </c>
      <c r="G34023" s="40" t="s">
        <v>11404</v>
      </c>
      <c r="H34023" s="40" t="s">
        <v>11404</v>
      </c>
    </row>
    <row r="34024">
      <c r="A34024" s="39"/>
      <c r="E34024" s="40" t="s">
        <v>11404</v>
      </c>
      <c r="F34024" s="40" t="s">
        <v>11404</v>
      </c>
      <c r="G34024" s="40" t="s">
        <v>11404</v>
      </c>
      <c r="H34024" s="40" t="s">
        <v>11404</v>
      </c>
    </row>
    <row r="34025">
      <c r="A34025" s="39"/>
      <c r="E34025" s="40" t="s">
        <v>11404</v>
      </c>
      <c r="F34025" s="40" t="s">
        <v>11404</v>
      </c>
      <c r="G34025" s="40" t="s">
        <v>11404</v>
      </c>
      <c r="H34025" s="40" t="s">
        <v>11404</v>
      </c>
    </row>
    <row r="34026">
      <c r="A34026" s="39"/>
      <c r="E34026" s="40" t="s">
        <v>11404</v>
      </c>
      <c r="F34026" s="40" t="s">
        <v>11404</v>
      </c>
      <c r="G34026" s="40" t="s">
        <v>11404</v>
      </c>
      <c r="H34026" s="40" t="s">
        <v>11404</v>
      </c>
    </row>
    <row r="34027">
      <c r="A34027" s="39"/>
      <c r="E34027" s="40" t="s">
        <v>11404</v>
      </c>
      <c r="F34027" s="40" t="s">
        <v>11404</v>
      </c>
      <c r="G34027" s="40" t="s">
        <v>11404</v>
      </c>
      <c r="H34027" s="40" t="s">
        <v>11404</v>
      </c>
    </row>
    <row r="34028">
      <c r="A34028" s="39"/>
      <c r="E34028" s="40" t="s">
        <v>11404</v>
      </c>
      <c r="F34028" s="40" t="s">
        <v>11404</v>
      </c>
      <c r="G34028" s="40" t="s">
        <v>11404</v>
      </c>
      <c r="H34028" s="40" t="s">
        <v>11404</v>
      </c>
    </row>
    <row r="34029">
      <c r="A34029" s="39"/>
      <c r="E34029" s="40" t="s">
        <v>11404</v>
      </c>
      <c r="F34029" s="40" t="s">
        <v>11404</v>
      </c>
      <c r="G34029" s="40" t="s">
        <v>11404</v>
      </c>
      <c r="H34029" s="40" t="s">
        <v>11404</v>
      </c>
    </row>
    <row r="34030">
      <c r="A34030" s="39"/>
      <c r="E34030" s="40" t="s">
        <v>11404</v>
      </c>
      <c r="F34030" s="40" t="s">
        <v>11404</v>
      </c>
      <c r="G34030" s="40" t="s">
        <v>11404</v>
      </c>
      <c r="H34030" s="40" t="s">
        <v>11404</v>
      </c>
    </row>
    <row r="34031">
      <c r="A34031" s="39"/>
      <c r="E34031" s="40" t="s">
        <v>11404</v>
      </c>
      <c r="F34031" s="40" t="s">
        <v>11404</v>
      </c>
      <c r="G34031" s="40" t="s">
        <v>11404</v>
      </c>
      <c r="H34031" s="40" t="s">
        <v>11404</v>
      </c>
    </row>
    <row r="34032">
      <c r="A34032" s="39"/>
      <c r="E34032" s="40" t="s">
        <v>11404</v>
      </c>
      <c r="F34032" s="40" t="s">
        <v>11404</v>
      </c>
      <c r="G34032" s="40" t="s">
        <v>11404</v>
      </c>
      <c r="H34032" s="40" t="s">
        <v>11404</v>
      </c>
    </row>
    <row r="34033">
      <c r="A34033" s="39"/>
      <c r="E34033" s="40" t="s">
        <v>11404</v>
      </c>
      <c r="F34033" s="40" t="s">
        <v>11404</v>
      </c>
      <c r="G34033" s="40" t="s">
        <v>11404</v>
      </c>
      <c r="H34033" s="40" t="s">
        <v>11404</v>
      </c>
    </row>
    <row r="34034">
      <c r="A34034" s="39"/>
      <c r="E34034" s="40" t="s">
        <v>11404</v>
      </c>
      <c r="F34034" s="40" t="s">
        <v>11404</v>
      </c>
      <c r="G34034" s="40" t="s">
        <v>11404</v>
      </c>
      <c r="H34034" s="40" t="s">
        <v>11404</v>
      </c>
    </row>
    <row r="34035">
      <c r="A34035" s="39"/>
      <c r="E34035" s="40" t="s">
        <v>11404</v>
      </c>
      <c r="F34035" s="40" t="s">
        <v>11404</v>
      </c>
      <c r="G34035" s="40" t="s">
        <v>11404</v>
      </c>
      <c r="H34035" s="40" t="s">
        <v>11404</v>
      </c>
    </row>
    <row r="34036">
      <c r="A34036" s="39"/>
      <c r="E34036" s="40" t="s">
        <v>11404</v>
      </c>
      <c r="F34036" s="40" t="s">
        <v>11404</v>
      </c>
      <c r="G34036" s="40" t="s">
        <v>11404</v>
      </c>
      <c r="H34036" s="40" t="s">
        <v>11404</v>
      </c>
    </row>
    <row r="34037">
      <c r="A34037" s="39"/>
      <c r="E34037" s="40" t="s">
        <v>11404</v>
      </c>
      <c r="F34037" s="40" t="s">
        <v>11404</v>
      </c>
      <c r="G34037" s="40" t="s">
        <v>11404</v>
      </c>
      <c r="H34037" s="40" t="s">
        <v>11404</v>
      </c>
    </row>
    <row r="34038">
      <c r="A34038" s="39"/>
      <c r="E34038" s="40" t="s">
        <v>11404</v>
      </c>
      <c r="F34038" s="40" t="s">
        <v>11404</v>
      </c>
      <c r="G34038" s="40" t="s">
        <v>11404</v>
      </c>
      <c r="H34038" s="40" t="s">
        <v>11404</v>
      </c>
    </row>
    <row r="34039">
      <c r="A34039" s="39"/>
      <c r="E34039" s="40" t="s">
        <v>11404</v>
      </c>
      <c r="F34039" s="40" t="s">
        <v>11404</v>
      </c>
      <c r="G34039" s="40" t="s">
        <v>11404</v>
      </c>
      <c r="H34039" s="40" t="s">
        <v>11404</v>
      </c>
    </row>
    <row r="34040">
      <c r="A34040" s="39"/>
      <c r="E34040" s="40" t="s">
        <v>11404</v>
      </c>
      <c r="F34040" s="40" t="s">
        <v>11404</v>
      </c>
      <c r="G34040" s="40" t="s">
        <v>11404</v>
      </c>
      <c r="H34040" s="40" t="s">
        <v>11404</v>
      </c>
    </row>
    <row r="34041">
      <c r="A34041" s="39"/>
      <c r="E34041" s="40" t="s">
        <v>11404</v>
      </c>
      <c r="F34041" s="40" t="s">
        <v>11404</v>
      </c>
      <c r="G34041" s="40" t="s">
        <v>11404</v>
      </c>
      <c r="H34041" s="40" t="s">
        <v>11404</v>
      </c>
    </row>
    <row r="34042">
      <c r="A34042" s="39"/>
      <c r="E34042" s="40" t="s">
        <v>11404</v>
      </c>
      <c r="F34042" s="40" t="s">
        <v>11404</v>
      </c>
      <c r="G34042" s="40" t="s">
        <v>11404</v>
      </c>
      <c r="H34042" s="40" t="s">
        <v>11404</v>
      </c>
    </row>
    <row r="34043">
      <c r="A34043" s="39"/>
      <c r="E34043" s="40" t="s">
        <v>11404</v>
      </c>
      <c r="F34043" s="40" t="s">
        <v>11404</v>
      </c>
      <c r="G34043" s="40" t="s">
        <v>11404</v>
      </c>
      <c r="H34043" s="40" t="s">
        <v>11404</v>
      </c>
    </row>
    <row r="34044">
      <c r="A34044" s="39"/>
      <c r="E34044" s="40" t="s">
        <v>11404</v>
      </c>
      <c r="F34044" s="40" t="s">
        <v>11404</v>
      </c>
      <c r="G34044" s="40" t="s">
        <v>11404</v>
      </c>
      <c r="H34044" s="40" t="s">
        <v>11404</v>
      </c>
    </row>
    <row r="34045">
      <c r="A34045" s="39"/>
      <c r="E34045" s="40" t="s">
        <v>11404</v>
      </c>
      <c r="F34045" s="40" t="s">
        <v>11404</v>
      </c>
      <c r="G34045" s="40" t="s">
        <v>11404</v>
      </c>
      <c r="H34045" s="40" t="s">
        <v>11404</v>
      </c>
    </row>
    <row r="34046">
      <c r="A34046" s="39"/>
      <c r="E34046" s="40" t="s">
        <v>11404</v>
      </c>
      <c r="F34046" s="40" t="s">
        <v>11404</v>
      </c>
      <c r="G34046" s="40" t="s">
        <v>11404</v>
      </c>
      <c r="H34046" s="40" t="s">
        <v>11404</v>
      </c>
    </row>
    <row r="34047">
      <c r="A34047" s="39"/>
      <c r="E34047" s="40" t="s">
        <v>11404</v>
      </c>
      <c r="F34047" s="40" t="s">
        <v>11404</v>
      </c>
      <c r="G34047" s="40" t="s">
        <v>11404</v>
      </c>
      <c r="H34047" s="40" t="s">
        <v>11404</v>
      </c>
    </row>
    <row r="34048">
      <c r="A34048" s="39"/>
      <c r="E34048" s="40" t="s">
        <v>11404</v>
      </c>
      <c r="F34048" s="40" t="s">
        <v>11404</v>
      </c>
      <c r="G34048" s="40" t="s">
        <v>11404</v>
      </c>
      <c r="H34048" s="40" t="s">
        <v>11404</v>
      </c>
    </row>
    <row r="34049">
      <c r="A34049" s="39"/>
      <c r="E34049" s="40" t="s">
        <v>11404</v>
      </c>
      <c r="F34049" s="40" t="s">
        <v>11404</v>
      </c>
      <c r="G34049" s="40" t="s">
        <v>11404</v>
      </c>
      <c r="H34049" s="40" t="s">
        <v>11404</v>
      </c>
    </row>
    <row r="34050">
      <c r="A34050" s="39"/>
      <c r="E34050" s="40" t="s">
        <v>11404</v>
      </c>
      <c r="F34050" s="40" t="s">
        <v>11404</v>
      </c>
      <c r="G34050" s="40" t="s">
        <v>11404</v>
      </c>
      <c r="H34050" s="40" t="s">
        <v>11404</v>
      </c>
    </row>
    <row r="34051">
      <c r="A34051" s="39"/>
      <c r="E34051" s="40" t="s">
        <v>11404</v>
      </c>
      <c r="F34051" s="40" t="s">
        <v>11404</v>
      </c>
      <c r="G34051" s="40" t="s">
        <v>11404</v>
      </c>
      <c r="H34051" s="40" t="s">
        <v>11404</v>
      </c>
    </row>
    <row r="34052">
      <c r="A34052" s="39"/>
      <c r="E34052" s="40" t="s">
        <v>11404</v>
      </c>
      <c r="F34052" s="40" t="s">
        <v>11404</v>
      </c>
      <c r="G34052" s="40" t="s">
        <v>11404</v>
      </c>
      <c r="H34052" s="40" t="s">
        <v>11404</v>
      </c>
    </row>
    <row r="34053">
      <c r="A34053" s="39"/>
      <c r="E34053" s="40" t="s">
        <v>11404</v>
      </c>
      <c r="F34053" s="40" t="s">
        <v>11404</v>
      </c>
      <c r="G34053" s="40" t="s">
        <v>11404</v>
      </c>
      <c r="H34053" s="40" t="s">
        <v>11404</v>
      </c>
    </row>
    <row r="34054">
      <c r="A34054" s="39"/>
      <c r="E34054" s="40" t="s">
        <v>11404</v>
      </c>
      <c r="F34054" s="40" t="s">
        <v>11404</v>
      </c>
      <c r="G34054" s="40" t="s">
        <v>11404</v>
      </c>
      <c r="H34054" s="40" t="s">
        <v>11404</v>
      </c>
    </row>
    <row r="34055">
      <c r="A34055" s="39"/>
      <c r="E34055" s="40" t="s">
        <v>11404</v>
      </c>
      <c r="F34055" s="40" t="s">
        <v>11404</v>
      </c>
      <c r="G34055" s="40" t="s">
        <v>11404</v>
      </c>
      <c r="H34055" s="40" t="s">
        <v>11404</v>
      </c>
    </row>
    <row r="34056">
      <c r="A34056" s="39"/>
      <c r="E34056" s="40" t="s">
        <v>11404</v>
      </c>
      <c r="F34056" s="40" t="s">
        <v>11404</v>
      </c>
      <c r="G34056" s="40" t="s">
        <v>11404</v>
      </c>
      <c r="H34056" s="40" t="s">
        <v>11404</v>
      </c>
    </row>
    <row r="34057">
      <c r="A34057" s="39"/>
      <c r="E34057" s="40" t="s">
        <v>11404</v>
      </c>
      <c r="F34057" s="40" t="s">
        <v>11404</v>
      </c>
      <c r="G34057" s="40" t="s">
        <v>11404</v>
      </c>
      <c r="H34057" s="40" t="s">
        <v>11404</v>
      </c>
    </row>
    <row r="34058">
      <c r="A34058" s="39"/>
      <c r="E34058" s="40" t="s">
        <v>11404</v>
      </c>
      <c r="F34058" s="40" t="s">
        <v>11404</v>
      </c>
      <c r="G34058" s="40" t="s">
        <v>11404</v>
      </c>
      <c r="H34058" s="40" t="s">
        <v>11404</v>
      </c>
    </row>
    <row r="34059">
      <c r="A34059" s="39"/>
      <c r="E34059" s="40" t="s">
        <v>11404</v>
      </c>
      <c r="F34059" s="40" t="s">
        <v>11404</v>
      </c>
      <c r="G34059" s="40" t="s">
        <v>11404</v>
      </c>
      <c r="H34059" s="40" t="s">
        <v>11404</v>
      </c>
    </row>
    <row r="34060">
      <c r="A34060" s="39"/>
      <c r="E34060" s="40" t="s">
        <v>11404</v>
      </c>
      <c r="F34060" s="40" t="s">
        <v>11404</v>
      </c>
      <c r="G34060" s="40" t="s">
        <v>11404</v>
      </c>
      <c r="H34060" s="40" t="s">
        <v>11404</v>
      </c>
    </row>
    <row r="34061">
      <c r="A34061" s="39"/>
      <c r="E34061" s="40" t="s">
        <v>11404</v>
      </c>
      <c r="F34061" s="40" t="s">
        <v>11404</v>
      </c>
      <c r="G34061" s="40" t="s">
        <v>11404</v>
      </c>
      <c r="H34061" s="40" t="s">
        <v>11404</v>
      </c>
    </row>
    <row r="34062">
      <c r="A34062" s="39"/>
      <c r="E34062" s="40" t="s">
        <v>11404</v>
      </c>
      <c r="F34062" s="40" t="s">
        <v>11404</v>
      </c>
      <c r="G34062" s="40" t="s">
        <v>11404</v>
      </c>
      <c r="H34062" s="40" t="s">
        <v>11404</v>
      </c>
    </row>
    <row r="34063">
      <c r="A34063" s="39"/>
      <c r="E34063" s="40" t="s">
        <v>11404</v>
      </c>
      <c r="F34063" s="40" t="s">
        <v>11404</v>
      </c>
      <c r="G34063" s="40" t="s">
        <v>11404</v>
      </c>
      <c r="H34063" s="40" t="s">
        <v>11404</v>
      </c>
    </row>
    <row r="34064">
      <c r="A34064" s="39"/>
      <c r="E34064" s="40" t="s">
        <v>11404</v>
      </c>
      <c r="F34064" s="40" t="s">
        <v>11404</v>
      </c>
      <c r="G34064" s="40" t="s">
        <v>11404</v>
      </c>
      <c r="H34064" s="40" t="s">
        <v>11404</v>
      </c>
    </row>
    <row r="34065">
      <c r="A34065" s="39"/>
      <c r="E34065" s="40" t="s">
        <v>11404</v>
      </c>
      <c r="F34065" s="40" t="s">
        <v>11404</v>
      </c>
      <c r="G34065" s="40" t="s">
        <v>11404</v>
      </c>
      <c r="H34065" s="40" t="s">
        <v>11404</v>
      </c>
    </row>
    <row r="34066">
      <c r="A34066" s="39"/>
      <c r="E34066" s="40" t="s">
        <v>11404</v>
      </c>
      <c r="F34066" s="40" t="s">
        <v>11404</v>
      </c>
      <c r="G34066" s="40" t="s">
        <v>11404</v>
      </c>
      <c r="H34066" s="40" t="s">
        <v>11404</v>
      </c>
    </row>
    <row r="34067">
      <c r="A34067" s="39"/>
      <c r="E34067" s="40" t="s">
        <v>11404</v>
      </c>
      <c r="F34067" s="40" t="s">
        <v>11404</v>
      </c>
      <c r="G34067" s="40" t="s">
        <v>11404</v>
      </c>
      <c r="H34067" s="40" t="s">
        <v>11404</v>
      </c>
    </row>
    <row r="34068">
      <c r="A34068" s="39"/>
      <c r="E34068" s="40" t="s">
        <v>11404</v>
      </c>
      <c r="F34068" s="40" t="s">
        <v>11404</v>
      </c>
      <c r="G34068" s="40" t="s">
        <v>11404</v>
      </c>
      <c r="H34068" s="40" t="s">
        <v>11404</v>
      </c>
    </row>
    <row r="34069">
      <c r="A34069" s="39"/>
      <c r="E34069" s="40" t="s">
        <v>11404</v>
      </c>
      <c r="F34069" s="40" t="s">
        <v>11404</v>
      </c>
      <c r="G34069" s="40" t="s">
        <v>11404</v>
      </c>
      <c r="H34069" s="40" t="s">
        <v>11404</v>
      </c>
    </row>
    <row r="34070">
      <c r="A34070" s="39"/>
      <c r="E34070" s="40" t="s">
        <v>11404</v>
      </c>
      <c r="F34070" s="40" t="s">
        <v>11404</v>
      </c>
      <c r="G34070" s="40" t="s">
        <v>11404</v>
      </c>
      <c r="H34070" s="40" t="s">
        <v>11404</v>
      </c>
    </row>
    <row r="34071">
      <c r="A34071" s="39"/>
      <c r="E34071" s="40" t="s">
        <v>11404</v>
      </c>
      <c r="F34071" s="40" t="s">
        <v>11404</v>
      </c>
      <c r="G34071" s="40" t="s">
        <v>11404</v>
      </c>
      <c r="H34071" s="40" t="s">
        <v>11404</v>
      </c>
    </row>
    <row r="34072">
      <c r="A34072" s="39"/>
      <c r="E34072" s="40" t="s">
        <v>11404</v>
      </c>
      <c r="F34072" s="40" t="s">
        <v>11404</v>
      </c>
      <c r="G34072" s="40" t="s">
        <v>11404</v>
      </c>
      <c r="H34072" s="40" t="s">
        <v>11404</v>
      </c>
    </row>
    <row r="34073">
      <c r="A34073" s="39"/>
      <c r="E34073" s="40" t="s">
        <v>11404</v>
      </c>
      <c r="F34073" s="40" t="s">
        <v>11404</v>
      </c>
      <c r="G34073" s="40" t="s">
        <v>11404</v>
      </c>
      <c r="H34073" s="40" t="s">
        <v>11404</v>
      </c>
    </row>
    <row r="34074">
      <c r="A34074" s="39"/>
      <c r="E34074" s="40" t="s">
        <v>11404</v>
      </c>
      <c r="F34074" s="40" t="s">
        <v>11404</v>
      </c>
      <c r="G34074" s="40" t="s">
        <v>11404</v>
      </c>
      <c r="H34074" s="40" t="s">
        <v>11404</v>
      </c>
    </row>
    <row r="34075">
      <c r="A34075" s="39"/>
      <c r="E34075" s="40" t="s">
        <v>11404</v>
      </c>
      <c r="F34075" s="40" t="s">
        <v>11404</v>
      </c>
      <c r="G34075" s="40" t="s">
        <v>11404</v>
      </c>
      <c r="H34075" s="40" t="s">
        <v>11404</v>
      </c>
    </row>
    <row r="34076">
      <c r="A34076" s="39"/>
      <c r="E34076" s="40" t="s">
        <v>11404</v>
      </c>
      <c r="F34076" s="40" t="s">
        <v>11404</v>
      </c>
      <c r="G34076" s="40" t="s">
        <v>11404</v>
      </c>
      <c r="H34076" s="40" t="s">
        <v>11404</v>
      </c>
    </row>
    <row r="34077">
      <c r="A34077" s="39"/>
      <c r="E34077" s="40" t="s">
        <v>11404</v>
      </c>
      <c r="F34077" s="40" t="s">
        <v>11404</v>
      </c>
      <c r="G34077" s="40" t="s">
        <v>11404</v>
      </c>
      <c r="H34077" s="40" t="s">
        <v>11404</v>
      </c>
    </row>
    <row r="34078">
      <c r="A34078" s="39"/>
      <c r="E34078" s="40" t="s">
        <v>11404</v>
      </c>
      <c r="F34078" s="40" t="s">
        <v>11404</v>
      </c>
      <c r="G34078" s="40" t="s">
        <v>11404</v>
      </c>
      <c r="H34078" s="40" t="s">
        <v>11404</v>
      </c>
    </row>
    <row r="34079">
      <c r="A34079" s="39"/>
      <c r="E34079" s="40" t="s">
        <v>11404</v>
      </c>
      <c r="F34079" s="40" t="s">
        <v>11404</v>
      </c>
      <c r="G34079" s="40" t="s">
        <v>11404</v>
      </c>
      <c r="H34079" s="40" t="s">
        <v>11404</v>
      </c>
    </row>
    <row r="34080">
      <c r="A34080" s="39"/>
      <c r="E34080" s="40" t="s">
        <v>11404</v>
      </c>
      <c r="F34080" s="40" t="s">
        <v>11404</v>
      </c>
      <c r="G34080" s="40" t="s">
        <v>11404</v>
      </c>
      <c r="H34080" s="40" t="s">
        <v>11404</v>
      </c>
    </row>
    <row r="34081">
      <c r="A34081" s="39"/>
      <c r="E34081" s="40" t="s">
        <v>11404</v>
      </c>
      <c r="F34081" s="40" t="s">
        <v>11404</v>
      </c>
      <c r="G34081" s="40" t="s">
        <v>11404</v>
      </c>
      <c r="H34081" s="40" t="s">
        <v>11404</v>
      </c>
    </row>
    <row r="34082">
      <c r="A34082" s="39"/>
      <c r="E34082" s="40" t="s">
        <v>11404</v>
      </c>
      <c r="F34082" s="40" t="s">
        <v>11404</v>
      </c>
      <c r="G34082" s="40" t="s">
        <v>11404</v>
      </c>
      <c r="H34082" s="40" t="s">
        <v>11404</v>
      </c>
    </row>
    <row r="34083">
      <c r="A34083" s="39"/>
      <c r="E34083" s="40" t="s">
        <v>11404</v>
      </c>
      <c r="F34083" s="40" t="s">
        <v>11404</v>
      </c>
      <c r="G34083" s="40" t="s">
        <v>11404</v>
      </c>
      <c r="H34083" s="40" t="s">
        <v>11404</v>
      </c>
    </row>
    <row r="34084">
      <c r="A34084" s="39"/>
      <c r="E34084" s="40" t="s">
        <v>11404</v>
      </c>
      <c r="F34084" s="40" t="s">
        <v>11404</v>
      </c>
      <c r="G34084" s="40" t="s">
        <v>11404</v>
      </c>
      <c r="H34084" s="40" t="s">
        <v>11404</v>
      </c>
    </row>
    <row r="34085">
      <c r="A34085" s="39"/>
      <c r="E34085" s="40" t="s">
        <v>11404</v>
      </c>
      <c r="F34085" s="40" t="s">
        <v>11404</v>
      </c>
      <c r="G34085" s="40" t="s">
        <v>11404</v>
      </c>
      <c r="H34085" s="40" t="s">
        <v>11404</v>
      </c>
    </row>
    <row r="34086">
      <c r="A34086" s="39"/>
      <c r="E34086" s="40" t="s">
        <v>11404</v>
      </c>
      <c r="F34086" s="40" t="s">
        <v>11404</v>
      </c>
      <c r="G34086" s="40" t="s">
        <v>11404</v>
      </c>
      <c r="H34086" s="40" t="s">
        <v>11404</v>
      </c>
    </row>
    <row r="34087">
      <c r="A34087" s="39"/>
      <c r="E34087" s="40" t="s">
        <v>11404</v>
      </c>
      <c r="F34087" s="40" t="s">
        <v>11404</v>
      </c>
      <c r="G34087" s="40" t="s">
        <v>11404</v>
      </c>
      <c r="H34087" s="40" t="s">
        <v>11404</v>
      </c>
    </row>
    <row r="34088">
      <c r="A34088" s="39"/>
      <c r="E34088" s="40" t="s">
        <v>11404</v>
      </c>
      <c r="F34088" s="40" t="s">
        <v>11404</v>
      </c>
      <c r="G34088" s="40" t="s">
        <v>11404</v>
      </c>
      <c r="H34088" s="40" t="s">
        <v>11404</v>
      </c>
    </row>
    <row r="34089">
      <c r="A34089" s="39"/>
      <c r="E34089" s="40" t="s">
        <v>11404</v>
      </c>
      <c r="F34089" s="40" t="s">
        <v>11404</v>
      </c>
      <c r="G34089" s="40" t="s">
        <v>11404</v>
      </c>
      <c r="H34089" s="40" t="s">
        <v>11404</v>
      </c>
    </row>
    <row r="34090">
      <c r="A34090" s="39"/>
      <c r="E34090" s="40" t="s">
        <v>11404</v>
      </c>
      <c r="F34090" s="40" t="s">
        <v>11404</v>
      </c>
      <c r="G34090" s="40" t="s">
        <v>11404</v>
      </c>
      <c r="H34090" s="40" t="s">
        <v>11404</v>
      </c>
    </row>
    <row r="34091">
      <c r="A34091" s="39"/>
      <c r="E34091" s="40" t="s">
        <v>11404</v>
      </c>
      <c r="F34091" s="40" t="s">
        <v>11404</v>
      </c>
      <c r="G34091" s="40" t="s">
        <v>11404</v>
      </c>
      <c r="H34091" s="40" t="s">
        <v>11404</v>
      </c>
    </row>
    <row r="34092">
      <c r="A34092" s="39"/>
      <c r="E34092" s="40" t="s">
        <v>11404</v>
      </c>
      <c r="F34092" s="40" t="s">
        <v>11404</v>
      </c>
      <c r="G34092" s="40" t="s">
        <v>11404</v>
      </c>
      <c r="H34092" s="40" t="s">
        <v>11404</v>
      </c>
    </row>
    <row r="34093">
      <c r="A34093" s="39"/>
      <c r="E34093" s="40" t="s">
        <v>11404</v>
      </c>
      <c r="F34093" s="40" t="s">
        <v>11404</v>
      </c>
      <c r="G34093" s="40" t="s">
        <v>11404</v>
      </c>
      <c r="H34093" s="40" t="s">
        <v>11404</v>
      </c>
    </row>
    <row r="34094">
      <c r="A34094" s="39"/>
      <c r="E34094" s="40" t="s">
        <v>11404</v>
      </c>
      <c r="F34094" s="40" t="s">
        <v>11404</v>
      </c>
      <c r="G34094" s="40" t="s">
        <v>11404</v>
      </c>
      <c r="H34094" s="40" t="s">
        <v>11404</v>
      </c>
    </row>
    <row r="34095">
      <c r="A34095" s="39"/>
      <c r="E34095" s="40" t="s">
        <v>11404</v>
      </c>
      <c r="F34095" s="40" t="s">
        <v>11404</v>
      </c>
      <c r="G34095" s="40" t="s">
        <v>11404</v>
      </c>
      <c r="H34095" s="40" t="s">
        <v>11404</v>
      </c>
    </row>
    <row r="34096">
      <c r="A34096" s="39"/>
      <c r="E34096" s="40" t="s">
        <v>11404</v>
      </c>
      <c r="F34096" s="40" t="s">
        <v>11404</v>
      </c>
      <c r="G34096" s="40" t="s">
        <v>11404</v>
      </c>
      <c r="H34096" s="40" t="s">
        <v>11404</v>
      </c>
    </row>
    <row r="34097">
      <c r="A34097" s="39"/>
      <c r="E34097" s="40" t="s">
        <v>11404</v>
      </c>
      <c r="F34097" s="40" t="s">
        <v>11404</v>
      </c>
      <c r="G34097" s="40" t="s">
        <v>11404</v>
      </c>
      <c r="H34097" s="40" t="s">
        <v>11404</v>
      </c>
    </row>
    <row r="34098">
      <c r="A34098" s="39"/>
      <c r="E34098" s="40" t="s">
        <v>11404</v>
      </c>
      <c r="F34098" s="40" t="s">
        <v>11404</v>
      </c>
      <c r="G34098" s="40" t="s">
        <v>11404</v>
      </c>
      <c r="H34098" s="40" t="s">
        <v>11404</v>
      </c>
    </row>
    <row r="34099">
      <c r="A34099" s="39"/>
      <c r="E34099" s="40" t="s">
        <v>11404</v>
      </c>
      <c r="F34099" s="40" t="s">
        <v>11404</v>
      </c>
      <c r="G34099" s="40" t="s">
        <v>11404</v>
      </c>
      <c r="H34099" s="40" t="s">
        <v>11404</v>
      </c>
    </row>
    <row r="34100">
      <c r="A34100" s="39"/>
      <c r="E34100" s="40" t="s">
        <v>11404</v>
      </c>
      <c r="F34100" s="40" t="s">
        <v>11404</v>
      </c>
      <c r="G34100" s="40" t="s">
        <v>11404</v>
      </c>
      <c r="H34100" s="40" t="s">
        <v>11404</v>
      </c>
    </row>
    <row r="34101">
      <c r="A34101" s="39"/>
      <c r="E34101" s="40" t="s">
        <v>11404</v>
      </c>
      <c r="F34101" s="40" t="s">
        <v>11404</v>
      </c>
      <c r="G34101" s="40" t="s">
        <v>11404</v>
      </c>
      <c r="H34101" s="40" t="s">
        <v>11404</v>
      </c>
    </row>
    <row r="34102">
      <c r="A34102" s="39"/>
      <c r="E34102" s="40" t="s">
        <v>11404</v>
      </c>
      <c r="F34102" s="40" t="s">
        <v>11404</v>
      </c>
      <c r="G34102" s="40" t="s">
        <v>11404</v>
      </c>
      <c r="H34102" s="40" t="s">
        <v>11404</v>
      </c>
    </row>
    <row r="34103">
      <c r="A34103" s="39"/>
      <c r="E34103" s="40" t="s">
        <v>11404</v>
      </c>
      <c r="F34103" s="40" t="s">
        <v>11404</v>
      </c>
      <c r="G34103" s="40" t="s">
        <v>11404</v>
      </c>
      <c r="H34103" s="40" t="s">
        <v>11404</v>
      </c>
    </row>
    <row r="34104">
      <c r="A34104" s="39"/>
      <c r="E34104" s="40" t="s">
        <v>11404</v>
      </c>
      <c r="F34104" s="40" t="s">
        <v>11404</v>
      </c>
      <c r="G34104" s="40" t="s">
        <v>11404</v>
      </c>
      <c r="H34104" s="40" t="s">
        <v>11404</v>
      </c>
    </row>
    <row r="34105">
      <c r="A34105" s="39"/>
      <c r="E34105" s="40" t="s">
        <v>11404</v>
      </c>
      <c r="F34105" s="40" t="s">
        <v>11404</v>
      </c>
      <c r="G34105" s="40" t="s">
        <v>11404</v>
      </c>
      <c r="H34105" s="40" t="s">
        <v>11404</v>
      </c>
    </row>
    <row r="34106">
      <c r="A34106" s="39"/>
      <c r="E34106" s="40" t="s">
        <v>11404</v>
      </c>
      <c r="F34106" s="40" t="s">
        <v>11404</v>
      </c>
      <c r="G34106" s="40" t="s">
        <v>11404</v>
      </c>
      <c r="H34106" s="40" t="s">
        <v>11404</v>
      </c>
    </row>
    <row r="34107">
      <c r="A34107" s="39"/>
      <c r="E34107" s="40" t="s">
        <v>11404</v>
      </c>
      <c r="F34107" s="40" t="s">
        <v>11404</v>
      </c>
      <c r="G34107" s="40" t="s">
        <v>11404</v>
      </c>
      <c r="H34107" s="40" t="s">
        <v>11404</v>
      </c>
    </row>
    <row r="34108">
      <c r="A34108" s="39"/>
      <c r="E34108" s="40" t="s">
        <v>11404</v>
      </c>
      <c r="F34108" s="40" t="s">
        <v>11404</v>
      </c>
      <c r="G34108" s="40" t="s">
        <v>11404</v>
      </c>
      <c r="H34108" s="40" t="s">
        <v>11404</v>
      </c>
    </row>
    <row r="34109">
      <c r="A34109" s="39"/>
      <c r="E34109" s="40" t="s">
        <v>11404</v>
      </c>
      <c r="F34109" s="40" t="s">
        <v>11404</v>
      </c>
      <c r="G34109" s="40" t="s">
        <v>11404</v>
      </c>
      <c r="H34109" s="40" t="s">
        <v>11404</v>
      </c>
    </row>
    <row r="34110">
      <c r="A34110" s="39"/>
      <c r="E34110" s="40" t="s">
        <v>11404</v>
      </c>
      <c r="F34110" s="40" t="s">
        <v>11404</v>
      </c>
      <c r="G34110" s="40" t="s">
        <v>11404</v>
      </c>
      <c r="H34110" s="40" t="s">
        <v>11404</v>
      </c>
    </row>
    <row r="34111">
      <c r="A34111" s="39"/>
      <c r="E34111" s="40" t="s">
        <v>11404</v>
      </c>
      <c r="F34111" s="40" t="s">
        <v>11404</v>
      </c>
      <c r="G34111" s="40" t="s">
        <v>11404</v>
      </c>
      <c r="H34111" s="40" t="s">
        <v>11404</v>
      </c>
    </row>
    <row r="34112">
      <c r="A34112" s="39"/>
      <c r="E34112" s="40" t="s">
        <v>11404</v>
      </c>
      <c r="F34112" s="40" t="s">
        <v>11404</v>
      </c>
      <c r="G34112" s="40" t="s">
        <v>11404</v>
      </c>
      <c r="H34112" s="40" t="s">
        <v>11404</v>
      </c>
    </row>
    <row r="34113">
      <c r="A34113" s="39"/>
      <c r="E34113" s="40" t="s">
        <v>11404</v>
      </c>
      <c r="F34113" s="40" t="s">
        <v>11404</v>
      </c>
      <c r="G34113" s="40" t="s">
        <v>11404</v>
      </c>
      <c r="H34113" s="40" t="s">
        <v>11404</v>
      </c>
    </row>
    <row r="34114">
      <c r="A34114" s="39"/>
      <c r="E34114" s="40" t="s">
        <v>11404</v>
      </c>
      <c r="F34114" s="40" t="s">
        <v>11404</v>
      </c>
      <c r="G34114" s="40" t="s">
        <v>11404</v>
      </c>
      <c r="H34114" s="40" t="s">
        <v>11404</v>
      </c>
    </row>
    <row r="34115">
      <c r="A34115" s="39"/>
      <c r="E34115" s="40" t="s">
        <v>11404</v>
      </c>
      <c r="F34115" s="40" t="s">
        <v>11404</v>
      </c>
      <c r="G34115" s="40" t="s">
        <v>11404</v>
      </c>
      <c r="H34115" s="40" t="s">
        <v>11404</v>
      </c>
    </row>
    <row r="34116">
      <c r="A34116" s="39"/>
      <c r="E34116" s="40" t="s">
        <v>11404</v>
      </c>
      <c r="F34116" s="40" t="s">
        <v>11404</v>
      </c>
      <c r="G34116" s="40" t="s">
        <v>11404</v>
      </c>
      <c r="H34116" s="40" t="s">
        <v>11404</v>
      </c>
    </row>
    <row r="34117">
      <c r="A34117" s="39"/>
      <c r="E34117" s="40" t="s">
        <v>11404</v>
      </c>
      <c r="F34117" s="40" t="s">
        <v>11404</v>
      </c>
      <c r="G34117" s="40" t="s">
        <v>11404</v>
      </c>
      <c r="H34117" s="40" t="s">
        <v>11404</v>
      </c>
    </row>
    <row r="34118">
      <c r="A34118" s="39"/>
      <c r="E34118" s="40" t="s">
        <v>11404</v>
      </c>
      <c r="F34118" s="40" t="s">
        <v>11404</v>
      </c>
      <c r="G34118" s="40" t="s">
        <v>11404</v>
      </c>
      <c r="H34118" s="40" t="s">
        <v>11404</v>
      </c>
    </row>
    <row r="34119">
      <c r="A34119" s="39"/>
      <c r="E34119" s="40" t="s">
        <v>11404</v>
      </c>
      <c r="F34119" s="40" t="s">
        <v>11404</v>
      </c>
      <c r="G34119" s="40" t="s">
        <v>11404</v>
      </c>
      <c r="H34119" s="40" t="s">
        <v>11404</v>
      </c>
    </row>
    <row r="34120">
      <c r="A34120" s="39"/>
      <c r="E34120" s="40" t="s">
        <v>11404</v>
      </c>
      <c r="F34120" s="40" t="s">
        <v>11404</v>
      </c>
      <c r="G34120" s="40" t="s">
        <v>11404</v>
      </c>
      <c r="H34120" s="40" t="s">
        <v>11404</v>
      </c>
    </row>
    <row r="34121">
      <c r="A34121" s="39"/>
      <c r="E34121" s="40" t="s">
        <v>11404</v>
      </c>
      <c r="F34121" s="40" t="s">
        <v>11404</v>
      </c>
      <c r="G34121" s="40" t="s">
        <v>11404</v>
      </c>
      <c r="H34121" s="40" t="s">
        <v>11404</v>
      </c>
    </row>
    <row r="34122">
      <c r="A34122" s="39"/>
      <c r="E34122" s="40" t="s">
        <v>11404</v>
      </c>
      <c r="F34122" s="40" t="s">
        <v>11404</v>
      </c>
      <c r="G34122" s="40" t="s">
        <v>11404</v>
      </c>
      <c r="H34122" s="40" t="s">
        <v>11404</v>
      </c>
    </row>
    <row r="34123">
      <c r="A34123" s="39"/>
      <c r="E34123" s="40" t="s">
        <v>11404</v>
      </c>
      <c r="F34123" s="40" t="s">
        <v>11404</v>
      </c>
      <c r="G34123" s="40" t="s">
        <v>11404</v>
      </c>
      <c r="H34123" s="40" t="s">
        <v>11404</v>
      </c>
    </row>
    <row r="34124">
      <c r="A34124" s="39"/>
      <c r="E34124" s="40" t="s">
        <v>11404</v>
      </c>
      <c r="F34124" s="40" t="s">
        <v>11404</v>
      </c>
      <c r="G34124" s="40" t="s">
        <v>11404</v>
      </c>
      <c r="H34124" s="40" t="s">
        <v>11404</v>
      </c>
    </row>
    <row r="34125">
      <c r="A34125" s="39"/>
      <c r="E34125" s="40" t="s">
        <v>11404</v>
      </c>
      <c r="F34125" s="40" t="s">
        <v>11404</v>
      </c>
      <c r="G34125" s="40" t="s">
        <v>11404</v>
      </c>
      <c r="H34125" s="40" t="s">
        <v>11404</v>
      </c>
    </row>
    <row r="34126">
      <c r="A34126" s="39"/>
      <c r="E34126" s="40" t="s">
        <v>11404</v>
      </c>
      <c r="F34126" s="40" t="s">
        <v>11404</v>
      </c>
      <c r="G34126" s="40" t="s">
        <v>11404</v>
      </c>
      <c r="H34126" s="40" t="s">
        <v>11404</v>
      </c>
    </row>
    <row r="34127">
      <c r="A34127" s="39"/>
      <c r="E34127" s="40" t="s">
        <v>11404</v>
      </c>
      <c r="F34127" s="40" t="s">
        <v>11404</v>
      </c>
      <c r="G34127" s="40" t="s">
        <v>11404</v>
      </c>
      <c r="H34127" s="40" t="s">
        <v>11404</v>
      </c>
    </row>
    <row r="34128">
      <c r="A34128" s="39"/>
      <c r="E34128" s="40" t="s">
        <v>11404</v>
      </c>
      <c r="F34128" s="40" t="s">
        <v>11404</v>
      </c>
      <c r="G34128" s="40" t="s">
        <v>11404</v>
      </c>
      <c r="H34128" s="40" t="s">
        <v>11404</v>
      </c>
    </row>
    <row r="34129">
      <c r="A34129" s="39"/>
      <c r="E34129" s="40" t="s">
        <v>11404</v>
      </c>
      <c r="F34129" s="40" t="s">
        <v>11404</v>
      </c>
      <c r="G34129" s="40" t="s">
        <v>11404</v>
      </c>
      <c r="H34129" s="40" t="s">
        <v>11404</v>
      </c>
    </row>
    <row r="34130">
      <c r="A34130" s="39"/>
      <c r="E34130" s="40" t="s">
        <v>11404</v>
      </c>
      <c r="F34130" s="40" t="s">
        <v>11404</v>
      </c>
      <c r="G34130" s="40" t="s">
        <v>11404</v>
      </c>
      <c r="H34130" s="40" t="s">
        <v>11404</v>
      </c>
    </row>
    <row r="34131">
      <c r="A34131" s="39"/>
      <c r="E34131" s="40" t="s">
        <v>11404</v>
      </c>
      <c r="F34131" s="40" t="s">
        <v>11404</v>
      </c>
      <c r="G34131" s="40" t="s">
        <v>11404</v>
      </c>
      <c r="H34131" s="40" t="s">
        <v>11404</v>
      </c>
    </row>
    <row r="34132">
      <c r="A34132" s="39"/>
      <c r="E34132" s="40" t="s">
        <v>11404</v>
      </c>
      <c r="F34132" s="40" t="s">
        <v>11404</v>
      </c>
      <c r="G34132" s="40" t="s">
        <v>11404</v>
      </c>
      <c r="H34132" s="40" t="s">
        <v>11404</v>
      </c>
    </row>
    <row r="34133">
      <c r="A34133" s="39"/>
      <c r="E34133" s="40" t="s">
        <v>11404</v>
      </c>
      <c r="F34133" s="40" t="s">
        <v>11404</v>
      </c>
      <c r="G34133" s="40" t="s">
        <v>11404</v>
      </c>
      <c r="H34133" s="40" t="s">
        <v>11404</v>
      </c>
    </row>
    <row r="34134">
      <c r="A34134" s="39"/>
      <c r="E34134" s="40" t="s">
        <v>11404</v>
      </c>
      <c r="F34134" s="40" t="s">
        <v>11404</v>
      </c>
      <c r="G34134" s="40" t="s">
        <v>11404</v>
      </c>
      <c r="H34134" s="40" t="s">
        <v>11404</v>
      </c>
    </row>
    <row r="34135">
      <c r="A34135" s="39"/>
      <c r="E34135" s="40" t="s">
        <v>11404</v>
      </c>
      <c r="F34135" s="40" t="s">
        <v>11404</v>
      </c>
      <c r="G34135" s="40" t="s">
        <v>11404</v>
      </c>
      <c r="H34135" s="40" t="s">
        <v>11404</v>
      </c>
    </row>
    <row r="34136">
      <c r="A34136" s="39"/>
      <c r="E34136" s="40" t="s">
        <v>11404</v>
      </c>
      <c r="F34136" s="40" t="s">
        <v>11404</v>
      </c>
      <c r="G34136" s="40" t="s">
        <v>11404</v>
      </c>
      <c r="H34136" s="40" t="s">
        <v>11404</v>
      </c>
    </row>
    <row r="34137">
      <c r="A34137" s="39"/>
      <c r="E34137" s="40" t="s">
        <v>11404</v>
      </c>
      <c r="F34137" s="40" t="s">
        <v>11404</v>
      </c>
      <c r="G34137" s="40" t="s">
        <v>11404</v>
      </c>
      <c r="H34137" s="40" t="s">
        <v>11404</v>
      </c>
    </row>
    <row r="34138">
      <c r="A34138" s="39"/>
      <c r="E34138" s="40" t="s">
        <v>11404</v>
      </c>
      <c r="F34138" s="40" t="s">
        <v>11404</v>
      </c>
      <c r="G34138" s="40" t="s">
        <v>11404</v>
      </c>
      <c r="H34138" s="40" t="s">
        <v>11404</v>
      </c>
    </row>
    <row r="34139">
      <c r="A34139" s="39"/>
      <c r="E34139" s="40" t="s">
        <v>11404</v>
      </c>
      <c r="F34139" s="40" t="s">
        <v>11404</v>
      </c>
      <c r="G34139" s="40" t="s">
        <v>11404</v>
      </c>
      <c r="H34139" s="40" t="s">
        <v>11404</v>
      </c>
    </row>
    <row r="34140">
      <c r="A34140" s="39"/>
      <c r="E34140" s="40" t="s">
        <v>11404</v>
      </c>
      <c r="F34140" s="40" t="s">
        <v>11404</v>
      </c>
      <c r="G34140" s="40" t="s">
        <v>11404</v>
      </c>
      <c r="H34140" s="40" t="s">
        <v>11404</v>
      </c>
    </row>
    <row r="34141">
      <c r="A34141" s="39"/>
      <c r="E34141" s="40" t="s">
        <v>11404</v>
      </c>
      <c r="F34141" s="40" t="s">
        <v>11404</v>
      </c>
      <c r="G34141" s="40" t="s">
        <v>11404</v>
      </c>
      <c r="H34141" s="40" t="s">
        <v>11404</v>
      </c>
    </row>
    <row r="34142">
      <c r="A34142" s="39"/>
      <c r="E34142" s="40" t="s">
        <v>11404</v>
      </c>
      <c r="F34142" s="40" t="s">
        <v>11404</v>
      </c>
      <c r="G34142" s="40" t="s">
        <v>11404</v>
      </c>
      <c r="H34142" s="40" t="s">
        <v>11404</v>
      </c>
    </row>
    <row r="34143">
      <c r="A34143" s="39"/>
      <c r="E34143" s="40" t="s">
        <v>11404</v>
      </c>
      <c r="F34143" s="40" t="s">
        <v>11404</v>
      </c>
      <c r="G34143" s="40" t="s">
        <v>11404</v>
      </c>
      <c r="H34143" s="40" t="s">
        <v>11404</v>
      </c>
    </row>
    <row r="34144">
      <c r="A34144" s="39"/>
      <c r="E34144" s="40" t="s">
        <v>11404</v>
      </c>
      <c r="F34144" s="40" t="s">
        <v>11404</v>
      </c>
      <c r="G34144" s="40" t="s">
        <v>11404</v>
      </c>
      <c r="H34144" s="40" t="s">
        <v>11404</v>
      </c>
    </row>
    <row r="34145">
      <c r="A34145" s="39"/>
      <c r="E34145" s="40" t="s">
        <v>11404</v>
      </c>
      <c r="F34145" s="40" t="s">
        <v>11404</v>
      </c>
      <c r="G34145" s="40" t="s">
        <v>11404</v>
      </c>
      <c r="H34145" s="40" t="s">
        <v>11404</v>
      </c>
    </row>
    <row r="34146">
      <c r="A34146" s="39"/>
      <c r="E34146" s="40" t="s">
        <v>11404</v>
      </c>
      <c r="F34146" s="40" t="s">
        <v>11404</v>
      </c>
      <c r="G34146" s="40" t="s">
        <v>11404</v>
      </c>
      <c r="H34146" s="40" t="s">
        <v>11404</v>
      </c>
    </row>
    <row r="34147">
      <c r="A34147" s="39"/>
      <c r="E34147" s="40" t="s">
        <v>11404</v>
      </c>
      <c r="F34147" s="40" t="s">
        <v>11404</v>
      </c>
      <c r="G34147" s="40" t="s">
        <v>11404</v>
      </c>
      <c r="H34147" s="40" t="s">
        <v>11404</v>
      </c>
    </row>
    <row r="34148">
      <c r="A34148" s="39"/>
      <c r="E34148" s="40" t="s">
        <v>11404</v>
      </c>
      <c r="F34148" s="40" t="s">
        <v>11404</v>
      </c>
      <c r="G34148" s="40" t="s">
        <v>11404</v>
      </c>
      <c r="H34148" s="40" t="s">
        <v>11404</v>
      </c>
    </row>
    <row r="34149">
      <c r="A34149" s="39"/>
      <c r="E34149" s="40" t="s">
        <v>11404</v>
      </c>
      <c r="F34149" s="40" t="s">
        <v>11404</v>
      </c>
      <c r="G34149" s="40" t="s">
        <v>11404</v>
      </c>
      <c r="H34149" s="40" t="s">
        <v>11404</v>
      </c>
    </row>
    <row r="34150">
      <c r="A34150" s="39"/>
      <c r="E34150" s="40" t="s">
        <v>11404</v>
      </c>
      <c r="F34150" s="40" t="s">
        <v>11404</v>
      </c>
      <c r="G34150" s="40" t="s">
        <v>11404</v>
      </c>
      <c r="H34150" s="40" t="s">
        <v>11404</v>
      </c>
    </row>
    <row r="34151">
      <c r="A34151" s="39"/>
      <c r="E34151" s="40" t="s">
        <v>11404</v>
      </c>
      <c r="F34151" s="40" t="s">
        <v>11404</v>
      </c>
      <c r="G34151" s="40" t="s">
        <v>11404</v>
      </c>
      <c r="H34151" s="40" t="s">
        <v>11404</v>
      </c>
    </row>
    <row r="34152">
      <c r="A34152" s="39"/>
      <c r="E34152" s="40" t="s">
        <v>11404</v>
      </c>
      <c r="F34152" s="40" t="s">
        <v>11404</v>
      </c>
      <c r="G34152" s="40" t="s">
        <v>11404</v>
      </c>
      <c r="H34152" s="40" t="s">
        <v>11404</v>
      </c>
    </row>
    <row r="34153">
      <c r="A34153" s="39"/>
      <c r="E34153" s="40" t="s">
        <v>11404</v>
      </c>
      <c r="F34153" s="40" t="s">
        <v>11404</v>
      </c>
      <c r="G34153" s="40" t="s">
        <v>11404</v>
      </c>
      <c r="H34153" s="40" t="s">
        <v>11404</v>
      </c>
    </row>
    <row r="34154">
      <c r="A34154" s="39"/>
      <c r="E34154" s="40" t="s">
        <v>11404</v>
      </c>
      <c r="F34154" s="40" t="s">
        <v>11404</v>
      </c>
      <c r="G34154" s="40" t="s">
        <v>11404</v>
      </c>
      <c r="H34154" s="40" t="s">
        <v>11404</v>
      </c>
    </row>
    <row r="34155">
      <c r="A34155" s="39"/>
      <c r="E34155" s="40" t="s">
        <v>11404</v>
      </c>
      <c r="F34155" s="40" t="s">
        <v>11404</v>
      </c>
      <c r="G34155" s="40" t="s">
        <v>11404</v>
      </c>
      <c r="H34155" s="40" t="s">
        <v>11404</v>
      </c>
    </row>
    <row r="34156">
      <c r="A34156" s="39"/>
      <c r="E34156" s="40" t="s">
        <v>11404</v>
      </c>
      <c r="F34156" s="40" t="s">
        <v>11404</v>
      </c>
      <c r="G34156" s="40" t="s">
        <v>11404</v>
      </c>
      <c r="H34156" s="40" t="s">
        <v>11404</v>
      </c>
    </row>
    <row r="34157">
      <c r="A34157" s="39"/>
      <c r="E34157" s="40" t="s">
        <v>11404</v>
      </c>
      <c r="F34157" s="40" t="s">
        <v>11404</v>
      </c>
      <c r="G34157" s="40" t="s">
        <v>11404</v>
      </c>
      <c r="H34157" s="40" t="s">
        <v>11404</v>
      </c>
    </row>
    <row r="34158">
      <c r="A34158" s="39"/>
      <c r="E34158" s="40" t="s">
        <v>11404</v>
      </c>
      <c r="F34158" s="40" t="s">
        <v>11404</v>
      </c>
      <c r="G34158" s="40" t="s">
        <v>11404</v>
      </c>
      <c r="H34158" s="40" t="s">
        <v>11404</v>
      </c>
    </row>
    <row r="34159">
      <c r="A34159" s="39"/>
      <c r="E34159" s="40" t="s">
        <v>11404</v>
      </c>
      <c r="F34159" s="40" t="s">
        <v>11404</v>
      </c>
      <c r="G34159" s="40" t="s">
        <v>11404</v>
      </c>
      <c r="H34159" s="40" t="s">
        <v>11404</v>
      </c>
    </row>
    <row r="34160">
      <c r="A34160" s="39"/>
      <c r="E34160" s="40" t="s">
        <v>11404</v>
      </c>
      <c r="F34160" s="40" t="s">
        <v>11404</v>
      </c>
      <c r="G34160" s="40" t="s">
        <v>11404</v>
      </c>
      <c r="H34160" s="40" t="s">
        <v>11404</v>
      </c>
    </row>
    <row r="34161">
      <c r="A34161" s="39"/>
      <c r="E34161" s="40" t="s">
        <v>11404</v>
      </c>
      <c r="F34161" s="40" t="s">
        <v>11404</v>
      </c>
      <c r="G34161" s="40" t="s">
        <v>11404</v>
      </c>
      <c r="H34161" s="40" t="s">
        <v>11404</v>
      </c>
    </row>
    <row r="34162">
      <c r="A34162" s="39"/>
      <c r="E34162" s="40" t="s">
        <v>11404</v>
      </c>
      <c r="F34162" s="40" t="s">
        <v>11404</v>
      </c>
      <c r="G34162" s="40" t="s">
        <v>11404</v>
      </c>
      <c r="H34162" s="40" t="s">
        <v>11404</v>
      </c>
    </row>
    <row r="34163">
      <c r="A34163" s="39"/>
      <c r="E34163" s="40" t="s">
        <v>11404</v>
      </c>
      <c r="F34163" s="40" t="s">
        <v>11404</v>
      </c>
      <c r="G34163" s="40" t="s">
        <v>11404</v>
      </c>
      <c r="H34163" s="40" t="s">
        <v>11404</v>
      </c>
    </row>
    <row r="34164">
      <c r="A34164" s="39"/>
      <c r="E34164" s="40" t="s">
        <v>11404</v>
      </c>
      <c r="F34164" s="40" t="s">
        <v>11404</v>
      </c>
      <c r="G34164" s="40" t="s">
        <v>11404</v>
      </c>
      <c r="H34164" s="40" t="s">
        <v>11404</v>
      </c>
    </row>
    <row r="34165">
      <c r="A34165" s="39"/>
      <c r="E34165" s="40" t="s">
        <v>11404</v>
      </c>
      <c r="F34165" s="40" t="s">
        <v>11404</v>
      </c>
      <c r="G34165" s="40" t="s">
        <v>11404</v>
      </c>
      <c r="H34165" s="40" t="s">
        <v>11404</v>
      </c>
    </row>
    <row r="34166">
      <c r="A34166" s="39"/>
      <c r="E34166" s="40" t="s">
        <v>11404</v>
      </c>
      <c r="F34166" s="40" t="s">
        <v>11404</v>
      </c>
      <c r="G34166" s="40" t="s">
        <v>11404</v>
      </c>
      <c r="H34166" s="40" t="s">
        <v>11404</v>
      </c>
    </row>
    <row r="34167">
      <c r="A34167" s="39"/>
      <c r="E34167" s="40" t="s">
        <v>11404</v>
      </c>
      <c r="F34167" s="40" t="s">
        <v>11404</v>
      </c>
      <c r="G34167" s="40" t="s">
        <v>11404</v>
      </c>
      <c r="H34167" s="40" t="s">
        <v>11404</v>
      </c>
    </row>
    <row r="34168">
      <c r="A34168" s="39"/>
      <c r="E34168" s="40" t="s">
        <v>11404</v>
      </c>
      <c r="F34168" s="40" t="s">
        <v>11404</v>
      </c>
      <c r="G34168" s="40" t="s">
        <v>11404</v>
      </c>
      <c r="H34168" s="40" t="s">
        <v>11404</v>
      </c>
    </row>
    <row r="34169">
      <c r="A34169" s="39"/>
      <c r="E34169" s="40" t="s">
        <v>11404</v>
      </c>
      <c r="F34169" s="40" t="s">
        <v>11404</v>
      </c>
      <c r="G34169" s="40" t="s">
        <v>11404</v>
      </c>
      <c r="H34169" s="40" t="s">
        <v>11404</v>
      </c>
    </row>
    <row r="34170">
      <c r="A34170" s="39"/>
      <c r="E34170" s="40" t="s">
        <v>11404</v>
      </c>
      <c r="F34170" s="40" t="s">
        <v>11404</v>
      </c>
      <c r="G34170" s="40" t="s">
        <v>11404</v>
      </c>
      <c r="H34170" s="40" t="s">
        <v>11404</v>
      </c>
    </row>
    <row r="34171">
      <c r="A34171" s="39"/>
      <c r="E34171" s="40" t="s">
        <v>11404</v>
      </c>
      <c r="F34171" s="40" t="s">
        <v>11404</v>
      </c>
      <c r="G34171" s="40" t="s">
        <v>11404</v>
      </c>
      <c r="H34171" s="40" t="s">
        <v>11404</v>
      </c>
    </row>
    <row r="34172">
      <c r="A34172" s="39"/>
      <c r="E34172" s="40" t="s">
        <v>11404</v>
      </c>
      <c r="F34172" s="40" t="s">
        <v>11404</v>
      </c>
      <c r="G34172" s="40" t="s">
        <v>11404</v>
      </c>
      <c r="H34172" s="40" t="s">
        <v>11404</v>
      </c>
    </row>
    <row r="34173">
      <c r="A34173" s="39"/>
      <c r="E34173" s="40" t="s">
        <v>11404</v>
      </c>
      <c r="F34173" s="40" t="s">
        <v>11404</v>
      </c>
      <c r="G34173" s="40" t="s">
        <v>11404</v>
      </c>
      <c r="H34173" s="40" t="s">
        <v>11404</v>
      </c>
    </row>
    <row r="34174">
      <c r="A34174" s="39"/>
      <c r="E34174" s="40" t="s">
        <v>11404</v>
      </c>
      <c r="F34174" s="40" t="s">
        <v>11404</v>
      </c>
      <c r="G34174" s="40" t="s">
        <v>11404</v>
      </c>
      <c r="H34174" s="40" t="s">
        <v>11404</v>
      </c>
    </row>
    <row r="34175">
      <c r="A34175" s="39"/>
      <c r="E34175" s="40" t="s">
        <v>11404</v>
      </c>
      <c r="F34175" s="40" t="s">
        <v>11404</v>
      </c>
      <c r="G34175" s="40" t="s">
        <v>11404</v>
      </c>
      <c r="H34175" s="40" t="s">
        <v>11404</v>
      </c>
    </row>
    <row r="34176">
      <c r="A34176" s="39"/>
      <c r="E34176" s="40" t="s">
        <v>11404</v>
      </c>
      <c r="F34176" s="40" t="s">
        <v>11404</v>
      </c>
      <c r="G34176" s="40" t="s">
        <v>11404</v>
      </c>
      <c r="H34176" s="40" t="s">
        <v>11404</v>
      </c>
    </row>
    <row r="34177">
      <c r="A34177" s="39"/>
      <c r="E34177" s="40" t="s">
        <v>11404</v>
      </c>
      <c r="F34177" s="40" t="s">
        <v>11404</v>
      </c>
      <c r="G34177" s="40" t="s">
        <v>11404</v>
      </c>
      <c r="H34177" s="40" t="s">
        <v>11404</v>
      </c>
    </row>
    <row r="34178">
      <c r="A34178" s="39"/>
      <c r="E34178" s="40" t="s">
        <v>11404</v>
      </c>
      <c r="F34178" s="40" t="s">
        <v>11404</v>
      </c>
      <c r="G34178" s="40" t="s">
        <v>11404</v>
      </c>
      <c r="H34178" s="40" t="s">
        <v>11404</v>
      </c>
    </row>
    <row r="34179">
      <c r="A34179" s="39"/>
      <c r="E34179" s="40" t="s">
        <v>11404</v>
      </c>
      <c r="F34179" s="40" t="s">
        <v>11404</v>
      </c>
      <c r="G34179" s="40" t="s">
        <v>11404</v>
      </c>
      <c r="H34179" s="40" t="s">
        <v>11404</v>
      </c>
    </row>
    <row r="34180">
      <c r="A34180" s="39"/>
      <c r="E34180" s="40" t="s">
        <v>11404</v>
      </c>
      <c r="F34180" s="40" t="s">
        <v>11404</v>
      </c>
      <c r="G34180" s="40" t="s">
        <v>11404</v>
      </c>
      <c r="H34180" s="40" t="s">
        <v>11404</v>
      </c>
    </row>
    <row r="34181">
      <c r="A34181" s="39"/>
      <c r="E34181" s="40" t="s">
        <v>11404</v>
      </c>
      <c r="F34181" s="40" t="s">
        <v>11404</v>
      </c>
      <c r="G34181" s="40" t="s">
        <v>11404</v>
      </c>
      <c r="H34181" s="40" t="s">
        <v>11404</v>
      </c>
    </row>
    <row r="34182">
      <c r="A34182" s="39"/>
      <c r="E34182" s="40" t="s">
        <v>11404</v>
      </c>
      <c r="F34182" s="40" t="s">
        <v>11404</v>
      </c>
      <c r="G34182" s="40" t="s">
        <v>11404</v>
      </c>
      <c r="H34182" s="40" t="s">
        <v>11404</v>
      </c>
    </row>
    <row r="34183">
      <c r="A34183" s="39"/>
      <c r="E34183" s="40" t="s">
        <v>11404</v>
      </c>
      <c r="F34183" s="40" t="s">
        <v>11404</v>
      </c>
      <c r="G34183" s="40" t="s">
        <v>11404</v>
      </c>
      <c r="H34183" s="40" t="s">
        <v>11404</v>
      </c>
    </row>
    <row r="34184">
      <c r="A34184" s="39"/>
      <c r="E34184" s="40" t="s">
        <v>11404</v>
      </c>
      <c r="F34184" s="40" t="s">
        <v>11404</v>
      </c>
      <c r="G34184" s="40" t="s">
        <v>11404</v>
      </c>
      <c r="H34184" s="40" t="s">
        <v>11404</v>
      </c>
    </row>
    <row r="34185">
      <c r="A34185" s="39"/>
      <c r="E34185" s="40" t="s">
        <v>11404</v>
      </c>
      <c r="F34185" s="40" t="s">
        <v>11404</v>
      </c>
      <c r="G34185" s="40" t="s">
        <v>11404</v>
      </c>
      <c r="H34185" s="40" t="s">
        <v>11404</v>
      </c>
    </row>
    <row r="34186">
      <c r="A34186" s="39"/>
      <c r="E34186" s="40" t="s">
        <v>11404</v>
      </c>
      <c r="F34186" s="40" t="s">
        <v>11404</v>
      </c>
      <c r="G34186" s="40" t="s">
        <v>11404</v>
      </c>
      <c r="H34186" s="40" t="s">
        <v>11404</v>
      </c>
    </row>
    <row r="34187">
      <c r="A34187" s="39"/>
      <c r="E34187" s="40" t="s">
        <v>11404</v>
      </c>
      <c r="F34187" s="40" t="s">
        <v>11404</v>
      </c>
      <c r="G34187" s="40" t="s">
        <v>11404</v>
      </c>
      <c r="H34187" s="40" t="s">
        <v>11404</v>
      </c>
    </row>
    <row r="34188">
      <c r="A34188" s="39"/>
      <c r="E34188" s="40" t="s">
        <v>11404</v>
      </c>
      <c r="F34188" s="40" t="s">
        <v>11404</v>
      </c>
      <c r="G34188" s="40" t="s">
        <v>11404</v>
      </c>
      <c r="H34188" s="40" t="s">
        <v>11404</v>
      </c>
    </row>
    <row r="34189">
      <c r="A34189" s="39"/>
      <c r="E34189" s="40" t="s">
        <v>11404</v>
      </c>
      <c r="F34189" s="40" t="s">
        <v>11404</v>
      </c>
      <c r="G34189" s="40" t="s">
        <v>11404</v>
      </c>
      <c r="H34189" s="40" t="s">
        <v>11404</v>
      </c>
    </row>
    <row r="34190">
      <c r="A34190" s="39"/>
      <c r="E34190" s="40" t="s">
        <v>11404</v>
      </c>
      <c r="F34190" s="40" t="s">
        <v>11404</v>
      </c>
      <c r="G34190" s="40" t="s">
        <v>11404</v>
      </c>
      <c r="H34190" s="40" t="s">
        <v>11404</v>
      </c>
    </row>
    <row r="34191">
      <c r="A34191" s="39"/>
      <c r="E34191" s="40" t="s">
        <v>11404</v>
      </c>
      <c r="F34191" s="40" t="s">
        <v>11404</v>
      </c>
      <c r="G34191" s="40" t="s">
        <v>11404</v>
      </c>
      <c r="H34191" s="40" t="s">
        <v>11404</v>
      </c>
    </row>
    <row r="34192">
      <c r="A34192" s="39"/>
      <c r="E34192" s="40" t="s">
        <v>11404</v>
      </c>
      <c r="F34192" s="40" t="s">
        <v>11404</v>
      </c>
      <c r="G34192" s="40" t="s">
        <v>11404</v>
      </c>
      <c r="H34192" s="40" t="s">
        <v>11404</v>
      </c>
    </row>
    <row r="34193">
      <c r="A34193" s="39"/>
      <c r="E34193" s="40" t="s">
        <v>11404</v>
      </c>
      <c r="F34193" s="40" t="s">
        <v>11404</v>
      </c>
      <c r="G34193" s="40" t="s">
        <v>11404</v>
      </c>
      <c r="H34193" s="40" t="s">
        <v>11404</v>
      </c>
    </row>
    <row r="34194">
      <c r="A34194" s="39"/>
      <c r="E34194" s="40" t="s">
        <v>11404</v>
      </c>
      <c r="F34194" s="40" t="s">
        <v>11404</v>
      </c>
      <c r="G34194" s="40" t="s">
        <v>11404</v>
      </c>
      <c r="H34194" s="40" t="s">
        <v>11404</v>
      </c>
    </row>
    <row r="34195">
      <c r="A34195" s="39"/>
      <c r="E34195" s="40" t="s">
        <v>11404</v>
      </c>
      <c r="F34195" s="40" t="s">
        <v>11404</v>
      </c>
      <c r="G34195" s="40" t="s">
        <v>11404</v>
      </c>
      <c r="H34195" s="40" t="s">
        <v>11404</v>
      </c>
    </row>
    <row r="34196">
      <c r="A34196" s="39"/>
      <c r="E34196" s="40" t="s">
        <v>11404</v>
      </c>
      <c r="F34196" s="40" t="s">
        <v>11404</v>
      </c>
      <c r="G34196" s="40" t="s">
        <v>11404</v>
      </c>
      <c r="H34196" s="40" t="s">
        <v>11404</v>
      </c>
    </row>
    <row r="34197">
      <c r="A34197" s="39"/>
      <c r="E34197" s="40" t="s">
        <v>11404</v>
      </c>
      <c r="F34197" s="40" t="s">
        <v>11404</v>
      </c>
      <c r="G34197" s="40" t="s">
        <v>11404</v>
      </c>
      <c r="H34197" s="40" t="s">
        <v>11404</v>
      </c>
    </row>
    <row r="34198">
      <c r="A34198" s="39"/>
      <c r="E34198" s="40" t="s">
        <v>11404</v>
      </c>
      <c r="F34198" s="40" t="s">
        <v>11404</v>
      </c>
      <c r="G34198" s="40" t="s">
        <v>11404</v>
      </c>
      <c r="H34198" s="40" t="s">
        <v>11404</v>
      </c>
    </row>
    <row r="34199">
      <c r="A34199" s="39"/>
      <c r="E34199" s="40" t="s">
        <v>11404</v>
      </c>
      <c r="F34199" s="40" t="s">
        <v>11404</v>
      </c>
      <c r="G34199" s="40" t="s">
        <v>11404</v>
      </c>
      <c r="H34199" s="40" t="s">
        <v>11404</v>
      </c>
    </row>
    <row r="34200">
      <c r="A34200" s="39"/>
      <c r="E34200" s="40" t="s">
        <v>11404</v>
      </c>
      <c r="F34200" s="40" t="s">
        <v>11404</v>
      </c>
      <c r="G34200" s="40" t="s">
        <v>11404</v>
      </c>
      <c r="H34200" s="40" t="s">
        <v>11404</v>
      </c>
    </row>
    <row r="34201">
      <c r="A34201" s="39"/>
      <c r="E34201" s="40" t="s">
        <v>11404</v>
      </c>
      <c r="F34201" s="40" t="s">
        <v>11404</v>
      </c>
      <c r="G34201" s="40" t="s">
        <v>11404</v>
      </c>
      <c r="H34201" s="40" t="s">
        <v>11404</v>
      </c>
    </row>
    <row r="34202">
      <c r="A34202" s="39"/>
      <c r="E34202" s="40" t="s">
        <v>11404</v>
      </c>
      <c r="F34202" s="40" t="s">
        <v>11404</v>
      </c>
      <c r="G34202" s="40" t="s">
        <v>11404</v>
      </c>
      <c r="H34202" s="40" t="s">
        <v>11404</v>
      </c>
    </row>
    <row r="34203">
      <c r="A34203" s="39"/>
      <c r="E34203" s="40" t="s">
        <v>11404</v>
      </c>
      <c r="F34203" s="40" t="s">
        <v>11404</v>
      </c>
      <c r="G34203" s="40" t="s">
        <v>11404</v>
      </c>
      <c r="H34203" s="40" t="s">
        <v>11404</v>
      </c>
    </row>
    <row r="34204">
      <c r="A34204" s="39"/>
      <c r="E34204" s="40" t="s">
        <v>11404</v>
      </c>
      <c r="F34204" s="40" t="s">
        <v>11404</v>
      </c>
      <c r="G34204" s="40" t="s">
        <v>11404</v>
      </c>
      <c r="H34204" s="40" t="s">
        <v>11404</v>
      </c>
    </row>
    <row r="34205">
      <c r="A34205" s="39"/>
      <c r="E34205" s="40" t="s">
        <v>11404</v>
      </c>
      <c r="F34205" s="40" t="s">
        <v>11404</v>
      </c>
      <c r="G34205" s="40" t="s">
        <v>11404</v>
      </c>
      <c r="H34205" s="40" t="s">
        <v>11404</v>
      </c>
    </row>
    <row r="34206">
      <c r="A34206" s="39"/>
      <c r="E34206" s="40" t="s">
        <v>11404</v>
      </c>
      <c r="F34206" s="40" t="s">
        <v>11404</v>
      </c>
      <c r="G34206" s="40" t="s">
        <v>11404</v>
      </c>
      <c r="H34206" s="40" t="s">
        <v>11404</v>
      </c>
    </row>
    <row r="34207">
      <c r="A34207" s="39"/>
      <c r="E34207" s="40" t="s">
        <v>11404</v>
      </c>
      <c r="F34207" s="40" t="s">
        <v>11404</v>
      </c>
      <c r="G34207" s="40" t="s">
        <v>11404</v>
      </c>
      <c r="H34207" s="40" t="s">
        <v>11404</v>
      </c>
    </row>
    <row r="34208">
      <c r="A34208" s="39"/>
      <c r="E34208" s="40" t="s">
        <v>11404</v>
      </c>
      <c r="F34208" s="40" t="s">
        <v>11404</v>
      </c>
      <c r="G34208" s="40" t="s">
        <v>11404</v>
      </c>
      <c r="H34208" s="40" t="s">
        <v>11404</v>
      </c>
    </row>
    <row r="34209">
      <c r="A34209" s="39"/>
      <c r="E34209" s="40" t="s">
        <v>11404</v>
      </c>
      <c r="F34209" s="40" t="s">
        <v>11404</v>
      </c>
      <c r="G34209" s="40" t="s">
        <v>11404</v>
      </c>
      <c r="H34209" s="40" t="s">
        <v>11404</v>
      </c>
    </row>
    <row r="34210">
      <c r="A34210" s="39"/>
      <c r="E34210" s="40" t="s">
        <v>11404</v>
      </c>
      <c r="F34210" s="40" t="s">
        <v>11404</v>
      </c>
      <c r="G34210" s="40" t="s">
        <v>11404</v>
      </c>
      <c r="H34210" s="40" t="s">
        <v>11404</v>
      </c>
    </row>
    <row r="34211">
      <c r="A34211" s="39"/>
      <c r="E34211" s="40" t="s">
        <v>11404</v>
      </c>
      <c r="F34211" s="40" t="s">
        <v>11404</v>
      </c>
      <c r="G34211" s="40" t="s">
        <v>11404</v>
      </c>
      <c r="H34211" s="40" t="s">
        <v>11404</v>
      </c>
    </row>
    <row r="34212">
      <c r="A34212" s="39"/>
      <c r="E34212" s="40" t="s">
        <v>11404</v>
      </c>
      <c r="F34212" s="40" t="s">
        <v>11404</v>
      </c>
      <c r="G34212" s="40" t="s">
        <v>11404</v>
      </c>
      <c r="H34212" s="40" t="s">
        <v>11404</v>
      </c>
    </row>
    <row r="34213">
      <c r="A34213" s="39"/>
      <c r="E34213" s="40" t="s">
        <v>11404</v>
      </c>
      <c r="F34213" s="40" t="s">
        <v>11404</v>
      </c>
      <c r="G34213" s="40" t="s">
        <v>11404</v>
      </c>
      <c r="H34213" s="40" t="s">
        <v>11404</v>
      </c>
    </row>
    <row r="34214">
      <c r="A34214" s="39"/>
      <c r="E34214" s="40" t="s">
        <v>11404</v>
      </c>
      <c r="F34214" s="40" t="s">
        <v>11404</v>
      </c>
      <c r="G34214" s="40" t="s">
        <v>11404</v>
      </c>
      <c r="H34214" s="40" t="s">
        <v>11404</v>
      </c>
    </row>
    <row r="34215">
      <c r="A34215" s="39"/>
      <c r="E34215" s="40" t="s">
        <v>11404</v>
      </c>
      <c r="F34215" s="40" t="s">
        <v>11404</v>
      </c>
      <c r="G34215" s="40" t="s">
        <v>11404</v>
      </c>
      <c r="H34215" s="40" t="s">
        <v>11404</v>
      </c>
    </row>
    <row r="34216">
      <c r="A34216" s="39"/>
      <c r="E34216" s="40" t="s">
        <v>11404</v>
      </c>
      <c r="F34216" s="40" t="s">
        <v>11404</v>
      </c>
      <c r="G34216" s="40" t="s">
        <v>11404</v>
      </c>
      <c r="H34216" s="40" t="s">
        <v>11404</v>
      </c>
    </row>
    <row r="34217">
      <c r="A34217" s="39"/>
      <c r="E34217" s="40" t="s">
        <v>11404</v>
      </c>
      <c r="F34217" s="40" t="s">
        <v>11404</v>
      </c>
      <c r="G34217" s="40" t="s">
        <v>11404</v>
      </c>
      <c r="H34217" s="40" t="s">
        <v>11404</v>
      </c>
    </row>
    <row r="34218">
      <c r="A34218" s="39"/>
      <c r="E34218" s="40" t="s">
        <v>11404</v>
      </c>
      <c r="F34218" s="40" t="s">
        <v>11404</v>
      </c>
      <c r="G34218" s="40" t="s">
        <v>11404</v>
      </c>
      <c r="H34218" s="40" t="s">
        <v>11404</v>
      </c>
    </row>
    <row r="34219">
      <c r="A34219" s="39"/>
      <c r="E34219" s="40" t="s">
        <v>11404</v>
      </c>
      <c r="F34219" s="40" t="s">
        <v>11404</v>
      </c>
      <c r="G34219" s="40" t="s">
        <v>11404</v>
      </c>
      <c r="H34219" s="40" t="s">
        <v>11404</v>
      </c>
    </row>
    <row r="34220">
      <c r="A34220" s="39"/>
      <c r="E34220" s="40" t="s">
        <v>11404</v>
      </c>
      <c r="F34220" s="40" t="s">
        <v>11404</v>
      </c>
      <c r="G34220" s="40" t="s">
        <v>11404</v>
      </c>
      <c r="H34220" s="40" t="s">
        <v>11404</v>
      </c>
    </row>
    <row r="34221">
      <c r="A34221" s="39"/>
      <c r="E34221" s="40" t="s">
        <v>11404</v>
      </c>
      <c r="F34221" s="40" t="s">
        <v>11404</v>
      </c>
      <c r="G34221" s="40" t="s">
        <v>11404</v>
      </c>
      <c r="H34221" s="40" t="s">
        <v>11404</v>
      </c>
    </row>
    <row r="34222">
      <c r="A34222" s="39"/>
      <c r="E34222" s="40" t="s">
        <v>11404</v>
      </c>
      <c r="F34222" s="40" t="s">
        <v>11404</v>
      </c>
      <c r="G34222" s="40" t="s">
        <v>11404</v>
      </c>
      <c r="H34222" s="40" t="s">
        <v>11404</v>
      </c>
    </row>
    <row r="34223">
      <c r="A34223" s="39"/>
      <c r="E34223" s="40" t="s">
        <v>11404</v>
      </c>
      <c r="F34223" s="40" t="s">
        <v>11404</v>
      </c>
      <c r="G34223" s="40" t="s">
        <v>11404</v>
      </c>
      <c r="H34223" s="40" t="s">
        <v>11404</v>
      </c>
    </row>
    <row r="34224">
      <c r="A34224" s="39"/>
      <c r="E34224" s="40" t="s">
        <v>11404</v>
      </c>
      <c r="F34224" s="40" t="s">
        <v>11404</v>
      </c>
      <c r="G34224" s="40" t="s">
        <v>11404</v>
      </c>
      <c r="H34224" s="40" t="s">
        <v>11404</v>
      </c>
    </row>
    <row r="34225">
      <c r="A34225" s="39"/>
      <c r="E34225" s="40" t="s">
        <v>11404</v>
      </c>
      <c r="F34225" s="40" t="s">
        <v>11404</v>
      </c>
      <c r="G34225" s="40" t="s">
        <v>11404</v>
      </c>
      <c r="H34225" s="40" t="s">
        <v>11404</v>
      </c>
    </row>
    <row r="34226">
      <c r="A34226" s="39"/>
      <c r="E34226" s="40" t="s">
        <v>11404</v>
      </c>
      <c r="F34226" s="40" t="s">
        <v>11404</v>
      </c>
      <c r="G34226" s="40" t="s">
        <v>11404</v>
      </c>
      <c r="H34226" s="40" t="s">
        <v>11404</v>
      </c>
    </row>
    <row r="34227">
      <c r="A34227" s="39"/>
      <c r="E34227" s="40" t="s">
        <v>11404</v>
      </c>
      <c r="F34227" s="40" t="s">
        <v>11404</v>
      </c>
      <c r="G34227" s="40" t="s">
        <v>11404</v>
      </c>
      <c r="H34227" s="40" t="s">
        <v>11404</v>
      </c>
    </row>
    <row r="34228">
      <c r="A34228" s="39"/>
      <c r="E34228" s="40" t="s">
        <v>11404</v>
      </c>
      <c r="F34228" s="40" t="s">
        <v>11404</v>
      </c>
      <c r="G34228" s="40" t="s">
        <v>11404</v>
      </c>
      <c r="H34228" s="40" t="s">
        <v>11404</v>
      </c>
    </row>
    <row r="34229">
      <c r="A34229" s="39"/>
      <c r="E34229" s="40" t="s">
        <v>11404</v>
      </c>
      <c r="F34229" s="40" t="s">
        <v>11404</v>
      </c>
      <c r="G34229" s="40" t="s">
        <v>11404</v>
      </c>
      <c r="H34229" s="40" t="s">
        <v>11404</v>
      </c>
    </row>
    <row r="34230">
      <c r="A34230" s="39"/>
      <c r="E34230" s="40" t="s">
        <v>11404</v>
      </c>
      <c r="F34230" s="40" t="s">
        <v>11404</v>
      </c>
      <c r="G34230" s="40" t="s">
        <v>11404</v>
      </c>
      <c r="H34230" s="40" t="s">
        <v>11404</v>
      </c>
    </row>
    <row r="34231">
      <c r="A34231" s="39"/>
      <c r="E34231" s="40" t="s">
        <v>11404</v>
      </c>
      <c r="F34231" s="40" t="s">
        <v>11404</v>
      </c>
      <c r="G34231" s="40" t="s">
        <v>11404</v>
      </c>
      <c r="H34231" s="40" t="s">
        <v>11404</v>
      </c>
    </row>
    <row r="34232">
      <c r="A34232" s="39"/>
      <c r="E34232" s="40" t="s">
        <v>11404</v>
      </c>
      <c r="F34232" s="40" t="s">
        <v>11404</v>
      </c>
      <c r="G34232" s="40" t="s">
        <v>11404</v>
      </c>
      <c r="H34232" s="40" t="s">
        <v>11404</v>
      </c>
    </row>
    <row r="34233">
      <c r="A34233" s="39"/>
      <c r="E34233" s="40" t="s">
        <v>11404</v>
      </c>
      <c r="F34233" s="40" t="s">
        <v>11404</v>
      </c>
      <c r="G34233" s="40" t="s">
        <v>11404</v>
      </c>
      <c r="H34233" s="40" t="s">
        <v>11404</v>
      </c>
    </row>
    <row r="34234">
      <c r="A34234" s="39"/>
      <c r="E34234" s="40" t="s">
        <v>11404</v>
      </c>
      <c r="F34234" s="40" t="s">
        <v>11404</v>
      </c>
      <c r="G34234" s="40" t="s">
        <v>11404</v>
      </c>
      <c r="H34234" s="40" t="s">
        <v>11404</v>
      </c>
    </row>
    <row r="34235">
      <c r="A34235" s="39"/>
      <c r="E34235" s="40" t="s">
        <v>11404</v>
      </c>
      <c r="F34235" s="40" t="s">
        <v>11404</v>
      </c>
      <c r="G34235" s="40" t="s">
        <v>11404</v>
      </c>
      <c r="H34235" s="40" t="s">
        <v>11404</v>
      </c>
    </row>
    <row r="34236">
      <c r="A34236" s="39"/>
      <c r="E34236" s="40" t="s">
        <v>11404</v>
      </c>
      <c r="F34236" s="40" t="s">
        <v>11404</v>
      </c>
      <c r="G34236" s="40" t="s">
        <v>11404</v>
      </c>
      <c r="H34236" s="40" t="s">
        <v>11404</v>
      </c>
    </row>
    <row r="34237">
      <c r="A34237" s="39"/>
      <c r="E34237" s="40" t="s">
        <v>11404</v>
      </c>
      <c r="F34237" s="40" t="s">
        <v>11404</v>
      </c>
      <c r="G34237" s="40" t="s">
        <v>11404</v>
      </c>
      <c r="H34237" s="40" t="s">
        <v>11404</v>
      </c>
    </row>
    <row r="34238">
      <c r="A34238" s="39"/>
      <c r="E34238" s="40" t="s">
        <v>11404</v>
      </c>
      <c r="F34238" s="40" t="s">
        <v>11404</v>
      </c>
      <c r="G34238" s="40" t="s">
        <v>11404</v>
      </c>
      <c r="H34238" s="40" t="s">
        <v>11404</v>
      </c>
    </row>
    <row r="34239">
      <c r="A34239" s="39"/>
      <c r="E34239" s="40" t="s">
        <v>11404</v>
      </c>
      <c r="F34239" s="40" t="s">
        <v>11404</v>
      </c>
      <c r="G34239" s="40" t="s">
        <v>11404</v>
      </c>
      <c r="H34239" s="40" t="s">
        <v>11404</v>
      </c>
    </row>
    <row r="34240">
      <c r="A34240" s="39"/>
      <c r="E34240" s="40" t="s">
        <v>11404</v>
      </c>
      <c r="F34240" s="40" t="s">
        <v>11404</v>
      </c>
      <c r="G34240" s="40" t="s">
        <v>11404</v>
      </c>
      <c r="H34240" s="40" t="s">
        <v>11404</v>
      </c>
    </row>
    <row r="34241">
      <c r="A34241" s="39"/>
      <c r="E34241" s="40" t="s">
        <v>11404</v>
      </c>
      <c r="F34241" s="40" t="s">
        <v>11404</v>
      </c>
      <c r="G34241" s="40" t="s">
        <v>11404</v>
      </c>
      <c r="H34241" s="40" t="s">
        <v>11404</v>
      </c>
    </row>
    <row r="34242">
      <c r="A34242" s="39"/>
      <c r="E34242" s="40" t="s">
        <v>11404</v>
      </c>
      <c r="F34242" s="40" t="s">
        <v>11404</v>
      </c>
      <c r="G34242" s="40" t="s">
        <v>11404</v>
      </c>
      <c r="H34242" s="40" t="s">
        <v>11404</v>
      </c>
    </row>
    <row r="34243">
      <c r="A34243" s="39"/>
      <c r="E34243" s="40" t="s">
        <v>11404</v>
      </c>
      <c r="F34243" s="40" t="s">
        <v>11404</v>
      </c>
      <c r="G34243" s="40" t="s">
        <v>11404</v>
      </c>
      <c r="H34243" s="40" t="s">
        <v>11404</v>
      </c>
    </row>
    <row r="34244">
      <c r="A34244" s="39"/>
      <c r="E34244" s="40" t="s">
        <v>11404</v>
      </c>
      <c r="F34244" s="40" t="s">
        <v>11404</v>
      </c>
      <c r="G34244" s="40" t="s">
        <v>11404</v>
      </c>
      <c r="H34244" s="40" t="s">
        <v>11404</v>
      </c>
    </row>
    <row r="34245">
      <c r="A34245" s="39"/>
      <c r="E34245" s="40" t="s">
        <v>11404</v>
      </c>
      <c r="F34245" s="40" t="s">
        <v>11404</v>
      </c>
      <c r="G34245" s="40" t="s">
        <v>11404</v>
      </c>
      <c r="H34245" s="40" t="s">
        <v>11404</v>
      </c>
    </row>
    <row r="34246">
      <c r="A34246" s="39"/>
      <c r="E34246" s="40" t="s">
        <v>11404</v>
      </c>
      <c r="F34246" s="40" t="s">
        <v>11404</v>
      </c>
      <c r="G34246" s="40" t="s">
        <v>11404</v>
      </c>
      <c r="H34246" s="40" t="s">
        <v>11404</v>
      </c>
    </row>
    <row r="34247">
      <c r="A34247" s="39"/>
      <c r="E34247" s="40" t="s">
        <v>11404</v>
      </c>
      <c r="F34247" s="40" t="s">
        <v>11404</v>
      </c>
      <c r="G34247" s="40" t="s">
        <v>11404</v>
      </c>
      <c r="H34247" s="40" t="s">
        <v>11404</v>
      </c>
    </row>
    <row r="34248">
      <c r="A34248" s="39"/>
      <c r="E34248" s="40" t="s">
        <v>11404</v>
      </c>
      <c r="F34248" s="40" t="s">
        <v>11404</v>
      </c>
      <c r="G34248" s="40" t="s">
        <v>11404</v>
      </c>
      <c r="H34248" s="40" t="s">
        <v>11404</v>
      </c>
    </row>
    <row r="34249">
      <c r="A34249" s="39"/>
      <c r="E34249" s="40" t="s">
        <v>11404</v>
      </c>
      <c r="F34249" s="40" t="s">
        <v>11404</v>
      </c>
      <c r="G34249" s="40" t="s">
        <v>11404</v>
      </c>
      <c r="H34249" s="40" t="s">
        <v>11404</v>
      </c>
    </row>
    <row r="34250">
      <c r="A34250" s="39"/>
      <c r="E34250" s="40" t="s">
        <v>11404</v>
      </c>
      <c r="F34250" s="40" t="s">
        <v>11404</v>
      </c>
      <c r="G34250" s="40" t="s">
        <v>11404</v>
      </c>
      <c r="H34250" s="40" t="s">
        <v>11404</v>
      </c>
    </row>
    <row r="34251">
      <c r="A34251" s="39"/>
      <c r="E34251" s="40" t="s">
        <v>11404</v>
      </c>
      <c r="F34251" s="40" t="s">
        <v>11404</v>
      </c>
      <c r="G34251" s="40" t="s">
        <v>11404</v>
      </c>
      <c r="H34251" s="40" t="s">
        <v>11404</v>
      </c>
    </row>
    <row r="34252">
      <c r="A34252" s="39"/>
      <c r="E34252" s="40" t="s">
        <v>11404</v>
      </c>
      <c r="F34252" s="40" t="s">
        <v>11404</v>
      </c>
      <c r="G34252" s="40" t="s">
        <v>11404</v>
      </c>
      <c r="H34252" s="40" t="s">
        <v>11404</v>
      </c>
    </row>
    <row r="34253">
      <c r="A34253" s="39"/>
      <c r="E34253" s="40" t="s">
        <v>11404</v>
      </c>
      <c r="F34253" s="40" t="s">
        <v>11404</v>
      </c>
      <c r="G34253" s="40" t="s">
        <v>11404</v>
      </c>
      <c r="H34253" s="40" t="s">
        <v>11404</v>
      </c>
    </row>
    <row r="34254">
      <c r="A34254" s="39"/>
      <c r="E34254" s="40" t="s">
        <v>11404</v>
      </c>
      <c r="F34254" s="40" t="s">
        <v>11404</v>
      </c>
      <c r="G34254" s="40" t="s">
        <v>11404</v>
      </c>
      <c r="H34254" s="40" t="s">
        <v>11404</v>
      </c>
    </row>
    <row r="34255">
      <c r="A34255" s="39"/>
      <c r="E34255" s="40" t="s">
        <v>11404</v>
      </c>
      <c r="F34255" s="40" t="s">
        <v>11404</v>
      </c>
      <c r="G34255" s="40" t="s">
        <v>11404</v>
      </c>
      <c r="H34255" s="40" t="s">
        <v>11404</v>
      </c>
    </row>
    <row r="34256">
      <c r="A34256" s="39"/>
      <c r="E34256" s="40" t="s">
        <v>11404</v>
      </c>
      <c r="F34256" s="40" t="s">
        <v>11404</v>
      </c>
      <c r="G34256" s="40" t="s">
        <v>11404</v>
      </c>
      <c r="H34256" s="40" t="s">
        <v>11404</v>
      </c>
    </row>
    <row r="34257">
      <c r="A34257" s="39"/>
      <c r="E34257" s="40" t="s">
        <v>11404</v>
      </c>
      <c r="F34257" s="40" t="s">
        <v>11404</v>
      </c>
      <c r="G34257" s="40" t="s">
        <v>11404</v>
      </c>
      <c r="H34257" s="40" t="s">
        <v>11404</v>
      </c>
    </row>
    <row r="34258">
      <c r="A34258" s="39"/>
      <c r="E34258" s="40" t="s">
        <v>11404</v>
      </c>
      <c r="F34258" s="40" t="s">
        <v>11404</v>
      </c>
      <c r="G34258" s="40" t="s">
        <v>11404</v>
      </c>
      <c r="H34258" s="40" t="s">
        <v>11404</v>
      </c>
    </row>
    <row r="34259">
      <c r="A34259" s="39"/>
      <c r="E34259" s="40" t="s">
        <v>11404</v>
      </c>
      <c r="F34259" s="40" t="s">
        <v>11404</v>
      </c>
      <c r="G34259" s="40" t="s">
        <v>11404</v>
      </c>
      <c r="H34259" s="40" t="s">
        <v>11404</v>
      </c>
    </row>
    <row r="34260">
      <c r="A34260" s="39"/>
      <c r="E34260" s="40" t="s">
        <v>11404</v>
      </c>
      <c r="F34260" s="40" t="s">
        <v>11404</v>
      </c>
      <c r="G34260" s="40" t="s">
        <v>11404</v>
      </c>
      <c r="H34260" s="40" t="s">
        <v>11404</v>
      </c>
    </row>
    <row r="34261">
      <c r="A34261" s="39"/>
      <c r="E34261" s="40" t="s">
        <v>11404</v>
      </c>
      <c r="F34261" s="40" t="s">
        <v>11404</v>
      </c>
      <c r="G34261" s="40" t="s">
        <v>11404</v>
      </c>
      <c r="H34261" s="40" t="s">
        <v>11404</v>
      </c>
    </row>
    <row r="34262">
      <c r="A34262" s="39"/>
      <c r="E34262" s="40" t="s">
        <v>11404</v>
      </c>
      <c r="F34262" s="40" t="s">
        <v>11404</v>
      </c>
      <c r="G34262" s="40" t="s">
        <v>11404</v>
      </c>
      <c r="H34262" s="40" t="s">
        <v>11404</v>
      </c>
    </row>
    <row r="34263">
      <c r="A34263" s="39"/>
      <c r="E34263" s="40" t="s">
        <v>11404</v>
      </c>
      <c r="F34263" s="40" t="s">
        <v>11404</v>
      </c>
      <c r="G34263" s="40" t="s">
        <v>11404</v>
      </c>
      <c r="H34263" s="40" t="s">
        <v>11404</v>
      </c>
    </row>
    <row r="34264">
      <c r="A34264" s="39"/>
      <c r="E34264" s="40" t="s">
        <v>11404</v>
      </c>
      <c r="F34264" s="40" t="s">
        <v>11404</v>
      </c>
      <c r="G34264" s="40" t="s">
        <v>11404</v>
      </c>
      <c r="H34264" s="40" t="s">
        <v>11404</v>
      </c>
    </row>
    <row r="34265">
      <c r="A34265" s="39"/>
      <c r="E34265" s="40" t="s">
        <v>11404</v>
      </c>
      <c r="F34265" s="40" t="s">
        <v>11404</v>
      </c>
      <c r="G34265" s="40" t="s">
        <v>11404</v>
      </c>
      <c r="H34265" s="40" t="s">
        <v>11404</v>
      </c>
    </row>
    <row r="34266">
      <c r="A34266" s="39"/>
      <c r="E34266" s="40" t="s">
        <v>11404</v>
      </c>
      <c r="F34266" s="40" t="s">
        <v>11404</v>
      </c>
      <c r="G34266" s="40" t="s">
        <v>11404</v>
      </c>
      <c r="H34266" s="40" t="s">
        <v>11404</v>
      </c>
    </row>
    <row r="34267">
      <c r="A34267" s="39"/>
      <c r="E34267" s="40" t="s">
        <v>11404</v>
      </c>
      <c r="F34267" s="40" t="s">
        <v>11404</v>
      </c>
      <c r="G34267" s="40" t="s">
        <v>11404</v>
      </c>
      <c r="H34267" s="40" t="s">
        <v>11404</v>
      </c>
    </row>
    <row r="34268">
      <c r="A34268" s="39"/>
      <c r="E34268" s="40" t="s">
        <v>11404</v>
      </c>
      <c r="F34268" s="40" t="s">
        <v>11404</v>
      </c>
      <c r="G34268" s="40" t="s">
        <v>11404</v>
      </c>
      <c r="H34268" s="40" t="s">
        <v>11404</v>
      </c>
    </row>
    <row r="34269">
      <c r="A34269" s="39"/>
      <c r="E34269" s="40" t="s">
        <v>11404</v>
      </c>
      <c r="F34269" s="40" t="s">
        <v>11404</v>
      </c>
      <c r="G34269" s="40" t="s">
        <v>11404</v>
      </c>
      <c r="H34269" s="40" t="s">
        <v>11404</v>
      </c>
    </row>
    <row r="34270">
      <c r="A34270" s="39"/>
      <c r="E34270" s="40" t="s">
        <v>11404</v>
      </c>
      <c r="F34270" s="40" t="s">
        <v>11404</v>
      </c>
      <c r="G34270" s="40" t="s">
        <v>11404</v>
      </c>
      <c r="H34270" s="40" t="s">
        <v>11404</v>
      </c>
    </row>
    <row r="34271">
      <c r="A34271" s="39"/>
      <c r="E34271" s="40" t="s">
        <v>11404</v>
      </c>
      <c r="F34271" s="40" t="s">
        <v>11404</v>
      </c>
      <c r="G34271" s="40" t="s">
        <v>11404</v>
      </c>
      <c r="H34271" s="40" t="s">
        <v>11404</v>
      </c>
    </row>
    <row r="34272">
      <c r="A34272" s="39"/>
      <c r="E34272" s="40" t="s">
        <v>11404</v>
      </c>
      <c r="F34272" s="40" t="s">
        <v>11404</v>
      </c>
      <c r="G34272" s="40" t="s">
        <v>11404</v>
      </c>
      <c r="H34272" s="40" t="s">
        <v>11404</v>
      </c>
    </row>
    <row r="34273">
      <c r="A34273" s="39"/>
      <c r="E34273" s="40" t="s">
        <v>11404</v>
      </c>
      <c r="F34273" s="40" t="s">
        <v>11404</v>
      </c>
      <c r="G34273" s="40" t="s">
        <v>11404</v>
      </c>
      <c r="H34273" s="40" t="s">
        <v>11404</v>
      </c>
    </row>
    <row r="34274">
      <c r="A34274" s="39"/>
      <c r="E34274" s="40" t="s">
        <v>11404</v>
      </c>
      <c r="F34274" s="40" t="s">
        <v>11404</v>
      </c>
      <c r="G34274" s="40" t="s">
        <v>11404</v>
      </c>
      <c r="H34274" s="40" t="s">
        <v>11404</v>
      </c>
    </row>
    <row r="34275">
      <c r="A34275" s="39"/>
      <c r="E34275" s="40" t="s">
        <v>11404</v>
      </c>
      <c r="F34275" s="40" t="s">
        <v>11404</v>
      </c>
      <c r="G34275" s="40" t="s">
        <v>11404</v>
      </c>
      <c r="H34275" s="40" t="s">
        <v>11404</v>
      </c>
    </row>
    <row r="34276">
      <c r="A34276" s="39"/>
      <c r="E34276" s="40" t="s">
        <v>11404</v>
      </c>
      <c r="F34276" s="40" t="s">
        <v>11404</v>
      </c>
      <c r="G34276" s="40" t="s">
        <v>11404</v>
      </c>
      <c r="H34276" s="40" t="s">
        <v>11404</v>
      </c>
    </row>
    <row r="34277">
      <c r="A34277" s="39"/>
      <c r="E34277" s="40" t="s">
        <v>11404</v>
      </c>
      <c r="F34277" s="40" t="s">
        <v>11404</v>
      </c>
      <c r="G34277" s="40" t="s">
        <v>11404</v>
      </c>
      <c r="H34277" s="40" t="s">
        <v>11404</v>
      </c>
    </row>
    <row r="34278">
      <c r="A34278" s="39"/>
      <c r="E34278" s="40" t="s">
        <v>11404</v>
      </c>
      <c r="F34278" s="40" t="s">
        <v>11404</v>
      </c>
      <c r="G34278" s="40" t="s">
        <v>11404</v>
      </c>
      <c r="H34278" s="40" t="s">
        <v>11404</v>
      </c>
    </row>
    <row r="34279">
      <c r="A34279" s="39"/>
      <c r="E34279" s="40" t="s">
        <v>11404</v>
      </c>
      <c r="F34279" s="40" t="s">
        <v>11404</v>
      </c>
      <c r="G34279" s="40" t="s">
        <v>11404</v>
      </c>
      <c r="H34279" s="40" t="s">
        <v>11404</v>
      </c>
    </row>
    <row r="34280">
      <c r="A34280" s="39"/>
      <c r="E34280" s="40" t="s">
        <v>11404</v>
      </c>
      <c r="F34280" s="40" t="s">
        <v>11404</v>
      </c>
      <c r="G34280" s="40" t="s">
        <v>11404</v>
      </c>
      <c r="H34280" s="40" t="s">
        <v>11404</v>
      </c>
    </row>
    <row r="34281">
      <c r="A34281" s="39"/>
      <c r="E34281" s="40" t="s">
        <v>11404</v>
      </c>
      <c r="F34281" s="40" t="s">
        <v>11404</v>
      </c>
      <c r="G34281" s="40" t="s">
        <v>11404</v>
      </c>
      <c r="H34281" s="40" t="s">
        <v>11404</v>
      </c>
    </row>
    <row r="34282">
      <c r="A34282" s="39"/>
      <c r="E34282" s="40" t="s">
        <v>11404</v>
      </c>
      <c r="F34282" s="40" t="s">
        <v>11404</v>
      </c>
      <c r="G34282" s="40" t="s">
        <v>11404</v>
      </c>
      <c r="H34282" s="40" t="s">
        <v>11404</v>
      </c>
    </row>
    <row r="34283">
      <c r="A34283" s="39"/>
      <c r="E34283" s="40" t="s">
        <v>11404</v>
      </c>
      <c r="F34283" s="40" t="s">
        <v>11404</v>
      </c>
      <c r="G34283" s="40" t="s">
        <v>11404</v>
      </c>
      <c r="H34283" s="40" t="s">
        <v>11404</v>
      </c>
    </row>
    <row r="34284">
      <c r="A34284" s="39"/>
      <c r="E34284" s="40" t="s">
        <v>11404</v>
      </c>
      <c r="F34284" s="40" t="s">
        <v>11404</v>
      </c>
      <c r="G34284" s="40" t="s">
        <v>11404</v>
      </c>
      <c r="H34284" s="40" t="s">
        <v>11404</v>
      </c>
    </row>
    <row r="34285">
      <c r="A34285" s="39"/>
      <c r="E34285" s="40" t="s">
        <v>11404</v>
      </c>
      <c r="F34285" s="40" t="s">
        <v>11404</v>
      </c>
      <c r="G34285" s="40" t="s">
        <v>11404</v>
      </c>
      <c r="H34285" s="40" t="s">
        <v>11404</v>
      </c>
    </row>
    <row r="34286">
      <c r="A34286" s="39"/>
      <c r="E34286" s="40" t="s">
        <v>11404</v>
      </c>
      <c r="F34286" s="40" t="s">
        <v>11404</v>
      </c>
      <c r="G34286" s="40" t="s">
        <v>11404</v>
      </c>
      <c r="H34286" s="40" t="s">
        <v>11404</v>
      </c>
    </row>
    <row r="34287">
      <c r="A34287" s="39"/>
      <c r="E34287" s="40" t="s">
        <v>11404</v>
      </c>
      <c r="F34287" s="40" t="s">
        <v>11404</v>
      </c>
      <c r="G34287" s="40" t="s">
        <v>11404</v>
      </c>
      <c r="H34287" s="40" t="s">
        <v>11404</v>
      </c>
    </row>
    <row r="34288">
      <c r="A34288" s="39"/>
      <c r="E34288" s="40" t="s">
        <v>11404</v>
      </c>
      <c r="F34288" s="40" t="s">
        <v>11404</v>
      </c>
      <c r="G34288" s="40" t="s">
        <v>11404</v>
      </c>
      <c r="H34288" s="40" t="s">
        <v>11404</v>
      </c>
    </row>
    <row r="34289">
      <c r="A34289" s="39"/>
      <c r="E34289" s="40" t="s">
        <v>11404</v>
      </c>
      <c r="F34289" s="40" t="s">
        <v>11404</v>
      </c>
      <c r="G34289" s="40" t="s">
        <v>11404</v>
      </c>
      <c r="H34289" s="40" t="s">
        <v>11404</v>
      </c>
    </row>
    <row r="34290">
      <c r="A34290" s="39"/>
      <c r="E34290" s="40" t="s">
        <v>11404</v>
      </c>
      <c r="F34290" s="40" t="s">
        <v>11404</v>
      </c>
      <c r="G34290" s="40" t="s">
        <v>11404</v>
      </c>
      <c r="H34290" s="40" t="s">
        <v>11404</v>
      </c>
    </row>
    <row r="34291">
      <c r="A34291" s="39"/>
      <c r="E34291" s="40" t="s">
        <v>11404</v>
      </c>
      <c r="F34291" s="40" t="s">
        <v>11404</v>
      </c>
      <c r="G34291" s="40" t="s">
        <v>11404</v>
      </c>
      <c r="H34291" s="40" t="s">
        <v>11404</v>
      </c>
    </row>
    <row r="34292">
      <c r="A34292" s="39"/>
      <c r="E34292" s="40" t="s">
        <v>11404</v>
      </c>
      <c r="F34292" s="40" t="s">
        <v>11404</v>
      </c>
      <c r="G34292" s="40" t="s">
        <v>11404</v>
      </c>
      <c r="H34292" s="40" t="s">
        <v>11404</v>
      </c>
    </row>
    <row r="34293">
      <c r="A34293" s="39"/>
      <c r="E34293" s="40" t="s">
        <v>11404</v>
      </c>
      <c r="F34293" s="40" t="s">
        <v>11404</v>
      </c>
      <c r="G34293" s="40" t="s">
        <v>11404</v>
      </c>
      <c r="H34293" s="40" t="s">
        <v>11404</v>
      </c>
    </row>
    <row r="34294">
      <c r="A34294" s="39"/>
      <c r="E34294" s="40" t="s">
        <v>11404</v>
      </c>
      <c r="F34294" s="40" t="s">
        <v>11404</v>
      </c>
      <c r="G34294" s="40" t="s">
        <v>11404</v>
      </c>
      <c r="H34294" s="40" t="s">
        <v>11404</v>
      </c>
    </row>
    <row r="34295">
      <c r="A34295" s="39"/>
      <c r="E34295" s="40" t="s">
        <v>11404</v>
      </c>
      <c r="F34295" s="40" t="s">
        <v>11404</v>
      </c>
      <c r="G34295" s="40" t="s">
        <v>11404</v>
      </c>
      <c r="H34295" s="40" t="s">
        <v>11404</v>
      </c>
    </row>
    <row r="34296">
      <c r="A34296" s="39"/>
      <c r="E34296" s="40" t="s">
        <v>11404</v>
      </c>
      <c r="F34296" s="40" t="s">
        <v>11404</v>
      </c>
      <c r="G34296" s="40" t="s">
        <v>11404</v>
      </c>
      <c r="H34296" s="40" t="s">
        <v>11404</v>
      </c>
    </row>
    <row r="34297">
      <c r="A34297" s="39"/>
      <c r="E34297" s="40" t="s">
        <v>11404</v>
      </c>
      <c r="F34297" s="40" t="s">
        <v>11404</v>
      </c>
      <c r="G34297" s="40" t="s">
        <v>11404</v>
      </c>
      <c r="H34297" s="40" t="s">
        <v>11404</v>
      </c>
    </row>
    <row r="34298">
      <c r="A34298" s="39"/>
      <c r="E34298" s="40" t="s">
        <v>11404</v>
      </c>
      <c r="F34298" s="40" t="s">
        <v>11404</v>
      </c>
      <c r="G34298" s="40" t="s">
        <v>11404</v>
      </c>
      <c r="H34298" s="40" t="s">
        <v>11404</v>
      </c>
    </row>
    <row r="34299">
      <c r="A34299" s="39"/>
      <c r="E34299" s="40" t="s">
        <v>11404</v>
      </c>
      <c r="F34299" s="40" t="s">
        <v>11404</v>
      </c>
      <c r="G34299" s="40" t="s">
        <v>11404</v>
      </c>
      <c r="H34299" s="40" t="s">
        <v>11404</v>
      </c>
    </row>
    <row r="34300">
      <c r="A34300" s="39"/>
      <c r="E34300" s="40" t="s">
        <v>11404</v>
      </c>
      <c r="F34300" s="40" t="s">
        <v>11404</v>
      </c>
      <c r="G34300" s="40" t="s">
        <v>11404</v>
      </c>
      <c r="H34300" s="40" t="s">
        <v>11404</v>
      </c>
    </row>
    <row r="34301">
      <c r="A34301" s="39"/>
      <c r="E34301" s="40" t="s">
        <v>11404</v>
      </c>
      <c r="F34301" s="40" t="s">
        <v>11404</v>
      </c>
      <c r="G34301" s="40" t="s">
        <v>11404</v>
      </c>
      <c r="H34301" s="40" t="s">
        <v>11404</v>
      </c>
    </row>
    <row r="34302">
      <c r="A34302" s="39"/>
      <c r="E34302" s="40" t="s">
        <v>11404</v>
      </c>
      <c r="F34302" s="40" t="s">
        <v>11404</v>
      </c>
      <c r="G34302" s="40" t="s">
        <v>11404</v>
      </c>
      <c r="H34302" s="40" t="s">
        <v>11404</v>
      </c>
    </row>
    <row r="34303">
      <c r="A34303" s="39"/>
      <c r="E34303" s="40" t="s">
        <v>11404</v>
      </c>
      <c r="F34303" s="40" t="s">
        <v>11404</v>
      </c>
      <c r="G34303" s="40" t="s">
        <v>11404</v>
      </c>
      <c r="H34303" s="40" t="s">
        <v>11404</v>
      </c>
    </row>
    <row r="34304">
      <c r="A34304" s="39"/>
      <c r="E34304" s="40" t="s">
        <v>11404</v>
      </c>
      <c r="F34304" s="40" t="s">
        <v>11404</v>
      </c>
      <c r="G34304" s="40" t="s">
        <v>11404</v>
      </c>
      <c r="H34304" s="40" t="s">
        <v>11404</v>
      </c>
    </row>
    <row r="34305">
      <c r="A34305" s="39"/>
      <c r="E34305" s="40" t="s">
        <v>11404</v>
      </c>
      <c r="F34305" s="40" t="s">
        <v>11404</v>
      </c>
      <c r="G34305" s="40" t="s">
        <v>11404</v>
      </c>
      <c r="H34305" s="40" t="s">
        <v>11404</v>
      </c>
    </row>
    <row r="34306">
      <c r="A34306" s="39"/>
      <c r="E34306" s="40" t="s">
        <v>11404</v>
      </c>
      <c r="F34306" s="40" t="s">
        <v>11404</v>
      </c>
      <c r="G34306" s="40" t="s">
        <v>11404</v>
      </c>
      <c r="H34306" s="40" t="s">
        <v>11404</v>
      </c>
    </row>
    <row r="34307">
      <c r="A34307" s="39"/>
      <c r="E34307" s="40" t="s">
        <v>11404</v>
      </c>
      <c r="F34307" s="40" t="s">
        <v>11404</v>
      </c>
      <c r="G34307" s="40" t="s">
        <v>11404</v>
      </c>
      <c r="H34307" s="40" t="s">
        <v>11404</v>
      </c>
    </row>
    <row r="34308">
      <c r="A34308" s="39"/>
      <c r="E34308" s="40" t="s">
        <v>11404</v>
      </c>
      <c r="F34308" s="40" t="s">
        <v>11404</v>
      </c>
      <c r="G34308" s="40" t="s">
        <v>11404</v>
      </c>
      <c r="H34308" s="40" t="s">
        <v>11404</v>
      </c>
    </row>
    <row r="34309">
      <c r="A34309" s="39"/>
      <c r="E34309" s="40" t="s">
        <v>11404</v>
      </c>
      <c r="F34309" s="40" t="s">
        <v>11404</v>
      </c>
      <c r="G34309" s="40" t="s">
        <v>11404</v>
      </c>
      <c r="H34309" s="40" t="s">
        <v>11404</v>
      </c>
    </row>
    <row r="34310">
      <c r="A34310" s="39"/>
      <c r="E34310" s="40" t="s">
        <v>11404</v>
      </c>
      <c r="F34310" s="40" t="s">
        <v>11404</v>
      </c>
      <c r="G34310" s="40" t="s">
        <v>11404</v>
      </c>
      <c r="H34310" s="40" t="s">
        <v>11404</v>
      </c>
    </row>
    <row r="34311">
      <c r="A34311" s="39"/>
      <c r="E34311" s="40" t="s">
        <v>11404</v>
      </c>
      <c r="F34311" s="40" t="s">
        <v>11404</v>
      </c>
      <c r="G34311" s="40" t="s">
        <v>11404</v>
      </c>
      <c r="H34311" s="40" t="s">
        <v>11404</v>
      </c>
    </row>
    <row r="34312">
      <c r="A34312" s="39"/>
      <c r="E34312" s="40" t="s">
        <v>11404</v>
      </c>
      <c r="F34312" s="40" t="s">
        <v>11404</v>
      </c>
      <c r="G34312" s="40" t="s">
        <v>11404</v>
      </c>
      <c r="H34312" s="40" t="s">
        <v>11404</v>
      </c>
    </row>
    <row r="34313">
      <c r="A34313" s="39"/>
      <c r="E34313" s="40" t="s">
        <v>11404</v>
      </c>
      <c r="F34313" s="40" t="s">
        <v>11404</v>
      </c>
      <c r="G34313" s="40" t="s">
        <v>11404</v>
      </c>
      <c r="H34313" s="40" t="s">
        <v>11404</v>
      </c>
    </row>
    <row r="34314">
      <c r="A34314" s="39"/>
      <c r="E34314" s="40" t="s">
        <v>11404</v>
      </c>
      <c r="F34314" s="40" t="s">
        <v>11404</v>
      </c>
      <c r="G34314" s="40" t="s">
        <v>11404</v>
      </c>
      <c r="H34314" s="40" t="s">
        <v>11404</v>
      </c>
    </row>
    <row r="34315">
      <c r="A34315" s="39"/>
      <c r="E34315" s="40" t="s">
        <v>11404</v>
      </c>
      <c r="F34315" s="40" t="s">
        <v>11404</v>
      </c>
      <c r="G34315" s="40" t="s">
        <v>11404</v>
      </c>
      <c r="H34315" s="40" t="s">
        <v>11404</v>
      </c>
    </row>
    <row r="34316">
      <c r="A34316" s="39"/>
      <c r="E34316" s="40" t="s">
        <v>11404</v>
      </c>
      <c r="F34316" s="40" t="s">
        <v>11404</v>
      </c>
      <c r="G34316" s="40" t="s">
        <v>11404</v>
      </c>
      <c r="H34316" s="40" t="s">
        <v>11404</v>
      </c>
    </row>
    <row r="34317">
      <c r="A34317" s="39"/>
      <c r="E34317" s="40" t="s">
        <v>11404</v>
      </c>
      <c r="F34317" s="40" t="s">
        <v>11404</v>
      </c>
      <c r="G34317" s="40" t="s">
        <v>11404</v>
      </c>
      <c r="H34317" s="40" t="s">
        <v>11404</v>
      </c>
    </row>
    <row r="34318">
      <c r="A34318" s="39"/>
      <c r="E34318" s="40" t="s">
        <v>11404</v>
      </c>
      <c r="F34318" s="40" t="s">
        <v>11404</v>
      </c>
      <c r="G34318" s="40" t="s">
        <v>11404</v>
      </c>
      <c r="H34318" s="40" t="s">
        <v>11404</v>
      </c>
    </row>
    <row r="34319">
      <c r="A34319" s="39"/>
      <c r="E34319" s="40" t="s">
        <v>11404</v>
      </c>
      <c r="F34319" s="40" t="s">
        <v>11404</v>
      </c>
      <c r="G34319" s="40" t="s">
        <v>11404</v>
      </c>
      <c r="H34319" s="40" t="s">
        <v>11404</v>
      </c>
    </row>
    <row r="34320">
      <c r="A34320" s="39"/>
      <c r="E34320" s="40" t="s">
        <v>11404</v>
      </c>
      <c r="F34320" s="40" t="s">
        <v>11404</v>
      </c>
      <c r="G34320" s="40" t="s">
        <v>11404</v>
      </c>
      <c r="H34320" s="40" t="s">
        <v>11404</v>
      </c>
    </row>
    <row r="34321">
      <c r="A34321" s="39"/>
      <c r="E34321" s="40" t="s">
        <v>11404</v>
      </c>
      <c r="F34321" s="40" t="s">
        <v>11404</v>
      </c>
      <c r="G34321" s="40" t="s">
        <v>11404</v>
      </c>
      <c r="H34321" s="40" t="s">
        <v>11404</v>
      </c>
    </row>
    <row r="34322">
      <c r="A34322" s="39"/>
      <c r="E34322" s="40" t="s">
        <v>11404</v>
      </c>
      <c r="F34322" s="40" t="s">
        <v>11404</v>
      </c>
      <c r="G34322" s="40" t="s">
        <v>11404</v>
      </c>
      <c r="H34322" s="40" t="s">
        <v>11404</v>
      </c>
    </row>
    <row r="34323">
      <c r="A34323" s="39"/>
      <c r="E34323" s="40" t="s">
        <v>11404</v>
      </c>
      <c r="F34323" s="40" t="s">
        <v>11404</v>
      </c>
      <c r="G34323" s="40" t="s">
        <v>11404</v>
      </c>
      <c r="H34323" s="40" t="s">
        <v>11404</v>
      </c>
    </row>
    <row r="34324">
      <c r="A34324" s="39"/>
      <c r="E34324" s="40" t="s">
        <v>11404</v>
      </c>
      <c r="F34324" s="40" t="s">
        <v>11404</v>
      </c>
      <c r="G34324" s="40" t="s">
        <v>11404</v>
      </c>
      <c r="H34324" s="40" t="s">
        <v>11404</v>
      </c>
    </row>
    <row r="34325">
      <c r="A34325" s="39"/>
      <c r="E34325" s="40" t="s">
        <v>11404</v>
      </c>
      <c r="F34325" s="40" t="s">
        <v>11404</v>
      </c>
      <c r="G34325" s="40" t="s">
        <v>11404</v>
      </c>
      <c r="H34325" s="40" t="s">
        <v>11404</v>
      </c>
    </row>
    <row r="34326">
      <c r="A34326" s="39"/>
      <c r="E34326" s="40" t="s">
        <v>11404</v>
      </c>
      <c r="F34326" s="40" t="s">
        <v>11404</v>
      </c>
      <c r="G34326" s="40" t="s">
        <v>11404</v>
      </c>
      <c r="H34326" s="40" t="s">
        <v>11404</v>
      </c>
    </row>
    <row r="34327">
      <c r="A34327" s="39"/>
      <c r="E34327" s="40" t="s">
        <v>11404</v>
      </c>
      <c r="F34327" s="40" t="s">
        <v>11404</v>
      </c>
      <c r="G34327" s="40" t="s">
        <v>11404</v>
      </c>
      <c r="H34327" s="40" t="s">
        <v>11404</v>
      </c>
    </row>
    <row r="34328">
      <c r="A34328" s="39"/>
      <c r="E34328" s="40" t="s">
        <v>11404</v>
      </c>
      <c r="F34328" s="40" t="s">
        <v>11404</v>
      </c>
      <c r="G34328" s="40" t="s">
        <v>11404</v>
      </c>
      <c r="H34328" s="40" t="s">
        <v>11404</v>
      </c>
    </row>
    <row r="34329">
      <c r="A34329" s="39"/>
      <c r="E34329" s="40" t="s">
        <v>11404</v>
      </c>
      <c r="F34329" s="40" t="s">
        <v>11404</v>
      </c>
      <c r="G34329" s="40" t="s">
        <v>11404</v>
      </c>
      <c r="H34329" s="40" t="s">
        <v>11404</v>
      </c>
    </row>
    <row r="34330">
      <c r="A34330" s="39"/>
      <c r="E34330" s="40" t="s">
        <v>11404</v>
      </c>
      <c r="F34330" s="40" t="s">
        <v>11404</v>
      </c>
      <c r="G34330" s="40" t="s">
        <v>11404</v>
      </c>
      <c r="H34330" s="40" t="s">
        <v>11404</v>
      </c>
    </row>
    <row r="34331">
      <c r="A34331" s="39"/>
      <c r="E34331" s="40" t="s">
        <v>11404</v>
      </c>
      <c r="F34331" s="40" t="s">
        <v>11404</v>
      </c>
      <c r="G34331" s="40" t="s">
        <v>11404</v>
      </c>
      <c r="H34331" s="40" t="s">
        <v>11404</v>
      </c>
    </row>
    <row r="34332">
      <c r="A34332" s="39"/>
      <c r="E34332" s="40" t="s">
        <v>11404</v>
      </c>
      <c r="F34332" s="40" t="s">
        <v>11404</v>
      </c>
      <c r="G34332" s="40" t="s">
        <v>11404</v>
      </c>
      <c r="H34332" s="40" t="s">
        <v>11404</v>
      </c>
    </row>
    <row r="34333">
      <c r="A34333" s="39"/>
      <c r="E34333" s="40" t="s">
        <v>11404</v>
      </c>
      <c r="F34333" s="40" t="s">
        <v>11404</v>
      </c>
      <c r="G34333" s="40" t="s">
        <v>11404</v>
      </c>
      <c r="H34333" s="40" t="s">
        <v>11404</v>
      </c>
    </row>
    <row r="34334">
      <c r="A34334" s="39"/>
      <c r="E34334" s="40" t="s">
        <v>11404</v>
      </c>
      <c r="F34334" s="40" t="s">
        <v>11404</v>
      </c>
      <c r="G34334" s="40" t="s">
        <v>11404</v>
      </c>
      <c r="H34334" s="40" t="s">
        <v>11404</v>
      </c>
    </row>
    <row r="34335">
      <c r="A34335" s="39"/>
      <c r="E34335" s="40" t="s">
        <v>11404</v>
      </c>
      <c r="F34335" s="40" t="s">
        <v>11404</v>
      </c>
      <c r="G34335" s="40" t="s">
        <v>11404</v>
      </c>
      <c r="H34335" s="40" t="s">
        <v>11404</v>
      </c>
    </row>
    <row r="34336">
      <c r="A34336" s="39"/>
      <c r="E34336" s="40" t="s">
        <v>11404</v>
      </c>
      <c r="F34336" s="40" t="s">
        <v>11404</v>
      </c>
      <c r="G34336" s="40" t="s">
        <v>11404</v>
      </c>
      <c r="H34336" s="40" t="s">
        <v>11404</v>
      </c>
    </row>
    <row r="34337">
      <c r="A34337" s="39"/>
      <c r="E34337" s="40" t="s">
        <v>11404</v>
      </c>
      <c r="F34337" s="40" t="s">
        <v>11404</v>
      </c>
      <c r="G34337" s="40" t="s">
        <v>11404</v>
      </c>
      <c r="H34337" s="40" t="s">
        <v>11404</v>
      </c>
    </row>
    <row r="34338">
      <c r="A34338" s="39"/>
      <c r="E34338" s="40" t="s">
        <v>11404</v>
      </c>
      <c r="F34338" s="40" t="s">
        <v>11404</v>
      </c>
      <c r="G34338" s="40" t="s">
        <v>11404</v>
      </c>
      <c r="H34338" s="40" t="s">
        <v>11404</v>
      </c>
    </row>
    <row r="34339">
      <c r="A34339" s="39"/>
      <c r="E34339" s="40" t="s">
        <v>11404</v>
      </c>
      <c r="F34339" s="40" t="s">
        <v>11404</v>
      </c>
      <c r="G34339" s="40" t="s">
        <v>11404</v>
      </c>
      <c r="H34339" s="40" t="s">
        <v>11404</v>
      </c>
    </row>
    <row r="34340">
      <c r="A34340" s="39"/>
      <c r="E34340" s="40" t="s">
        <v>11404</v>
      </c>
      <c r="F34340" s="40" t="s">
        <v>11404</v>
      </c>
      <c r="G34340" s="40" t="s">
        <v>11404</v>
      </c>
      <c r="H34340" s="40" t="s">
        <v>11404</v>
      </c>
    </row>
    <row r="34341">
      <c r="A34341" s="39"/>
      <c r="E34341" s="40" t="s">
        <v>11404</v>
      </c>
      <c r="F34341" s="40" t="s">
        <v>11404</v>
      </c>
      <c r="G34341" s="40" t="s">
        <v>11404</v>
      </c>
      <c r="H34341" s="40" t="s">
        <v>11404</v>
      </c>
    </row>
    <row r="34342">
      <c r="A34342" s="39"/>
      <c r="E34342" s="40" t="s">
        <v>11404</v>
      </c>
      <c r="F34342" s="40" t="s">
        <v>11404</v>
      </c>
      <c r="G34342" s="40" t="s">
        <v>11404</v>
      </c>
      <c r="H34342" s="40" t="s">
        <v>11404</v>
      </c>
    </row>
    <row r="34343">
      <c r="A34343" s="39"/>
      <c r="E34343" s="40" t="s">
        <v>11404</v>
      </c>
      <c r="F34343" s="40" t="s">
        <v>11404</v>
      </c>
      <c r="G34343" s="40" t="s">
        <v>11404</v>
      </c>
      <c r="H34343" s="40" t="s">
        <v>11404</v>
      </c>
    </row>
    <row r="34344">
      <c r="A34344" s="39"/>
      <c r="E34344" s="40" t="s">
        <v>11404</v>
      </c>
      <c r="F34344" s="40" t="s">
        <v>11404</v>
      </c>
      <c r="G34344" s="40" t="s">
        <v>11404</v>
      </c>
      <c r="H34344" s="40" t="s">
        <v>11404</v>
      </c>
    </row>
    <row r="34345">
      <c r="A34345" s="39"/>
      <c r="E34345" s="40" t="s">
        <v>11404</v>
      </c>
      <c r="F34345" s="40" t="s">
        <v>11404</v>
      </c>
      <c r="G34345" s="40" t="s">
        <v>11404</v>
      </c>
      <c r="H34345" s="40" t="s">
        <v>11404</v>
      </c>
    </row>
    <row r="34346">
      <c r="A34346" s="39"/>
      <c r="E34346" s="40" t="s">
        <v>11404</v>
      </c>
      <c r="F34346" s="40" t="s">
        <v>11404</v>
      </c>
      <c r="G34346" s="40" t="s">
        <v>11404</v>
      </c>
      <c r="H34346" s="40" t="s">
        <v>11404</v>
      </c>
    </row>
    <row r="34347">
      <c r="A34347" s="39"/>
      <c r="E34347" s="40" t="s">
        <v>11404</v>
      </c>
      <c r="F34347" s="40" t="s">
        <v>11404</v>
      </c>
      <c r="G34347" s="40" t="s">
        <v>11404</v>
      </c>
      <c r="H34347" s="40" t="s">
        <v>11404</v>
      </c>
    </row>
    <row r="34348">
      <c r="A34348" s="39"/>
      <c r="E34348" s="40" t="s">
        <v>11404</v>
      </c>
      <c r="F34348" s="40" t="s">
        <v>11404</v>
      </c>
      <c r="G34348" s="40" t="s">
        <v>11404</v>
      </c>
      <c r="H34348" s="40" t="s">
        <v>11404</v>
      </c>
    </row>
    <row r="34349">
      <c r="A34349" s="39"/>
      <c r="E34349" s="40" t="s">
        <v>11404</v>
      </c>
      <c r="F34349" s="40" t="s">
        <v>11404</v>
      </c>
      <c r="G34349" s="40" t="s">
        <v>11404</v>
      </c>
      <c r="H34349" s="40" t="s">
        <v>11404</v>
      </c>
    </row>
    <row r="34350">
      <c r="A34350" s="39"/>
      <c r="E34350" s="40" t="s">
        <v>11404</v>
      </c>
      <c r="F34350" s="40" t="s">
        <v>11404</v>
      </c>
      <c r="G34350" s="40" t="s">
        <v>11404</v>
      </c>
      <c r="H34350" s="40" t="s">
        <v>11404</v>
      </c>
    </row>
    <row r="34351">
      <c r="A34351" s="39"/>
      <c r="E34351" s="40" t="s">
        <v>11404</v>
      </c>
      <c r="F34351" s="40" t="s">
        <v>11404</v>
      </c>
      <c r="G34351" s="40" t="s">
        <v>11404</v>
      </c>
      <c r="H34351" s="40" t="s">
        <v>11404</v>
      </c>
    </row>
    <row r="34352">
      <c r="A34352" s="39"/>
      <c r="E34352" s="40" t="s">
        <v>11404</v>
      </c>
      <c r="F34352" s="40" t="s">
        <v>11404</v>
      </c>
      <c r="G34352" s="40" t="s">
        <v>11404</v>
      </c>
      <c r="H34352" s="40" t="s">
        <v>11404</v>
      </c>
    </row>
    <row r="34353">
      <c r="A34353" s="39"/>
      <c r="E34353" s="40" t="s">
        <v>11404</v>
      </c>
      <c r="F34353" s="40" t="s">
        <v>11404</v>
      </c>
      <c r="G34353" s="40" t="s">
        <v>11404</v>
      </c>
      <c r="H34353" s="40" t="s">
        <v>11404</v>
      </c>
    </row>
    <row r="34354">
      <c r="A34354" s="39"/>
      <c r="E34354" s="40" t="s">
        <v>11404</v>
      </c>
      <c r="F34354" s="40" t="s">
        <v>11404</v>
      </c>
      <c r="G34354" s="40" t="s">
        <v>11404</v>
      </c>
      <c r="H34354" s="40" t="s">
        <v>11404</v>
      </c>
    </row>
    <row r="34355">
      <c r="A34355" s="39"/>
      <c r="E34355" s="40" t="s">
        <v>11404</v>
      </c>
      <c r="F34355" s="40" t="s">
        <v>11404</v>
      </c>
      <c r="G34355" s="40" t="s">
        <v>11404</v>
      </c>
      <c r="H34355" s="40" t="s">
        <v>11404</v>
      </c>
    </row>
    <row r="34356">
      <c r="A34356" s="39"/>
      <c r="E34356" s="40" t="s">
        <v>11404</v>
      </c>
      <c r="F34356" s="40" t="s">
        <v>11404</v>
      </c>
      <c r="G34356" s="40" t="s">
        <v>11404</v>
      </c>
      <c r="H34356" s="40" t="s">
        <v>11404</v>
      </c>
    </row>
    <row r="34357">
      <c r="A34357" s="39"/>
      <c r="E34357" s="40" t="s">
        <v>11404</v>
      </c>
      <c r="F34357" s="40" t="s">
        <v>11404</v>
      </c>
      <c r="G34357" s="40" t="s">
        <v>11404</v>
      </c>
      <c r="H34357" s="40" t="s">
        <v>11404</v>
      </c>
    </row>
    <row r="34358">
      <c r="A34358" s="39"/>
      <c r="E34358" s="40" t="s">
        <v>11404</v>
      </c>
      <c r="F34358" s="40" t="s">
        <v>11404</v>
      </c>
      <c r="G34358" s="40" t="s">
        <v>11404</v>
      </c>
      <c r="H34358" s="40" t="s">
        <v>11404</v>
      </c>
    </row>
    <row r="34359">
      <c r="A34359" s="39"/>
      <c r="E34359" s="40" t="s">
        <v>11404</v>
      </c>
      <c r="F34359" s="40" t="s">
        <v>11404</v>
      </c>
      <c r="G34359" s="40" t="s">
        <v>11404</v>
      </c>
      <c r="H34359" s="40" t="s">
        <v>11404</v>
      </c>
    </row>
    <row r="34360">
      <c r="A34360" s="39"/>
      <c r="E34360" s="40" t="s">
        <v>11404</v>
      </c>
      <c r="F34360" s="40" t="s">
        <v>11404</v>
      </c>
      <c r="G34360" s="40" t="s">
        <v>11404</v>
      </c>
      <c r="H34360" s="40" t="s">
        <v>11404</v>
      </c>
    </row>
    <row r="34361">
      <c r="A34361" s="39"/>
      <c r="E34361" s="40" t="s">
        <v>11404</v>
      </c>
      <c r="F34361" s="40" t="s">
        <v>11404</v>
      </c>
      <c r="G34361" s="40" t="s">
        <v>11404</v>
      </c>
      <c r="H34361" s="40" t="s">
        <v>11404</v>
      </c>
    </row>
    <row r="34362">
      <c r="A34362" s="39"/>
      <c r="E34362" s="40" t="s">
        <v>11404</v>
      </c>
      <c r="F34362" s="40" t="s">
        <v>11404</v>
      </c>
      <c r="G34362" s="40" t="s">
        <v>11404</v>
      </c>
      <c r="H34362" s="40" t="s">
        <v>11404</v>
      </c>
    </row>
    <row r="34363">
      <c r="A34363" s="39"/>
      <c r="E34363" s="40" t="s">
        <v>11404</v>
      </c>
      <c r="F34363" s="40" t="s">
        <v>11404</v>
      </c>
      <c r="G34363" s="40" t="s">
        <v>11404</v>
      </c>
      <c r="H34363" s="40" t="s">
        <v>11404</v>
      </c>
    </row>
    <row r="34364">
      <c r="A34364" s="39"/>
      <c r="E34364" s="40" t="s">
        <v>11404</v>
      </c>
      <c r="F34364" s="40" t="s">
        <v>11404</v>
      </c>
      <c r="G34364" s="40" t="s">
        <v>11404</v>
      </c>
      <c r="H34364" s="40" t="s">
        <v>11404</v>
      </c>
    </row>
    <row r="34365">
      <c r="A34365" s="39"/>
      <c r="E34365" s="40" t="s">
        <v>11404</v>
      </c>
      <c r="F34365" s="40" t="s">
        <v>11404</v>
      </c>
      <c r="G34365" s="40" t="s">
        <v>11404</v>
      </c>
      <c r="H34365" s="40" t="s">
        <v>11404</v>
      </c>
    </row>
    <row r="34366">
      <c r="A34366" s="39"/>
      <c r="E34366" s="40" t="s">
        <v>11404</v>
      </c>
      <c r="F34366" s="40" t="s">
        <v>11404</v>
      </c>
      <c r="G34366" s="40" t="s">
        <v>11404</v>
      </c>
      <c r="H34366" s="40" t="s">
        <v>11404</v>
      </c>
    </row>
    <row r="34367">
      <c r="A34367" s="39"/>
      <c r="E34367" s="40" t="s">
        <v>11404</v>
      </c>
      <c r="F34367" s="40" t="s">
        <v>11404</v>
      </c>
      <c r="G34367" s="40" t="s">
        <v>11404</v>
      </c>
      <c r="H34367" s="40" t="s">
        <v>11404</v>
      </c>
    </row>
    <row r="34368">
      <c r="A34368" s="39"/>
      <c r="E34368" s="40" t="s">
        <v>11404</v>
      </c>
      <c r="F34368" s="40" t="s">
        <v>11404</v>
      </c>
      <c r="G34368" s="40" t="s">
        <v>11404</v>
      </c>
      <c r="H34368" s="40" t="s">
        <v>11404</v>
      </c>
    </row>
    <row r="34369">
      <c r="A34369" s="39"/>
      <c r="E34369" s="40" t="s">
        <v>11404</v>
      </c>
      <c r="F34369" s="40" t="s">
        <v>11404</v>
      </c>
      <c r="G34369" s="40" t="s">
        <v>11404</v>
      </c>
      <c r="H34369" s="40" t="s">
        <v>11404</v>
      </c>
    </row>
    <row r="34370">
      <c r="A34370" s="39"/>
      <c r="E34370" s="40" t="s">
        <v>11404</v>
      </c>
      <c r="F34370" s="40" t="s">
        <v>11404</v>
      </c>
      <c r="G34370" s="40" t="s">
        <v>11404</v>
      </c>
      <c r="H34370" s="40" t="s">
        <v>11404</v>
      </c>
    </row>
    <row r="34371">
      <c r="A34371" s="39"/>
      <c r="E34371" s="40" t="s">
        <v>11404</v>
      </c>
      <c r="F34371" s="40" t="s">
        <v>11404</v>
      </c>
      <c r="G34371" s="40" t="s">
        <v>11404</v>
      </c>
      <c r="H34371" s="40" t="s">
        <v>11404</v>
      </c>
    </row>
    <row r="34372">
      <c r="A34372" s="39"/>
      <c r="E34372" s="40" t="s">
        <v>11404</v>
      </c>
      <c r="F34372" s="40" t="s">
        <v>11404</v>
      </c>
      <c r="G34372" s="40" t="s">
        <v>11404</v>
      </c>
      <c r="H34372" s="40" t="s">
        <v>11404</v>
      </c>
    </row>
    <row r="34373">
      <c r="A34373" s="39"/>
      <c r="E34373" s="40" t="s">
        <v>11404</v>
      </c>
      <c r="F34373" s="40" t="s">
        <v>11404</v>
      </c>
      <c r="G34373" s="40" t="s">
        <v>11404</v>
      </c>
      <c r="H34373" s="40" t="s">
        <v>11404</v>
      </c>
    </row>
    <row r="34374">
      <c r="A34374" s="39"/>
      <c r="E34374" s="40" t="s">
        <v>11404</v>
      </c>
      <c r="F34374" s="40" t="s">
        <v>11404</v>
      </c>
      <c r="G34374" s="40" t="s">
        <v>11404</v>
      </c>
      <c r="H34374" s="40" t="s">
        <v>11404</v>
      </c>
    </row>
    <row r="34375">
      <c r="A34375" s="39"/>
      <c r="E34375" s="40" t="s">
        <v>11404</v>
      </c>
      <c r="F34375" s="40" t="s">
        <v>11404</v>
      </c>
      <c r="G34375" s="40" t="s">
        <v>11404</v>
      </c>
      <c r="H34375" s="40" t="s">
        <v>11404</v>
      </c>
    </row>
    <row r="34376">
      <c r="A34376" s="39"/>
      <c r="E34376" s="40" t="s">
        <v>11404</v>
      </c>
      <c r="F34376" s="40" t="s">
        <v>11404</v>
      </c>
      <c r="G34376" s="40" t="s">
        <v>11404</v>
      </c>
      <c r="H34376" s="40" t="s">
        <v>11404</v>
      </c>
    </row>
    <row r="34377">
      <c r="A34377" s="39"/>
      <c r="E34377" s="40" t="s">
        <v>11404</v>
      </c>
      <c r="F34377" s="40" t="s">
        <v>11404</v>
      </c>
      <c r="G34377" s="40" t="s">
        <v>11404</v>
      </c>
      <c r="H34377" s="40" t="s">
        <v>11404</v>
      </c>
    </row>
    <row r="34378">
      <c r="A34378" s="39"/>
      <c r="E34378" s="40" t="s">
        <v>11404</v>
      </c>
      <c r="F34378" s="40" t="s">
        <v>11404</v>
      </c>
      <c r="G34378" s="40" t="s">
        <v>11404</v>
      </c>
      <c r="H34378" s="40" t="s">
        <v>11404</v>
      </c>
    </row>
    <row r="34379">
      <c r="A34379" s="39"/>
      <c r="E34379" s="40" t="s">
        <v>11404</v>
      </c>
      <c r="F34379" s="40" t="s">
        <v>11404</v>
      </c>
      <c r="G34379" s="40" t="s">
        <v>11404</v>
      </c>
      <c r="H34379" s="40" t="s">
        <v>11404</v>
      </c>
    </row>
    <row r="34380">
      <c r="A34380" s="39"/>
      <c r="E34380" s="40" t="s">
        <v>11404</v>
      </c>
      <c r="F34380" s="40" t="s">
        <v>11404</v>
      </c>
      <c r="G34380" s="40" t="s">
        <v>11404</v>
      </c>
      <c r="H34380" s="40" t="s">
        <v>11404</v>
      </c>
    </row>
    <row r="34381">
      <c r="A34381" s="39"/>
      <c r="E34381" s="40" t="s">
        <v>11404</v>
      </c>
      <c r="F34381" s="40" t="s">
        <v>11404</v>
      </c>
      <c r="G34381" s="40" t="s">
        <v>11404</v>
      </c>
      <c r="H34381" s="40" t="s">
        <v>11404</v>
      </c>
    </row>
    <row r="34382">
      <c r="A34382" s="39"/>
      <c r="E34382" s="40" t="s">
        <v>11404</v>
      </c>
      <c r="F34382" s="40" t="s">
        <v>11404</v>
      </c>
      <c r="G34382" s="40" t="s">
        <v>11404</v>
      </c>
      <c r="H34382" s="40" t="s">
        <v>11404</v>
      </c>
    </row>
    <row r="34383">
      <c r="A34383" s="39"/>
      <c r="E34383" s="40" t="s">
        <v>11404</v>
      </c>
      <c r="F34383" s="40" t="s">
        <v>11404</v>
      </c>
      <c r="G34383" s="40" t="s">
        <v>11404</v>
      </c>
      <c r="H34383" s="40" t="s">
        <v>11404</v>
      </c>
    </row>
    <row r="34384">
      <c r="A34384" s="39"/>
      <c r="E34384" s="40" t="s">
        <v>11404</v>
      </c>
      <c r="F34384" s="40" t="s">
        <v>11404</v>
      </c>
      <c r="G34384" s="40" t="s">
        <v>11404</v>
      </c>
      <c r="H34384" s="40" t="s">
        <v>11404</v>
      </c>
    </row>
    <row r="34385">
      <c r="A34385" s="39"/>
      <c r="E34385" s="40" t="s">
        <v>11404</v>
      </c>
      <c r="F34385" s="40" t="s">
        <v>11404</v>
      </c>
      <c r="G34385" s="40" t="s">
        <v>11404</v>
      </c>
      <c r="H34385" s="40" t="s">
        <v>11404</v>
      </c>
    </row>
    <row r="34386">
      <c r="A34386" s="39"/>
      <c r="E34386" s="40" t="s">
        <v>11404</v>
      </c>
      <c r="F34386" s="40" t="s">
        <v>11404</v>
      </c>
      <c r="G34386" s="40" t="s">
        <v>11404</v>
      </c>
      <c r="H34386" s="40" t="s">
        <v>11404</v>
      </c>
    </row>
    <row r="34387">
      <c r="A34387" s="39"/>
      <c r="E34387" s="40" t="s">
        <v>11404</v>
      </c>
      <c r="F34387" s="40" t="s">
        <v>11404</v>
      </c>
      <c r="G34387" s="40" t="s">
        <v>11404</v>
      </c>
      <c r="H34387" s="40" t="s">
        <v>11404</v>
      </c>
    </row>
    <row r="34388">
      <c r="A34388" s="39"/>
      <c r="E34388" s="40" t="s">
        <v>11404</v>
      </c>
      <c r="F34388" s="40" t="s">
        <v>11404</v>
      </c>
      <c r="G34388" s="40" t="s">
        <v>11404</v>
      </c>
      <c r="H34388" s="40" t="s">
        <v>11404</v>
      </c>
    </row>
    <row r="34389">
      <c r="A34389" s="39"/>
      <c r="E34389" s="40" t="s">
        <v>11404</v>
      </c>
      <c r="F34389" s="40" t="s">
        <v>11404</v>
      </c>
      <c r="G34389" s="40" t="s">
        <v>11404</v>
      </c>
      <c r="H34389" s="40" t="s">
        <v>11404</v>
      </c>
    </row>
    <row r="34390">
      <c r="A34390" s="39"/>
      <c r="E34390" s="40" t="s">
        <v>11404</v>
      </c>
      <c r="F34390" s="40" t="s">
        <v>11404</v>
      </c>
      <c r="G34390" s="40" t="s">
        <v>11404</v>
      </c>
      <c r="H34390" s="40" t="s">
        <v>11404</v>
      </c>
    </row>
    <row r="34391">
      <c r="A34391" s="39"/>
      <c r="E34391" s="40" t="s">
        <v>11404</v>
      </c>
      <c r="F34391" s="40" t="s">
        <v>11404</v>
      </c>
      <c r="G34391" s="40" t="s">
        <v>11404</v>
      </c>
      <c r="H34391" s="40" t="s">
        <v>11404</v>
      </c>
    </row>
    <row r="34392">
      <c r="A34392" s="39"/>
      <c r="E34392" s="40" t="s">
        <v>11404</v>
      </c>
      <c r="F34392" s="40" t="s">
        <v>11404</v>
      </c>
      <c r="G34392" s="40" t="s">
        <v>11404</v>
      </c>
      <c r="H34392" s="40" t="s">
        <v>11404</v>
      </c>
    </row>
    <row r="34393">
      <c r="A34393" s="39"/>
      <c r="E34393" s="40" t="s">
        <v>11404</v>
      </c>
      <c r="F34393" s="40" t="s">
        <v>11404</v>
      </c>
      <c r="G34393" s="40" t="s">
        <v>11404</v>
      </c>
      <c r="H34393" s="40" t="s">
        <v>11404</v>
      </c>
    </row>
    <row r="34394">
      <c r="A34394" s="39"/>
      <c r="E34394" s="40" t="s">
        <v>11404</v>
      </c>
      <c r="F34394" s="40" t="s">
        <v>11404</v>
      </c>
      <c r="G34394" s="40" t="s">
        <v>11404</v>
      </c>
      <c r="H34394" s="40" t="s">
        <v>11404</v>
      </c>
    </row>
    <row r="34395">
      <c r="A34395" s="39"/>
      <c r="E34395" s="40" t="s">
        <v>11404</v>
      </c>
      <c r="F34395" s="40" t="s">
        <v>11404</v>
      </c>
      <c r="G34395" s="40" t="s">
        <v>11404</v>
      </c>
      <c r="H34395" s="40" t="s">
        <v>11404</v>
      </c>
    </row>
    <row r="34396">
      <c r="A34396" s="39"/>
      <c r="E34396" s="40" t="s">
        <v>11404</v>
      </c>
      <c r="F34396" s="40" t="s">
        <v>11404</v>
      </c>
      <c r="G34396" s="40" t="s">
        <v>11404</v>
      </c>
      <c r="H34396" s="40" t="s">
        <v>11404</v>
      </c>
    </row>
    <row r="34397">
      <c r="A34397" s="39"/>
      <c r="E34397" s="40" t="s">
        <v>11404</v>
      </c>
      <c r="F34397" s="40" t="s">
        <v>11404</v>
      </c>
      <c r="G34397" s="40" t="s">
        <v>11404</v>
      </c>
      <c r="H34397" s="40" t="s">
        <v>11404</v>
      </c>
    </row>
    <row r="34398">
      <c r="A34398" s="39"/>
      <c r="E34398" s="40" t="s">
        <v>11404</v>
      </c>
      <c r="F34398" s="40" t="s">
        <v>11404</v>
      </c>
      <c r="G34398" s="40" t="s">
        <v>11404</v>
      </c>
      <c r="H34398" s="40" t="s">
        <v>11404</v>
      </c>
    </row>
    <row r="34399">
      <c r="A34399" s="39"/>
      <c r="E34399" s="40" t="s">
        <v>11404</v>
      </c>
      <c r="F34399" s="40" t="s">
        <v>11404</v>
      </c>
      <c r="G34399" s="40" t="s">
        <v>11404</v>
      </c>
      <c r="H34399" s="40" t="s">
        <v>11404</v>
      </c>
    </row>
    <row r="34400">
      <c r="A34400" s="39"/>
      <c r="E34400" s="40" t="s">
        <v>11404</v>
      </c>
      <c r="F34400" s="40" t="s">
        <v>11404</v>
      </c>
      <c r="G34400" s="40" t="s">
        <v>11404</v>
      </c>
      <c r="H34400" s="40" t="s">
        <v>11404</v>
      </c>
    </row>
    <row r="34401">
      <c r="A34401" s="39"/>
      <c r="E34401" s="40" t="s">
        <v>11404</v>
      </c>
      <c r="F34401" s="40" t="s">
        <v>11404</v>
      </c>
      <c r="G34401" s="40" t="s">
        <v>11404</v>
      </c>
      <c r="H34401" s="40" t="s">
        <v>11404</v>
      </c>
    </row>
    <row r="34402">
      <c r="A34402" s="39"/>
      <c r="E34402" s="40" t="s">
        <v>11404</v>
      </c>
      <c r="F34402" s="40" t="s">
        <v>11404</v>
      </c>
      <c r="G34402" s="40" t="s">
        <v>11404</v>
      </c>
      <c r="H34402" s="40" t="s">
        <v>11404</v>
      </c>
    </row>
    <row r="34403">
      <c r="A34403" s="39"/>
      <c r="E34403" s="40" t="s">
        <v>11404</v>
      </c>
      <c r="F34403" s="40" t="s">
        <v>11404</v>
      </c>
      <c r="G34403" s="40" t="s">
        <v>11404</v>
      </c>
      <c r="H34403" s="40" t="s">
        <v>11404</v>
      </c>
    </row>
    <row r="34404">
      <c r="A34404" s="39"/>
      <c r="E34404" s="40" t="s">
        <v>11404</v>
      </c>
      <c r="F34404" s="40" t="s">
        <v>11404</v>
      </c>
      <c r="G34404" s="40" t="s">
        <v>11404</v>
      </c>
      <c r="H34404" s="40" t="s">
        <v>11404</v>
      </c>
    </row>
    <row r="34405">
      <c r="A34405" s="39"/>
      <c r="E34405" s="40" t="s">
        <v>11404</v>
      </c>
      <c r="F34405" s="40" t="s">
        <v>11404</v>
      </c>
      <c r="G34405" s="40" t="s">
        <v>11404</v>
      </c>
      <c r="H34405" s="40" t="s">
        <v>11404</v>
      </c>
    </row>
    <row r="34406">
      <c r="A34406" s="39"/>
      <c r="E34406" s="40" t="s">
        <v>11404</v>
      </c>
      <c r="F34406" s="40" t="s">
        <v>11404</v>
      </c>
      <c r="G34406" s="40" t="s">
        <v>11404</v>
      </c>
      <c r="H34406" s="40" t="s">
        <v>11404</v>
      </c>
    </row>
    <row r="34407">
      <c r="A34407" s="39"/>
      <c r="E34407" s="40" t="s">
        <v>11404</v>
      </c>
      <c r="F34407" s="40" t="s">
        <v>11404</v>
      </c>
      <c r="G34407" s="40" t="s">
        <v>11404</v>
      </c>
      <c r="H34407" s="40" t="s">
        <v>11404</v>
      </c>
    </row>
    <row r="34408">
      <c r="A34408" s="39"/>
      <c r="E34408" s="40" t="s">
        <v>11404</v>
      </c>
      <c r="F34408" s="40" t="s">
        <v>11404</v>
      </c>
      <c r="G34408" s="40" t="s">
        <v>11404</v>
      </c>
      <c r="H34408" s="40" t="s">
        <v>11404</v>
      </c>
    </row>
    <row r="34409">
      <c r="A34409" s="39"/>
      <c r="E34409" s="40" t="s">
        <v>11404</v>
      </c>
      <c r="F34409" s="40" t="s">
        <v>11404</v>
      </c>
      <c r="G34409" s="40" t="s">
        <v>11404</v>
      </c>
      <c r="H34409" s="40" t="s">
        <v>11404</v>
      </c>
    </row>
    <row r="34410">
      <c r="A34410" s="39"/>
      <c r="E34410" s="40" t="s">
        <v>11404</v>
      </c>
      <c r="F34410" s="40" t="s">
        <v>11404</v>
      </c>
      <c r="G34410" s="40" t="s">
        <v>11404</v>
      </c>
      <c r="H34410" s="40" t="s">
        <v>11404</v>
      </c>
    </row>
    <row r="34411">
      <c r="A34411" s="39"/>
      <c r="E34411" s="40" t="s">
        <v>11404</v>
      </c>
      <c r="F34411" s="40" t="s">
        <v>11404</v>
      </c>
      <c r="G34411" s="40" t="s">
        <v>11404</v>
      </c>
      <c r="H34411" s="40" t="s">
        <v>11404</v>
      </c>
    </row>
    <row r="34412">
      <c r="A34412" s="39"/>
      <c r="E34412" s="40" t="s">
        <v>11404</v>
      </c>
      <c r="F34412" s="40" t="s">
        <v>11404</v>
      </c>
      <c r="G34412" s="40" t="s">
        <v>11404</v>
      </c>
      <c r="H34412" s="40" t="s">
        <v>11404</v>
      </c>
    </row>
    <row r="34413">
      <c r="A34413" s="39"/>
      <c r="E34413" s="40" t="s">
        <v>11404</v>
      </c>
      <c r="F34413" s="40" t="s">
        <v>11404</v>
      </c>
      <c r="G34413" s="40" t="s">
        <v>11404</v>
      </c>
      <c r="H34413" s="40" t="s">
        <v>11404</v>
      </c>
    </row>
    <row r="34414">
      <c r="A34414" s="39"/>
      <c r="E34414" s="40" t="s">
        <v>11404</v>
      </c>
      <c r="F34414" s="40" t="s">
        <v>11404</v>
      </c>
      <c r="G34414" s="40" t="s">
        <v>11404</v>
      </c>
      <c r="H34414" s="40" t="s">
        <v>11404</v>
      </c>
    </row>
    <row r="34415">
      <c r="A34415" s="39"/>
      <c r="E34415" s="40" t="s">
        <v>11404</v>
      </c>
      <c r="F34415" s="40" t="s">
        <v>11404</v>
      </c>
      <c r="G34415" s="40" t="s">
        <v>11404</v>
      </c>
      <c r="H34415" s="40" t="s">
        <v>11404</v>
      </c>
    </row>
    <row r="34416">
      <c r="A34416" s="39"/>
      <c r="E34416" s="40" t="s">
        <v>11404</v>
      </c>
      <c r="F34416" s="40" t="s">
        <v>11404</v>
      </c>
      <c r="G34416" s="40" t="s">
        <v>11404</v>
      </c>
      <c r="H34416" s="40" t="s">
        <v>11404</v>
      </c>
    </row>
    <row r="34417">
      <c r="A34417" s="39"/>
      <c r="E34417" s="40" t="s">
        <v>11404</v>
      </c>
      <c r="F34417" s="40" t="s">
        <v>11404</v>
      </c>
      <c r="G34417" s="40" t="s">
        <v>11404</v>
      </c>
      <c r="H34417" s="40" t="s">
        <v>11404</v>
      </c>
    </row>
    <row r="34418">
      <c r="A34418" s="39"/>
      <c r="E34418" s="40" t="s">
        <v>11404</v>
      </c>
      <c r="F34418" s="40" t="s">
        <v>11404</v>
      </c>
      <c r="G34418" s="40" t="s">
        <v>11404</v>
      </c>
      <c r="H34418" s="40" t="s">
        <v>11404</v>
      </c>
    </row>
    <row r="34419">
      <c r="A34419" s="39"/>
      <c r="E34419" s="40" t="s">
        <v>11404</v>
      </c>
      <c r="F34419" s="40" t="s">
        <v>11404</v>
      </c>
      <c r="G34419" s="40" t="s">
        <v>11404</v>
      </c>
      <c r="H34419" s="40" t="s">
        <v>11404</v>
      </c>
    </row>
    <row r="34420">
      <c r="A34420" s="39"/>
      <c r="E34420" s="40" t="s">
        <v>11404</v>
      </c>
      <c r="F34420" s="40" t="s">
        <v>11404</v>
      </c>
      <c r="G34420" s="40" t="s">
        <v>11404</v>
      </c>
      <c r="H34420" s="40" t="s">
        <v>11404</v>
      </c>
    </row>
    <row r="34421">
      <c r="A34421" s="39"/>
      <c r="E34421" s="40" t="s">
        <v>11404</v>
      </c>
      <c r="F34421" s="40" t="s">
        <v>11404</v>
      </c>
      <c r="G34421" s="40" t="s">
        <v>11404</v>
      </c>
      <c r="H34421" s="40" t="s">
        <v>11404</v>
      </c>
    </row>
    <row r="34422">
      <c r="A34422" s="39"/>
      <c r="E34422" s="40" t="s">
        <v>11404</v>
      </c>
      <c r="F34422" s="40" t="s">
        <v>11404</v>
      </c>
      <c r="G34422" s="40" t="s">
        <v>11404</v>
      </c>
      <c r="H34422" s="40" t="s">
        <v>11404</v>
      </c>
    </row>
    <row r="34423">
      <c r="A34423" s="39"/>
      <c r="E34423" s="40" t="s">
        <v>11404</v>
      </c>
      <c r="F34423" s="40" t="s">
        <v>11404</v>
      </c>
      <c r="G34423" s="40" t="s">
        <v>11404</v>
      </c>
      <c r="H34423" s="40" t="s">
        <v>11404</v>
      </c>
    </row>
    <row r="34424">
      <c r="A34424" s="39"/>
      <c r="E34424" s="40" t="s">
        <v>11404</v>
      </c>
      <c r="F34424" s="40" t="s">
        <v>11404</v>
      </c>
      <c r="G34424" s="40" t="s">
        <v>11404</v>
      </c>
      <c r="H34424" s="40" t="s">
        <v>11404</v>
      </c>
    </row>
    <row r="34425">
      <c r="A34425" s="39"/>
      <c r="E34425" s="40" t="s">
        <v>11404</v>
      </c>
      <c r="F34425" s="40" t="s">
        <v>11404</v>
      </c>
      <c r="G34425" s="40" t="s">
        <v>11404</v>
      </c>
      <c r="H34425" s="40" t="s">
        <v>11404</v>
      </c>
    </row>
    <row r="34426">
      <c r="A34426" s="39"/>
      <c r="E34426" s="40" t="s">
        <v>11404</v>
      </c>
      <c r="F34426" s="40" t="s">
        <v>11404</v>
      </c>
      <c r="G34426" s="40" t="s">
        <v>11404</v>
      </c>
      <c r="H34426" s="40" t="s">
        <v>11404</v>
      </c>
    </row>
    <row r="34427">
      <c r="A34427" s="39"/>
      <c r="E34427" s="40" t="s">
        <v>11404</v>
      </c>
      <c r="F34427" s="40" t="s">
        <v>11404</v>
      </c>
      <c r="G34427" s="40" t="s">
        <v>11404</v>
      </c>
      <c r="H34427" s="40" t="s">
        <v>11404</v>
      </c>
    </row>
    <row r="34428">
      <c r="A34428" s="39"/>
      <c r="E34428" s="40" t="s">
        <v>11404</v>
      </c>
      <c r="F34428" s="40" t="s">
        <v>11404</v>
      </c>
      <c r="G34428" s="40" t="s">
        <v>11404</v>
      </c>
      <c r="H34428" s="40" t="s">
        <v>11404</v>
      </c>
    </row>
    <row r="34429">
      <c r="A34429" s="39"/>
      <c r="E34429" s="40" t="s">
        <v>11404</v>
      </c>
      <c r="F34429" s="40" t="s">
        <v>11404</v>
      </c>
      <c r="G34429" s="40" t="s">
        <v>11404</v>
      </c>
      <c r="H34429" s="40" t="s">
        <v>11404</v>
      </c>
    </row>
    <row r="34430">
      <c r="A34430" s="39"/>
      <c r="E34430" s="40" t="s">
        <v>11404</v>
      </c>
      <c r="F34430" s="40" t="s">
        <v>11404</v>
      </c>
      <c r="G34430" s="40" t="s">
        <v>11404</v>
      </c>
      <c r="H34430" s="40" t="s">
        <v>11404</v>
      </c>
    </row>
    <row r="34431">
      <c r="A34431" s="39"/>
      <c r="E34431" s="40" t="s">
        <v>11404</v>
      </c>
      <c r="F34431" s="40" t="s">
        <v>11404</v>
      </c>
      <c r="G34431" s="40" t="s">
        <v>11404</v>
      </c>
      <c r="H34431" s="40" t="s">
        <v>11404</v>
      </c>
    </row>
    <row r="34432">
      <c r="A34432" s="39"/>
      <c r="E34432" s="40" t="s">
        <v>11404</v>
      </c>
      <c r="F34432" s="40" t="s">
        <v>11404</v>
      </c>
      <c r="G34432" s="40" t="s">
        <v>11404</v>
      </c>
      <c r="H34432" s="40" t="s">
        <v>11404</v>
      </c>
    </row>
    <row r="34433">
      <c r="A34433" s="39"/>
      <c r="E34433" s="40" t="s">
        <v>11404</v>
      </c>
      <c r="F34433" s="40" t="s">
        <v>11404</v>
      </c>
      <c r="G34433" s="40" t="s">
        <v>11404</v>
      </c>
      <c r="H34433" s="40" t="s">
        <v>11404</v>
      </c>
    </row>
    <row r="34434">
      <c r="A34434" s="39"/>
      <c r="E34434" s="40" t="s">
        <v>11404</v>
      </c>
      <c r="F34434" s="40" t="s">
        <v>11404</v>
      </c>
      <c r="G34434" s="40" t="s">
        <v>11404</v>
      </c>
      <c r="H34434" s="40" t="s">
        <v>11404</v>
      </c>
    </row>
    <row r="34435">
      <c r="A34435" s="39"/>
      <c r="E34435" s="40" t="s">
        <v>11404</v>
      </c>
      <c r="F34435" s="40" t="s">
        <v>11404</v>
      </c>
      <c r="G34435" s="40" t="s">
        <v>11404</v>
      </c>
      <c r="H34435" s="40" t="s">
        <v>11404</v>
      </c>
    </row>
    <row r="34436">
      <c r="A34436" s="39"/>
      <c r="E34436" s="40" t="s">
        <v>11404</v>
      </c>
      <c r="F34436" s="40" t="s">
        <v>11404</v>
      </c>
      <c r="G34436" s="40" t="s">
        <v>11404</v>
      </c>
      <c r="H34436" s="40" t="s">
        <v>11404</v>
      </c>
    </row>
    <row r="34437">
      <c r="A34437" s="39"/>
      <c r="E34437" s="40" t="s">
        <v>11404</v>
      </c>
      <c r="F34437" s="40" t="s">
        <v>11404</v>
      </c>
      <c r="G34437" s="40" t="s">
        <v>11404</v>
      </c>
      <c r="H34437" s="40" t="s">
        <v>11404</v>
      </c>
    </row>
    <row r="34438">
      <c r="A34438" s="39"/>
      <c r="E34438" s="40" t="s">
        <v>11404</v>
      </c>
      <c r="F34438" s="40" t="s">
        <v>11404</v>
      </c>
      <c r="G34438" s="40" t="s">
        <v>11404</v>
      </c>
      <c r="H34438" s="40" t="s">
        <v>11404</v>
      </c>
    </row>
    <row r="34439">
      <c r="A34439" s="39"/>
      <c r="E34439" s="40" t="s">
        <v>11404</v>
      </c>
      <c r="F34439" s="40" t="s">
        <v>11404</v>
      </c>
      <c r="G34439" s="40" t="s">
        <v>11404</v>
      </c>
      <c r="H34439" s="40" t="s">
        <v>11404</v>
      </c>
    </row>
    <row r="34440">
      <c r="A34440" s="39"/>
      <c r="E34440" s="40" t="s">
        <v>11404</v>
      </c>
      <c r="F34440" s="40" t="s">
        <v>11404</v>
      </c>
      <c r="G34440" s="40" t="s">
        <v>11404</v>
      </c>
      <c r="H34440" s="40" t="s">
        <v>11404</v>
      </c>
    </row>
    <row r="34441">
      <c r="A34441" s="39"/>
      <c r="E34441" s="40" t="s">
        <v>11404</v>
      </c>
      <c r="F34441" s="40" t="s">
        <v>11404</v>
      </c>
      <c r="G34441" s="40" t="s">
        <v>11404</v>
      </c>
      <c r="H34441" s="40" t="s">
        <v>11404</v>
      </c>
    </row>
    <row r="34442">
      <c r="A34442" s="39"/>
      <c r="E34442" s="40" t="s">
        <v>11404</v>
      </c>
      <c r="F34442" s="40" t="s">
        <v>11404</v>
      </c>
      <c r="G34442" s="40" t="s">
        <v>11404</v>
      </c>
      <c r="H34442" s="40" t="s">
        <v>11404</v>
      </c>
    </row>
    <row r="34443">
      <c r="A34443" s="39"/>
      <c r="E34443" s="40" t="s">
        <v>11404</v>
      </c>
      <c r="F34443" s="40" t="s">
        <v>11404</v>
      </c>
      <c r="G34443" s="40" t="s">
        <v>11404</v>
      </c>
      <c r="H34443" s="40" t="s">
        <v>11404</v>
      </c>
    </row>
    <row r="34444">
      <c r="A34444" s="39"/>
      <c r="E34444" s="40" t="s">
        <v>11404</v>
      </c>
      <c r="F34444" s="40" t="s">
        <v>11404</v>
      </c>
      <c r="G34444" s="40" t="s">
        <v>11404</v>
      </c>
      <c r="H34444" s="40" t="s">
        <v>11404</v>
      </c>
    </row>
    <row r="34445">
      <c r="A34445" s="39"/>
      <c r="E34445" s="40" t="s">
        <v>11404</v>
      </c>
      <c r="F34445" s="40" t="s">
        <v>11404</v>
      </c>
      <c r="G34445" s="40" t="s">
        <v>11404</v>
      </c>
      <c r="H34445" s="40" t="s">
        <v>11404</v>
      </c>
    </row>
    <row r="34446">
      <c r="A34446" s="39"/>
      <c r="E34446" s="40" t="s">
        <v>11404</v>
      </c>
      <c r="F34446" s="40" t="s">
        <v>11404</v>
      </c>
      <c r="G34446" s="40" t="s">
        <v>11404</v>
      </c>
      <c r="H34446" s="40" t="s">
        <v>11404</v>
      </c>
    </row>
    <row r="34447">
      <c r="A34447" s="39"/>
      <c r="E34447" s="40" t="s">
        <v>11404</v>
      </c>
      <c r="F34447" s="40" t="s">
        <v>11404</v>
      </c>
      <c r="G34447" s="40" t="s">
        <v>11404</v>
      </c>
      <c r="H34447" s="40" t="s">
        <v>11404</v>
      </c>
    </row>
    <row r="34448">
      <c r="A34448" s="39"/>
      <c r="E34448" s="40" t="s">
        <v>11404</v>
      </c>
      <c r="F34448" s="40" t="s">
        <v>11404</v>
      </c>
      <c r="G34448" s="40" t="s">
        <v>11404</v>
      </c>
      <c r="H34448" s="40" t="s">
        <v>11404</v>
      </c>
    </row>
    <row r="34449">
      <c r="A34449" s="39"/>
      <c r="E34449" s="40" t="s">
        <v>11404</v>
      </c>
      <c r="F34449" s="40" t="s">
        <v>11404</v>
      </c>
      <c r="G34449" s="40" t="s">
        <v>11404</v>
      </c>
      <c r="H34449" s="40" t="s">
        <v>11404</v>
      </c>
    </row>
    <row r="34450">
      <c r="A34450" s="39"/>
      <c r="E34450" s="40" t="s">
        <v>11404</v>
      </c>
      <c r="F34450" s="40" t="s">
        <v>11404</v>
      </c>
      <c r="G34450" s="40" t="s">
        <v>11404</v>
      </c>
      <c r="H34450" s="40" t="s">
        <v>11404</v>
      </c>
    </row>
    <row r="34451">
      <c r="A34451" s="39"/>
      <c r="E34451" s="40" t="s">
        <v>11404</v>
      </c>
      <c r="F34451" s="40" t="s">
        <v>11404</v>
      </c>
      <c r="G34451" s="40" t="s">
        <v>11404</v>
      </c>
      <c r="H34451" s="40" t="s">
        <v>11404</v>
      </c>
    </row>
    <row r="34452">
      <c r="A34452" s="39"/>
      <c r="E34452" s="40" t="s">
        <v>11404</v>
      </c>
      <c r="F34452" s="40" t="s">
        <v>11404</v>
      </c>
      <c r="G34452" s="40" t="s">
        <v>11404</v>
      </c>
      <c r="H34452" s="40" t="s">
        <v>11404</v>
      </c>
    </row>
    <row r="34453">
      <c r="A34453" s="39"/>
      <c r="E34453" s="40" t="s">
        <v>11404</v>
      </c>
      <c r="F34453" s="40" t="s">
        <v>11404</v>
      </c>
      <c r="G34453" s="40" t="s">
        <v>11404</v>
      </c>
      <c r="H34453" s="40" t="s">
        <v>11404</v>
      </c>
    </row>
    <row r="34454">
      <c r="A34454" s="39"/>
      <c r="E34454" s="40" t="s">
        <v>11404</v>
      </c>
      <c r="F34454" s="40" t="s">
        <v>11404</v>
      </c>
      <c r="G34454" s="40" t="s">
        <v>11404</v>
      </c>
      <c r="H34454" s="40" t="s">
        <v>11404</v>
      </c>
    </row>
    <row r="34455">
      <c r="A34455" s="39"/>
      <c r="E34455" s="40" t="s">
        <v>11404</v>
      </c>
      <c r="F34455" s="40" t="s">
        <v>11404</v>
      </c>
      <c r="G34455" s="40" t="s">
        <v>11404</v>
      </c>
      <c r="H34455" s="40" t="s">
        <v>11404</v>
      </c>
    </row>
    <row r="34456">
      <c r="A34456" s="39"/>
      <c r="E34456" s="40" t="s">
        <v>11404</v>
      </c>
      <c r="F34456" s="40" t="s">
        <v>11404</v>
      </c>
      <c r="G34456" s="40" t="s">
        <v>11404</v>
      </c>
      <c r="H34456" s="40" t="s">
        <v>11404</v>
      </c>
    </row>
    <row r="34457">
      <c r="A34457" s="39"/>
      <c r="E34457" s="40" t="s">
        <v>11404</v>
      </c>
      <c r="F34457" s="40" t="s">
        <v>11404</v>
      </c>
      <c r="G34457" s="40" t="s">
        <v>11404</v>
      </c>
      <c r="H34457" s="40" t="s">
        <v>11404</v>
      </c>
    </row>
    <row r="34458">
      <c r="A34458" s="39"/>
      <c r="E34458" s="40" t="s">
        <v>11404</v>
      </c>
      <c r="F34458" s="40" t="s">
        <v>11404</v>
      </c>
      <c r="G34458" s="40" t="s">
        <v>11404</v>
      </c>
      <c r="H34458" s="40" t="s">
        <v>11404</v>
      </c>
    </row>
    <row r="34459">
      <c r="A34459" s="39"/>
      <c r="E34459" s="40" t="s">
        <v>11404</v>
      </c>
      <c r="F34459" s="40" t="s">
        <v>11404</v>
      </c>
      <c r="G34459" s="40" t="s">
        <v>11404</v>
      </c>
      <c r="H34459" s="40" t="s">
        <v>11404</v>
      </c>
    </row>
    <row r="34460">
      <c r="A34460" s="39"/>
      <c r="E34460" s="40" t="s">
        <v>11404</v>
      </c>
      <c r="F34460" s="40" t="s">
        <v>11404</v>
      </c>
      <c r="G34460" s="40" t="s">
        <v>11404</v>
      </c>
      <c r="H34460" s="40" t="s">
        <v>11404</v>
      </c>
    </row>
    <row r="34461">
      <c r="A34461" s="39"/>
      <c r="E34461" s="40" t="s">
        <v>11404</v>
      </c>
      <c r="F34461" s="40" t="s">
        <v>11404</v>
      </c>
      <c r="G34461" s="40" t="s">
        <v>11404</v>
      </c>
      <c r="H34461" s="40" t="s">
        <v>11404</v>
      </c>
    </row>
    <row r="34462">
      <c r="A34462" s="39"/>
      <c r="E34462" s="40" t="s">
        <v>11404</v>
      </c>
      <c r="F34462" s="40" t="s">
        <v>11404</v>
      </c>
      <c r="G34462" s="40" t="s">
        <v>11404</v>
      </c>
      <c r="H34462" s="40" t="s">
        <v>11404</v>
      </c>
    </row>
    <row r="34463">
      <c r="A34463" s="39"/>
      <c r="E34463" s="40" t="s">
        <v>11404</v>
      </c>
      <c r="F34463" s="40" t="s">
        <v>11404</v>
      </c>
      <c r="G34463" s="40" t="s">
        <v>11404</v>
      </c>
      <c r="H34463" s="40" t="s">
        <v>11404</v>
      </c>
    </row>
    <row r="34464">
      <c r="A34464" s="39"/>
      <c r="E34464" s="40" t="s">
        <v>11404</v>
      </c>
      <c r="F34464" s="40" t="s">
        <v>11404</v>
      </c>
      <c r="G34464" s="40" t="s">
        <v>11404</v>
      </c>
      <c r="H34464" s="40" t="s">
        <v>11404</v>
      </c>
    </row>
    <row r="34465">
      <c r="A34465" s="39"/>
      <c r="E34465" s="40" t="s">
        <v>11404</v>
      </c>
      <c r="F34465" s="40" t="s">
        <v>11404</v>
      </c>
      <c r="G34465" s="40" t="s">
        <v>11404</v>
      </c>
      <c r="H34465" s="40" t="s">
        <v>11404</v>
      </c>
    </row>
    <row r="34466">
      <c r="A34466" s="39"/>
      <c r="E34466" s="40" t="s">
        <v>11404</v>
      </c>
      <c r="F34466" s="40" t="s">
        <v>11404</v>
      </c>
      <c r="G34466" s="40" t="s">
        <v>11404</v>
      </c>
      <c r="H34466" s="40" t="s">
        <v>11404</v>
      </c>
    </row>
    <row r="34467">
      <c r="A34467" s="39"/>
      <c r="E34467" s="40" t="s">
        <v>11404</v>
      </c>
      <c r="F34467" s="40" t="s">
        <v>11404</v>
      </c>
      <c r="G34467" s="40" t="s">
        <v>11404</v>
      </c>
      <c r="H34467" s="40" t="s">
        <v>11404</v>
      </c>
    </row>
    <row r="34468">
      <c r="A34468" s="39"/>
      <c r="E34468" s="40" t="s">
        <v>11404</v>
      </c>
      <c r="F34468" s="40" t="s">
        <v>11404</v>
      </c>
      <c r="G34468" s="40" t="s">
        <v>11404</v>
      </c>
      <c r="H34468" s="40" t="s">
        <v>11404</v>
      </c>
    </row>
    <row r="34469">
      <c r="A34469" s="39"/>
      <c r="E34469" s="40" t="s">
        <v>11404</v>
      </c>
      <c r="F34469" s="40" t="s">
        <v>11404</v>
      </c>
      <c r="G34469" s="40" t="s">
        <v>11404</v>
      </c>
      <c r="H34469" s="40" t="s">
        <v>11404</v>
      </c>
    </row>
    <row r="34470">
      <c r="A34470" s="39"/>
      <c r="E34470" s="40" t="s">
        <v>11404</v>
      </c>
      <c r="F34470" s="40" t="s">
        <v>11404</v>
      </c>
      <c r="G34470" s="40" t="s">
        <v>11404</v>
      </c>
      <c r="H34470" s="40" t="s">
        <v>11404</v>
      </c>
    </row>
    <row r="34471">
      <c r="A34471" s="39"/>
      <c r="E34471" s="40" t="s">
        <v>11404</v>
      </c>
      <c r="F34471" s="40" t="s">
        <v>11404</v>
      </c>
      <c r="G34471" s="40" t="s">
        <v>11404</v>
      </c>
      <c r="H34471" s="40" t="s">
        <v>11404</v>
      </c>
    </row>
    <row r="34472">
      <c r="A34472" s="39"/>
      <c r="E34472" s="40" t="s">
        <v>11404</v>
      </c>
      <c r="F34472" s="40" t="s">
        <v>11404</v>
      </c>
      <c r="G34472" s="40" t="s">
        <v>11404</v>
      </c>
      <c r="H34472" s="40" t="s">
        <v>11404</v>
      </c>
    </row>
    <row r="34473">
      <c r="A34473" s="39"/>
      <c r="E34473" s="40" t="s">
        <v>11404</v>
      </c>
      <c r="F34473" s="40" t="s">
        <v>11404</v>
      </c>
      <c r="G34473" s="40" t="s">
        <v>11404</v>
      </c>
      <c r="H34473" s="40" t="s">
        <v>11404</v>
      </c>
    </row>
    <row r="34474">
      <c r="A34474" s="39"/>
      <c r="E34474" s="40" t="s">
        <v>11404</v>
      </c>
      <c r="F34474" s="40" t="s">
        <v>11404</v>
      </c>
      <c r="G34474" s="40" t="s">
        <v>11404</v>
      </c>
      <c r="H34474" s="40" t="s">
        <v>11404</v>
      </c>
    </row>
    <row r="34475">
      <c r="A34475" s="39"/>
      <c r="E34475" s="40" t="s">
        <v>11404</v>
      </c>
      <c r="F34475" s="40" t="s">
        <v>11404</v>
      </c>
      <c r="G34475" s="40" t="s">
        <v>11404</v>
      </c>
      <c r="H34475" s="40" t="s">
        <v>11404</v>
      </c>
    </row>
    <row r="34476">
      <c r="A34476" s="39"/>
      <c r="E34476" s="40" t="s">
        <v>11404</v>
      </c>
      <c r="F34476" s="40" t="s">
        <v>11404</v>
      </c>
      <c r="G34476" s="40" t="s">
        <v>11404</v>
      </c>
      <c r="H34476" s="40" t="s">
        <v>11404</v>
      </c>
    </row>
    <row r="34477">
      <c r="A34477" s="39"/>
      <c r="E34477" s="40" t="s">
        <v>11404</v>
      </c>
      <c r="F34477" s="40" t="s">
        <v>11404</v>
      </c>
      <c r="G34477" s="40" t="s">
        <v>11404</v>
      </c>
      <c r="H34477" s="40" t="s">
        <v>11404</v>
      </c>
    </row>
    <row r="34478">
      <c r="A34478" s="39"/>
      <c r="E34478" s="40" t="s">
        <v>11404</v>
      </c>
      <c r="F34478" s="40" t="s">
        <v>11404</v>
      </c>
      <c r="G34478" s="40" t="s">
        <v>11404</v>
      </c>
      <c r="H34478" s="40" t="s">
        <v>11404</v>
      </c>
    </row>
    <row r="34479">
      <c r="A34479" s="39"/>
      <c r="E34479" s="40" t="s">
        <v>11404</v>
      </c>
      <c r="F34479" s="40" t="s">
        <v>11404</v>
      </c>
      <c r="G34479" s="40" t="s">
        <v>11404</v>
      </c>
      <c r="H34479" s="40" t="s">
        <v>11404</v>
      </c>
    </row>
    <row r="34480">
      <c r="A34480" s="39"/>
      <c r="E34480" s="40" t="s">
        <v>11404</v>
      </c>
      <c r="F34480" s="40" t="s">
        <v>11404</v>
      </c>
      <c r="G34480" s="40" t="s">
        <v>11404</v>
      </c>
      <c r="H34480" s="40" t="s">
        <v>11404</v>
      </c>
    </row>
    <row r="34481">
      <c r="A34481" s="39"/>
      <c r="E34481" s="40" t="s">
        <v>11404</v>
      </c>
      <c r="F34481" s="40" t="s">
        <v>11404</v>
      </c>
      <c r="G34481" s="40" t="s">
        <v>11404</v>
      </c>
      <c r="H34481" s="40" t="s">
        <v>11404</v>
      </c>
    </row>
    <row r="34482">
      <c r="A34482" s="39"/>
      <c r="E34482" s="40" t="s">
        <v>11404</v>
      </c>
      <c r="F34482" s="40" t="s">
        <v>11404</v>
      </c>
      <c r="G34482" s="40" t="s">
        <v>11404</v>
      </c>
      <c r="H34482" s="40" t="s">
        <v>11404</v>
      </c>
    </row>
    <row r="34483">
      <c r="A34483" s="39"/>
      <c r="E34483" s="40" t="s">
        <v>11404</v>
      </c>
      <c r="F34483" s="40" t="s">
        <v>11404</v>
      </c>
      <c r="G34483" s="40" t="s">
        <v>11404</v>
      </c>
      <c r="H34483" s="40" t="s">
        <v>11404</v>
      </c>
    </row>
    <row r="34484">
      <c r="A34484" s="39"/>
      <c r="E34484" s="40" t="s">
        <v>11404</v>
      </c>
      <c r="F34484" s="40" t="s">
        <v>11404</v>
      </c>
      <c r="G34484" s="40" t="s">
        <v>11404</v>
      </c>
      <c r="H34484" s="40" t="s">
        <v>11404</v>
      </c>
    </row>
    <row r="34485">
      <c r="A34485" s="39"/>
      <c r="E34485" s="40" t="s">
        <v>11404</v>
      </c>
      <c r="F34485" s="40" t="s">
        <v>11404</v>
      </c>
      <c r="G34485" s="40" t="s">
        <v>11404</v>
      </c>
      <c r="H34485" s="40" t="s">
        <v>11404</v>
      </c>
    </row>
    <row r="34486">
      <c r="A34486" s="39"/>
      <c r="E34486" s="40" t="s">
        <v>11404</v>
      </c>
      <c r="F34486" s="40" t="s">
        <v>11404</v>
      </c>
      <c r="G34486" s="40" t="s">
        <v>11404</v>
      </c>
      <c r="H34486" s="40" t="s">
        <v>11404</v>
      </c>
    </row>
    <row r="34487">
      <c r="A34487" s="39"/>
      <c r="E34487" s="40" t="s">
        <v>11404</v>
      </c>
      <c r="F34487" s="40" t="s">
        <v>11404</v>
      </c>
      <c r="G34487" s="40" t="s">
        <v>11404</v>
      </c>
      <c r="H34487" s="40" t="s">
        <v>11404</v>
      </c>
    </row>
    <row r="34488">
      <c r="A34488" s="39"/>
      <c r="E34488" s="40" t="s">
        <v>11404</v>
      </c>
      <c r="F34488" s="40" t="s">
        <v>11404</v>
      </c>
      <c r="G34488" s="40" t="s">
        <v>11404</v>
      </c>
      <c r="H34488" s="40" t="s">
        <v>11404</v>
      </c>
    </row>
    <row r="34489">
      <c r="A34489" s="39"/>
      <c r="E34489" s="40" t="s">
        <v>11404</v>
      </c>
      <c r="F34489" s="40" t="s">
        <v>11404</v>
      </c>
      <c r="G34489" s="40" t="s">
        <v>11404</v>
      </c>
      <c r="H34489" s="40" t="s">
        <v>11404</v>
      </c>
    </row>
    <row r="34490">
      <c r="A34490" s="39"/>
      <c r="E34490" s="40" t="s">
        <v>11404</v>
      </c>
      <c r="F34490" s="40" t="s">
        <v>11404</v>
      </c>
      <c r="G34490" s="40" t="s">
        <v>11404</v>
      </c>
      <c r="H34490" s="40" t="s">
        <v>11404</v>
      </c>
    </row>
    <row r="34491">
      <c r="A34491" s="39"/>
      <c r="E34491" s="40" t="s">
        <v>11404</v>
      </c>
      <c r="F34491" s="40" t="s">
        <v>11404</v>
      </c>
      <c r="G34491" s="40" t="s">
        <v>11404</v>
      </c>
      <c r="H34491" s="40" t="s">
        <v>11404</v>
      </c>
    </row>
    <row r="34492">
      <c r="A34492" s="39"/>
      <c r="E34492" s="40" t="s">
        <v>11404</v>
      </c>
      <c r="F34492" s="40" t="s">
        <v>11404</v>
      </c>
      <c r="G34492" s="40" t="s">
        <v>11404</v>
      </c>
      <c r="H34492" s="40" t="s">
        <v>11404</v>
      </c>
    </row>
    <row r="34493">
      <c r="A34493" s="39"/>
      <c r="E34493" s="40" t="s">
        <v>11404</v>
      </c>
      <c r="F34493" s="40" t="s">
        <v>11404</v>
      </c>
      <c r="G34493" s="40" t="s">
        <v>11404</v>
      </c>
      <c r="H34493" s="40" t="s">
        <v>11404</v>
      </c>
    </row>
    <row r="34494">
      <c r="A34494" s="39"/>
      <c r="E34494" s="40" t="s">
        <v>11404</v>
      </c>
      <c r="F34494" s="40" t="s">
        <v>11404</v>
      </c>
      <c r="G34494" s="40" t="s">
        <v>11404</v>
      </c>
      <c r="H34494" s="40" t="s">
        <v>11404</v>
      </c>
    </row>
    <row r="34495">
      <c r="A34495" s="39"/>
      <c r="E34495" s="40" t="s">
        <v>11404</v>
      </c>
      <c r="F34495" s="40" t="s">
        <v>11404</v>
      </c>
      <c r="G34495" s="40" t="s">
        <v>11404</v>
      </c>
      <c r="H34495" s="40" t="s">
        <v>11404</v>
      </c>
    </row>
    <row r="34496">
      <c r="A34496" s="39"/>
      <c r="E34496" s="40" t="s">
        <v>11404</v>
      </c>
      <c r="F34496" s="40" t="s">
        <v>11404</v>
      </c>
      <c r="G34496" s="40" t="s">
        <v>11404</v>
      </c>
      <c r="H34496" s="40" t="s">
        <v>11404</v>
      </c>
    </row>
    <row r="34497">
      <c r="A34497" s="39"/>
      <c r="E34497" s="40" t="s">
        <v>11404</v>
      </c>
      <c r="F34497" s="40" t="s">
        <v>11404</v>
      </c>
      <c r="G34497" s="40" t="s">
        <v>11404</v>
      </c>
      <c r="H34497" s="40" t="s">
        <v>11404</v>
      </c>
    </row>
    <row r="34498">
      <c r="A34498" s="39"/>
      <c r="E34498" s="40" t="s">
        <v>11404</v>
      </c>
      <c r="F34498" s="40" t="s">
        <v>11404</v>
      </c>
      <c r="G34498" s="40" t="s">
        <v>11404</v>
      </c>
      <c r="H34498" s="40" t="s">
        <v>11404</v>
      </c>
    </row>
    <row r="34499">
      <c r="A34499" s="39"/>
      <c r="E34499" s="40" t="s">
        <v>11404</v>
      </c>
      <c r="F34499" s="40" t="s">
        <v>11404</v>
      </c>
      <c r="G34499" s="40" t="s">
        <v>11404</v>
      </c>
      <c r="H34499" s="40" t="s">
        <v>11404</v>
      </c>
    </row>
    <row r="34500">
      <c r="A34500" s="39"/>
      <c r="E34500" s="40" t="s">
        <v>11404</v>
      </c>
      <c r="F34500" s="40" t="s">
        <v>11404</v>
      </c>
      <c r="G34500" s="40" t="s">
        <v>11404</v>
      </c>
      <c r="H34500" s="40" t="s">
        <v>11404</v>
      </c>
    </row>
    <row r="34501">
      <c r="A34501" s="39"/>
      <c r="E34501" s="40" t="s">
        <v>11404</v>
      </c>
      <c r="F34501" s="40" t="s">
        <v>11404</v>
      </c>
      <c r="G34501" s="40" t="s">
        <v>11404</v>
      </c>
      <c r="H34501" s="40" t="s">
        <v>11404</v>
      </c>
    </row>
    <row r="34502">
      <c r="A34502" s="39"/>
      <c r="E34502" s="40" t="s">
        <v>11404</v>
      </c>
      <c r="F34502" s="40" t="s">
        <v>11404</v>
      </c>
      <c r="G34502" s="40" t="s">
        <v>11404</v>
      </c>
      <c r="H34502" s="40" t="s">
        <v>11404</v>
      </c>
    </row>
    <row r="34503">
      <c r="A34503" s="39"/>
      <c r="E34503" s="40" t="s">
        <v>11404</v>
      </c>
      <c r="F34503" s="40" t="s">
        <v>11404</v>
      </c>
      <c r="G34503" s="40" t="s">
        <v>11404</v>
      </c>
      <c r="H34503" s="40" t="s">
        <v>11404</v>
      </c>
    </row>
    <row r="34504">
      <c r="A34504" s="39"/>
      <c r="E34504" s="40" t="s">
        <v>11404</v>
      </c>
      <c r="F34504" s="40" t="s">
        <v>11404</v>
      </c>
      <c r="G34504" s="40" t="s">
        <v>11404</v>
      </c>
      <c r="H34504" s="40" t="s">
        <v>11404</v>
      </c>
    </row>
    <row r="34505">
      <c r="A34505" s="39"/>
      <c r="E34505" s="40" t="s">
        <v>11404</v>
      </c>
      <c r="F34505" s="40" t="s">
        <v>11404</v>
      </c>
      <c r="G34505" s="40" t="s">
        <v>11404</v>
      </c>
      <c r="H34505" s="40" t="s">
        <v>11404</v>
      </c>
    </row>
    <row r="34506">
      <c r="A34506" s="39"/>
      <c r="E34506" s="40" t="s">
        <v>11404</v>
      </c>
      <c r="F34506" s="40" t="s">
        <v>11404</v>
      </c>
      <c r="G34506" s="40" t="s">
        <v>11404</v>
      </c>
      <c r="H34506" s="40" t="s">
        <v>11404</v>
      </c>
    </row>
    <row r="34507">
      <c r="A34507" s="39"/>
      <c r="E34507" s="40" t="s">
        <v>11404</v>
      </c>
      <c r="F34507" s="40" t="s">
        <v>11404</v>
      </c>
      <c r="G34507" s="40" t="s">
        <v>11404</v>
      </c>
      <c r="H34507" s="40" t="s">
        <v>11404</v>
      </c>
    </row>
    <row r="34508">
      <c r="A34508" s="39"/>
      <c r="E34508" s="40" t="s">
        <v>11404</v>
      </c>
      <c r="F34508" s="40" t="s">
        <v>11404</v>
      </c>
      <c r="G34508" s="40" t="s">
        <v>11404</v>
      </c>
      <c r="H34508" s="40" t="s">
        <v>11404</v>
      </c>
    </row>
    <row r="34509">
      <c r="A34509" s="39"/>
      <c r="E34509" s="40" t="s">
        <v>11404</v>
      </c>
      <c r="F34509" s="40" t="s">
        <v>11404</v>
      </c>
      <c r="G34509" s="40" t="s">
        <v>11404</v>
      </c>
      <c r="H34509" s="40" t="s">
        <v>11404</v>
      </c>
    </row>
    <row r="34510">
      <c r="A34510" s="39"/>
      <c r="E34510" s="40" t="s">
        <v>11404</v>
      </c>
      <c r="F34510" s="40" t="s">
        <v>11404</v>
      </c>
      <c r="G34510" s="40" t="s">
        <v>11404</v>
      </c>
      <c r="H34510" s="40" t="s">
        <v>11404</v>
      </c>
    </row>
    <row r="34511">
      <c r="A34511" s="39"/>
      <c r="E34511" s="40" t="s">
        <v>11404</v>
      </c>
      <c r="F34511" s="40" t="s">
        <v>11404</v>
      </c>
      <c r="G34511" s="40" t="s">
        <v>11404</v>
      </c>
      <c r="H34511" s="40" t="s">
        <v>11404</v>
      </c>
    </row>
    <row r="34512">
      <c r="A34512" s="39"/>
      <c r="E34512" s="40" t="s">
        <v>11404</v>
      </c>
      <c r="F34512" s="40" t="s">
        <v>11404</v>
      </c>
      <c r="G34512" s="40" t="s">
        <v>11404</v>
      </c>
      <c r="H34512" s="40" t="s">
        <v>11404</v>
      </c>
    </row>
    <row r="34513">
      <c r="A34513" s="39"/>
      <c r="E34513" s="40" t="s">
        <v>11404</v>
      </c>
      <c r="F34513" s="40" t="s">
        <v>11404</v>
      </c>
      <c r="G34513" s="40" t="s">
        <v>11404</v>
      </c>
      <c r="H34513" s="40" t="s">
        <v>11404</v>
      </c>
    </row>
    <row r="34514">
      <c r="A34514" s="39"/>
      <c r="E34514" s="40" t="s">
        <v>11404</v>
      </c>
      <c r="F34514" s="40" t="s">
        <v>11404</v>
      </c>
      <c r="G34514" s="40" t="s">
        <v>11404</v>
      </c>
      <c r="H34514" s="40" t="s">
        <v>11404</v>
      </c>
    </row>
    <row r="34515">
      <c r="A34515" s="39"/>
      <c r="E34515" s="40" t="s">
        <v>11404</v>
      </c>
      <c r="F34515" s="40" t="s">
        <v>11404</v>
      </c>
      <c r="G34515" s="40" t="s">
        <v>11404</v>
      </c>
      <c r="H34515" s="40" t="s">
        <v>11404</v>
      </c>
    </row>
    <row r="34516">
      <c r="A34516" s="39"/>
      <c r="E34516" s="40" t="s">
        <v>11404</v>
      </c>
      <c r="F34516" s="40" t="s">
        <v>11404</v>
      </c>
      <c r="G34516" s="40" t="s">
        <v>11404</v>
      </c>
      <c r="H34516" s="40" t="s">
        <v>11404</v>
      </c>
    </row>
    <row r="34517">
      <c r="A34517" s="39"/>
      <c r="E34517" s="40" t="s">
        <v>11404</v>
      </c>
      <c r="F34517" s="40" t="s">
        <v>11404</v>
      </c>
      <c r="G34517" s="40" t="s">
        <v>11404</v>
      </c>
      <c r="H34517" s="40" t="s">
        <v>11404</v>
      </c>
    </row>
    <row r="34518">
      <c r="A34518" s="39"/>
      <c r="E34518" s="40" t="s">
        <v>11404</v>
      </c>
      <c r="F34518" s="40" t="s">
        <v>11404</v>
      </c>
      <c r="G34518" s="40" t="s">
        <v>11404</v>
      </c>
      <c r="H34518" s="40" t="s">
        <v>11404</v>
      </c>
    </row>
    <row r="34519">
      <c r="A34519" s="39"/>
      <c r="E34519" s="40" t="s">
        <v>11404</v>
      </c>
      <c r="F34519" s="40" t="s">
        <v>11404</v>
      </c>
      <c r="G34519" s="40" t="s">
        <v>11404</v>
      </c>
      <c r="H34519" s="40" t="s">
        <v>11404</v>
      </c>
    </row>
    <row r="34520">
      <c r="A34520" s="39"/>
      <c r="E34520" s="40" t="s">
        <v>11404</v>
      </c>
      <c r="F34520" s="40" t="s">
        <v>11404</v>
      </c>
      <c r="G34520" s="40" t="s">
        <v>11404</v>
      </c>
      <c r="H34520" s="40" t="s">
        <v>11404</v>
      </c>
    </row>
    <row r="34521">
      <c r="A34521" s="39"/>
      <c r="E34521" s="40" t="s">
        <v>11404</v>
      </c>
      <c r="F34521" s="40" t="s">
        <v>11404</v>
      </c>
      <c r="G34521" s="40" t="s">
        <v>11404</v>
      </c>
      <c r="H34521" s="40" t="s">
        <v>11404</v>
      </c>
    </row>
    <row r="34522">
      <c r="A34522" s="39"/>
      <c r="E34522" s="40" t="s">
        <v>11404</v>
      </c>
      <c r="F34522" s="40" t="s">
        <v>11404</v>
      </c>
      <c r="G34522" s="40" t="s">
        <v>11404</v>
      </c>
      <c r="H34522" s="40" t="s">
        <v>11404</v>
      </c>
    </row>
    <row r="34523">
      <c r="A34523" s="39"/>
      <c r="E34523" s="40" t="s">
        <v>11404</v>
      </c>
      <c r="F34523" s="40" t="s">
        <v>11404</v>
      </c>
      <c r="G34523" s="40" t="s">
        <v>11404</v>
      </c>
      <c r="H34523" s="40" t="s">
        <v>11404</v>
      </c>
    </row>
    <row r="34524">
      <c r="A34524" s="39"/>
      <c r="E34524" s="40" t="s">
        <v>11404</v>
      </c>
      <c r="F34524" s="40" t="s">
        <v>11404</v>
      </c>
      <c r="G34524" s="40" t="s">
        <v>11404</v>
      </c>
      <c r="H34524" s="40" t="s">
        <v>11404</v>
      </c>
    </row>
    <row r="34525">
      <c r="A34525" s="39"/>
      <c r="E34525" s="40" t="s">
        <v>11404</v>
      </c>
      <c r="F34525" s="40" t="s">
        <v>11404</v>
      </c>
      <c r="G34525" s="40" t="s">
        <v>11404</v>
      </c>
      <c r="H34525" s="40" t="s">
        <v>11404</v>
      </c>
    </row>
    <row r="34526">
      <c r="A34526" s="39"/>
      <c r="E34526" s="40" t="s">
        <v>11404</v>
      </c>
      <c r="F34526" s="40" t="s">
        <v>11404</v>
      </c>
      <c r="G34526" s="40" t="s">
        <v>11404</v>
      </c>
      <c r="H34526" s="40" t="s">
        <v>11404</v>
      </c>
    </row>
    <row r="34527">
      <c r="A34527" s="39"/>
      <c r="E34527" s="40" t="s">
        <v>11404</v>
      </c>
      <c r="F34527" s="40" t="s">
        <v>11404</v>
      </c>
      <c r="G34527" s="40" t="s">
        <v>11404</v>
      </c>
      <c r="H34527" s="40" t="s">
        <v>11404</v>
      </c>
    </row>
    <row r="34528">
      <c r="A34528" s="39"/>
      <c r="E34528" s="40" t="s">
        <v>11404</v>
      </c>
      <c r="F34528" s="40" t="s">
        <v>11404</v>
      </c>
      <c r="G34528" s="40" t="s">
        <v>11404</v>
      </c>
      <c r="H34528" s="40" t="s">
        <v>11404</v>
      </c>
    </row>
    <row r="34529">
      <c r="A34529" s="39"/>
      <c r="E34529" s="40" t="s">
        <v>11404</v>
      </c>
      <c r="F34529" s="40" t="s">
        <v>11404</v>
      </c>
      <c r="G34529" s="40" t="s">
        <v>11404</v>
      </c>
      <c r="H34529" s="40" t="s">
        <v>11404</v>
      </c>
    </row>
    <row r="34530">
      <c r="A34530" s="39"/>
      <c r="E34530" s="40" t="s">
        <v>11404</v>
      </c>
      <c r="F34530" s="40" t="s">
        <v>11404</v>
      </c>
      <c r="G34530" s="40" t="s">
        <v>11404</v>
      </c>
      <c r="H34530" s="40" t="s">
        <v>11404</v>
      </c>
    </row>
    <row r="34531">
      <c r="A34531" s="39"/>
      <c r="E34531" s="40" t="s">
        <v>11404</v>
      </c>
      <c r="F34531" s="40" t="s">
        <v>11404</v>
      </c>
      <c r="G34531" s="40" t="s">
        <v>11404</v>
      </c>
      <c r="H34531" s="40" t="s">
        <v>11404</v>
      </c>
    </row>
    <row r="34532">
      <c r="A34532" s="39"/>
      <c r="E34532" s="40" t="s">
        <v>11404</v>
      </c>
      <c r="F34532" s="40" t="s">
        <v>11404</v>
      </c>
      <c r="G34532" s="40" t="s">
        <v>11404</v>
      </c>
      <c r="H34532" s="40" t="s">
        <v>11404</v>
      </c>
    </row>
    <row r="34533">
      <c r="A34533" s="39"/>
      <c r="E34533" s="40" t="s">
        <v>11404</v>
      </c>
      <c r="F34533" s="40" t="s">
        <v>11404</v>
      </c>
      <c r="G34533" s="40" t="s">
        <v>11404</v>
      </c>
      <c r="H34533" s="40" t="s">
        <v>11404</v>
      </c>
    </row>
    <row r="34534">
      <c r="A34534" s="39"/>
      <c r="E34534" s="40" t="s">
        <v>11404</v>
      </c>
      <c r="F34534" s="40" t="s">
        <v>11404</v>
      </c>
      <c r="G34534" s="40" t="s">
        <v>11404</v>
      </c>
      <c r="H34534" s="40" t="s">
        <v>11404</v>
      </c>
    </row>
    <row r="34535">
      <c r="A34535" s="39"/>
      <c r="E34535" s="40" t="s">
        <v>11404</v>
      </c>
      <c r="F34535" s="40" t="s">
        <v>11404</v>
      </c>
      <c r="G34535" s="40" t="s">
        <v>11404</v>
      </c>
      <c r="H34535" s="40" t="s">
        <v>11404</v>
      </c>
    </row>
    <row r="34536">
      <c r="A34536" s="39"/>
      <c r="E34536" s="40" t="s">
        <v>11404</v>
      </c>
      <c r="F34536" s="40" t="s">
        <v>11404</v>
      </c>
      <c r="G34536" s="40" t="s">
        <v>11404</v>
      </c>
      <c r="H34536" s="40" t="s">
        <v>11404</v>
      </c>
    </row>
    <row r="34537">
      <c r="A34537" s="39"/>
      <c r="E34537" s="40" t="s">
        <v>11404</v>
      </c>
      <c r="F34537" s="40" t="s">
        <v>11404</v>
      </c>
      <c r="G34537" s="40" t="s">
        <v>11404</v>
      </c>
      <c r="H34537" s="40" t="s">
        <v>11404</v>
      </c>
    </row>
    <row r="34538">
      <c r="A34538" s="39"/>
      <c r="E34538" s="40" t="s">
        <v>11404</v>
      </c>
      <c r="F34538" s="40" t="s">
        <v>11404</v>
      </c>
      <c r="G34538" s="40" t="s">
        <v>11404</v>
      </c>
      <c r="H34538" s="40" t="s">
        <v>11404</v>
      </c>
    </row>
    <row r="34539">
      <c r="A34539" s="39"/>
      <c r="E34539" s="40" t="s">
        <v>11404</v>
      </c>
      <c r="F34539" s="40" t="s">
        <v>11404</v>
      </c>
      <c r="G34539" s="40" t="s">
        <v>11404</v>
      </c>
      <c r="H34539" s="40" t="s">
        <v>11404</v>
      </c>
    </row>
    <row r="34540">
      <c r="A34540" s="39"/>
      <c r="E34540" s="40" t="s">
        <v>11404</v>
      </c>
      <c r="F34540" s="40" t="s">
        <v>11404</v>
      </c>
      <c r="G34540" s="40" t="s">
        <v>11404</v>
      </c>
      <c r="H34540" s="40" t="s">
        <v>11404</v>
      </c>
    </row>
    <row r="34541">
      <c r="A34541" s="39"/>
      <c r="E34541" s="40" t="s">
        <v>11404</v>
      </c>
      <c r="F34541" s="40" t="s">
        <v>11404</v>
      </c>
      <c r="G34541" s="40" t="s">
        <v>11404</v>
      </c>
      <c r="H34541" s="40" t="s">
        <v>11404</v>
      </c>
    </row>
    <row r="34542">
      <c r="A34542" s="39"/>
      <c r="E34542" s="40" t="s">
        <v>11404</v>
      </c>
      <c r="F34542" s="40" t="s">
        <v>11404</v>
      </c>
      <c r="G34542" s="40" t="s">
        <v>11404</v>
      </c>
      <c r="H34542" s="40" t="s">
        <v>11404</v>
      </c>
    </row>
    <row r="34543">
      <c r="A34543" s="39"/>
      <c r="E34543" s="40" t="s">
        <v>11404</v>
      </c>
      <c r="F34543" s="40" t="s">
        <v>11404</v>
      </c>
      <c r="G34543" s="40" t="s">
        <v>11404</v>
      </c>
      <c r="H34543" s="40" t="s">
        <v>11404</v>
      </c>
    </row>
    <row r="34544">
      <c r="A34544" s="39"/>
      <c r="E34544" s="40" t="s">
        <v>11404</v>
      </c>
      <c r="F34544" s="40" t="s">
        <v>11404</v>
      </c>
      <c r="G34544" s="40" t="s">
        <v>11404</v>
      </c>
      <c r="H34544" s="40" t="s">
        <v>11404</v>
      </c>
    </row>
    <row r="34545">
      <c r="A34545" s="39"/>
      <c r="E34545" s="40" t="s">
        <v>11404</v>
      </c>
      <c r="F34545" s="40" t="s">
        <v>11404</v>
      </c>
      <c r="G34545" s="40" t="s">
        <v>11404</v>
      </c>
      <c r="H34545" s="40" t="s">
        <v>11404</v>
      </c>
    </row>
    <row r="34546">
      <c r="A34546" s="39"/>
      <c r="E34546" s="40" t="s">
        <v>11404</v>
      </c>
      <c r="F34546" s="40" t="s">
        <v>11404</v>
      </c>
      <c r="G34546" s="40" t="s">
        <v>11404</v>
      </c>
      <c r="H34546" s="40" t="s">
        <v>11404</v>
      </c>
    </row>
    <row r="34547">
      <c r="A34547" s="39"/>
      <c r="E34547" s="40" t="s">
        <v>11404</v>
      </c>
      <c r="F34547" s="40" t="s">
        <v>11404</v>
      </c>
      <c r="G34547" s="40" t="s">
        <v>11404</v>
      </c>
      <c r="H34547" s="40" t="s">
        <v>11404</v>
      </c>
    </row>
    <row r="34548">
      <c r="A34548" s="39"/>
      <c r="E34548" s="40" t="s">
        <v>11404</v>
      </c>
      <c r="F34548" s="40" t="s">
        <v>11404</v>
      </c>
      <c r="G34548" s="40" t="s">
        <v>11404</v>
      </c>
      <c r="H34548" s="40" t="s">
        <v>11404</v>
      </c>
    </row>
    <row r="34549">
      <c r="A34549" s="39"/>
      <c r="E34549" s="40" t="s">
        <v>11404</v>
      </c>
      <c r="F34549" s="40" t="s">
        <v>11404</v>
      </c>
      <c r="G34549" s="40" t="s">
        <v>11404</v>
      </c>
      <c r="H34549" s="40" t="s">
        <v>11404</v>
      </c>
    </row>
    <row r="34550">
      <c r="A34550" s="39"/>
      <c r="E34550" s="40" t="s">
        <v>11404</v>
      </c>
      <c r="F34550" s="40" t="s">
        <v>11404</v>
      </c>
      <c r="G34550" s="40" t="s">
        <v>11404</v>
      </c>
      <c r="H34550" s="40" t="s">
        <v>11404</v>
      </c>
    </row>
    <row r="34551">
      <c r="A34551" s="39"/>
      <c r="E34551" s="40" t="s">
        <v>11404</v>
      </c>
      <c r="F34551" s="40" t="s">
        <v>11404</v>
      </c>
      <c r="G34551" s="40" t="s">
        <v>11404</v>
      </c>
      <c r="H34551" s="40" t="s">
        <v>11404</v>
      </c>
    </row>
    <row r="34552">
      <c r="A34552" s="39"/>
      <c r="E34552" s="40" t="s">
        <v>11404</v>
      </c>
      <c r="F34552" s="40" t="s">
        <v>11404</v>
      </c>
      <c r="G34552" s="40" t="s">
        <v>11404</v>
      </c>
      <c r="H34552" s="40" t="s">
        <v>11404</v>
      </c>
    </row>
    <row r="34553">
      <c r="A34553" s="39"/>
      <c r="E34553" s="40" t="s">
        <v>11404</v>
      </c>
      <c r="F34553" s="40" t="s">
        <v>11404</v>
      </c>
      <c r="G34553" s="40" t="s">
        <v>11404</v>
      </c>
      <c r="H34553" s="40" t="s">
        <v>11404</v>
      </c>
    </row>
    <row r="34554">
      <c r="A34554" s="39"/>
      <c r="E34554" s="40" t="s">
        <v>11404</v>
      </c>
      <c r="F34554" s="40" t="s">
        <v>11404</v>
      </c>
      <c r="G34554" s="40" t="s">
        <v>11404</v>
      </c>
      <c r="H34554" s="40" t="s">
        <v>11404</v>
      </c>
    </row>
    <row r="34555">
      <c r="A34555" s="39"/>
      <c r="E34555" s="40" t="s">
        <v>11404</v>
      </c>
      <c r="F34555" s="40" t="s">
        <v>11404</v>
      </c>
      <c r="G34555" s="40" t="s">
        <v>11404</v>
      </c>
      <c r="H34555" s="40" t="s">
        <v>11404</v>
      </c>
    </row>
    <row r="34556">
      <c r="A34556" s="39"/>
      <c r="E34556" s="40" t="s">
        <v>11404</v>
      </c>
      <c r="F34556" s="40" t="s">
        <v>11404</v>
      </c>
      <c r="G34556" s="40" t="s">
        <v>11404</v>
      </c>
      <c r="H34556" s="40" t="s">
        <v>11404</v>
      </c>
    </row>
    <row r="34557">
      <c r="A34557" s="39"/>
      <c r="E34557" s="40" t="s">
        <v>11404</v>
      </c>
      <c r="F34557" s="40" t="s">
        <v>11404</v>
      </c>
      <c r="G34557" s="40" t="s">
        <v>11404</v>
      </c>
      <c r="H34557" s="40" t="s">
        <v>11404</v>
      </c>
    </row>
    <row r="34558">
      <c r="A34558" s="39"/>
      <c r="E34558" s="40" t="s">
        <v>11404</v>
      </c>
      <c r="F34558" s="40" t="s">
        <v>11404</v>
      </c>
      <c r="G34558" s="40" t="s">
        <v>11404</v>
      </c>
      <c r="H34558" s="40" t="s">
        <v>11404</v>
      </c>
    </row>
    <row r="34559">
      <c r="A34559" s="39"/>
      <c r="E34559" s="40" t="s">
        <v>11404</v>
      </c>
      <c r="F34559" s="40" t="s">
        <v>11404</v>
      </c>
      <c r="G34559" s="40" t="s">
        <v>11404</v>
      </c>
      <c r="H34559" s="40" t="s">
        <v>11404</v>
      </c>
    </row>
    <row r="34560">
      <c r="A34560" s="39"/>
      <c r="E34560" s="40" t="s">
        <v>11404</v>
      </c>
      <c r="F34560" s="40" t="s">
        <v>11404</v>
      </c>
      <c r="G34560" s="40" t="s">
        <v>11404</v>
      </c>
      <c r="H34560" s="40" t="s">
        <v>11404</v>
      </c>
    </row>
    <row r="34561">
      <c r="A34561" s="39"/>
      <c r="E34561" s="40" t="s">
        <v>11404</v>
      </c>
      <c r="F34561" s="40" t="s">
        <v>11404</v>
      </c>
      <c r="G34561" s="40" t="s">
        <v>11404</v>
      </c>
      <c r="H34561" s="40" t="s">
        <v>11404</v>
      </c>
    </row>
    <row r="34562">
      <c r="A34562" s="39"/>
      <c r="E34562" s="40" t="s">
        <v>11404</v>
      </c>
      <c r="F34562" s="40" t="s">
        <v>11404</v>
      </c>
      <c r="G34562" s="40" t="s">
        <v>11404</v>
      </c>
      <c r="H34562" s="40" t="s">
        <v>11404</v>
      </c>
    </row>
    <row r="34563">
      <c r="A34563" s="39"/>
      <c r="E34563" s="40" t="s">
        <v>11404</v>
      </c>
      <c r="F34563" s="40" t="s">
        <v>11404</v>
      </c>
      <c r="G34563" s="40" t="s">
        <v>11404</v>
      </c>
      <c r="H34563" s="40" t="s">
        <v>11404</v>
      </c>
    </row>
    <row r="34564">
      <c r="A34564" s="39"/>
      <c r="E34564" s="40" t="s">
        <v>11404</v>
      </c>
      <c r="F34564" s="40" t="s">
        <v>11404</v>
      </c>
      <c r="G34564" s="40" t="s">
        <v>11404</v>
      </c>
      <c r="H34564" s="40" t="s">
        <v>11404</v>
      </c>
    </row>
    <row r="34565">
      <c r="A34565" s="39"/>
      <c r="E34565" s="40" t="s">
        <v>11404</v>
      </c>
      <c r="F34565" s="40" t="s">
        <v>11404</v>
      </c>
      <c r="G34565" s="40" t="s">
        <v>11404</v>
      </c>
      <c r="H34565" s="40" t="s">
        <v>11404</v>
      </c>
    </row>
    <row r="34566">
      <c r="A34566" s="39"/>
      <c r="E34566" s="40" t="s">
        <v>11404</v>
      </c>
      <c r="F34566" s="40" t="s">
        <v>11404</v>
      </c>
      <c r="G34566" s="40" t="s">
        <v>11404</v>
      </c>
      <c r="H34566" s="40" t="s">
        <v>11404</v>
      </c>
    </row>
    <row r="34567">
      <c r="A34567" s="39"/>
      <c r="E34567" s="40" t="s">
        <v>11404</v>
      </c>
      <c r="F34567" s="40" t="s">
        <v>11404</v>
      </c>
      <c r="G34567" s="40" t="s">
        <v>11404</v>
      </c>
      <c r="H34567" s="40" t="s">
        <v>11404</v>
      </c>
    </row>
    <row r="34568">
      <c r="A34568" s="39"/>
      <c r="E34568" s="40" t="s">
        <v>11404</v>
      </c>
      <c r="F34568" s="40" t="s">
        <v>11404</v>
      </c>
      <c r="G34568" s="40" t="s">
        <v>11404</v>
      </c>
      <c r="H34568" s="40" t="s">
        <v>11404</v>
      </c>
    </row>
    <row r="34569">
      <c r="A34569" s="39"/>
      <c r="E34569" s="40" t="s">
        <v>11404</v>
      </c>
      <c r="F34569" s="40" t="s">
        <v>11404</v>
      </c>
      <c r="G34569" s="40" t="s">
        <v>11404</v>
      </c>
      <c r="H34569" s="40" t="s">
        <v>11404</v>
      </c>
    </row>
    <row r="34570">
      <c r="A34570" s="39"/>
      <c r="E34570" s="40" t="s">
        <v>11404</v>
      </c>
      <c r="F34570" s="40" t="s">
        <v>11404</v>
      </c>
      <c r="G34570" s="40" t="s">
        <v>11404</v>
      </c>
      <c r="H34570" s="40" t="s">
        <v>11404</v>
      </c>
    </row>
    <row r="34571">
      <c r="A34571" s="39"/>
      <c r="E34571" s="40" t="s">
        <v>11404</v>
      </c>
      <c r="F34571" s="40" t="s">
        <v>11404</v>
      </c>
      <c r="G34571" s="40" t="s">
        <v>11404</v>
      </c>
      <c r="H34571" s="40" t="s">
        <v>11404</v>
      </c>
    </row>
    <row r="34572">
      <c r="A34572" s="39"/>
      <c r="E34572" s="40" t="s">
        <v>11404</v>
      </c>
      <c r="F34572" s="40" t="s">
        <v>11404</v>
      </c>
      <c r="G34572" s="40" t="s">
        <v>11404</v>
      </c>
      <c r="H34572" s="40" t="s">
        <v>11404</v>
      </c>
    </row>
    <row r="34573">
      <c r="A34573" s="39"/>
      <c r="E34573" s="40" t="s">
        <v>11404</v>
      </c>
      <c r="F34573" s="40" t="s">
        <v>11404</v>
      </c>
      <c r="G34573" s="40" t="s">
        <v>11404</v>
      </c>
      <c r="H34573" s="40" t="s">
        <v>11404</v>
      </c>
    </row>
    <row r="34574">
      <c r="A34574" s="39"/>
      <c r="E34574" s="40" t="s">
        <v>11404</v>
      </c>
      <c r="F34574" s="40" t="s">
        <v>11404</v>
      </c>
      <c r="G34574" s="40" t="s">
        <v>11404</v>
      </c>
      <c r="H34574" s="40" t="s">
        <v>11404</v>
      </c>
    </row>
    <row r="34575">
      <c r="A34575" s="39"/>
      <c r="E34575" s="40" t="s">
        <v>11404</v>
      </c>
      <c r="F34575" s="40" t="s">
        <v>11404</v>
      </c>
      <c r="G34575" s="40" t="s">
        <v>11404</v>
      </c>
      <c r="H34575" s="40" t="s">
        <v>11404</v>
      </c>
    </row>
    <row r="34576">
      <c r="A34576" s="39"/>
      <c r="E34576" s="40" t="s">
        <v>11404</v>
      </c>
      <c r="F34576" s="40" t="s">
        <v>11404</v>
      </c>
      <c r="G34576" s="40" t="s">
        <v>11404</v>
      </c>
      <c r="H34576" s="40" t="s">
        <v>11404</v>
      </c>
    </row>
    <row r="34577">
      <c r="A34577" s="39"/>
      <c r="E34577" s="40" t="s">
        <v>11404</v>
      </c>
      <c r="F34577" s="40" t="s">
        <v>11404</v>
      </c>
      <c r="G34577" s="40" t="s">
        <v>11404</v>
      </c>
      <c r="H34577" s="40" t="s">
        <v>11404</v>
      </c>
    </row>
    <row r="34578">
      <c r="A34578" s="39"/>
      <c r="E34578" s="40" t="s">
        <v>11404</v>
      </c>
      <c r="F34578" s="40" t="s">
        <v>11404</v>
      </c>
      <c r="G34578" s="40" t="s">
        <v>11404</v>
      </c>
      <c r="H34578" s="40" t="s">
        <v>11404</v>
      </c>
    </row>
    <row r="34579">
      <c r="A34579" s="39"/>
      <c r="E34579" s="40" t="s">
        <v>11404</v>
      </c>
      <c r="F34579" s="40" t="s">
        <v>11404</v>
      </c>
      <c r="G34579" s="40" t="s">
        <v>11404</v>
      </c>
      <c r="H34579" s="40" t="s">
        <v>11404</v>
      </c>
    </row>
    <row r="34580">
      <c r="A34580" s="39"/>
      <c r="E34580" s="40" t="s">
        <v>11404</v>
      </c>
      <c r="F34580" s="40" t="s">
        <v>11404</v>
      </c>
      <c r="G34580" s="40" t="s">
        <v>11404</v>
      </c>
      <c r="H34580" s="40" t="s">
        <v>11404</v>
      </c>
    </row>
    <row r="34581">
      <c r="A34581" s="39"/>
      <c r="E34581" s="40" t="s">
        <v>11404</v>
      </c>
      <c r="F34581" s="40" t="s">
        <v>11404</v>
      </c>
      <c r="G34581" s="40" t="s">
        <v>11404</v>
      </c>
      <c r="H34581" s="40" t="s">
        <v>11404</v>
      </c>
    </row>
    <row r="34582">
      <c r="A34582" s="39"/>
      <c r="E34582" s="40" t="s">
        <v>11404</v>
      </c>
      <c r="F34582" s="40" t="s">
        <v>11404</v>
      </c>
      <c r="G34582" s="40" t="s">
        <v>11404</v>
      </c>
      <c r="H34582" s="40" t="s">
        <v>11404</v>
      </c>
    </row>
    <row r="34583">
      <c r="A34583" s="39"/>
      <c r="E34583" s="40" t="s">
        <v>11404</v>
      </c>
      <c r="F34583" s="40" t="s">
        <v>11404</v>
      </c>
      <c r="G34583" s="40" t="s">
        <v>11404</v>
      </c>
      <c r="H34583" s="40" t="s">
        <v>11404</v>
      </c>
    </row>
    <row r="34584">
      <c r="A34584" s="39"/>
      <c r="E34584" s="40" t="s">
        <v>11404</v>
      </c>
      <c r="F34584" s="40" t="s">
        <v>11404</v>
      </c>
      <c r="G34584" s="40" t="s">
        <v>11404</v>
      </c>
      <c r="H34584" s="40" t="s">
        <v>11404</v>
      </c>
    </row>
    <row r="34585">
      <c r="A34585" s="39"/>
      <c r="E34585" s="40" t="s">
        <v>11404</v>
      </c>
      <c r="F34585" s="40" t="s">
        <v>11404</v>
      </c>
      <c r="G34585" s="40" t="s">
        <v>11404</v>
      </c>
      <c r="H34585" s="40" t="s">
        <v>11404</v>
      </c>
    </row>
    <row r="34586">
      <c r="A34586" s="39"/>
      <c r="E34586" s="40" t="s">
        <v>11404</v>
      </c>
      <c r="F34586" s="40" t="s">
        <v>11404</v>
      </c>
      <c r="G34586" s="40" t="s">
        <v>11404</v>
      </c>
      <c r="H34586" s="40" t="s">
        <v>11404</v>
      </c>
    </row>
    <row r="34587">
      <c r="A34587" s="39"/>
      <c r="E34587" s="40" t="s">
        <v>11404</v>
      </c>
      <c r="F34587" s="40" t="s">
        <v>11404</v>
      </c>
      <c r="G34587" s="40" t="s">
        <v>11404</v>
      </c>
      <c r="H34587" s="40" t="s">
        <v>11404</v>
      </c>
    </row>
    <row r="34588">
      <c r="A34588" s="39"/>
      <c r="E34588" s="40" t="s">
        <v>11404</v>
      </c>
      <c r="F34588" s="40" t="s">
        <v>11404</v>
      </c>
      <c r="G34588" s="40" t="s">
        <v>11404</v>
      </c>
      <c r="H34588" s="40" t="s">
        <v>11404</v>
      </c>
    </row>
    <row r="34589">
      <c r="A34589" s="39"/>
      <c r="E34589" s="40" t="s">
        <v>11404</v>
      </c>
      <c r="F34589" s="40" t="s">
        <v>11404</v>
      </c>
      <c r="G34589" s="40" t="s">
        <v>11404</v>
      </c>
      <c r="H34589" s="40" t="s">
        <v>11404</v>
      </c>
    </row>
    <row r="34590">
      <c r="A34590" s="39"/>
      <c r="E34590" s="40" t="s">
        <v>11404</v>
      </c>
      <c r="F34590" s="40" t="s">
        <v>11404</v>
      </c>
      <c r="G34590" s="40" t="s">
        <v>11404</v>
      </c>
      <c r="H34590" s="40" t="s">
        <v>11404</v>
      </c>
    </row>
    <row r="34591">
      <c r="A34591" s="39"/>
      <c r="E34591" s="40" t="s">
        <v>11404</v>
      </c>
      <c r="F34591" s="40" t="s">
        <v>11404</v>
      </c>
      <c r="G34591" s="40" t="s">
        <v>11404</v>
      </c>
      <c r="H34591" s="40" t="s">
        <v>11404</v>
      </c>
    </row>
    <row r="34592">
      <c r="A34592" s="39"/>
      <c r="E34592" s="40" t="s">
        <v>11404</v>
      </c>
      <c r="F34592" s="40" t="s">
        <v>11404</v>
      </c>
      <c r="G34592" s="40" t="s">
        <v>11404</v>
      </c>
      <c r="H34592" s="40" t="s">
        <v>11404</v>
      </c>
    </row>
    <row r="34593">
      <c r="A34593" s="39"/>
      <c r="E34593" s="40" t="s">
        <v>11404</v>
      </c>
      <c r="F34593" s="40" t="s">
        <v>11404</v>
      </c>
      <c r="G34593" s="40" t="s">
        <v>11404</v>
      </c>
      <c r="H34593" s="40" t="s">
        <v>11404</v>
      </c>
    </row>
    <row r="34594">
      <c r="A34594" s="39"/>
      <c r="E34594" s="40" t="s">
        <v>11404</v>
      </c>
      <c r="F34594" s="40" t="s">
        <v>11404</v>
      </c>
      <c r="G34594" s="40" t="s">
        <v>11404</v>
      </c>
      <c r="H34594" s="40" t="s">
        <v>11404</v>
      </c>
    </row>
    <row r="34595">
      <c r="A34595" s="39"/>
      <c r="E34595" s="40" t="s">
        <v>11404</v>
      </c>
      <c r="F34595" s="40" t="s">
        <v>11404</v>
      </c>
      <c r="G34595" s="40" t="s">
        <v>11404</v>
      </c>
      <c r="H34595" s="40" t="s">
        <v>11404</v>
      </c>
    </row>
    <row r="34596">
      <c r="A34596" s="39"/>
      <c r="E34596" s="40" t="s">
        <v>11404</v>
      </c>
      <c r="F34596" s="40" t="s">
        <v>11404</v>
      </c>
      <c r="G34596" s="40" t="s">
        <v>11404</v>
      </c>
      <c r="H34596" s="40" t="s">
        <v>11404</v>
      </c>
    </row>
    <row r="34597">
      <c r="A34597" s="39"/>
      <c r="E34597" s="40" t="s">
        <v>11404</v>
      </c>
      <c r="F34597" s="40" t="s">
        <v>11404</v>
      </c>
      <c r="G34597" s="40" t="s">
        <v>11404</v>
      </c>
      <c r="H34597" s="40" t="s">
        <v>11404</v>
      </c>
    </row>
    <row r="34598">
      <c r="A34598" s="39"/>
      <c r="E34598" s="40" t="s">
        <v>11404</v>
      </c>
      <c r="F34598" s="40" t="s">
        <v>11404</v>
      </c>
      <c r="G34598" s="40" t="s">
        <v>11404</v>
      </c>
      <c r="H34598" s="40" t="s">
        <v>11404</v>
      </c>
    </row>
    <row r="34599">
      <c r="A34599" s="39"/>
      <c r="E34599" s="40" t="s">
        <v>11404</v>
      </c>
      <c r="F34599" s="40" t="s">
        <v>11404</v>
      </c>
      <c r="G34599" s="40" t="s">
        <v>11404</v>
      </c>
      <c r="H34599" s="40" t="s">
        <v>11404</v>
      </c>
    </row>
    <row r="34600">
      <c r="A34600" s="39"/>
      <c r="E34600" s="40" t="s">
        <v>11404</v>
      </c>
      <c r="F34600" s="40" t="s">
        <v>11404</v>
      </c>
      <c r="G34600" s="40" t="s">
        <v>11404</v>
      </c>
      <c r="H34600" s="40" t="s">
        <v>11404</v>
      </c>
    </row>
    <row r="34601">
      <c r="A34601" s="39"/>
      <c r="E34601" s="40" t="s">
        <v>11404</v>
      </c>
      <c r="F34601" s="40" t="s">
        <v>11404</v>
      </c>
      <c r="G34601" s="40" t="s">
        <v>11404</v>
      </c>
      <c r="H34601" s="40" t="s">
        <v>11404</v>
      </c>
    </row>
    <row r="34602">
      <c r="A34602" s="39"/>
      <c r="E34602" s="40" t="s">
        <v>11404</v>
      </c>
      <c r="F34602" s="40" t="s">
        <v>11404</v>
      </c>
      <c r="G34602" s="40" t="s">
        <v>11404</v>
      </c>
      <c r="H34602" s="40" t="s">
        <v>11404</v>
      </c>
    </row>
    <row r="34603">
      <c r="A34603" s="39"/>
      <c r="E34603" s="40" t="s">
        <v>11404</v>
      </c>
      <c r="F34603" s="40" t="s">
        <v>11404</v>
      </c>
      <c r="G34603" s="40" t="s">
        <v>11404</v>
      </c>
      <c r="H34603" s="40" t="s">
        <v>11404</v>
      </c>
    </row>
    <row r="34604">
      <c r="A34604" s="39"/>
      <c r="E34604" s="40" t="s">
        <v>11404</v>
      </c>
      <c r="F34604" s="40" t="s">
        <v>11404</v>
      </c>
      <c r="G34604" s="40" t="s">
        <v>11404</v>
      </c>
      <c r="H34604" s="40" t="s">
        <v>11404</v>
      </c>
    </row>
    <row r="34605">
      <c r="A34605" s="39"/>
      <c r="E34605" s="40" t="s">
        <v>11404</v>
      </c>
      <c r="F34605" s="40" t="s">
        <v>11404</v>
      </c>
      <c r="G34605" s="40" t="s">
        <v>11404</v>
      </c>
      <c r="H34605" s="40" t="s">
        <v>11404</v>
      </c>
    </row>
    <row r="34606">
      <c r="A34606" s="39"/>
      <c r="E34606" s="40" t="s">
        <v>11404</v>
      </c>
      <c r="F34606" s="40" t="s">
        <v>11404</v>
      </c>
      <c r="G34606" s="40" t="s">
        <v>11404</v>
      </c>
      <c r="H34606" s="40" t="s">
        <v>11404</v>
      </c>
    </row>
    <row r="34607">
      <c r="A34607" s="39"/>
      <c r="E34607" s="40" t="s">
        <v>11404</v>
      </c>
      <c r="F34607" s="40" t="s">
        <v>11404</v>
      </c>
      <c r="G34607" s="40" t="s">
        <v>11404</v>
      </c>
      <c r="H34607" s="40" t="s">
        <v>11404</v>
      </c>
    </row>
    <row r="34608">
      <c r="A34608" s="39"/>
      <c r="E34608" s="40" t="s">
        <v>11404</v>
      </c>
      <c r="F34608" s="40" t="s">
        <v>11404</v>
      </c>
      <c r="G34608" s="40" t="s">
        <v>11404</v>
      </c>
      <c r="H34608" s="40" t="s">
        <v>11404</v>
      </c>
    </row>
    <row r="34609">
      <c r="A34609" s="39"/>
      <c r="E34609" s="40" t="s">
        <v>11404</v>
      </c>
      <c r="F34609" s="40" t="s">
        <v>11404</v>
      </c>
      <c r="G34609" s="40" t="s">
        <v>11404</v>
      </c>
      <c r="H34609" s="40" t="s">
        <v>11404</v>
      </c>
    </row>
    <row r="34610">
      <c r="A34610" s="39"/>
      <c r="E34610" s="40" t="s">
        <v>11404</v>
      </c>
      <c r="F34610" s="40" t="s">
        <v>11404</v>
      </c>
      <c r="G34610" s="40" t="s">
        <v>11404</v>
      </c>
      <c r="H34610" s="40" t="s">
        <v>11404</v>
      </c>
    </row>
    <row r="34611">
      <c r="A34611" s="39"/>
      <c r="E34611" s="40" t="s">
        <v>11404</v>
      </c>
      <c r="F34611" s="40" t="s">
        <v>11404</v>
      </c>
      <c r="G34611" s="40" t="s">
        <v>11404</v>
      </c>
      <c r="H34611" s="40" t="s">
        <v>11404</v>
      </c>
    </row>
    <row r="34612">
      <c r="A34612" s="39"/>
      <c r="E34612" s="40" t="s">
        <v>11404</v>
      </c>
      <c r="F34612" s="40" t="s">
        <v>11404</v>
      </c>
      <c r="G34612" s="40" t="s">
        <v>11404</v>
      </c>
      <c r="H34612" s="40" t="s">
        <v>11404</v>
      </c>
    </row>
    <row r="34613">
      <c r="A34613" s="39"/>
      <c r="E34613" s="40" t="s">
        <v>11404</v>
      </c>
      <c r="F34613" s="40" t="s">
        <v>11404</v>
      </c>
      <c r="G34613" s="40" t="s">
        <v>11404</v>
      </c>
      <c r="H34613" s="40" t="s">
        <v>11404</v>
      </c>
    </row>
    <row r="34614">
      <c r="A34614" s="39"/>
      <c r="E34614" s="40" t="s">
        <v>11404</v>
      </c>
      <c r="F34614" s="40" t="s">
        <v>11404</v>
      </c>
      <c r="G34614" s="40" t="s">
        <v>11404</v>
      </c>
      <c r="H34614" s="40" t="s">
        <v>11404</v>
      </c>
    </row>
    <row r="34615">
      <c r="A34615" s="39"/>
      <c r="E34615" s="40" t="s">
        <v>11404</v>
      </c>
      <c r="F34615" s="40" t="s">
        <v>11404</v>
      </c>
      <c r="G34615" s="40" t="s">
        <v>11404</v>
      </c>
      <c r="H34615" s="40" t="s">
        <v>11404</v>
      </c>
    </row>
    <row r="34616">
      <c r="A34616" s="39"/>
      <c r="E34616" s="40" t="s">
        <v>11404</v>
      </c>
      <c r="F34616" s="40" t="s">
        <v>11404</v>
      </c>
      <c r="G34616" s="40" t="s">
        <v>11404</v>
      </c>
      <c r="H34616" s="40" t="s">
        <v>11404</v>
      </c>
    </row>
    <row r="34617">
      <c r="A34617" s="39"/>
      <c r="E34617" s="40" t="s">
        <v>11404</v>
      </c>
      <c r="F34617" s="40" t="s">
        <v>11404</v>
      </c>
      <c r="G34617" s="40" t="s">
        <v>11404</v>
      </c>
      <c r="H34617" s="40" t="s">
        <v>11404</v>
      </c>
    </row>
    <row r="34618">
      <c r="A34618" s="39"/>
      <c r="E34618" s="40" t="s">
        <v>11404</v>
      </c>
      <c r="F34618" s="40" t="s">
        <v>11404</v>
      </c>
      <c r="G34618" s="40" t="s">
        <v>11404</v>
      </c>
      <c r="H34618" s="40" t="s">
        <v>11404</v>
      </c>
    </row>
    <row r="34619">
      <c r="A34619" s="39"/>
      <c r="E34619" s="40" t="s">
        <v>11404</v>
      </c>
      <c r="F34619" s="40" t="s">
        <v>11404</v>
      </c>
      <c r="G34619" s="40" t="s">
        <v>11404</v>
      </c>
      <c r="H34619" s="40" t="s">
        <v>11404</v>
      </c>
    </row>
    <row r="34620">
      <c r="A34620" s="39"/>
      <c r="E34620" s="40" t="s">
        <v>11404</v>
      </c>
      <c r="F34620" s="40" t="s">
        <v>11404</v>
      </c>
      <c r="G34620" s="40" t="s">
        <v>11404</v>
      </c>
      <c r="H34620" s="40" t="s">
        <v>11404</v>
      </c>
    </row>
    <row r="34621">
      <c r="A34621" s="39"/>
      <c r="E34621" s="40" t="s">
        <v>11404</v>
      </c>
      <c r="F34621" s="40" t="s">
        <v>11404</v>
      </c>
      <c r="G34621" s="40" t="s">
        <v>11404</v>
      </c>
      <c r="H34621" s="40" t="s">
        <v>11404</v>
      </c>
    </row>
    <row r="34622">
      <c r="A34622" s="39"/>
      <c r="E34622" s="40" t="s">
        <v>11404</v>
      </c>
      <c r="F34622" s="40" t="s">
        <v>11404</v>
      </c>
      <c r="G34622" s="40" t="s">
        <v>11404</v>
      </c>
      <c r="H34622" s="40" t="s">
        <v>11404</v>
      </c>
    </row>
    <row r="34623">
      <c r="A34623" s="39"/>
      <c r="E34623" s="40" t="s">
        <v>11404</v>
      </c>
      <c r="F34623" s="40" t="s">
        <v>11404</v>
      </c>
      <c r="G34623" s="40" t="s">
        <v>11404</v>
      </c>
      <c r="H34623" s="40" t="s">
        <v>11404</v>
      </c>
    </row>
    <row r="34624">
      <c r="A34624" s="39"/>
      <c r="E34624" s="40" t="s">
        <v>11404</v>
      </c>
      <c r="F34624" s="40" t="s">
        <v>11404</v>
      </c>
      <c r="G34624" s="40" t="s">
        <v>11404</v>
      </c>
      <c r="H34624" s="40" t="s">
        <v>11404</v>
      </c>
    </row>
    <row r="34625">
      <c r="A34625" s="39"/>
      <c r="E34625" s="40" t="s">
        <v>11404</v>
      </c>
      <c r="F34625" s="40" t="s">
        <v>11404</v>
      </c>
      <c r="G34625" s="40" t="s">
        <v>11404</v>
      </c>
      <c r="H34625" s="40" t="s">
        <v>11404</v>
      </c>
    </row>
    <row r="34626">
      <c r="A34626" s="39"/>
      <c r="E34626" s="40" t="s">
        <v>11404</v>
      </c>
      <c r="F34626" s="40" t="s">
        <v>11404</v>
      </c>
      <c r="G34626" s="40" t="s">
        <v>11404</v>
      </c>
      <c r="H34626" s="40" t="s">
        <v>11404</v>
      </c>
    </row>
    <row r="34627">
      <c r="A34627" s="39"/>
      <c r="E34627" s="40" t="s">
        <v>11404</v>
      </c>
      <c r="F34627" s="40" t="s">
        <v>11404</v>
      </c>
      <c r="G34627" s="40" t="s">
        <v>11404</v>
      </c>
      <c r="H34627" s="40" t="s">
        <v>11404</v>
      </c>
    </row>
    <row r="34628">
      <c r="A34628" s="39"/>
      <c r="E34628" s="40" t="s">
        <v>11404</v>
      </c>
      <c r="F34628" s="40" t="s">
        <v>11404</v>
      </c>
      <c r="G34628" s="40" t="s">
        <v>11404</v>
      </c>
      <c r="H34628" s="40" t="s">
        <v>11404</v>
      </c>
    </row>
    <row r="34629">
      <c r="A34629" s="39"/>
      <c r="E34629" s="40" t="s">
        <v>11404</v>
      </c>
      <c r="F34629" s="40" t="s">
        <v>11404</v>
      </c>
      <c r="G34629" s="40" t="s">
        <v>11404</v>
      </c>
      <c r="H34629" s="40" t="s">
        <v>11404</v>
      </c>
    </row>
    <row r="34630">
      <c r="A34630" s="39"/>
      <c r="E34630" s="40" t="s">
        <v>11404</v>
      </c>
      <c r="F34630" s="40" t="s">
        <v>11404</v>
      </c>
      <c r="G34630" s="40" t="s">
        <v>11404</v>
      </c>
      <c r="H34630" s="40" t="s">
        <v>11404</v>
      </c>
    </row>
    <row r="34631">
      <c r="A34631" s="39"/>
      <c r="E34631" s="40" t="s">
        <v>11404</v>
      </c>
      <c r="F34631" s="40" t="s">
        <v>11404</v>
      </c>
      <c r="G34631" s="40" t="s">
        <v>11404</v>
      </c>
      <c r="H34631" s="40" t="s">
        <v>11404</v>
      </c>
    </row>
    <row r="34632">
      <c r="A34632" s="39"/>
      <c r="E34632" s="40" t="s">
        <v>11404</v>
      </c>
      <c r="F34632" s="40" t="s">
        <v>11404</v>
      </c>
      <c r="G34632" s="40" t="s">
        <v>11404</v>
      </c>
      <c r="H34632" s="40" t="s">
        <v>11404</v>
      </c>
    </row>
    <row r="34633">
      <c r="A34633" s="39"/>
      <c r="E34633" s="40" t="s">
        <v>11404</v>
      </c>
      <c r="F34633" s="40" t="s">
        <v>11404</v>
      </c>
      <c r="G34633" s="40" t="s">
        <v>11404</v>
      </c>
      <c r="H34633" s="40" t="s">
        <v>11404</v>
      </c>
    </row>
    <row r="34634">
      <c r="A34634" s="39"/>
      <c r="E34634" s="40" t="s">
        <v>11404</v>
      </c>
      <c r="F34634" s="40" t="s">
        <v>11404</v>
      </c>
      <c r="G34634" s="40" t="s">
        <v>11404</v>
      </c>
      <c r="H34634" s="40" t="s">
        <v>11404</v>
      </c>
    </row>
    <row r="34635">
      <c r="A34635" s="39"/>
      <c r="E34635" s="40" t="s">
        <v>11404</v>
      </c>
      <c r="F34635" s="40" t="s">
        <v>11404</v>
      </c>
      <c r="G34635" s="40" t="s">
        <v>11404</v>
      </c>
      <c r="H34635" s="40" t="s">
        <v>11404</v>
      </c>
    </row>
    <row r="34636">
      <c r="A34636" s="39"/>
      <c r="E34636" s="40" t="s">
        <v>11404</v>
      </c>
      <c r="F34636" s="40" t="s">
        <v>11404</v>
      </c>
      <c r="G34636" s="40" t="s">
        <v>11404</v>
      </c>
      <c r="H34636" s="40" t="s">
        <v>11404</v>
      </c>
    </row>
    <row r="34637">
      <c r="A34637" s="39"/>
      <c r="E34637" s="40" t="s">
        <v>11404</v>
      </c>
      <c r="F34637" s="40" t="s">
        <v>11404</v>
      </c>
      <c r="G34637" s="40" t="s">
        <v>11404</v>
      </c>
      <c r="H34637" s="40" t="s">
        <v>11404</v>
      </c>
    </row>
    <row r="34638">
      <c r="A34638" s="39"/>
      <c r="E34638" s="40" t="s">
        <v>11404</v>
      </c>
      <c r="F34638" s="40" t="s">
        <v>11404</v>
      </c>
      <c r="G34638" s="40" t="s">
        <v>11404</v>
      </c>
      <c r="H34638" s="40" t="s">
        <v>11404</v>
      </c>
    </row>
    <row r="34639">
      <c r="A34639" s="39"/>
      <c r="E34639" s="40" t="s">
        <v>11404</v>
      </c>
      <c r="F34639" s="40" t="s">
        <v>11404</v>
      </c>
      <c r="G34639" s="40" t="s">
        <v>11404</v>
      </c>
      <c r="H34639" s="40" t="s">
        <v>11404</v>
      </c>
    </row>
    <row r="34640">
      <c r="A34640" s="39"/>
      <c r="E34640" s="40" t="s">
        <v>11404</v>
      </c>
      <c r="F34640" s="40" t="s">
        <v>11404</v>
      </c>
      <c r="G34640" s="40" t="s">
        <v>11404</v>
      </c>
      <c r="H34640" s="40" t="s">
        <v>11404</v>
      </c>
    </row>
    <row r="34641">
      <c r="A34641" s="39"/>
      <c r="E34641" s="40" t="s">
        <v>11404</v>
      </c>
      <c r="F34641" s="40" t="s">
        <v>11404</v>
      </c>
      <c r="G34641" s="40" t="s">
        <v>11404</v>
      </c>
      <c r="H34641" s="40" t="s">
        <v>11404</v>
      </c>
    </row>
    <row r="34642">
      <c r="A34642" s="39"/>
      <c r="E34642" s="40" t="s">
        <v>11404</v>
      </c>
      <c r="F34642" s="40" t="s">
        <v>11404</v>
      </c>
      <c r="G34642" s="40" t="s">
        <v>11404</v>
      </c>
      <c r="H34642" s="40" t="s">
        <v>11404</v>
      </c>
    </row>
    <row r="34643">
      <c r="A34643" s="39"/>
      <c r="E34643" s="40" t="s">
        <v>11404</v>
      </c>
      <c r="F34643" s="40" t="s">
        <v>11404</v>
      </c>
      <c r="G34643" s="40" t="s">
        <v>11404</v>
      </c>
      <c r="H34643" s="40" t="s">
        <v>11404</v>
      </c>
    </row>
    <row r="34644">
      <c r="A34644" s="39"/>
      <c r="E34644" s="40" t="s">
        <v>11404</v>
      </c>
      <c r="F34644" s="40" t="s">
        <v>11404</v>
      </c>
      <c r="G34644" s="40" t="s">
        <v>11404</v>
      </c>
      <c r="H34644" s="40" t="s">
        <v>11404</v>
      </c>
    </row>
    <row r="34645">
      <c r="A34645" s="39"/>
      <c r="E34645" s="40" t="s">
        <v>11404</v>
      </c>
      <c r="F34645" s="40" t="s">
        <v>11404</v>
      </c>
      <c r="G34645" s="40" t="s">
        <v>11404</v>
      </c>
      <c r="H34645" s="40" t="s">
        <v>11404</v>
      </c>
    </row>
    <row r="34646">
      <c r="A34646" s="39"/>
      <c r="E34646" s="40" t="s">
        <v>11404</v>
      </c>
      <c r="F34646" s="40" t="s">
        <v>11404</v>
      </c>
      <c r="G34646" s="40" t="s">
        <v>11404</v>
      </c>
      <c r="H34646" s="40" t="s">
        <v>11404</v>
      </c>
    </row>
    <row r="34647">
      <c r="A34647" s="39"/>
      <c r="E34647" s="40" t="s">
        <v>11404</v>
      </c>
      <c r="F34647" s="40" t="s">
        <v>11404</v>
      </c>
      <c r="G34647" s="40" t="s">
        <v>11404</v>
      </c>
      <c r="H34647" s="40" t="s">
        <v>11404</v>
      </c>
    </row>
    <row r="34648">
      <c r="A34648" s="39"/>
      <c r="E34648" s="40" t="s">
        <v>11404</v>
      </c>
      <c r="F34648" s="40" t="s">
        <v>11404</v>
      </c>
      <c r="G34648" s="40" t="s">
        <v>11404</v>
      </c>
      <c r="H34648" s="40" t="s">
        <v>11404</v>
      </c>
    </row>
    <row r="34649">
      <c r="A34649" s="39"/>
      <c r="E34649" s="40" t="s">
        <v>11404</v>
      </c>
      <c r="F34649" s="40" t="s">
        <v>11404</v>
      </c>
      <c r="G34649" s="40" t="s">
        <v>11404</v>
      </c>
      <c r="H34649" s="40" t="s">
        <v>11404</v>
      </c>
    </row>
    <row r="34650">
      <c r="A34650" s="39"/>
      <c r="E34650" s="40" t="s">
        <v>11404</v>
      </c>
      <c r="F34650" s="40" t="s">
        <v>11404</v>
      </c>
      <c r="G34650" s="40" t="s">
        <v>11404</v>
      </c>
      <c r="H34650" s="40" t="s">
        <v>11404</v>
      </c>
    </row>
    <row r="34651">
      <c r="A34651" s="39"/>
      <c r="E34651" s="40" t="s">
        <v>11404</v>
      </c>
      <c r="F34651" s="40" t="s">
        <v>11404</v>
      </c>
      <c r="G34651" s="40" t="s">
        <v>11404</v>
      </c>
      <c r="H34651" s="40" t="s">
        <v>11404</v>
      </c>
    </row>
    <row r="34652">
      <c r="A34652" s="39"/>
      <c r="E34652" s="40" t="s">
        <v>11404</v>
      </c>
      <c r="F34652" s="40" t="s">
        <v>11404</v>
      </c>
      <c r="G34652" s="40" t="s">
        <v>11404</v>
      </c>
      <c r="H34652" s="40" t="s">
        <v>11404</v>
      </c>
    </row>
    <row r="34653">
      <c r="A34653" s="39"/>
      <c r="E34653" s="40" t="s">
        <v>11404</v>
      </c>
      <c r="F34653" s="40" t="s">
        <v>11404</v>
      </c>
      <c r="G34653" s="40" t="s">
        <v>11404</v>
      </c>
      <c r="H34653" s="40" t="s">
        <v>11404</v>
      </c>
    </row>
    <row r="34654">
      <c r="A34654" s="39"/>
      <c r="E34654" s="40" t="s">
        <v>11404</v>
      </c>
      <c r="F34654" s="40" t="s">
        <v>11404</v>
      </c>
      <c r="G34654" s="40" t="s">
        <v>11404</v>
      </c>
      <c r="H34654" s="40" t="s">
        <v>11404</v>
      </c>
    </row>
    <row r="34655">
      <c r="A34655" s="39"/>
      <c r="E34655" s="40" t="s">
        <v>11404</v>
      </c>
      <c r="F34655" s="40" t="s">
        <v>11404</v>
      </c>
      <c r="G34655" s="40" t="s">
        <v>11404</v>
      </c>
      <c r="H34655" s="40" t="s">
        <v>11404</v>
      </c>
    </row>
    <row r="34656">
      <c r="A34656" s="39"/>
      <c r="E34656" s="40" t="s">
        <v>11404</v>
      </c>
      <c r="F34656" s="40" t="s">
        <v>11404</v>
      </c>
      <c r="G34656" s="40" t="s">
        <v>11404</v>
      </c>
      <c r="H34656" s="40" t="s">
        <v>11404</v>
      </c>
    </row>
    <row r="34657">
      <c r="A34657" s="39"/>
      <c r="E34657" s="40" t="s">
        <v>11404</v>
      </c>
      <c r="F34657" s="40" t="s">
        <v>11404</v>
      </c>
      <c r="G34657" s="40" t="s">
        <v>11404</v>
      </c>
      <c r="H34657" s="40" t="s">
        <v>11404</v>
      </c>
    </row>
    <row r="34658">
      <c r="A34658" s="39"/>
      <c r="E34658" s="40" t="s">
        <v>11404</v>
      </c>
      <c r="F34658" s="40" t="s">
        <v>11404</v>
      </c>
      <c r="G34658" s="40" t="s">
        <v>11404</v>
      </c>
      <c r="H34658" s="40" t="s">
        <v>11404</v>
      </c>
    </row>
    <row r="34659">
      <c r="A34659" s="39"/>
      <c r="E34659" s="40" t="s">
        <v>11404</v>
      </c>
      <c r="F34659" s="40" t="s">
        <v>11404</v>
      </c>
      <c r="G34659" s="40" t="s">
        <v>11404</v>
      </c>
      <c r="H34659" s="40" t="s">
        <v>11404</v>
      </c>
    </row>
    <row r="34660">
      <c r="A34660" s="39"/>
      <c r="E34660" s="40" t="s">
        <v>11404</v>
      </c>
      <c r="F34660" s="40" t="s">
        <v>11404</v>
      </c>
      <c r="G34660" s="40" t="s">
        <v>11404</v>
      </c>
      <c r="H34660" s="40" t="s">
        <v>11404</v>
      </c>
    </row>
    <row r="34661">
      <c r="A34661" s="39"/>
      <c r="E34661" s="40" t="s">
        <v>11404</v>
      </c>
      <c r="F34661" s="40" t="s">
        <v>11404</v>
      </c>
      <c r="G34661" s="40" t="s">
        <v>11404</v>
      </c>
      <c r="H34661" s="40" t="s">
        <v>11404</v>
      </c>
    </row>
    <row r="34662">
      <c r="A34662" s="39"/>
      <c r="E34662" s="40" t="s">
        <v>11404</v>
      </c>
      <c r="F34662" s="40" t="s">
        <v>11404</v>
      </c>
      <c r="G34662" s="40" t="s">
        <v>11404</v>
      </c>
      <c r="H34662" s="40" t="s">
        <v>11404</v>
      </c>
    </row>
    <row r="34663">
      <c r="A34663" s="39"/>
      <c r="E34663" s="40" t="s">
        <v>11404</v>
      </c>
      <c r="F34663" s="40" t="s">
        <v>11404</v>
      </c>
      <c r="G34663" s="40" t="s">
        <v>11404</v>
      </c>
      <c r="H34663" s="40" t="s">
        <v>11404</v>
      </c>
    </row>
    <row r="34664">
      <c r="A34664" s="39"/>
      <c r="E34664" s="40" t="s">
        <v>11404</v>
      </c>
      <c r="F34664" s="40" t="s">
        <v>11404</v>
      </c>
      <c r="G34664" s="40" t="s">
        <v>11404</v>
      </c>
      <c r="H34664" s="40" t="s">
        <v>11404</v>
      </c>
    </row>
    <row r="34665">
      <c r="A34665" s="39"/>
      <c r="E34665" s="40" t="s">
        <v>11404</v>
      </c>
      <c r="F34665" s="40" t="s">
        <v>11404</v>
      </c>
      <c r="G34665" s="40" t="s">
        <v>11404</v>
      </c>
      <c r="H34665" s="40" t="s">
        <v>11404</v>
      </c>
    </row>
    <row r="34666">
      <c r="A34666" s="39"/>
      <c r="E34666" s="40" t="s">
        <v>11404</v>
      </c>
      <c r="F34666" s="40" t="s">
        <v>11404</v>
      </c>
      <c r="G34666" s="40" t="s">
        <v>11404</v>
      </c>
      <c r="H34666" s="40" t="s">
        <v>11404</v>
      </c>
    </row>
    <row r="34667">
      <c r="A34667" s="39"/>
      <c r="E34667" s="40" t="s">
        <v>11404</v>
      </c>
      <c r="F34667" s="40" t="s">
        <v>11404</v>
      </c>
      <c r="G34667" s="40" t="s">
        <v>11404</v>
      </c>
      <c r="H34667" s="40" t="s">
        <v>11404</v>
      </c>
    </row>
    <row r="34668">
      <c r="A34668" s="39"/>
      <c r="E34668" s="40" t="s">
        <v>11404</v>
      </c>
      <c r="F34668" s="40" t="s">
        <v>11404</v>
      </c>
      <c r="G34668" s="40" t="s">
        <v>11404</v>
      </c>
      <c r="H34668" s="40" t="s">
        <v>11404</v>
      </c>
    </row>
    <row r="34669">
      <c r="A34669" s="39"/>
      <c r="E34669" s="40" t="s">
        <v>11404</v>
      </c>
      <c r="F34669" s="40" t="s">
        <v>11404</v>
      </c>
      <c r="G34669" s="40" t="s">
        <v>11404</v>
      </c>
      <c r="H34669" s="40" t="s">
        <v>11404</v>
      </c>
    </row>
    <row r="34670">
      <c r="A34670" s="39"/>
      <c r="E34670" s="40" t="s">
        <v>11404</v>
      </c>
      <c r="F34670" s="40" t="s">
        <v>11404</v>
      </c>
      <c r="G34670" s="40" t="s">
        <v>11404</v>
      </c>
      <c r="H34670" s="40" t="s">
        <v>11404</v>
      </c>
    </row>
    <row r="34671">
      <c r="A34671" s="39"/>
      <c r="E34671" s="40" t="s">
        <v>11404</v>
      </c>
      <c r="F34671" s="40" t="s">
        <v>11404</v>
      </c>
      <c r="G34671" s="40" t="s">
        <v>11404</v>
      </c>
      <c r="H34671" s="40" t="s">
        <v>11404</v>
      </c>
    </row>
    <row r="34672">
      <c r="A34672" s="39"/>
      <c r="E34672" s="40" t="s">
        <v>11404</v>
      </c>
      <c r="F34672" s="40" t="s">
        <v>11404</v>
      </c>
      <c r="G34672" s="40" t="s">
        <v>11404</v>
      </c>
      <c r="H34672" s="40" t="s">
        <v>11404</v>
      </c>
    </row>
    <row r="34673">
      <c r="A34673" s="39"/>
      <c r="E34673" s="40" t="s">
        <v>11404</v>
      </c>
      <c r="F34673" s="40" t="s">
        <v>11404</v>
      </c>
      <c r="G34673" s="40" t="s">
        <v>11404</v>
      </c>
      <c r="H34673" s="40" t="s">
        <v>11404</v>
      </c>
    </row>
    <row r="34674">
      <c r="A34674" s="39"/>
      <c r="E34674" s="40" t="s">
        <v>11404</v>
      </c>
      <c r="F34674" s="40" t="s">
        <v>11404</v>
      </c>
      <c r="G34674" s="40" t="s">
        <v>11404</v>
      </c>
      <c r="H34674" s="40" t="s">
        <v>11404</v>
      </c>
    </row>
    <row r="34675">
      <c r="A34675" s="39"/>
      <c r="E34675" s="40" t="s">
        <v>11404</v>
      </c>
      <c r="F34675" s="40" t="s">
        <v>11404</v>
      </c>
      <c r="G34675" s="40" t="s">
        <v>11404</v>
      </c>
      <c r="H34675" s="40" t="s">
        <v>11404</v>
      </c>
    </row>
    <row r="34676">
      <c r="A34676" s="39"/>
      <c r="E34676" s="40" t="s">
        <v>11404</v>
      </c>
      <c r="F34676" s="40" t="s">
        <v>11404</v>
      </c>
      <c r="G34676" s="40" t="s">
        <v>11404</v>
      </c>
      <c r="H34676" s="40" t="s">
        <v>11404</v>
      </c>
    </row>
    <row r="34677">
      <c r="A34677" s="39"/>
      <c r="E34677" s="40" t="s">
        <v>11404</v>
      </c>
      <c r="F34677" s="40" t="s">
        <v>11404</v>
      </c>
      <c r="G34677" s="40" t="s">
        <v>11404</v>
      </c>
      <c r="H34677" s="40" t="s">
        <v>11404</v>
      </c>
    </row>
    <row r="34678">
      <c r="A34678" s="39"/>
      <c r="E34678" s="40" t="s">
        <v>11404</v>
      </c>
      <c r="F34678" s="40" t="s">
        <v>11404</v>
      </c>
      <c r="G34678" s="40" t="s">
        <v>11404</v>
      </c>
      <c r="H34678" s="40" t="s">
        <v>11404</v>
      </c>
    </row>
    <row r="34679">
      <c r="A34679" s="39"/>
      <c r="E34679" s="40" t="s">
        <v>11404</v>
      </c>
      <c r="F34679" s="40" t="s">
        <v>11404</v>
      </c>
      <c r="G34679" s="40" t="s">
        <v>11404</v>
      </c>
      <c r="H34679" s="40" t="s">
        <v>11404</v>
      </c>
    </row>
    <row r="34680">
      <c r="A34680" s="39"/>
      <c r="E34680" s="40" t="s">
        <v>11404</v>
      </c>
      <c r="F34680" s="40" t="s">
        <v>11404</v>
      </c>
      <c r="G34680" s="40" t="s">
        <v>11404</v>
      </c>
      <c r="H34680" s="40" t="s">
        <v>11404</v>
      </c>
    </row>
    <row r="34681">
      <c r="A34681" s="39"/>
      <c r="E34681" s="40" t="s">
        <v>11404</v>
      </c>
      <c r="F34681" s="40" t="s">
        <v>11404</v>
      </c>
      <c r="G34681" s="40" t="s">
        <v>11404</v>
      </c>
      <c r="H34681" s="40" t="s">
        <v>11404</v>
      </c>
    </row>
    <row r="34682">
      <c r="A34682" s="39"/>
      <c r="E34682" s="40" t="s">
        <v>11404</v>
      </c>
      <c r="F34682" s="40" t="s">
        <v>11404</v>
      </c>
      <c r="G34682" s="40" t="s">
        <v>11404</v>
      </c>
      <c r="H34682" s="40" t="s">
        <v>11404</v>
      </c>
    </row>
    <row r="34683">
      <c r="A34683" s="39"/>
      <c r="E34683" s="40" t="s">
        <v>11404</v>
      </c>
      <c r="F34683" s="40" t="s">
        <v>11404</v>
      </c>
      <c r="G34683" s="40" t="s">
        <v>11404</v>
      </c>
      <c r="H34683" s="40" t="s">
        <v>11404</v>
      </c>
    </row>
    <row r="34684">
      <c r="A34684" s="39"/>
      <c r="E34684" s="40" t="s">
        <v>11404</v>
      </c>
      <c r="F34684" s="40" t="s">
        <v>11404</v>
      </c>
      <c r="G34684" s="40" t="s">
        <v>11404</v>
      </c>
      <c r="H34684" s="40" t="s">
        <v>11404</v>
      </c>
    </row>
    <row r="34685">
      <c r="A34685" s="39"/>
      <c r="E34685" s="40" t="s">
        <v>11404</v>
      </c>
      <c r="F34685" s="40" t="s">
        <v>11404</v>
      </c>
      <c r="G34685" s="40" t="s">
        <v>11404</v>
      </c>
      <c r="H34685" s="40" t="s">
        <v>11404</v>
      </c>
    </row>
    <row r="34686">
      <c r="A34686" s="39"/>
      <c r="E34686" s="40" t="s">
        <v>11404</v>
      </c>
      <c r="F34686" s="40" t="s">
        <v>11404</v>
      </c>
      <c r="G34686" s="40" t="s">
        <v>11404</v>
      </c>
      <c r="H34686" s="40" t="s">
        <v>11404</v>
      </c>
    </row>
    <row r="34687">
      <c r="A34687" s="39"/>
      <c r="E34687" s="40" t="s">
        <v>11404</v>
      </c>
      <c r="F34687" s="40" t="s">
        <v>11404</v>
      </c>
      <c r="G34687" s="40" t="s">
        <v>11404</v>
      </c>
      <c r="H34687" s="40" t="s">
        <v>11404</v>
      </c>
    </row>
    <row r="34688">
      <c r="A34688" s="39"/>
      <c r="E34688" s="40" t="s">
        <v>11404</v>
      </c>
      <c r="F34688" s="40" t="s">
        <v>11404</v>
      </c>
      <c r="G34688" s="40" t="s">
        <v>11404</v>
      </c>
      <c r="H34688" s="40" t="s">
        <v>11404</v>
      </c>
    </row>
    <row r="34689">
      <c r="A34689" s="39"/>
      <c r="E34689" s="40" t="s">
        <v>11404</v>
      </c>
      <c r="F34689" s="40" t="s">
        <v>11404</v>
      </c>
      <c r="G34689" s="40" t="s">
        <v>11404</v>
      </c>
      <c r="H34689" s="40" t="s">
        <v>11404</v>
      </c>
    </row>
    <row r="34690">
      <c r="A34690" s="39"/>
      <c r="E34690" s="40" t="s">
        <v>11404</v>
      </c>
      <c r="F34690" s="40" t="s">
        <v>11404</v>
      </c>
      <c r="G34690" s="40" t="s">
        <v>11404</v>
      </c>
      <c r="H34690" s="40" t="s">
        <v>11404</v>
      </c>
    </row>
    <row r="34691">
      <c r="A34691" s="39"/>
      <c r="E34691" s="40" t="s">
        <v>11404</v>
      </c>
      <c r="F34691" s="40" t="s">
        <v>11404</v>
      </c>
      <c r="G34691" s="40" t="s">
        <v>11404</v>
      </c>
      <c r="H34691" s="40" t="s">
        <v>11404</v>
      </c>
    </row>
    <row r="34692">
      <c r="A34692" s="39"/>
      <c r="E34692" s="40" t="s">
        <v>11404</v>
      </c>
      <c r="F34692" s="40" t="s">
        <v>11404</v>
      </c>
      <c r="G34692" s="40" t="s">
        <v>11404</v>
      </c>
      <c r="H34692" s="40" t="s">
        <v>11404</v>
      </c>
    </row>
    <row r="34693">
      <c r="A34693" s="39"/>
      <c r="E34693" s="40" t="s">
        <v>11404</v>
      </c>
      <c r="F34693" s="40" t="s">
        <v>11404</v>
      </c>
      <c r="G34693" s="40" t="s">
        <v>11404</v>
      </c>
      <c r="H34693" s="40" t="s">
        <v>11404</v>
      </c>
    </row>
    <row r="34694">
      <c r="A34694" s="39"/>
      <c r="E34694" s="40" t="s">
        <v>11404</v>
      </c>
      <c r="F34694" s="40" t="s">
        <v>11404</v>
      </c>
      <c r="G34694" s="40" t="s">
        <v>11404</v>
      </c>
      <c r="H34694" s="40" t="s">
        <v>11404</v>
      </c>
    </row>
    <row r="34695">
      <c r="A34695" s="39"/>
      <c r="E34695" s="40" t="s">
        <v>11404</v>
      </c>
      <c r="F34695" s="40" t="s">
        <v>11404</v>
      </c>
      <c r="G34695" s="40" t="s">
        <v>11404</v>
      </c>
      <c r="H34695" s="40" t="s">
        <v>11404</v>
      </c>
    </row>
    <row r="34696">
      <c r="A34696" s="39"/>
      <c r="E34696" s="40" t="s">
        <v>11404</v>
      </c>
      <c r="F34696" s="40" t="s">
        <v>11404</v>
      </c>
      <c r="G34696" s="40" t="s">
        <v>11404</v>
      </c>
      <c r="H34696" s="40" t="s">
        <v>11404</v>
      </c>
    </row>
    <row r="34697">
      <c r="A34697" s="39"/>
      <c r="E34697" s="40" t="s">
        <v>11404</v>
      </c>
      <c r="F34697" s="40" t="s">
        <v>11404</v>
      </c>
      <c r="G34697" s="40" t="s">
        <v>11404</v>
      </c>
      <c r="H34697" s="40" t="s">
        <v>11404</v>
      </c>
    </row>
    <row r="34698">
      <c r="A34698" s="39"/>
      <c r="E34698" s="40" t="s">
        <v>11404</v>
      </c>
      <c r="F34698" s="40" t="s">
        <v>11404</v>
      </c>
      <c r="G34698" s="40" t="s">
        <v>11404</v>
      </c>
      <c r="H34698" s="40" t="s">
        <v>11404</v>
      </c>
    </row>
    <row r="34699">
      <c r="A34699" s="39"/>
      <c r="E34699" s="40" t="s">
        <v>11404</v>
      </c>
      <c r="F34699" s="40" t="s">
        <v>11404</v>
      </c>
      <c r="G34699" s="40" t="s">
        <v>11404</v>
      </c>
      <c r="H34699" s="40" t="s">
        <v>11404</v>
      </c>
    </row>
    <row r="34700">
      <c r="A34700" s="39"/>
      <c r="E34700" s="40" t="s">
        <v>11404</v>
      </c>
      <c r="F34700" s="40" t="s">
        <v>11404</v>
      </c>
      <c r="G34700" s="40" t="s">
        <v>11404</v>
      </c>
      <c r="H34700" s="40" t="s">
        <v>11404</v>
      </c>
    </row>
    <row r="34701">
      <c r="A34701" s="39"/>
      <c r="E34701" s="40" t="s">
        <v>11404</v>
      </c>
      <c r="F34701" s="40" t="s">
        <v>11404</v>
      </c>
      <c r="G34701" s="40" t="s">
        <v>11404</v>
      </c>
      <c r="H34701" s="40" t="s">
        <v>11404</v>
      </c>
    </row>
    <row r="34702">
      <c r="A34702" s="39"/>
      <c r="E34702" s="40" t="s">
        <v>11404</v>
      </c>
      <c r="F34702" s="40" t="s">
        <v>11404</v>
      </c>
      <c r="G34702" s="40" t="s">
        <v>11404</v>
      </c>
      <c r="H34702" s="40" t="s">
        <v>11404</v>
      </c>
    </row>
    <row r="34703">
      <c r="A34703" s="39"/>
      <c r="E34703" s="40" t="s">
        <v>11404</v>
      </c>
      <c r="F34703" s="40" t="s">
        <v>11404</v>
      </c>
      <c r="G34703" s="40" t="s">
        <v>11404</v>
      </c>
      <c r="H34703" s="40" t="s">
        <v>11404</v>
      </c>
    </row>
    <row r="34704">
      <c r="A34704" s="39"/>
      <c r="E34704" s="40" t="s">
        <v>11404</v>
      </c>
      <c r="F34704" s="40" t="s">
        <v>11404</v>
      </c>
      <c r="G34704" s="40" t="s">
        <v>11404</v>
      </c>
      <c r="H34704" s="40" t="s">
        <v>11404</v>
      </c>
    </row>
    <row r="34705">
      <c r="A34705" s="39"/>
      <c r="E34705" s="40" t="s">
        <v>11404</v>
      </c>
      <c r="F34705" s="40" t="s">
        <v>11404</v>
      </c>
      <c r="G34705" s="40" t="s">
        <v>11404</v>
      </c>
      <c r="H34705" s="40" t="s">
        <v>11404</v>
      </c>
    </row>
    <row r="34706">
      <c r="A34706" s="39"/>
      <c r="E34706" s="40" t="s">
        <v>11404</v>
      </c>
      <c r="F34706" s="40" t="s">
        <v>11404</v>
      </c>
      <c r="G34706" s="40" t="s">
        <v>11404</v>
      </c>
      <c r="H34706" s="40" t="s">
        <v>11404</v>
      </c>
    </row>
    <row r="34707">
      <c r="A34707" s="39"/>
      <c r="E34707" s="40" t="s">
        <v>11404</v>
      </c>
      <c r="F34707" s="40" t="s">
        <v>11404</v>
      </c>
      <c r="G34707" s="40" t="s">
        <v>11404</v>
      </c>
      <c r="H34707" s="40" t="s">
        <v>11404</v>
      </c>
    </row>
    <row r="34708">
      <c r="A34708" s="39"/>
      <c r="E34708" s="40" t="s">
        <v>11404</v>
      </c>
      <c r="F34708" s="40" t="s">
        <v>11404</v>
      </c>
      <c r="G34708" s="40" t="s">
        <v>11404</v>
      </c>
      <c r="H34708" s="40" t="s">
        <v>11404</v>
      </c>
    </row>
    <row r="34709">
      <c r="A34709" s="39"/>
      <c r="E34709" s="40" t="s">
        <v>11404</v>
      </c>
      <c r="F34709" s="40" t="s">
        <v>11404</v>
      </c>
      <c r="G34709" s="40" t="s">
        <v>11404</v>
      </c>
      <c r="H34709" s="40" t="s">
        <v>11404</v>
      </c>
    </row>
    <row r="34710">
      <c r="A34710" s="39"/>
      <c r="E34710" s="40" t="s">
        <v>11404</v>
      </c>
      <c r="F34710" s="40" t="s">
        <v>11404</v>
      </c>
      <c r="G34710" s="40" t="s">
        <v>11404</v>
      </c>
      <c r="H34710" s="40" t="s">
        <v>11404</v>
      </c>
    </row>
    <row r="34711">
      <c r="A34711" s="39"/>
      <c r="E34711" s="40" t="s">
        <v>11404</v>
      </c>
      <c r="F34711" s="40" t="s">
        <v>11404</v>
      </c>
      <c r="G34711" s="40" t="s">
        <v>11404</v>
      </c>
      <c r="H34711" s="40" t="s">
        <v>11404</v>
      </c>
    </row>
    <row r="34712">
      <c r="A34712" s="39"/>
      <c r="E34712" s="40" t="s">
        <v>11404</v>
      </c>
      <c r="F34712" s="40" t="s">
        <v>11404</v>
      </c>
      <c r="G34712" s="40" t="s">
        <v>11404</v>
      </c>
      <c r="H34712" s="40" t="s">
        <v>11404</v>
      </c>
    </row>
    <row r="34713">
      <c r="A34713" s="39"/>
      <c r="E34713" s="40" t="s">
        <v>11404</v>
      </c>
      <c r="F34713" s="40" t="s">
        <v>11404</v>
      </c>
      <c r="G34713" s="40" t="s">
        <v>11404</v>
      </c>
      <c r="H34713" s="40" t="s">
        <v>11404</v>
      </c>
    </row>
    <row r="34714">
      <c r="A34714" s="39"/>
      <c r="E34714" s="40" t="s">
        <v>11404</v>
      </c>
      <c r="F34714" s="40" t="s">
        <v>11404</v>
      </c>
      <c r="G34714" s="40" t="s">
        <v>11404</v>
      </c>
      <c r="H34714" s="40" t="s">
        <v>11404</v>
      </c>
    </row>
    <row r="34715">
      <c r="A34715" s="39"/>
      <c r="E34715" s="40" t="s">
        <v>11404</v>
      </c>
      <c r="F34715" s="40" t="s">
        <v>11404</v>
      </c>
      <c r="G34715" s="40" t="s">
        <v>11404</v>
      </c>
      <c r="H34715" s="40" t="s">
        <v>11404</v>
      </c>
    </row>
    <row r="34716">
      <c r="A34716" s="39"/>
      <c r="E34716" s="40" t="s">
        <v>11404</v>
      </c>
      <c r="F34716" s="40" t="s">
        <v>11404</v>
      </c>
      <c r="G34716" s="40" t="s">
        <v>11404</v>
      </c>
      <c r="H34716" s="40" t="s">
        <v>11404</v>
      </c>
    </row>
    <row r="34717">
      <c r="A34717" s="39"/>
      <c r="E34717" s="40" t="s">
        <v>11404</v>
      </c>
      <c r="F34717" s="40" t="s">
        <v>11404</v>
      </c>
      <c r="G34717" s="40" t="s">
        <v>11404</v>
      </c>
      <c r="H34717" s="40" t="s">
        <v>11404</v>
      </c>
    </row>
    <row r="34718">
      <c r="A34718" s="39"/>
      <c r="E34718" s="40" t="s">
        <v>11404</v>
      </c>
      <c r="F34718" s="40" t="s">
        <v>11404</v>
      </c>
      <c r="G34718" s="40" t="s">
        <v>11404</v>
      </c>
      <c r="H34718" s="40" t="s">
        <v>11404</v>
      </c>
    </row>
    <row r="34719">
      <c r="A34719" s="39"/>
      <c r="E34719" s="40" t="s">
        <v>11404</v>
      </c>
      <c r="F34719" s="40" t="s">
        <v>11404</v>
      </c>
      <c r="G34719" s="40" t="s">
        <v>11404</v>
      </c>
      <c r="H34719" s="40" t="s">
        <v>11404</v>
      </c>
    </row>
    <row r="34720">
      <c r="A34720" s="39"/>
      <c r="E34720" s="40" t="s">
        <v>11404</v>
      </c>
      <c r="F34720" s="40" t="s">
        <v>11404</v>
      </c>
      <c r="G34720" s="40" t="s">
        <v>11404</v>
      </c>
      <c r="H34720" s="40" t="s">
        <v>11404</v>
      </c>
    </row>
    <row r="34721">
      <c r="A34721" s="39"/>
      <c r="E34721" s="40" t="s">
        <v>11404</v>
      </c>
      <c r="F34721" s="40" t="s">
        <v>11404</v>
      </c>
      <c r="G34721" s="40" t="s">
        <v>11404</v>
      </c>
      <c r="H34721" s="40" t="s">
        <v>11404</v>
      </c>
    </row>
    <row r="34722">
      <c r="A34722" s="39"/>
      <c r="E34722" s="40" t="s">
        <v>11404</v>
      </c>
      <c r="F34722" s="40" t="s">
        <v>11404</v>
      </c>
      <c r="G34722" s="40" t="s">
        <v>11404</v>
      </c>
      <c r="H34722" s="40" t="s">
        <v>11404</v>
      </c>
    </row>
    <row r="34723">
      <c r="A34723" s="39"/>
      <c r="E34723" s="40" t="s">
        <v>11404</v>
      </c>
      <c r="F34723" s="40" t="s">
        <v>11404</v>
      </c>
      <c r="G34723" s="40" t="s">
        <v>11404</v>
      </c>
      <c r="H34723" s="40" t="s">
        <v>11404</v>
      </c>
    </row>
    <row r="34724">
      <c r="A34724" s="39"/>
      <c r="E34724" s="40" t="s">
        <v>11404</v>
      </c>
      <c r="F34724" s="40" t="s">
        <v>11404</v>
      </c>
      <c r="G34724" s="40" t="s">
        <v>11404</v>
      </c>
      <c r="H34724" s="40" t="s">
        <v>11404</v>
      </c>
    </row>
    <row r="34725">
      <c r="A34725" s="39"/>
      <c r="E34725" s="40" t="s">
        <v>11404</v>
      </c>
      <c r="F34725" s="40" t="s">
        <v>11404</v>
      </c>
      <c r="G34725" s="40" t="s">
        <v>11404</v>
      </c>
      <c r="H34725" s="40" t="s">
        <v>11404</v>
      </c>
    </row>
    <row r="34726">
      <c r="A34726" s="39"/>
      <c r="E34726" s="40" t="s">
        <v>11404</v>
      </c>
      <c r="F34726" s="40" t="s">
        <v>11404</v>
      </c>
      <c r="G34726" s="40" t="s">
        <v>11404</v>
      </c>
      <c r="H34726" s="40" t="s">
        <v>11404</v>
      </c>
    </row>
    <row r="34727">
      <c r="A34727" s="39"/>
      <c r="E34727" s="40" t="s">
        <v>11404</v>
      </c>
      <c r="F34727" s="40" t="s">
        <v>11404</v>
      </c>
      <c r="G34727" s="40" t="s">
        <v>11404</v>
      </c>
      <c r="H34727" s="40" t="s">
        <v>11404</v>
      </c>
    </row>
    <row r="34728">
      <c r="A34728" s="39"/>
      <c r="E34728" s="40" t="s">
        <v>11404</v>
      </c>
      <c r="F34728" s="40" t="s">
        <v>11404</v>
      </c>
      <c r="G34728" s="40" t="s">
        <v>11404</v>
      </c>
      <c r="H34728" s="40" t="s">
        <v>11404</v>
      </c>
    </row>
    <row r="34729">
      <c r="A34729" s="39"/>
      <c r="E34729" s="40" t="s">
        <v>11404</v>
      </c>
      <c r="F34729" s="40" t="s">
        <v>11404</v>
      </c>
      <c r="G34729" s="40" t="s">
        <v>11404</v>
      </c>
      <c r="H34729" s="40" t="s">
        <v>11404</v>
      </c>
    </row>
    <row r="34730">
      <c r="A34730" s="39"/>
      <c r="E34730" s="40" t="s">
        <v>11404</v>
      </c>
      <c r="F34730" s="40" t="s">
        <v>11404</v>
      </c>
      <c r="G34730" s="40" t="s">
        <v>11404</v>
      </c>
      <c r="H34730" s="40" t="s">
        <v>11404</v>
      </c>
    </row>
    <row r="34731">
      <c r="A34731" s="39"/>
      <c r="E34731" s="40" t="s">
        <v>11404</v>
      </c>
      <c r="F34731" s="40" t="s">
        <v>11404</v>
      </c>
      <c r="G34731" s="40" t="s">
        <v>11404</v>
      </c>
      <c r="H34731" s="40" t="s">
        <v>11404</v>
      </c>
    </row>
    <row r="34732">
      <c r="A34732" s="39"/>
      <c r="E34732" s="40" t="s">
        <v>11404</v>
      </c>
      <c r="F34732" s="40" t="s">
        <v>11404</v>
      </c>
      <c r="G34732" s="40" t="s">
        <v>11404</v>
      </c>
      <c r="H34732" s="40" t="s">
        <v>11404</v>
      </c>
    </row>
    <row r="34733">
      <c r="A34733" s="39"/>
      <c r="E34733" s="40" t="s">
        <v>11404</v>
      </c>
      <c r="F34733" s="40" t="s">
        <v>11404</v>
      </c>
      <c r="G34733" s="40" t="s">
        <v>11404</v>
      </c>
      <c r="H34733" s="40" t="s">
        <v>11404</v>
      </c>
    </row>
    <row r="34734">
      <c r="A34734" s="39"/>
      <c r="E34734" s="40" t="s">
        <v>11404</v>
      </c>
      <c r="F34734" s="40" t="s">
        <v>11404</v>
      </c>
      <c r="G34734" s="40" t="s">
        <v>11404</v>
      </c>
      <c r="H34734" s="40" t="s">
        <v>11404</v>
      </c>
    </row>
    <row r="34735">
      <c r="A34735" s="39"/>
      <c r="E34735" s="40" t="s">
        <v>11404</v>
      </c>
      <c r="F34735" s="40" t="s">
        <v>11404</v>
      </c>
      <c r="G34735" s="40" t="s">
        <v>11404</v>
      </c>
      <c r="H34735" s="40" t="s">
        <v>11404</v>
      </c>
    </row>
    <row r="34736">
      <c r="A34736" s="39"/>
      <c r="E34736" s="40" t="s">
        <v>11404</v>
      </c>
      <c r="F34736" s="40" t="s">
        <v>11404</v>
      </c>
      <c r="G34736" s="40" t="s">
        <v>11404</v>
      </c>
      <c r="H34736" s="40" t="s">
        <v>11404</v>
      </c>
    </row>
    <row r="34737">
      <c r="A34737" s="39"/>
      <c r="E34737" s="40" t="s">
        <v>11404</v>
      </c>
      <c r="F34737" s="40" t="s">
        <v>11404</v>
      </c>
      <c r="G34737" s="40" t="s">
        <v>11404</v>
      </c>
      <c r="H34737" s="40" t="s">
        <v>11404</v>
      </c>
    </row>
    <row r="34738">
      <c r="A34738" s="39"/>
      <c r="E34738" s="40" t="s">
        <v>11404</v>
      </c>
      <c r="F34738" s="40" t="s">
        <v>11404</v>
      </c>
      <c r="G34738" s="40" t="s">
        <v>11404</v>
      </c>
      <c r="H34738" s="40" t="s">
        <v>11404</v>
      </c>
    </row>
    <row r="34739">
      <c r="A34739" s="39"/>
      <c r="E34739" s="40" t="s">
        <v>11404</v>
      </c>
      <c r="F34739" s="40" t="s">
        <v>11404</v>
      </c>
      <c r="G34739" s="40" t="s">
        <v>11404</v>
      </c>
      <c r="H34739" s="40" t="s">
        <v>11404</v>
      </c>
    </row>
    <row r="34740">
      <c r="A34740" s="39"/>
      <c r="E34740" s="40" t="s">
        <v>11404</v>
      </c>
      <c r="F34740" s="40" t="s">
        <v>11404</v>
      </c>
      <c r="G34740" s="40" t="s">
        <v>11404</v>
      </c>
      <c r="H34740" s="40" t="s">
        <v>11404</v>
      </c>
    </row>
    <row r="34741">
      <c r="A34741" s="39"/>
      <c r="E34741" s="40" t="s">
        <v>11404</v>
      </c>
      <c r="F34741" s="40" t="s">
        <v>11404</v>
      </c>
      <c r="G34741" s="40" t="s">
        <v>11404</v>
      </c>
      <c r="H34741" s="40" t="s">
        <v>11404</v>
      </c>
    </row>
    <row r="34742">
      <c r="A34742" s="39"/>
      <c r="E34742" s="40" t="s">
        <v>11404</v>
      </c>
      <c r="F34742" s="40" t="s">
        <v>11404</v>
      </c>
      <c r="G34742" s="40" t="s">
        <v>11404</v>
      </c>
      <c r="H34742" s="40" t="s">
        <v>11404</v>
      </c>
    </row>
    <row r="34743">
      <c r="A34743" s="39"/>
      <c r="E34743" s="40" t="s">
        <v>11404</v>
      </c>
      <c r="F34743" s="40" t="s">
        <v>11404</v>
      </c>
      <c r="G34743" s="40" t="s">
        <v>11404</v>
      </c>
      <c r="H34743" s="40" t="s">
        <v>11404</v>
      </c>
    </row>
    <row r="34744">
      <c r="A34744" s="39"/>
      <c r="E34744" s="40" t="s">
        <v>11404</v>
      </c>
      <c r="F34744" s="40" t="s">
        <v>11404</v>
      </c>
      <c r="G34744" s="40" t="s">
        <v>11404</v>
      </c>
      <c r="H34744" s="40" t="s">
        <v>11404</v>
      </c>
    </row>
    <row r="34745">
      <c r="A34745" s="39"/>
      <c r="E34745" s="40" t="s">
        <v>11404</v>
      </c>
      <c r="F34745" s="40" t="s">
        <v>11404</v>
      </c>
      <c r="G34745" s="40" t="s">
        <v>11404</v>
      </c>
      <c r="H34745" s="40" t="s">
        <v>11404</v>
      </c>
    </row>
    <row r="34746">
      <c r="A34746" s="39"/>
      <c r="E34746" s="40" t="s">
        <v>11404</v>
      </c>
      <c r="F34746" s="40" t="s">
        <v>11404</v>
      </c>
      <c r="G34746" s="40" t="s">
        <v>11404</v>
      </c>
      <c r="H34746" s="40" t="s">
        <v>11404</v>
      </c>
    </row>
    <row r="34747">
      <c r="A34747" s="39"/>
      <c r="E34747" s="40" t="s">
        <v>11404</v>
      </c>
      <c r="F34747" s="40" t="s">
        <v>11404</v>
      </c>
      <c r="G34747" s="40" t="s">
        <v>11404</v>
      </c>
      <c r="H34747" s="40" t="s">
        <v>11404</v>
      </c>
    </row>
    <row r="34748">
      <c r="A34748" s="39"/>
      <c r="E34748" s="40" t="s">
        <v>11404</v>
      </c>
      <c r="F34748" s="40" t="s">
        <v>11404</v>
      </c>
      <c r="G34748" s="40" t="s">
        <v>11404</v>
      </c>
      <c r="H34748" s="40" t="s">
        <v>11404</v>
      </c>
    </row>
    <row r="34749">
      <c r="A34749" s="39"/>
      <c r="E34749" s="40" t="s">
        <v>11404</v>
      </c>
      <c r="F34749" s="40" t="s">
        <v>11404</v>
      </c>
      <c r="G34749" s="40" t="s">
        <v>11404</v>
      </c>
      <c r="H34749" s="40" t="s">
        <v>11404</v>
      </c>
    </row>
    <row r="34750">
      <c r="A34750" s="39"/>
      <c r="E34750" s="40" t="s">
        <v>11404</v>
      </c>
      <c r="F34750" s="40" t="s">
        <v>11404</v>
      </c>
      <c r="G34750" s="40" t="s">
        <v>11404</v>
      </c>
      <c r="H34750" s="40" t="s">
        <v>11404</v>
      </c>
    </row>
    <row r="34751">
      <c r="A34751" s="39"/>
      <c r="E34751" s="40" t="s">
        <v>11404</v>
      </c>
      <c r="F34751" s="40" t="s">
        <v>11404</v>
      </c>
      <c r="G34751" s="40" t="s">
        <v>11404</v>
      </c>
      <c r="H34751" s="40" t="s">
        <v>11404</v>
      </c>
    </row>
    <row r="34752">
      <c r="A34752" s="39"/>
      <c r="E34752" s="40" t="s">
        <v>11404</v>
      </c>
      <c r="F34752" s="40" t="s">
        <v>11404</v>
      </c>
      <c r="G34752" s="40" t="s">
        <v>11404</v>
      </c>
      <c r="H34752" s="40" t="s">
        <v>11404</v>
      </c>
    </row>
    <row r="34753">
      <c r="A34753" s="39"/>
      <c r="E34753" s="40" t="s">
        <v>11404</v>
      </c>
      <c r="F34753" s="40" t="s">
        <v>11404</v>
      </c>
      <c r="G34753" s="40" t="s">
        <v>11404</v>
      </c>
      <c r="H34753" s="40" t="s">
        <v>11404</v>
      </c>
    </row>
    <row r="34754">
      <c r="A34754" s="39"/>
      <c r="E34754" s="40" t="s">
        <v>11404</v>
      </c>
      <c r="F34754" s="40" t="s">
        <v>11404</v>
      </c>
      <c r="G34754" s="40" t="s">
        <v>11404</v>
      </c>
      <c r="H34754" s="40" t="s">
        <v>11404</v>
      </c>
    </row>
    <row r="34755">
      <c r="A34755" s="39"/>
      <c r="E34755" s="40" t="s">
        <v>11404</v>
      </c>
      <c r="F34755" s="40" t="s">
        <v>11404</v>
      </c>
      <c r="G34755" s="40" t="s">
        <v>11404</v>
      </c>
      <c r="H34755" s="40" t="s">
        <v>11404</v>
      </c>
    </row>
    <row r="34756">
      <c r="A34756" s="39"/>
      <c r="E34756" s="40" t="s">
        <v>11404</v>
      </c>
      <c r="F34756" s="40" t="s">
        <v>11404</v>
      </c>
      <c r="G34756" s="40" t="s">
        <v>11404</v>
      </c>
      <c r="H34756" s="40" t="s">
        <v>11404</v>
      </c>
    </row>
    <row r="34757">
      <c r="A34757" s="39"/>
      <c r="E34757" s="40" t="s">
        <v>11404</v>
      </c>
      <c r="F34757" s="40" t="s">
        <v>11404</v>
      </c>
      <c r="G34757" s="40" t="s">
        <v>11404</v>
      </c>
      <c r="H34757" s="40" t="s">
        <v>11404</v>
      </c>
    </row>
    <row r="34758">
      <c r="A34758" s="39"/>
      <c r="E34758" s="40" t="s">
        <v>11404</v>
      </c>
      <c r="F34758" s="40" t="s">
        <v>11404</v>
      </c>
      <c r="G34758" s="40" t="s">
        <v>11404</v>
      </c>
      <c r="H34758" s="40" t="s">
        <v>11404</v>
      </c>
    </row>
    <row r="34759">
      <c r="A34759" s="39"/>
      <c r="E34759" s="40" t="s">
        <v>11404</v>
      </c>
      <c r="F34759" s="40" t="s">
        <v>11404</v>
      </c>
      <c r="G34759" s="40" t="s">
        <v>11404</v>
      </c>
      <c r="H34759" s="40" t="s">
        <v>11404</v>
      </c>
    </row>
    <row r="34760">
      <c r="A34760" s="39"/>
      <c r="E34760" s="40" t="s">
        <v>11404</v>
      </c>
      <c r="F34760" s="40" t="s">
        <v>11404</v>
      </c>
      <c r="G34760" s="40" t="s">
        <v>11404</v>
      </c>
      <c r="H34760" s="40" t="s">
        <v>11404</v>
      </c>
    </row>
    <row r="34761">
      <c r="A34761" s="39"/>
      <c r="E34761" s="40" t="s">
        <v>11404</v>
      </c>
      <c r="F34761" s="40" t="s">
        <v>11404</v>
      </c>
      <c r="G34761" s="40" t="s">
        <v>11404</v>
      </c>
      <c r="H34761" s="40" t="s">
        <v>11404</v>
      </c>
    </row>
    <row r="34762">
      <c r="A34762" s="39"/>
      <c r="E34762" s="40" t="s">
        <v>11404</v>
      </c>
      <c r="F34762" s="40" t="s">
        <v>11404</v>
      </c>
      <c r="G34762" s="40" t="s">
        <v>11404</v>
      </c>
      <c r="H34762" s="40" t="s">
        <v>11404</v>
      </c>
    </row>
    <row r="34763">
      <c r="A34763" s="39"/>
      <c r="E34763" s="40" t="s">
        <v>11404</v>
      </c>
      <c r="F34763" s="40" t="s">
        <v>11404</v>
      </c>
      <c r="G34763" s="40" t="s">
        <v>11404</v>
      </c>
      <c r="H34763" s="40" t="s">
        <v>11404</v>
      </c>
    </row>
    <row r="34764">
      <c r="A34764" s="39"/>
      <c r="E34764" s="40" t="s">
        <v>11404</v>
      </c>
      <c r="F34764" s="40" t="s">
        <v>11404</v>
      </c>
      <c r="G34764" s="40" t="s">
        <v>11404</v>
      </c>
      <c r="H34764" s="40" t="s">
        <v>11404</v>
      </c>
    </row>
    <row r="34765">
      <c r="A34765" s="39"/>
      <c r="E34765" s="40" t="s">
        <v>11404</v>
      </c>
      <c r="F34765" s="40" t="s">
        <v>11404</v>
      </c>
      <c r="G34765" s="40" t="s">
        <v>11404</v>
      </c>
      <c r="H34765" s="40" t="s">
        <v>11404</v>
      </c>
    </row>
    <row r="34766">
      <c r="A34766" s="39"/>
      <c r="E34766" s="40" t="s">
        <v>11404</v>
      </c>
      <c r="F34766" s="40" t="s">
        <v>11404</v>
      </c>
      <c r="G34766" s="40" t="s">
        <v>11404</v>
      </c>
      <c r="H34766" s="40" t="s">
        <v>11404</v>
      </c>
    </row>
    <row r="34767">
      <c r="A34767" s="39"/>
      <c r="E34767" s="40" t="s">
        <v>11404</v>
      </c>
      <c r="F34767" s="40" t="s">
        <v>11404</v>
      </c>
      <c r="G34767" s="40" t="s">
        <v>11404</v>
      </c>
      <c r="H34767" s="40" t="s">
        <v>11404</v>
      </c>
    </row>
    <row r="34768">
      <c r="A34768" s="39"/>
      <c r="E34768" s="40" t="s">
        <v>11404</v>
      </c>
      <c r="F34768" s="40" t="s">
        <v>11404</v>
      </c>
      <c r="G34768" s="40" t="s">
        <v>11404</v>
      </c>
      <c r="H34768" s="40" t="s">
        <v>11404</v>
      </c>
    </row>
    <row r="34769">
      <c r="A34769" s="39"/>
      <c r="E34769" s="40" t="s">
        <v>11404</v>
      </c>
      <c r="F34769" s="40" t="s">
        <v>11404</v>
      </c>
      <c r="G34769" s="40" t="s">
        <v>11404</v>
      </c>
      <c r="H34769" s="40" t="s">
        <v>11404</v>
      </c>
    </row>
    <row r="34770">
      <c r="A34770" s="39"/>
      <c r="E34770" s="40" t="s">
        <v>11404</v>
      </c>
      <c r="F34770" s="40" t="s">
        <v>11404</v>
      </c>
      <c r="G34770" s="40" t="s">
        <v>11404</v>
      </c>
      <c r="H34770" s="40" t="s">
        <v>11404</v>
      </c>
    </row>
    <row r="34771">
      <c r="A34771" s="39"/>
      <c r="E34771" s="40" t="s">
        <v>11404</v>
      </c>
      <c r="F34771" s="40" t="s">
        <v>11404</v>
      </c>
      <c r="G34771" s="40" t="s">
        <v>11404</v>
      </c>
      <c r="H34771" s="40" t="s">
        <v>11404</v>
      </c>
    </row>
    <row r="34772">
      <c r="A34772" s="39"/>
      <c r="E34772" s="40" t="s">
        <v>11404</v>
      </c>
      <c r="F34772" s="40" t="s">
        <v>11404</v>
      </c>
      <c r="G34772" s="40" t="s">
        <v>11404</v>
      </c>
      <c r="H34772" s="40" t="s">
        <v>11404</v>
      </c>
    </row>
    <row r="34773">
      <c r="A34773" s="39"/>
      <c r="E34773" s="40" t="s">
        <v>11404</v>
      </c>
      <c r="F34773" s="40" t="s">
        <v>11404</v>
      </c>
      <c r="G34773" s="40" t="s">
        <v>11404</v>
      </c>
      <c r="H34773" s="40" t="s">
        <v>11404</v>
      </c>
    </row>
    <row r="34774">
      <c r="A34774" s="39"/>
      <c r="E34774" s="40" t="s">
        <v>11404</v>
      </c>
      <c r="F34774" s="40" t="s">
        <v>11404</v>
      </c>
      <c r="G34774" s="40" t="s">
        <v>11404</v>
      </c>
      <c r="H34774" s="40" t="s">
        <v>11404</v>
      </c>
    </row>
    <row r="34775">
      <c r="A34775" s="39"/>
      <c r="E34775" s="40" t="s">
        <v>11404</v>
      </c>
      <c r="F34775" s="40" t="s">
        <v>11404</v>
      </c>
      <c r="G34775" s="40" t="s">
        <v>11404</v>
      </c>
      <c r="H34775" s="40" t="s">
        <v>11404</v>
      </c>
    </row>
    <row r="34776">
      <c r="A34776" s="39"/>
      <c r="E34776" s="40" t="s">
        <v>11404</v>
      </c>
      <c r="F34776" s="40" t="s">
        <v>11404</v>
      </c>
      <c r="G34776" s="40" t="s">
        <v>11404</v>
      </c>
      <c r="H34776" s="40" t="s">
        <v>11404</v>
      </c>
    </row>
    <row r="34777">
      <c r="A34777" s="39"/>
      <c r="E34777" s="40" t="s">
        <v>11404</v>
      </c>
      <c r="F34777" s="40" t="s">
        <v>11404</v>
      </c>
      <c r="G34777" s="40" t="s">
        <v>11404</v>
      </c>
      <c r="H34777" s="40" t="s">
        <v>11404</v>
      </c>
    </row>
    <row r="34778">
      <c r="A34778" s="39"/>
      <c r="E34778" s="40" t="s">
        <v>11404</v>
      </c>
      <c r="F34778" s="40" t="s">
        <v>11404</v>
      </c>
      <c r="G34778" s="40" t="s">
        <v>11404</v>
      </c>
      <c r="H34778" s="40" t="s">
        <v>11404</v>
      </c>
    </row>
    <row r="34779">
      <c r="A34779" s="39"/>
      <c r="E34779" s="40" t="s">
        <v>11404</v>
      </c>
      <c r="F34779" s="40" t="s">
        <v>11404</v>
      </c>
      <c r="G34779" s="40" t="s">
        <v>11404</v>
      </c>
      <c r="H34779" s="40" t="s">
        <v>11404</v>
      </c>
    </row>
    <row r="34780">
      <c r="A34780" s="39"/>
      <c r="E34780" s="40" t="s">
        <v>11404</v>
      </c>
      <c r="F34780" s="40" t="s">
        <v>11404</v>
      </c>
      <c r="G34780" s="40" t="s">
        <v>11404</v>
      </c>
      <c r="H34780" s="40" t="s">
        <v>11404</v>
      </c>
    </row>
    <row r="34781">
      <c r="A34781" s="39"/>
      <c r="E34781" s="40" t="s">
        <v>11404</v>
      </c>
      <c r="F34781" s="40" t="s">
        <v>11404</v>
      </c>
      <c r="G34781" s="40" t="s">
        <v>11404</v>
      </c>
      <c r="H34781" s="40" t="s">
        <v>11404</v>
      </c>
    </row>
    <row r="34782">
      <c r="A34782" s="39"/>
      <c r="E34782" s="40" t="s">
        <v>11404</v>
      </c>
      <c r="F34782" s="40" t="s">
        <v>11404</v>
      </c>
      <c r="G34782" s="40" t="s">
        <v>11404</v>
      </c>
      <c r="H34782" s="40" t="s">
        <v>11404</v>
      </c>
    </row>
    <row r="34783">
      <c r="A34783" s="39"/>
      <c r="E34783" s="40" t="s">
        <v>11404</v>
      </c>
      <c r="F34783" s="40" t="s">
        <v>11404</v>
      </c>
      <c r="G34783" s="40" t="s">
        <v>11404</v>
      </c>
      <c r="H34783" s="40" t="s">
        <v>11404</v>
      </c>
    </row>
    <row r="34784">
      <c r="A34784" s="39"/>
      <c r="E34784" s="40" t="s">
        <v>11404</v>
      </c>
      <c r="F34784" s="40" t="s">
        <v>11404</v>
      </c>
      <c r="G34784" s="40" t="s">
        <v>11404</v>
      </c>
      <c r="H34784" s="40" t="s">
        <v>11404</v>
      </c>
    </row>
    <row r="34785">
      <c r="A34785" s="39"/>
      <c r="E34785" s="40" t="s">
        <v>11404</v>
      </c>
      <c r="F34785" s="40" t="s">
        <v>11404</v>
      </c>
      <c r="G34785" s="40" t="s">
        <v>11404</v>
      </c>
      <c r="H34785" s="40" t="s">
        <v>11404</v>
      </c>
    </row>
    <row r="34786">
      <c r="A34786" s="39"/>
      <c r="E34786" s="40" t="s">
        <v>11404</v>
      </c>
      <c r="F34786" s="40" t="s">
        <v>11404</v>
      </c>
      <c r="G34786" s="40" t="s">
        <v>11404</v>
      </c>
      <c r="H34786" s="40" t="s">
        <v>11404</v>
      </c>
    </row>
    <row r="34787">
      <c r="A34787" s="39"/>
      <c r="E34787" s="40" t="s">
        <v>11404</v>
      </c>
      <c r="F34787" s="40" t="s">
        <v>11404</v>
      </c>
      <c r="G34787" s="40" t="s">
        <v>11404</v>
      </c>
      <c r="H34787" s="40" t="s">
        <v>11404</v>
      </c>
    </row>
    <row r="34788">
      <c r="A34788" s="39"/>
      <c r="E34788" s="40" t="s">
        <v>11404</v>
      </c>
      <c r="F34788" s="40" t="s">
        <v>11404</v>
      </c>
      <c r="G34788" s="40" t="s">
        <v>11404</v>
      </c>
      <c r="H34788" s="40" t="s">
        <v>11404</v>
      </c>
    </row>
    <row r="34789">
      <c r="A34789" s="39"/>
      <c r="E34789" s="40" t="s">
        <v>11404</v>
      </c>
      <c r="F34789" s="40" t="s">
        <v>11404</v>
      </c>
      <c r="G34789" s="40" t="s">
        <v>11404</v>
      </c>
      <c r="H34789" s="40" t="s">
        <v>11404</v>
      </c>
    </row>
    <row r="34790">
      <c r="A34790" s="39"/>
      <c r="E34790" s="40" t="s">
        <v>11404</v>
      </c>
      <c r="F34790" s="40" t="s">
        <v>11404</v>
      </c>
      <c r="G34790" s="40" t="s">
        <v>11404</v>
      </c>
      <c r="H34790" s="40" t="s">
        <v>11404</v>
      </c>
    </row>
    <row r="34791">
      <c r="A34791" s="39"/>
      <c r="E34791" s="40" t="s">
        <v>11404</v>
      </c>
      <c r="F34791" s="40" t="s">
        <v>11404</v>
      </c>
      <c r="G34791" s="40" t="s">
        <v>11404</v>
      </c>
      <c r="H34791" s="40" t="s">
        <v>11404</v>
      </c>
    </row>
    <row r="34792">
      <c r="A34792" s="39"/>
      <c r="E34792" s="40" t="s">
        <v>11404</v>
      </c>
      <c r="F34792" s="40" t="s">
        <v>11404</v>
      </c>
      <c r="G34792" s="40" t="s">
        <v>11404</v>
      </c>
      <c r="H34792" s="40" t="s">
        <v>11404</v>
      </c>
    </row>
    <row r="34793">
      <c r="A34793" s="39"/>
      <c r="E34793" s="40" t="s">
        <v>11404</v>
      </c>
      <c r="F34793" s="40" t="s">
        <v>11404</v>
      </c>
      <c r="G34793" s="40" t="s">
        <v>11404</v>
      </c>
      <c r="H34793" s="40" t="s">
        <v>11404</v>
      </c>
    </row>
    <row r="34794">
      <c r="A34794" s="39"/>
      <c r="E34794" s="40" t="s">
        <v>11404</v>
      </c>
      <c r="F34794" s="40" t="s">
        <v>11404</v>
      </c>
      <c r="G34794" s="40" t="s">
        <v>11404</v>
      </c>
      <c r="H34794" s="40" t="s">
        <v>11404</v>
      </c>
    </row>
    <row r="34795">
      <c r="A34795" s="39"/>
      <c r="E34795" s="40" t="s">
        <v>11404</v>
      </c>
      <c r="F34795" s="40" t="s">
        <v>11404</v>
      </c>
      <c r="G34795" s="40" t="s">
        <v>11404</v>
      </c>
      <c r="H34795" s="40" t="s">
        <v>11404</v>
      </c>
    </row>
    <row r="34796">
      <c r="A34796" s="39"/>
      <c r="E34796" s="40" t="s">
        <v>11404</v>
      </c>
      <c r="F34796" s="40" t="s">
        <v>11404</v>
      </c>
      <c r="G34796" s="40" t="s">
        <v>11404</v>
      </c>
      <c r="H34796" s="40" t="s">
        <v>11404</v>
      </c>
    </row>
    <row r="34797">
      <c r="A34797" s="39"/>
      <c r="E34797" s="40" t="s">
        <v>11404</v>
      </c>
      <c r="F34797" s="40" t="s">
        <v>11404</v>
      </c>
      <c r="G34797" s="40" t="s">
        <v>11404</v>
      </c>
      <c r="H34797" s="40" t="s">
        <v>11404</v>
      </c>
    </row>
    <row r="34798">
      <c r="A34798" s="39"/>
      <c r="E34798" s="40" t="s">
        <v>11404</v>
      </c>
      <c r="F34798" s="40" t="s">
        <v>11404</v>
      </c>
      <c r="G34798" s="40" t="s">
        <v>11404</v>
      </c>
      <c r="H34798" s="40" t="s">
        <v>11404</v>
      </c>
    </row>
    <row r="34799">
      <c r="A34799" s="39"/>
      <c r="E34799" s="40" t="s">
        <v>11404</v>
      </c>
      <c r="F34799" s="40" t="s">
        <v>11404</v>
      </c>
      <c r="G34799" s="40" t="s">
        <v>11404</v>
      </c>
      <c r="H34799" s="40" t="s">
        <v>11404</v>
      </c>
    </row>
    <row r="34800">
      <c r="A34800" s="39"/>
      <c r="E34800" s="40" t="s">
        <v>11404</v>
      </c>
      <c r="F34800" s="40" t="s">
        <v>11404</v>
      </c>
      <c r="G34800" s="40" t="s">
        <v>11404</v>
      </c>
      <c r="H34800" s="40" t="s">
        <v>11404</v>
      </c>
    </row>
    <row r="34801">
      <c r="A34801" s="39"/>
      <c r="E34801" s="40" t="s">
        <v>11404</v>
      </c>
      <c r="F34801" s="40" t="s">
        <v>11404</v>
      </c>
      <c r="G34801" s="40" t="s">
        <v>11404</v>
      </c>
      <c r="H34801" s="40" t="s">
        <v>11404</v>
      </c>
    </row>
    <row r="34802">
      <c r="A34802" s="39"/>
      <c r="E34802" s="40" t="s">
        <v>11404</v>
      </c>
      <c r="F34802" s="40" t="s">
        <v>11404</v>
      </c>
      <c r="G34802" s="40" t="s">
        <v>11404</v>
      </c>
      <c r="H34802" s="40" t="s">
        <v>11404</v>
      </c>
    </row>
    <row r="34803">
      <c r="A34803" s="39"/>
      <c r="E34803" s="40" t="s">
        <v>11404</v>
      </c>
      <c r="F34803" s="40" t="s">
        <v>11404</v>
      </c>
      <c r="G34803" s="40" t="s">
        <v>11404</v>
      </c>
      <c r="H34803" s="40" t="s">
        <v>11404</v>
      </c>
    </row>
    <row r="34804">
      <c r="A34804" s="39"/>
      <c r="E34804" s="40" t="s">
        <v>11404</v>
      </c>
      <c r="F34804" s="40" t="s">
        <v>11404</v>
      </c>
      <c r="G34804" s="40" t="s">
        <v>11404</v>
      </c>
      <c r="H34804" s="40" t="s">
        <v>11404</v>
      </c>
    </row>
    <row r="34805">
      <c r="A34805" s="39"/>
      <c r="E34805" s="40" t="s">
        <v>11404</v>
      </c>
      <c r="F34805" s="40" t="s">
        <v>11404</v>
      </c>
      <c r="G34805" s="40" t="s">
        <v>11404</v>
      </c>
      <c r="H34805" s="40" t="s">
        <v>11404</v>
      </c>
    </row>
    <row r="34806">
      <c r="A34806" s="39"/>
      <c r="E34806" s="40" t="s">
        <v>11404</v>
      </c>
      <c r="F34806" s="40" t="s">
        <v>11404</v>
      </c>
      <c r="G34806" s="40" t="s">
        <v>11404</v>
      </c>
      <c r="H34806" s="40" t="s">
        <v>11404</v>
      </c>
    </row>
    <row r="34807">
      <c r="A34807" s="39"/>
      <c r="E34807" s="40" t="s">
        <v>11404</v>
      </c>
      <c r="F34807" s="40" t="s">
        <v>11404</v>
      </c>
      <c r="G34807" s="40" t="s">
        <v>11404</v>
      </c>
      <c r="H34807" s="40" t="s">
        <v>11404</v>
      </c>
    </row>
    <row r="34808">
      <c r="A34808" s="39"/>
      <c r="E34808" s="40" t="s">
        <v>11404</v>
      </c>
      <c r="F34808" s="40" t="s">
        <v>11404</v>
      </c>
      <c r="G34808" s="40" t="s">
        <v>11404</v>
      </c>
      <c r="H34808" s="40" t="s">
        <v>11404</v>
      </c>
    </row>
    <row r="34809">
      <c r="A34809" s="39"/>
      <c r="E34809" s="40" t="s">
        <v>11404</v>
      </c>
      <c r="F34809" s="40" t="s">
        <v>11404</v>
      </c>
      <c r="G34809" s="40" t="s">
        <v>11404</v>
      </c>
      <c r="H34809" s="40" t="s">
        <v>11404</v>
      </c>
    </row>
    <row r="34810">
      <c r="A34810" s="39"/>
      <c r="E34810" s="40" t="s">
        <v>11404</v>
      </c>
      <c r="F34810" s="40" t="s">
        <v>11404</v>
      </c>
      <c r="G34810" s="40" t="s">
        <v>11404</v>
      </c>
      <c r="H34810" s="40" t="s">
        <v>11404</v>
      </c>
    </row>
    <row r="34811">
      <c r="A34811" s="39"/>
      <c r="E34811" s="40" t="s">
        <v>11404</v>
      </c>
      <c r="F34811" s="40" t="s">
        <v>11404</v>
      </c>
      <c r="G34811" s="40" t="s">
        <v>11404</v>
      </c>
      <c r="H34811" s="40" t="s">
        <v>11404</v>
      </c>
    </row>
    <row r="34812">
      <c r="A34812" s="39"/>
      <c r="E34812" s="40" t="s">
        <v>11404</v>
      </c>
      <c r="F34812" s="40" t="s">
        <v>11404</v>
      </c>
      <c r="G34812" s="40" t="s">
        <v>11404</v>
      </c>
      <c r="H34812" s="40" t="s">
        <v>11404</v>
      </c>
    </row>
    <row r="34813">
      <c r="A34813" s="39"/>
      <c r="E34813" s="40" t="s">
        <v>11404</v>
      </c>
      <c r="F34813" s="40" t="s">
        <v>11404</v>
      </c>
      <c r="G34813" s="40" t="s">
        <v>11404</v>
      </c>
      <c r="H34813" s="40" t="s">
        <v>11404</v>
      </c>
    </row>
    <row r="34814">
      <c r="A34814" s="39"/>
      <c r="E34814" s="40" t="s">
        <v>11404</v>
      </c>
      <c r="F34814" s="40" t="s">
        <v>11404</v>
      </c>
      <c r="G34814" s="40" t="s">
        <v>11404</v>
      </c>
      <c r="H34814" s="40" t="s">
        <v>11404</v>
      </c>
    </row>
    <row r="34815">
      <c r="A34815" s="39"/>
      <c r="E34815" s="40" t="s">
        <v>11404</v>
      </c>
      <c r="F34815" s="40" t="s">
        <v>11404</v>
      </c>
      <c r="G34815" s="40" t="s">
        <v>11404</v>
      </c>
      <c r="H34815" s="40" t="s">
        <v>11404</v>
      </c>
    </row>
    <row r="34816">
      <c r="A34816" s="39"/>
      <c r="E34816" s="40" t="s">
        <v>11404</v>
      </c>
      <c r="F34816" s="40" t="s">
        <v>11404</v>
      </c>
      <c r="G34816" s="40" t="s">
        <v>11404</v>
      </c>
      <c r="H34816" s="40" t="s">
        <v>11404</v>
      </c>
    </row>
    <row r="34817">
      <c r="A34817" s="39"/>
      <c r="E34817" s="40" t="s">
        <v>11404</v>
      </c>
      <c r="F34817" s="40" t="s">
        <v>11404</v>
      </c>
      <c r="G34817" s="40" t="s">
        <v>11404</v>
      </c>
      <c r="H34817" s="40" t="s">
        <v>11404</v>
      </c>
    </row>
    <row r="34818">
      <c r="A34818" s="39"/>
      <c r="E34818" s="40" t="s">
        <v>11404</v>
      </c>
      <c r="F34818" s="40" t="s">
        <v>11404</v>
      </c>
      <c r="G34818" s="40" t="s">
        <v>11404</v>
      </c>
      <c r="H34818" s="40" t="s">
        <v>11404</v>
      </c>
    </row>
    <row r="34819">
      <c r="A34819" s="39"/>
      <c r="E34819" s="40" t="s">
        <v>11404</v>
      </c>
      <c r="F34819" s="40" t="s">
        <v>11404</v>
      </c>
      <c r="G34819" s="40" t="s">
        <v>11404</v>
      </c>
      <c r="H34819" s="40" t="s">
        <v>11404</v>
      </c>
    </row>
    <row r="34820">
      <c r="A34820" s="39"/>
      <c r="E34820" s="40" t="s">
        <v>11404</v>
      </c>
      <c r="F34820" s="40" t="s">
        <v>11404</v>
      </c>
      <c r="G34820" s="40" t="s">
        <v>11404</v>
      </c>
      <c r="H34820" s="40" t="s">
        <v>11404</v>
      </c>
    </row>
    <row r="34821">
      <c r="A34821" s="39"/>
      <c r="E34821" s="40" t="s">
        <v>11404</v>
      </c>
      <c r="F34821" s="40" t="s">
        <v>11404</v>
      </c>
      <c r="G34821" s="40" t="s">
        <v>11404</v>
      </c>
      <c r="H34821" s="40" t="s">
        <v>11404</v>
      </c>
    </row>
    <row r="34822">
      <c r="A34822" s="39"/>
      <c r="E34822" s="40" t="s">
        <v>11404</v>
      </c>
      <c r="F34822" s="40" t="s">
        <v>11404</v>
      </c>
      <c r="G34822" s="40" t="s">
        <v>11404</v>
      </c>
      <c r="H34822" s="40" t="s">
        <v>11404</v>
      </c>
    </row>
    <row r="34823">
      <c r="A34823" s="39"/>
      <c r="E34823" s="40" t="s">
        <v>11404</v>
      </c>
      <c r="F34823" s="40" t="s">
        <v>11404</v>
      </c>
      <c r="G34823" s="40" t="s">
        <v>11404</v>
      </c>
      <c r="H34823" s="40" t="s">
        <v>11404</v>
      </c>
    </row>
    <row r="34824">
      <c r="A34824" s="39"/>
      <c r="E34824" s="40" t="s">
        <v>11404</v>
      </c>
      <c r="F34824" s="40" t="s">
        <v>11404</v>
      </c>
      <c r="G34824" s="40" t="s">
        <v>11404</v>
      </c>
      <c r="H34824" s="40" t="s">
        <v>11404</v>
      </c>
    </row>
    <row r="34825">
      <c r="A34825" s="39"/>
      <c r="E34825" s="40" t="s">
        <v>11404</v>
      </c>
      <c r="F34825" s="40" t="s">
        <v>11404</v>
      </c>
      <c r="G34825" s="40" t="s">
        <v>11404</v>
      </c>
      <c r="H34825" s="40" t="s">
        <v>11404</v>
      </c>
    </row>
    <row r="34826">
      <c r="A34826" s="39"/>
      <c r="E34826" s="40" t="s">
        <v>11404</v>
      </c>
      <c r="F34826" s="40" t="s">
        <v>11404</v>
      </c>
      <c r="G34826" s="40" t="s">
        <v>11404</v>
      </c>
      <c r="H34826" s="40" t="s">
        <v>11404</v>
      </c>
    </row>
    <row r="34827">
      <c r="A34827" s="39"/>
      <c r="E34827" s="40" t="s">
        <v>11404</v>
      </c>
      <c r="F34827" s="40" t="s">
        <v>11404</v>
      </c>
      <c r="G34827" s="40" t="s">
        <v>11404</v>
      </c>
      <c r="H34827" s="40" t="s">
        <v>11404</v>
      </c>
    </row>
    <row r="34828">
      <c r="A34828" s="39"/>
      <c r="E34828" s="40" t="s">
        <v>11404</v>
      </c>
      <c r="F34828" s="40" t="s">
        <v>11404</v>
      </c>
      <c r="G34828" s="40" t="s">
        <v>11404</v>
      </c>
      <c r="H34828" s="40" t="s">
        <v>11404</v>
      </c>
    </row>
    <row r="34829">
      <c r="A34829" s="39"/>
      <c r="E34829" s="40" t="s">
        <v>11404</v>
      </c>
      <c r="F34829" s="40" t="s">
        <v>11404</v>
      </c>
      <c r="G34829" s="40" t="s">
        <v>11404</v>
      </c>
      <c r="H34829" s="40" t="s">
        <v>11404</v>
      </c>
    </row>
    <row r="34830">
      <c r="A34830" s="39"/>
      <c r="E34830" s="40" t="s">
        <v>11404</v>
      </c>
      <c r="F34830" s="40" t="s">
        <v>11404</v>
      </c>
      <c r="G34830" s="40" t="s">
        <v>11404</v>
      </c>
      <c r="H34830" s="40" t="s">
        <v>11404</v>
      </c>
    </row>
    <row r="34831">
      <c r="A34831" s="39"/>
      <c r="E34831" s="40" t="s">
        <v>11404</v>
      </c>
      <c r="F34831" s="40" t="s">
        <v>11404</v>
      </c>
      <c r="G34831" s="40" t="s">
        <v>11404</v>
      </c>
      <c r="H34831" s="40" t="s">
        <v>11404</v>
      </c>
    </row>
    <row r="34832">
      <c r="A34832" s="39"/>
      <c r="E34832" s="40" t="s">
        <v>11404</v>
      </c>
      <c r="F34832" s="40" t="s">
        <v>11404</v>
      </c>
      <c r="G34832" s="40" t="s">
        <v>11404</v>
      </c>
      <c r="H34832" s="40" t="s">
        <v>11404</v>
      </c>
    </row>
    <row r="34833">
      <c r="A34833" s="39"/>
      <c r="E34833" s="40" t="s">
        <v>11404</v>
      </c>
      <c r="F34833" s="40" t="s">
        <v>11404</v>
      </c>
      <c r="G34833" s="40" t="s">
        <v>11404</v>
      </c>
      <c r="H34833" s="40" t="s">
        <v>11404</v>
      </c>
    </row>
    <row r="34834">
      <c r="A34834" s="39"/>
      <c r="E34834" s="40" t="s">
        <v>11404</v>
      </c>
      <c r="F34834" s="40" t="s">
        <v>11404</v>
      </c>
      <c r="G34834" s="40" t="s">
        <v>11404</v>
      </c>
      <c r="H34834" s="40" t="s">
        <v>11404</v>
      </c>
    </row>
    <row r="34835">
      <c r="A34835" s="39"/>
      <c r="E34835" s="40" t="s">
        <v>11404</v>
      </c>
      <c r="F34835" s="40" t="s">
        <v>11404</v>
      </c>
      <c r="G34835" s="40" t="s">
        <v>11404</v>
      </c>
      <c r="H34835" s="40" t="s">
        <v>11404</v>
      </c>
    </row>
    <row r="34836">
      <c r="A34836" s="39"/>
      <c r="E34836" s="40" t="s">
        <v>11404</v>
      </c>
      <c r="F34836" s="40" t="s">
        <v>11404</v>
      </c>
      <c r="G34836" s="40" t="s">
        <v>11404</v>
      </c>
      <c r="H34836" s="40" t="s">
        <v>11404</v>
      </c>
    </row>
    <row r="34837">
      <c r="A34837" s="39"/>
      <c r="E34837" s="40" t="s">
        <v>11404</v>
      </c>
      <c r="F34837" s="40" t="s">
        <v>11404</v>
      </c>
      <c r="G34837" s="40" t="s">
        <v>11404</v>
      </c>
      <c r="H34837" s="40" t="s">
        <v>11404</v>
      </c>
    </row>
    <row r="34838">
      <c r="A34838" s="39"/>
      <c r="E34838" s="40" t="s">
        <v>11404</v>
      </c>
      <c r="F34838" s="40" t="s">
        <v>11404</v>
      </c>
      <c r="G34838" s="40" t="s">
        <v>11404</v>
      </c>
      <c r="H34838" s="40" t="s">
        <v>11404</v>
      </c>
    </row>
    <row r="34839">
      <c r="A34839" s="39"/>
      <c r="E34839" s="40" t="s">
        <v>11404</v>
      </c>
      <c r="F34839" s="40" t="s">
        <v>11404</v>
      </c>
      <c r="G34839" s="40" t="s">
        <v>11404</v>
      </c>
      <c r="H34839" s="40" t="s">
        <v>11404</v>
      </c>
    </row>
    <row r="34840">
      <c r="A34840" s="39"/>
      <c r="E34840" s="40" t="s">
        <v>11404</v>
      </c>
      <c r="F34840" s="40" t="s">
        <v>11404</v>
      </c>
      <c r="G34840" s="40" t="s">
        <v>11404</v>
      </c>
      <c r="H34840" s="40" t="s">
        <v>11404</v>
      </c>
    </row>
    <row r="34841">
      <c r="A34841" s="39"/>
      <c r="E34841" s="40" t="s">
        <v>11404</v>
      </c>
      <c r="F34841" s="40" t="s">
        <v>11404</v>
      </c>
      <c r="G34841" s="40" t="s">
        <v>11404</v>
      </c>
      <c r="H34841" s="40" t="s">
        <v>11404</v>
      </c>
    </row>
    <row r="34842">
      <c r="A34842" s="39"/>
      <c r="E34842" s="40" t="s">
        <v>11404</v>
      </c>
      <c r="F34842" s="40" t="s">
        <v>11404</v>
      </c>
      <c r="G34842" s="40" t="s">
        <v>11404</v>
      </c>
      <c r="H34842" s="40" t="s">
        <v>11404</v>
      </c>
    </row>
    <row r="34843">
      <c r="A34843" s="39"/>
      <c r="E34843" s="40" t="s">
        <v>11404</v>
      </c>
      <c r="F34843" s="40" t="s">
        <v>11404</v>
      </c>
      <c r="G34843" s="40" t="s">
        <v>11404</v>
      </c>
      <c r="H34843" s="40" t="s">
        <v>11404</v>
      </c>
    </row>
    <row r="34844">
      <c r="A34844" s="39"/>
      <c r="E34844" s="40" t="s">
        <v>11404</v>
      </c>
      <c r="F34844" s="40" t="s">
        <v>11404</v>
      </c>
      <c r="G34844" s="40" t="s">
        <v>11404</v>
      </c>
      <c r="H34844" s="40" t="s">
        <v>11404</v>
      </c>
    </row>
    <row r="34845">
      <c r="A34845" s="39"/>
      <c r="E34845" s="40" t="s">
        <v>11404</v>
      </c>
      <c r="F34845" s="40" t="s">
        <v>11404</v>
      </c>
      <c r="G34845" s="40" t="s">
        <v>11404</v>
      </c>
      <c r="H34845" s="40" t="s">
        <v>11404</v>
      </c>
    </row>
    <row r="34846">
      <c r="A34846" s="39"/>
      <c r="E34846" s="40" t="s">
        <v>11404</v>
      </c>
      <c r="F34846" s="40" t="s">
        <v>11404</v>
      </c>
      <c r="G34846" s="40" t="s">
        <v>11404</v>
      </c>
      <c r="H34846" s="40" t="s">
        <v>11404</v>
      </c>
    </row>
    <row r="34847">
      <c r="A34847" s="39"/>
      <c r="E34847" s="40" t="s">
        <v>11404</v>
      </c>
      <c r="F34847" s="40" t="s">
        <v>11404</v>
      </c>
      <c r="G34847" s="40" t="s">
        <v>11404</v>
      </c>
      <c r="H34847" s="40" t="s">
        <v>11404</v>
      </c>
    </row>
    <row r="34848">
      <c r="A34848" s="39"/>
      <c r="E34848" s="40" t="s">
        <v>11404</v>
      </c>
      <c r="F34848" s="40" t="s">
        <v>11404</v>
      </c>
      <c r="G34848" s="40" t="s">
        <v>11404</v>
      </c>
      <c r="H34848" s="40" t="s">
        <v>11404</v>
      </c>
    </row>
    <row r="34849">
      <c r="A34849" s="39"/>
      <c r="E34849" s="40" t="s">
        <v>11404</v>
      </c>
      <c r="F34849" s="40" t="s">
        <v>11404</v>
      </c>
      <c r="G34849" s="40" t="s">
        <v>11404</v>
      </c>
      <c r="H34849" s="40" t="s">
        <v>11404</v>
      </c>
    </row>
    <row r="34850">
      <c r="A34850" s="39"/>
      <c r="E34850" s="40" t="s">
        <v>11404</v>
      </c>
      <c r="F34850" s="40" t="s">
        <v>11404</v>
      </c>
      <c r="G34850" s="40" t="s">
        <v>11404</v>
      </c>
      <c r="H34850" s="40" t="s">
        <v>11404</v>
      </c>
    </row>
    <row r="34851">
      <c r="A34851" s="39"/>
      <c r="E34851" s="40" t="s">
        <v>11404</v>
      </c>
      <c r="F34851" s="40" t="s">
        <v>11404</v>
      </c>
      <c r="G34851" s="40" t="s">
        <v>11404</v>
      </c>
      <c r="H34851" s="40" t="s">
        <v>11404</v>
      </c>
    </row>
    <row r="34852">
      <c r="A34852" s="39"/>
      <c r="E34852" s="40" t="s">
        <v>11404</v>
      </c>
      <c r="F34852" s="40" t="s">
        <v>11404</v>
      </c>
      <c r="G34852" s="40" t="s">
        <v>11404</v>
      </c>
      <c r="H34852" s="40" t="s">
        <v>11404</v>
      </c>
    </row>
    <row r="34853">
      <c r="A34853" s="39"/>
      <c r="E34853" s="40" t="s">
        <v>11404</v>
      </c>
      <c r="F34853" s="40" t="s">
        <v>11404</v>
      </c>
      <c r="G34853" s="40" t="s">
        <v>11404</v>
      </c>
      <c r="H34853" s="40" t="s">
        <v>11404</v>
      </c>
    </row>
    <row r="34854">
      <c r="A34854" s="39"/>
      <c r="E34854" s="40" t="s">
        <v>11404</v>
      </c>
      <c r="F34854" s="40" t="s">
        <v>11404</v>
      </c>
      <c r="G34854" s="40" t="s">
        <v>11404</v>
      </c>
      <c r="H34854" s="40" t="s">
        <v>11404</v>
      </c>
    </row>
    <row r="34855">
      <c r="A34855" s="39"/>
      <c r="E34855" s="40" t="s">
        <v>11404</v>
      </c>
      <c r="F34855" s="40" t="s">
        <v>11404</v>
      </c>
      <c r="G34855" s="40" t="s">
        <v>11404</v>
      </c>
      <c r="H34855" s="40" t="s">
        <v>11404</v>
      </c>
    </row>
    <row r="34856">
      <c r="A34856" s="39"/>
      <c r="E34856" s="40" t="s">
        <v>11404</v>
      </c>
      <c r="F34856" s="40" t="s">
        <v>11404</v>
      </c>
      <c r="G34856" s="40" t="s">
        <v>11404</v>
      </c>
      <c r="H34856" s="40" t="s">
        <v>11404</v>
      </c>
    </row>
    <row r="34857">
      <c r="A34857" s="39"/>
      <c r="E34857" s="40" t="s">
        <v>11404</v>
      </c>
      <c r="F34857" s="40" t="s">
        <v>11404</v>
      </c>
      <c r="G34857" s="40" t="s">
        <v>11404</v>
      </c>
      <c r="H34857" s="40" t="s">
        <v>11404</v>
      </c>
    </row>
    <row r="34858">
      <c r="A34858" s="39"/>
      <c r="E34858" s="40" t="s">
        <v>11404</v>
      </c>
      <c r="F34858" s="40" t="s">
        <v>11404</v>
      </c>
      <c r="G34858" s="40" t="s">
        <v>11404</v>
      </c>
      <c r="H34858" s="40" t="s">
        <v>11404</v>
      </c>
    </row>
    <row r="34859">
      <c r="A34859" s="39"/>
      <c r="E34859" s="40" t="s">
        <v>11404</v>
      </c>
      <c r="F34859" s="40" t="s">
        <v>11404</v>
      </c>
      <c r="G34859" s="40" t="s">
        <v>11404</v>
      </c>
      <c r="H34859" s="40" t="s">
        <v>11404</v>
      </c>
    </row>
    <row r="34860">
      <c r="A34860" s="39"/>
      <c r="E34860" s="40" t="s">
        <v>11404</v>
      </c>
      <c r="F34860" s="40" t="s">
        <v>11404</v>
      </c>
      <c r="G34860" s="40" t="s">
        <v>11404</v>
      </c>
      <c r="H34860" s="40" t="s">
        <v>11404</v>
      </c>
    </row>
    <row r="34861">
      <c r="A34861" s="39"/>
      <c r="E34861" s="40" t="s">
        <v>11404</v>
      </c>
      <c r="F34861" s="40" t="s">
        <v>11404</v>
      </c>
      <c r="G34861" s="40" t="s">
        <v>11404</v>
      </c>
      <c r="H34861" s="40" t="s">
        <v>11404</v>
      </c>
    </row>
    <row r="34862">
      <c r="A34862" s="39"/>
      <c r="E34862" s="40" t="s">
        <v>11404</v>
      </c>
      <c r="F34862" s="40" t="s">
        <v>11404</v>
      </c>
      <c r="G34862" s="40" t="s">
        <v>11404</v>
      </c>
      <c r="H34862" s="40" t="s">
        <v>11404</v>
      </c>
    </row>
    <row r="34863">
      <c r="A34863" s="39"/>
      <c r="E34863" s="40" t="s">
        <v>11404</v>
      </c>
      <c r="F34863" s="40" t="s">
        <v>11404</v>
      </c>
      <c r="G34863" s="40" t="s">
        <v>11404</v>
      </c>
      <c r="H34863" s="40" t="s">
        <v>11404</v>
      </c>
    </row>
    <row r="34864">
      <c r="A34864" s="39"/>
      <c r="E34864" s="40" t="s">
        <v>11404</v>
      </c>
      <c r="F34864" s="40" t="s">
        <v>11404</v>
      </c>
      <c r="G34864" s="40" t="s">
        <v>11404</v>
      </c>
      <c r="H34864" s="40" t="s">
        <v>11404</v>
      </c>
    </row>
    <row r="34865">
      <c r="A34865" s="39"/>
      <c r="E34865" s="40" t="s">
        <v>11404</v>
      </c>
      <c r="F34865" s="40" t="s">
        <v>11404</v>
      </c>
      <c r="G34865" s="40" t="s">
        <v>11404</v>
      </c>
      <c r="H34865" s="40" t="s">
        <v>11404</v>
      </c>
    </row>
    <row r="34866">
      <c r="A34866" s="39"/>
      <c r="E34866" s="40" t="s">
        <v>11404</v>
      </c>
      <c r="F34866" s="40" t="s">
        <v>11404</v>
      </c>
      <c r="G34866" s="40" t="s">
        <v>11404</v>
      </c>
      <c r="H34866" s="40" t="s">
        <v>11404</v>
      </c>
    </row>
    <row r="34867">
      <c r="A34867" s="39"/>
      <c r="E34867" s="40" t="s">
        <v>11404</v>
      </c>
      <c r="F34867" s="40" t="s">
        <v>11404</v>
      </c>
      <c r="G34867" s="40" t="s">
        <v>11404</v>
      </c>
      <c r="H34867" s="40" t="s">
        <v>11404</v>
      </c>
    </row>
    <row r="34868">
      <c r="A34868" s="39"/>
      <c r="E34868" s="40" t="s">
        <v>11404</v>
      </c>
      <c r="F34868" s="40" t="s">
        <v>11404</v>
      </c>
      <c r="G34868" s="40" t="s">
        <v>11404</v>
      </c>
      <c r="H34868" s="40" t="s">
        <v>11404</v>
      </c>
    </row>
    <row r="34869">
      <c r="A34869" s="39"/>
      <c r="E34869" s="40" t="s">
        <v>11404</v>
      </c>
      <c r="F34869" s="40" t="s">
        <v>11404</v>
      </c>
      <c r="G34869" s="40" t="s">
        <v>11404</v>
      </c>
      <c r="H34869" s="40" t="s">
        <v>11404</v>
      </c>
    </row>
    <row r="34870">
      <c r="A34870" s="39"/>
      <c r="E34870" s="40" t="s">
        <v>11404</v>
      </c>
      <c r="F34870" s="40" t="s">
        <v>11404</v>
      </c>
      <c r="G34870" s="40" t="s">
        <v>11404</v>
      </c>
      <c r="H34870" s="40" t="s">
        <v>11404</v>
      </c>
    </row>
    <row r="34871">
      <c r="A34871" s="39"/>
      <c r="E34871" s="40" t="s">
        <v>11404</v>
      </c>
      <c r="F34871" s="40" t="s">
        <v>11404</v>
      </c>
      <c r="G34871" s="40" t="s">
        <v>11404</v>
      </c>
      <c r="H34871" s="40" t="s">
        <v>11404</v>
      </c>
    </row>
    <row r="34872">
      <c r="A34872" s="39"/>
      <c r="E34872" s="40" t="s">
        <v>11404</v>
      </c>
      <c r="F34872" s="40" t="s">
        <v>11404</v>
      </c>
      <c r="G34872" s="40" t="s">
        <v>11404</v>
      </c>
      <c r="H34872" s="40" t="s">
        <v>11404</v>
      </c>
    </row>
    <row r="34873">
      <c r="A34873" s="39"/>
      <c r="E34873" s="40" t="s">
        <v>11404</v>
      </c>
      <c r="F34873" s="40" t="s">
        <v>11404</v>
      </c>
      <c r="G34873" s="40" t="s">
        <v>11404</v>
      </c>
      <c r="H34873" s="40" t="s">
        <v>11404</v>
      </c>
    </row>
    <row r="34874">
      <c r="A34874" s="39"/>
      <c r="E34874" s="40" t="s">
        <v>11404</v>
      </c>
      <c r="F34874" s="40" t="s">
        <v>11404</v>
      </c>
      <c r="G34874" s="40" t="s">
        <v>11404</v>
      </c>
      <c r="H34874" s="40" t="s">
        <v>11404</v>
      </c>
    </row>
    <row r="34875">
      <c r="A34875" s="39"/>
      <c r="E34875" s="40" t="s">
        <v>11404</v>
      </c>
      <c r="F34875" s="40" t="s">
        <v>11404</v>
      </c>
      <c r="G34875" s="40" t="s">
        <v>11404</v>
      </c>
      <c r="H34875" s="40" t="s">
        <v>11404</v>
      </c>
    </row>
    <row r="34876">
      <c r="A34876" s="39"/>
      <c r="E34876" s="40" t="s">
        <v>11404</v>
      </c>
      <c r="F34876" s="40" t="s">
        <v>11404</v>
      </c>
      <c r="G34876" s="40" t="s">
        <v>11404</v>
      </c>
      <c r="H34876" s="40" t="s">
        <v>11404</v>
      </c>
    </row>
    <row r="34877">
      <c r="A34877" s="39"/>
      <c r="E34877" s="40" t="s">
        <v>11404</v>
      </c>
      <c r="F34877" s="40" t="s">
        <v>11404</v>
      </c>
      <c r="G34877" s="40" t="s">
        <v>11404</v>
      </c>
      <c r="H34877" s="40" t="s">
        <v>11404</v>
      </c>
    </row>
    <row r="34878">
      <c r="A34878" s="39"/>
      <c r="E34878" s="40" t="s">
        <v>11404</v>
      </c>
      <c r="F34878" s="40" t="s">
        <v>11404</v>
      </c>
      <c r="G34878" s="40" t="s">
        <v>11404</v>
      </c>
      <c r="H34878" s="40" t="s">
        <v>11404</v>
      </c>
    </row>
    <row r="34879">
      <c r="A34879" s="39"/>
      <c r="E34879" s="40" t="s">
        <v>11404</v>
      </c>
      <c r="F34879" s="40" t="s">
        <v>11404</v>
      </c>
      <c r="G34879" s="40" t="s">
        <v>11404</v>
      </c>
      <c r="H34879" s="40" t="s">
        <v>11404</v>
      </c>
    </row>
    <row r="34880">
      <c r="A34880" s="39"/>
      <c r="E34880" s="40" t="s">
        <v>11404</v>
      </c>
      <c r="F34880" s="40" t="s">
        <v>11404</v>
      </c>
      <c r="G34880" s="40" t="s">
        <v>11404</v>
      </c>
      <c r="H34880" s="40" t="s">
        <v>11404</v>
      </c>
    </row>
    <row r="34881">
      <c r="A34881" s="39"/>
      <c r="E34881" s="40" t="s">
        <v>11404</v>
      </c>
      <c r="F34881" s="40" t="s">
        <v>11404</v>
      </c>
      <c r="G34881" s="40" t="s">
        <v>11404</v>
      </c>
      <c r="H34881" s="40" t="s">
        <v>11404</v>
      </c>
    </row>
    <row r="34882">
      <c r="A34882" s="39"/>
      <c r="E34882" s="40" t="s">
        <v>11404</v>
      </c>
      <c r="F34882" s="40" t="s">
        <v>11404</v>
      </c>
      <c r="G34882" s="40" t="s">
        <v>11404</v>
      </c>
      <c r="H34882" s="40" t="s">
        <v>11404</v>
      </c>
    </row>
    <row r="34883">
      <c r="A34883" s="39"/>
      <c r="E34883" s="40" t="s">
        <v>11404</v>
      </c>
      <c r="F34883" s="40" t="s">
        <v>11404</v>
      </c>
      <c r="G34883" s="40" t="s">
        <v>11404</v>
      </c>
      <c r="H34883" s="40" t="s">
        <v>11404</v>
      </c>
    </row>
    <row r="34884">
      <c r="A34884" s="39"/>
      <c r="E34884" s="40" t="s">
        <v>11404</v>
      </c>
      <c r="F34884" s="40" t="s">
        <v>11404</v>
      </c>
      <c r="G34884" s="40" t="s">
        <v>11404</v>
      </c>
      <c r="H34884" s="40" t="s">
        <v>11404</v>
      </c>
    </row>
    <row r="34885">
      <c r="A34885" s="39"/>
      <c r="E34885" s="40" t="s">
        <v>11404</v>
      </c>
      <c r="F34885" s="40" t="s">
        <v>11404</v>
      </c>
      <c r="G34885" s="40" t="s">
        <v>11404</v>
      </c>
      <c r="H34885" s="40" t="s">
        <v>11404</v>
      </c>
    </row>
    <row r="34886">
      <c r="A34886" s="39"/>
      <c r="E34886" s="40" t="s">
        <v>11404</v>
      </c>
      <c r="F34886" s="40" t="s">
        <v>11404</v>
      </c>
      <c r="G34886" s="40" t="s">
        <v>11404</v>
      </c>
      <c r="H34886" s="40" t="s">
        <v>11404</v>
      </c>
    </row>
    <row r="34887">
      <c r="A34887" s="39"/>
      <c r="E34887" s="40" t="s">
        <v>11404</v>
      </c>
      <c r="F34887" s="40" t="s">
        <v>11404</v>
      </c>
      <c r="G34887" s="40" t="s">
        <v>11404</v>
      </c>
      <c r="H34887" s="40" t="s">
        <v>11404</v>
      </c>
    </row>
    <row r="34888">
      <c r="A34888" s="39"/>
      <c r="E34888" s="40" t="s">
        <v>11404</v>
      </c>
      <c r="F34888" s="40" t="s">
        <v>11404</v>
      </c>
      <c r="G34888" s="40" t="s">
        <v>11404</v>
      </c>
      <c r="H34888" s="40" t="s">
        <v>11404</v>
      </c>
    </row>
    <row r="34889">
      <c r="A34889" s="39"/>
      <c r="E34889" s="40" t="s">
        <v>11404</v>
      </c>
      <c r="F34889" s="40" t="s">
        <v>11404</v>
      </c>
      <c r="G34889" s="40" t="s">
        <v>11404</v>
      </c>
      <c r="H34889" s="40" t="s">
        <v>11404</v>
      </c>
    </row>
    <row r="34890">
      <c r="A34890" s="39"/>
      <c r="E34890" s="40" t="s">
        <v>11404</v>
      </c>
      <c r="F34890" s="40" t="s">
        <v>11404</v>
      </c>
      <c r="G34890" s="40" t="s">
        <v>11404</v>
      </c>
      <c r="H34890" s="40" t="s">
        <v>11404</v>
      </c>
    </row>
    <row r="34891">
      <c r="A34891" s="39"/>
      <c r="E34891" s="40" t="s">
        <v>11404</v>
      </c>
      <c r="F34891" s="40" t="s">
        <v>11404</v>
      </c>
      <c r="G34891" s="40" t="s">
        <v>11404</v>
      </c>
      <c r="H34891" s="40" t="s">
        <v>11404</v>
      </c>
    </row>
    <row r="34892">
      <c r="A34892" s="39"/>
      <c r="E34892" s="40" t="s">
        <v>11404</v>
      </c>
      <c r="F34892" s="40" t="s">
        <v>11404</v>
      </c>
      <c r="G34892" s="40" t="s">
        <v>11404</v>
      </c>
      <c r="H34892" s="40" t="s">
        <v>11404</v>
      </c>
    </row>
    <row r="34893">
      <c r="A34893" s="39"/>
      <c r="E34893" s="40" t="s">
        <v>11404</v>
      </c>
      <c r="F34893" s="40" t="s">
        <v>11404</v>
      </c>
      <c r="G34893" s="40" t="s">
        <v>11404</v>
      </c>
      <c r="H34893" s="40" t="s">
        <v>11404</v>
      </c>
    </row>
    <row r="34894">
      <c r="A34894" s="39"/>
      <c r="E34894" s="40" t="s">
        <v>11404</v>
      </c>
      <c r="F34894" s="40" t="s">
        <v>11404</v>
      </c>
      <c r="G34894" s="40" t="s">
        <v>11404</v>
      </c>
      <c r="H34894" s="40" t="s">
        <v>11404</v>
      </c>
    </row>
    <row r="34895">
      <c r="A34895" s="39"/>
      <c r="E34895" s="40" t="s">
        <v>11404</v>
      </c>
      <c r="F34895" s="40" t="s">
        <v>11404</v>
      </c>
      <c r="G34895" s="40" t="s">
        <v>11404</v>
      </c>
      <c r="H34895" s="40" t="s">
        <v>11404</v>
      </c>
    </row>
    <row r="34896">
      <c r="A34896" s="39"/>
      <c r="E34896" s="40" t="s">
        <v>11404</v>
      </c>
      <c r="F34896" s="40" t="s">
        <v>11404</v>
      </c>
      <c r="G34896" s="40" t="s">
        <v>11404</v>
      </c>
      <c r="H34896" s="40" t="s">
        <v>11404</v>
      </c>
    </row>
    <row r="34897">
      <c r="A34897" s="39"/>
      <c r="E34897" s="40" t="s">
        <v>11404</v>
      </c>
      <c r="F34897" s="40" t="s">
        <v>11404</v>
      </c>
      <c r="G34897" s="40" t="s">
        <v>11404</v>
      </c>
      <c r="H34897" s="40" t="s">
        <v>11404</v>
      </c>
    </row>
    <row r="34898">
      <c r="A34898" s="39"/>
      <c r="E34898" s="40" t="s">
        <v>11404</v>
      </c>
      <c r="F34898" s="40" t="s">
        <v>11404</v>
      </c>
      <c r="G34898" s="40" t="s">
        <v>11404</v>
      </c>
      <c r="H34898" s="40" t="s">
        <v>11404</v>
      </c>
    </row>
    <row r="34899">
      <c r="A34899" s="39"/>
      <c r="E34899" s="40" t="s">
        <v>11404</v>
      </c>
      <c r="F34899" s="40" t="s">
        <v>11404</v>
      </c>
      <c r="G34899" s="40" t="s">
        <v>11404</v>
      </c>
      <c r="H34899" s="40" t="s">
        <v>11404</v>
      </c>
    </row>
    <row r="34900">
      <c r="A34900" s="39"/>
      <c r="E34900" s="40" t="s">
        <v>11404</v>
      </c>
      <c r="F34900" s="40" t="s">
        <v>11404</v>
      </c>
      <c r="G34900" s="40" t="s">
        <v>11404</v>
      </c>
      <c r="H34900" s="40" t="s">
        <v>11404</v>
      </c>
    </row>
    <row r="34901">
      <c r="A34901" s="39"/>
      <c r="E34901" s="40" t="s">
        <v>11404</v>
      </c>
      <c r="F34901" s="40" t="s">
        <v>11404</v>
      </c>
      <c r="G34901" s="40" t="s">
        <v>11404</v>
      </c>
      <c r="H34901" s="40" t="s">
        <v>11404</v>
      </c>
    </row>
    <row r="34902">
      <c r="A34902" s="39"/>
      <c r="E34902" s="40" t="s">
        <v>11404</v>
      </c>
      <c r="F34902" s="40" t="s">
        <v>11404</v>
      </c>
      <c r="G34902" s="40" t="s">
        <v>11404</v>
      </c>
      <c r="H34902" s="40" t="s">
        <v>11404</v>
      </c>
    </row>
    <row r="34903">
      <c r="A34903" s="39"/>
      <c r="E34903" s="40" t="s">
        <v>11404</v>
      </c>
      <c r="F34903" s="40" t="s">
        <v>11404</v>
      </c>
      <c r="G34903" s="40" t="s">
        <v>11404</v>
      </c>
      <c r="H34903" s="40" t="s">
        <v>11404</v>
      </c>
    </row>
    <row r="34904">
      <c r="A34904" s="39"/>
      <c r="E34904" s="40" t="s">
        <v>11404</v>
      </c>
      <c r="F34904" s="40" t="s">
        <v>11404</v>
      </c>
      <c r="G34904" s="40" t="s">
        <v>11404</v>
      </c>
      <c r="H34904" s="40" t="s">
        <v>11404</v>
      </c>
    </row>
    <row r="34905">
      <c r="A34905" s="39"/>
      <c r="E34905" s="40" t="s">
        <v>11404</v>
      </c>
      <c r="F34905" s="40" t="s">
        <v>11404</v>
      </c>
      <c r="G34905" s="40" t="s">
        <v>11404</v>
      </c>
      <c r="H34905" s="40" t="s">
        <v>11404</v>
      </c>
    </row>
    <row r="34906">
      <c r="A34906" s="39"/>
      <c r="E34906" s="40" t="s">
        <v>11404</v>
      </c>
      <c r="F34906" s="40" t="s">
        <v>11404</v>
      </c>
      <c r="G34906" s="40" t="s">
        <v>11404</v>
      </c>
      <c r="H34906" s="40" t="s">
        <v>11404</v>
      </c>
    </row>
    <row r="34907">
      <c r="A34907" s="39"/>
      <c r="E34907" s="40" t="s">
        <v>11404</v>
      </c>
      <c r="F34907" s="40" t="s">
        <v>11404</v>
      </c>
      <c r="G34907" s="40" t="s">
        <v>11404</v>
      </c>
      <c r="H34907" s="40" t="s">
        <v>11404</v>
      </c>
    </row>
    <row r="34908">
      <c r="A34908" s="39"/>
      <c r="E34908" s="40" t="s">
        <v>11404</v>
      </c>
      <c r="F34908" s="40" t="s">
        <v>11404</v>
      </c>
      <c r="G34908" s="40" t="s">
        <v>11404</v>
      </c>
      <c r="H34908" s="40" t="s">
        <v>11404</v>
      </c>
    </row>
    <row r="34909">
      <c r="A34909" s="39"/>
      <c r="E34909" s="40" t="s">
        <v>11404</v>
      </c>
      <c r="F34909" s="40" t="s">
        <v>11404</v>
      </c>
      <c r="G34909" s="40" t="s">
        <v>11404</v>
      </c>
      <c r="H34909" s="40" t="s">
        <v>11404</v>
      </c>
    </row>
    <row r="34910">
      <c r="A34910" s="39"/>
      <c r="E34910" s="40" t="s">
        <v>11404</v>
      </c>
      <c r="F34910" s="40" t="s">
        <v>11404</v>
      </c>
      <c r="G34910" s="40" t="s">
        <v>11404</v>
      </c>
      <c r="H34910" s="40" t="s">
        <v>11404</v>
      </c>
    </row>
    <row r="34911">
      <c r="A34911" s="39"/>
      <c r="E34911" s="40" t="s">
        <v>11404</v>
      </c>
      <c r="F34911" s="40" t="s">
        <v>11404</v>
      </c>
      <c r="G34911" s="40" t="s">
        <v>11404</v>
      </c>
      <c r="H34911" s="40" t="s">
        <v>11404</v>
      </c>
    </row>
    <row r="34912">
      <c r="A34912" s="39"/>
      <c r="E34912" s="40" t="s">
        <v>11404</v>
      </c>
      <c r="F34912" s="40" t="s">
        <v>11404</v>
      </c>
      <c r="G34912" s="40" t="s">
        <v>11404</v>
      </c>
      <c r="H34912" s="40" t="s">
        <v>11404</v>
      </c>
    </row>
    <row r="34913">
      <c r="A34913" s="39"/>
      <c r="E34913" s="40" t="s">
        <v>11404</v>
      </c>
      <c r="F34913" s="40" t="s">
        <v>11404</v>
      </c>
      <c r="G34913" s="40" t="s">
        <v>11404</v>
      </c>
      <c r="H34913" s="40" t="s">
        <v>11404</v>
      </c>
    </row>
    <row r="34914">
      <c r="A34914" s="39"/>
      <c r="E34914" s="40" t="s">
        <v>11404</v>
      </c>
      <c r="F34914" s="40" t="s">
        <v>11404</v>
      </c>
      <c r="G34914" s="40" t="s">
        <v>11404</v>
      </c>
      <c r="H34914" s="40" t="s">
        <v>11404</v>
      </c>
    </row>
    <row r="34915">
      <c r="A34915" s="39"/>
      <c r="E34915" s="40" t="s">
        <v>11404</v>
      </c>
      <c r="F34915" s="40" t="s">
        <v>11404</v>
      </c>
      <c r="G34915" s="40" t="s">
        <v>11404</v>
      </c>
      <c r="H34915" s="40" t="s">
        <v>11404</v>
      </c>
    </row>
    <row r="34916">
      <c r="A34916" s="39"/>
      <c r="E34916" s="40" t="s">
        <v>11404</v>
      </c>
      <c r="F34916" s="40" t="s">
        <v>11404</v>
      </c>
      <c r="G34916" s="40" t="s">
        <v>11404</v>
      </c>
      <c r="H34916" s="40" t="s">
        <v>11404</v>
      </c>
    </row>
    <row r="34917">
      <c r="A34917" s="39"/>
      <c r="E34917" s="40" t="s">
        <v>11404</v>
      </c>
      <c r="F34917" s="40" t="s">
        <v>11404</v>
      </c>
      <c r="G34917" s="40" t="s">
        <v>11404</v>
      </c>
      <c r="H34917" s="40" t="s">
        <v>11404</v>
      </c>
    </row>
    <row r="34918">
      <c r="A34918" s="39"/>
      <c r="E34918" s="40" t="s">
        <v>11404</v>
      </c>
      <c r="F34918" s="40" t="s">
        <v>11404</v>
      </c>
      <c r="G34918" s="40" t="s">
        <v>11404</v>
      </c>
      <c r="H34918" s="40" t="s">
        <v>11404</v>
      </c>
    </row>
    <row r="34919">
      <c r="A34919" s="39"/>
      <c r="E34919" s="40" t="s">
        <v>11404</v>
      </c>
      <c r="F34919" s="40" t="s">
        <v>11404</v>
      </c>
      <c r="G34919" s="40" t="s">
        <v>11404</v>
      </c>
      <c r="H34919" s="40" t="s">
        <v>11404</v>
      </c>
    </row>
    <row r="34920">
      <c r="A34920" s="39"/>
      <c r="E34920" s="40" t="s">
        <v>11404</v>
      </c>
      <c r="F34920" s="40" t="s">
        <v>11404</v>
      </c>
      <c r="G34920" s="40" t="s">
        <v>11404</v>
      </c>
      <c r="H34920" s="40" t="s">
        <v>11404</v>
      </c>
    </row>
    <row r="34921">
      <c r="A34921" s="39"/>
      <c r="E34921" s="40" t="s">
        <v>11404</v>
      </c>
      <c r="F34921" s="40" t="s">
        <v>11404</v>
      </c>
      <c r="G34921" s="40" t="s">
        <v>11404</v>
      </c>
      <c r="H34921" s="40" t="s">
        <v>11404</v>
      </c>
    </row>
    <row r="34922">
      <c r="A34922" s="39"/>
      <c r="E34922" s="40" t="s">
        <v>11404</v>
      </c>
      <c r="F34922" s="40" t="s">
        <v>11404</v>
      </c>
      <c r="G34922" s="40" t="s">
        <v>11404</v>
      </c>
      <c r="H34922" s="40" t="s">
        <v>11404</v>
      </c>
    </row>
    <row r="34923">
      <c r="A34923" s="39"/>
      <c r="E34923" s="40" t="s">
        <v>11404</v>
      </c>
      <c r="F34923" s="40" t="s">
        <v>11404</v>
      </c>
      <c r="G34923" s="40" t="s">
        <v>11404</v>
      </c>
      <c r="H34923" s="40" t="s">
        <v>11404</v>
      </c>
    </row>
    <row r="34924">
      <c r="A34924" s="39"/>
      <c r="E34924" s="40" t="s">
        <v>11404</v>
      </c>
      <c r="F34924" s="40" t="s">
        <v>11404</v>
      </c>
      <c r="G34924" s="40" t="s">
        <v>11404</v>
      </c>
      <c r="H34924" s="40" t="s">
        <v>11404</v>
      </c>
    </row>
    <row r="34925">
      <c r="A34925" s="39"/>
      <c r="E34925" s="40" t="s">
        <v>11404</v>
      </c>
      <c r="F34925" s="40" t="s">
        <v>11404</v>
      </c>
      <c r="G34925" s="40" t="s">
        <v>11404</v>
      </c>
      <c r="H34925" s="40" t="s">
        <v>11404</v>
      </c>
    </row>
    <row r="34926">
      <c r="A34926" s="39"/>
      <c r="E34926" s="40" t="s">
        <v>11404</v>
      </c>
      <c r="F34926" s="40" t="s">
        <v>11404</v>
      </c>
      <c r="G34926" s="40" t="s">
        <v>11404</v>
      </c>
      <c r="H34926" s="40" t="s">
        <v>11404</v>
      </c>
    </row>
    <row r="34927">
      <c r="A34927" s="39"/>
      <c r="E34927" s="40" t="s">
        <v>11404</v>
      </c>
      <c r="F34927" s="40" t="s">
        <v>11404</v>
      </c>
      <c r="G34927" s="40" t="s">
        <v>11404</v>
      </c>
      <c r="H34927" s="40" t="s">
        <v>11404</v>
      </c>
    </row>
    <row r="34928">
      <c r="A34928" s="39"/>
      <c r="E34928" s="40" t="s">
        <v>11404</v>
      </c>
      <c r="F34928" s="40" t="s">
        <v>11404</v>
      </c>
      <c r="G34928" s="40" t="s">
        <v>11404</v>
      </c>
      <c r="H34928" s="40" t="s">
        <v>11404</v>
      </c>
    </row>
    <row r="34929">
      <c r="A34929" s="39"/>
      <c r="E34929" s="40" t="s">
        <v>11404</v>
      </c>
      <c r="F34929" s="40" t="s">
        <v>11404</v>
      </c>
      <c r="G34929" s="40" t="s">
        <v>11404</v>
      </c>
      <c r="H34929" s="40" t="s">
        <v>11404</v>
      </c>
    </row>
    <row r="34930">
      <c r="A34930" s="39"/>
      <c r="E34930" s="40" t="s">
        <v>11404</v>
      </c>
      <c r="F34930" s="40" t="s">
        <v>11404</v>
      </c>
      <c r="G34930" s="40" t="s">
        <v>11404</v>
      </c>
      <c r="H34930" s="40" t="s">
        <v>11404</v>
      </c>
    </row>
    <row r="34931">
      <c r="A34931" s="39"/>
      <c r="E34931" s="40" t="s">
        <v>11404</v>
      </c>
      <c r="F34931" s="40" t="s">
        <v>11404</v>
      </c>
      <c r="G34931" s="40" t="s">
        <v>11404</v>
      </c>
      <c r="H34931" s="40" t="s">
        <v>11404</v>
      </c>
    </row>
    <row r="34932">
      <c r="A34932" s="39"/>
      <c r="E34932" s="40" t="s">
        <v>11404</v>
      </c>
      <c r="F34932" s="40" t="s">
        <v>11404</v>
      </c>
      <c r="G34932" s="40" t="s">
        <v>11404</v>
      </c>
      <c r="H34932" s="40" t="s">
        <v>11404</v>
      </c>
    </row>
    <row r="34933">
      <c r="A34933" s="39"/>
      <c r="E34933" s="40" t="s">
        <v>11404</v>
      </c>
      <c r="F34933" s="40" t="s">
        <v>11404</v>
      </c>
      <c r="G34933" s="40" t="s">
        <v>11404</v>
      </c>
      <c r="H34933" s="40" t="s">
        <v>11404</v>
      </c>
    </row>
    <row r="34934">
      <c r="A34934" s="39"/>
      <c r="E34934" s="40" t="s">
        <v>11404</v>
      </c>
      <c r="F34934" s="40" t="s">
        <v>11404</v>
      </c>
      <c r="G34934" s="40" t="s">
        <v>11404</v>
      </c>
      <c r="H34934" s="40" t="s">
        <v>11404</v>
      </c>
    </row>
    <row r="34935">
      <c r="A34935" s="39"/>
      <c r="E34935" s="40" t="s">
        <v>11404</v>
      </c>
      <c r="F34935" s="40" t="s">
        <v>11404</v>
      </c>
      <c r="G34935" s="40" t="s">
        <v>11404</v>
      </c>
      <c r="H34935" s="40" t="s">
        <v>11404</v>
      </c>
    </row>
    <row r="34936">
      <c r="A34936" s="39"/>
      <c r="E34936" s="40" t="s">
        <v>11404</v>
      </c>
      <c r="F34936" s="40" t="s">
        <v>11404</v>
      </c>
      <c r="G34936" s="40" t="s">
        <v>11404</v>
      </c>
      <c r="H34936" s="40" t="s">
        <v>11404</v>
      </c>
    </row>
    <row r="34937">
      <c r="A34937" s="39"/>
      <c r="E34937" s="40" t="s">
        <v>11404</v>
      </c>
      <c r="F34937" s="40" t="s">
        <v>11404</v>
      </c>
      <c r="G34937" s="40" t="s">
        <v>11404</v>
      </c>
      <c r="H34937" s="40" t="s">
        <v>11404</v>
      </c>
    </row>
    <row r="34938">
      <c r="A34938" s="39"/>
      <c r="E34938" s="40" t="s">
        <v>11404</v>
      </c>
      <c r="F34938" s="40" t="s">
        <v>11404</v>
      </c>
      <c r="G34938" s="40" t="s">
        <v>11404</v>
      </c>
      <c r="H34938" s="40" t="s">
        <v>11404</v>
      </c>
    </row>
    <row r="34939">
      <c r="A34939" s="39"/>
      <c r="E34939" s="40" t="s">
        <v>11404</v>
      </c>
      <c r="F34939" s="40" t="s">
        <v>11404</v>
      </c>
      <c r="G34939" s="40" t="s">
        <v>11404</v>
      </c>
      <c r="H34939" s="40" t="s">
        <v>11404</v>
      </c>
    </row>
    <row r="34940">
      <c r="A34940" s="39"/>
      <c r="E34940" s="40" t="s">
        <v>11404</v>
      </c>
      <c r="F34940" s="40" t="s">
        <v>11404</v>
      </c>
      <c r="G34940" s="40" t="s">
        <v>11404</v>
      </c>
      <c r="H34940" s="40" t="s">
        <v>11404</v>
      </c>
    </row>
    <row r="34941">
      <c r="A34941" s="39"/>
      <c r="E34941" s="40" t="s">
        <v>11404</v>
      </c>
      <c r="F34941" s="40" t="s">
        <v>11404</v>
      </c>
      <c r="G34941" s="40" t="s">
        <v>11404</v>
      </c>
      <c r="H34941" s="40" t="s">
        <v>11404</v>
      </c>
    </row>
    <row r="34942">
      <c r="A34942" s="39"/>
      <c r="E34942" s="40" t="s">
        <v>11404</v>
      </c>
      <c r="F34942" s="40" t="s">
        <v>11404</v>
      </c>
      <c r="G34942" s="40" t="s">
        <v>11404</v>
      </c>
      <c r="H34942" s="40" t="s">
        <v>11404</v>
      </c>
    </row>
    <row r="34943">
      <c r="A34943" s="39"/>
      <c r="E34943" s="40" t="s">
        <v>11404</v>
      </c>
      <c r="F34943" s="40" t="s">
        <v>11404</v>
      </c>
      <c r="G34943" s="40" t="s">
        <v>11404</v>
      </c>
      <c r="H34943" s="40" t="s">
        <v>11404</v>
      </c>
    </row>
    <row r="34944">
      <c r="A34944" s="39"/>
      <c r="E34944" s="40" t="s">
        <v>11404</v>
      </c>
      <c r="F34944" s="40" t="s">
        <v>11404</v>
      </c>
      <c r="G34944" s="40" t="s">
        <v>11404</v>
      </c>
      <c r="H34944" s="40" t="s">
        <v>11404</v>
      </c>
    </row>
    <row r="34945">
      <c r="A34945" s="39"/>
      <c r="E34945" s="40" t="s">
        <v>11404</v>
      </c>
      <c r="F34945" s="40" t="s">
        <v>11404</v>
      </c>
      <c r="G34945" s="40" t="s">
        <v>11404</v>
      </c>
      <c r="H34945" s="40" t="s">
        <v>11404</v>
      </c>
    </row>
    <row r="34946">
      <c r="A34946" s="39"/>
      <c r="E34946" s="40" t="s">
        <v>11404</v>
      </c>
      <c r="F34946" s="40" t="s">
        <v>11404</v>
      </c>
      <c r="G34946" s="40" t="s">
        <v>11404</v>
      </c>
      <c r="H34946" s="40" t="s">
        <v>11404</v>
      </c>
    </row>
    <row r="34947">
      <c r="A34947" s="39"/>
      <c r="E34947" s="40" t="s">
        <v>11404</v>
      </c>
      <c r="F34947" s="40" t="s">
        <v>11404</v>
      </c>
      <c r="G34947" s="40" t="s">
        <v>11404</v>
      </c>
      <c r="H34947" s="40" t="s">
        <v>11404</v>
      </c>
    </row>
    <row r="34948">
      <c r="A34948" s="39"/>
      <c r="E34948" s="40" t="s">
        <v>11404</v>
      </c>
      <c r="F34948" s="40" t="s">
        <v>11404</v>
      </c>
      <c r="G34948" s="40" t="s">
        <v>11404</v>
      </c>
      <c r="H34948" s="40" t="s">
        <v>11404</v>
      </c>
    </row>
    <row r="34949">
      <c r="A34949" s="39"/>
      <c r="E34949" s="40" t="s">
        <v>11404</v>
      </c>
      <c r="F34949" s="40" t="s">
        <v>11404</v>
      </c>
      <c r="G34949" s="40" t="s">
        <v>11404</v>
      </c>
      <c r="H34949" s="40" t="s">
        <v>11404</v>
      </c>
    </row>
    <row r="34950">
      <c r="A34950" s="39"/>
      <c r="E34950" s="40" t="s">
        <v>11404</v>
      </c>
      <c r="F34950" s="40" t="s">
        <v>11404</v>
      </c>
      <c r="G34950" s="40" t="s">
        <v>11404</v>
      </c>
      <c r="H34950" s="40" t="s">
        <v>11404</v>
      </c>
    </row>
    <row r="34951">
      <c r="A34951" s="39"/>
      <c r="E34951" s="40" t="s">
        <v>11404</v>
      </c>
      <c r="F34951" s="40" t="s">
        <v>11404</v>
      </c>
      <c r="G34951" s="40" t="s">
        <v>11404</v>
      </c>
      <c r="H34951" s="40" t="s">
        <v>11404</v>
      </c>
    </row>
    <row r="34952">
      <c r="A34952" s="39"/>
      <c r="E34952" s="40" t="s">
        <v>11404</v>
      </c>
      <c r="F34952" s="40" t="s">
        <v>11404</v>
      </c>
      <c r="G34952" s="40" t="s">
        <v>11404</v>
      </c>
      <c r="H34952" s="40" t="s">
        <v>11404</v>
      </c>
    </row>
    <row r="34953">
      <c r="A34953" s="39"/>
      <c r="E34953" s="40" t="s">
        <v>11404</v>
      </c>
      <c r="F34953" s="40" t="s">
        <v>11404</v>
      </c>
      <c r="G34953" s="40" t="s">
        <v>11404</v>
      </c>
      <c r="H34953" s="40" t="s">
        <v>11404</v>
      </c>
    </row>
    <row r="34954">
      <c r="A34954" s="39"/>
      <c r="E34954" s="40" t="s">
        <v>11404</v>
      </c>
      <c r="F34954" s="40" t="s">
        <v>11404</v>
      </c>
      <c r="G34954" s="40" t="s">
        <v>11404</v>
      </c>
      <c r="H34954" s="40" t="s">
        <v>11404</v>
      </c>
    </row>
    <row r="34955">
      <c r="A34955" s="39"/>
      <c r="E34955" s="40" t="s">
        <v>11404</v>
      </c>
      <c r="F34955" s="40" t="s">
        <v>11404</v>
      </c>
      <c r="G34955" s="40" t="s">
        <v>11404</v>
      </c>
      <c r="H34955" s="40" t="s">
        <v>11404</v>
      </c>
    </row>
    <row r="34956">
      <c r="A34956" s="39"/>
      <c r="E34956" s="40" t="s">
        <v>11404</v>
      </c>
      <c r="F34956" s="40" t="s">
        <v>11404</v>
      </c>
      <c r="G34956" s="40" t="s">
        <v>11404</v>
      </c>
      <c r="H34956" s="40" t="s">
        <v>11404</v>
      </c>
    </row>
    <row r="34957">
      <c r="A34957" s="39"/>
      <c r="E34957" s="40" t="s">
        <v>11404</v>
      </c>
      <c r="F34957" s="40" t="s">
        <v>11404</v>
      </c>
      <c r="G34957" s="40" t="s">
        <v>11404</v>
      </c>
      <c r="H34957" s="40" t="s">
        <v>11404</v>
      </c>
    </row>
    <row r="34958">
      <c r="A34958" s="39"/>
      <c r="E34958" s="40" t="s">
        <v>11404</v>
      </c>
      <c r="F34958" s="40" t="s">
        <v>11404</v>
      </c>
      <c r="G34958" s="40" t="s">
        <v>11404</v>
      </c>
      <c r="H34958" s="40" t="s">
        <v>11404</v>
      </c>
    </row>
    <row r="34959">
      <c r="A34959" s="39"/>
      <c r="E34959" s="40" t="s">
        <v>11404</v>
      </c>
      <c r="F34959" s="40" t="s">
        <v>11404</v>
      </c>
      <c r="G34959" s="40" t="s">
        <v>11404</v>
      </c>
      <c r="H34959" s="40" t="s">
        <v>11404</v>
      </c>
    </row>
    <row r="34960">
      <c r="A34960" s="39"/>
      <c r="E34960" s="40" t="s">
        <v>11404</v>
      </c>
      <c r="F34960" s="40" t="s">
        <v>11404</v>
      </c>
      <c r="G34960" s="40" t="s">
        <v>11404</v>
      </c>
      <c r="H34960" s="40" t="s">
        <v>11404</v>
      </c>
    </row>
    <row r="34961">
      <c r="A34961" s="39"/>
      <c r="E34961" s="40" t="s">
        <v>11404</v>
      </c>
      <c r="F34961" s="40" t="s">
        <v>11404</v>
      </c>
      <c r="G34961" s="40" t="s">
        <v>11404</v>
      </c>
      <c r="H34961" s="40" t="s">
        <v>11404</v>
      </c>
    </row>
    <row r="34962">
      <c r="A34962" s="39"/>
      <c r="E34962" s="40" t="s">
        <v>11404</v>
      </c>
      <c r="F34962" s="40" t="s">
        <v>11404</v>
      </c>
      <c r="G34962" s="40" t="s">
        <v>11404</v>
      </c>
      <c r="H34962" s="40" t="s">
        <v>11404</v>
      </c>
    </row>
    <row r="34963">
      <c r="A34963" s="39"/>
      <c r="E34963" s="40" t="s">
        <v>11404</v>
      </c>
      <c r="F34963" s="40" t="s">
        <v>11404</v>
      </c>
      <c r="G34963" s="40" t="s">
        <v>11404</v>
      </c>
      <c r="H34963" s="40" t="s">
        <v>11404</v>
      </c>
    </row>
    <row r="34964">
      <c r="A34964" s="39"/>
      <c r="E34964" s="40" t="s">
        <v>11404</v>
      </c>
      <c r="F34964" s="40" t="s">
        <v>11404</v>
      </c>
      <c r="G34964" s="40" t="s">
        <v>11404</v>
      </c>
      <c r="H34964" s="40" t="s">
        <v>11404</v>
      </c>
    </row>
    <row r="34965">
      <c r="A34965" s="39"/>
      <c r="E34965" s="40" t="s">
        <v>11404</v>
      </c>
      <c r="F34965" s="40" t="s">
        <v>11404</v>
      </c>
      <c r="G34965" s="40" t="s">
        <v>11404</v>
      </c>
      <c r="H34965" s="40" t="s">
        <v>11404</v>
      </c>
    </row>
    <row r="34966">
      <c r="A34966" s="39"/>
      <c r="E34966" s="40" t="s">
        <v>11404</v>
      </c>
      <c r="F34966" s="40" t="s">
        <v>11404</v>
      </c>
      <c r="G34966" s="40" t="s">
        <v>11404</v>
      </c>
      <c r="H34966" s="40" t="s">
        <v>11404</v>
      </c>
    </row>
    <row r="34967">
      <c r="A34967" s="39"/>
      <c r="E34967" s="40" t="s">
        <v>11404</v>
      </c>
      <c r="F34967" s="40" t="s">
        <v>11404</v>
      </c>
      <c r="G34967" s="40" t="s">
        <v>11404</v>
      </c>
      <c r="H34967" s="40" t="s">
        <v>11404</v>
      </c>
    </row>
    <row r="34968">
      <c r="A34968" s="39"/>
      <c r="E34968" s="40" t="s">
        <v>11404</v>
      </c>
      <c r="F34968" s="40" t="s">
        <v>11404</v>
      </c>
      <c r="G34968" s="40" t="s">
        <v>11404</v>
      </c>
      <c r="H34968" s="40" t="s">
        <v>11404</v>
      </c>
    </row>
    <row r="34969">
      <c r="A34969" s="39"/>
      <c r="E34969" s="40" t="s">
        <v>11404</v>
      </c>
      <c r="F34969" s="40" t="s">
        <v>11404</v>
      </c>
      <c r="G34969" s="40" t="s">
        <v>11404</v>
      </c>
      <c r="H34969" s="40" t="s">
        <v>11404</v>
      </c>
    </row>
    <row r="34970">
      <c r="A34970" s="39"/>
      <c r="E34970" s="40" t="s">
        <v>11404</v>
      </c>
      <c r="F34970" s="40" t="s">
        <v>11404</v>
      </c>
      <c r="G34970" s="40" t="s">
        <v>11404</v>
      </c>
      <c r="H34970" s="40" t="s">
        <v>11404</v>
      </c>
    </row>
    <row r="34971">
      <c r="A34971" s="39"/>
      <c r="E34971" s="40" t="s">
        <v>11404</v>
      </c>
      <c r="F34971" s="40" t="s">
        <v>11404</v>
      </c>
      <c r="G34971" s="40" t="s">
        <v>11404</v>
      </c>
      <c r="H34971" s="40" t="s">
        <v>11404</v>
      </c>
    </row>
    <row r="34972">
      <c r="A34972" s="39"/>
      <c r="E34972" s="40" t="s">
        <v>11404</v>
      </c>
      <c r="F34972" s="40" t="s">
        <v>11404</v>
      </c>
      <c r="G34972" s="40" t="s">
        <v>11404</v>
      </c>
      <c r="H34972" s="40" t="s">
        <v>11404</v>
      </c>
    </row>
    <row r="34973">
      <c r="A34973" s="39"/>
      <c r="E34973" s="40" t="s">
        <v>11404</v>
      </c>
      <c r="F34973" s="40" t="s">
        <v>11404</v>
      </c>
      <c r="G34973" s="40" t="s">
        <v>11404</v>
      </c>
      <c r="H34973" s="40" t="s">
        <v>11404</v>
      </c>
    </row>
    <row r="34974">
      <c r="A34974" s="39"/>
      <c r="E34974" s="40" t="s">
        <v>11404</v>
      </c>
      <c r="F34974" s="40" t="s">
        <v>11404</v>
      </c>
      <c r="G34974" s="40" t="s">
        <v>11404</v>
      </c>
      <c r="H34974" s="40" t="s">
        <v>11404</v>
      </c>
    </row>
    <row r="34975">
      <c r="A34975" s="39"/>
      <c r="E34975" s="40" t="s">
        <v>11404</v>
      </c>
      <c r="F34975" s="40" t="s">
        <v>11404</v>
      </c>
      <c r="G34975" s="40" t="s">
        <v>11404</v>
      </c>
      <c r="H34975" s="40" t="s">
        <v>11404</v>
      </c>
    </row>
    <row r="34976">
      <c r="A34976" s="39"/>
      <c r="E34976" s="40" t="s">
        <v>11404</v>
      </c>
      <c r="F34976" s="40" t="s">
        <v>11404</v>
      </c>
      <c r="G34976" s="40" t="s">
        <v>11404</v>
      </c>
      <c r="H34976" s="40" t="s">
        <v>11404</v>
      </c>
    </row>
    <row r="34977">
      <c r="A34977" s="39"/>
      <c r="E34977" s="40" t="s">
        <v>11404</v>
      </c>
      <c r="F34977" s="40" t="s">
        <v>11404</v>
      </c>
      <c r="G34977" s="40" t="s">
        <v>11404</v>
      </c>
      <c r="H34977" s="40" t="s">
        <v>11404</v>
      </c>
    </row>
    <row r="34978">
      <c r="A34978" s="39"/>
      <c r="E34978" s="40" t="s">
        <v>11404</v>
      </c>
      <c r="F34978" s="40" t="s">
        <v>11404</v>
      </c>
      <c r="G34978" s="40" t="s">
        <v>11404</v>
      </c>
      <c r="H34978" s="40" t="s">
        <v>11404</v>
      </c>
    </row>
    <row r="34979">
      <c r="A34979" s="39"/>
      <c r="E34979" s="40" t="s">
        <v>11404</v>
      </c>
      <c r="F34979" s="40" t="s">
        <v>11404</v>
      </c>
      <c r="G34979" s="40" t="s">
        <v>11404</v>
      </c>
      <c r="H34979" s="40" t="s">
        <v>11404</v>
      </c>
    </row>
    <row r="34980">
      <c r="A34980" s="39"/>
      <c r="E34980" s="40" t="s">
        <v>11404</v>
      </c>
      <c r="F34980" s="40" t="s">
        <v>11404</v>
      </c>
      <c r="G34980" s="40" t="s">
        <v>11404</v>
      </c>
      <c r="H34980" s="40" t="s">
        <v>11404</v>
      </c>
    </row>
    <row r="34981">
      <c r="A34981" s="39"/>
      <c r="E34981" s="40" t="s">
        <v>11404</v>
      </c>
      <c r="F34981" s="40" t="s">
        <v>11404</v>
      </c>
      <c r="G34981" s="40" t="s">
        <v>11404</v>
      </c>
      <c r="H34981" s="40" t="s">
        <v>11404</v>
      </c>
    </row>
    <row r="34982">
      <c r="A34982" s="39"/>
      <c r="E34982" s="40" t="s">
        <v>11404</v>
      </c>
      <c r="F34982" s="40" t="s">
        <v>11404</v>
      </c>
      <c r="G34982" s="40" t="s">
        <v>11404</v>
      </c>
      <c r="H34982" s="40" t="s">
        <v>11404</v>
      </c>
    </row>
    <row r="34983">
      <c r="A34983" s="39"/>
      <c r="E34983" s="40" t="s">
        <v>11404</v>
      </c>
      <c r="F34983" s="40" t="s">
        <v>11404</v>
      </c>
      <c r="G34983" s="40" t="s">
        <v>11404</v>
      </c>
      <c r="H34983" s="40" t="s">
        <v>11404</v>
      </c>
    </row>
    <row r="34984">
      <c r="A34984" s="39"/>
      <c r="E34984" s="40" t="s">
        <v>11404</v>
      </c>
      <c r="F34984" s="40" t="s">
        <v>11404</v>
      </c>
      <c r="G34984" s="40" t="s">
        <v>11404</v>
      </c>
      <c r="H34984" s="40" t="s">
        <v>11404</v>
      </c>
    </row>
    <row r="34985">
      <c r="A34985" s="39"/>
      <c r="E34985" s="40" t="s">
        <v>11404</v>
      </c>
      <c r="F34985" s="40" t="s">
        <v>11404</v>
      </c>
      <c r="G34985" s="40" t="s">
        <v>11404</v>
      </c>
      <c r="H34985" s="40" t="s">
        <v>11404</v>
      </c>
    </row>
    <row r="34986">
      <c r="A34986" s="39"/>
      <c r="E34986" s="40" t="s">
        <v>11404</v>
      </c>
      <c r="F34986" s="40" t="s">
        <v>11404</v>
      </c>
      <c r="G34986" s="40" t="s">
        <v>11404</v>
      </c>
      <c r="H34986" s="40" t="s">
        <v>11404</v>
      </c>
    </row>
    <row r="34987">
      <c r="A34987" s="39"/>
      <c r="E34987" s="40" t="s">
        <v>11404</v>
      </c>
      <c r="F34987" s="40" t="s">
        <v>11404</v>
      </c>
      <c r="G34987" s="40" t="s">
        <v>11404</v>
      </c>
      <c r="H34987" s="40" t="s">
        <v>11404</v>
      </c>
    </row>
    <row r="34988">
      <c r="A34988" s="39"/>
      <c r="E34988" s="40" t="s">
        <v>11404</v>
      </c>
      <c r="F34988" s="40" t="s">
        <v>11404</v>
      </c>
      <c r="G34988" s="40" t="s">
        <v>11404</v>
      </c>
      <c r="H34988" s="40" t="s">
        <v>11404</v>
      </c>
    </row>
    <row r="34989">
      <c r="A34989" s="39"/>
      <c r="E34989" s="40" t="s">
        <v>11404</v>
      </c>
      <c r="F34989" s="40" t="s">
        <v>11404</v>
      </c>
      <c r="G34989" s="40" t="s">
        <v>11404</v>
      </c>
      <c r="H34989" s="40" t="s">
        <v>11404</v>
      </c>
    </row>
    <row r="34990">
      <c r="A34990" s="39"/>
      <c r="E34990" s="40" t="s">
        <v>11404</v>
      </c>
      <c r="F34990" s="40" t="s">
        <v>11404</v>
      </c>
      <c r="G34990" s="40" t="s">
        <v>11404</v>
      </c>
      <c r="H34990" s="40" t="s">
        <v>11404</v>
      </c>
    </row>
    <row r="34991">
      <c r="A34991" s="39"/>
      <c r="E34991" s="40" t="s">
        <v>11404</v>
      </c>
      <c r="F34991" s="40" t="s">
        <v>11404</v>
      </c>
      <c r="G34991" s="40" t="s">
        <v>11404</v>
      </c>
      <c r="H34991" s="40" t="s">
        <v>11404</v>
      </c>
    </row>
    <row r="34992">
      <c r="A34992" s="39"/>
      <c r="E34992" s="40" t="s">
        <v>11404</v>
      </c>
      <c r="F34992" s="40" t="s">
        <v>11404</v>
      </c>
      <c r="G34992" s="40" t="s">
        <v>11404</v>
      </c>
      <c r="H34992" s="40" t="s">
        <v>11404</v>
      </c>
    </row>
    <row r="34993">
      <c r="A34993" s="39"/>
      <c r="E34993" s="40" t="s">
        <v>11404</v>
      </c>
      <c r="F34993" s="40" t="s">
        <v>11404</v>
      </c>
      <c r="G34993" s="40" t="s">
        <v>11404</v>
      </c>
      <c r="H34993" s="40" t="s">
        <v>11404</v>
      </c>
    </row>
    <row r="34994">
      <c r="A34994" s="39"/>
      <c r="E34994" s="40" t="s">
        <v>11404</v>
      </c>
      <c r="F34994" s="40" t="s">
        <v>11404</v>
      </c>
      <c r="G34994" s="40" t="s">
        <v>11404</v>
      </c>
      <c r="H34994" s="40" t="s">
        <v>11404</v>
      </c>
    </row>
    <row r="34995">
      <c r="A34995" s="39"/>
      <c r="E34995" s="40" t="s">
        <v>11404</v>
      </c>
      <c r="F34995" s="40" t="s">
        <v>11404</v>
      </c>
      <c r="G34995" s="40" t="s">
        <v>11404</v>
      </c>
      <c r="H34995" s="40" t="s">
        <v>11404</v>
      </c>
    </row>
    <row r="34996">
      <c r="A34996" s="39"/>
      <c r="E34996" s="40" t="s">
        <v>11404</v>
      </c>
      <c r="F34996" s="40" t="s">
        <v>11404</v>
      </c>
      <c r="G34996" s="40" t="s">
        <v>11404</v>
      </c>
      <c r="H34996" s="40" t="s">
        <v>11404</v>
      </c>
    </row>
    <row r="34997">
      <c r="A34997" s="39"/>
      <c r="E34997" s="40" t="s">
        <v>11404</v>
      </c>
      <c r="F34997" s="40" t="s">
        <v>11404</v>
      </c>
      <c r="G34997" s="40" t="s">
        <v>11404</v>
      </c>
      <c r="H34997" s="40" t="s">
        <v>11404</v>
      </c>
    </row>
    <row r="34998">
      <c r="A34998" s="39"/>
      <c r="E34998" s="40" t="s">
        <v>11404</v>
      </c>
      <c r="F34998" s="40" t="s">
        <v>11404</v>
      </c>
      <c r="G34998" s="40" t="s">
        <v>11404</v>
      </c>
      <c r="H34998" s="40" t="s">
        <v>11404</v>
      </c>
    </row>
    <row r="34999">
      <c r="A34999" s="39"/>
      <c r="E34999" s="40" t="s">
        <v>11404</v>
      </c>
      <c r="F34999" s="40" t="s">
        <v>11404</v>
      </c>
      <c r="G34999" s="40" t="s">
        <v>11404</v>
      </c>
      <c r="H34999" s="40" t="s">
        <v>11404</v>
      </c>
    </row>
    <row r="35000">
      <c r="A35000" s="39"/>
      <c r="E35000" s="40" t="s">
        <v>11404</v>
      </c>
      <c r="F35000" s="40" t="s">
        <v>11404</v>
      </c>
      <c r="G35000" s="40" t="s">
        <v>11404</v>
      </c>
      <c r="H35000" s="40" t="s">
        <v>11404</v>
      </c>
    </row>
    <row r="35001">
      <c r="A35001" s="39"/>
      <c r="E35001" s="40" t="s">
        <v>11404</v>
      </c>
      <c r="F35001" s="40" t="s">
        <v>11404</v>
      </c>
      <c r="G35001" s="40" t="s">
        <v>11404</v>
      </c>
      <c r="H35001" s="40" t="s">
        <v>11404</v>
      </c>
    </row>
    <row r="35002">
      <c r="A35002" s="39"/>
      <c r="E35002" s="40" t="s">
        <v>11404</v>
      </c>
      <c r="F35002" s="40" t="s">
        <v>11404</v>
      </c>
      <c r="G35002" s="40" t="s">
        <v>11404</v>
      </c>
      <c r="H35002" s="40" t="s">
        <v>11404</v>
      </c>
    </row>
    <row r="35003">
      <c r="A35003" s="39"/>
      <c r="E35003" s="40" t="s">
        <v>11404</v>
      </c>
      <c r="F35003" s="40" t="s">
        <v>11404</v>
      </c>
      <c r="G35003" s="40" t="s">
        <v>11404</v>
      </c>
      <c r="H35003" s="40" t="s">
        <v>11404</v>
      </c>
    </row>
    <row r="35004">
      <c r="A35004" s="39"/>
      <c r="E35004" s="40" t="s">
        <v>11404</v>
      </c>
      <c r="F35004" s="40" t="s">
        <v>11404</v>
      </c>
      <c r="G35004" s="40" t="s">
        <v>11404</v>
      </c>
      <c r="H35004" s="40" t="s">
        <v>11404</v>
      </c>
    </row>
    <row r="35005">
      <c r="A35005" s="39"/>
      <c r="E35005" s="40" t="s">
        <v>11404</v>
      </c>
      <c r="F35005" s="40" t="s">
        <v>11404</v>
      </c>
      <c r="G35005" s="40" t="s">
        <v>11404</v>
      </c>
      <c r="H35005" s="40" t="s">
        <v>11404</v>
      </c>
    </row>
    <row r="35006">
      <c r="A35006" s="39"/>
      <c r="E35006" s="40" t="s">
        <v>11404</v>
      </c>
      <c r="F35006" s="40" t="s">
        <v>11404</v>
      </c>
      <c r="G35006" s="40" t="s">
        <v>11404</v>
      </c>
      <c r="H35006" s="40" t="s">
        <v>11404</v>
      </c>
    </row>
    <row r="35007">
      <c r="A35007" s="39"/>
      <c r="E35007" s="40" t="s">
        <v>11404</v>
      </c>
      <c r="F35007" s="40" t="s">
        <v>11404</v>
      </c>
      <c r="G35007" s="40" t="s">
        <v>11404</v>
      </c>
      <c r="H35007" s="40" t="s">
        <v>11404</v>
      </c>
    </row>
    <row r="35008">
      <c r="A35008" s="39"/>
      <c r="E35008" s="40" t="s">
        <v>11404</v>
      </c>
      <c r="F35008" s="40" t="s">
        <v>11404</v>
      </c>
      <c r="G35008" s="40" t="s">
        <v>11404</v>
      </c>
      <c r="H35008" s="40" t="s">
        <v>11404</v>
      </c>
    </row>
    <row r="35009">
      <c r="A35009" s="39"/>
      <c r="E35009" s="40" t="s">
        <v>11404</v>
      </c>
      <c r="F35009" s="40" t="s">
        <v>11404</v>
      </c>
      <c r="G35009" s="40" t="s">
        <v>11404</v>
      </c>
      <c r="H35009" s="40" t="s">
        <v>11404</v>
      </c>
    </row>
    <row r="35010">
      <c r="A35010" s="39"/>
      <c r="E35010" s="40" t="s">
        <v>11404</v>
      </c>
      <c r="F35010" s="40" t="s">
        <v>11404</v>
      </c>
      <c r="G35010" s="40" t="s">
        <v>11404</v>
      </c>
      <c r="H35010" s="40" t="s">
        <v>11404</v>
      </c>
    </row>
    <row r="35011">
      <c r="A35011" s="39"/>
      <c r="E35011" s="40" t="s">
        <v>11404</v>
      </c>
      <c r="F35011" s="40" t="s">
        <v>11404</v>
      </c>
      <c r="G35011" s="40" t="s">
        <v>11404</v>
      </c>
      <c r="H35011" s="40" t="s">
        <v>11404</v>
      </c>
    </row>
    <row r="35012">
      <c r="A35012" s="39"/>
      <c r="E35012" s="40" t="s">
        <v>11404</v>
      </c>
      <c r="F35012" s="40" t="s">
        <v>11404</v>
      </c>
      <c r="G35012" s="40" t="s">
        <v>11404</v>
      </c>
      <c r="H35012" s="40" t="s">
        <v>11404</v>
      </c>
    </row>
    <row r="35013">
      <c r="A35013" s="39"/>
      <c r="E35013" s="40" t="s">
        <v>11404</v>
      </c>
      <c r="F35013" s="40" t="s">
        <v>11404</v>
      </c>
      <c r="G35013" s="40" t="s">
        <v>11404</v>
      </c>
      <c r="H35013" s="40" t="s">
        <v>11404</v>
      </c>
    </row>
    <row r="35014">
      <c r="A35014" s="39"/>
      <c r="E35014" s="40" t="s">
        <v>11404</v>
      </c>
      <c r="F35014" s="40" t="s">
        <v>11404</v>
      </c>
      <c r="G35014" s="40" t="s">
        <v>11404</v>
      </c>
      <c r="H35014" s="40" t="s">
        <v>11404</v>
      </c>
    </row>
    <row r="35015">
      <c r="A35015" s="39"/>
      <c r="E35015" s="40" t="s">
        <v>11404</v>
      </c>
      <c r="F35015" s="40" t="s">
        <v>11404</v>
      </c>
      <c r="G35015" s="40" t="s">
        <v>11404</v>
      </c>
      <c r="H35015" s="40" t="s">
        <v>11404</v>
      </c>
    </row>
    <row r="35016">
      <c r="A35016" s="39"/>
      <c r="E35016" s="40" t="s">
        <v>11404</v>
      </c>
      <c r="F35016" s="40" t="s">
        <v>11404</v>
      </c>
      <c r="G35016" s="40" t="s">
        <v>11404</v>
      </c>
      <c r="H35016" s="40" t="s">
        <v>11404</v>
      </c>
    </row>
    <row r="35017">
      <c r="A35017" s="39"/>
      <c r="E35017" s="40" t="s">
        <v>11404</v>
      </c>
      <c r="F35017" s="40" t="s">
        <v>11404</v>
      </c>
      <c r="G35017" s="40" t="s">
        <v>11404</v>
      </c>
      <c r="H35017" s="40" t="s">
        <v>11404</v>
      </c>
    </row>
    <row r="35018">
      <c r="A35018" s="39"/>
      <c r="E35018" s="40" t="s">
        <v>11404</v>
      </c>
      <c r="F35018" s="40" t="s">
        <v>11404</v>
      </c>
      <c r="G35018" s="40" t="s">
        <v>11404</v>
      </c>
      <c r="H35018" s="40" t="s">
        <v>11404</v>
      </c>
    </row>
    <row r="35019">
      <c r="A35019" s="39"/>
      <c r="E35019" s="40" t="s">
        <v>11404</v>
      </c>
      <c r="F35019" s="40" t="s">
        <v>11404</v>
      </c>
      <c r="G35019" s="40" t="s">
        <v>11404</v>
      </c>
      <c r="H35019" s="40" t="s">
        <v>11404</v>
      </c>
    </row>
    <row r="35020">
      <c r="A35020" s="39"/>
      <c r="E35020" s="40" t="s">
        <v>11404</v>
      </c>
      <c r="F35020" s="40" t="s">
        <v>11404</v>
      </c>
      <c r="G35020" s="40" t="s">
        <v>11404</v>
      </c>
      <c r="H35020" s="40" t="s">
        <v>11404</v>
      </c>
    </row>
    <row r="35021">
      <c r="A35021" s="39"/>
      <c r="E35021" s="40" t="s">
        <v>11404</v>
      </c>
      <c r="F35021" s="40" t="s">
        <v>11404</v>
      </c>
      <c r="G35021" s="40" t="s">
        <v>11404</v>
      </c>
      <c r="H35021" s="40" t="s">
        <v>11404</v>
      </c>
    </row>
    <row r="35022">
      <c r="A35022" s="39"/>
      <c r="E35022" s="40" t="s">
        <v>11404</v>
      </c>
      <c r="F35022" s="40" t="s">
        <v>11404</v>
      </c>
      <c r="G35022" s="40" t="s">
        <v>11404</v>
      </c>
      <c r="H35022" s="40" t="s">
        <v>11404</v>
      </c>
    </row>
    <row r="35023">
      <c r="A35023" s="39"/>
      <c r="E35023" s="40" t="s">
        <v>11404</v>
      </c>
      <c r="F35023" s="40" t="s">
        <v>11404</v>
      </c>
      <c r="G35023" s="40" t="s">
        <v>11404</v>
      </c>
      <c r="H35023" s="40" t="s">
        <v>11404</v>
      </c>
    </row>
    <row r="35024">
      <c r="A35024" s="39"/>
      <c r="E35024" s="40" t="s">
        <v>11404</v>
      </c>
      <c r="F35024" s="40" t="s">
        <v>11404</v>
      </c>
      <c r="G35024" s="40" t="s">
        <v>11404</v>
      </c>
      <c r="H35024" s="40" t="s">
        <v>11404</v>
      </c>
    </row>
    <row r="35025">
      <c r="A35025" s="39"/>
      <c r="E35025" s="40" t="s">
        <v>11404</v>
      </c>
      <c r="F35025" s="40" t="s">
        <v>11404</v>
      </c>
      <c r="G35025" s="40" t="s">
        <v>11404</v>
      </c>
      <c r="H35025" s="40" t="s">
        <v>11404</v>
      </c>
    </row>
    <row r="35026">
      <c r="A35026" s="39"/>
      <c r="E35026" s="40" t="s">
        <v>11404</v>
      </c>
      <c r="F35026" s="40" t="s">
        <v>11404</v>
      </c>
      <c r="G35026" s="40" t="s">
        <v>11404</v>
      </c>
      <c r="H35026" s="40" t="s">
        <v>11404</v>
      </c>
    </row>
    <row r="35027">
      <c r="A35027" s="39"/>
      <c r="E35027" s="40" t="s">
        <v>11404</v>
      </c>
      <c r="F35027" s="40" t="s">
        <v>11404</v>
      </c>
      <c r="G35027" s="40" t="s">
        <v>11404</v>
      </c>
      <c r="H35027" s="40" t="s">
        <v>11404</v>
      </c>
    </row>
    <row r="35028">
      <c r="A35028" s="39"/>
      <c r="E35028" s="40" t="s">
        <v>11404</v>
      </c>
      <c r="F35028" s="40" t="s">
        <v>11404</v>
      </c>
      <c r="G35028" s="40" t="s">
        <v>11404</v>
      </c>
      <c r="H35028" s="40" t="s">
        <v>11404</v>
      </c>
    </row>
    <row r="35029">
      <c r="A35029" s="39"/>
      <c r="E35029" s="40" t="s">
        <v>11404</v>
      </c>
      <c r="F35029" s="40" t="s">
        <v>11404</v>
      </c>
      <c r="G35029" s="40" t="s">
        <v>11404</v>
      </c>
      <c r="H35029" s="40" t="s">
        <v>11404</v>
      </c>
    </row>
    <row r="35030">
      <c r="A35030" s="39"/>
      <c r="E35030" s="40" t="s">
        <v>11404</v>
      </c>
      <c r="F35030" s="40" t="s">
        <v>11404</v>
      </c>
      <c r="G35030" s="40" t="s">
        <v>11404</v>
      </c>
      <c r="H35030" s="40" t="s">
        <v>11404</v>
      </c>
    </row>
    <row r="35031">
      <c r="A35031" s="39"/>
      <c r="E35031" s="40" t="s">
        <v>11404</v>
      </c>
      <c r="F35031" s="40" t="s">
        <v>11404</v>
      </c>
      <c r="G35031" s="40" t="s">
        <v>11404</v>
      </c>
      <c r="H35031" s="40" t="s">
        <v>11404</v>
      </c>
    </row>
    <row r="35032">
      <c r="A35032" s="39"/>
      <c r="E35032" s="40" t="s">
        <v>11404</v>
      </c>
      <c r="F35032" s="40" t="s">
        <v>11404</v>
      </c>
      <c r="G35032" s="40" t="s">
        <v>11404</v>
      </c>
      <c r="H35032" s="40" t="s">
        <v>11404</v>
      </c>
    </row>
    <row r="35033">
      <c r="A35033" s="39"/>
      <c r="E35033" s="40" t="s">
        <v>11404</v>
      </c>
      <c r="F35033" s="40" t="s">
        <v>11404</v>
      </c>
      <c r="G35033" s="40" t="s">
        <v>11404</v>
      </c>
      <c r="H35033" s="40" t="s">
        <v>11404</v>
      </c>
    </row>
    <row r="35034">
      <c r="A35034" s="39"/>
      <c r="E35034" s="40" t="s">
        <v>11404</v>
      </c>
      <c r="F35034" s="40" t="s">
        <v>11404</v>
      </c>
      <c r="G35034" s="40" t="s">
        <v>11404</v>
      </c>
      <c r="H35034" s="40" t="s">
        <v>11404</v>
      </c>
    </row>
    <row r="35035">
      <c r="A35035" s="39"/>
      <c r="E35035" s="40" t="s">
        <v>11404</v>
      </c>
      <c r="F35035" s="40" t="s">
        <v>11404</v>
      </c>
      <c r="G35035" s="40" t="s">
        <v>11404</v>
      </c>
      <c r="H35035" s="40" t="s">
        <v>11404</v>
      </c>
    </row>
    <row r="35036">
      <c r="A35036" s="39"/>
      <c r="E35036" s="40" t="s">
        <v>11404</v>
      </c>
      <c r="F35036" s="40" t="s">
        <v>11404</v>
      </c>
      <c r="G35036" s="40" t="s">
        <v>11404</v>
      </c>
      <c r="H35036" s="40" t="s">
        <v>11404</v>
      </c>
    </row>
    <row r="35037">
      <c r="A35037" s="39"/>
      <c r="E35037" s="40" t="s">
        <v>11404</v>
      </c>
      <c r="F35037" s="40" t="s">
        <v>11404</v>
      </c>
      <c r="G35037" s="40" t="s">
        <v>11404</v>
      </c>
      <c r="H35037" s="40" t="s">
        <v>11404</v>
      </c>
    </row>
    <row r="35038">
      <c r="A35038" s="39"/>
      <c r="E35038" s="40" t="s">
        <v>11404</v>
      </c>
      <c r="F35038" s="40" t="s">
        <v>11404</v>
      </c>
      <c r="G35038" s="40" t="s">
        <v>11404</v>
      </c>
      <c r="H35038" s="40" t="s">
        <v>11404</v>
      </c>
    </row>
    <row r="35039">
      <c r="A35039" s="39"/>
      <c r="E35039" s="40" t="s">
        <v>11404</v>
      </c>
      <c r="F35039" s="40" t="s">
        <v>11404</v>
      </c>
      <c r="G35039" s="40" t="s">
        <v>11404</v>
      </c>
      <c r="H35039" s="40" t="s">
        <v>11404</v>
      </c>
    </row>
    <row r="35040">
      <c r="A35040" s="39"/>
      <c r="E35040" s="40" t="s">
        <v>11404</v>
      </c>
      <c r="F35040" s="40" t="s">
        <v>11404</v>
      </c>
      <c r="G35040" s="40" t="s">
        <v>11404</v>
      </c>
      <c r="H35040" s="40" t="s">
        <v>11404</v>
      </c>
    </row>
    <row r="35041">
      <c r="A35041" s="39"/>
      <c r="E35041" s="40" t="s">
        <v>11404</v>
      </c>
      <c r="F35041" s="40" t="s">
        <v>11404</v>
      </c>
      <c r="G35041" s="40" t="s">
        <v>11404</v>
      </c>
      <c r="H35041" s="40" t="s">
        <v>11404</v>
      </c>
    </row>
    <row r="35042">
      <c r="A35042" s="39"/>
      <c r="E35042" s="40" t="s">
        <v>11404</v>
      </c>
      <c r="F35042" s="40" t="s">
        <v>11404</v>
      </c>
      <c r="G35042" s="40" t="s">
        <v>11404</v>
      </c>
      <c r="H35042" s="40" t="s">
        <v>11404</v>
      </c>
    </row>
    <row r="35043">
      <c r="A35043" s="39"/>
      <c r="E35043" s="40" t="s">
        <v>11404</v>
      </c>
      <c r="F35043" s="40" t="s">
        <v>11404</v>
      </c>
      <c r="G35043" s="40" t="s">
        <v>11404</v>
      </c>
      <c r="H35043" s="40" t="s">
        <v>11404</v>
      </c>
    </row>
    <row r="35044">
      <c r="A35044" s="39"/>
      <c r="E35044" s="40" t="s">
        <v>11404</v>
      </c>
      <c r="F35044" s="40" t="s">
        <v>11404</v>
      </c>
      <c r="G35044" s="40" t="s">
        <v>11404</v>
      </c>
      <c r="H35044" s="40" t="s">
        <v>11404</v>
      </c>
    </row>
    <row r="35045">
      <c r="A35045" s="39"/>
      <c r="E35045" s="40" t="s">
        <v>11404</v>
      </c>
      <c r="F35045" s="40" t="s">
        <v>11404</v>
      </c>
      <c r="G35045" s="40" t="s">
        <v>11404</v>
      </c>
      <c r="H35045" s="40" t="s">
        <v>11404</v>
      </c>
    </row>
    <row r="35046">
      <c r="A35046" s="39"/>
      <c r="E35046" s="40" t="s">
        <v>11404</v>
      </c>
      <c r="F35046" s="40" t="s">
        <v>11404</v>
      </c>
      <c r="G35046" s="40" t="s">
        <v>11404</v>
      </c>
      <c r="H35046" s="40" t="s">
        <v>11404</v>
      </c>
    </row>
    <row r="35047">
      <c r="A35047" s="39"/>
      <c r="E35047" s="40" t="s">
        <v>11404</v>
      </c>
      <c r="F35047" s="40" t="s">
        <v>11404</v>
      </c>
      <c r="G35047" s="40" t="s">
        <v>11404</v>
      </c>
      <c r="H35047" s="40" t="s">
        <v>11404</v>
      </c>
    </row>
    <row r="35048">
      <c r="A35048" s="39"/>
      <c r="E35048" s="40" t="s">
        <v>11404</v>
      </c>
      <c r="F35048" s="40" t="s">
        <v>11404</v>
      </c>
      <c r="G35048" s="40" t="s">
        <v>11404</v>
      </c>
      <c r="H35048" s="40" t="s">
        <v>11404</v>
      </c>
    </row>
    <row r="35049">
      <c r="A35049" s="39"/>
      <c r="E35049" s="40" t="s">
        <v>11404</v>
      </c>
      <c r="F35049" s="40" t="s">
        <v>11404</v>
      </c>
      <c r="G35049" s="40" t="s">
        <v>11404</v>
      </c>
      <c r="H35049" s="40" t="s">
        <v>11404</v>
      </c>
    </row>
    <row r="35050">
      <c r="A35050" s="39"/>
      <c r="E35050" s="40" t="s">
        <v>11404</v>
      </c>
      <c r="F35050" s="40" t="s">
        <v>11404</v>
      </c>
      <c r="G35050" s="40" t="s">
        <v>11404</v>
      </c>
      <c r="H35050" s="40" t="s">
        <v>11404</v>
      </c>
    </row>
    <row r="35051">
      <c r="A35051" s="39"/>
      <c r="E35051" s="40" t="s">
        <v>11404</v>
      </c>
      <c r="F35051" s="40" t="s">
        <v>11404</v>
      </c>
      <c r="G35051" s="40" t="s">
        <v>11404</v>
      </c>
      <c r="H35051" s="40" t="s">
        <v>11404</v>
      </c>
    </row>
    <row r="35052">
      <c r="A35052" s="39"/>
      <c r="E35052" s="40" t="s">
        <v>11404</v>
      </c>
      <c r="F35052" s="40" t="s">
        <v>11404</v>
      </c>
      <c r="G35052" s="40" t="s">
        <v>11404</v>
      </c>
      <c r="H35052" s="40" t="s">
        <v>11404</v>
      </c>
    </row>
    <row r="35053">
      <c r="A35053" s="39"/>
      <c r="E35053" s="40" t="s">
        <v>11404</v>
      </c>
      <c r="F35053" s="40" t="s">
        <v>11404</v>
      </c>
      <c r="G35053" s="40" t="s">
        <v>11404</v>
      </c>
      <c r="H35053" s="40" t="s">
        <v>11404</v>
      </c>
    </row>
    <row r="35054">
      <c r="A35054" s="39"/>
      <c r="E35054" s="40" t="s">
        <v>11404</v>
      </c>
      <c r="F35054" s="40" t="s">
        <v>11404</v>
      </c>
      <c r="G35054" s="40" t="s">
        <v>11404</v>
      </c>
      <c r="H35054" s="40" t="s">
        <v>11404</v>
      </c>
    </row>
    <row r="35055">
      <c r="A35055" s="39"/>
      <c r="E35055" s="40" t="s">
        <v>11404</v>
      </c>
      <c r="F35055" s="40" t="s">
        <v>11404</v>
      </c>
      <c r="G35055" s="40" t="s">
        <v>11404</v>
      </c>
      <c r="H35055" s="40" t="s">
        <v>11404</v>
      </c>
    </row>
    <row r="35056">
      <c r="A35056" s="39"/>
      <c r="E35056" s="40" t="s">
        <v>11404</v>
      </c>
      <c r="F35056" s="40" t="s">
        <v>11404</v>
      </c>
      <c r="G35056" s="40" t="s">
        <v>11404</v>
      </c>
      <c r="H35056" s="40" t="s">
        <v>11404</v>
      </c>
    </row>
    <row r="35057">
      <c r="A35057" s="39"/>
      <c r="E35057" s="40" t="s">
        <v>11404</v>
      </c>
      <c r="F35057" s="40" t="s">
        <v>11404</v>
      </c>
      <c r="G35057" s="40" t="s">
        <v>11404</v>
      </c>
      <c r="H35057" s="40" t="s">
        <v>11404</v>
      </c>
    </row>
    <row r="35058">
      <c r="A35058" s="39"/>
      <c r="E35058" s="40" t="s">
        <v>11404</v>
      </c>
      <c r="F35058" s="40" t="s">
        <v>11404</v>
      </c>
      <c r="G35058" s="40" t="s">
        <v>11404</v>
      </c>
      <c r="H35058" s="40" t="s">
        <v>11404</v>
      </c>
    </row>
    <row r="35059">
      <c r="A35059" s="39"/>
      <c r="E35059" s="40" t="s">
        <v>11404</v>
      </c>
      <c r="F35059" s="40" t="s">
        <v>11404</v>
      </c>
      <c r="G35059" s="40" t="s">
        <v>11404</v>
      </c>
      <c r="H35059" s="40" t="s">
        <v>11404</v>
      </c>
    </row>
    <row r="35060">
      <c r="A35060" s="39"/>
      <c r="E35060" s="40" t="s">
        <v>11404</v>
      </c>
      <c r="F35060" s="40" t="s">
        <v>11404</v>
      </c>
      <c r="G35060" s="40" t="s">
        <v>11404</v>
      </c>
      <c r="H35060" s="40" t="s">
        <v>11404</v>
      </c>
    </row>
    <row r="35061">
      <c r="A35061" s="39"/>
      <c r="E35061" s="40" t="s">
        <v>11404</v>
      </c>
      <c r="F35061" s="40" t="s">
        <v>11404</v>
      </c>
      <c r="G35061" s="40" t="s">
        <v>11404</v>
      </c>
      <c r="H35061" s="40" t="s">
        <v>11404</v>
      </c>
    </row>
    <row r="35062">
      <c r="A35062" s="39"/>
      <c r="E35062" s="40" t="s">
        <v>11404</v>
      </c>
      <c r="F35062" s="40" t="s">
        <v>11404</v>
      </c>
      <c r="G35062" s="40" t="s">
        <v>11404</v>
      </c>
      <c r="H35062" s="40" t="s">
        <v>11404</v>
      </c>
    </row>
    <row r="35063">
      <c r="A35063" s="39"/>
      <c r="E35063" s="40" t="s">
        <v>11404</v>
      </c>
      <c r="F35063" s="40" t="s">
        <v>11404</v>
      </c>
      <c r="G35063" s="40" t="s">
        <v>11404</v>
      </c>
      <c r="H35063" s="40" t="s">
        <v>11404</v>
      </c>
    </row>
    <row r="35064">
      <c r="A35064" s="39"/>
      <c r="E35064" s="40" t="s">
        <v>11404</v>
      </c>
      <c r="F35064" s="40" t="s">
        <v>11404</v>
      </c>
      <c r="G35064" s="40" t="s">
        <v>11404</v>
      </c>
      <c r="H35064" s="40" t="s">
        <v>11404</v>
      </c>
    </row>
    <row r="35065">
      <c r="A35065" s="39"/>
      <c r="E35065" s="40" t="s">
        <v>11404</v>
      </c>
      <c r="F35065" s="40" t="s">
        <v>11404</v>
      </c>
      <c r="G35065" s="40" t="s">
        <v>11404</v>
      </c>
      <c r="H35065" s="40" t="s">
        <v>11404</v>
      </c>
    </row>
    <row r="35066">
      <c r="A35066" s="39"/>
      <c r="E35066" s="40" t="s">
        <v>11404</v>
      </c>
      <c r="F35066" s="40" t="s">
        <v>11404</v>
      </c>
      <c r="G35066" s="40" t="s">
        <v>11404</v>
      </c>
      <c r="H35066" s="40" t="s">
        <v>11404</v>
      </c>
    </row>
    <row r="35067">
      <c r="A35067" s="39"/>
      <c r="E35067" s="40" t="s">
        <v>11404</v>
      </c>
      <c r="F35067" s="40" t="s">
        <v>11404</v>
      </c>
      <c r="G35067" s="40" t="s">
        <v>11404</v>
      </c>
      <c r="H35067" s="40" t="s">
        <v>11404</v>
      </c>
    </row>
    <row r="35068">
      <c r="A35068" s="39"/>
      <c r="E35068" s="40" t="s">
        <v>11404</v>
      </c>
      <c r="F35068" s="40" t="s">
        <v>11404</v>
      </c>
      <c r="G35068" s="40" t="s">
        <v>11404</v>
      </c>
      <c r="H35068" s="40" t="s">
        <v>11404</v>
      </c>
    </row>
    <row r="35069">
      <c r="A35069" s="39"/>
      <c r="E35069" s="40" t="s">
        <v>11404</v>
      </c>
      <c r="F35069" s="40" t="s">
        <v>11404</v>
      </c>
      <c r="G35069" s="40" t="s">
        <v>11404</v>
      </c>
      <c r="H35069" s="40" t="s">
        <v>11404</v>
      </c>
    </row>
    <row r="35070">
      <c r="A35070" s="39"/>
      <c r="E35070" s="40" t="s">
        <v>11404</v>
      </c>
      <c r="F35070" s="40" t="s">
        <v>11404</v>
      </c>
      <c r="G35070" s="40" t="s">
        <v>11404</v>
      </c>
      <c r="H35070" s="40" t="s">
        <v>11404</v>
      </c>
    </row>
    <row r="35071">
      <c r="A35071" s="39"/>
      <c r="E35071" s="40" t="s">
        <v>11404</v>
      </c>
      <c r="F35071" s="40" t="s">
        <v>11404</v>
      </c>
      <c r="G35071" s="40" t="s">
        <v>11404</v>
      </c>
      <c r="H35071" s="40" t="s">
        <v>11404</v>
      </c>
    </row>
    <row r="35072">
      <c r="A35072" s="39"/>
      <c r="E35072" s="40" t="s">
        <v>11404</v>
      </c>
      <c r="F35072" s="40" t="s">
        <v>11404</v>
      </c>
      <c r="G35072" s="40" t="s">
        <v>11404</v>
      </c>
      <c r="H35072" s="40" t="s">
        <v>11404</v>
      </c>
    </row>
    <row r="35073">
      <c r="A35073" s="39"/>
      <c r="E35073" s="40" t="s">
        <v>11404</v>
      </c>
      <c r="F35073" s="40" t="s">
        <v>11404</v>
      </c>
      <c r="G35073" s="40" t="s">
        <v>11404</v>
      </c>
      <c r="H35073" s="40" t="s">
        <v>11404</v>
      </c>
    </row>
    <row r="35074">
      <c r="A35074" s="39"/>
      <c r="E35074" s="40" t="s">
        <v>11404</v>
      </c>
      <c r="F35074" s="40" t="s">
        <v>11404</v>
      </c>
      <c r="G35074" s="40" t="s">
        <v>11404</v>
      </c>
      <c r="H35074" s="40" t="s">
        <v>11404</v>
      </c>
    </row>
    <row r="35075">
      <c r="A35075" s="39"/>
      <c r="E35075" s="40" t="s">
        <v>11404</v>
      </c>
      <c r="F35075" s="40" t="s">
        <v>11404</v>
      </c>
      <c r="G35075" s="40" t="s">
        <v>11404</v>
      </c>
      <c r="H35075" s="40" t="s">
        <v>11404</v>
      </c>
    </row>
    <row r="35076">
      <c r="A35076" s="39"/>
      <c r="E35076" s="40" t="s">
        <v>11404</v>
      </c>
      <c r="F35076" s="40" t="s">
        <v>11404</v>
      </c>
      <c r="G35076" s="40" t="s">
        <v>11404</v>
      </c>
      <c r="H35076" s="40" t="s">
        <v>11404</v>
      </c>
    </row>
    <row r="35077">
      <c r="A35077" s="39"/>
      <c r="E35077" s="40" t="s">
        <v>11404</v>
      </c>
      <c r="F35077" s="40" t="s">
        <v>11404</v>
      </c>
      <c r="G35077" s="40" t="s">
        <v>11404</v>
      </c>
      <c r="H35077" s="40" t="s">
        <v>11404</v>
      </c>
    </row>
    <row r="35078">
      <c r="A35078" s="39"/>
      <c r="E35078" s="40" t="s">
        <v>11404</v>
      </c>
      <c r="F35078" s="40" t="s">
        <v>11404</v>
      </c>
      <c r="G35078" s="40" t="s">
        <v>11404</v>
      </c>
      <c r="H35078" s="40" t="s">
        <v>11404</v>
      </c>
    </row>
    <row r="35079">
      <c r="A35079" s="39"/>
      <c r="E35079" s="40" t="s">
        <v>11404</v>
      </c>
      <c r="F35079" s="40" t="s">
        <v>11404</v>
      </c>
      <c r="G35079" s="40" t="s">
        <v>11404</v>
      </c>
      <c r="H35079" s="40" t="s">
        <v>11404</v>
      </c>
    </row>
    <row r="35080">
      <c r="A35080" s="39"/>
      <c r="E35080" s="40" t="s">
        <v>11404</v>
      </c>
      <c r="F35080" s="40" t="s">
        <v>11404</v>
      </c>
      <c r="G35080" s="40" t="s">
        <v>11404</v>
      </c>
      <c r="H35080" s="40" t="s">
        <v>11404</v>
      </c>
    </row>
    <row r="35081">
      <c r="A35081" s="39"/>
      <c r="E35081" s="40" t="s">
        <v>11404</v>
      </c>
      <c r="F35081" s="40" t="s">
        <v>11404</v>
      </c>
      <c r="G35081" s="40" t="s">
        <v>11404</v>
      </c>
      <c r="H35081" s="40" t="s">
        <v>11404</v>
      </c>
    </row>
    <row r="35082">
      <c r="A35082" s="39"/>
      <c r="E35082" s="40" t="s">
        <v>11404</v>
      </c>
      <c r="F35082" s="40" t="s">
        <v>11404</v>
      </c>
      <c r="G35082" s="40" t="s">
        <v>11404</v>
      </c>
      <c r="H35082" s="40" t="s">
        <v>11404</v>
      </c>
    </row>
    <row r="35083">
      <c r="A35083" s="39"/>
      <c r="E35083" s="40" t="s">
        <v>11404</v>
      </c>
      <c r="F35083" s="40" t="s">
        <v>11404</v>
      </c>
      <c r="G35083" s="40" t="s">
        <v>11404</v>
      </c>
      <c r="H35083" s="40" t="s">
        <v>11404</v>
      </c>
    </row>
    <row r="35084">
      <c r="A35084" s="39"/>
      <c r="E35084" s="40" t="s">
        <v>11404</v>
      </c>
      <c r="F35084" s="40" t="s">
        <v>11404</v>
      </c>
      <c r="G35084" s="40" t="s">
        <v>11404</v>
      </c>
      <c r="H35084" s="40" t="s">
        <v>11404</v>
      </c>
    </row>
    <row r="35085">
      <c r="A35085" s="39"/>
      <c r="E35085" s="40" t="s">
        <v>11404</v>
      </c>
      <c r="F35085" s="40" t="s">
        <v>11404</v>
      </c>
      <c r="G35085" s="40" t="s">
        <v>11404</v>
      </c>
      <c r="H35085" s="40" t="s">
        <v>11404</v>
      </c>
    </row>
    <row r="35086">
      <c r="A35086" s="39"/>
      <c r="E35086" s="40" t="s">
        <v>11404</v>
      </c>
      <c r="F35086" s="40" t="s">
        <v>11404</v>
      </c>
      <c r="G35086" s="40" t="s">
        <v>11404</v>
      </c>
      <c r="H35086" s="40" t="s">
        <v>11404</v>
      </c>
    </row>
    <row r="35087">
      <c r="A35087" s="39"/>
      <c r="E35087" s="40" t="s">
        <v>11404</v>
      </c>
      <c r="F35087" s="40" t="s">
        <v>11404</v>
      </c>
      <c r="G35087" s="40" t="s">
        <v>11404</v>
      </c>
      <c r="H35087" s="40" t="s">
        <v>11404</v>
      </c>
    </row>
    <row r="35088">
      <c r="A35088" s="39"/>
      <c r="E35088" s="40" t="s">
        <v>11404</v>
      </c>
      <c r="F35088" s="40" t="s">
        <v>11404</v>
      </c>
      <c r="G35088" s="40" t="s">
        <v>11404</v>
      </c>
      <c r="H35088" s="40" t="s">
        <v>11404</v>
      </c>
    </row>
    <row r="35089">
      <c r="A35089" s="39"/>
      <c r="E35089" s="40" t="s">
        <v>11404</v>
      </c>
      <c r="F35089" s="40" t="s">
        <v>11404</v>
      </c>
      <c r="G35089" s="40" t="s">
        <v>11404</v>
      </c>
      <c r="H35089" s="40" t="s">
        <v>11404</v>
      </c>
    </row>
    <row r="35090">
      <c r="A35090" s="39"/>
      <c r="E35090" s="40" t="s">
        <v>11404</v>
      </c>
      <c r="F35090" s="40" t="s">
        <v>11404</v>
      </c>
      <c r="G35090" s="40" t="s">
        <v>11404</v>
      </c>
      <c r="H35090" s="40" t="s">
        <v>11404</v>
      </c>
    </row>
    <row r="35091">
      <c r="A35091" s="39"/>
      <c r="E35091" s="40" t="s">
        <v>11404</v>
      </c>
      <c r="F35091" s="40" t="s">
        <v>11404</v>
      </c>
      <c r="G35091" s="40" t="s">
        <v>11404</v>
      </c>
      <c r="H35091" s="40" t="s">
        <v>11404</v>
      </c>
    </row>
    <row r="35092">
      <c r="A35092" s="39"/>
      <c r="E35092" s="40" t="s">
        <v>11404</v>
      </c>
      <c r="F35092" s="40" t="s">
        <v>11404</v>
      </c>
      <c r="G35092" s="40" t="s">
        <v>11404</v>
      </c>
      <c r="H35092" s="40" t="s">
        <v>11404</v>
      </c>
    </row>
    <row r="35093">
      <c r="A35093" s="39"/>
      <c r="E35093" s="40" t="s">
        <v>11404</v>
      </c>
      <c r="F35093" s="40" t="s">
        <v>11404</v>
      </c>
      <c r="G35093" s="40" t="s">
        <v>11404</v>
      </c>
      <c r="H35093" s="40" t="s">
        <v>11404</v>
      </c>
    </row>
    <row r="35094">
      <c r="A35094" s="39"/>
      <c r="E35094" s="40" t="s">
        <v>11404</v>
      </c>
      <c r="F35094" s="40" t="s">
        <v>11404</v>
      </c>
      <c r="G35094" s="40" t="s">
        <v>11404</v>
      </c>
      <c r="H35094" s="40" t="s">
        <v>11404</v>
      </c>
    </row>
    <row r="35095">
      <c r="A35095" s="39"/>
      <c r="E35095" s="40" t="s">
        <v>11404</v>
      </c>
      <c r="F35095" s="40" t="s">
        <v>11404</v>
      </c>
      <c r="G35095" s="40" t="s">
        <v>11404</v>
      </c>
      <c r="H35095" s="40" t="s">
        <v>11404</v>
      </c>
    </row>
    <row r="35096">
      <c r="A35096" s="39"/>
      <c r="E35096" s="40" t="s">
        <v>11404</v>
      </c>
      <c r="F35096" s="40" t="s">
        <v>11404</v>
      </c>
      <c r="G35096" s="40" t="s">
        <v>11404</v>
      </c>
      <c r="H35096" s="40" t="s">
        <v>11404</v>
      </c>
    </row>
    <row r="35097">
      <c r="A35097" s="39"/>
      <c r="E35097" s="40" t="s">
        <v>11404</v>
      </c>
      <c r="F35097" s="40" t="s">
        <v>11404</v>
      </c>
      <c r="G35097" s="40" t="s">
        <v>11404</v>
      </c>
      <c r="H35097" s="40" t="s">
        <v>11404</v>
      </c>
    </row>
    <row r="35098">
      <c r="A35098" s="39"/>
      <c r="E35098" s="40" t="s">
        <v>11404</v>
      </c>
      <c r="F35098" s="40" t="s">
        <v>11404</v>
      </c>
      <c r="G35098" s="40" t="s">
        <v>11404</v>
      </c>
      <c r="H35098" s="40" t="s">
        <v>11404</v>
      </c>
    </row>
    <row r="35099">
      <c r="A35099" s="39"/>
      <c r="E35099" s="40" t="s">
        <v>11404</v>
      </c>
      <c r="F35099" s="40" t="s">
        <v>11404</v>
      </c>
      <c r="G35099" s="40" t="s">
        <v>11404</v>
      </c>
      <c r="H35099" s="40" t="s">
        <v>11404</v>
      </c>
    </row>
    <row r="35100">
      <c r="A35100" s="39"/>
      <c r="E35100" s="40" t="s">
        <v>11404</v>
      </c>
      <c r="F35100" s="40" t="s">
        <v>11404</v>
      </c>
      <c r="G35100" s="40" t="s">
        <v>11404</v>
      </c>
      <c r="H35100" s="40" t="s">
        <v>11404</v>
      </c>
    </row>
    <row r="35101">
      <c r="A35101" s="39"/>
      <c r="E35101" s="40" t="s">
        <v>11404</v>
      </c>
      <c r="F35101" s="40" t="s">
        <v>11404</v>
      </c>
      <c r="G35101" s="40" t="s">
        <v>11404</v>
      </c>
      <c r="H35101" s="40" t="s">
        <v>11404</v>
      </c>
    </row>
    <row r="35102">
      <c r="A35102" s="39"/>
      <c r="E35102" s="40" t="s">
        <v>11404</v>
      </c>
      <c r="F35102" s="40" t="s">
        <v>11404</v>
      </c>
      <c r="G35102" s="40" t="s">
        <v>11404</v>
      </c>
      <c r="H35102" s="40" t="s">
        <v>11404</v>
      </c>
    </row>
    <row r="35103">
      <c r="A35103" s="39"/>
      <c r="E35103" s="40" t="s">
        <v>11404</v>
      </c>
      <c r="F35103" s="40" t="s">
        <v>11404</v>
      </c>
      <c r="G35103" s="40" t="s">
        <v>11404</v>
      </c>
      <c r="H35103" s="40" t="s">
        <v>11404</v>
      </c>
    </row>
    <row r="35104">
      <c r="A35104" s="39"/>
      <c r="E35104" s="40" t="s">
        <v>11404</v>
      </c>
      <c r="F35104" s="40" t="s">
        <v>11404</v>
      </c>
      <c r="G35104" s="40" t="s">
        <v>11404</v>
      </c>
      <c r="H35104" s="40" t="s">
        <v>11404</v>
      </c>
    </row>
    <row r="35105">
      <c r="A35105" s="39"/>
      <c r="E35105" s="40" t="s">
        <v>11404</v>
      </c>
      <c r="F35105" s="40" t="s">
        <v>11404</v>
      </c>
      <c r="G35105" s="40" t="s">
        <v>11404</v>
      </c>
      <c r="H35105" s="40" t="s">
        <v>11404</v>
      </c>
    </row>
    <row r="35106">
      <c r="A35106" s="39"/>
      <c r="E35106" s="40" t="s">
        <v>11404</v>
      </c>
      <c r="F35106" s="40" t="s">
        <v>11404</v>
      </c>
      <c r="G35106" s="40" t="s">
        <v>11404</v>
      </c>
      <c r="H35106" s="40" t="s">
        <v>11404</v>
      </c>
    </row>
    <row r="35107">
      <c r="A35107" s="39"/>
      <c r="E35107" s="40" t="s">
        <v>11404</v>
      </c>
      <c r="F35107" s="40" t="s">
        <v>11404</v>
      </c>
      <c r="G35107" s="40" t="s">
        <v>11404</v>
      </c>
      <c r="H35107" s="40" t="s">
        <v>11404</v>
      </c>
    </row>
    <row r="35108">
      <c r="A35108" s="39"/>
      <c r="E35108" s="40" t="s">
        <v>11404</v>
      </c>
      <c r="F35108" s="40" t="s">
        <v>11404</v>
      </c>
      <c r="G35108" s="40" t="s">
        <v>11404</v>
      </c>
      <c r="H35108" s="40" t="s">
        <v>11404</v>
      </c>
    </row>
    <row r="35109">
      <c r="A35109" s="39"/>
      <c r="E35109" s="40" t="s">
        <v>11404</v>
      </c>
      <c r="F35109" s="40" t="s">
        <v>11404</v>
      </c>
      <c r="G35109" s="40" t="s">
        <v>11404</v>
      </c>
      <c r="H35109" s="40" t="s">
        <v>11404</v>
      </c>
    </row>
    <row r="35110">
      <c r="A35110" s="39"/>
      <c r="E35110" s="40" t="s">
        <v>11404</v>
      </c>
      <c r="F35110" s="40" t="s">
        <v>11404</v>
      </c>
      <c r="G35110" s="40" t="s">
        <v>11404</v>
      </c>
      <c r="H35110" s="40" t="s">
        <v>11404</v>
      </c>
    </row>
    <row r="35111">
      <c r="A35111" s="39"/>
      <c r="E35111" s="40" t="s">
        <v>11404</v>
      </c>
      <c r="F35111" s="40" t="s">
        <v>11404</v>
      </c>
      <c r="G35111" s="40" t="s">
        <v>11404</v>
      </c>
      <c r="H35111" s="40" t="s">
        <v>11404</v>
      </c>
    </row>
    <row r="35112">
      <c r="A35112" s="39"/>
      <c r="E35112" s="40" t="s">
        <v>11404</v>
      </c>
      <c r="F35112" s="40" t="s">
        <v>11404</v>
      </c>
      <c r="G35112" s="40" t="s">
        <v>11404</v>
      </c>
      <c r="H35112" s="40" t="s">
        <v>11404</v>
      </c>
    </row>
    <row r="35113">
      <c r="A35113" s="39"/>
      <c r="E35113" s="40" t="s">
        <v>11404</v>
      </c>
      <c r="F35113" s="40" t="s">
        <v>11404</v>
      </c>
      <c r="G35113" s="40" t="s">
        <v>11404</v>
      </c>
      <c r="H35113" s="40" t="s">
        <v>11404</v>
      </c>
    </row>
    <row r="35114">
      <c r="A35114" s="39"/>
      <c r="E35114" s="40" t="s">
        <v>11404</v>
      </c>
      <c r="F35114" s="40" t="s">
        <v>11404</v>
      </c>
      <c r="G35114" s="40" t="s">
        <v>11404</v>
      </c>
      <c r="H35114" s="40" t="s">
        <v>11404</v>
      </c>
    </row>
    <row r="35115">
      <c r="A35115" s="39"/>
      <c r="E35115" s="40" t="s">
        <v>11404</v>
      </c>
      <c r="F35115" s="40" t="s">
        <v>11404</v>
      </c>
      <c r="G35115" s="40" t="s">
        <v>11404</v>
      </c>
      <c r="H35115" s="40" t="s">
        <v>11404</v>
      </c>
    </row>
    <row r="35116">
      <c r="A35116" s="39"/>
      <c r="E35116" s="40" t="s">
        <v>11404</v>
      </c>
      <c r="F35116" s="40" t="s">
        <v>11404</v>
      </c>
      <c r="G35116" s="40" t="s">
        <v>11404</v>
      </c>
      <c r="H35116" s="40" t="s">
        <v>11404</v>
      </c>
    </row>
    <row r="35117">
      <c r="A35117" s="39"/>
      <c r="E35117" s="40" t="s">
        <v>11404</v>
      </c>
      <c r="F35117" s="40" t="s">
        <v>11404</v>
      </c>
      <c r="G35117" s="40" t="s">
        <v>11404</v>
      </c>
      <c r="H35117" s="40" t="s">
        <v>11404</v>
      </c>
    </row>
    <row r="35118">
      <c r="A35118" s="39"/>
      <c r="E35118" s="40" t="s">
        <v>11404</v>
      </c>
      <c r="F35118" s="40" t="s">
        <v>11404</v>
      </c>
      <c r="G35118" s="40" t="s">
        <v>11404</v>
      </c>
      <c r="H35118" s="40" t="s">
        <v>11404</v>
      </c>
    </row>
    <row r="35119">
      <c r="A35119" s="39"/>
      <c r="E35119" s="40" t="s">
        <v>11404</v>
      </c>
      <c r="F35119" s="40" t="s">
        <v>11404</v>
      </c>
      <c r="G35119" s="40" t="s">
        <v>11404</v>
      </c>
      <c r="H35119" s="40" t="s">
        <v>11404</v>
      </c>
    </row>
    <row r="35120">
      <c r="A35120" s="39"/>
      <c r="E35120" s="40" t="s">
        <v>11404</v>
      </c>
      <c r="F35120" s="40" t="s">
        <v>11404</v>
      </c>
      <c r="G35120" s="40" t="s">
        <v>11404</v>
      </c>
      <c r="H35120" s="40" t="s">
        <v>11404</v>
      </c>
    </row>
    <row r="35121">
      <c r="A35121" s="39"/>
      <c r="E35121" s="40" t="s">
        <v>11404</v>
      </c>
      <c r="F35121" s="40" t="s">
        <v>11404</v>
      </c>
      <c r="G35121" s="40" t="s">
        <v>11404</v>
      </c>
      <c r="H35121" s="40" t="s">
        <v>11404</v>
      </c>
    </row>
    <row r="35122">
      <c r="A35122" s="39"/>
      <c r="E35122" s="40" t="s">
        <v>11404</v>
      </c>
      <c r="F35122" s="40" t="s">
        <v>11404</v>
      </c>
      <c r="G35122" s="40" t="s">
        <v>11404</v>
      </c>
      <c r="H35122" s="40" t="s">
        <v>11404</v>
      </c>
    </row>
    <row r="35123">
      <c r="A35123" s="39"/>
      <c r="E35123" s="40" t="s">
        <v>11404</v>
      </c>
      <c r="F35123" s="40" t="s">
        <v>11404</v>
      </c>
      <c r="G35123" s="40" t="s">
        <v>11404</v>
      </c>
      <c r="H35123" s="40" t="s">
        <v>11404</v>
      </c>
    </row>
    <row r="35124">
      <c r="A35124" s="39"/>
      <c r="E35124" s="40" t="s">
        <v>11404</v>
      </c>
      <c r="F35124" s="40" t="s">
        <v>11404</v>
      </c>
      <c r="G35124" s="40" t="s">
        <v>11404</v>
      </c>
      <c r="H35124" s="40" t="s">
        <v>11404</v>
      </c>
    </row>
    <row r="35125">
      <c r="A35125" s="39"/>
      <c r="E35125" s="40" t="s">
        <v>11404</v>
      </c>
      <c r="F35125" s="40" t="s">
        <v>11404</v>
      </c>
      <c r="G35125" s="40" t="s">
        <v>11404</v>
      </c>
      <c r="H35125" s="40" t="s">
        <v>11404</v>
      </c>
    </row>
    <row r="35126">
      <c r="A35126" s="39"/>
      <c r="E35126" s="40" t="s">
        <v>11404</v>
      </c>
      <c r="F35126" s="40" t="s">
        <v>11404</v>
      </c>
      <c r="G35126" s="40" t="s">
        <v>11404</v>
      </c>
      <c r="H35126" s="40" t="s">
        <v>11404</v>
      </c>
    </row>
    <row r="35127">
      <c r="A35127" s="39"/>
      <c r="E35127" s="40" t="s">
        <v>11404</v>
      </c>
      <c r="F35127" s="40" t="s">
        <v>11404</v>
      </c>
      <c r="G35127" s="40" t="s">
        <v>11404</v>
      </c>
      <c r="H35127" s="40" t="s">
        <v>11404</v>
      </c>
    </row>
    <row r="35128">
      <c r="A35128" s="39"/>
      <c r="E35128" s="40" t="s">
        <v>11404</v>
      </c>
      <c r="F35128" s="40" t="s">
        <v>11404</v>
      </c>
      <c r="G35128" s="40" t="s">
        <v>11404</v>
      </c>
      <c r="H35128" s="40" t="s">
        <v>11404</v>
      </c>
    </row>
    <row r="35129">
      <c r="A35129" s="39"/>
      <c r="E35129" s="40" t="s">
        <v>11404</v>
      </c>
      <c r="F35129" s="40" t="s">
        <v>11404</v>
      </c>
      <c r="G35129" s="40" t="s">
        <v>11404</v>
      </c>
      <c r="H35129" s="40" t="s">
        <v>11404</v>
      </c>
    </row>
    <row r="35130">
      <c r="A35130" s="39"/>
      <c r="E35130" s="40" t="s">
        <v>11404</v>
      </c>
      <c r="F35130" s="40" t="s">
        <v>11404</v>
      </c>
      <c r="G35130" s="40" t="s">
        <v>11404</v>
      </c>
      <c r="H35130" s="40" t="s">
        <v>11404</v>
      </c>
    </row>
    <row r="35131">
      <c r="A35131" s="39"/>
      <c r="E35131" s="40" t="s">
        <v>11404</v>
      </c>
      <c r="F35131" s="40" t="s">
        <v>11404</v>
      </c>
      <c r="G35131" s="40" t="s">
        <v>11404</v>
      </c>
      <c r="H35131" s="40" t="s">
        <v>11404</v>
      </c>
    </row>
    <row r="35132">
      <c r="A35132" s="39"/>
      <c r="E35132" s="40" t="s">
        <v>11404</v>
      </c>
      <c r="F35132" s="40" t="s">
        <v>11404</v>
      </c>
      <c r="G35132" s="40" t="s">
        <v>11404</v>
      </c>
      <c r="H35132" s="40" t="s">
        <v>11404</v>
      </c>
    </row>
    <row r="35133">
      <c r="A35133" s="39"/>
      <c r="E35133" s="40" t="s">
        <v>11404</v>
      </c>
      <c r="F35133" s="40" t="s">
        <v>11404</v>
      </c>
      <c r="G35133" s="40" t="s">
        <v>11404</v>
      </c>
      <c r="H35133" s="40" t="s">
        <v>11404</v>
      </c>
    </row>
    <row r="35134">
      <c r="A35134" s="39"/>
      <c r="E35134" s="40" t="s">
        <v>11404</v>
      </c>
      <c r="F35134" s="40" t="s">
        <v>11404</v>
      </c>
      <c r="G35134" s="40" t="s">
        <v>11404</v>
      </c>
      <c r="H35134" s="40" t="s">
        <v>11404</v>
      </c>
    </row>
    <row r="35135">
      <c r="A35135" s="39"/>
      <c r="E35135" s="40" t="s">
        <v>11404</v>
      </c>
      <c r="F35135" s="40" t="s">
        <v>11404</v>
      </c>
      <c r="G35135" s="40" t="s">
        <v>11404</v>
      </c>
      <c r="H35135" s="40" t="s">
        <v>11404</v>
      </c>
    </row>
    <row r="35136">
      <c r="A35136" s="39"/>
      <c r="E35136" s="40" t="s">
        <v>11404</v>
      </c>
      <c r="F35136" s="40" t="s">
        <v>11404</v>
      </c>
      <c r="G35136" s="40" t="s">
        <v>11404</v>
      </c>
      <c r="H35136" s="40" t="s">
        <v>11404</v>
      </c>
    </row>
    <row r="35137">
      <c r="A35137" s="39"/>
      <c r="E35137" s="40" t="s">
        <v>11404</v>
      </c>
      <c r="F35137" s="40" t="s">
        <v>11404</v>
      </c>
      <c r="G35137" s="40" t="s">
        <v>11404</v>
      </c>
      <c r="H35137" s="40" t="s">
        <v>11404</v>
      </c>
    </row>
    <row r="35138">
      <c r="A35138" s="39"/>
      <c r="E35138" s="40" t="s">
        <v>11404</v>
      </c>
      <c r="F35138" s="40" t="s">
        <v>11404</v>
      </c>
      <c r="G35138" s="40" t="s">
        <v>11404</v>
      </c>
      <c r="H35138" s="40" t="s">
        <v>11404</v>
      </c>
    </row>
    <row r="35139">
      <c r="A35139" s="39"/>
      <c r="E35139" s="40" t="s">
        <v>11404</v>
      </c>
      <c r="F35139" s="40" t="s">
        <v>11404</v>
      </c>
      <c r="G35139" s="40" t="s">
        <v>11404</v>
      </c>
      <c r="H35139" s="40" t="s">
        <v>11404</v>
      </c>
    </row>
    <row r="35140">
      <c r="A35140" s="39"/>
      <c r="E35140" s="40" t="s">
        <v>11404</v>
      </c>
      <c r="F35140" s="40" t="s">
        <v>11404</v>
      </c>
      <c r="G35140" s="40" t="s">
        <v>11404</v>
      </c>
      <c r="H35140" s="40" t="s">
        <v>11404</v>
      </c>
    </row>
    <row r="35141">
      <c r="A35141" s="39"/>
      <c r="E35141" s="40" t="s">
        <v>11404</v>
      </c>
      <c r="F35141" s="40" t="s">
        <v>11404</v>
      </c>
      <c r="G35141" s="40" t="s">
        <v>11404</v>
      </c>
      <c r="H35141" s="40" t="s">
        <v>11404</v>
      </c>
    </row>
    <row r="35142">
      <c r="A35142" s="39"/>
      <c r="E35142" s="40" t="s">
        <v>11404</v>
      </c>
      <c r="F35142" s="40" t="s">
        <v>11404</v>
      </c>
      <c r="G35142" s="40" t="s">
        <v>11404</v>
      </c>
      <c r="H35142" s="40" t="s">
        <v>11404</v>
      </c>
    </row>
    <row r="35143">
      <c r="A35143" s="39"/>
      <c r="E35143" s="40" t="s">
        <v>11404</v>
      </c>
      <c r="F35143" s="40" t="s">
        <v>11404</v>
      </c>
      <c r="G35143" s="40" t="s">
        <v>11404</v>
      </c>
      <c r="H35143" s="40" t="s">
        <v>11404</v>
      </c>
    </row>
    <row r="35144">
      <c r="A35144" s="39"/>
      <c r="E35144" s="40" t="s">
        <v>11404</v>
      </c>
      <c r="F35144" s="40" t="s">
        <v>11404</v>
      </c>
      <c r="G35144" s="40" t="s">
        <v>11404</v>
      </c>
      <c r="H35144" s="40" t="s">
        <v>11404</v>
      </c>
    </row>
    <row r="35145">
      <c r="A35145" s="39"/>
      <c r="E35145" s="40" t="s">
        <v>11404</v>
      </c>
      <c r="F35145" s="40" t="s">
        <v>11404</v>
      </c>
      <c r="G35145" s="40" t="s">
        <v>11404</v>
      </c>
      <c r="H35145" s="40" t="s">
        <v>11404</v>
      </c>
    </row>
    <row r="35146">
      <c r="A35146" s="39"/>
      <c r="E35146" s="40" t="s">
        <v>11404</v>
      </c>
      <c r="F35146" s="40" t="s">
        <v>11404</v>
      </c>
      <c r="G35146" s="40" t="s">
        <v>11404</v>
      </c>
      <c r="H35146" s="40" t="s">
        <v>11404</v>
      </c>
    </row>
    <row r="35147">
      <c r="A35147" s="39"/>
      <c r="E35147" s="40" t="s">
        <v>11404</v>
      </c>
      <c r="F35147" s="40" t="s">
        <v>11404</v>
      </c>
      <c r="G35147" s="40" t="s">
        <v>11404</v>
      </c>
      <c r="H35147" s="40" t="s">
        <v>11404</v>
      </c>
    </row>
    <row r="35148">
      <c r="A35148" s="39"/>
      <c r="E35148" s="40" t="s">
        <v>11404</v>
      </c>
      <c r="F35148" s="40" t="s">
        <v>11404</v>
      </c>
      <c r="G35148" s="40" t="s">
        <v>11404</v>
      </c>
      <c r="H35148" s="40" t="s">
        <v>11404</v>
      </c>
    </row>
    <row r="35149">
      <c r="A35149" s="39"/>
      <c r="E35149" s="40" t="s">
        <v>11404</v>
      </c>
      <c r="F35149" s="40" t="s">
        <v>11404</v>
      </c>
      <c r="G35149" s="40" t="s">
        <v>11404</v>
      </c>
      <c r="H35149" s="40" t="s">
        <v>11404</v>
      </c>
    </row>
    <row r="35150">
      <c r="A35150" s="39"/>
      <c r="E35150" s="40" t="s">
        <v>11404</v>
      </c>
      <c r="F35150" s="40" t="s">
        <v>11404</v>
      </c>
      <c r="G35150" s="40" t="s">
        <v>11404</v>
      </c>
      <c r="H35150" s="40" t="s">
        <v>11404</v>
      </c>
    </row>
    <row r="35151">
      <c r="A35151" s="39"/>
      <c r="E35151" s="40" t="s">
        <v>11404</v>
      </c>
      <c r="F35151" s="40" t="s">
        <v>11404</v>
      </c>
      <c r="G35151" s="40" t="s">
        <v>11404</v>
      </c>
      <c r="H35151" s="40" t="s">
        <v>11404</v>
      </c>
    </row>
    <row r="35152">
      <c r="A35152" s="39"/>
      <c r="E35152" s="40" t="s">
        <v>11404</v>
      </c>
      <c r="F35152" s="40" t="s">
        <v>11404</v>
      </c>
      <c r="G35152" s="40" t="s">
        <v>11404</v>
      </c>
      <c r="H35152" s="40" t="s">
        <v>11404</v>
      </c>
    </row>
    <row r="35153">
      <c r="A35153" s="39"/>
      <c r="E35153" s="40" t="s">
        <v>11404</v>
      </c>
      <c r="F35153" s="40" t="s">
        <v>11404</v>
      </c>
      <c r="G35153" s="40" t="s">
        <v>11404</v>
      </c>
      <c r="H35153" s="40" t="s">
        <v>11404</v>
      </c>
    </row>
    <row r="35154">
      <c r="A35154" s="39"/>
      <c r="E35154" s="40" t="s">
        <v>11404</v>
      </c>
      <c r="F35154" s="40" t="s">
        <v>11404</v>
      </c>
      <c r="G35154" s="40" t="s">
        <v>11404</v>
      </c>
      <c r="H35154" s="40" t="s">
        <v>11404</v>
      </c>
    </row>
    <row r="35155">
      <c r="A35155" s="39"/>
      <c r="E35155" s="40" t="s">
        <v>11404</v>
      </c>
      <c r="F35155" s="40" t="s">
        <v>11404</v>
      </c>
      <c r="G35155" s="40" t="s">
        <v>11404</v>
      </c>
      <c r="H35155" s="40" t="s">
        <v>11404</v>
      </c>
    </row>
    <row r="35156">
      <c r="A35156" s="39"/>
      <c r="E35156" s="40" t="s">
        <v>11404</v>
      </c>
      <c r="F35156" s="40" t="s">
        <v>11404</v>
      </c>
      <c r="G35156" s="40" t="s">
        <v>11404</v>
      </c>
      <c r="H35156" s="40" t="s">
        <v>11404</v>
      </c>
    </row>
    <row r="35157">
      <c r="A35157" s="39"/>
      <c r="E35157" s="40" t="s">
        <v>11404</v>
      </c>
      <c r="F35157" s="40" t="s">
        <v>11404</v>
      </c>
      <c r="G35157" s="40" t="s">
        <v>11404</v>
      </c>
      <c r="H35157" s="40" t="s">
        <v>11404</v>
      </c>
    </row>
    <row r="35158">
      <c r="A35158" s="39"/>
      <c r="E35158" s="40" t="s">
        <v>11404</v>
      </c>
      <c r="F35158" s="40" t="s">
        <v>11404</v>
      </c>
      <c r="G35158" s="40" t="s">
        <v>11404</v>
      </c>
      <c r="H35158" s="40" t="s">
        <v>11404</v>
      </c>
    </row>
    <row r="35159">
      <c r="A35159" s="39"/>
      <c r="E35159" s="40" t="s">
        <v>11404</v>
      </c>
      <c r="F35159" s="40" t="s">
        <v>11404</v>
      </c>
      <c r="G35159" s="40" t="s">
        <v>11404</v>
      </c>
      <c r="H35159" s="40" t="s">
        <v>11404</v>
      </c>
    </row>
    <row r="35160">
      <c r="A35160" s="39"/>
      <c r="E35160" s="40" t="s">
        <v>11404</v>
      </c>
      <c r="F35160" s="40" t="s">
        <v>11404</v>
      </c>
      <c r="G35160" s="40" t="s">
        <v>11404</v>
      </c>
      <c r="H35160" s="40" t="s">
        <v>11404</v>
      </c>
    </row>
    <row r="35161">
      <c r="A35161" s="39"/>
      <c r="E35161" s="40" t="s">
        <v>11404</v>
      </c>
      <c r="F35161" s="40" t="s">
        <v>11404</v>
      </c>
      <c r="G35161" s="40" t="s">
        <v>11404</v>
      </c>
      <c r="H35161" s="40" t="s">
        <v>11404</v>
      </c>
    </row>
    <row r="35162">
      <c r="A35162" s="39"/>
      <c r="E35162" s="40" t="s">
        <v>11404</v>
      </c>
      <c r="F35162" s="40" t="s">
        <v>11404</v>
      </c>
      <c r="G35162" s="40" t="s">
        <v>11404</v>
      </c>
      <c r="H35162" s="40" t="s">
        <v>11404</v>
      </c>
    </row>
    <row r="35163">
      <c r="A35163" s="39"/>
      <c r="E35163" s="40" t="s">
        <v>11404</v>
      </c>
      <c r="F35163" s="40" t="s">
        <v>11404</v>
      </c>
      <c r="G35163" s="40" t="s">
        <v>11404</v>
      </c>
      <c r="H35163" s="40" t="s">
        <v>11404</v>
      </c>
    </row>
    <row r="35164">
      <c r="A35164" s="39"/>
      <c r="E35164" s="40" t="s">
        <v>11404</v>
      </c>
      <c r="F35164" s="40" t="s">
        <v>11404</v>
      </c>
      <c r="G35164" s="40" t="s">
        <v>11404</v>
      </c>
      <c r="H35164" s="40" t="s">
        <v>11404</v>
      </c>
    </row>
    <row r="35165">
      <c r="A35165" s="39"/>
      <c r="E35165" s="40" t="s">
        <v>11404</v>
      </c>
      <c r="F35165" s="40" t="s">
        <v>11404</v>
      </c>
      <c r="G35165" s="40" t="s">
        <v>11404</v>
      </c>
      <c r="H35165" s="40" t="s">
        <v>11404</v>
      </c>
    </row>
    <row r="35166">
      <c r="A35166" s="39"/>
      <c r="E35166" s="40" t="s">
        <v>11404</v>
      </c>
      <c r="F35166" s="40" t="s">
        <v>11404</v>
      </c>
      <c r="G35166" s="40" t="s">
        <v>11404</v>
      </c>
      <c r="H35166" s="40" t="s">
        <v>11404</v>
      </c>
    </row>
    <row r="35167">
      <c r="A35167" s="39"/>
      <c r="E35167" s="40" t="s">
        <v>11404</v>
      </c>
      <c r="F35167" s="40" t="s">
        <v>11404</v>
      </c>
      <c r="G35167" s="40" t="s">
        <v>11404</v>
      </c>
      <c r="H35167" s="40" t="s">
        <v>11404</v>
      </c>
    </row>
    <row r="35168">
      <c r="A35168" s="39"/>
      <c r="E35168" s="40" t="s">
        <v>11404</v>
      </c>
      <c r="F35168" s="40" t="s">
        <v>11404</v>
      </c>
      <c r="G35168" s="40" t="s">
        <v>11404</v>
      </c>
      <c r="H35168" s="40" t="s">
        <v>11404</v>
      </c>
    </row>
    <row r="35169">
      <c r="A35169" s="39"/>
      <c r="E35169" s="40" t="s">
        <v>11404</v>
      </c>
      <c r="F35169" s="40" t="s">
        <v>11404</v>
      </c>
      <c r="G35169" s="40" t="s">
        <v>11404</v>
      </c>
      <c r="H35169" s="40" t="s">
        <v>11404</v>
      </c>
    </row>
    <row r="35170">
      <c r="A35170" s="39"/>
      <c r="E35170" s="40" t="s">
        <v>11404</v>
      </c>
      <c r="F35170" s="40" t="s">
        <v>11404</v>
      </c>
      <c r="G35170" s="40" t="s">
        <v>11404</v>
      </c>
      <c r="H35170" s="40" t="s">
        <v>11404</v>
      </c>
    </row>
    <row r="35171">
      <c r="A35171" s="39"/>
      <c r="E35171" s="40" t="s">
        <v>11404</v>
      </c>
      <c r="F35171" s="40" t="s">
        <v>11404</v>
      </c>
      <c r="G35171" s="40" t="s">
        <v>11404</v>
      </c>
      <c r="H35171" s="40" t="s">
        <v>11404</v>
      </c>
    </row>
    <row r="35172">
      <c r="A35172" s="39"/>
      <c r="E35172" s="40" t="s">
        <v>11404</v>
      </c>
      <c r="F35172" s="40" t="s">
        <v>11404</v>
      </c>
      <c r="G35172" s="40" t="s">
        <v>11404</v>
      </c>
      <c r="H35172" s="40" t="s">
        <v>11404</v>
      </c>
    </row>
    <row r="35173">
      <c r="A35173" s="39"/>
      <c r="E35173" s="40" t="s">
        <v>11404</v>
      </c>
      <c r="F35173" s="40" t="s">
        <v>11404</v>
      </c>
      <c r="G35173" s="40" t="s">
        <v>11404</v>
      </c>
      <c r="H35173" s="40" t="s">
        <v>11404</v>
      </c>
    </row>
    <row r="35174">
      <c r="A35174" s="39"/>
      <c r="E35174" s="40" t="s">
        <v>11404</v>
      </c>
      <c r="F35174" s="40" t="s">
        <v>11404</v>
      </c>
      <c r="G35174" s="40" t="s">
        <v>11404</v>
      </c>
      <c r="H35174" s="40" t="s">
        <v>11404</v>
      </c>
    </row>
    <row r="35175">
      <c r="A35175" s="39"/>
      <c r="E35175" s="40" t="s">
        <v>11404</v>
      </c>
      <c r="F35175" s="40" t="s">
        <v>11404</v>
      </c>
      <c r="G35175" s="40" t="s">
        <v>11404</v>
      </c>
      <c r="H35175" s="40" t="s">
        <v>11404</v>
      </c>
    </row>
    <row r="35176">
      <c r="A35176" s="39"/>
      <c r="E35176" s="40" t="s">
        <v>11404</v>
      </c>
      <c r="F35176" s="40" t="s">
        <v>11404</v>
      </c>
      <c r="G35176" s="40" t="s">
        <v>11404</v>
      </c>
      <c r="H35176" s="40" t="s">
        <v>11404</v>
      </c>
    </row>
    <row r="35177">
      <c r="A35177" s="39"/>
      <c r="E35177" s="40" t="s">
        <v>11404</v>
      </c>
      <c r="F35177" s="40" t="s">
        <v>11404</v>
      </c>
      <c r="G35177" s="40" t="s">
        <v>11404</v>
      </c>
      <c r="H35177" s="40" t="s">
        <v>11404</v>
      </c>
    </row>
    <row r="35178">
      <c r="A35178" s="39"/>
      <c r="E35178" s="40" t="s">
        <v>11404</v>
      </c>
      <c r="F35178" s="40" t="s">
        <v>11404</v>
      </c>
      <c r="G35178" s="40" t="s">
        <v>11404</v>
      </c>
      <c r="H35178" s="40" t="s">
        <v>11404</v>
      </c>
    </row>
    <row r="35179">
      <c r="A35179" s="39"/>
      <c r="E35179" s="40" t="s">
        <v>11404</v>
      </c>
      <c r="F35179" s="40" t="s">
        <v>11404</v>
      </c>
      <c r="G35179" s="40" t="s">
        <v>11404</v>
      </c>
      <c r="H35179" s="40" t="s">
        <v>11404</v>
      </c>
    </row>
    <row r="35180">
      <c r="A35180" s="39"/>
      <c r="E35180" s="40" t="s">
        <v>11404</v>
      </c>
      <c r="F35180" s="40" t="s">
        <v>11404</v>
      </c>
      <c r="G35180" s="40" t="s">
        <v>11404</v>
      </c>
      <c r="H35180" s="40" t="s">
        <v>11404</v>
      </c>
    </row>
    <row r="35181">
      <c r="A35181" s="39"/>
      <c r="E35181" s="40" t="s">
        <v>11404</v>
      </c>
      <c r="F35181" s="40" t="s">
        <v>11404</v>
      </c>
      <c r="G35181" s="40" t="s">
        <v>11404</v>
      </c>
      <c r="H35181" s="40" t="s">
        <v>11404</v>
      </c>
    </row>
    <row r="35182">
      <c r="A35182" s="39"/>
      <c r="E35182" s="40" t="s">
        <v>11404</v>
      </c>
      <c r="F35182" s="40" t="s">
        <v>11404</v>
      </c>
      <c r="G35182" s="40" t="s">
        <v>11404</v>
      </c>
      <c r="H35182" s="40" t="s">
        <v>11404</v>
      </c>
    </row>
    <row r="35183">
      <c r="A35183" s="39"/>
      <c r="E35183" s="40" t="s">
        <v>11404</v>
      </c>
      <c r="F35183" s="40" t="s">
        <v>11404</v>
      </c>
      <c r="G35183" s="40" t="s">
        <v>11404</v>
      </c>
      <c r="H35183" s="40" t="s">
        <v>11404</v>
      </c>
    </row>
    <row r="35184">
      <c r="A35184" s="39"/>
      <c r="E35184" s="40" t="s">
        <v>11404</v>
      </c>
      <c r="F35184" s="40" t="s">
        <v>11404</v>
      </c>
      <c r="G35184" s="40" t="s">
        <v>11404</v>
      </c>
      <c r="H35184" s="40" t="s">
        <v>11404</v>
      </c>
    </row>
    <row r="35185">
      <c r="A35185" s="39"/>
      <c r="E35185" s="40" t="s">
        <v>11404</v>
      </c>
      <c r="F35185" s="40" t="s">
        <v>11404</v>
      </c>
      <c r="G35185" s="40" t="s">
        <v>11404</v>
      </c>
      <c r="H35185" s="40" t="s">
        <v>11404</v>
      </c>
    </row>
    <row r="35186">
      <c r="A35186" s="39"/>
      <c r="E35186" s="40" t="s">
        <v>11404</v>
      </c>
      <c r="F35186" s="40" t="s">
        <v>11404</v>
      </c>
      <c r="G35186" s="40" t="s">
        <v>11404</v>
      </c>
      <c r="H35186" s="40" t="s">
        <v>11404</v>
      </c>
    </row>
    <row r="35187">
      <c r="A35187" s="39"/>
      <c r="E35187" s="40" t="s">
        <v>11404</v>
      </c>
      <c r="F35187" s="40" t="s">
        <v>11404</v>
      </c>
      <c r="G35187" s="40" t="s">
        <v>11404</v>
      </c>
      <c r="H35187" s="40" t="s">
        <v>11404</v>
      </c>
    </row>
    <row r="35188">
      <c r="A35188" s="39"/>
      <c r="E35188" s="40" t="s">
        <v>11404</v>
      </c>
      <c r="F35188" s="40" t="s">
        <v>11404</v>
      </c>
      <c r="G35188" s="40" t="s">
        <v>11404</v>
      </c>
      <c r="H35188" s="40" t="s">
        <v>11404</v>
      </c>
    </row>
    <row r="35189">
      <c r="A35189" s="39"/>
      <c r="E35189" s="40" t="s">
        <v>11404</v>
      </c>
      <c r="F35189" s="40" t="s">
        <v>11404</v>
      </c>
      <c r="G35189" s="40" t="s">
        <v>11404</v>
      </c>
      <c r="H35189" s="40" t="s">
        <v>11404</v>
      </c>
    </row>
    <row r="35190">
      <c r="A35190" s="39"/>
      <c r="E35190" s="40" t="s">
        <v>11404</v>
      </c>
      <c r="F35190" s="40" t="s">
        <v>11404</v>
      </c>
      <c r="G35190" s="40" t="s">
        <v>11404</v>
      </c>
      <c r="H35190" s="40" t="s">
        <v>11404</v>
      </c>
    </row>
    <row r="35191">
      <c r="A35191" s="39"/>
      <c r="E35191" s="40" t="s">
        <v>11404</v>
      </c>
      <c r="F35191" s="40" t="s">
        <v>11404</v>
      </c>
      <c r="G35191" s="40" t="s">
        <v>11404</v>
      </c>
      <c r="H35191" s="40" t="s">
        <v>11404</v>
      </c>
    </row>
    <row r="35192">
      <c r="A35192" s="39"/>
      <c r="E35192" s="40" t="s">
        <v>11404</v>
      </c>
      <c r="F35192" s="40" t="s">
        <v>11404</v>
      </c>
      <c r="G35192" s="40" t="s">
        <v>11404</v>
      </c>
      <c r="H35192" s="40" t="s">
        <v>11404</v>
      </c>
    </row>
    <row r="35193">
      <c r="A35193" s="39"/>
      <c r="E35193" s="40" t="s">
        <v>11404</v>
      </c>
      <c r="F35193" s="40" t="s">
        <v>11404</v>
      </c>
      <c r="G35193" s="40" t="s">
        <v>11404</v>
      </c>
      <c r="H35193" s="40" t="s">
        <v>11404</v>
      </c>
    </row>
    <row r="35194">
      <c r="A35194" s="39"/>
      <c r="E35194" s="40" t="s">
        <v>11404</v>
      </c>
      <c r="F35194" s="40" t="s">
        <v>11404</v>
      </c>
      <c r="G35194" s="40" t="s">
        <v>11404</v>
      </c>
      <c r="H35194" s="40" t="s">
        <v>11404</v>
      </c>
    </row>
    <row r="35195">
      <c r="A35195" s="39"/>
      <c r="E35195" s="40" t="s">
        <v>11404</v>
      </c>
      <c r="F35195" s="40" t="s">
        <v>11404</v>
      </c>
      <c r="G35195" s="40" t="s">
        <v>11404</v>
      </c>
      <c r="H35195" s="40" t="s">
        <v>11404</v>
      </c>
    </row>
    <row r="35196">
      <c r="A35196" s="39"/>
      <c r="E35196" s="40" t="s">
        <v>11404</v>
      </c>
      <c r="F35196" s="40" t="s">
        <v>11404</v>
      </c>
      <c r="G35196" s="40" t="s">
        <v>11404</v>
      </c>
      <c r="H35196" s="40" t="s">
        <v>11404</v>
      </c>
    </row>
    <row r="35197">
      <c r="A35197" s="39"/>
      <c r="E35197" s="40" t="s">
        <v>11404</v>
      </c>
      <c r="F35197" s="40" t="s">
        <v>11404</v>
      </c>
      <c r="G35197" s="40" t="s">
        <v>11404</v>
      </c>
      <c r="H35197" s="40" t="s">
        <v>11404</v>
      </c>
    </row>
    <row r="35198">
      <c r="A35198" s="39"/>
      <c r="E35198" s="40" t="s">
        <v>11404</v>
      </c>
      <c r="F35198" s="40" t="s">
        <v>11404</v>
      </c>
      <c r="G35198" s="40" t="s">
        <v>11404</v>
      </c>
      <c r="H35198" s="40" t="s">
        <v>11404</v>
      </c>
    </row>
    <row r="35199">
      <c r="A35199" s="39"/>
      <c r="E35199" s="40" t="s">
        <v>11404</v>
      </c>
      <c r="F35199" s="40" t="s">
        <v>11404</v>
      </c>
      <c r="G35199" s="40" t="s">
        <v>11404</v>
      </c>
      <c r="H35199" s="40" t="s">
        <v>11404</v>
      </c>
    </row>
    <row r="35200">
      <c r="A35200" s="39"/>
      <c r="E35200" s="40" t="s">
        <v>11404</v>
      </c>
      <c r="F35200" s="40" t="s">
        <v>11404</v>
      </c>
      <c r="G35200" s="40" t="s">
        <v>11404</v>
      </c>
      <c r="H35200" s="40" t="s">
        <v>11404</v>
      </c>
    </row>
    <row r="35201">
      <c r="A35201" s="39"/>
      <c r="E35201" s="40" t="s">
        <v>11404</v>
      </c>
      <c r="F35201" s="40" t="s">
        <v>11404</v>
      </c>
      <c r="G35201" s="40" t="s">
        <v>11404</v>
      </c>
      <c r="H35201" s="40" t="s">
        <v>11404</v>
      </c>
    </row>
    <row r="35202">
      <c r="A35202" s="39"/>
      <c r="E35202" s="40" t="s">
        <v>11404</v>
      </c>
      <c r="F35202" s="40" t="s">
        <v>11404</v>
      </c>
      <c r="G35202" s="40" t="s">
        <v>11404</v>
      </c>
      <c r="H35202" s="40" t="s">
        <v>11404</v>
      </c>
    </row>
    <row r="35203">
      <c r="A35203" s="39"/>
      <c r="E35203" s="40" t="s">
        <v>11404</v>
      </c>
      <c r="F35203" s="40" t="s">
        <v>11404</v>
      </c>
      <c r="G35203" s="40" t="s">
        <v>11404</v>
      </c>
      <c r="H35203" s="40" t="s">
        <v>11404</v>
      </c>
    </row>
    <row r="35204">
      <c r="A35204" s="39"/>
      <c r="E35204" s="40" t="s">
        <v>11404</v>
      </c>
      <c r="F35204" s="40" t="s">
        <v>11404</v>
      </c>
      <c r="G35204" s="40" t="s">
        <v>11404</v>
      </c>
      <c r="H35204" s="40" t="s">
        <v>11404</v>
      </c>
    </row>
    <row r="35205">
      <c r="A35205" s="39"/>
      <c r="E35205" s="40" t="s">
        <v>11404</v>
      </c>
      <c r="F35205" s="40" t="s">
        <v>11404</v>
      </c>
      <c r="G35205" s="40" t="s">
        <v>11404</v>
      </c>
      <c r="H35205" s="40" t="s">
        <v>11404</v>
      </c>
    </row>
    <row r="35206">
      <c r="A35206" s="39"/>
      <c r="E35206" s="40" t="s">
        <v>11404</v>
      </c>
      <c r="F35206" s="40" t="s">
        <v>11404</v>
      </c>
      <c r="G35206" s="40" t="s">
        <v>11404</v>
      </c>
      <c r="H35206" s="40" t="s">
        <v>11404</v>
      </c>
    </row>
    <row r="35207">
      <c r="A35207" s="39"/>
      <c r="E35207" s="40" t="s">
        <v>11404</v>
      </c>
      <c r="F35207" s="40" t="s">
        <v>11404</v>
      </c>
      <c r="G35207" s="40" t="s">
        <v>11404</v>
      </c>
      <c r="H35207" s="40" t="s">
        <v>11404</v>
      </c>
    </row>
    <row r="35208">
      <c r="A35208" s="39"/>
      <c r="E35208" s="40" t="s">
        <v>11404</v>
      </c>
      <c r="F35208" s="40" t="s">
        <v>11404</v>
      </c>
      <c r="G35208" s="40" t="s">
        <v>11404</v>
      </c>
      <c r="H35208" s="40" t="s">
        <v>11404</v>
      </c>
    </row>
    <row r="35209">
      <c r="A35209" s="39"/>
      <c r="E35209" s="40" t="s">
        <v>11404</v>
      </c>
      <c r="F35209" s="40" t="s">
        <v>11404</v>
      </c>
      <c r="G35209" s="40" t="s">
        <v>11404</v>
      </c>
      <c r="H35209" s="40" t="s">
        <v>11404</v>
      </c>
    </row>
    <row r="35210">
      <c r="A35210" s="39"/>
      <c r="E35210" s="40" t="s">
        <v>11404</v>
      </c>
      <c r="F35210" s="40" t="s">
        <v>11404</v>
      </c>
      <c r="G35210" s="40" t="s">
        <v>11404</v>
      </c>
      <c r="H35210" s="40" t="s">
        <v>11404</v>
      </c>
    </row>
    <row r="35211">
      <c r="A35211" s="39"/>
      <c r="E35211" s="40" t="s">
        <v>11404</v>
      </c>
      <c r="F35211" s="40" t="s">
        <v>11404</v>
      </c>
      <c r="G35211" s="40" t="s">
        <v>11404</v>
      </c>
      <c r="H35211" s="40" t="s">
        <v>11404</v>
      </c>
    </row>
    <row r="35212">
      <c r="A35212" s="39"/>
      <c r="E35212" s="40" t="s">
        <v>11404</v>
      </c>
      <c r="F35212" s="40" t="s">
        <v>11404</v>
      </c>
      <c r="G35212" s="40" t="s">
        <v>11404</v>
      </c>
      <c r="H35212" s="40" t="s">
        <v>11404</v>
      </c>
    </row>
    <row r="35213">
      <c r="A35213" s="39"/>
      <c r="E35213" s="40" t="s">
        <v>11404</v>
      </c>
      <c r="F35213" s="40" t="s">
        <v>11404</v>
      </c>
      <c r="G35213" s="40" t="s">
        <v>11404</v>
      </c>
      <c r="H35213" s="40" t="s">
        <v>11404</v>
      </c>
    </row>
    <row r="35214">
      <c r="A35214" s="39"/>
      <c r="E35214" s="40" t="s">
        <v>11404</v>
      </c>
      <c r="F35214" s="40" t="s">
        <v>11404</v>
      </c>
      <c r="G35214" s="40" t="s">
        <v>11404</v>
      </c>
      <c r="H35214" s="40" t="s">
        <v>11404</v>
      </c>
    </row>
    <row r="35215">
      <c r="A35215" s="39"/>
      <c r="E35215" s="40" t="s">
        <v>11404</v>
      </c>
      <c r="F35215" s="40" t="s">
        <v>11404</v>
      </c>
      <c r="G35215" s="40" t="s">
        <v>11404</v>
      </c>
      <c r="H35215" s="40" t="s">
        <v>11404</v>
      </c>
    </row>
    <row r="35216">
      <c r="A35216" s="39"/>
      <c r="E35216" s="40" t="s">
        <v>11404</v>
      </c>
      <c r="F35216" s="40" t="s">
        <v>11404</v>
      </c>
      <c r="G35216" s="40" t="s">
        <v>11404</v>
      </c>
      <c r="H35216" s="40" t="s">
        <v>11404</v>
      </c>
    </row>
    <row r="35217">
      <c r="A35217" s="39"/>
      <c r="E35217" s="40" t="s">
        <v>11404</v>
      </c>
      <c r="F35217" s="40" t="s">
        <v>11404</v>
      </c>
      <c r="G35217" s="40" t="s">
        <v>11404</v>
      </c>
      <c r="H35217" s="40" t="s">
        <v>11404</v>
      </c>
    </row>
    <row r="35218">
      <c r="A35218" s="39"/>
      <c r="E35218" s="40" t="s">
        <v>11404</v>
      </c>
      <c r="F35218" s="40" t="s">
        <v>11404</v>
      </c>
      <c r="G35218" s="40" t="s">
        <v>11404</v>
      </c>
      <c r="H35218" s="40" t="s">
        <v>11404</v>
      </c>
    </row>
    <row r="35219">
      <c r="A35219" s="39"/>
      <c r="E35219" s="40" t="s">
        <v>11404</v>
      </c>
      <c r="F35219" s="40" t="s">
        <v>11404</v>
      </c>
      <c r="G35219" s="40" t="s">
        <v>11404</v>
      </c>
      <c r="H35219" s="40" t="s">
        <v>11404</v>
      </c>
    </row>
    <row r="35220">
      <c r="A35220" s="39"/>
      <c r="E35220" s="40" t="s">
        <v>11404</v>
      </c>
      <c r="F35220" s="40" t="s">
        <v>11404</v>
      </c>
      <c r="G35220" s="40" t="s">
        <v>11404</v>
      </c>
      <c r="H35220" s="40" t="s">
        <v>11404</v>
      </c>
    </row>
    <row r="35221">
      <c r="A35221" s="39"/>
      <c r="E35221" s="40" t="s">
        <v>11404</v>
      </c>
      <c r="F35221" s="40" t="s">
        <v>11404</v>
      </c>
      <c r="G35221" s="40" t="s">
        <v>11404</v>
      </c>
      <c r="H35221" s="40" t="s">
        <v>11404</v>
      </c>
    </row>
    <row r="35222">
      <c r="A35222" s="39"/>
      <c r="E35222" s="40" t="s">
        <v>11404</v>
      </c>
      <c r="F35222" s="40" t="s">
        <v>11404</v>
      </c>
      <c r="G35222" s="40" t="s">
        <v>11404</v>
      </c>
      <c r="H35222" s="40" t="s">
        <v>11404</v>
      </c>
    </row>
    <row r="35223">
      <c r="A35223" s="39"/>
      <c r="E35223" s="40" t="s">
        <v>11404</v>
      </c>
      <c r="F35223" s="40" t="s">
        <v>11404</v>
      </c>
      <c r="G35223" s="40" t="s">
        <v>11404</v>
      </c>
      <c r="H35223" s="40" t="s">
        <v>11404</v>
      </c>
    </row>
    <row r="35224">
      <c r="A35224" s="39"/>
      <c r="E35224" s="40" t="s">
        <v>11404</v>
      </c>
      <c r="F35224" s="40" t="s">
        <v>11404</v>
      </c>
      <c r="G35224" s="40" t="s">
        <v>11404</v>
      </c>
      <c r="H35224" s="40" t="s">
        <v>11404</v>
      </c>
    </row>
    <row r="35225">
      <c r="A35225" s="39"/>
      <c r="E35225" s="40" t="s">
        <v>11404</v>
      </c>
      <c r="F35225" s="40" t="s">
        <v>11404</v>
      </c>
      <c r="G35225" s="40" t="s">
        <v>11404</v>
      </c>
      <c r="H35225" s="40" t="s">
        <v>11404</v>
      </c>
    </row>
    <row r="35226">
      <c r="A35226" s="39"/>
      <c r="E35226" s="40" t="s">
        <v>11404</v>
      </c>
      <c r="F35226" s="40" t="s">
        <v>11404</v>
      </c>
      <c r="G35226" s="40" t="s">
        <v>11404</v>
      </c>
      <c r="H35226" s="40" t="s">
        <v>11404</v>
      </c>
    </row>
    <row r="35227">
      <c r="A35227" s="39"/>
      <c r="E35227" s="40" t="s">
        <v>11404</v>
      </c>
      <c r="F35227" s="40" t="s">
        <v>11404</v>
      </c>
      <c r="G35227" s="40" t="s">
        <v>11404</v>
      </c>
      <c r="H35227" s="40" t="s">
        <v>11404</v>
      </c>
    </row>
    <row r="35228">
      <c r="A35228" s="39"/>
      <c r="E35228" s="40" t="s">
        <v>11404</v>
      </c>
      <c r="F35228" s="40" t="s">
        <v>11404</v>
      </c>
      <c r="G35228" s="40" t="s">
        <v>11404</v>
      </c>
      <c r="H35228" s="40" t="s">
        <v>11404</v>
      </c>
    </row>
    <row r="35229">
      <c r="A35229" s="39"/>
      <c r="E35229" s="40" t="s">
        <v>11404</v>
      </c>
      <c r="F35229" s="40" t="s">
        <v>11404</v>
      </c>
      <c r="G35229" s="40" t="s">
        <v>11404</v>
      </c>
      <c r="H35229" s="40" t="s">
        <v>11404</v>
      </c>
    </row>
    <row r="35230">
      <c r="A35230" s="39"/>
      <c r="E35230" s="40" t="s">
        <v>11404</v>
      </c>
      <c r="F35230" s="40" t="s">
        <v>11404</v>
      </c>
      <c r="G35230" s="40" t="s">
        <v>11404</v>
      </c>
      <c r="H35230" s="40" t="s">
        <v>11404</v>
      </c>
    </row>
    <row r="35231">
      <c r="A35231" s="39"/>
      <c r="E35231" s="40" t="s">
        <v>11404</v>
      </c>
      <c r="F35231" s="40" t="s">
        <v>11404</v>
      </c>
      <c r="G35231" s="40" t="s">
        <v>11404</v>
      </c>
      <c r="H35231" s="40" t="s">
        <v>11404</v>
      </c>
    </row>
    <row r="35232">
      <c r="A35232" s="39"/>
      <c r="E35232" s="40" t="s">
        <v>11404</v>
      </c>
      <c r="F35232" s="40" t="s">
        <v>11404</v>
      </c>
      <c r="G35232" s="40" t="s">
        <v>11404</v>
      </c>
      <c r="H35232" s="40" t="s">
        <v>11404</v>
      </c>
    </row>
    <row r="35233">
      <c r="A35233" s="39"/>
      <c r="E35233" s="40" t="s">
        <v>11404</v>
      </c>
      <c r="F35233" s="40" t="s">
        <v>11404</v>
      </c>
      <c r="G35233" s="40" t="s">
        <v>11404</v>
      </c>
      <c r="H35233" s="40" t="s">
        <v>11404</v>
      </c>
    </row>
    <row r="35234">
      <c r="A35234" s="39"/>
      <c r="E35234" s="40" t="s">
        <v>11404</v>
      </c>
      <c r="F35234" s="40" t="s">
        <v>11404</v>
      </c>
      <c r="G35234" s="40" t="s">
        <v>11404</v>
      </c>
      <c r="H35234" s="40" t="s">
        <v>11404</v>
      </c>
    </row>
    <row r="35235">
      <c r="A35235" s="39"/>
      <c r="E35235" s="40" t="s">
        <v>11404</v>
      </c>
      <c r="F35235" s="40" t="s">
        <v>11404</v>
      </c>
      <c r="G35235" s="40" t="s">
        <v>11404</v>
      </c>
      <c r="H35235" s="40" t="s">
        <v>11404</v>
      </c>
    </row>
    <row r="35236">
      <c r="A35236" s="39"/>
      <c r="E35236" s="40" t="s">
        <v>11404</v>
      </c>
      <c r="F35236" s="40" t="s">
        <v>11404</v>
      </c>
      <c r="G35236" s="40" t="s">
        <v>11404</v>
      </c>
      <c r="H35236" s="40" t="s">
        <v>11404</v>
      </c>
    </row>
    <row r="35237">
      <c r="A35237" s="39"/>
      <c r="E35237" s="40" t="s">
        <v>11404</v>
      </c>
      <c r="F35237" s="40" t="s">
        <v>11404</v>
      </c>
      <c r="G35237" s="40" t="s">
        <v>11404</v>
      </c>
      <c r="H35237" s="40" t="s">
        <v>11404</v>
      </c>
    </row>
    <row r="35238">
      <c r="A35238" s="39"/>
      <c r="E35238" s="40" t="s">
        <v>11404</v>
      </c>
      <c r="F35238" s="40" t="s">
        <v>11404</v>
      </c>
      <c r="G35238" s="40" t="s">
        <v>11404</v>
      </c>
      <c r="H35238" s="40" t="s">
        <v>11404</v>
      </c>
    </row>
    <row r="35239">
      <c r="A35239" s="39"/>
      <c r="E35239" s="40" t="s">
        <v>11404</v>
      </c>
      <c r="F35239" s="40" t="s">
        <v>11404</v>
      </c>
      <c r="G35239" s="40" t="s">
        <v>11404</v>
      </c>
      <c r="H35239" s="40" t="s">
        <v>11404</v>
      </c>
    </row>
    <row r="35240">
      <c r="A35240" s="39"/>
      <c r="E35240" s="40" t="s">
        <v>11404</v>
      </c>
      <c r="F35240" s="40" t="s">
        <v>11404</v>
      </c>
      <c r="G35240" s="40" t="s">
        <v>11404</v>
      </c>
      <c r="H35240" s="40" t="s">
        <v>11404</v>
      </c>
    </row>
    <row r="35241">
      <c r="A35241" s="39"/>
      <c r="E35241" s="40" t="s">
        <v>11404</v>
      </c>
      <c r="F35241" s="40" t="s">
        <v>11404</v>
      </c>
      <c r="G35241" s="40" t="s">
        <v>11404</v>
      </c>
      <c r="H35241" s="40" t="s">
        <v>11404</v>
      </c>
    </row>
    <row r="35242">
      <c r="A35242" s="39"/>
      <c r="E35242" s="40" t="s">
        <v>11404</v>
      </c>
      <c r="F35242" s="40" t="s">
        <v>11404</v>
      </c>
      <c r="G35242" s="40" t="s">
        <v>11404</v>
      </c>
      <c r="H35242" s="40" t="s">
        <v>11404</v>
      </c>
    </row>
    <row r="35243">
      <c r="A35243" s="39"/>
      <c r="E35243" s="40" t="s">
        <v>11404</v>
      </c>
      <c r="F35243" s="40" t="s">
        <v>11404</v>
      </c>
      <c r="G35243" s="40" t="s">
        <v>11404</v>
      </c>
      <c r="H35243" s="40" t="s">
        <v>11404</v>
      </c>
    </row>
    <row r="35244">
      <c r="A35244" s="39"/>
      <c r="E35244" s="40" t="s">
        <v>11404</v>
      </c>
      <c r="F35244" s="40" t="s">
        <v>11404</v>
      </c>
      <c r="G35244" s="40" t="s">
        <v>11404</v>
      </c>
      <c r="H35244" s="40" t="s">
        <v>11404</v>
      </c>
    </row>
    <row r="35245">
      <c r="A35245" s="39"/>
      <c r="E35245" s="40" t="s">
        <v>11404</v>
      </c>
      <c r="F35245" s="40" t="s">
        <v>11404</v>
      </c>
      <c r="G35245" s="40" t="s">
        <v>11404</v>
      </c>
      <c r="H35245" s="40" t="s">
        <v>11404</v>
      </c>
    </row>
    <row r="35246">
      <c r="A35246" s="39"/>
      <c r="E35246" s="40" t="s">
        <v>11404</v>
      </c>
      <c r="F35246" s="40" t="s">
        <v>11404</v>
      </c>
      <c r="G35246" s="40" t="s">
        <v>11404</v>
      </c>
      <c r="H35246" s="40" t="s">
        <v>11404</v>
      </c>
    </row>
    <row r="35247">
      <c r="A35247" s="39"/>
      <c r="E35247" s="40" t="s">
        <v>11404</v>
      </c>
      <c r="F35247" s="40" t="s">
        <v>11404</v>
      </c>
      <c r="G35247" s="40" t="s">
        <v>11404</v>
      </c>
      <c r="H35247" s="40" t="s">
        <v>11404</v>
      </c>
    </row>
    <row r="35248">
      <c r="A35248" s="39"/>
      <c r="E35248" s="40" t="s">
        <v>11404</v>
      </c>
      <c r="F35248" s="40" t="s">
        <v>11404</v>
      </c>
      <c r="G35248" s="40" t="s">
        <v>11404</v>
      </c>
      <c r="H35248" s="40" t="s">
        <v>11404</v>
      </c>
    </row>
    <row r="35249">
      <c r="A35249" s="39"/>
      <c r="E35249" s="40" t="s">
        <v>11404</v>
      </c>
      <c r="F35249" s="40" t="s">
        <v>11404</v>
      </c>
      <c r="G35249" s="40" t="s">
        <v>11404</v>
      </c>
      <c r="H35249" s="40" t="s">
        <v>11404</v>
      </c>
    </row>
    <row r="35250">
      <c r="A35250" s="39"/>
      <c r="E35250" s="40" t="s">
        <v>11404</v>
      </c>
      <c r="F35250" s="40" t="s">
        <v>11404</v>
      </c>
      <c r="G35250" s="40" t="s">
        <v>11404</v>
      </c>
      <c r="H35250" s="40" t="s">
        <v>11404</v>
      </c>
    </row>
    <row r="35251">
      <c r="A35251" s="39"/>
      <c r="E35251" s="40" t="s">
        <v>11404</v>
      </c>
      <c r="F35251" s="40" t="s">
        <v>11404</v>
      </c>
      <c r="G35251" s="40" t="s">
        <v>11404</v>
      </c>
      <c r="H35251" s="40" t="s">
        <v>11404</v>
      </c>
    </row>
    <row r="35252">
      <c r="A35252" s="39"/>
      <c r="E35252" s="40" t="s">
        <v>11404</v>
      </c>
      <c r="F35252" s="40" t="s">
        <v>11404</v>
      </c>
      <c r="G35252" s="40" t="s">
        <v>11404</v>
      </c>
      <c r="H35252" s="40" t="s">
        <v>11404</v>
      </c>
    </row>
    <row r="35253">
      <c r="A35253" s="39"/>
      <c r="E35253" s="40" t="s">
        <v>11404</v>
      </c>
      <c r="F35253" s="40" t="s">
        <v>11404</v>
      </c>
      <c r="G35253" s="40" t="s">
        <v>11404</v>
      </c>
      <c r="H35253" s="40" t="s">
        <v>11404</v>
      </c>
    </row>
    <row r="35254">
      <c r="A35254" s="39"/>
      <c r="E35254" s="40" t="s">
        <v>11404</v>
      </c>
      <c r="F35254" s="40" t="s">
        <v>11404</v>
      </c>
      <c r="G35254" s="40" t="s">
        <v>11404</v>
      </c>
      <c r="H35254" s="40" t="s">
        <v>11404</v>
      </c>
    </row>
    <row r="35255">
      <c r="A35255" s="39"/>
      <c r="E35255" s="40" t="s">
        <v>11404</v>
      </c>
      <c r="F35255" s="40" t="s">
        <v>11404</v>
      </c>
      <c r="G35255" s="40" t="s">
        <v>11404</v>
      </c>
      <c r="H35255" s="40" t="s">
        <v>11404</v>
      </c>
    </row>
    <row r="35256">
      <c r="A35256" s="39"/>
      <c r="E35256" s="40" t="s">
        <v>11404</v>
      </c>
      <c r="F35256" s="40" t="s">
        <v>11404</v>
      </c>
      <c r="G35256" s="40" t="s">
        <v>11404</v>
      </c>
      <c r="H35256" s="40" t="s">
        <v>11404</v>
      </c>
    </row>
    <row r="35257">
      <c r="A35257" s="39"/>
      <c r="E35257" s="40" t="s">
        <v>11404</v>
      </c>
      <c r="F35257" s="40" t="s">
        <v>11404</v>
      </c>
      <c r="G35257" s="40" t="s">
        <v>11404</v>
      </c>
      <c r="H35257" s="40" t="s">
        <v>11404</v>
      </c>
    </row>
    <row r="35258">
      <c r="A35258" s="39"/>
      <c r="E35258" s="40" t="s">
        <v>11404</v>
      </c>
      <c r="F35258" s="40" t="s">
        <v>11404</v>
      </c>
      <c r="G35258" s="40" t="s">
        <v>11404</v>
      </c>
      <c r="H35258" s="40" t="s">
        <v>11404</v>
      </c>
    </row>
    <row r="35259">
      <c r="A35259" s="39"/>
      <c r="E35259" s="40" t="s">
        <v>11404</v>
      </c>
      <c r="F35259" s="40" t="s">
        <v>11404</v>
      </c>
      <c r="G35259" s="40" t="s">
        <v>11404</v>
      </c>
      <c r="H35259" s="40" t="s">
        <v>11404</v>
      </c>
    </row>
    <row r="35260">
      <c r="A35260" s="39"/>
      <c r="E35260" s="40" t="s">
        <v>11404</v>
      </c>
      <c r="F35260" s="40" t="s">
        <v>11404</v>
      </c>
      <c r="G35260" s="40" t="s">
        <v>11404</v>
      </c>
      <c r="H35260" s="40" t="s">
        <v>11404</v>
      </c>
    </row>
    <row r="35261">
      <c r="A35261" s="39"/>
      <c r="E35261" s="40" t="s">
        <v>11404</v>
      </c>
      <c r="F35261" s="40" t="s">
        <v>11404</v>
      </c>
      <c r="G35261" s="40" t="s">
        <v>11404</v>
      </c>
      <c r="H35261" s="40" t="s">
        <v>11404</v>
      </c>
    </row>
    <row r="35262">
      <c r="A35262" s="39"/>
      <c r="E35262" s="40" t="s">
        <v>11404</v>
      </c>
      <c r="F35262" s="40" t="s">
        <v>11404</v>
      </c>
      <c r="G35262" s="40" t="s">
        <v>11404</v>
      </c>
      <c r="H35262" s="40" t="s">
        <v>11404</v>
      </c>
    </row>
    <row r="35263">
      <c r="A35263" s="39"/>
      <c r="E35263" s="40" t="s">
        <v>11404</v>
      </c>
      <c r="F35263" s="40" t="s">
        <v>11404</v>
      </c>
      <c r="G35263" s="40" t="s">
        <v>11404</v>
      </c>
      <c r="H35263" s="40" t="s">
        <v>11404</v>
      </c>
    </row>
    <row r="35264">
      <c r="A35264" s="39"/>
      <c r="E35264" s="40" t="s">
        <v>11404</v>
      </c>
      <c r="F35264" s="40" t="s">
        <v>11404</v>
      </c>
      <c r="G35264" s="40" t="s">
        <v>11404</v>
      </c>
      <c r="H35264" s="40" t="s">
        <v>11404</v>
      </c>
    </row>
    <row r="35265">
      <c r="A35265" s="39"/>
      <c r="E35265" s="40" t="s">
        <v>11404</v>
      </c>
      <c r="F35265" s="40" t="s">
        <v>11404</v>
      </c>
      <c r="G35265" s="40" t="s">
        <v>11404</v>
      </c>
      <c r="H35265" s="40" t="s">
        <v>11404</v>
      </c>
    </row>
    <row r="35266">
      <c r="A35266" s="39"/>
      <c r="E35266" s="40" t="s">
        <v>11404</v>
      </c>
      <c r="F35266" s="40" t="s">
        <v>11404</v>
      </c>
      <c r="G35266" s="40" t="s">
        <v>11404</v>
      </c>
      <c r="H35266" s="40" t="s">
        <v>11404</v>
      </c>
    </row>
    <row r="35267">
      <c r="A35267" s="39"/>
      <c r="E35267" s="40" t="s">
        <v>11404</v>
      </c>
      <c r="F35267" s="40" t="s">
        <v>11404</v>
      </c>
      <c r="G35267" s="40" t="s">
        <v>11404</v>
      </c>
      <c r="H35267" s="40" t="s">
        <v>11404</v>
      </c>
    </row>
    <row r="35268">
      <c r="A35268" s="39"/>
      <c r="E35268" s="40" t="s">
        <v>11404</v>
      </c>
      <c r="F35268" s="40" t="s">
        <v>11404</v>
      </c>
      <c r="G35268" s="40" t="s">
        <v>11404</v>
      </c>
      <c r="H35268" s="40" t="s">
        <v>11404</v>
      </c>
    </row>
    <row r="35269">
      <c r="A35269" s="39"/>
      <c r="E35269" s="40" t="s">
        <v>11404</v>
      </c>
      <c r="F35269" s="40" t="s">
        <v>11404</v>
      </c>
      <c r="G35269" s="40" t="s">
        <v>11404</v>
      </c>
      <c r="H35269" s="40" t="s">
        <v>11404</v>
      </c>
    </row>
    <row r="35270">
      <c r="A35270" s="39"/>
      <c r="E35270" s="40" t="s">
        <v>11404</v>
      </c>
      <c r="F35270" s="40" t="s">
        <v>11404</v>
      </c>
      <c r="G35270" s="40" t="s">
        <v>11404</v>
      </c>
      <c r="H35270" s="40" t="s">
        <v>11404</v>
      </c>
    </row>
    <row r="35271">
      <c r="A35271" s="39"/>
      <c r="E35271" s="40" t="s">
        <v>11404</v>
      </c>
      <c r="F35271" s="40" t="s">
        <v>11404</v>
      </c>
      <c r="G35271" s="40" t="s">
        <v>11404</v>
      </c>
      <c r="H35271" s="40" t="s">
        <v>11404</v>
      </c>
    </row>
    <row r="35272">
      <c r="A35272" s="39"/>
      <c r="E35272" s="40" t="s">
        <v>11404</v>
      </c>
      <c r="F35272" s="40" t="s">
        <v>11404</v>
      </c>
      <c r="G35272" s="40" t="s">
        <v>11404</v>
      </c>
      <c r="H35272" s="40" t="s">
        <v>11404</v>
      </c>
    </row>
    <row r="35273">
      <c r="A35273" s="39"/>
      <c r="E35273" s="40" t="s">
        <v>11404</v>
      </c>
      <c r="F35273" s="40" t="s">
        <v>11404</v>
      </c>
      <c r="G35273" s="40" t="s">
        <v>11404</v>
      </c>
      <c r="H35273" s="40" t="s">
        <v>11404</v>
      </c>
    </row>
    <row r="35274">
      <c r="A35274" s="39"/>
      <c r="E35274" s="40" t="s">
        <v>11404</v>
      </c>
      <c r="F35274" s="40" t="s">
        <v>11404</v>
      </c>
      <c r="G35274" s="40" t="s">
        <v>11404</v>
      </c>
      <c r="H35274" s="40" t="s">
        <v>11404</v>
      </c>
    </row>
    <row r="35275">
      <c r="A35275" s="39"/>
      <c r="E35275" s="40" t="s">
        <v>11404</v>
      </c>
      <c r="F35275" s="40" t="s">
        <v>11404</v>
      </c>
      <c r="G35275" s="40" t="s">
        <v>11404</v>
      </c>
      <c r="H35275" s="40" t="s">
        <v>11404</v>
      </c>
    </row>
    <row r="35276">
      <c r="A35276" s="39"/>
      <c r="E35276" s="40" t="s">
        <v>11404</v>
      </c>
      <c r="F35276" s="40" t="s">
        <v>11404</v>
      </c>
      <c r="G35276" s="40" t="s">
        <v>11404</v>
      </c>
      <c r="H35276" s="40" t="s">
        <v>11404</v>
      </c>
    </row>
    <row r="35277">
      <c r="A35277" s="39"/>
      <c r="E35277" s="40" t="s">
        <v>11404</v>
      </c>
      <c r="F35277" s="40" t="s">
        <v>11404</v>
      </c>
      <c r="G35277" s="40" t="s">
        <v>11404</v>
      </c>
      <c r="H35277" s="40" t="s">
        <v>11404</v>
      </c>
    </row>
    <row r="35278">
      <c r="A35278" s="39"/>
      <c r="E35278" s="40" t="s">
        <v>11404</v>
      </c>
      <c r="F35278" s="40" t="s">
        <v>11404</v>
      </c>
      <c r="G35278" s="40" t="s">
        <v>11404</v>
      </c>
      <c r="H35278" s="40" t="s">
        <v>11404</v>
      </c>
    </row>
    <row r="35279">
      <c r="A35279" s="39"/>
      <c r="E35279" s="40" t="s">
        <v>11404</v>
      </c>
      <c r="F35279" s="40" t="s">
        <v>11404</v>
      </c>
      <c r="G35279" s="40" t="s">
        <v>11404</v>
      </c>
      <c r="H35279" s="40" t="s">
        <v>11404</v>
      </c>
    </row>
    <row r="35280">
      <c r="A35280" s="39"/>
      <c r="E35280" s="40" t="s">
        <v>11404</v>
      </c>
      <c r="F35280" s="40" t="s">
        <v>11404</v>
      </c>
      <c r="G35280" s="40" t="s">
        <v>11404</v>
      </c>
      <c r="H35280" s="40" t="s">
        <v>11404</v>
      </c>
    </row>
    <row r="35281">
      <c r="A35281" s="39"/>
      <c r="E35281" s="40" t="s">
        <v>11404</v>
      </c>
      <c r="F35281" s="40" t="s">
        <v>11404</v>
      </c>
      <c r="G35281" s="40" t="s">
        <v>11404</v>
      </c>
      <c r="H35281" s="40" t="s">
        <v>11404</v>
      </c>
    </row>
    <row r="35282">
      <c r="A35282" s="39"/>
      <c r="E35282" s="40" t="s">
        <v>11404</v>
      </c>
      <c r="F35282" s="40" t="s">
        <v>11404</v>
      </c>
      <c r="G35282" s="40" t="s">
        <v>11404</v>
      </c>
      <c r="H35282" s="40" t="s">
        <v>11404</v>
      </c>
    </row>
    <row r="35283">
      <c r="A35283" s="39"/>
      <c r="E35283" s="40" t="s">
        <v>11404</v>
      </c>
      <c r="F35283" s="40" t="s">
        <v>11404</v>
      </c>
      <c r="G35283" s="40" t="s">
        <v>11404</v>
      </c>
      <c r="H35283" s="40" t="s">
        <v>11404</v>
      </c>
    </row>
    <row r="35284">
      <c r="A35284" s="39"/>
      <c r="E35284" s="40" t="s">
        <v>11404</v>
      </c>
      <c r="F35284" s="40" t="s">
        <v>11404</v>
      </c>
      <c r="G35284" s="40" t="s">
        <v>11404</v>
      </c>
      <c r="H35284" s="40" t="s">
        <v>11404</v>
      </c>
    </row>
    <row r="35285">
      <c r="A35285" s="39"/>
      <c r="E35285" s="40" t="s">
        <v>11404</v>
      </c>
      <c r="F35285" s="40" t="s">
        <v>11404</v>
      </c>
      <c r="G35285" s="40" t="s">
        <v>11404</v>
      </c>
      <c r="H35285" s="40" t="s">
        <v>11404</v>
      </c>
    </row>
    <row r="35286">
      <c r="A35286" s="39"/>
      <c r="E35286" s="40" t="s">
        <v>11404</v>
      </c>
      <c r="F35286" s="40" t="s">
        <v>11404</v>
      </c>
      <c r="G35286" s="40" t="s">
        <v>11404</v>
      </c>
      <c r="H35286" s="40" t="s">
        <v>11404</v>
      </c>
    </row>
    <row r="35287">
      <c r="A35287" s="39"/>
      <c r="E35287" s="40" t="s">
        <v>11404</v>
      </c>
      <c r="F35287" s="40" t="s">
        <v>11404</v>
      </c>
      <c r="G35287" s="40" t="s">
        <v>11404</v>
      </c>
      <c r="H35287" s="40" t="s">
        <v>11404</v>
      </c>
    </row>
    <row r="35288">
      <c r="A35288" s="39"/>
      <c r="E35288" s="40" t="s">
        <v>11404</v>
      </c>
      <c r="F35288" s="40" t="s">
        <v>11404</v>
      </c>
      <c r="G35288" s="40" t="s">
        <v>11404</v>
      </c>
      <c r="H35288" s="40" t="s">
        <v>11404</v>
      </c>
    </row>
    <row r="35289">
      <c r="A35289" s="39"/>
      <c r="E35289" s="40" t="s">
        <v>11404</v>
      </c>
      <c r="F35289" s="40" t="s">
        <v>11404</v>
      </c>
      <c r="G35289" s="40" t="s">
        <v>11404</v>
      </c>
      <c r="H35289" s="40" t="s">
        <v>11404</v>
      </c>
    </row>
    <row r="35290">
      <c r="A35290" s="39"/>
      <c r="E35290" s="40" t="s">
        <v>11404</v>
      </c>
      <c r="F35290" s="40" t="s">
        <v>11404</v>
      </c>
      <c r="G35290" s="40" t="s">
        <v>11404</v>
      </c>
      <c r="H35290" s="40" t="s">
        <v>11404</v>
      </c>
    </row>
    <row r="35291">
      <c r="A35291" s="39"/>
      <c r="E35291" s="40" t="s">
        <v>11404</v>
      </c>
      <c r="F35291" s="40" t="s">
        <v>11404</v>
      </c>
      <c r="G35291" s="40" t="s">
        <v>11404</v>
      </c>
      <c r="H35291" s="40" t="s">
        <v>11404</v>
      </c>
    </row>
    <row r="35292">
      <c r="A35292" s="39"/>
      <c r="E35292" s="40" t="s">
        <v>11404</v>
      </c>
      <c r="F35292" s="40" t="s">
        <v>11404</v>
      </c>
      <c r="G35292" s="40" t="s">
        <v>11404</v>
      </c>
      <c r="H35292" s="40" t="s">
        <v>11404</v>
      </c>
    </row>
    <row r="35293">
      <c r="A35293" s="39"/>
      <c r="E35293" s="40" t="s">
        <v>11404</v>
      </c>
      <c r="F35293" s="40" t="s">
        <v>11404</v>
      </c>
      <c r="G35293" s="40" t="s">
        <v>11404</v>
      </c>
      <c r="H35293" s="40" t="s">
        <v>11404</v>
      </c>
    </row>
    <row r="35294">
      <c r="A35294" s="39"/>
      <c r="E35294" s="40" t="s">
        <v>11404</v>
      </c>
      <c r="F35294" s="40" t="s">
        <v>11404</v>
      </c>
      <c r="G35294" s="40" t="s">
        <v>11404</v>
      </c>
      <c r="H35294" s="40" t="s">
        <v>11404</v>
      </c>
    </row>
    <row r="35295">
      <c r="A35295" s="39"/>
      <c r="E35295" s="40" t="s">
        <v>11404</v>
      </c>
      <c r="F35295" s="40" t="s">
        <v>11404</v>
      </c>
      <c r="G35295" s="40" t="s">
        <v>11404</v>
      </c>
      <c r="H35295" s="40" t="s">
        <v>11404</v>
      </c>
    </row>
    <row r="35296">
      <c r="A35296" s="39"/>
      <c r="E35296" s="40" t="s">
        <v>11404</v>
      </c>
      <c r="F35296" s="40" t="s">
        <v>11404</v>
      </c>
      <c r="G35296" s="40" t="s">
        <v>11404</v>
      </c>
      <c r="H35296" s="40" t="s">
        <v>11404</v>
      </c>
    </row>
    <row r="35297">
      <c r="A35297" s="39"/>
      <c r="E35297" s="40" t="s">
        <v>11404</v>
      </c>
      <c r="F35297" s="40" t="s">
        <v>11404</v>
      </c>
      <c r="G35297" s="40" t="s">
        <v>11404</v>
      </c>
      <c r="H35297" s="40" t="s">
        <v>11404</v>
      </c>
    </row>
    <row r="35298">
      <c r="A35298" s="39"/>
      <c r="E35298" s="40" t="s">
        <v>11404</v>
      </c>
      <c r="F35298" s="40" t="s">
        <v>11404</v>
      </c>
      <c r="G35298" s="40" t="s">
        <v>11404</v>
      </c>
      <c r="H35298" s="40" t="s">
        <v>11404</v>
      </c>
    </row>
    <row r="35299">
      <c r="A35299" s="39"/>
      <c r="E35299" s="40" t="s">
        <v>11404</v>
      </c>
      <c r="F35299" s="40" t="s">
        <v>11404</v>
      </c>
      <c r="G35299" s="40" t="s">
        <v>11404</v>
      </c>
      <c r="H35299" s="40" t="s">
        <v>11404</v>
      </c>
    </row>
    <row r="35300">
      <c r="A35300" s="39"/>
      <c r="E35300" s="40" t="s">
        <v>11404</v>
      </c>
      <c r="F35300" s="40" t="s">
        <v>11404</v>
      </c>
      <c r="G35300" s="40" t="s">
        <v>11404</v>
      </c>
      <c r="H35300" s="40" t="s">
        <v>11404</v>
      </c>
    </row>
    <row r="35301">
      <c r="A35301" s="39"/>
      <c r="E35301" s="40" t="s">
        <v>11404</v>
      </c>
      <c r="F35301" s="40" t="s">
        <v>11404</v>
      </c>
      <c r="G35301" s="40" t="s">
        <v>11404</v>
      </c>
      <c r="H35301" s="40" t="s">
        <v>11404</v>
      </c>
    </row>
    <row r="35302">
      <c r="A35302" s="39"/>
      <c r="E35302" s="40" t="s">
        <v>11404</v>
      </c>
      <c r="F35302" s="40" t="s">
        <v>11404</v>
      </c>
      <c r="G35302" s="40" t="s">
        <v>11404</v>
      </c>
      <c r="H35302" s="40" t="s">
        <v>11404</v>
      </c>
    </row>
    <row r="35303">
      <c r="A35303" s="39"/>
      <c r="E35303" s="40" t="s">
        <v>11404</v>
      </c>
      <c r="F35303" s="40" t="s">
        <v>11404</v>
      </c>
      <c r="G35303" s="40" t="s">
        <v>11404</v>
      </c>
      <c r="H35303" s="40" t="s">
        <v>11404</v>
      </c>
    </row>
    <row r="35304">
      <c r="A35304" s="39"/>
      <c r="E35304" s="40" t="s">
        <v>11404</v>
      </c>
      <c r="F35304" s="40" t="s">
        <v>11404</v>
      </c>
      <c r="G35304" s="40" t="s">
        <v>11404</v>
      </c>
      <c r="H35304" s="40" t="s">
        <v>11404</v>
      </c>
    </row>
    <row r="35305">
      <c r="A35305" s="39"/>
      <c r="E35305" s="40" t="s">
        <v>11404</v>
      </c>
      <c r="F35305" s="40" t="s">
        <v>11404</v>
      </c>
      <c r="G35305" s="40" t="s">
        <v>11404</v>
      </c>
      <c r="H35305" s="40" t="s">
        <v>11404</v>
      </c>
    </row>
    <row r="35306">
      <c r="A35306" s="39"/>
      <c r="E35306" s="40" t="s">
        <v>11404</v>
      </c>
      <c r="F35306" s="40" t="s">
        <v>11404</v>
      </c>
      <c r="G35306" s="40" t="s">
        <v>11404</v>
      </c>
      <c r="H35306" s="40" t="s">
        <v>11404</v>
      </c>
    </row>
    <row r="35307">
      <c r="A35307" s="39"/>
      <c r="E35307" s="40" t="s">
        <v>11404</v>
      </c>
      <c r="F35307" s="40" t="s">
        <v>11404</v>
      </c>
      <c r="G35307" s="40" t="s">
        <v>11404</v>
      </c>
      <c r="H35307" s="40" t="s">
        <v>11404</v>
      </c>
    </row>
    <row r="35308">
      <c r="A35308" s="39"/>
      <c r="E35308" s="40" t="s">
        <v>11404</v>
      </c>
      <c r="F35308" s="40" t="s">
        <v>11404</v>
      </c>
      <c r="G35308" s="40" t="s">
        <v>11404</v>
      </c>
      <c r="H35308" s="40" t="s">
        <v>11404</v>
      </c>
    </row>
    <row r="35309">
      <c r="A35309" s="39"/>
      <c r="E35309" s="40" t="s">
        <v>11404</v>
      </c>
      <c r="F35309" s="40" t="s">
        <v>11404</v>
      </c>
      <c r="G35309" s="40" t="s">
        <v>11404</v>
      </c>
      <c r="H35309" s="40" t="s">
        <v>11404</v>
      </c>
    </row>
    <row r="35310">
      <c r="A35310" s="39"/>
      <c r="E35310" s="40" t="s">
        <v>11404</v>
      </c>
      <c r="F35310" s="40" t="s">
        <v>11404</v>
      </c>
      <c r="G35310" s="40" t="s">
        <v>11404</v>
      </c>
      <c r="H35310" s="40" t="s">
        <v>11404</v>
      </c>
    </row>
    <row r="35311">
      <c r="A35311" s="39"/>
      <c r="E35311" s="40" t="s">
        <v>11404</v>
      </c>
      <c r="F35311" s="40" t="s">
        <v>11404</v>
      </c>
      <c r="G35311" s="40" t="s">
        <v>11404</v>
      </c>
      <c r="H35311" s="40" t="s">
        <v>11404</v>
      </c>
    </row>
    <row r="35312">
      <c r="A35312" s="39"/>
      <c r="E35312" s="40" t="s">
        <v>11404</v>
      </c>
      <c r="F35312" s="40" t="s">
        <v>11404</v>
      </c>
      <c r="G35312" s="40" t="s">
        <v>11404</v>
      </c>
      <c r="H35312" s="40" t="s">
        <v>11404</v>
      </c>
    </row>
    <row r="35313">
      <c r="A35313" s="39"/>
      <c r="E35313" s="40" t="s">
        <v>11404</v>
      </c>
      <c r="F35313" s="40" t="s">
        <v>11404</v>
      </c>
      <c r="G35313" s="40" t="s">
        <v>11404</v>
      </c>
      <c r="H35313" s="40" t="s">
        <v>11404</v>
      </c>
    </row>
    <row r="35314">
      <c r="A35314" s="39"/>
      <c r="E35314" s="40" t="s">
        <v>11404</v>
      </c>
      <c r="F35314" s="40" t="s">
        <v>11404</v>
      </c>
      <c r="G35314" s="40" t="s">
        <v>11404</v>
      </c>
      <c r="H35314" s="40" t="s">
        <v>11404</v>
      </c>
    </row>
    <row r="35315">
      <c r="A35315" s="39"/>
      <c r="E35315" s="40" t="s">
        <v>11404</v>
      </c>
      <c r="F35315" s="40" t="s">
        <v>11404</v>
      </c>
      <c r="G35315" s="40" t="s">
        <v>11404</v>
      </c>
      <c r="H35315" s="40" t="s">
        <v>11404</v>
      </c>
    </row>
    <row r="35316">
      <c r="A35316" s="39"/>
      <c r="E35316" s="40" t="s">
        <v>11404</v>
      </c>
      <c r="F35316" s="40" t="s">
        <v>11404</v>
      </c>
      <c r="G35316" s="40" t="s">
        <v>11404</v>
      </c>
      <c r="H35316" s="40" t="s">
        <v>11404</v>
      </c>
    </row>
    <row r="35317">
      <c r="A35317" s="39"/>
      <c r="E35317" s="40" t="s">
        <v>11404</v>
      </c>
      <c r="F35317" s="40" t="s">
        <v>11404</v>
      </c>
      <c r="G35317" s="40" t="s">
        <v>11404</v>
      </c>
      <c r="H35317" s="40" t="s">
        <v>11404</v>
      </c>
    </row>
    <row r="35318">
      <c r="A35318" s="39"/>
      <c r="E35318" s="40" t="s">
        <v>11404</v>
      </c>
      <c r="F35318" s="40" t="s">
        <v>11404</v>
      </c>
      <c r="G35318" s="40" t="s">
        <v>11404</v>
      </c>
      <c r="H35318" s="40" t="s">
        <v>11404</v>
      </c>
    </row>
    <row r="35319">
      <c r="A35319" s="39"/>
      <c r="E35319" s="40" t="s">
        <v>11404</v>
      </c>
      <c r="F35319" s="40" t="s">
        <v>11404</v>
      </c>
      <c r="G35319" s="40" t="s">
        <v>11404</v>
      </c>
      <c r="H35319" s="40" t="s">
        <v>11404</v>
      </c>
    </row>
    <row r="35320">
      <c r="A35320" s="39"/>
      <c r="E35320" s="40" t="s">
        <v>11404</v>
      </c>
      <c r="F35320" s="40" t="s">
        <v>11404</v>
      </c>
      <c r="G35320" s="40" t="s">
        <v>11404</v>
      </c>
      <c r="H35320" s="40" t="s">
        <v>11404</v>
      </c>
    </row>
    <row r="35321">
      <c r="A35321" s="39"/>
      <c r="E35321" s="40" t="s">
        <v>11404</v>
      </c>
      <c r="F35321" s="40" t="s">
        <v>11404</v>
      </c>
      <c r="G35321" s="40" t="s">
        <v>11404</v>
      </c>
      <c r="H35321" s="40" t="s">
        <v>11404</v>
      </c>
    </row>
    <row r="35322">
      <c r="A35322" s="39"/>
      <c r="E35322" s="40" t="s">
        <v>11404</v>
      </c>
      <c r="F35322" s="40" t="s">
        <v>11404</v>
      </c>
      <c r="G35322" s="40" t="s">
        <v>11404</v>
      </c>
      <c r="H35322" s="40" t="s">
        <v>11404</v>
      </c>
    </row>
    <row r="35323">
      <c r="A35323" s="39"/>
      <c r="E35323" s="40" t="s">
        <v>11404</v>
      </c>
      <c r="F35323" s="40" t="s">
        <v>11404</v>
      </c>
      <c r="G35323" s="40" t="s">
        <v>11404</v>
      </c>
      <c r="H35323" s="40" t="s">
        <v>11404</v>
      </c>
    </row>
    <row r="35324">
      <c r="A35324" s="39"/>
      <c r="E35324" s="40" t="s">
        <v>11404</v>
      </c>
      <c r="F35324" s="40" t="s">
        <v>11404</v>
      </c>
      <c r="G35324" s="40" t="s">
        <v>11404</v>
      </c>
      <c r="H35324" s="40" t="s">
        <v>11404</v>
      </c>
    </row>
    <row r="35325">
      <c r="A35325" s="39"/>
      <c r="E35325" s="40" t="s">
        <v>11404</v>
      </c>
      <c r="F35325" s="40" t="s">
        <v>11404</v>
      </c>
      <c r="G35325" s="40" t="s">
        <v>11404</v>
      </c>
      <c r="H35325" s="40" t="s">
        <v>11404</v>
      </c>
    </row>
    <row r="35326">
      <c r="A35326" s="39"/>
      <c r="E35326" s="40" t="s">
        <v>11404</v>
      </c>
      <c r="F35326" s="40" t="s">
        <v>11404</v>
      </c>
      <c r="G35326" s="40" t="s">
        <v>11404</v>
      </c>
      <c r="H35326" s="40" t="s">
        <v>11404</v>
      </c>
    </row>
    <row r="35327">
      <c r="A35327" s="39"/>
      <c r="E35327" s="40" t="s">
        <v>11404</v>
      </c>
      <c r="F35327" s="40" t="s">
        <v>11404</v>
      </c>
      <c r="G35327" s="40" t="s">
        <v>11404</v>
      </c>
      <c r="H35327" s="40" t="s">
        <v>11404</v>
      </c>
    </row>
    <row r="35328">
      <c r="A35328" s="39"/>
      <c r="E35328" s="40" t="s">
        <v>11404</v>
      </c>
      <c r="F35328" s="40" t="s">
        <v>11404</v>
      </c>
      <c r="G35328" s="40" t="s">
        <v>11404</v>
      </c>
      <c r="H35328" s="40" t="s">
        <v>11404</v>
      </c>
    </row>
    <row r="35329">
      <c r="A35329" s="39"/>
      <c r="E35329" s="40" t="s">
        <v>11404</v>
      </c>
      <c r="F35329" s="40" t="s">
        <v>11404</v>
      </c>
      <c r="G35329" s="40" t="s">
        <v>11404</v>
      </c>
      <c r="H35329" s="40" t="s">
        <v>11404</v>
      </c>
    </row>
    <row r="35330">
      <c r="A35330" s="39"/>
      <c r="E35330" s="40" t="s">
        <v>11404</v>
      </c>
      <c r="F35330" s="40" t="s">
        <v>11404</v>
      </c>
      <c r="G35330" s="40" t="s">
        <v>11404</v>
      </c>
      <c r="H35330" s="40" t="s">
        <v>11404</v>
      </c>
    </row>
    <row r="35331">
      <c r="A35331" s="39"/>
      <c r="E35331" s="40" t="s">
        <v>11404</v>
      </c>
      <c r="F35331" s="40" t="s">
        <v>11404</v>
      </c>
      <c r="G35331" s="40" t="s">
        <v>11404</v>
      </c>
      <c r="H35331" s="40" t="s">
        <v>11404</v>
      </c>
    </row>
    <row r="35332">
      <c r="A35332" s="39"/>
      <c r="E35332" s="40" t="s">
        <v>11404</v>
      </c>
      <c r="F35332" s="40" t="s">
        <v>11404</v>
      </c>
      <c r="G35332" s="40" t="s">
        <v>11404</v>
      </c>
      <c r="H35332" s="40" t="s">
        <v>11404</v>
      </c>
    </row>
    <row r="35333">
      <c r="A35333" s="39"/>
      <c r="E35333" s="40" t="s">
        <v>11404</v>
      </c>
      <c r="F35333" s="40" t="s">
        <v>11404</v>
      </c>
      <c r="G35333" s="40" t="s">
        <v>11404</v>
      </c>
      <c r="H35333" s="40" t="s">
        <v>11404</v>
      </c>
    </row>
    <row r="35334">
      <c r="A35334" s="39"/>
      <c r="E35334" s="40" t="s">
        <v>11404</v>
      </c>
      <c r="F35334" s="40" t="s">
        <v>11404</v>
      </c>
      <c r="G35334" s="40" t="s">
        <v>11404</v>
      </c>
      <c r="H35334" s="40" t="s">
        <v>11404</v>
      </c>
    </row>
    <row r="35335">
      <c r="A35335" s="39"/>
      <c r="E35335" s="40" t="s">
        <v>11404</v>
      </c>
      <c r="F35335" s="40" t="s">
        <v>11404</v>
      </c>
      <c r="G35335" s="40" t="s">
        <v>11404</v>
      </c>
      <c r="H35335" s="40" t="s">
        <v>11404</v>
      </c>
    </row>
    <row r="35336">
      <c r="A35336" s="39"/>
      <c r="E35336" s="40" t="s">
        <v>11404</v>
      </c>
      <c r="F35336" s="40" t="s">
        <v>11404</v>
      </c>
      <c r="G35336" s="40" t="s">
        <v>11404</v>
      </c>
      <c r="H35336" s="40" t="s">
        <v>11404</v>
      </c>
    </row>
    <row r="35337">
      <c r="A35337" s="39"/>
      <c r="E35337" s="40" t="s">
        <v>11404</v>
      </c>
      <c r="F35337" s="40" t="s">
        <v>11404</v>
      </c>
      <c r="G35337" s="40" t="s">
        <v>11404</v>
      </c>
      <c r="H35337" s="40" t="s">
        <v>11404</v>
      </c>
    </row>
    <row r="35338">
      <c r="A35338" s="39"/>
      <c r="E35338" s="40" t="s">
        <v>11404</v>
      </c>
      <c r="F35338" s="40" t="s">
        <v>11404</v>
      </c>
      <c r="G35338" s="40" t="s">
        <v>11404</v>
      </c>
      <c r="H35338" s="40" t="s">
        <v>11404</v>
      </c>
    </row>
    <row r="35339">
      <c r="A35339" s="39"/>
      <c r="E35339" s="40" t="s">
        <v>11404</v>
      </c>
      <c r="F35339" s="40" t="s">
        <v>11404</v>
      </c>
      <c r="G35339" s="40" t="s">
        <v>11404</v>
      </c>
      <c r="H35339" s="40" t="s">
        <v>11404</v>
      </c>
    </row>
    <row r="35340">
      <c r="A35340" s="39"/>
      <c r="E35340" s="40" t="s">
        <v>11404</v>
      </c>
      <c r="F35340" s="40" t="s">
        <v>11404</v>
      </c>
      <c r="G35340" s="40" t="s">
        <v>11404</v>
      </c>
      <c r="H35340" s="40" t="s">
        <v>11404</v>
      </c>
    </row>
    <row r="35341">
      <c r="A35341" s="39"/>
      <c r="E35341" s="40" t="s">
        <v>11404</v>
      </c>
      <c r="F35341" s="40" t="s">
        <v>11404</v>
      </c>
      <c r="G35341" s="40" t="s">
        <v>11404</v>
      </c>
      <c r="H35341" s="40" t="s">
        <v>11404</v>
      </c>
    </row>
    <row r="35342">
      <c r="A35342" s="39"/>
      <c r="E35342" s="40" t="s">
        <v>11404</v>
      </c>
      <c r="F35342" s="40" t="s">
        <v>11404</v>
      </c>
      <c r="G35342" s="40" t="s">
        <v>11404</v>
      </c>
      <c r="H35342" s="40" t="s">
        <v>11404</v>
      </c>
    </row>
    <row r="35343">
      <c r="A35343" s="39"/>
      <c r="E35343" s="40" t="s">
        <v>11404</v>
      </c>
      <c r="F35343" s="40" t="s">
        <v>11404</v>
      </c>
      <c r="G35343" s="40" t="s">
        <v>11404</v>
      </c>
      <c r="H35343" s="40" t="s">
        <v>11404</v>
      </c>
    </row>
    <row r="35344">
      <c r="A35344" s="39"/>
      <c r="E35344" s="40" t="s">
        <v>11404</v>
      </c>
      <c r="F35344" s="40" t="s">
        <v>11404</v>
      </c>
      <c r="G35344" s="40" t="s">
        <v>11404</v>
      </c>
      <c r="H35344" s="40" t="s">
        <v>11404</v>
      </c>
    </row>
    <row r="35345">
      <c r="A35345" s="39"/>
      <c r="E35345" s="40" t="s">
        <v>11404</v>
      </c>
      <c r="F35345" s="40" t="s">
        <v>11404</v>
      </c>
      <c r="G35345" s="40" t="s">
        <v>11404</v>
      </c>
      <c r="H35345" s="40" t="s">
        <v>11404</v>
      </c>
    </row>
    <row r="35346">
      <c r="A35346" s="39"/>
      <c r="E35346" s="40" t="s">
        <v>11404</v>
      </c>
      <c r="F35346" s="40" t="s">
        <v>11404</v>
      </c>
      <c r="G35346" s="40" t="s">
        <v>11404</v>
      </c>
      <c r="H35346" s="40" t="s">
        <v>11404</v>
      </c>
    </row>
    <row r="35347">
      <c r="A35347" s="39"/>
      <c r="E35347" s="40" t="s">
        <v>11404</v>
      </c>
      <c r="F35347" s="40" t="s">
        <v>11404</v>
      </c>
      <c r="G35347" s="40" t="s">
        <v>11404</v>
      </c>
      <c r="H35347" s="40" t="s">
        <v>11404</v>
      </c>
    </row>
    <row r="35348">
      <c r="A35348" s="39"/>
      <c r="E35348" s="40" t="s">
        <v>11404</v>
      </c>
      <c r="F35348" s="40" t="s">
        <v>11404</v>
      </c>
      <c r="G35348" s="40" t="s">
        <v>11404</v>
      </c>
      <c r="H35348" s="40" t="s">
        <v>11404</v>
      </c>
    </row>
    <row r="35349">
      <c r="A35349" s="39"/>
      <c r="E35349" s="40" t="s">
        <v>11404</v>
      </c>
      <c r="F35349" s="40" t="s">
        <v>11404</v>
      </c>
      <c r="G35349" s="40" t="s">
        <v>11404</v>
      </c>
      <c r="H35349" s="40" t="s">
        <v>11404</v>
      </c>
    </row>
    <row r="35350">
      <c r="A35350" s="39"/>
      <c r="E35350" s="40" t="s">
        <v>11404</v>
      </c>
      <c r="F35350" s="40" t="s">
        <v>11404</v>
      </c>
      <c r="G35350" s="40" t="s">
        <v>11404</v>
      </c>
      <c r="H35350" s="40" t="s">
        <v>11404</v>
      </c>
    </row>
    <row r="35351">
      <c r="A35351" s="39"/>
      <c r="E35351" s="40" t="s">
        <v>11404</v>
      </c>
      <c r="F35351" s="40" t="s">
        <v>11404</v>
      </c>
      <c r="G35351" s="40" t="s">
        <v>11404</v>
      </c>
      <c r="H35351" s="40" t="s">
        <v>11404</v>
      </c>
    </row>
    <row r="35352">
      <c r="A35352" s="39"/>
      <c r="E35352" s="40" t="s">
        <v>11404</v>
      </c>
      <c r="F35352" s="40" t="s">
        <v>11404</v>
      </c>
      <c r="G35352" s="40" t="s">
        <v>11404</v>
      </c>
      <c r="H35352" s="40" t="s">
        <v>11404</v>
      </c>
    </row>
    <row r="35353">
      <c r="A35353" s="39"/>
      <c r="E35353" s="40" t="s">
        <v>11404</v>
      </c>
      <c r="F35353" s="40" t="s">
        <v>11404</v>
      </c>
      <c r="G35353" s="40" t="s">
        <v>11404</v>
      </c>
      <c r="H35353" s="40" t="s">
        <v>11404</v>
      </c>
    </row>
    <row r="35354">
      <c r="A35354" s="39"/>
      <c r="E35354" s="40" t="s">
        <v>11404</v>
      </c>
      <c r="F35354" s="40" t="s">
        <v>11404</v>
      </c>
      <c r="G35354" s="40" t="s">
        <v>11404</v>
      </c>
      <c r="H35354" s="40" t="s">
        <v>11404</v>
      </c>
    </row>
    <row r="35355">
      <c r="A35355" s="39"/>
      <c r="E35355" s="40" t="s">
        <v>11404</v>
      </c>
      <c r="F35355" s="40" t="s">
        <v>11404</v>
      </c>
      <c r="G35355" s="40" t="s">
        <v>11404</v>
      </c>
      <c r="H35355" s="40" t="s">
        <v>11404</v>
      </c>
    </row>
    <row r="35356">
      <c r="A35356" s="39"/>
      <c r="E35356" s="40" t="s">
        <v>11404</v>
      </c>
      <c r="F35356" s="40" t="s">
        <v>11404</v>
      </c>
      <c r="G35356" s="40" t="s">
        <v>11404</v>
      </c>
      <c r="H35356" s="40" t="s">
        <v>11404</v>
      </c>
    </row>
    <row r="35357">
      <c r="A35357" s="39"/>
      <c r="E35357" s="40" t="s">
        <v>11404</v>
      </c>
      <c r="F35357" s="40" t="s">
        <v>11404</v>
      </c>
      <c r="G35357" s="40" t="s">
        <v>11404</v>
      </c>
      <c r="H35357" s="40" t="s">
        <v>11404</v>
      </c>
    </row>
    <row r="35358">
      <c r="A35358" s="39"/>
      <c r="E35358" s="40" t="s">
        <v>11404</v>
      </c>
      <c r="F35358" s="40" t="s">
        <v>11404</v>
      </c>
      <c r="G35358" s="40" t="s">
        <v>11404</v>
      </c>
      <c r="H35358" s="40" t="s">
        <v>11404</v>
      </c>
    </row>
    <row r="35359">
      <c r="A35359" s="39"/>
      <c r="E35359" s="40" t="s">
        <v>11404</v>
      </c>
      <c r="F35359" s="40" t="s">
        <v>11404</v>
      </c>
      <c r="G35359" s="40" t="s">
        <v>11404</v>
      </c>
      <c r="H35359" s="40" t="s">
        <v>11404</v>
      </c>
    </row>
    <row r="35360">
      <c r="A35360" s="39"/>
      <c r="E35360" s="40" t="s">
        <v>11404</v>
      </c>
      <c r="F35360" s="40" t="s">
        <v>11404</v>
      </c>
      <c r="G35360" s="40" t="s">
        <v>11404</v>
      </c>
      <c r="H35360" s="40" t="s">
        <v>11404</v>
      </c>
    </row>
    <row r="35361">
      <c r="A35361" s="39"/>
      <c r="E35361" s="40" t="s">
        <v>11404</v>
      </c>
      <c r="F35361" s="40" t="s">
        <v>11404</v>
      </c>
      <c r="G35361" s="40" t="s">
        <v>11404</v>
      </c>
      <c r="H35361" s="40" t="s">
        <v>11404</v>
      </c>
    </row>
    <row r="35362">
      <c r="A35362" s="39"/>
      <c r="E35362" s="40" t="s">
        <v>11404</v>
      </c>
      <c r="F35362" s="40" t="s">
        <v>11404</v>
      </c>
      <c r="G35362" s="40" t="s">
        <v>11404</v>
      </c>
      <c r="H35362" s="40" t="s">
        <v>11404</v>
      </c>
    </row>
    <row r="35363">
      <c r="A35363" s="39"/>
      <c r="E35363" s="40" t="s">
        <v>11404</v>
      </c>
      <c r="F35363" s="40" t="s">
        <v>11404</v>
      </c>
      <c r="G35363" s="40" t="s">
        <v>11404</v>
      </c>
      <c r="H35363" s="40" t="s">
        <v>11404</v>
      </c>
    </row>
    <row r="35364">
      <c r="A35364" s="39"/>
      <c r="E35364" s="40" t="s">
        <v>11404</v>
      </c>
      <c r="F35364" s="40" t="s">
        <v>11404</v>
      </c>
      <c r="G35364" s="40" t="s">
        <v>11404</v>
      </c>
      <c r="H35364" s="40" t="s">
        <v>11404</v>
      </c>
    </row>
    <row r="35365">
      <c r="A35365" s="39"/>
      <c r="E35365" s="40" t="s">
        <v>11404</v>
      </c>
      <c r="F35365" s="40" t="s">
        <v>11404</v>
      </c>
      <c r="G35365" s="40" t="s">
        <v>11404</v>
      </c>
      <c r="H35365" s="40" t="s">
        <v>11404</v>
      </c>
    </row>
    <row r="35366">
      <c r="A35366" s="39"/>
      <c r="E35366" s="40" t="s">
        <v>11404</v>
      </c>
      <c r="F35366" s="40" t="s">
        <v>11404</v>
      </c>
      <c r="G35366" s="40" t="s">
        <v>11404</v>
      </c>
      <c r="H35366" s="40" t="s">
        <v>11404</v>
      </c>
    </row>
    <row r="35367">
      <c r="A35367" s="39"/>
      <c r="E35367" s="40" t="s">
        <v>11404</v>
      </c>
      <c r="F35367" s="40" t="s">
        <v>11404</v>
      </c>
      <c r="G35367" s="40" t="s">
        <v>11404</v>
      </c>
      <c r="H35367" s="40" t="s">
        <v>11404</v>
      </c>
    </row>
    <row r="35368">
      <c r="A35368" s="39"/>
      <c r="E35368" s="40" t="s">
        <v>11404</v>
      </c>
      <c r="F35368" s="40" t="s">
        <v>11404</v>
      </c>
      <c r="G35368" s="40" t="s">
        <v>11404</v>
      </c>
      <c r="H35368" s="40" t="s">
        <v>11404</v>
      </c>
    </row>
    <row r="35369">
      <c r="A35369" s="39"/>
      <c r="E35369" s="40" t="s">
        <v>11404</v>
      </c>
      <c r="F35369" s="40" t="s">
        <v>11404</v>
      </c>
      <c r="G35369" s="40" t="s">
        <v>11404</v>
      </c>
      <c r="H35369" s="40" t="s">
        <v>11404</v>
      </c>
    </row>
    <row r="35370">
      <c r="A35370" s="39"/>
      <c r="E35370" s="40" t="s">
        <v>11404</v>
      </c>
      <c r="F35370" s="40" t="s">
        <v>11404</v>
      </c>
      <c r="G35370" s="40" t="s">
        <v>11404</v>
      </c>
      <c r="H35370" s="40" t="s">
        <v>11404</v>
      </c>
    </row>
    <row r="35371">
      <c r="A35371" s="39"/>
      <c r="E35371" s="40" t="s">
        <v>11404</v>
      </c>
      <c r="F35371" s="40" t="s">
        <v>11404</v>
      </c>
      <c r="G35371" s="40" t="s">
        <v>11404</v>
      </c>
      <c r="H35371" s="40" t="s">
        <v>11404</v>
      </c>
    </row>
    <row r="35372">
      <c r="A35372" s="39"/>
      <c r="E35372" s="40" t="s">
        <v>11404</v>
      </c>
      <c r="F35372" s="40" t="s">
        <v>11404</v>
      </c>
      <c r="G35372" s="40" t="s">
        <v>11404</v>
      </c>
      <c r="H35372" s="40" t="s">
        <v>11404</v>
      </c>
    </row>
    <row r="35373">
      <c r="A35373" s="39"/>
      <c r="E35373" s="40" t="s">
        <v>11404</v>
      </c>
      <c r="F35373" s="40" t="s">
        <v>11404</v>
      </c>
      <c r="G35373" s="40" t="s">
        <v>11404</v>
      </c>
      <c r="H35373" s="40" t="s">
        <v>11404</v>
      </c>
    </row>
    <row r="35374">
      <c r="A35374" s="39"/>
      <c r="E35374" s="40" t="s">
        <v>11404</v>
      </c>
      <c r="F35374" s="40" t="s">
        <v>11404</v>
      </c>
      <c r="G35374" s="40" t="s">
        <v>11404</v>
      </c>
      <c r="H35374" s="40" t="s">
        <v>11404</v>
      </c>
    </row>
    <row r="35375">
      <c r="A35375" s="39"/>
      <c r="E35375" s="40" t="s">
        <v>11404</v>
      </c>
      <c r="F35375" s="40" t="s">
        <v>11404</v>
      </c>
      <c r="G35375" s="40" t="s">
        <v>11404</v>
      </c>
      <c r="H35375" s="40" t="s">
        <v>11404</v>
      </c>
    </row>
    <row r="35376">
      <c r="A35376" s="39"/>
      <c r="E35376" s="40" t="s">
        <v>11404</v>
      </c>
      <c r="F35376" s="40" t="s">
        <v>11404</v>
      </c>
      <c r="G35376" s="40" t="s">
        <v>11404</v>
      </c>
      <c r="H35376" s="40" t="s">
        <v>11404</v>
      </c>
    </row>
    <row r="35377">
      <c r="A35377" s="39"/>
      <c r="E35377" s="40" t="s">
        <v>11404</v>
      </c>
      <c r="F35377" s="40" t="s">
        <v>11404</v>
      </c>
      <c r="G35377" s="40" t="s">
        <v>11404</v>
      </c>
      <c r="H35377" s="40" t="s">
        <v>11404</v>
      </c>
    </row>
    <row r="35378">
      <c r="A35378" s="39"/>
      <c r="E35378" s="40" t="s">
        <v>11404</v>
      </c>
      <c r="F35378" s="40" t="s">
        <v>11404</v>
      </c>
      <c r="G35378" s="40" t="s">
        <v>11404</v>
      </c>
      <c r="H35378" s="40" t="s">
        <v>11404</v>
      </c>
    </row>
    <row r="35379">
      <c r="A35379" s="39"/>
      <c r="E35379" s="40" t="s">
        <v>11404</v>
      </c>
      <c r="F35379" s="40" t="s">
        <v>11404</v>
      </c>
      <c r="G35379" s="40" t="s">
        <v>11404</v>
      </c>
      <c r="H35379" s="40" t="s">
        <v>11404</v>
      </c>
    </row>
    <row r="35380">
      <c r="A35380" s="39"/>
      <c r="E35380" s="40" t="s">
        <v>11404</v>
      </c>
      <c r="F35380" s="40" t="s">
        <v>11404</v>
      </c>
      <c r="G35380" s="40" t="s">
        <v>11404</v>
      </c>
      <c r="H35380" s="40" t="s">
        <v>11404</v>
      </c>
    </row>
    <row r="35381">
      <c r="A35381" s="39"/>
      <c r="E35381" s="40" t="s">
        <v>11404</v>
      </c>
      <c r="F35381" s="40" t="s">
        <v>11404</v>
      </c>
      <c r="G35381" s="40" t="s">
        <v>11404</v>
      </c>
      <c r="H35381" s="40" t="s">
        <v>11404</v>
      </c>
    </row>
    <row r="35382">
      <c r="A35382" s="39"/>
      <c r="E35382" s="40" t="s">
        <v>11404</v>
      </c>
      <c r="F35382" s="40" t="s">
        <v>11404</v>
      </c>
      <c r="G35382" s="40" t="s">
        <v>11404</v>
      </c>
      <c r="H35382" s="40" t="s">
        <v>11404</v>
      </c>
    </row>
    <row r="35383">
      <c r="A35383" s="39"/>
      <c r="E35383" s="40" t="s">
        <v>11404</v>
      </c>
      <c r="F35383" s="40" t="s">
        <v>11404</v>
      </c>
      <c r="G35383" s="40" t="s">
        <v>11404</v>
      </c>
      <c r="H35383" s="40" t="s">
        <v>11404</v>
      </c>
    </row>
    <row r="35384">
      <c r="A35384" s="39"/>
      <c r="E35384" s="40" t="s">
        <v>11404</v>
      </c>
      <c r="F35384" s="40" t="s">
        <v>11404</v>
      </c>
      <c r="G35384" s="40" t="s">
        <v>11404</v>
      </c>
      <c r="H35384" s="40" t="s">
        <v>11404</v>
      </c>
    </row>
    <row r="35385">
      <c r="A35385" s="39"/>
      <c r="E35385" s="40" t="s">
        <v>11404</v>
      </c>
      <c r="F35385" s="40" t="s">
        <v>11404</v>
      </c>
      <c r="G35385" s="40" t="s">
        <v>11404</v>
      </c>
      <c r="H35385" s="40" t="s">
        <v>11404</v>
      </c>
    </row>
    <row r="35386">
      <c r="A35386" s="39"/>
      <c r="E35386" s="40" t="s">
        <v>11404</v>
      </c>
      <c r="F35386" s="40" t="s">
        <v>11404</v>
      </c>
      <c r="G35386" s="40" t="s">
        <v>11404</v>
      </c>
      <c r="H35386" s="40" t="s">
        <v>11404</v>
      </c>
    </row>
    <row r="35387">
      <c r="A35387" s="39"/>
      <c r="E35387" s="40" t="s">
        <v>11404</v>
      </c>
      <c r="F35387" s="40" t="s">
        <v>11404</v>
      </c>
      <c r="G35387" s="40" t="s">
        <v>11404</v>
      </c>
      <c r="H35387" s="40" t="s">
        <v>11404</v>
      </c>
    </row>
    <row r="35388">
      <c r="A35388" s="39"/>
      <c r="E35388" s="40" t="s">
        <v>11404</v>
      </c>
      <c r="F35388" s="40" t="s">
        <v>11404</v>
      </c>
      <c r="G35388" s="40" t="s">
        <v>11404</v>
      </c>
      <c r="H35388" s="40" t="s">
        <v>11404</v>
      </c>
    </row>
    <row r="35389">
      <c r="A35389" s="39"/>
      <c r="E35389" s="40" t="s">
        <v>11404</v>
      </c>
      <c r="F35389" s="40" t="s">
        <v>11404</v>
      </c>
      <c r="G35389" s="40" t="s">
        <v>11404</v>
      </c>
      <c r="H35389" s="40" t="s">
        <v>11404</v>
      </c>
    </row>
    <row r="35390">
      <c r="A35390" s="39"/>
      <c r="E35390" s="40" t="s">
        <v>11404</v>
      </c>
      <c r="F35390" s="40" t="s">
        <v>11404</v>
      </c>
      <c r="G35390" s="40" t="s">
        <v>11404</v>
      </c>
      <c r="H35390" s="40" t="s">
        <v>11404</v>
      </c>
    </row>
    <row r="35391">
      <c r="A35391" s="39"/>
      <c r="E35391" s="40" t="s">
        <v>11404</v>
      </c>
      <c r="F35391" s="40" t="s">
        <v>11404</v>
      </c>
      <c r="G35391" s="40" t="s">
        <v>11404</v>
      </c>
      <c r="H35391" s="40" t="s">
        <v>11404</v>
      </c>
    </row>
    <row r="35392">
      <c r="A35392" s="39"/>
      <c r="E35392" s="40" t="s">
        <v>11404</v>
      </c>
      <c r="F35392" s="40" t="s">
        <v>11404</v>
      </c>
      <c r="G35392" s="40" t="s">
        <v>11404</v>
      </c>
      <c r="H35392" s="40" t="s">
        <v>11404</v>
      </c>
    </row>
    <row r="35393">
      <c r="A35393" s="39"/>
      <c r="E35393" s="40" t="s">
        <v>11404</v>
      </c>
      <c r="F35393" s="40" t="s">
        <v>11404</v>
      </c>
      <c r="G35393" s="40" t="s">
        <v>11404</v>
      </c>
      <c r="H35393" s="40" t="s">
        <v>11404</v>
      </c>
    </row>
    <row r="35394">
      <c r="A35394" s="39"/>
      <c r="E35394" s="40" t="s">
        <v>11404</v>
      </c>
      <c r="F35394" s="40" t="s">
        <v>11404</v>
      </c>
      <c r="G35394" s="40" t="s">
        <v>11404</v>
      </c>
      <c r="H35394" s="40" t="s">
        <v>11404</v>
      </c>
    </row>
    <row r="35395">
      <c r="A35395" s="39"/>
      <c r="E35395" s="40" t="s">
        <v>11404</v>
      </c>
      <c r="F35395" s="40" t="s">
        <v>11404</v>
      </c>
      <c r="G35395" s="40" t="s">
        <v>11404</v>
      </c>
      <c r="H35395" s="40" t="s">
        <v>11404</v>
      </c>
    </row>
    <row r="35396">
      <c r="A35396" s="39"/>
      <c r="E35396" s="40" t="s">
        <v>11404</v>
      </c>
      <c r="F35396" s="40" t="s">
        <v>11404</v>
      </c>
      <c r="G35396" s="40" t="s">
        <v>11404</v>
      </c>
      <c r="H35396" s="40" t="s">
        <v>11404</v>
      </c>
    </row>
    <row r="35397">
      <c r="A35397" s="39"/>
      <c r="E35397" s="40" t="s">
        <v>11404</v>
      </c>
      <c r="F35397" s="40" t="s">
        <v>11404</v>
      </c>
      <c r="G35397" s="40" t="s">
        <v>11404</v>
      </c>
      <c r="H35397" s="40" t="s">
        <v>11404</v>
      </c>
    </row>
    <row r="35398">
      <c r="A35398" s="39"/>
      <c r="E35398" s="40" t="s">
        <v>11404</v>
      </c>
      <c r="F35398" s="40" t="s">
        <v>11404</v>
      </c>
      <c r="G35398" s="40" t="s">
        <v>11404</v>
      </c>
      <c r="H35398" s="40" t="s">
        <v>11404</v>
      </c>
    </row>
    <row r="35399">
      <c r="A35399" s="39"/>
      <c r="E35399" s="40" t="s">
        <v>11404</v>
      </c>
      <c r="F35399" s="40" t="s">
        <v>11404</v>
      </c>
      <c r="G35399" s="40" t="s">
        <v>11404</v>
      </c>
      <c r="H35399" s="40" t="s">
        <v>11404</v>
      </c>
    </row>
    <row r="35400">
      <c r="A35400" s="39"/>
      <c r="E35400" s="40" t="s">
        <v>11404</v>
      </c>
      <c r="F35400" s="40" t="s">
        <v>11404</v>
      </c>
      <c r="G35400" s="40" t="s">
        <v>11404</v>
      </c>
      <c r="H35400" s="40" t="s">
        <v>11404</v>
      </c>
    </row>
    <row r="35401">
      <c r="A35401" s="39"/>
      <c r="E35401" s="40" t="s">
        <v>11404</v>
      </c>
      <c r="F35401" s="40" t="s">
        <v>11404</v>
      </c>
      <c r="G35401" s="40" t="s">
        <v>11404</v>
      </c>
      <c r="H35401" s="40" t="s">
        <v>11404</v>
      </c>
    </row>
    <row r="35402">
      <c r="A35402" s="39"/>
      <c r="E35402" s="40" t="s">
        <v>11404</v>
      </c>
      <c r="F35402" s="40" t="s">
        <v>11404</v>
      </c>
      <c r="G35402" s="40" t="s">
        <v>11404</v>
      </c>
      <c r="H35402" s="40" t="s">
        <v>11404</v>
      </c>
    </row>
    <row r="35403">
      <c r="A35403" s="39"/>
      <c r="E35403" s="40" t="s">
        <v>11404</v>
      </c>
      <c r="F35403" s="40" t="s">
        <v>11404</v>
      </c>
      <c r="G35403" s="40" t="s">
        <v>11404</v>
      </c>
      <c r="H35403" s="40" t="s">
        <v>11404</v>
      </c>
    </row>
    <row r="35404">
      <c r="A35404" s="39"/>
      <c r="E35404" s="40" t="s">
        <v>11404</v>
      </c>
      <c r="F35404" s="40" t="s">
        <v>11404</v>
      </c>
      <c r="G35404" s="40" t="s">
        <v>11404</v>
      </c>
      <c r="H35404" s="40" t="s">
        <v>11404</v>
      </c>
    </row>
    <row r="35405">
      <c r="A35405" s="39"/>
      <c r="E35405" s="40" t="s">
        <v>11404</v>
      </c>
      <c r="F35405" s="40" t="s">
        <v>11404</v>
      </c>
      <c r="G35405" s="40" t="s">
        <v>11404</v>
      </c>
      <c r="H35405" s="40" t="s">
        <v>11404</v>
      </c>
    </row>
    <row r="35406">
      <c r="A35406" s="39"/>
      <c r="E35406" s="40" t="s">
        <v>11404</v>
      </c>
      <c r="F35406" s="40" t="s">
        <v>11404</v>
      </c>
      <c r="G35406" s="40" t="s">
        <v>11404</v>
      </c>
      <c r="H35406" s="40" t="s">
        <v>11404</v>
      </c>
    </row>
    <row r="35407">
      <c r="A35407" s="39"/>
      <c r="E35407" s="40" t="s">
        <v>11404</v>
      </c>
      <c r="F35407" s="40" t="s">
        <v>11404</v>
      </c>
      <c r="G35407" s="40" t="s">
        <v>11404</v>
      </c>
      <c r="H35407" s="40" t="s">
        <v>11404</v>
      </c>
    </row>
    <row r="35408">
      <c r="A35408" s="39"/>
      <c r="E35408" s="40" t="s">
        <v>11404</v>
      </c>
      <c r="F35408" s="40" t="s">
        <v>11404</v>
      </c>
      <c r="G35408" s="40" t="s">
        <v>11404</v>
      </c>
      <c r="H35408" s="40" t="s">
        <v>11404</v>
      </c>
    </row>
    <row r="35409">
      <c r="A35409" s="39"/>
      <c r="E35409" s="40" t="s">
        <v>11404</v>
      </c>
      <c r="F35409" s="40" t="s">
        <v>11404</v>
      </c>
      <c r="G35409" s="40" t="s">
        <v>11404</v>
      </c>
      <c r="H35409" s="40" t="s">
        <v>11404</v>
      </c>
    </row>
    <row r="35410">
      <c r="A35410" s="39"/>
      <c r="E35410" s="40" t="s">
        <v>11404</v>
      </c>
      <c r="F35410" s="40" t="s">
        <v>11404</v>
      </c>
      <c r="G35410" s="40" t="s">
        <v>11404</v>
      </c>
      <c r="H35410" s="40" t="s">
        <v>11404</v>
      </c>
    </row>
    <row r="35411">
      <c r="A35411" s="39"/>
      <c r="E35411" s="40" t="s">
        <v>11404</v>
      </c>
      <c r="F35411" s="40" t="s">
        <v>11404</v>
      </c>
      <c r="G35411" s="40" t="s">
        <v>11404</v>
      </c>
      <c r="H35411" s="40" t="s">
        <v>11404</v>
      </c>
    </row>
    <row r="35412">
      <c r="A35412" s="39"/>
      <c r="E35412" s="40" t="s">
        <v>11404</v>
      </c>
      <c r="F35412" s="40" t="s">
        <v>11404</v>
      </c>
      <c r="G35412" s="40" t="s">
        <v>11404</v>
      </c>
      <c r="H35412" s="40" t="s">
        <v>11404</v>
      </c>
    </row>
    <row r="35413">
      <c r="A35413" s="39"/>
      <c r="E35413" s="40" t="s">
        <v>11404</v>
      </c>
      <c r="F35413" s="40" t="s">
        <v>11404</v>
      </c>
      <c r="G35413" s="40" t="s">
        <v>11404</v>
      </c>
      <c r="H35413" s="40" t="s">
        <v>11404</v>
      </c>
    </row>
    <row r="35414">
      <c r="A35414" s="39"/>
      <c r="E35414" s="40" t="s">
        <v>11404</v>
      </c>
      <c r="F35414" s="40" t="s">
        <v>11404</v>
      </c>
      <c r="G35414" s="40" t="s">
        <v>11404</v>
      </c>
      <c r="H35414" s="40" t="s">
        <v>11404</v>
      </c>
    </row>
    <row r="35415">
      <c r="A35415" s="39"/>
      <c r="E35415" s="40" t="s">
        <v>11404</v>
      </c>
      <c r="F35415" s="40" t="s">
        <v>11404</v>
      </c>
      <c r="G35415" s="40" t="s">
        <v>11404</v>
      </c>
      <c r="H35415" s="40" t="s">
        <v>11404</v>
      </c>
    </row>
    <row r="35416">
      <c r="A35416" s="39"/>
      <c r="E35416" s="40" t="s">
        <v>11404</v>
      </c>
      <c r="F35416" s="40" t="s">
        <v>11404</v>
      </c>
      <c r="G35416" s="40" t="s">
        <v>11404</v>
      </c>
      <c r="H35416" s="40" t="s">
        <v>11404</v>
      </c>
    </row>
    <row r="35417">
      <c r="A35417" s="39"/>
      <c r="E35417" s="40" t="s">
        <v>11404</v>
      </c>
      <c r="F35417" s="40" t="s">
        <v>11404</v>
      </c>
      <c r="G35417" s="40" t="s">
        <v>11404</v>
      </c>
      <c r="H35417" s="40" t="s">
        <v>11404</v>
      </c>
    </row>
    <row r="35418">
      <c r="A35418" s="39"/>
      <c r="E35418" s="40" t="s">
        <v>11404</v>
      </c>
      <c r="F35418" s="40" t="s">
        <v>11404</v>
      </c>
      <c r="G35418" s="40" t="s">
        <v>11404</v>
      </c>
      <c r="H35418" s="40" t="s">
        <v>11404</v>
      </c>
    </row>
    <row r="35419">
      <c r="A35419" s="39"/>
      <c r="E35419" s="40" t="s">
        <v>11404</v>
      </c>
      <c r="F35419" s="40" t="s">
        <v>11404</v>
      </c>
      <c r="G35419" s="40" t="s">
        <v>11404</v>
      </c>
      <c r="H35419" s="40" t="s">
        <v>11404</v>
      </c>
    </row>
    <row r="35420">
      <c r="A35420" s="39"/>
      <c r="E35420" s="40" t="s">
        <v>11404</v>
      </c>
      <c r="F35420" s="40" t="s">
        <v>11404</v>
      </c>
      <c r="G35420" s="40" t="s">
        <v>11404</v>
      </c>
      <c r="H35420" s="40" t="s">
        <v>11404</v>
      </c>
    </row>
    <row r="35421">
      <c r="A35421" s="39"/>
      <c r="E35421" s="40" t="s">
        <v>11404</v>
      </c>
      <c r="F35421" s="40" t="s">
        <v>11404</v>
      </c>
      <c r="G35421" s="40" t="s">
        <v>11404</v>
      </c>
      <c r="H35421" s="40" t="s">
        <v>11404</v>
      </c>
    </row>
    <row r="35422">
      <c r="A35422" s="39"/>
      <c r="E35422" s="40" t="s">
        <v>11404</v>
      </c>
      <c r="F35422" s="40" t="s">
        <v>11404</v>
      </c>
      <c r="G35422" s="40" t="s">
        <v>11404</v>
      </c>
      <c r="H35422" s="40" t="s">
        <v>11404</v>
      </c>
    </row>
    <row r="35423">
      <c r="A35423" s="39"/>
      <c r="E35423" s="40" t="s">
        <v>11404</v>
      </c>
      <c r="F35423" s="40" t="s">
        <v>11404</v>
      </c>
      <c r="G35423" s="40" t="s">
        <v>11404</v>
      </c>
      <c r="H35423" s="40" t="s">
        <v>11404</v>
      </c>
    </row>
    <row r="35424">
      <c r="A35424" s="39"/>
      <c r="E35424" s="40" t="s">
        <v>11404</v>
      </c>
      <c r="F35424" s="40" t="s">
        <v>11404</v>
      </c>
      <c r="G35424" s="40" t="s">
        <v>11404</v>
      </c>
      <c r="H35424" s="40" t="s">
        <v>11404</v>
      </c>
    </row>
    <row r="35425">
      <c r="A35425" s="39"/>
      <c r="E35425" s="40" t="s">
        <v>11404</v>
      </c>
      <c r="F35425" s="40" t="s">
        <v>11404</v>
      </c>
      <c r="G35425" s="40" t="s">
        <v>11404</v>
      </c>
      <c r="H35425" s="40" t="s">
        <v>11404</v>
      </c>
    </row>
    <row r="35426">
      <c r="A35426" s="39"/>
      <c r="E35426" s="40" t="s">
        <v>11404</v>
      </c>
      <c r="F35426" s="40" t="s">
        <v>11404</v>
      </c>
      <c r="G35426" s="40" t="s">
        <v>11404</v>
      </c>
      <c r="H35426" s="40" t="s">
        <v>11404</v>
      </c>
    </row>
    <row r="35427">
      <c r="A35427" s="39"/>
      <c r="E35427" s="40" t="s">
        <v>11404</v>
      </c>
      <c r="F35427" s="40" t="s">
        <v>11404</v>
      </c>
      <c r="G35427" s="40" t="s">
        <v>11404</v>
      </c>
      <c r="H35427" s="40" t="s">
        <v>11404</v>
      </c>
    </row>
    <row r="35428">
      <c r="A35428" s="39"/>
      <c r="E35428" s="40" t="s">
        <v>11404</v>
      </c>
      <c r="F35428" s="40" t="s">
        <v>11404</v>
      </c>
      <c r="G35428" s="40" t="s">
        <v>11404</v>
      </c>
      <c r="H35428" s="40" t="s">
        <v>11404</v>
      </c>
    </row>
    <row r="35429">
      <c r="A35429" s="39"/>
      <c r="E35429" s="40" t="s">
        <v>11404</v>
      </c>
      <c r="F35429" s="40" t="s">
        <v>11404</v>
      </c>
      <c r="G35429" s="40" t="s">
        <v>11404</v>
      </c>
      <c r="H35429" s="40" t="s">
        <v>11404</v>
      </c>
    </row>
    <row r="35430">
      <c r="A35430" s="39"/>
      <c r="E35430" s="40" t="s">
        <v>11404</v>
      </c>
      <c r="F35430" s="40" t="s">
        <v>11404</v>
      </c>
      <c r="G35430" s="40" t="s">
        <v>11404</v>
      </c>
      <c r="H35430" s="40" t="s">
        <v>11404</v>
      </c>
    </row>
    <row r="35431">
      <c r="A35431" s="39"/>
      <c r="E35431" s="40" t="s">
        <v>11404</v>
      </c>
      <c r="F35431" s="40" t="s">
        <v>11404</v>
      </c>
      <c r="G35431" s="40" t="s">
        <v>11404</v>
      </c>
      <c r="H35431" s="40" t="s">
        <v>11404</v>
      </c>
    </row>
    <row r="35432">
      <c r="A35432" s="39"/>
      <c r="E35432" s="40" t="s">
        <v>11404</v>
      </c>
      <c r="F35432" s="40" t="s">
        <v>11404</v>
      </c>
      <c r="G35432" s="40" t="s">
        <v>11404</v>
      </c>
      <c r="H35432" s="40" t="s">
        <v>11404</v>
      </c>
    </row>
    <row r="35433">
      <c r="A35433" s="39"/>
      <c r="E35433" s="40" t="s">
        <v>11404</v>
      </c>
      <c r="F35433" s="40" t="s">
        <v>11404</v>
      </c>
      <c r="G35433" s="40" t="s">
        <v>11404</v>
      </c>
      <c r="H35433" s="40" t="s">
        <v>11404</v>
      </c>
    </row>
    <row r="35434">
      <c r="A35434" s="39"/>
      <c r="E35434" s="40" t="s">
        <v>11404</v>
      </c>
      <c r="F35434" s="40" t="s">
        <v>11404</v>
      </c>
      <c r="G35434" s="40" t="s">
        <v>11404</v>
      </c>
      <c r="H35434" s="40" t="s">
        <v>11404</v>
      </c>
    </row>
    <row r="35435">
      <c r="A35435" s="39"/>
      <c r="E35435" s="40" t="s">
        <v>11404</v>
      </c>
      <c r="F35435" s="40" t="s">
        <v>11404</v>
      </c>
      <c r="G35435" s="40" t="s">
        <v>11404</v>
      </c>
      <c r="H35435" s="40" t="s">
        <v>11404</v>
      </c>
    </row>
    <row r="35436">
      <c r="A35436" s="39"/>
      <c r="E35436" s="40" t="s">
        <v>11404</v>
      </c>
      <c r="F35436" s="40" t="s">
        <v>11404</v>
      </c>
      <c r="G35436" s="40" t="s">
        <v>11404</v>
      </c>
      <c r="H35436" s="40" t="s">
        <v>11404</v>
      </c>
    </row>
    <row r="35437">
      <c r="A35437" s="39"/>
      <c r="E35437" s="40" t="s">
        <v>11404</v>
      </c>
      <c r="F35437" s="40" t="s">
        <v>11404</v>
      </c>
      <c r="G35437" s="40" t="s">
        <v>11404</v>
      </c>
      <c r="H35437" s="40" t="s">
        <v>11404</v>
      </c>
    </row>
    <row r="35438">
      <c r="A35438" s="39"/>
      <c r="E35438" s="40" t="s">
        <v>11404</v>
      </c>
      <c r="F35438" s="40" t="s">
        <v>11404</v>
      </c>
      <c r="G35438" s="40" t="s">
        <v>11404</v>
      </c>
      <c r="H35438" s="40" t="s">
        <v>11404</v>
      </c>
    </row>
    <row r="35439">
      <c r="A35439" s="39"/>
      <c r="E35439" s="40" t="s">
        <v>11404</v>
      </c>
      <c r="F35439" s="40" t="s">
        <v>11404</v>
      </c>
      <c r="G35439" s="40" t="s">
        <v>11404</v>
      </c>
      <c r="H35439" s="40" t="s">
        <v>11404</v>
      </c>
    </row>
    <row r="35440">
      <c r="A35440" s="39"/>
      <c r="E35440" s="40" t="s">
        <v>11404</v>
      </c>
      <c r="F35440" s="40" t="s">
        <v>11404</v>
      </c>
      <c r="G35440" s="40" t="s">
        <v>11404</v>
      </c>
      <c r="H35440" s="40" t="s">
        <v>11404</v>
      </c>
    </row>
    <row r="35441">
      <c r="A35441" s="39"/>
      <c r="E35441" s="40" t="s">
        <v>11404</v>
      </c>
      <c r="F35441" s="40" t="s">
        <v>11404</v>
      </c>
      <c r="G35441" s="40" t="s">
        <v>11404</v>
      </c>
      <c r="H35441" s="40" t="s">
        <v>11404</v>
      </c>
    </row>
    <row r="35442">
      <c r="A35442" s="39"/>
      <c r="E35442" s="40" t="s">
        <v>11404</v>
      </c>
      <c r="F35442" s="40" t="s">
        <v>11404</v>
      </c>
      <c r="G35442" s="40" t="s">
        <v>11404</v>
      </c>
      <c r="H35442" s="40" t="s">
        <v>11404</v>
      </c>
    </row>
    <row r="35443">
      <c r="A35443" s="39"/>
      <c r="E35443" s="40" t="s">
        <v>11404</v>
      </c>
      <c r="F35443" s="40" t="s">
        <v>11404</v>
      </c>
      <c r="G35443" s="40" t="s">
        <v>11404</v>
      </c>
      <c r="H35443" s="40" t="s">
        <v>11404</v>
      </c>
    </row>
    <row r="35444">
      <c r="A35444" s="39"/>
      <c r="E35444" s="40" t="s">
        <v>11404</v>
      </c>
      <c r="F35444" s="40" t="s">
        <v>11404</v>
      </c>
      <c r="G35444" s="40" t="s">
        <v>11404</v>
      </c>
      <c r="H35444" s="40" t="s">
        <v>11404</v>
      </c>
    </row>
    <row r="35445">
      <c r="A35445" s="39"/>
      <c r="E35445" s="40" t="s">
        <v>11404</v>
      </c>
      <c r="F35445" s="40" t="s">
        <v>11404</v>
      </c>
      <c r="G35445" s="40" t="s">
        <v>11404</v>
      </c>
      <c r="H35445" s="40" t="s">
        <v>11404</v>
      </c>
    </row>
    <row r="35446">
      <c r="A35446" s="39"/>
      <c r="E35446" s="40" t="s">
        <v>11404</v>
      </c>
      <c r="F35446" s="40" t="s">
        <v>11404</v>
      </c>
      <c r="G35446" s="40" t="s">
        <v>11404</v>
      </c>
      <c r="H35446" s="40" t="s">
        <v>11404</v>
      </c>
    </row>
    <row r="35447">
      <c r="A35447" s="39"/>
      <c r="E35447" s="40" t="s">
        <v>11404</v>
      </c>
      <c r="F35447" s="40" t="s">
        <v>11404</v>
      </c>
      <c r="G35447" s="40" t="s">
        <v>11404</v>
      </c>
      <c r="H35447" s="40" t="s">
        <v>11404</v>
      </c>
    </row>
    <row r="35448">
      <c r="A35448" s="39"/>
      <c r="E35448" s="40" t="s">
        <v>11404</v>
      </c>
      <c r="F35448" s="40" t="s">
        <v>11404</v>
      </c>
      <c r="G35448" s="40" t="s">
        <v>11404</v>
      </c>
      <c r="H35448" s="40" t="s">
        <v>11404</v>
      </c>
    </row>
    <row r="35449">
      <c r="A35449" s="39"/>
      <c r="E35449" s="40" t="s">
        <v>11404</v>
      </c>
      <c r="F35449" s="40" t="s">
        <v>11404</v>
      </c>
      <c r="G35449" s="40" t="s">
        <v>11404</v>
      </c>
      <c r="H35449" s="40" t="s">
        <v>11404</v>
      </c>
    </row>
    <row r="35450">
      <c r="A35450" s="39"/>
      <c r="E35450" s="40" t="s">
        <v>11404</v>
      </c>
      <c r="F35450" s="40" t="s">
        <v>11404</v>
      </c>
      <c r="G35450" s="40" t="s">
        <v>11404</v>
      </c>
      <c r="H35450" s="40" t="s">
        <v>11404</v>
      </c>
    </row>
    <row r="35451">
      <c r="A35451" s="39"/>
      <c r="E35451" s="40" t="s">
        <v>11404</v>
      </c>
      <c r="F35451" s="40" t="s">
        <v>11404</v>
      </c>
      <c r="G35451" s="40" t="s">
        <v>11404</v>
      </c>
      <c r="H35451" s="40" t="s">
        <v>11404</v>
      </c>
    </row>
    <row r="35452">
      <c r="A35452" s="39"/>
      <c r="E35452" s="40" t="s">
        <v>11404</v>
      </c>
      <c r="F35452" s="40" t="s">
        <v>11404</v>
      </c>
      <c r="G35452" s="40" t="s">
        <v>11404</v>
      </c>
      <c r="H35452" s="40" t="s">
        <v>11404</v>
      </c>
    </row>
    <row r="35453">
      <c r="A35453" s="39"/>
      <c r="E35453" s="40" t="s">
        <v>11404</v>
      </c>
      <c r="F35453" s="40" t="s">
        <v>11404</v>
      </c>
      <c r="G35453" s="40" t="s">
        <v>11404</v>
      </c>
      <c r="H35453" s="40" t="s">
        <v>11404</v>
      </c>
    </row>
    <row r="35454">
      <c r="A35454" s="39"/>
      <c r="E35454" s="40" t="s">
        <v>11404</v>
      </c>
      <c r="F35454" s="40" t="s">
        <v>11404</v>
      </c>
      <c r="G35454" s="40" t="s">
        <v>11404</v>
      </c>
      <c r="H35454" s="40" t="s">
        <v>11404</v>
      </c>
    </row>
    <row r="35455">
      <c r="A35455" s="39"/>
      <c r="E35455" s="40" t="s">
        <v>11404</v>
      </c>
      <c r="F35455" s="40" t="s">
        <v>11404</v>
      </c>
      <c r="G35455" s="40" t="s">
        <v>11404</v>
      </c>
      <c r="H35455" s="40" t="s">
        <v>11404</v>
      </c>
    </row>
    <row r="35456">
      <c r="A35456" s="39"/>
      <c r="E35456" s="40" t="s">
        <v>11404</v>
      </c>
      <c r="F35456" s="40" t="s">
        <v>11404</v>
      </c>
      <c r="G35456" s="40" t="s">
        <v>11404</v>
      </c>
      <c r="H35456" s="40" t="s">
        <v>11404</v>
      </c>
    </row>
    <row r="35457">
      <c r="A35457" s="39"/>
      <c r="E35457" s="40" t="s">
        <v>11404</v>
      </c>
      <c r="F35457" s="40" t="s">
        <v>11404</v>
      </c>
      <c r="G35457" s="40" t="s">
        <v>11404</v>
      </c>
      <c r="H35457" s="40" t="s">
        <v>11404</v>
      </c>
    </row>
    <row r="35458">
      <c r="A35458" s="39"/>
      <c r="E35458" s="40" t="s">
        <v>11404</v>
      </c>
      <c r="F35458" s="40" t="s">
        <v>11404</v>
      </c>
      <c r="G35458" s="40" t="s">
        <v>11404</v>
      </c>
      <c r="H35458" s="40" t="s">
        <v>11404</v>
      </c>
    </row>
    <row r="35459">
      <c r="A35459" s="39"/>
      <c r="E35459" s="40" t="s">
        <v>11404</v>
      </c>
      <c r="F35459" s="40" t="s">
        <v>11404</v>
      </c>
      <c r="G35459" s="40" t="s">
        <v>11404</v>
      </c>
      <c r="H35459" s="40" t="s">
        <v>11404</v>
      </c>
    </row>
    <row r="35460">
      <c r="A35460" s="39"/>
      <c r="E35460" s="40" t="s">
        <v>11404</v>
      </c>
      <c r="F35460" s="40" t="s">
        <v>11404</v>
      </c>
      <c r="G35460" s="40" t="s">
        <v>11404</v>
      </c>
      <c r="H35460" s="40" t="s">
        <v>11404</v>
      </c>
    </row>
    <row r="35461">
      <c r="A35461" s="39"/>
      <c r="E35461" s="40" t="s">
        <v>11404</v>
      </c>
      <c r="F35461" s="40" t="s">
        <v>11404</v>
      </c>
      <c r="G35461" s="40" t="s">
        <v>11404</v>
      </c>
      <c r="H35461" s="40" t="s">
        <v>11404</v>
      </c>
    </row>
    <row r="35462">
      <c r="A35462" s="39"/>
      <c r="E35462" s="40" t="s">
        <v>11404</v>
      </c>
      <c r="F35462" s="40" t="s">
        <v>11404</v>
      </c>
      <c r="G35462" s="40" t="s">
        <v>11404</v>
      </c>
      <c r="H35462" s="40" t="s">
        <v>11404</v>
      </c>
    </row>
    <row r="35463">
      <c r="A35463" s="39"/>
      <c r="E35463" s="40" t="s">
        <v>11404</v>
      </c>
      <c r="F35463" s="40" t="s">
        <v>11404</v>
      </c>
      <c r="G35463" s="40" t="s">
        <v>11404</v>
      </c>
      <c r="H35463" s="40" t="s">
        <v>11404</v>
      </c>
    </row>
    <row r="35464">
      <c r="A35464" s="39"/>
      <c r="E35464" s="40" t="s">
        <v>11404</v>
      </c>
      <c r="F35464" s="40" t="s">
        <v>11404</v>
      </c>
      <c r="G35464" s="40" t="s">
        <v>11404</v>
      </c>
      <c r="H35464" s="40" t="s">
        <v>11404</v>
      </c>
    </row>
    <row r="35465">
      <c r="A35465" s="39"/>
      <c r="E35465" s="40" t="s">
        <v>11404</v>
      </c>
      <c r="F35465" s="40" t="s">
        <v>11404</v>
      </c>
      <c r="G35465" s="40" t="s">
        <v>11404</v>
      </c>
      <c r="H35465" s="40" t="s">
        <v>11404</v>
      </c>
    </row>
    <row r="35466">
      <c r="A35466" s="39"/>
      <c r="E35466" s="40" t="s">
        <v>11404</v>
      </c>
      <c r="F35466" s="40" t="s">
        <v>11404</v>
      </c>
      <c r="G35466" s="40" t="s">
        <v>11404</v>
      </c>
      <c r="H35466" s="40" t="s">
        <v>11404</v>
      </c>
    </row>
    <row r="35467">
      <c r="A35467" s="39"/>
      <c r="E35467" s="40" t="s">
        <v>11404</v>
      </c>
      <c r="F35467" s="40" t="s">
        <v>11404</v>
      </c>
      <c r="G35467" s="40" t="s">
        <v>11404</v>
      </c>
      <c r="H35467" s="40" t="s">
        <v>11404</v>
      </c>
    </row>
    <row r="35468">
      <c r="A35468" s="39"/>
      <c r="E35468" s="40" t="s">
        <v>11404</v>
      </c>
      <c r="F35468" s="40" t="s">
        <v>11404</v>
      </c>
      <c r="G35468" s="40" t="s">
        <v>11404</v>
      </c>
      <c r="H35468" s="40" t="s">
        <v>11404</v>
      </c>
    </row>
    <row r="35469">
      <c r="A35469" s="39"/>
      <c r="E35469" s="40" t="s">
        <v>11404</v>
      </c>
      <c r="F35469" s="40" t="s">
        <v>11404</v>
      </c>
      <c r="G35469" s="40" t="s">
        <v>11404</v>
      </c>
      <c r="H35469" s="40" t="s">
        <v>11404</v>
      </c>
    </row>
    <row r="35470">
      <c r="A35470" s="39"/>
      <c r="E35470" s="40" t="s">
        <v>11404</v>
      </c>
      <c r="F35470" s="40" t="s">
        <v>11404</v>
      </c>
      <c r="G35470" s="40" t="s">
        <v>11404</v>
      </c>
      <c r="H35470" s="40" t="s">
        <v>11404</v>
      </c>
    </row>
    <row r="35471">
      <c r="A35471" s="39"/>
      <c r="E35471" s="40" t="s">
        <v>11404</v>
      </c>
      <c r="F35471" s="40" t="s">
        <v>11404</v>
      </c>
      <c r="G35471" s="40" t="s">
        <v>11404</v>
      </c>
      <c r="H35471" s="40" t="s">
        <v>11404</v>
      </c>
    </row>
    <row r="35472">
      <c r="A35472" s="39"/>
      <c r="E35472" s="40" t="s">
        <v>11404</v>
      </c>
      <c r="F35472" s="40" t="s">
        <v>11404</v>
      </c>
      <c r="G35472" s="40" t="s">
        <v>11404</v>
      </c>
      <c r="H35472" s="40" t="s">
        <v>11404</v>
      </c>
    </row>
    <row r="35473">
      <c r="A35473" s="39"/>
      <c r="E35473" s="40" t="s">
        <v>11404</v>
      </c>
      <c r="F35473" s="40" t="s">
        <v>11404</v>
      </c>
      <c r="G35473" s="40" t="s">
        <v>11404</v>
      </c>
      <c r="H35473" s="40" t="s">
        <v>11404</v>
      </c>
    </row>
    <row r="35474">
      <c r="A35474" s="39"/>
      <c r="E35474" s="40" t="s">
        <v>11404</v>
      </c>
      <c r="F35474" s="40" t="s">
        <v>11404</v>
      </c>
      <c r="G35474" s="40" t="s">
        <v>11404</v>
      </c>
      <c r="H35474" s="40" t="s">
        <v>11404</v>
      </c>
    </row>
    <row r="35475">
      <c r="A35475" s="39"/>
      <c r="E35475" s="40" t="s">
        <v>11404</v>
      </c>
      <c r="F35475" s="40" t="s">
        <v>11404</v>
      </c>
      <c r="G35475" s="40" t="s">
        <v>11404</v>
      </c>
      <c r="H35475" s="40" t="s">
        <v>11404</v>
      </c>
    </row>
    <row r="35476">
      <c r="A35476" s="39"/>
      <c r="E35476" s="40" t="s">
        <v>11404</v>
      </c>
      <c r="F35476" s="40" t="s">
        <v>11404</v>
      </c>
      <c r="G35476" s="40" t="s">
        <v>11404</v>
      </c>
      <c r="H35476" s="40" t="s">
        <v>11404</v>
      </c>
    </row>
    <row r="35477">
      <c r="A35477" s="39"/>
      <c r="E35477" s="40" t="s">
        <v>11404</v>
      </c>
      <c r="F35477" s="40" t="s">
        <v>11404</v>
      </c>
      <c r="G35477" s="40" t="s">
        <v>11404</v>
      </c>
      <c r="H35477" s="40" t="s">
        <v>11404</v>
      </c>
    </row>
    <row r="35478">
      <c r="A35478" s="39"/>
      <c r="E35478" s="40" t="s">
        <v>11404</v>
      </c>
      <c r="F35478" s="40" t="s">
        <v>11404</v>
      </c>
      <c r="G35478" s="40" t="s">
        <v>11404</v>
      </c>
      <c r="H35478" s="40" t="s">
        <v>11404</v>
      </c>
    </row>
    <row r="35479">
      <c r="A35479" s="39"/>
      <c r="E35479" s="40" t="s">
        <v>11404</v>
      </c>
      <c r="F35479" s="40" t="s">
        <v>11404</v>
      </c>
      <c r="G35479" s="40" t="s">
        <v>11404</v>
      </c>
      <c r="H35479" s="40" t="s">
        <v>11404</v>
      </c>
    </row>
    <row r="35480">
      <c r="A35480" s="39"/>
      <c r="E35480" s="40" t="s">
        <v>11404</v>
      </c>
      <c r="F35480" s="40" t="s">
        <v>11404</v>
      </c>
      <c r="G35480" s="40" t="s">
        <v>11404</v>
      </c>
      <c r="H35480" s="40" t="s">
        <v>11404</v>
      </c>
    </row>
    <row r="35481">
      <c r="A35481" s="39"/>
      <c r="E35481" s="40" t="s">
        <v>11404</v>
      </c>
      <c r="F35481" s="40" t="s">
        <v>11404</v>
      </c>
      <c r="G35481" s="40" t="s">
        <v>11404</v>
      </c>
      <c r="H35481" s="40" t="s">
        <v>11404</v>
      </c>
    </row>
    <row r="35482">
      <c r="A35482" s="39"/>
      <c r="E35482" s="40" t="s">
        <v>11404</v>
      </c>
      <c r="F35482" s="40" t="s">
        <v>11404</v>
      </c>
      <c r="G35482" s="40" t="s">
        <v>11404</v>
      </c>
      <c r="H35482" s="40" t="s">
        <v>11404</v>
      </c>
    </row>
    <row r="35483">
      <c r="A35483" s="39"/>
      <c r="E35483" s="40" t="s">
        <v>11404</v>
      </c>
      <c r="F35483" s="40" t="s">
        <v>11404</v>
      </c>
      <c r="G35483" s="40" t="s">
        <v>11404</v>
      </c>
      <c r="H35483" s="40" t="s">
        <v>11404</v>
      </c>
    </row>
    <row r="35484">
      <c r="A35484" s="39"/>
      <c r="E35484" s="40" t="s">
        <v>11404</v>
      </c>
      <c r="F35484" s="40" t="s">
        <v>11404</v>
      </c>
      <c r="G35484" s="40" t="s">
        <v>11404</v>
      </c>
      <c r="H35484" s="40" t="s">
        <v>11404</v>
      </c>
    </row>
    <row r="35485">
      <c r="A35485" s="39"/>
      <c r="E35485" s="40" t="s">
        <v>11404</v>
      </c>
      <c r="F35485" s="40" t="s">
        <v>11404</v>
      </c>
      <c r="G35485" s="40" t="s">
        <v>11404</v>
      </c>
      <c r="H35485" s="40" t="s">
        <v>11404</v>
      </c>
    </row>
    <row r="35486">
      <c r="A35486" s="39"/>
      <c r="E35486" s="40" t="s">
        <v>11404</v>
      </c>
      <c r="F35486" s="40" t="s">
        <v>11404</v>
      </c>
      <c r="G35486" s="40" t="s">
        <v>11404</v>
      </c>
      <c r="H35486" s="40" t="s">
        <v>11404</v>
      </c>
    </row>
    <row r="35487">
      <c r="A35487" s="39"/>
      <c r="E35487" s="40" t="s">
        <v>11404</v>
      </c>
      <c r="F35487" s="40" t="s">
        <v>11404</v>
      </c>
      <c r="G35487" s="40" t="s">
        <v>11404</v>
      </c>
      <c r="H35487" s="40" t="s">
        <v>11404</v>
      </c>
    </row>
    <row r="35488">
      <c r="A35488" s="39"/>
      <c r="E35488" s="40" t="s">
        <v>11404</v>
      </c>
      <c r="F35488" s="40" t="s">
        <v>11404</v>
      </c>
      <c r="G35488" s="40" t="s">
        <v>11404</v>
      </c>
      <c r="H35488" s="40" t="s">
        <v>11404</v>
      </c>
    </row>
    <row r="35489">
      <c r="A35489" s="39"/>
      <c r="E35489" s="40" t="s">
        <v>11404</v>
      </c>
      <c r="F35489" s="40" t="s">
        <v>11404</v>
      </c>
      <c r="G35489" s="40" t="s">
        <v>11404</v>
      </c>
      <c r="H35489" s="40" t="s">
        <v>11404</v>
      </c>
    </row>
    <row r="35490">
      <c r="A35490" s="39"/>
      <c r="E35490" s="40" t="s">
        <v>11404</v>
      </c>
      <c r="F35490" s="40" t="s">
        <v>11404</v>
      </c>
      <c r="G35490" s="40" t="s">
        <v>11404</v>
      </c>
      <c r="H35490" s="40" t="s">
        <v>11404</v>
      </c>
    </row>
    <row r="35491">
      <c r="A35491" s="39"/>
      <c r="E35491" s="40" t="s">
        <v>11404</v>
      </c>
      <c r="F35491" s="40" t="s">
        <v>11404</v>
      </c>
      <c r="G35491" s="40" t="s">
        <v>11404</v>
      </c>
      <c r="H35491" s="40" t="s">
        <v>11404</v>
      </c>
    </row>
    <row r="35492">
      <c r="A35492" s="39"/>
      <c r="E35492" s="40" t="s">
        <v>11404</v>
      </c>
      <c r="F35492" s="40" t="s">
        <v>11404</v>
      </c>
      <c r="G35492" s="40" t="s">
        <v>11404</v>
      </c>
      <c r="H35492" s="40" t="s">
        <v>11404</v>
      </c>
    </row>
    <row r="35493">
      <c r="A35493" s="39"/>
      <c r="E35493" s="40" t="s">
        <v>11404</v>
      </c>
      <c r="F35493" s="40" t="s">
        <v>11404</v>
      </c>
      <c r="G35493" s="40" t="s">
        <v>11404</v>
      </c>
      <c r="H35493" s="40" t="s">
        <v>11404</v>
      </c>
    </row>
    <row r="35494">
      <c r="A35494" s="39"/>
      <c r="E35494" s="40" t="s">
        <v>11404</v>
      </c>
      <c r="F35494" s="40" t="s">
        <v>11404</v>
      </c>
      <c r="G35494" s="40" t="s">
        <v>11404</v>
      </c>
      <c r="H35494" s="40" t="s">
        <v>11404</v>
      </c>
    </row>
    <row r="35495">
      <c r="A35495" s="39"/>
      <c r="E35495" s="40" t="s">
        <v>11404</v>
      </c>
      <c r="F35495" s="40" t="s">
        <v>11404</v>
      </c>
      <c r="G35495" s="40" t="s">
        <v>11404</v>
      </c>
      <c r="H35495" s="40" t="s">
        <v>11404</v>
      </c>
    </row>
    <row r="35496">
      <c r="A35496" s="39"/>
      <c r="E35496" s="40" t="s">
        <v>11404</v>
      </c>
      <c r="F35496" s="40" t="s">
        <v>11404</v>
      </c>
      <c r="G35496" s="40" t="s">
        <v>11404</v>
      </c>
      <c r="H35496" s="40" t="s">
        <v>11404</v>
      </c>
    </row>
    <row r="35497">
      <c r="A35497" s="39"/>
      <c r="E35497" s="40" t="s">
        <v>11404</v>
      </c>
      <c r="F35497" s="40" t="s">
        <v>11404</v>
      </c>
      <c r="G35497" s="40" t="s">
        <v>11404</v>
      </c>
      <c r="H35497" s="40" t="s">
        <v>11404</v>
      </c>
    </row>
    <row r="35498">
      <c r="A35498" s="39"/>
      <c r="E35498" s="40" t="s">
        <v>11404</v>
      </c>
      <c r="F35498" s="40" t="s">
        <v>11404</v>
      </c>
      <c r="G35498" s="40" t="s">
        <v>11404</v>
      </c>
      <c r="H35498" s="40" t="s">
        <v>11404</v>
      </c>
    </row>
    <row r="35499">
      <c r="A35499" s="39"/>
      <c r="E35499" s="40" t="s">
        <v>11404</v>
      </c>
      <c r="F35499" s="40" t="s">
        <v>11404</v>
      </c>
      <c r="G35499" s="40" t="s">
        <v>11404</v>
      </c>
      <c r="H35499" s="40" t="s">
        <v>11404</v>
      </c>
    </row>
    <row r="35500">
      <c r="A35500" s="39"/>
      <c r="E35500" s="40" t="s">
        <v>11404</v>
      </c>
      <c r="F35500" s="40" t="s">
        <v>11404</v>
      </c>
      <c r="G35500" s="40" t="s">
        <v>11404</v>
      </c>
      <c r="H35500" s="40" t="s">
        <v>11404</v>
      </c>
    </row>
    <row r="35501">
      <c r="A35501" s="39"/>
      <c r="E35501" s="40" t="s">
        <v>11404</v>
      </c>
      <c r="F35501" s="40" t="s">
        <v>11404</v>
      </c>
      <c r="G35501" s="40" t="s">
        <v>11404</v>
      </c>
      <c r="H35501" s="40" t="s">
        <v>11404</v>
      </c>
    </row>
    <row r="35502">
      <c r="A35502" s="39"/>
      <c r="E35502" s="40" t="s">
        <v>11404</v>
      </c>
      <c r="F35502" s="40" t="s">
        <v>11404</v>
      </c>
      <c r="G35502" s="40" t="s">
        <v>11404</v>
      </c>
      <c r="H35502" s="40" t="s">
        <v>11404</v>
      </c>
    </row>
    <row r="35503">
      <c r="A35503" s="39"/>
      <c r="E35503" s="40" t="s">
        <v>11404</v>
      </c>
      <c r="F35503" s="40" t="s">
        <v>11404</v>
      </c>
      <c r="G35503" s="40" t="s">
        <v>11404</v>
      </c>
      <c r="H35503" s="40" t="s">
        <v>11404</v>
      </c>
    </row>
    <row r="35504">
      <c r="A35504" s="39"/>
      <c r="E35504" s="40" t="s">
        <v>11404</v>
      </c>
      <c r="F35504" s="40" t="s">
        <v>11404</v>
      </c>
      <c r="G35504" s="40" t="s">
        <v>11404</v>
      </c>
      <c r="H35504" s="40" t="s">
        <v>11404</v>
      </c>
    </row>
    <row r="35505">
      <c r="A35505" s="39"/>
      <c r="E35505" s="40" t="s">
        <v>11404</v>
      </c>
      <c r="F35505" s="40" t="s">
        <v>11404</v>
      </c>
      <c r="G35505" s="40" t="s">
        <v>11404</v>
      </c>
      <c r="H35505" s="40" t="s">
        <v>11404</v>
      </c>
    </row>
    <row r="35506">
      <c r="A35506" s="39"/>
      <c r="E35506" s="40" t="s">
        <v>11404</v>
      </c>
      <c r="F35506" s="40" t="s">
        <v>11404</v>
      </c>
      <c r="G35506" s="40" t="s">
        <v>11404</v>
      </c>
      <c r="H35506" s="40" t="s">
        <v>11404</v>
      </c>
    </row>
    <row r="35507">
      <c r="A35507" s="39"/>
      <c r="E35507" s="40" t="s">
        <v>11404</v>
      </c>
      <c r="F35507" s="40" t="s">
        <v>11404</v>
      </c>
      <c r="G35507" s="40" t="s">
        <v>11404</v>
      </c>
      <c r="H35507" s="40" t="s">
        <v>11404</v>
      </c>
    </row>
    <row r="35508">
      <c r="A35508" s="39"/>
      <c r="E35508" s="40" t="s">
        <v>11404</v>
      </c>
      <c r="F35508" s="40" t="s">
        <v>11404</v>
      </c>
      <c r="G35508" s="40" t="s">
        <v>11404</v>
      </c>
      <c r="H35508" s="40" t="s">
        <v>11404</v>
      </c>
    </row>
    <row r="35509">
      <c r="A35509" s="39"/>
      <c r="E35509" s="40" t="s">
        <v>11404</v>
      </c>
      <c r="F35509" s="40" t="s">
        <v>11404</v>
      </c>
      <c r="G35509" s="40" t="s">
        <v>11404</v>
      </c>
      <c r="H35509" s="40" t="s">
        <v>11404</v>
      </c>
    </row>
    <row r="35510">
      <c r="A35510" s="39"/>
      <c r="E35510" s="40" t="s">
        <v>11404</v>
      </c>
      <c r="F35510" s="40" t="s">
        <v>11404</v>
      </c>
      <c r="G35510" s="40" t="s">
        <v>11404</v>
      </c>
      <c r="H35510" s="40" t="s">
        <v>11404</v>
      </c>
    </row>
    <row r="35511">
      <c r="A35511" s="39"/>
      <c r="E35511" s="40" t="s">
        <v>11404</v>
      </c>
      <c r="F35511" s="40" t="s">
        <v>11404</v>
      </c>
      <c r="G35511" s="40" t="s">
        <v>11404</v>
      </c>
      <c r="H35511" s="40" t="s">
        <v>11404</v>
      </c>
    </row>
    <row r="35512">
      <c r="A35512" s="39"/>
      <c r="E35512" s="40" t="s">
        <v>11404</v>
      </c>
      <c r="F35512" s="40" t="s">
        <v>11404</v>
      </c>
      <c r="G35512" s="40" t="s">
        <v>11404</v>
      </c>
      <c r="H35512" s="40" t="s">
        <v>11404</v>
      </c>
    </row>
    <row r="35513">
      <c r="A35513" s="39"/>
      <c r="E35513" s="40" t="s">
        <v>11404</v>
      </c>
      <c r="F35513" s="40" t="s">
        <v>11404</v>
      </c>
      <c r="G35513" s="40" t="s">
        <v>11404</v>
      </c>
      <c r="H35513" s="40" t="s">
        <v>11404</v>
      </c>
    </row>
    <row r="35514">
      <c r="A35514" s="39"/>
      <c r="E35514" s="40" t="s">
        <v>11404</v>
      </c>
      <c r="F35514" s="40" t="s">
        <v>11404</v>
      </c>
      <c r="G35514" s="40" t="s">
        <v>11404</v>
      </c>
      <c r="H35514" s="40" t="s">
        <v>11404</v>
      </c>
    </row>
    <row r="35515">
      <c r="A35515" s="39"/>
      <c r="E35515" s="40" t="s">
        <v>11404</v>
      </c>
      <c r="F35515" s="40" t="s">
        <v>11404</v>
      </c>
      <c r="G35515" s="40" t="s">
        <v>11404</v>
      </c>
      <c r="H35515" s="40" t="s">
        <v>11404</v>
      </c>
    </row>
    <row r="35516">
      <c r="A35516" s="39"/>
      <c r="E35516" s="40" t="s">
        <v>11404</v>
      </c>
      <c r="F35516" s="40" t="s">
        <v>11404</v>
      </c>
      <c r="G35516" s="40" t="s">
        <v>11404</v>
      </c>
      <c r="H35516" s="40" t="s">
        <v>11404</v>
      </c>
    </row>
    <row r="35517">
      <c r="A35517" s="39"/>
      <c r="E35517" s="40" t="s">
        <v>11404</v>
      </c>
      <c r="F35517" s="40" t="s">
        <v>11404</v>
      </c>
      <c r="G35517" s="40" t="s">
        <v>11404</v>
      </c>
      <c r="H35517" s="40" t="s">
        <v>11404</v>
      </c>
    </row>
    <row r="35518">
      <c r="A35518" s="39"/>
      <c r="E35518" s="40" t="s">
        <v>11404</v>
      </c>
      <c r="F35518" s="40" t="s">
        <v>11404</v>
      </c>
      <c r="G35518" s="40" t="s">
        <v>11404</v>
      </c>
      <c r="H35518" s="40" t="s">
        <v>11404</v>
      </c>
    </row>
    <row r="35519">
      <c r="A35519" s="39"/>
      <c r="E35519" s="40" t="s">
        <v>11404</v>
      </c>
      <c r="F35519" s="40" t="s">
        <v>11404</v>
      </c>
      <c r="G35519" s="40" t="s">
        <v>11404</v>
      </c>
      <c r="H35519" s="40" t="s">
        <v>11404</v>
      </c>
    </row>
    <row r="35520">
      <c r="A35520" s="39"/>
      <c r="E35520" s="40" t="s">
        <v>11404</v>
      </c>
      <c r="F35520" s="40" t="s">
        <v>11404</v>
      </c>
      <c r="G35520" s="40" t="s">
        <v>11404</v>
      </c>
      <c r="H35520" s="40" t="s">
        <v>11404</v>
      </c>
    </row>
    <row r="35521">
      <c r="A35521" s="39"/>
      <c r="E35521" s="40" t="s">
        <v>11404</v>
      </c>
      <c r="F35521" s="40" t="s">
        <v>11404</v>
      </c>
      <c r="G35521" s="40" t="s">
        <v>11404</v>
      </c>
      <c r="H35521" s="40" t="s">
        <v>11404</v>
      </c>
    </row>
    <row r="35522">
      <c r="A35522" s="39"/>
      <c r="E35522" s="40" t="s">
        <v>11404</v>
      </c>
      <c r="F35522" s="40" t="s">
        <v>11404</v>
      </c>
      <c r="G35522" s="40" t="s">
        <v>11404</v>
      </c>
      <c r="H35522" s="40" t="s">
        <v>11404</v>
      </c>
    </row>
    <row r="35523">
      <c r="A35523" s="39"/>
      <c r="E35523" s="40" t="s">
        <v>11404</v>
      </c>
      <c r="F35523" s="40" t="s">
        <v>11404</v>
      </c>
      <c r="G35523" s="40" t="s">
        <v>11404</v>
      </c>
      <c r="H35523" s="40" t="s">
        <v>11404</v>
      </c>
    </row>
    <row r="35524">
      <c r="A35524" s="39"/>
      <c r="E35524" s="40" t="s">
        <v>11404</v>
      </c>
      <c r="F35524" s="40" t="s">
        <v>11404</v>
      </c>
      <c r="G35524" s="40" t="s">
        <v>11404</v>
      </c>
      <c r="H35524" s="40" t="s">
        <v>11404</v>
      </c>
    </row>
    <row r="35525">
      <c r="A35525" s="39"/>
      <c r="E35525" s="40" t="s">
        <v>11404</v>
      </c>
      <c r="F35525" s="40" t="s">
        <v>11404</v>
      </c>
      <c r="G35525" s="40" t="s">
        <v>11404</v>
      </c>
      <c r="H35525" s="40" t="s">
        <v>11404</v>
      </c>
    </row>
    <row r="35526">
      <c r="A35526" s="39"/>
      <c r="E35526" s="40" t="s">
        <v>11404</v>
      </c>
      <c r="F35526" s="40" t="s">
        <v>11404</v>
      </c>
      <c r="G35526" s="40" t="s">
        <v>11404</v>
      </c>
      <c r="H35526" s="40" t="s">
        <v>11404</v>
      </c>
    </row>
    <row r="35527">
      <c r="A35527" s="39"/>
      <c r="E35527" s="40" t="s">
        <v>11404</v>
      </c>
      <c r="F35527" s="40" t="s">
        <v>11404</v>
      </c>
      <c r="G35527" s="40" t="s">
        <v>11404</v>
      </c>
      <c r="H35527" s="40" t="s">
        <v>11404</v>
      </c>
    </row>
    <row r="35528">
      <c r="A35528" s="39"/>
      <c r="E35528" s="40" t="s">
        <v>11404</v>
      </c>
      <c r="F35528" s="40" t="s">
        <v>11404</v>
      </c>
      <c r="G35528" s="40" t="s">
        <v>11404</v>
      </c>
      <c r="H35528" s="40" t="s">
        <v>11404</v>
      </c>
    </row>
    <row r="35529">
      <c r="A35529" s="39"/>
      <c r="E35529" s="40" t="s">
        <v>11404</v>
      </c>
      <c r="F35529" s="40" t="s">
        <v>11404</v>
      </c>
      <c r="G35529" s="40" t="s">
        <v>11404</v>
      </c>
      <c r="H35529" s="40" t="s">
        <v>11404</v>
      </c>
    </row>
    <row r="35530">
      <c r="A35530" s="39"/>
      <c r="E35530" s="40" t="s">
        <v>11404</v>
      </c>
      <c r="F35530" s="40" t="s">
        <v>11404</v>
      </c>
      <c r="G35530" s="40" t="s">
        <v>11404</v>
      </c>
      <c r="H35530" s="40" t="s">
        <v>11404</v>
      </c>
    </row>
    <row r="35531">
      <c r="A35531" s="39"/>
      <c r="E35531" s="40" t="s">
        <v>11404</v>
      </c>
      <c r="F35531" s="40" t="s">
        <v>11404</v>
      </c>
      <c r="G35531" s="40" t="s">
        <v>11404</v>
      </c>
      <c r="H35531" s="40" t="s">
        <v>11404</v>
      </c>
    </row>
    <row r="35532">
      <c r="A35532" s="39"/>
      <c r="E35532" s="40" t="s">
        <v>11404</v>
      </c>
      <c r="F35532" s="40" t="s">
        <v>11404</v>
      </c>
      <c r="G35532" s="40" t="s">
        <v>11404</v>
      </c>
      <c r="H35532" s="40" t="s">
        <v>11404</v>
      </c>
    </row>
    <row r="35533">
      <c r="A35533" s="39"/>
      <c r="E35533" s="40" t="s">
        <v>11404</v>
      </c>
      <c r="F35533" s="40" t="s">
        <v>11404</v>
      </c>
      <c r="G35533" s="40" t="s">
        <v>11404</v>
      </c>
      <c r="H35533" s="40" t="s">
        <v>11404</v>
      </c>
    </row>
    <row r="35534">
      <c r="A35534" s="39"/>
      <c r="E35534" s="40" t="s">
        <v>11404</v>
      </c>
      <c r="F35534" s="40" t="s">
        <v>11404</v>
      </c>
      <c r="G35534" s="40" t="s">
        <v>11404</v>
      </c>
      <c r="H35534" s="40" t="s">
        <v>11404</v>
      </c>
    </row>
    <row r="35535">
      <c r="A35535" s="39"/>
      <c r="E35535" s="40" t="s">
        <v>11404</v>
      </c>
      <c r="F35535" s="40" t="s">
        <v>11404</v>
      </c>
      <c r="G35535" s="40" t="s">
        <v>11404</v>
      </c>
      <c r="H35535" s="40" t="s">
        <v>11404</v>
      </c>
    </row>
    <row r="35536">
      <c r="A35536" s="39"/>
      <c r="E35536" s="40" t="s">
        <v>11404</v>
      </c>
      <c r="F35536" s="40" t="s">
        <v>11404</v>
      </c>
      <c r="G35536" s="40" t="s">
        <v>11404</v>
      </c>
      <c r="H35536" s="40" t="s">
        <v>11404</v>
      </c>
    </row>
    <row r="35537">
      <c r="A35537" s="39"/>
      <c r="E35537" s="40" t="s">
        <v>11404</v>
      </c>
      <c r="F35537" s="40" t="s">
        <v>11404</v>
      </c>
      <c r="G35537" s="40" t="s">
        <v>11404</v>
      </c>
      <c r="H35537" s="40" t="s">
        <v>11404</v>
      </c>
    </row>
    <row r="35538">
      <c r="A35538" s="39"/>
      <c r="E35538" s="40" t="s">
        <v>11404</v>
      </c>
      <c r="F35538" s="40" t="s">
        <v>11404</v>
      </c>
      <c r="G35538" s="40" t="s">
        <v>11404</v>
      </c>
      <c r="H35538" s="40" t="s">
        <v>11404</v>
      </c>
    </row>
    <row r="35539">
      <c r="A35539" s="39"/>
      <c r="E35539" s="40" t="s">
        <v>11404</v>
      </c>
      <c r="F35539" s="40" t="s">
        <v>11404</v>
      </c>
      <c r="G35539" s="40" t="s">
        <v>11404</v>
      </c>
      <c r="H35539" s="40" t="s">
        <v>11404</v>
      </c>
    </row>
    <row r="35540">
      <c r="A35540" s="39"/>
      <c r="E35540" s="40" t="s">
        <v>11404</v>
      </c>
      <c r="F35540" s="40" t="s">
        <v>11404</v>
      </c>
      <c r="G35540" s="40" t="s">
        <v>11404</v>
      </c>
      <c r="H35540" s="40" t="s">
        <v>11404</v>
      </c>
    </row>
    <row r="35541">
      <c r="A35541" s="39"/>
      <c r="E35541" s="40" t="s">
        <v>11404</v>
      </c>
      <c r="F35541" s="40" t="s">
        <v>11404</v>
      </c>
      <c r="G35541" s="40" t="s">
        <v>11404</v>
      </c>
      <c r="H35541" s="40" t="s">
        <v>11404</v>
      </c>
    </row>
    <row r="35542">
      <c r="A35542" s="39"/>
      <c r="E35542" s="40" t="s">
        <v>11404</v>
      </c>
      <c r="F35542" s="40" t="s">
        <v>11404</v>
      </c>
      <c r="G35542" s="40" t="s">
        <v>11404</v>
      </c>
      <c r="H35542" s="40" t="s">
        <v>11404</v>
      </c>
    </row>
    <row r="35543">
      <c r="A35543" s="39"/>
      <c r="E35543" s="40" t="s">
        <v>11404</v>
      </c>
      <c r="F35543" s="40" t="s">
        <v>11404</v>
      </c>
      <c r="G35543" s="40" t="s">
        <v>11404</v>
      </c>
      <c r="H35543" s="40" t="s">
        <v>11404</v>
      </c>
    </row>
    <row r="35544">
      <c r="A35544" s="39"/>
      <c r="E35544" s="40" t="s">
        <v>11404</v>
      </c>
      <c r="F35544" s="40" t="s">
        <v>11404</v>
      </c>
      <c r="G35544" s="40" t="s">
        <v>11404</v>
      </c>
      <c r="H35544" s="40" t="s">
        <v>11404</v>
      </c>
    </row>
    <row r="35545">
      <c r="A35545" s="39"/>
      <c r="E35545" s="40" t="s">
        <v>11404</v>
      </c>
      <c r="F35545" s="40" t="s">
        <v>11404</v>
      </c>
      <c r="G35545" s="40" t="s">
        <v>11404</v>
      </c>
      <c r="H35545" s="40" t="s">
        <v>11404</v>
      </c>
    </row>
    <row r="35546">
      <c r="A35546" s="39"/>
      <c r="E35546" s="40" t="s">
        <v>11404</v>
      </c>
      <c r="F35546" s="40" t="s">
        <v>11404</v>
      </c>
      <c r="G35546" s="40" t="s">
        <v>11404</v>
      </c>
      <c r="H35546" s="40" t="s">
        <v>11404</v>
      </c>
    </row>
    <row r="35547">
      <c r="A35547" s="39"/>
      <c r="E35547" s="40" t="s">
        <v>11404</v>
      </c>
      <c r="F35547" s="40" t="s">
        <v>11404</v>
      </c>
      <c r="G35547" s="40" t="s">
        <v>11404</v>
      </c>
      <c r="H35547" s="40" t="s">
        <v>11404</v>
      </c>
    </row>
    <row r="35548">
      <c r="A35548" s="39"/>
      <c r="E35548" s="40" t="s">
        <v>11404</v>
      </c>
      <c r="F35548" s="40" t="s">
        <v>11404</v>
      </c>
      <c r="G35548" s="40" t="s">
        <v>11404</v>
      </c>
      <c r="H35548" s="40" t="s">
        <v>11404</v>
      </c>
    </row>
    <row r="35549">
      <c r="A35549" s="39"/>
      <c r="E35549" s="40" t="s">
        <v>11404</v>
      </c>
      <c r="F35549" s="40" t="s">
        <v>11404</v>
      </c>
      <c r="G35549" s="40" t="s">
        <v>11404</v>
      </c>
      <c r="H35549" s="40" t="s">
        <v>11404</v>
      </c>
    </row>
    <row r="35550">
      <c r="A35550" s="39"/>
      <c r="E35550" s="40" t="s">
        <v>11404</v>
      </c>
      <c r="F35550" s="40" t="s">
        <v>11404</v>
      </c>
      <c r="G35550" s="40" t="s">
        <v>11404</v>
      </c>
      <c r="H35550" s="40" t="s">
        <v>11404</v>
      </c>
    </row>
    <row r="35551">
      <c r="A35551" s="39"/>
      <c r="E35551" s="40" t="s">
        <v>11404</v>
      </c>
      <c r="F35551" s="40" t="s">
        <v>11404</v>
      </c>
      <c r="G35551" s="40" t="s">
        <v>11404</v>
      </c>
      <c r="H35551" s="40" t="s">
        <v>11404</v>
      </c>
    </row>
    <row r="35552">
      <c r="A35552" s="39"/>
      <c r="E35552" s="40" t="s">
        <v>11404</v>
      </c>
      <c r="F35552" s="40" t="s">
        <v>11404</v>
      </c>
      <c r="G35552" s="40" t="s">
        <v>11404</v>
      </c>
      <c r="H35552" s="40" t="s">
        <v>11404</v>
      </c>
    </row>
    <row r="35553">
      <c r="A35553" s="39"/>
      <c r="E35553" s="40" t="s">
        <v>11404</v>
      </c>
      <c r="F35553" s="40" t="s">
        <v>11404</v>
      </c>
      <c r="G35553" s="40" t="s">
        <v>11404</v>
      </c>
      <c r="H35553" s="40" t="s">
        <v>11404</v>
      </c>
    </row>
    <row r="35554">
      <c r="A35554" s="39"/>
      <c r="E35554" s="40" t="s">
        <v>11404</v>
      </c>
      <c r="F35554" s="40" t="s">
        <v>11404</v>
      </c>
      <c r="G35554" s="40" t="s">
        <v>11404</v>
      </c>
      <c r="H35554" s="40" t="s">
        <v>11404</v>
      </c>
    </row>
    <row r="35555">
      <c r="A35555" s="39"/>
      <c r="E35555" s="40" t="s">
        <v>11404</v>
      </c>
      <c r="F35555" s="40" t="s">
        <v>11404</v>
      </c>
      <c r="G35555" s="40" t="s">
        <v>11404</v>
      </c>
      <c r="H35555" s="40" t="s">
        <v>11404</v>
      </c>
    </row>
    <row r="35556">
      <c r="A35556" s="39"/>
      <c r="E35556" s="40" t="s">
        <v>11404</v>
      </c>
      <c r="F35556" s="40" t="s">
        <v>11404</v>
      </c>
      <c r="G35556" s="40" t="s">
        <v>11404</v>
      </c>
      <c r="H35556" s="40" t="s">
        <v>11404</v>
      </c>
    </row>
    <row r="35557">
      <c r="A35557" s="39"/>
      <c r="E35557" s="40" t="s">
        <v>11404</v>
      </c>
      <c r="F35557" s="40" t="s">
        <v>11404</v>
      </c>
      <c r="G35557" s="40" t="s">
        <v>11404</v>
      </c>
      <c r="H35557" s="40" t="s">
        <v>11404</v>
      </c>
    </row>
    <row r="35558">
      <c r="A35558" s="39"/>
      <c r="E35558" s="40" t="s">
        <v>11404</v>
      </c>
      <c r="F35558" s="40" t="s">
        <v>11404</v>
      </c>
      <c r="G35558" s="40" t="s">
        <v>11404</v>
      </c>
      <c r="H35558" s="40" t="s">
        <v>11404</v>
      </c>
    </row>
    <row r="35559">
      <c r="A35559" s="39"/>
      <c r="E35559" s="40" t="s">
        <v>11404</v>
      </c>
      <c r="F35559" s="40" t="s">
        <v>11404</v>
      </c>
      <c r="G35559" s="40" t="s">
        <v>11404</v>
      </c>
      <c r="H35559" s="40" t="s">
        <v>11404</v>
      </c>
    </row>
    <row r="35560">
      <c r="A35560" s="39"/>
      <c r="E35560" s="40" t="s">
        <v>11404</v>
      </c>
      <c r="F35560" s="40" t="s">
        <v>11404</v>
      </c>
      <c r="G35560" s="40" t="s">
        <v>11404</v>
      </c>
      <c r="H35560" s="40" t="s">
        <v>11404</v>
      </c>
    </row>
    <row r="35561">
      <c r="A35561" s="39"/>
      <c r="E35561" s="40" t="s">
        <v>11404</v>
      </c>
      <c r="F35561" s="40" t="s">
        <v>11404</v>
      </c>
      <c r="G35561" s="40" t="s">
        <v>11404</v>
      </c>
      <c r="H35561" s="40" t="s">
        <v>11404</v>
      </c>
    </row>
    <row r="35562">
      <c r="A35562" s="39"/>
      <c r="E35562" s="40" t="s">
        <v>11404</v>
      </c>
      <c r="F35562" s="40" t="s">
        <v>11404</v>
      </c>
      <c r="G35562" s="40" t="s">
        <v>11404</v>
      </c>
      <c r="H35562" s="40" t="s">
        <v>11404</v>
      </c>
    </row>
    <row r="35563">
      <c r="A35563" s="39"/>
      <c r="E35563" s="40" t="s">
        <v>11404</v>
      </c>
      <c r="F35563" s="40" t="s">
        <v>11404</v>
      </c>
      <c r="G35563" s="40" t="s">
        <v>11404</v>
      </c>
      <c r="H35563" s="40" t="s">
        <v>11404</v>
      </c>
    </row>
    <row r="35564">
      <c r="A35564" s="39"/>
      <c r="E35564" s="40" t="s">
        <v>11404</v>
      </c>
      <c r="F35564" s="40" t="s">
        <v>11404</v>
      </c>
      <c r="G35564" s="40" t="s">
        <v>11404</v>
      </c>
      <c r="H35564" s="40" t="s">
        <v>11404</v>
      </c>
    </row>
    <row r="35565">
      <c r="A35565" s="39"/>
      <c r="E35565" s="40" t="s">
        <v>11404</v>
      </c>
      <c r="F35565" s="40" t="s">
        <v>11404</v>
      </c>
      <c r="G35565" s="40" t="s">
        <v>11404</v>
      </c>
      <c r="H35565" s="40" t="s">
        <v>11404</v>
      </c>
    </row>
    <row r="35566">
      <c r="A35566" s="39"/>
      <c r="E35566" s="40" t="s">
        <v>11404</v>
      </c>
      <c r="F35566" s="40" t="s">
        <v>11404</v>
      </c>
      <c r="G35566" s="40" t="s">
        <v>11404</v>
      </c>
      <c r="H35566" s="40" t="s">
        <v>11404</v>
      </c>
    </row>
    <row r="35567">
      <c r="A35567" s="39"/>
      <c r="E35567" s="40" t="s">
        <v>11404</v>
      </c>
      <c r="F35567" s="40" t="s">
        <v>11404</v>
      </c>
      <c r="G35567" s="40" t="s">
        <v>11404</v>
      </c>
      <c r="H35567" s="40" t="s">
        <v>11404</v>
      </c>
    </row>
    <row r="35568">
      <c r="A35568" s="39"/>
      <c r="E35568" s="40" t="s">
        <v>11404</v>
      </c>
      <c r="F35568" s="40" t="s">
        <v>11404</v>
      </c>
      <c r="G35568" s="40" t="s">
        <v>11404</v>
      </c>
      <c r="H35568" s="40" t="s">
        <v>11404</v>
      </c>
    </row>
    <row r="35569">
      <c r="A35569" s="39"/>
      <c r="E35569" s="40" t="s">
        <v>11404</v>
      </c>
      <c r="F35569" s="40" t="s">
        <v>11404</v>
      </c>
      <c r="G35569" s="40" t="s">
        <v>11404</v>
      </c>
      <c r="H35569" s="40" t="s">
        <v>11404</v>
      </c>
    </row>
    <row r="35570">
      <c r="A35570" s="39"/>
      <c r="E35570" s="40" t="s">
        <v>11404</v>
      </c>
      <c r="F35570" s="40" t="s">
        <v>11404</v>
      </c>
      <c r="G35570" s="40" t="s">
        <v>11404</v>
      </c>
      <c r="H35570" s="40" t="s">
        <v>11404</v>
      </c>
    </row>
    <row r="35571">
      <c r="A35571" s="39"/>
      <c r="E35571" s="40" t="s">
        <v>11404</v>
      </c>
      <c r="F35571" s="40" t="s">
        <v>11404</v>
      </c>
      <c r="G35571" s="40" t="s">
        <v>11404</v>
      </c>
      <c r="H35571" s="40" t="s">
        <v>11404</v>
      </c>
    </row>
    <row r="35572">
      <c r="A35572" s="39"/>
      <c r="E35572" s="40" t="s">
        <v>11404</v>
      </c>
      <c r="F35572" s="40" t="s">
        <v>11404</v>
      </c>
      <c r="G35572" s="40" t="s">
        <v>11404</v>
      </c>
      <c r="H35572" s="40" t="s">
        <v>11404</v>
      </c>
    </row>
    <row r="35573">
      <c r="A35573" s="39"/>
      <c r="E35573" s="40" t="s">
        <v>11404</v>
      </c>
      <c r="F35573" s="40" t="s">
        <v>11404</v>
      </c>
      <c r="G35573" s="40" t="s">
        <v>11404</v>
      </c>
      <c r="H35573" s="40" t="s">
        <v>11404</v>
      </c>
    </row>
    <row r="35574">
      <c r="A35574" s="39"/>
      <c r="E35574" s="40" t="s">
        <v>11404</v>
      </c>
      <c r="F35574" s="40" t="s">
        <v>11404</v>
      </c>
      <c r="G35574" s="40" t="s">
        <v>11404</v>
      </c>
      <c r="H35574" s="40" t="s">
        <v>11404</v>
      </c>
    </row>
    <row r="35575">
      <c r="A35575" s="39"/>
      <c r="E35575" s="40" t="s">
        <v>11404</v>
      </c>
      <c r="F35575" s="40" t="s">
        <v>11404</v>
      </c>
      <c r="G35575" s="40" t="s">
        <v>11404</v>
      </c>
      <c r="H35575" s="40" t="s">
        <v>11404</v>
      </c>
    </row>
    <row r="35576">
      <c r="A35576" s="39"/>
      <c r="E35576" s="40" t="s">
        <v>11404</v>
      </c>
      <c r="F35576" s="40" t="s">
        <v>11404</v>
      </c>
      <c r="G35576" s="40" t="s">
        <v>11404</v>
      </c>
      <c r="H35576" s="40" t="s">
        <v>11404</v>
      </c>
    </row>
    <row r="35577">
      <c r="A35577" s="39"/>
      <c r="E35577" s="40" t="s">
        <v>11404</v>
      </c>
      <c r="F35577" s="40" t="s">
        <v>11404</v>
      </c>
      <c r="G35577" s="40" t="s">
        <v>11404</v>
      </c>
      <c r="H35577" s="40" t="s">
        <v>11404</v>
      </c>
    </row>
    <row r="35578">
      <c r="A35578" s="39"/>
      <c r="E35578" s="40" t="s">
        <v>11404</v>
      </c>
      <c r="F35578" s="40" t="s">
        <v>11404</v>
      </c>
      <c r="G35578" s="40" t="s">
        <v>11404</v>
      </c>
      <c r="H35578" s="40" t="s">
        <v>11404</v>
      </c>
    </row>
    <row r="35579">
      <c r="A35579" s="39"/>
      <c r="E35579" s="40" t="s">
        <v>11404</v>
      </c>
      <c r="F35579" s="40" t="s">
        <v>11404</v>
      </c>
      <c r="G35579" s="40" t="s">
        <v>11404</v>
      </c>
      <c r="H35579" s="40" t="s">
        <v>11404</v>
      </c>
    </row>
    <row r="35580">
      <c r="A35580" s="39"/>
      <c r="E35580" s="40" t="s">
        <v>11404</v>
      </c>
      <c r="F35580" s="40" t="s">
        <v>11404</v>
      </c>
      <c r="G35580" s="40" t="s">
        <v>11404</v>
      </c>
      <c r="H35580" s="40" t="s">
        <v>11404</v>
      </c>
    </row>
    <row r="35581">
      <c r="A35581" s="39"/>
      <c r="E35581" s="40" t="s">
        <v>11404</v>
      </c>
      <c r="F35581" s="40" t="s">
        <v>11404</v>
      </c>
      <c r="G35581" s="40" t="s">
        <v>11404</v>
      </c>
      <c r="H35581" s="40" t="s">
        <v>11404</v>
      </c>
    </row>
    <row r="35582">
      <c r="A35582" s="39"/>
      <c r="E35582" s="40" t="s">
        <v>11404</v>
      </c>
      <c r="F35582" s="40" t="s">
        <v>11404</v>
      </c>
      <c r="G35582" s="40" t="s">
        <v>11404</v>
      </c>
      <c r="H35582" s="40" t="s">
        <v>11404</v>
      </c>
    </row>
    <row r="35583">
      <c r="A35583" s="39"/>
      <c r="E35583" s="40" t="s">
        <v>11404</v>
      </c>
      <c r="F35583" s="40" t="s">
        <v>11404</v>
      </c>
      <c r="G35583" s="40" t="s">
        <v>11404</v>
      </c>
      <c r="H35583" s="40" t="s">
        <v>11404</v>
      </c>
    </row>
    <row r="35584">
      <c r="A35584" s="39"/>
      <c r="E35584" s="40" t="s">
        <v>11404</v>
      </c>
      <c r="F35584" s="40" t="s">
        <v>11404</v>
      </c>
      <c r="G35584" s="40" t="s">
        <v>11404</v>
      </c>
      <c r="H35584" s="40" t="s">
        <v>11404</v>
      </c>
    </row>
    <row r="35585">
      <c r="A35585" s="39"/>
      <c r="E35585" s="40" t="s">
        <v>11404</v>
      </c>
      <c r="F35585" s="40" t="s">
        <v>11404</v>
      </c>
      <c r="G35585" s="40" t="s">
        <v>11404</v>
      </c>
      <c r="H35585" s="40" t="s">
        <v>11404</v>
      </c>
    </row>
    <row r="35586">
      <c r="A35586" s="39"/>
      <c r="E35586" s="40" t="s">
        <v>11404</v>
      </c>
      <c r="F35586" s="40" t="s">
        <v>11404</v>
      </c>
      <c r="G35586" s="40" t="s">
        <v>11404</v>
      </c>
      <c r="H35586" s="40" t="s">
        <v>11404</v>
      </c>
    </row>
    <row r="35587">
      <c r="A35587" s="39"/>
      <c r="E35587" s="40" t="s">
        <v>11404</v>
      </c>
      <c r="F35587" s="40" t="s">
        <v>11404</v>
      </c>
      <c r="G35587" s="40" t="s">
        <v>11404</v>
      </c>
      <c r="H35587" s="40" t="s">
        <v>11404</v>
      </c>
    </row>
    <row r="35588">
      <c r="A35588" s="39"/>
      <c r="E35588" s="40" t="s">
        <v>11404</v>
      </c>
      <c r="F35588" s="40" t="s">
        <v>11404</v>
      </c>
      <c r="G35588" s="40" t="s">
        <v>11404</v>
      </c>
      <c r="H35588" s="40" t="s">
        <v>11404</v>
      </c>
    </row>
    <row r="35589">
      <c r="A35589" s="39"/>
      <c r="E35589" s="40" t="s">
        <v>11404</v>
      </c>
      <c r="F35589" s="40" t="s">
        <v>11404</v>
      </c>
      <c r="G35589" s="40" t="s">
        <v>11404</v>
      </c>
      <c r="H35589" s="40" t="s">
        <v>11404</v>
      </c>
    </row>
    <row r="35590">
      <c r="A35590" s="39"/>
      <c r="E35590" s="40" t="s">
        <v>11404</v>
      </c>
      <c r="F35590" s="40" t="s">
        <v>11404</v>
      </c>
      <c r="G35590" s="40" t="s">
        <v>11404</v>
      </c>
      <c r="H35590" s="40" t="s">
        <v>11404</v>
      </c>
    </row>
    <row r="35591">
      <c r="A35591" s="39"/>
      <c r="E35591" s="40" t="s">
        <v>11404</v>
      </c>
      <c r="F35591" s="40" t="s">
        <v>11404</v>
      </c>
      <c r="G35591" s="40" t="s">
        <v>11404</v>
      </c>
      <c r="H35591" s="40" t="s">
        <v>11404</v>
      </c>
    </row>
    <row r="35592">
      <c r="A35592" s="39"/>
      <c r="E35592" s="40" t="s">
        <v>11404</v>
      </c>
      <c r="F35592" s="40" t="s">
        <v>11404</v>
      </c>
      <c r="G35592" s="40" t="s">
        <v>11404</v>
      </c>
      <c r="H35592" s="40" t="s">
        <v>11404</v>
      </c>
    </row>
    <row r="35593">
      <c r="A35593" s="39"/>
      <c r="E35593" s="40" t="s">
        <v>11404</v>
      </c>
      <c r="F35593" s="40" t="s">
        <v>11404</v>
      </c>
      <c r="G35593" s="40" t="s">
        <v>11404</v>
      </c>
      <c r="H35593" s="40" t="s">
        <v>11404</v>
      </c>
    </row>
    <row r="35594">
      <c r="A35594" s="39"/>
      <c r="E35594" s="40" t="s">
        <v>11404</v>
      </c>
      <c r="F35594" s="40" t="s">
        <v>11404</v>
      </c>
      <c r="G35594" s="40" t="s">
        <v>11404</v>
      </c>
      <c r="H35594" s="40" t="s">
        <v>11404</v>
      </c>
    </row>
    <row r="35595">
      <c r="A35595" s="39"/>
      <c r="E35595" s="40" t="s">
        <v>11404</v>
      </c>
      <c r="F35595" s="40" t="s">
        <v>11404</v>
      </c>
      <c r="G35595" s="40" t="s">
        <v>11404</v>
      </c>
      <c r="H35595" s="40" t="s">
        <v>11404</v>
      </c>
    </row>
    <row r="35596">
      <c r="A35596" s="39"/>
      <c r="E35596" s="40" t="s">
        <v>11404</v>
      </c>
      <c r="F35596" s="40" t="s">
        <v>11404</v>
      </c>
      <c r="G35596" s="40" t="s">
        <v>11404</v>
      </c>
      <c r="H35596" s="40" t="s">
        <v>11404</v>
      </c>
    </row>
    <row r="35597">
      <c r="A35597" s="39"/>
      <c r="E35597" s="40" t="s">
        <v>11404</v>
      </c>
      <c r="F35597" s="40" t="s">
        <v>11404</v>
      </c>
      <c r="G35597" s="40" t="s">
        <v>11404</v>
      </c>
      <c r="H35597" s="40" t="s">
        <v>11404</v>
      </c>
    </row>
    <row r="35598">
      <c r="A35598" s="39"/>
      <c r="E35598" s="40" t="s">
        <v>11404</v>
      </c>
      <c r="F35598" s="40" t="s">
        <v>11404</v>
      </c>
      <c r="G35598" s="40" t="s">
        <v>11404</v>
      </c>
      <c r="H35598" s="40" t="s">
        <v>11404</v>
      </c>
    </row>
    <row r="35599">
      <c r="A35599" s="39"/>
      <c r="E35599" s="40" t="s">
        <v>11404</v>
      </c>
      <c r="F35599" s="40" t="s">
        <v>11404</v>
      </c>
      <c r="G35599" s="40" t="s">
        <v>11404</v>
      </c>
      <c r="H35599" s="40" t="s">
        <v>11404</v>
      </c>
    </row>
    <row r="35600">
      <c r="A35600" s="39"/>
      <c r="E35600" s="40" t="s">
        <v>11404</v>
      </c>
      <c r="F35600" s="40" t="s">
        <v>11404</v>
      </c>
      <c r="G35600" s="40" t="s">
        <v>11404</v>
      </c>
      <c r="H35600" s="40" t="s">
        <v>11404</v>
      </c>
    </row>
    <row r="35601">
      <c r="A35601" s="39"/>
      <c r="E35601" s="40" t="s">
        <v>11404</v>
      </c>
      <c r="F35601" s="40" t="s">
        <v>11404</v>
      </c>
      <c r="G35601" s="40" t="s">
        <v>11404</v>
      </c>
      <c r="H35601" s="40" t="s">
        <v>11404</v>
      </c>
    </row>
    <row r="35602">
      <c r="A35602" s="39"/>
      <c r="E35602" s="40" t="s">
        <v>11404</v>
      </c>
      <c r="F35602" s="40" t="s">
        <v>11404</v>
      </c>
      <c r="G35602" s="40" t="s">
        <v>11404</v>
      </c>
      <c r="H35602" s="40" t="s">
        <v>11404</v>
      </c>
    </row>
    <row r="35603">
      <c r="A35603" s="39"/>
      <c r="E35603" s="40" t="s">
        <v>11404</v>
      </c>
      <c r="F35603" s="40" t="s">
        <v>11404</v>
      </c>
      <c r="G35603" s="40" t="s">
        <v>11404</v>
      </c>
      <c r="H35603" s="40" t="s">
        <v>11404</v>
      </c>
    </row>
    <row r="35604">
      <c r="A35604" s="39"/>
      <c r="E35604" s="40" t="s">
        <v>11404</v>
      </c>
      <c r="F35604" s="40" t="s">
        <v>11404</v>
      </c>
      <c r="G35604" s="40" t="s">
        <v>11404</v>
      </c>
      <c r="H35604" s="40" t="s">
        <v>11404</v>
      </c>
    </row>
    <row r="35605">
      <c r="A35605" s="39"/>
      <c r="E35605" s="40" t="s">
        <v>11404</v>
      </c>
      <c r="F35605" s="40" t="s">
        <v>11404</v>
      </c>
      <c r="G35605" s="40" t="s">
        <v>11404</v>
      </c>
      <c r="H35605" s="40" t="s">
        <v>11404</v>
      </c>
    </row>
    <row r="35606">
      <c r="A35606" s="39"/>
      <c r="E35606" s="40" t="s">
        <v>11404</v>
      </c>
      <c r="F35606" s="40" t="s">
        <v>11404</v>
      </c>
      <c r="G35606" s="40" t="s">
        <v>11404</v>
      </c>
      <c r="H35606" s="40" t="s">
        <v>11404</v>
      </c>
    </row>
    <row r="35607">
      <c r="A35607" s="39"/>
      <c r="E35607" s="40" t="s">
        <v>11404</v>
      </c>
      <c r="F35607" s="40" t="s">
        <v>11404</v>
      </c>
      <c r="G35607" s="40" t="s">
        <v>11404</v>
      </c>
      <c r="H35607" s="40" t="s">
        <v>11404</v>
      </c>
    </row>
    <row r="35608">
      <c r="A35608" s="39"/>
      <c r="E35608" s="40" t="s">
        <v>11404</v>
      </c>
      <c r="F35608" s="40" t="s">
        <v>11404</v>
      </c>
      <c r="G35608" s="40" t="s">
        <v>11404</v>
      </c>
      <c r="H35608" s="40" t="s">
        <v>11404</v>
      </c>
    </row>
    <row r="35609">
      <c r="A35609" s="39"/>
      <c r="E35609" s="40" t="s">
        <v>11404</v>
      </c>
      <c r="F35609" s="40" t="s">
        <v>11404</v>
      </c>
      <c r="G35609" s="40" t="s">
        <v>11404</v>
      </c>
      <c r="H35609" s="40" t="s">
        <v>11404</v>
      </c>
    </row>
    <row r="35610">
      <c r="A35610" s="39"/>
      <c r="E35610" s="40" t="s">
        <v>11404</v>
      </c>
      <c r="F35610" s="40" t="s">
        <v>11404</v>
      </c>
      <c r="G35610" s="40" t="s">
        <v>11404</v>
      </c>
      <c r="H35610" s="40" t="s">
        <v>11404</v>
      </c>
    </row>
    <row r="35611">
      <c r="A35611" s="39"/>
      <c r="E35611" s="40" t="s">
        <v>11404</v>
      </c>
      <c r="F35611" s="40" t="s">
        <v>11404</v>
      </c>
      <c r="G35611" s="40" t="s">
        <v>11404</v>
      </c>
      <c r="H35611" s="40" t="s">
        <v>11404</v>
      </c>
    </row>
    <row r="35612">
      <c r="A35612" s="39"/>
      <c r="E35612" s="40" t="s">
        <v>11404</v>
      </c>
      <c r="F35612" s="40" t="s">
        <v>11404</v>
      </c>
      <c r="G35612" s="40" t="s">
        <v>11404</v>
      </c>
      <c r="H35612" s="40" t="s">
        <v>11404</v>
      </c>
    </row>
    <row r="35613">
      <c r="A35613" s="39"/>
      <c r="E35613" s="40" t="s">
        <v>11404</v>
      </c>
      <c r="F35613" s="40" t="s">
        <v>11404</v>
      </c>
      <c r="G35613" s="40" t="s">
        <v>11404</v>
      </c>
      <c r="H35613" s="40" t="s">
        <v>11404</v>
      </c>
    </row>
    <row r="35614">
      <c r="A35614" s="39"/>
      <c r="E35614" s="40" t="s">
        <v>11404</v>
      </c>
      <c r="F35614" s="40" t="s">
        <v>11404</v>
      </c>
      <c r="G35614" s="40" t="s">
        <v>11404</v>
      </c>
      <c r="H35614" s="40" t="s">
        <v>11404</v>
      </c>
    </row>
    <row r="35615">
      <c r="A35615" s="39"/>
      <c r="E35615" s="40" t="s">
        <v>11404</v>
      </c>
      <c r="F35615" s="40" t="s">
        <v>11404</v>
      </c>
      <c r="G35615" s="40" t="s">
        <v>11404</v>
      </c>
      <c r="H35615" s="40" t="s">
        <v>11404</v>
      </c>
    </row>
    <row r="35616">
      <c r="A35616" s="39"/>
      <c r="E35616" s="40" t="s">
        <v>11404</v>
      </c>
      <c r="F35616" s="40" t="s">
        <v>11404</v>
      </c>
      <c r="G35616" s="40" t="s">
        <v>11404</v>
      </c>
      <c r="H35616" s="40" t="s">
        <v>11404</v>
      </c>
    </row>
    <row r="35617">
      <c r="A35617" s="39"/>
      <c r="E35617" s="40" t="s">
        <v>11404</v>
      </c>
      <c r="F35617" s="40" t="s">
        <v>11404</v>
      </c>
      <c r="G35617" s="40" t="s">
        <v>11404</v>
      </c>
      <c r="H35617" s="40" t="s">
        <v>11404</v>
      </c>
    </row>
    <row r="35618">
      <c r="A35618" s="39"/>
      <c r="E35618" s="40" t="s">
        <v>11404</v>
      </c>
      <c r="F35618" s="40" t="s">
        <v>11404</v>
      </c>
      <c r="G35618" s="40" t="s">
        <v>11404</v>
      </c>
      <c r="H35618" s="40" t="s">
        <v>11404</v>
      </c>
    </row>
    <row r="35619">
      <c r="A35619" s="39"/>
      <c r="E35619" s="40" t="s">
        <v>11404</v>
      </c>
      <c r="F35619" s="40" t="s">
        <v>11404</v>
      </c>
      <c r="G35619" s="40" t="s">
        <v>11404</v>
      </c>
      <c r="H35619" s="40" t="s">
        <v>11404</v>
      </c>
    </row>
    <row r="35620">
      <c r="A35620" s="39"/>
      <c r="E35620" s="40" t="s">
        <v>11404</v>
      </c>
      <c r="F35620" s="40" t="s">
        <v>11404</v>
      </c>
      <c r="G35620" s="40" t="s">
        <v>11404</v>
      </c>
      <c r="H35620" s="40" t="s">
        <v>11404</v>
      </c>
    </row>
    <row r="35621">
      <c r="A35621" s="39"/>
      <c r="E35621" s="40" t="s">
        <v>11404</v>
      </c>
      <c r="F35621" s="40" t="s">
        <v>11404</v>
      </c>
      <c r="G35621" s="40" t="s">
        <v>11404</v>
      </c>
      <c r="H35621" s="40" t="s">
        <v>11404</v>
      </c>
    </row>
    <row r="35622">
      <c r="A35622" s="39"/>
      <c r="E35622" s="40" t="s">
        <v>11404</v>
      </c>
      <c r="F35622" s="40" t="s">
        <v>11404</v>
      </c>
      <c r="G35622" s="40" t="s">
        <v>11404</v>
      </c>
      <c r="H35622" s="40" t="s">
        <v>11404</v>
      </c>
    </row>
    <row r="35623">
      <c r="A35623" s="39"/>
      <c r="E35623" s="40" t="s">
        <v>11404</v>
      </c>
      <c r="F35623" s="40" t="s">
        <v>11404</v>
      </c>
      <c r="G35623" s="40" t="s">
        <v>11404</v>
      </c>
      <c r="H35623" s="40" t="s">
        <v>11404</v>
      </c>
    </row>
    <row r="35624">
      <c r="A35624" s="39"/>
      <c r="E35624" s="40" t="s">
        <v>11404</v>
      </c>
      <c r="F35624" s="40" t="s">
        <v>11404</v>
      </c>
      <c r="G35624" s="40" t="s">
        <v>11404</v>
      </c>
      <c r="H35624" s="40" t="s">
        <v>11404</v>
      </c>
    </row>
    <row r="35625">
      <c r="A35625" s="39"/>
      <c r="E35625" s="40" t="s">
        <v>11404</v>
      </c>
      <c r="F35625" s="40" t="s">
        <v>11404</v>
      </c>
      <c r="G35625" s="40" t="s">
        <v>11404</v>
      </c>
      <c r="H35625" s="40" t="s">
        <v>11404</v>
      </c>
    </row>
    <row r="35626">
      <c r="A35626" s="39"/>
      <c r="E35626" s="40" t="s">
        <v>11404</v>
      </c>
      <c r="F35626" s="40" t="s">
        <v>11404</v>
      </c>
      <c r="G35626" s="40" t="s">
        <v>11404</v>
      </c>
      <c r="H35626" s="40" t="s">
        <v>11404</v>
      </c>
    </row>
    <row r="35627">
      <c r="A35627" s="39"/>
      <c r="E35627" s="40" t="s">
        <v>11404</v>
      </c>
      <c r="F35627" s="40" t="s">
        <v>11404</v>
      </c>
      <c r="G35627" s="40" t="s">
        <v>11404</v>
      </c>
      <c r="H35627" s="40" t="s">
        <v>11404</v>
      </c>
    </row>
    <row r="35628">
      <c r="A35628" s="39"/>
      <c r="E35628" s="40" t="s">
        <v>11404</v>
      </c>
      <c r="F35628" s="40" t="s">
        <v>11404</v>
      </c>
      <c r="G35628" s="40" t="s">
        <v>11404</v>
      </c>
      <c r="H35628" s="40" t="s">
        <v>11404</v>
      </c>
    </row>
    <row r="35629">
      <c r="A35629" s="39"/>
      <c r="E35629" s="40" t="s">
        <v>11404</v>
      </c>
      <c r="F35629" s="40" t="s">
        <v>11404</v>
      </c>
      <c r="G35629" s="40" t="s">
        <v>11404</v>
      </c>
      <c r="H35629" s="40" t="s">
        <v>11404</v>
      </c>
    </row>
    <row r="35630">
      <c r="A35630" s="39"/>
      <c r="E35630" s="40" t="s">
        <v>11404</v>
      </c>
      <c r="F35630" s="40" t="s">
        <v>11404</v>
      </c>
      <c r="G35630" s="40" t="s">
        <v>11404</v>
      </c>
      <c r="H35630" s="40" t="s">
        <v>11404</v>
      </c>
    </row>
    <row r="35631">
      <c r="A35631" s="39"/>
      <c r="E35631" s="40" t="s">
        <v>11404</v>
      </c>
      <c r="F35631" s="40" t="s">
        <v>11404</v>
      </c>
      <c r="G35631" s="40" t="s">
        <v>11404</v>
      </c>
      <c r="H35631" s="40" t="s">
        <v>11404</v>
      </c>
    </row>
    <row r="35632">
      <c r="A35632" s="39"/>
      <c r="E35632" s="40" t="s">
        <v>11404</v>
      </c>
      <c r="F35632" s="40" t="s">
        <v>11404</v>
      </c>
      <c r="G35632" s="40" t="s">
        <v>11404</v>
      </c>
      <c r="H35632" s="40" t="s">
        <v>11404</v>
      </c>
    </row>
    <row r="35633">
      <c r="A35633" s="39"/>
      <c r="E35633" s="40" t="s">
        <v>11404</v>
      </c>
      <c r="F35633" s="40" t="s">
        <v>11404</v>
      </c>
      <c r="G35633" s="40" t="s">
        <v>11404</v>
      </c>
      <c r="H35633" s="40" t="s">
        <v>11404</v>
      </c>
    </row>
    <row r="35634">
      <c r="A35634" s="39"/>
      <c r="E35634" s="40" t="s">
        <v>11404</v>
      </c>
      <c r="F35634" s="40" t="s">
        <v>11404</v>
      </c>
      <c r="G35634" s="40" t="s">
        <v>11404</v>
      </c>
      <c r="H35634" s="40" t="s">
        <v>11404</v>
      </c>
    </row>
    <row r="35635">
      <c r="A35635" s="39"/>
      <c r="E35635" s="40" t="s">
        <v>11404</v>
      </c>
      <c r="F35635" s="40" t="s">
        <v>11404</v>
      </c>
      <c r="G35635" s="40" t="s">
        <v>11404</v>
      </c>
      <c r="H35635" s="40" t="s">
        <v>11404</v>
      </c>
    </row>
    <row r="35636">
      <c r="A35636" s="39"/>
      <c r="E35636" s="40" t="s">
        <v>11404</v>
      </c>
      <c r="F35636" s="40" t="s">
        <v>11404</v>
      </c>
      <c r="G35636" s="40" t="s">
        <v>11404</v>
      </c>
      <c r="H35636" s="40" t="s">
        <v>11404</v>
      </c>
    </row>
    <row r="35637">
      <c r="A35637" s="39"/>
      <c r="E35637" s="40" t="s">
        <v>11404</v>
      </c>
      <c r="F35637" s="40" t="s">
        <v>11404</v>
      </c>
      <c r="G35637" s="40" t="s">
        <v>11404</v>
      </c>
      <c r="H35637" s="40" t="s">
        <v>11404</v>
      </c>
    </row>
    <row r="35638">
      <c r="A35638" s="39"/>
      <c r="E35638" s="40" t="s">
        <v>11404</v>
      </c>
      <c r="F35638" s="40" t="s">
        <v>11404</v>
      </c>
      <c r="G35638" s="40" t="s">
        <v>11404</v>
      </c>
      <c r="H35638" s="40" t="s">
        <v>11404</v>
      </c>
    </row>
    <row r="35639">
      <c r="A35639" s="39"/>
      <c r="E35639" s="40" t="s">
        <v>11404</v>
      </c>
      <c r="F35639" s="40" t="s">
        <v>11404</v>
      </c>
      <c r="G35639" s="40" t="s">
        <v>11404</v>
      </c>
      <c r="H35639" s="40" t="s">
        <v>11404</v>
      </c>
    </row>
    <row r="35640">
      <c r="A35640" s="39"/>
      <c r="E35640" s="40" t="s">
        <v>11404</v>
      </c>
      <c r="F35640" s="40" t="s">
        <v>11404</v>
      </c>
      <c r="G35640" s="40" t="s">
        <v>11404</v>
      </c>
      <c r="H35640" s="40" t="s">
        <v>11404</v>
      </c>
    </row>
    <row r="35641">
      <c r="A35641" s="39"/>
      <c r="E35641" s="40" t="s">
        <v>11404</v>
      </c>
      <c r="F35641" s="40" t="s">
        <v>11404</v>
      </c>
      <c r="G35641" s="40" t="s">
        <v>11404</v>
      </c>
      <c r="H35641" s="40" t="s">
        <v>11404</v>
      </c>
    </row>
    <row r="35642">
      <c r="A35642" s="39"/>
      <c r="E35642" s="40" t="s">
        <v>11404</v>
      </c>
      <c r="F35642" s="40" t="s">
        <v>11404</v>
      </c>
      <c r="G35642" s="40" t="s">
        <v>11404</v>
      </c>
      <c r="H35642" s="40" t="s">
        <v>11404</v>
      </c>
    </row>
    <row r="35643">
      <c r="A35643" s="39"/>
      <c r="E35643" s="40" t="s">
        <v>11404</v>
      </c>
      <c r="F35643" s="40" t="s">
        <v>11404</v>
      </c>
      <c r="G35643" s="40" t="s">
        <v>11404</v>
      </c>
      <c r="H35643" s="40" t="s">
        <v>11404</v>
      </c>
    </row>
    <row r="35644">
      <c r="A35644" s="39"/>
      <c r="E35644" s="40" t="s">
        <v>11404</v>
      </c>
      <c r="F35644" s="40" t="s">
        <v>11404</v>
      </c>
      <c r="G35644" s="40" t="s">
        <v>11404</v>
      </c>
      <c r="H35644" s="40" t="s">
        <v>11404</v>
      </c>
    </row>
    <row r="35645">
      <c r="A35645" s="39"/>
      <c r="E35645" s="40" t="s">
        <v>11404</v>
      </c>
      <c r="F35645" s="40" t="s">
        <v>11404</v>
      </c>
      <c r="G35645" s="40" t="s">
        <v>11404</v>
      </c>
      <c r="H35645" s="40" t="s">
        <v>11404</v>
      </c>
    </row>
    <row r="35646">
      <c r="A35646" s="39"/>
      <c r="E35646" s="40" t="s">
        <v>11404</v>
      </c>
      <c r="F35646" s="40" t="s">
        <v>11404</v>
      </c>
      <c r="G35646" s="40" t="s">
        <v>11404</v>
      </c>
      <c r="H35646" s="40" t="s">
        <v>11404</v>
      </c>
    </row>
    <row r="35647">
      <c r="A35647" s="39"/>
      <c r="E35647" s="40" t="s">
        <v>11404</v>
      </c>
      <c r="F35647" s="40" t="s">
        <v>11404</v>
      </c>
      <c r="G35647" s="40" t="s">
        <v>11404</v>
      </c>
      <c r="H35647" s="40" t="s">
        <v>11404</v>
      </c>
    </row>
    <row r="35648">
      <c r="A35648" s="39"/>
      <c r="E35648" s="40" t="s">
        <v>11404</v>
      </c>
      <c r="F35648" s="40" t="s">
        <v>11404</v>
      </c>
      <c r="G35648" s="40" t="s">
        <v>11404</v>
      </c>
      <c r="H35648" s="40" t="s">
        <v>11404</v>
      </c>
    </row>
    <row r="35649">
      <c r="A35649" s="39"/>
      <c r="E35649" s="40" t="s">
        <v>11404</v>
      </c>
      <c r="F35649" s="40" t="s">
        <v>11404</v>
      </c>
      <c r="G35649" s="40" t="s">
        <v>11404</v>
      </c>
      <c r="H35649" s="40" t="s">
        <v>11404</v>
      </c>
    </row>
    <row r="35650">
      <c r="A35650" s="39"/>
      <c r="E35650" s="40" t="s">
        <v>11404</v>
      </c>
      <c r="F35650" s="40" t="s">
        <v>11404</v>
      </c>
      <c r="G35650" s="40" t="s">
        <v>11404</v>
      </c>
      <c r="H35650" s="40" t="s">
        <v>11404</v>
      </c>
    </row>
    <row r="35651">
      <c r="A35651" s="39"/>
      <c r="E35651" s="40" t="s">
        <v>11404</v>
      </c>
      <c r="F35651" s="40" t="s">
        <v>11404</v>
      </c>
      <c r="G35651" s="40" t="s">
        <v>11404</v>
      </c>
      <c r="H35651" s="40" t="s">
        <v>11404</v>
      </c>
    </row>
    <row r="35652">
      <c r="A35652" s="39"/>
      <c r="E35652" s="40" t="s">
        <v>11404</v>
      </c>
      <c r="F35652" s="40" t="s">
        <v>11404</v>
      </c>
      <c r="G35652" s="40" t="s">
        <v>11404</v>
      </c>
      <c r="H35652" s="40" t="s">
        <v>11404</v>
      </c>
    </row>
    <row r="35653">
      <c r="A35653" s="39"/>
      <c r="E35653" s="40" t="s">
        <v>11404</v>
      </c>
      <c r="F35653" s="40" t="s">
        <v>11404</v>
      </c>
      <c r="G35653" s="40" t="s">
        <v>11404</v>
      </c>
      <c r="H35653" s="40" t="s">
        <v>11404</v>
      </c>
    </row>
    <row r="35654">
      <c r="A35654" s="39"/>
      <c r="E35654" s="40" t="s">
        <v>11404</v>
      </c>
      <c r="F35654" s="40" t="s">
        <v>11404</v>
      </c>
      <c r="G35654" s="40" t="s">
        <v>11404</v>
      </c>
      <c r="H35654" s="40" t="s">
        <v>11404</v>
      </c>
    </row>
    <row r="35655">
      <c r="A35655" s="39"/>
      <c r="E35655" s="40" t="s">
        <v>11404</v>
      </c>
      <c r="F35655" s="40" t="s">
        <v>11404</v>
      </c>
      <c r="G35655" s="40" t="s">
        <v>11404</v>
      </c>
      <c r="H35655" s="40" t="s">
        <v>11404</v>
      </c>
    </row>
    <row r="35656">
      <c r="A35656" s="39"/>
      <c r="E35656" s="40" t="s">
        <v>11404</v>
      </c>
      <c r="F35656" s="40" t="s">
        <v>11404</v>
      </c>
      <c r="G35656" s="40" t="s">
        <v>11404</v>
      </c>
      <c r="H35656" s="40" t="s">
        <v>11404</v>
      </c>
    </row>
    <row r="35657">
      <c r="A35657" s="39"/>
      <c r="E35657" s="40" t="s">
        <v>11404</v>
      </c>
      <c r="F35657" s="40" t="s">
        <v>11404</v>
      </c>
      <c r="G35657" s="40" t="s">
        <v>11404</v>
      </c>
      <c r="H35657" s="40" t="s">
        <v>11404</v>
      </c>
    </row>
    <row r="35658">
      <c r="A35658" s="39"/>
      <c r="E35658" s="40" t="s">
        <v>11404</v>
      </c>
      <c r="F35658" s="40" t="s">
        <v>11404</v>
      </c>
      <c r="G35658" s="40" t="s">
        <v>11404</v>
      </c>
      <c r="H35658" s="40" t="s">
        <v>11404</v>
      </c>
    </row>
    <row r="35659">
      <c r="A35659" s="39"/>
      <c r="E35659" s="40" t="s">
        <v>11404</v>
      </c>
      <c r="F35659" s="40" t="s">
        <v>11404</v>
      </c>
      <c r="G35659" s="40" t="s">
        <v>11404</v>
      </c>
      <c r="H35659" s="40" t="s">
        <v>11404</v>
      </c>
    </row>
    <row r="35660">
      <c r="A35660" s="39"/>
      <c r="E35660" s="40" t="s">
        <v>11404</v>
      </c>
      <c r="F35660" s="40" t="s">
        <v>11404</v>
      </c>
      <c r="G35660" s="40" t="s">
        <v>11404</v>
      </c>
      <c r="H35660" s="40" t="s">
        <v>11404</v>
      </c>
    </row>
    <row r="35661">
      <c r="A35661" s="39"/>
      <c r="E35661" s="40" t="s">
        <v>11404</v>
      </c>
      <c r="F35661" s="40" t="s">
        <v>11404</v>
      </c>
      <c r="G35661" s="40" t="s">
        <v>11404</v>
      </c>
      <c r="H35661" s="40" t="s">
        <v>11404</v>
      </c>
    </row>
    <row r="35662">
      <c r="A35662" s="39"/>
      <c r="E35662" s="40" t="s">
        <v>11404</v>
      </c>
      <c r="F35662" s="40" t="s">
        <v>11404</v>
      </c>
      <c r="G35662" s="40" t="s">
        <v>11404</v>
      </c>
      <c r="H35662" s="40" t="s">
        <v>11404</v>
      </c>
    </row>
    <row r="35663">
      <c r="A35663" s="39"/>
      <c r="E35663" s="40" t="s">
        <v>11404</v>
      </c>
      <c r="F35663" s="40" t="s">
        <v>11404</v>
      </c>
      <c r="G35663" s="40" t="s">
        <v>11404</v>
      </c>
      <c r="H35663" s="40" t="s">
        <v>11404</v>
      </c>
    </row>
    <row r="35664">
      <c r="A35664" s="39"/>
      <c r="E35664" s="40" t="s">
        <v>11404</v>
      </c>
      <c r="F35664" s="40" t="s">
        <v>11404</v>
      </c>
      <c r="G35664" s="40" t="s">
        <v>11404</v>
      </c>
      <c r="H35664" s="40" t="s">
        <v>11404</v>
      </c>
    </row>
    <row r="35665">
      <c r="A35665" s="39"/>
      <c r="E35665" s="40" t="s">
        <v>11404</v>
      </c>
      <c r="F35665" s="40" t="s">
        <v>11404</v>
      </c>
      <c r="G35665" s="40" t="s">
        <v>11404</v>
      </c>
      <c r="H35665" s="40" t="s">
        <v>11404</v>
      </c>
    </row>
    <row r="35666">
      <c r="A35666" s="39"/>
      <c r="E35666" s="40" t="s">
        <v>11404</v>
      </c>
      <c r="F35666" s="40" t="s">
        <v>11404</v>
      </c>
      <c r="G35666" s="40" t="s">
        <v>11404</v>
      </c>
      <c r="H35666" s="40" t="s">
        <v>11404</v>
      </c>
    </row>
    <row r="35667">
      <c r="A35667" s="39"/>
      <c r="E35667" s="40" t="s">
        <v>11404</v>
      </c>
      <c r="F35667" s="40" t="s">
        <v>11404</v>
      </c>
      <c r="G35667" s="40" t="s">
        <v>11404</v>
      </c>
      <c r="H35667" s="40" t="s">
        <v>11404</v>
      </c>
    </row>
    <row r="35668">
      <c r="A35668" s="39"/>
      <c r="E35668" s="40" t="s">
        <v>11404</v>
      </c>
      <c r="F35668" s="40" t="s">
        <v>11404</v>
      </c>
      <c r="G35668" s="40" t="s">
        <v>11404</v>
      </c>
      <c r="H35668" s="40" t="s">
        <v>11404</v>
      </c>
    </row>
    <row r="35669">
      <c r="A35669" s="39"/>
      <c r="E35669" s="40" t="s">
        <v>11404</v>
      </c>
      <c r="F35669" s="40" t="s">
        <v>11404</v>
      </c>
      <c r="G35669" s="40" t="s">
        <v>11404</v>
      </c>
      <c r="H35669" s="40" t="s">
        <v>11404</v>
      </c>
    </row>
    <row r="35670">
      <c r="A35670" s="39"/>
      <c r="E35670" s="40" t="s">
        <v>11404</v>
      </c>
      <c r="F35670" s="40" t="s">
        <v>11404</v>
      </c>
      <c r="G35670" s="40" t="s">
        <v>11404</v>
      </c>
      <c r="H35670" s="40" t="s">
        <v>11404</v>
      </c>
    </row>
    <row r="35671">
      <c r="A35671" s="39"/>
      <c r="E35671" s="40" t="s">
        <v>11404</v>
      </c>
      <c r="F35671" s="40" t="s">
        <v>11404</v>
      </c>
      <c r="G35671" s="40" t="s">
        <v>11404</v>
      </c>
      <c r="H35671" s="40" t="s">
        <v>11404</v>
      </c>
    </row>
    <row r="35672">
      <c r="A35672" s="39"/>
      <c r="E35672" s="40" t="s">
        <v>11404</v>
      </c>
      <c r="F35672" s="40" t="s">
        <v>11404</v>
      </c>
      <c r="G35672" s="40" t="s">
        <v>11404</v>
      </c>
      <c r="H35672" s="40" t="s">
        <v>11404</v>
      </c>
    </row>
    <row r="35673">
      <c r="A35673" s="39"/>
      <c r="E35673" s="40" t="s">
        <v>11404</v>
      </c>
      <c r="F35673" s="40" t="s">
        <v>11404</v>
      </c>
      <c r="G35673" s="40" t="s">
        <v>11404</v>
      </c>
      <c r="H35673" s="40" t="s">
        <v>11404</v>
      </c>
    </row>
    <row r="35674">
      <c r="A35674" s="39"/>
      <c r="E35674" s="40" t="s">
        <v>11404</v>
      </c>
      <c r="F35674" s="40" t="s">
        <v>11404</v>
      </c>
      <c r="G35674" s="40" t="s">
        <v>11404</v>
      </c>
      <c r="H35674" s="40" t="s">
        <v>11404</v>
      </c>
    </row>
    <row r="35675">
      <c r="A35675" s="39"/>
      <c r="E35675" s="40" t="s">
        <v>11404</v>
      </c>
      <c r="F35675" s="40" t="s">
        <v>11404</v>
      </c>
      <c r="G35675" s="40" t="s">
        <v>11404</v>
      </c>
      <c r="H35675" s="40" t="s">
        <v>11404</v>
      </c>
    </row>
    <row r="35676">
      <c r="A35676" s="39"/>
      <c r="E35676" s="40" t="s">
        <v>11404</v>
      </c>
      <c r="F35676" s="40" t="s">
        <v>11404</v>
      </c>
      <c r="G35676" s="40" t="s">
        <v>11404</v>
      </c>
      <c r="H35676" s="40" t="s">
        <v>11404</v>
      </c>
    </row>
    <row r="35677">
      <c r="A35677" s="39"/>
      <c r="E35677" s="40" t="s">
        <v>11404</v>
      </c>
      <c r="F35677" s="40" t="s">
        <v>11404</v>
      </c>
      <c r="G35677" s="40" t="s">
        <v>11404</v>
      </c>
      <c r="H35677" s="40" t="s">
        <v>11404</v>
      </c>
    </row>
    <row r="35678">
      <c r="A35678" s="39"/>
      <c r="E35678" s="40" t="s">
        <v>11404</v>
      </c>
      <c r="F35678" s="40" t="s">
        <v>11404</v>
      </c>
      <c r="G35678" s="40" t="s">
        <v>11404</v>
      </c>
      <c r="H35678" s="40" t="s">
        <v>11404</v>
      </c>
    </row>
    <row r="35679">
      <c r="A35679" s="39"/>
      <c r="E35679" s="40" t="s">
        <v>11404</v>
      </c>
      <c r="F35679" s="40" t="s">
        <v>11404</v>
      </c>
      <c r="G35679" s="40" t="s">
        <v>11404</v>
      </c>
      <c r="H35679" s="40" t="s">
        <v>11404</v>
      </c>
    </row>
    <row r="35680">
      <c r="A35680" s="39"/>
      <c r="E35680" s="40" t="s">
        <v>11404</v>
      </c>
      <c r="F35680" s="40" t="s">
        <v>11404</v>
      </c>
      <c r="G35680" s="40" t="s">
        <v>11404</v>
      </c>
      <c r="H35680" s="40" t="s">
        <v>11404</v>
      </c>
    </row>
    <row r="35681">
      <c r="A35681" s="39"/>
      <c r="E35681" s="40" t="s">
        <v>11404</v>
      </c>
      <c r="F35681" s="40" t="s">
        <v>11404</v>
      </c>
      <c r="G35681" s="40" t="s">
        <v>11404</v>
      </c>
      <c r="H35681" s="40" t="s">
        <v>11404</v>
      </c>
    </row>
    <row r="35682">
      <c r="A35682" s="39"/>
      <c r="E35682" s="40" t="s">
        <v>11404</v>
      </c>
      <c r="F35682" s="40" t="s">
        <v>11404</v>
      </c>
      <c r="G35682" s="40" t="s">
        <v>11404</v>
      </c>
      <c r="H35682" s="40" t="s">
        <v>11404</v>
      </c>
    </row>
    <row r="35683">
      <c r="A35683" s="39"/>
      <c r="E35683" s="40" t="s">
        <v>11404</v>
      </c>
      <c r="F35683" s="40" t="s">
        <v>11404</v>
      </c>
      <c r="G35683" s="40" t="s">
        <v>11404</v>
      </c>
      <c r="H35683" s="40" t="s">
        <v>11404</v>
      </c>
    </row>
    <row r="35684">
      <c r="A35684" s="39"/>
      <c r="E35684" s="40" t="s">
        <v>11404</v>
      </c>
      <c r="F35684" s="40" t="s">
        <v>11404</v>
      </c>
      <c r="G35684" s="40" t="s">
        <v>11404</v>
      </c>
      <c r="H35684" s="40" t="s">
        <v>11404</v>
      </c>
    </row>
    <row r="35685">
      <c r="A35685" s="39"/>
      <c r="E35685" s="40" t="s">
        <v>11404</v>
      </c>
      <c r="F35685" s="40" t="s">
        <v>11404</v>
      </c>
      <c r="G35685" s="40" t="s">
        <v>11404</v>
      </c>
      <c r="H35685" s="40" t="s">
        <v>11404</v>
      </c>
    </row>
    <row r="35686">
      <c r="A35686" s="39"/>
      <c r="E35686" s="40" t="s">
        <v>11404</v>
      </c>
      <c r="F35686" s="40" t="s">
        <v>11404</v>
      </c>
      <c r="G35686" s="40" t="s">
        <v>11404</v>
      </c>
      <c r="H35686" s="40" t="s">
        <v>11404</v>
      </c>
    </row>
    <row r="35687">
      <c r="A35687" s="39"/>
      <c r="E35687" s="40" t="s">
        <v>11404</v>
      </c>
      <c r="F35687" s="40" t="s">
        <v>11404</v>
      </c>
      <c r="G35687" s="40" t="s">
        <v>11404</v>
      </c>
      <c r="H35687" s="40" t="s">
        <v>11404</v>
      </c>
    </row>
    <row r="35688">
      <c r="A35688" s="39"/>
      <c r="E35688" s="40" t="s">
        <v>11404</v>
      </c>
      <c r="F35688" s="40" t="s">
        <v>11404</v>
      </c>
      <c r="G35688" s="40" t="s">
        <v>11404</v>
      </c>
      <c r="H35688" s="40" t="s">
        <v>11404</v>
      </c>
    </row>
    <row r="35689">
      <c r="A35689" s="39"/>
      <c r="E35689" s="40" t="s">
        <v>11404</v>
      </c>
      <c r="F35689" s="40" t="s">
        <v>11404</v>
      </c>
      <c r="G35689" s="40" t="s">
        <v>11404</v>
      </c>
      <c r="H35689" s="40" t="s">
        <v>11404</v>
      </c>
    </row>
    <row r="35690">
      <c r="A35690" s="39"/>
      <c r="E35690" s="40" t="s">
        <v>11404</v>
      </c>
      <c r="F35690" s="40" t="s">
        <v>11404</v>
      </c>
      <c r="G35690" s="40" t="s">
        <v>11404</v>
      </c>
      <c r="H35690" s="40" t="s">
        <v>11404</v>
      </c>
    </row>
    <row r="35691">
      <c r="A35691" s="39"/>
      <c r="E35691" s="40" t="s">
        <v>11404</v>
      </c>
      <c r="F35691" s="40" t="s">
        <v>11404</v>
      </c>
      <c r="G35691" s="40" t="s">
        <v>11404</v>
      </c>
      <c r="H35691" s="40" t="s">
        <v>11404</v>
      </c>
    </row>
    <row r="35692">
      <c r="A35692" s="39"/>
      <c r="E35692" s="40" t="s">
        <v>11404</v>
      </c>
      <c r="F35692" s="40" t="s">
        <v>11404</v>
      </c>
      <c r="G35692" s="40" t="s">
        <v>11404</v>
      </c>
      <c r="H35692" s="40" t="s">
        <v>11404</v>
      </c>
    </row>
    <row r="35693">
      <c r="A35693" s="39"/>
      <c r="E35693" s="40" t="s">
        <v>11404</v>
      </c>
      <c r="F35693" s="40" t="s">
        <v>11404</v>
      </c>
      <c r="G35693" s="40" t="s">
        <v>11404</v>
      </c>
      <c r="H35693" s="40" t="s">
        <v>11404</v>
      </c>
    </row>
    <row r="35694">
      <c r="A35694" s="39"/>
      <c r="E35694" s="40" t="s">
        <v>11404</v>
      </c>
      <c r="F35694" s="40" t="s">
        <v>11404</v>
      </c>
      <c r="G35694" s="40" t="s">
        <v>11404</v>
      </c>
      <c r="H35694" s="40" t="s">
        <v>11404</v>
      </c>
    </row>
    <row r="35695">
      <c r="A35695" s="39"/>
      <c r="E35695" s="40" t="s">
        <v>11404</v>
      </c>
      <c r="F35695" s="40" t="s">
        <v>11404</v>
      </c>
      <c r="G35695" s="40" t="s">
        <v>11404</v>
      </c>
      <c r="H35695" s="40" t="s">
        <v>11404</v>
      </c>
    </row>
    <row r="35696">
      <c r="A35696" s="39"/>
      <c r="E35696" s="40" t="s">
        <v>11404</v>
      </c>
      <c r="F35696" s="40" t="s">
        <v>11404</v>
      </c>
      <c r="G35696" s="40" t="s">
        <v>11404</v>
      </c>
      <c r="H35696" s="40" t="s">
        <v>11404</v>
      </c>
    </row>
    <row r="35697">
      <c r="A35697" s="39"/>
      <c r="E35697" s="40" t="s">
        <v>11404</v>
      </c>
      <c r="F35697" s="40" t="s">
        <v>11404</v>
      </c>
      <c r="G35697" s="40" t="s">
        <v>11404</v>
      </c>
      <c r="H35697" s="40" t="s">
        <v>11404</v>
      </c>
    </row>
    <row r="35698">
      <c r="A35698" s="39"/>
      <c r="E35698" s="40" t="s">
        <v>11404</v>
      </c>
      <c r="F35698" s="40" t="s">
        <v>11404</v>
      </c>
      <c r="G35698" s="40" t="s">
        <v>11404</v>
      </c>
      <c r="H35698" s="40" t="s">
        <v>11404</v>
      </c>
    </row>
    <row r="35699">
      <c r="A35699" s="39"/>
      <c r="E35699" s="40" t="s">
        <v>11404</v>
      </c>
      <c r="F35699" s="40" t="s">
        <v>11404</v>
      </c>
      <c r="G35699" s="40" t="s">
        <v>11404</v>
      </c>
      <c r="H35699" s="40" t="s">
        <v>11404</v>
      </c>
    </row>
    <row r="35700">
      <c r="A35700" s="39"/>
      <c r="E35700" s="40" t="s">
        <v>11404</v>
      </c>
      <c r="F35700" s="40" t="s">
        <v>11404</v>
      </c>
      <c r="G35700" s="40" t="s">
        <v>11404</v>
      </c>
      <c r="H35700" s="40" t="s">
        <v>11404</v>
      </c>
    </row>
    <row r="35701">
      <c r="A35701" s="39"/>
      <c r="E35701" s="40" t="s">
        <v>11404</v>
      </c>
      <c r="F35701" s="40" t="s">
        <v>11404</v>
      </c>
      <c r="G35701" s="40" t="s">
        <v>11404</v>
      </c>
      <c r="H35701" s="40" t="s">
        <v>11404</v>
      </c>
    </row>
    <row r="35702">
      <c r="A35702" s="39"/>
      <c r="E35702" s="40" t="s">
        <v>11404</v>
      </c>
      <c r="F35702" s="40" t="s">
        <v>11404</v>
      </c>
      <c r="G35702" s="40" t="s">
        <v>11404</v>
      </c>
      <c r="H35702" s="40" t="s">
        <v>11404</v>
      </c>
    </row>
    <row r="35703">
      <c r="A35703" s="39"/>
      <c r="E35703" s="40" t="s">
        <v>11404</v>
      </c>
      <c r="F35703" s="40" t="s">
        <v>11404</v>
      </c>
      <c r="G35703" s="40" t="s">
        <v>11404</v>
      </c>
      <c r="H35703" s="40" t="s">
        <v>11404</v>
      </c>
    </row>
    <row r="35704">
      <c r="A35704" s="39"/>
      <c r="E35704" s="40" t="s">
        <v>11404</v>
      </c>
      <c r="F35704" s="40" t="s">
        <v>11404</v>
      </c>
      <c r="G35704" s="40" t="s">
        <v>11404</v>
      </c>
      <c r="H35704" s="40" t="s">
        <v>11404</v>
      </c>
    </row>
    <row r="35705">
      <c r="A35705" s="39"/>
      <c r="E35705" s="40" t="s">
        <v>11404</v>
      </c>
      <c r="F35705" s="40" t="s">
        <v>11404</v>
      </c>
      <c r="G35705" s="40" t="s">
        <v>11404</v>
      </c>
      <c r="H35705" s="40" t="s">
        <v>11404</v>
      </c>
    </row>
    <row r="35706">
      <c r="A35706" s="39"/>
      <c r="E35706" s="40" t="s">
        <v>11404</v>
      </c>
      <c r="F35706" s="40" t="s">
        <v>11404</v>
      </c>
      <c r="G35706" s="40" t="s">
        <v>11404</v>
      </c>
      <c r="H35706" s="40" t="s">
        <v>11404</v>
      </c>
    </row>
    <row r="35707">
      <c r="A35707" s="39"/>
      <c r="E35707" s="40" t="s">
        <v>11404</v>
      </c>
      <c r="F35707" s="40" t="s">
        <v>11404</v>
      </c>
      <c r="G35707" s="40" t="s">
        <v>11404</v>
      </c>
      <c r="H35707" s="40" t="s">
        <v>11404</v>
      </c>
    </row>
    <row r="35708">
      <c r="A35708" s="39"/>
      <c r="E35708" s="40" t="s">
        <v>11404</v>
      </c>
      <c r="F35708" s="40" t="s">
        <v>11404</v>
      </c>
      <c r="G35708" s="40" t="s">
        <v>11404</v>
      </c>
      <c r="H35708" s="40" t="s">
        <v>11404</v>
      </c>
    </row>
    <row r="35709">
      <c r="A35709" s="39"/>
      <c r="E35709" s="40" t="s">
        <v>11404</v>
      </c>
      <c r="F35709" s="40" t="s">
        <v>11404</v>
      </c>
      <c r="G35709" s="40" t="s">
        <v>11404</v>
      </c>
      <c r="H35709" s="40" t="s">
        <v>11404</v>
      </c>
    </row>
    <row r="35710">
      <c r="A35710" s="39"/>
      <c r="E35710" s="40" t="s">
        <v>11404</v>
      </c>
      <c r="F35710" s="40" t="s">
        <v>11404</v>
      </c>
      <c r="G35710" s="40" t="s">
        <v>11404</v>
      </c>
      <c r="H35710" s="40" t="s">
        <v>11404</v>
      </c>
    </row>
    <row r="35711">
      <c r="A35711" s="39"/>
      <c r="E35711" s="40" t="s">
        <v>11404</v>
      </c>
      <c r="F35711" s="40" t="s">
        <v>11404</v>
      </c>
      <c r="G35711" s="40" t="s">
        <v>11404</v>
      </c>
      <c r="H35711" s="40" t="s">
        <v>11404</v>
      </c>
    </row>
    <row r="35712">
      <c r="A35712" s="39"/>
      <c r="E35712" s="40" t="s">
        <v>11404</v>
      </c>
      <c r="F35712" s="40" t="s">
        <v>11404</v>
      </c>
      <c r="G35712" s="40" t="s">
        <v>11404</v>
      </c>
      <c r="H35712" s="40" t="s">
        <v>11404</v>
      </c>
    </row>
    <row r="35713">
      <c r="A35713" s="39"/>
      <c r="E35713" s="40" t="s">
        <v>11404</v>
      </c>
      <c r="F35713" s="40" t="s">
        <v>11404</v>
      </c>
      <c r="G35713" s="40" t="s">
        <v>11404</v>
      </c>
      <c r="H35713" s="40" t="s">
        <v>11404</v>
      </c>
    </row>
    <row r="35714">
      <c r="A35714" s="39"/>
      <c r="E35714" s="40" t="s">
        <v>11404</v>
      </c>
      <c r="F35714" s="40" t="s">
        <v>11404</v>
      </c>
      <c r="G35714" s="40" t="s">
        <v>11404</v>
      </c>
      <c r="H35714" s="40" t="s">
        <v>11404</v>
      </c>
    </row>
    <row r="35715">
      <c r="A35715" s="39"/>
      <c r="E35715" s="40" t="s">
        <v>11404</v>
      </c>
      <c r="F35715" s="40" t="s">
        <v>11404</v>
      </c>
      <c r="G35715" s="40" t="s">
        <v>11404</v>
      </c>
      <c r="H35715" s="40" t="s">
        <v>11404</v>
      </c>
    </row>
    <row r="35716">
      <c r="A35716" s="39"/>
      <c r="E35716" s="40" t="s">
        <v>11404</v>
      </c>
      <c r="F35716" s="40" t="s">
        <v>11404</v>
      </c>
      <c r="G35716" s="40" t="s">
        <v>11404</v>
      </c>
      <c r="H35716" s="40" t="s">
        <v>11404</v>
      </c>
    </row>
    <row r="35717">
      <c r="A35717" s="39"/>
      <c r="E35717" s="40" t="s">
        <v>11404</v>
      </c>
      <c r="F35717" s="40" t="s">
        <v>11404</v>
      </c>
      <c r="G35717" s="40" t="s">
        <v>11404</v>
      </c>
      <c r="H35717" s="40" t="s">
        <v>11404</v>
      </c>
    </row>
    <row r="35718">
      <c r="A35718" s="39"/>
      <c r="E35718" s="40" t="s">
        <v>11404</v>
      </c>
      <c r="F35718" s="40" t="s">
        <v>11404</v>
      </c>
      <c r="G35718" s="40" t="s">
        <v>11404</v>
      </c>
      <c r="H35718" s="40" t="s">
        <v>11404</v>
      </c>
    </row>
    <row r="35719">
      <c r="A35719" s="39"/>
      <c r="E35719" s="40" t="s">
        <v>11404</v>
      </c>
      <c r="F35719" s="40" t="s">
        <v>11404</v>
      </c>
      <c r="G35719" s="40" t="s">
        <v>11404</v>
      </c>
      <c r="H35719" s="40" t="s">
        <v>11404</v>
      </c>
    </row>
    <row r="35720">
      <c r="A35720" s="39"/>
      <c r="E35720" s="40" t="s">
        <v>11404</v>
      </c>
      <c r="F35720" s="40" t="s">
        <v>11404</v>
      </c>
      <c r="G35720" s="40" t="s">
        <v>11404</v>
      </c>
      <c r="H35720" s="40" t="s">
        <v>11404</v>
      </c>
    </row>
    <row r="35721">
      <c r="A35721" s="39"/>
      <c r="E35721" s="40" t="s">
        <v>11404</v>
      </c>
      <c r="F35721" s="40" t="s">
        <v>11404</v>
      </c>
      <c r="G35721" s="40" t="s">
        <v>11404</v>
      </c>
      <c r="H35721" s="40" t="s">
        <v>11404</v>
      </c>
    </row>
    <row r="35722">
      <c r="A35722" s="39"/>
      <c r="E35722" s="40" t="s">
        <v>11404</v>
      </c>
      <c r="F35722" s="40" t="s">
        <v>11404</v>
      </c>
      <c r="G35722" s="40" t="s">
        <v>11404</v>
      </c>
      <c r="H35722" s="40" t="s">
        <v>11404</v>
      </c>
    </row>
    <row r="35723">
      <c r="A35723" s="39"/>
      <c r="E35723" s="40" t="s">
        <v>11404</v>
      </c>
      <c r="F35723" s="40" t="s">
        <v>11404</v>
      </c>
      <c r="G35723" s="40" t="s">
        <v>11404</v>
      </c>
      <c r="H35723" s="40" t="s">
        <v>11404</v>
      </c>
    </row>
    <row r="35724">
      <c r="A35724" s="39"/>
      <c r="E35724" s="40" t="s">
        <v>11404</v>
      </c>
      <c r="F35724" s="40" t="s">
        <v>11404</v>
      </c>
      <c r="G35724" s="40" t="s">
        <v>11404</v>
      </c>
      <c r="H35724" s="40" t="s">
        <v>11404</v>
      </c>
    </row>
    <row r="35725">
      <c r="A35725" s="39"/>
      <c r="E35725" s="40" t="s">
        <v>11404</v>
      </c>
      <c r="F35725" s="40" t="s">
        <v>11404</v>
      </c>
      <c r="G35725" s="40" t="s">
        <v>11404</v>
      </c>
      <c r="H35725" s="40" t="s">
        <v>11404</v>
      </c>
    </row>
    <row r="35726">
      <c r="A35726" s="39"/>
      <c r="E35726" s="40" t="s">
        <v>11404</v>
      </c>
      <c r="F35726" s="40" t="s">
        <v>11404</v>
      </c>
      <c r="G35726" s="40" t="s">
        <v>11404</v>
      </c>
      <c r="H35726" s="40" t="s">
        <v>11404</v>
      </c>
    </row>
    <row r="35727">
      <c r="A35727" s="39"/>
      <c r="E35727" s="40" t="s">
        <v>11404</v>
      </c>
      <c r="F35727" s="40" t="s">
        <v>11404</v>
      </c>
      <c r="G35727" s="40" t="s">
        <v>11404</v>
      </c>
      <c r="H35727" s="40" t="s">
        <v>11404</v>
      </c>
    </row>
    <row r="35728">
      <c r="A35728" s="39"/>
      <c r="E35728" s="40" t="s">
        <v>11404</v>
      </c>
      <c r="F35728" s="40" t="s">
        <v>11404</v>
      </c>
      <c r="G35728" s="40" t="s">
        <v>11404</v>
      </c>
      <c r="H35728" s="40" t="s">
        <v>11404</v>
      </c>
    </row>
    <row r="35729">
      <c r="A35729" s="39"/>
      <c r="E35729" s="40" t="s">
        <v>11404</v>
      </c>
      <c r="F35729" s="40" t="s">
        <v>11404</v>
      </c>
      <c r="G35729" s="40" t="s">
        <v>11404</v>
      </c>
      <c r="H35729" s="40" t="s">
        <v>11404</v>
      </c>
    </row>
    <row r="35730">
      <c r="A35730" s="39"/>
      <c r="E35730" s="40" t="s">
        <v>11404</v>
      </c>
      <c r="F35730" s="40" t="s">
        <v>11404</v>
      </c>
      <c r="G35730" s="40" t="s">
        <v>11404</v>
      </c>
      <c r="H35730" s="40" t="s">
        <v>11404</v>
      </c>
    </row>
    <row r="35731">
      <c r="A35731" s="39"/>
      <c r="E35731" s="40" t="s">
        <v>11404</v>
      </c>
      <c r="F35731" s="40" t="s">
        <v>11404</v>
      </c>
      <c r="G35731" s="40" t="s">
        <v>11404</v>
      </c>
      <c r="H35731" s="40" t="s">
        <v>11404</v>
      </c>
    </row>
    <row r="35732">
      <c r="A35732" s="39"/>
      <c r="E35732" s="40" t="s">
        <v>11404</v>
      </c>
      <c r="F35732" s="40" t="s">
        <v>11404</v>
      </c>
      <c r="G35732" s="40" t="s">
        <v>11404</v>
      </c>
      <c r="H35732" s="40" t="s">
        <v>11404</v>
      </c>
    </row>
    <row r="35733">
      <c r="A35733" s="39"/>
      <c r="E35733" s="40" t="s">
        <v>11404</v>
      </c>
      <c r="F35733" s="40" t="s">
        <v>11404</v>
      </c>
      <c r="G35733" s="40" t="s">
        <v>11404</v>
      </c>
      <c r="H35733" s="40" t="s">
        <v>11404</v>
      </c>
    </row>
    <row r="35734">
      <c r="A35734" s="39"/>
      <c r="E35734" s="40" t="s">
        <v>11404</v>
      </c>
      <c r="F35734" s="40" t="s">
        <v>11404</v>
      </c>
      <c r="G35734" s="40" t="s">
        <v>11404</v>
      </c>
      <c r="H35734" s="40" t="s">
        <v>11404</v>
      </c>
    </row>
    <row r="35735">
      <c r="A35735" s="39"/>
      <c r="E35735" s="40" t="s">
        <v>11404</v>
      </c>
      <c r="F35735" s="40" t="s">
        <v>11404</v>
      </c>
      <c r="G35735" s="40" t="s">
        <v>11404</v>
      </c>
      <c r="H35735" s="40" t="s">
        <v>11404</v>
      </c>
    </row>
    <row r="35736">
      <c r="A35736" s="39"/>
      <c r="E35736" s="40" t="s">
        <v>11404</v>
      </c>
      <c r="F35736" s="40" t="s">
        <v>11404</v>
      </c>
      <c r="G35736" s="40" t="s">
        <v>11404</v>
      </c>
      <c r="H35736" s="40" t="s">
        <v>11404</v>
      </c>
    </row>
    <row r="35737">
      <c r="A35737" s="39"/>
      <c r="E35737" s="40" t="s">
        <v>11404</v>
      </c>
      <c r="F35737" s="40" t="s">
        <v>11404</v>
      </c>
      <c r="G35737" s="40" t="s">
        <v>11404</v>
      </c>
      <c r="H35737" s="40" t="s">
        <v>11404</v>
      </c>
    </row>
    <row r="35738">
      <c r="A35738" s="39"/>
      <c r="E35738" s="40" t="s">
        <v>11404</v>
      </c>
      <c r="F35738" s="40" t="s">
        <v>11404</v>
      </c>
      <c r="G35738" s="40" t="s">
        <v>11404</v>
      </c>
      <c r="H35738" s="40" t="s">
        <v>11404</v>
      </c>
    </row>
    <row r="35739">
      <c r="A35739" s="39"/>
      <c r="E35739" s="40" t="s">
        <v>11404</v>
      </c>
      <c r="F35739" s="40" t="s">
        <v>11404</v>
      </c>
      <c r="G35739" s="40" t="s">
        <v>11404</v>
      </c>
      <c r="H35739" s="40" t="s">
        <v>11404</v>
      </c>
    </row>
    <row r="35740">
      <c r="A35740" s="39"/>
      <c r="E35740" s="40" t="s">
        <v>11404</v>
      </c>
      <c r="F35740" s="40" t="s">
        <v>11404</v>
      </c>
      <c r="G35740" s="40" t="s">
        <v>11404</v>
      </c>
      <c r="H35740" s="40" t="s">
        <v>11404</v>
      </c>
    </row>
    <row r="35741">
      <c r="A35741" s="39"/>
      <c r="E35741" s="40" t="s">
        <v>11404</v>
      </c>
      <c r="F35741" s="40" t="s">
        <v>11404</v>
      </c>
      <c r="G35741" s="40" t="s">
        <v>11404</v>
      </c>
      <c r="H35741" s="40" t="s">
        <v>11404</v>
      </c>
    </row>
    <row r="35742">
      <c r="A35742" s="39"/>
      <c r="E35742" s="40" t="s">
        <v>11404</v>
      </c>
      <c r="F35742" s="40" t="s">
        <v>11404</v>
      </c>
      <c r="G35742" s="40" t="s">
        <v>11404</v>
      </c>
      <c r="H35742" s="40" t="s">
        <v>11404</v>
      </c>
    </row>
    <row r="35743">
      <c r="A35743" s="39"/>
      <c r="E35743" s="40" t="s">
        <v>11404</v>
      </c>
      <c r="F35743" s="40" t="s">
        <v>11404</v>
      </c>
      <c r="G35743" s="40" t="s">
        <v>11404</v>
      </c>
      <c r="H35743" s="40" t="s">
        <v>11404</v>
      </c>
    </row>
    <row r="35744">
      <c r="A35744" s="39"/>
      <c r="E35744" s="40" t="s">
        <v>11404</v>
      </c>
      <c r="F35744" s="40" t="s">
        <v>11404</v>
      </c>
      <c r="G35744" s="40" t="s">
        <v>11404</v>
      </c>
      <c r="H35744" s="40" t="s">
        <v>11404</v>
      </c>
    </row>
    <row r="35745">
      <c r="A35745" s="39"/>
      <c r="E35745" s="40" t="s">
        <v>11404</v>
      </c>
      <c r="F35745" s="40" t="s">
        <v>11404</v>
      </c>
      <c r="G35745" s="40" t="s">
        <v>11404</v>
      </c>
      <c r="H35745" s="40" t="s">
        <v>11404</v>
      </c>
    </row>
    <row r="35746">
      <c r="A35746" s="39"/>
      <c r="E35746" s="40" t="s">
        <v>11404</v>
      </c>
      <c r="F35746" s="40" t="s">
        <v>11404</v>
      </c>
      <c r="G35746" s="40" t="s">
        <v>11404</v>
      </c>
      <c r="H35746" s="40" t="s">
        <v>11404</v>
      </c>
    </row>
    <row r="35747">
      <c r="A35747" s="39"/>
      <c r="E35747" s="40" t="s">
        <v>11404</v>
      </c>
      <c r="F35747" s="40" t="s">
        <v>11404</v>
      </c>
      <c r="G35747" s="40" t="s">
        <v>11404</v>
      </c>
      <c r="H35747" s="40" t="s">
        <v>11404</v>
      </c>
    </row>
    <row r="35748">
      <c r="A35748" s="39"/>
      <c r="E35748" s="40" t="s">
        <v>11404</v>
      </c>
      <c r="F35748" s="40" t="s">
        <v>11404</v>
      </c>
      <c r="G35748" s="40" t="s">
        <v>11404</v>
      </c>
      <c r="H35748" s="40" t="s">
        <v>11404</v>
      </c>
    </row>
    <row r="35749">
      <c r="A35749" s="39"/>
      <c r="E35749" s="40" t="s">
        <v>11404</v>
      </c>
      <c r="F35749" s="40" t="s">
        <v>11404</v>
      </c>
      <c r="G35749" s="40" t="s">
        <v>11404</v>
      </c>
      <c r="H35749" s="40" t="s">
        <v>11404</v>
      </c>
    </row>
    <row r="35750">
      <c r="A35750" s="39"/>
      <c r="E35750" s="40" t="s">
        <v>11404</v>
      </c>
      <c r="F35750" s="40" t="s">
        <v>11404</v>
      </c>
      <c r="G35750" s="40" t="s">
        <v>11404</v>
      </c>
      <c r="H35750" s="40" t="s">
        <v>11404</v>
      </c>
    </row>
    <row r="35751">
      <c r="A35751" s="39"/>
      <c r="E35751" s="40" t="s">
        <v>11404</v>
      </c>
      <c r="F35751" s="40" t="s">
        <v>11404</v>
      </c>
      <c r="G35751" s="40" t="s">
        <v>11404</v>
      </c>
      <c r="H35751" s="40" t="s">
        <v>11404</v>
      </c>
    </row>
    <row r="35752">
      <c r="A35752" s="39"/>
      <c r="E35752" s="40" t="s">
        <v>11404</v>
      </c>
      <c r="F35752" s="40" t="s">
        <v>11404</v>
      </c>
      <c r="G35752" s="40" t="s">
        <v>11404</v>
      </c>
      <c r="H35752" s="40" t="s">
        <v>11404</v>
      </c>
    </row>
    <row r="35753">
      <c r="A35753" s="39"/>
      <c r="E35753" s="40" t="s">
        <v>11404</v>
      </c>
      <c r="F35753" s="40" t="s">
        <v>11404</v>
      </c>
      <c r="G35753" s="40" t="s">
        <v>11404</v>
      </c>
      <c r="H35753" s="40" t="s">
        <v>11404</v>
      </c>
    </row>
    <row r="35754">
      <c r="A35754" s="39"/>
      <c r="E35754" s="40" t="s">
        <v>11404</v>
      </c>
      <c r="F35754" s="40" t="s">
        <v>11404</v>
      </c>
      <c r="G35754" s="40" t="s">
        <v>11404</v>
      </c>
      <c r="H35754" s="40" t="s">
        <v>11404</v>
      </c>
    </row>
    <row r="35755">
      <c r="A35755" s="39"/>
      <c r="E35755" s="40" t="s">
        <v>11404</v>
      </c>
      <c r="F35755" s="40" t="s">
        <v>11404</v>
      </c>
      <c r="G35755" s="40" t="s">
        <v>11404</v>
      </c>
      <c r="H35755" s="40" t="s">
        <v>11404</v>
      </c>
    </row>
    <row r="35756">
      <c r="A35756" s="39"/>
      <c r="E35756" s="40" t="s">
        <v>11404</v>
      </c>
      <c r="F35756" s="40" t="s">
        <v>11404</v>
      </c>
      <c r="G35756" s="40" t="s">
        <v>11404</v>
      </c>
      <c r="H35756" s="40" t="s">
        <v>11404</v>
      </c>
    </row>
    <row r="35757">
      <c r="A35757" s="39"/>
      <c r="E35757" s="40" t="s">
        <v>11404</v>
      </c>
      <c r="F35757" s="40" t="s">
        <v>11404</v>
      </c>
      <c r="G35757" s="40" t="s">
        <v>11404</v>
      </c>
      <c r="H35757" s="40" t="s">
        <v>11404</v>
      </c>
    </row>
    <row r="35758">
      <c r="A35758" s="39"/>
      <c r="E35758" s="40" t="s">
        <v>11404</v>
      </c>
      <c r="F35758" s="40" t="s">
        <v>11404</v>
      </c>
      <c r="G35758" s="40" t="s">
        <v>11404</v>
      </c>
      <c r="H35758" s="40" t="s">
        <v>11404</v>
      </c>
    </row>
    <row r="35759">
      <c r="A35759" s="39"/>
      <c r="E35759" s="40" t="s">
        <v>11404</v>
      </c>
      <c r="F35759" s="40" t="s">
        <v>11404</v>
      </c>
      <c r="G35759" s="40" t="s">
        <v>11404</v>
      </c>
      <c r="H35759" s="40" t="s">
        <v>11404</v>
      </c>
    </row>
    <row r="35760">
      <c r="A35760" s="39"/>
      <c r="E35760" s="40" t="s">
        <v>11404</v>
      </c>
      <c r="F35760" s="40" t="s">
        <v>11404</v>
      </c>
      <c r="G35760" s="40" t="s">
        <v>11404</v>
      </c>
      <c r="H35760" s="40" t="s">
        <v>11404</v>
      </c>
    </row>
    <row r="35761">
      <c r="A35761" s="39"/>
      <c r="E35761" s="40" t="s">
        <v>11404</v>
      </c>
      <c r="F35761" s="40" t="s">
        <v>11404</v>
      </c>
      <c r="G35761" s="40" t="s">
        <v>11404</v>
      </c>
      <c r="H35761" s="40" t="s">
        <v>11404</v>
      </c>
    </row>
    <row r="35762">
      <c r="A35762" s="39"/>
      <c r="E35762" s="40" t="s">
        <v>11404</v>
      </c>
      <c r="F35762" s="40" t="s">
        <v>11404</v>
      </c>
      <c r="G35762" s="40" t="s">
        <v>11404</v>
      </c>
      <c r="H35762" s="40" t="s">
        <v>11404</v>
      </c>
    </row>
    <row r="35763">
      <c r="A35763" s="39"/>
      <c r="E35763" s="40" t="s">
        <v>11404</v>
      </c>
      <c r="F35763" s="40" t="s">
        <v>11404</v>
      </c>
      <c r="G35763" s="40" t="s">
        <v>11404</v>
      </c>
      <c r="H35763" s="40" t="s">
        <v>11404</v>
      </c>
    </row>
    <row r="35764">
      <c r="A35764" s="39"/>
      <c r="E35764" s="40" t="s">
        <v>11404</v>
      </c>
      <c r="F35764" s="40" t="s">
        <v>11404</v>
      </c>
      <c r="G35764" s="40" t="s">
        <v>11404</v>
      </c>
      <c r="H35764" s="40" t="s">
        <v>11404</v>
      </c>
    </row>
    <row r="35765">
      <c r="A35765" s="39"/>
      <c r="E35765" s="40" t="s">
        <v>11404</v>
      </c>
      <c r="F35765" s="40" t="s">
        <v>11404</v>
      </c>
      <c r="G35765" s="40" t="s">
        <v>11404</v>
      </c>
      <c r="H35765" s="40" t="s">
        <v>11404</v>
      </c>
    </row>
    <row r="35766">
      <c r="A35766" s="39"/>
      <c r="E35766" s="40" t="s">
        <v>11404</v>
      </c>
      <c r="F35766" s="40" t="s">
        <v>11404</v>
      </c>
      <c r="G35766" s="40" t="s">
        <v>11404</v>
      </c>
      <c r="H35766" s="40" t="s">
        <v>11404</v>
      </c>
    </row>
    <row r="35767">
      <c r="A35767" s="39"/>
      <c r="E35767" s="40" t="s">
        <v>11404</v>
      </c>
      <c r="F35767" s="40" t="s">
        <v>11404</v>
      </c>
      <c r="G35767" s="40" t="s">
        <v>11404</v>
      </c>
      <c r="H35767" s="40" t="s">
        <v>11404</v>
      </c>
    </row>
    <row r="35768">
      <c r="A35768" s="39"/>
      <c r="E35768" s="40" t="s">
        <v>11404</v>
      </c>
      <c r="F35768" s="40" t="s">
        <v>11404</v>
      </c>
      <c r="G35768" s="40" t="s">
        <v>11404</v>
      </c>
      <c r="H35768" s="40" t="s">
        <v>11404</v>
      </c>
    </row>
    <row r="35769">
      <c r="A35769" s="39"/>
      <c r="E35769" s="40" t="s">
        <v>11404</v>
      </c>
      <c r="F35769" s="40" t="s">
        <v>11404</v>
      </c>
      <c r="G35769" s="40" t="s">
        <v>11404</v>
      </c>
      <c r="H35769" s="40" t="s">
        <v>11404</v>
      </c>
    </row>
    <row r="35770">
      <c r="A35770" s="39"/>
      <c r="E35770" s="40" t="s">
        <v>11404</v>
      </c>
      <c r="F35770" s="40" t="s">
        <v>11404</v>
      </c>
      <c r="G35770" s="40" t="s">
        <v>11404</v>
      </c>
      <c r="H35770" s="40" t="s">
        <v>11404</v>
      </c>
    </row>
    <row r="35771">
      <c r="A35771" s="39"/>
      <c r="E35771" s="40" t="s">
        <v>11404</v>
      </c>
      <c r="F35771" s="40" t="s">
        <v>11404</v>
      </c>
      <c r="G35771" s="40" t="s">
        <v>11404</v>
      </c>
      <c r="H35771" s="40" t="s">
        <v>11404</v>
      </c>
    </row>
    <row r="35772">
      <c r="A35772" s="39"/>
      <c r="E35772" s="40" t="s">
        <v>11404</v>
      </c>
      <c r="F35772" s="40" t="s">
        <v>11404</v>
      </c>
      <c r="G35772" s="40" t="s">
        <v>11404</v>
      </c>
      <c r="H35772" s="40" t="s">
        <v>11404</v>
      </c>
    </row>
    <row r="35773">
      <c r="A35773" s="39"/>
      <c r="E35773" s="40" t="s">
        <v>11404</v>
      </c>
      <c r="F35773" s="40" t="s">
        <v>11404</v>
      </c>
      <c r="G35773" s="40" t="s">
        <v>11404</v>
      </c>
      <c r="H35773" s="40" t="s">
        <v>11404</v>
      </c>
    </row>
    <row r="35774">
      <c r="A35774" s="39"/>
      <c r="E35774" s="40" t="s">
        <v>11404</v>
      </c>
      <c r="F35774" s="40" t="s">
        <v>11404</v>
      </c>
      <c r="G35774" s="40" t="s">
        <v>11404</v>
      </c>
      <c r="H35774" s="40" t="s">
        <v>11404</v>
      </c>
    </row>
    <row r="35775">
      <c r="A35775" s="39"/>
      <c r="E35775" s="40" t="s">
        <v>11404</v>
      </c>
      <c r="F35775" s="40" t="s">
        <v>11404</v>
      </c>
      <c r="G35775" s="40" t="s">
        <v>11404</v>
      </c>
      <c r="H35775" s="40" t="s">
        <v>11404</v>
      </c>
    </row>
    <row r="35776">
      <c r="A35776" s="39"/>
      <c r="E35776" s="40" t="s">
        <v>11404</v>
      </c>
      <c r="F35776" s="40" t="s">
        <v>11404</v>
      </c>
      <c r="G35776" s="40" t="s">
        <v>11404</v>
      </c>
      <c r="H35776" s="40" t="s">
        <v>11404</v>
      </c>
    </row>
    <row r="35777">
      <c r="A35777" s="39"/>
      <c r="E35777" s="40" t="s">
        <v>11404</v>
      </c>
      <c r="F35777" s="40" t="s">
        <v>11404</v>
      </c>
      <c r="G35777" s="40" t="s">
        <v>11404</v>
      </c>
      <c r="H35777" s="40" t="s">
        <v>11404</v>
      </c>
    </row>
    <row r="35778">
      <c r="A35778" s="39"/>
      <c r="E35778" s="40" t="s">
        <v>11404</v>
      </c>
      <c r="F35778" s="40" t="s">
        <v>11404</v>
      </c>
      <c r="G35778" s="40" t="s">
        <v>11404</v>
      </c>
      <c r="H35778" s="40" t="s">
        <v>11404</v>
      </c>
    </row>
    <row r="35779">
      <c r="A35779" s="39"/>
      <c r="E35779" s="40" t="s">
        <v>11404</v>
      </c>
      <c r="F35779" s="40" t="s">
        <v>11404</v>
      </c>
      <c r="G35779" s="40" t="s">
        <v>11404</v>
      </c>
      <c r="H35779" s="40" t="s">
        <v>11404</v>
      </c>
    </row>
    <row r="35780">
      <c r="A35780" s="39"/>
      <c r="E35780" s="40" t="s">
        <v>11404</v>
      </c>
      <c r="F35780" s="40" t="s">
        <v>11404</v>
      </c>
      <c r="G35780" s="40" t="s">
        <v>11404</v>
      </c>
      <c r="H35780" s="40" t="s">
        <v>11404</v>
      </c>
    </row>
    <row r="35781">
      <c r="A35781" s="39"/>
      <c r="E35781" s="40" t="s">
        <v>11404</v>
      </c>
      <c r="F35781" s="40" t="s">
        <v>11404</v>
      </c>
      <c r="G35781" s="40" t="s">
        <v>11404</v>
      </c>
      <c r="H35781" s="40" t="s">
        <v>11404</v>
      </c>
    </row>
    <row r="35782">
      <c r="A35782" s="39"/>
      <c r="E35782" s="40" t="s">
        <v>11404</v>
      </c>
      <c r="F35782" s="40" t="s">
        <v>11404</v>
      </c>
      <c r="G35782" s="40" t="s">
        <v>11404</v>
      </c>
      <c r="H35782" s="40" t="s">
        <v>11404</v>
      </c>
    </row>
    <row r="35783">
      <c r="A35783" s="39"/>
      <c r="E35783" s="40" t="s">
        <v>11404</v>
      </c>
      <c r="F35783" s="40" t="s">
        <v>11404</v>
      </c>
      <c r="G35783" s="40" t="s">
        <v>11404</v>
      </c>
      <c r="H35783" s="40" t="s">
        <v>11404</v>
      </c>
    </row>
    <row r="35784">
      <c r="A35784" s="39"/>
      <c r="E35784" s="40" t="s">
        <v>11404</v>
      </c>
      <c r="F35784" s="40" t="s">
        <v>11404</v>
      </c>
      <c r="G35784" s="40" t="s">
        <v>11404</v>
      </c>
      <c r="H35784" s="40" t="s">
        <v>11404</v>
      </c>
    </row>
    <row r="35785">
      <c r="A35785" s="39"/>
      <c r="E35785" s="40" t="s">
        <v>11404</v>
      </c>
      <c r="F35785" s="40" t="s">
        <v>11404</v>
      </c>
      <c r="G35785" s="40" t="s">
        <v>11404</v>
      </c>
      <c r="H35785" s="40" t="s">
        <v>11404</v>
      </c>
    </row>
    <row r="35786">
      <c r="A35786" s="39"/>
      <c r="E35786" s="40" t="s">
        <v>11404</v>
      </c>
      <c r="F35786" s="40" t="s">
        <v>11404</v>
      </c>
      <c r="G35786" s="40" t="s">
        <v>11404</v>
      </c>
      <c r="H35786" s="40" t="s">
        <v>11404</v>
      </c>
    </row>
    <row r="35787">
      <c r="A35787" s="39"/>
      <c r="E35787" s="40" t="s">
        <v>11404</v>
      </c>
      <c r="F35787" s="40" t="s">
        <v>11404</v>
      </c>
      <c r="G35787" s="40" t="s">
        <v>11404</v>
      </c>
      <c r="H35787" s="40" t="s">
        <v>11404</v>
      </c>
    </row>
    <row r="35788">
      <c r="A35788" s="39"/>
      <c r="E35788" s="40" t="s">
        <v>11404</v>
      </c>
      <c r="F35788" s="40" t="s">
        <v>11404</v>
      </c>
      <c r="G35788" s="40" t="s">
        <v>11404</v>
      </c>
      <c r="H35788" s="40" t="s">
        <v>11404</v>
      </c>
    </row>
    <row r="35789">
      <c r="A35789" s="39"/>
      <c r="E35789" s="40" t="s">
        <v>11404</v>
      </c>
      <c r="F35789" s="40" t="s">
        <v>11404</v>
      </c>
      <c r="G35789" s="40" t="s">
        <v>11404</v>
      </c>
      <c r="H35789" s="40" t="s">
        <v>11404</v>
      </c>
    </row>
    <row r="35790">
      <c r="A35790" s="39"/>
      <c r="E35790" s="40" t="s">
        <v>11404</v>
      </c>
      <c r="F35790" s="40" t="s">
        <v>11404</v>
      </c>
      <c r="G35790" s="40" t="s">
        <v>11404</v>
      </c>
      <c r="H35790" s="40" t="s">
        <v>11404</v>
      </c>
    </row>
    <row r="35791">
      <c r="A35791" s="39"/>
      <c r="E35791" s="40" t="s">
        <v>11404</v>
      </c>
      <c r="F35791" s="40" t="s">
        <v>11404</v>
      </c>
      <c r="G35791" s="40" t="s">
        <v>11404</v>
      </c>
      <c r="H35791" s="40" t="s">
        <v>11404</v>
      </c>
    </row>
    <row r="35792">
      <c r="A35792" s="39"/>
      <c r="E35792" s="40" t="s">
        <v>11404</v>
      </c>
      <c r="F35792" s="40" t="s">
        <v>11404</v>
      </c>
      <c r="G35792" s="40" t="s">
        <v>11404</v>
      </c>
      <c r="H35792" s="40" t="s">
        <v>11404</v>
      </c>
    </row>
    <row r="35793">
      <c r="A35793" s="39"/>
      <c r="E35793" s="40" t="s">
        <v>11404</v>
      </c>
      <c r="F35793" s="40" t="s">
        <v>11404</v>
      </c>
      <c r="G35793" s="40" t="s">
        <v>11404</v>
      </c>
      <c r="H35793" s="40" t="s">
        <v>11404</v>
      </c>
    </row>
    <row r="35794">
      <c r="A35794" s="39"/>
      <c r="E35794" s="40" t="s">
        <v>11404</v>
      </c>
      <c r="F35794" s="40" t="s">
        <v>11404</v>
      </c>
      <c r="G35794" s="40" t="s">
        <v>11404</v>
      </c>
      <c r="H35794" s="40" t="s">
        <v>11404</v>
      </c>
    </row>
    <row r="35795">
      <c r="A35795" s="39"/>
      <c r="E35795" s="40" t="s">
        <v>11404</v>
      </c>
      <c r="F35795" s="40" t="s">
        <v>11404</v>
      </c>
      <c r="G35795" s="40" t="s">
        <v>11404</v>
      </c>
      <c r="H35795" s="40" t="s">
        <v>11404</v>
      </c>
    </row>
    <row r="35796">
      <c r="A35796" s="39"/>
      <c r="E35796" s="40" t="s">
        <v>11404</v>
      </c>
      <c r="F35796" s="40" t="s">
        <v>11404</v>
      </c>
      <c r="G35796" s="40" t="s">
        <v>11404</v>
      </c>
      <c r="H35796" s="40" t="s">
        <v>11404</v>
      </c>
    </row>
    <row r="35797">
      <c r="A35797" s="39"/>
      <c r="E35797" s="40" t="s">
        <v>11404</v>
      </c>
      <c r="F35797" s="40" t="s">
        <v>11404</v>
      </c>
      <c r="G35797" s="40" t="s">
        <v>11404</v>
      </c>
      <c r="H35797" s="40" t="s">
        <v>11404</v>
      </c>
    </row>
    <row r="35798">
      <c r="A35798" s="39"/>
      <c r="E35798" s="40" t="s">
        <v>11404</v>
      </c>
      <c r="F35798" s="40" t="s">
        <v>11404</v>
      </c>
      <c r="G35798" s="40" t="s">
        <v>11404</v>
      </c>
      <c r="H35798" s="40" t="s">
        <v>11404</v>
      </c>
    </row>
    <row r="35799">
      <c r="A35799" s="39"/>
      <c r="E35799" s="40" t="s">
        <v>11404</v>
      </c>
      <c r="F35799" s="40" t="s">
        <v>11404</v>
      </c>
      <c r="G35799" s="40" t="s">
        <v>11404</v>
      </c>
      <c r="H35799" s="40" t="s">
        <v>11404</v>
      </c>
    </row>
    <row r="35800">
      <c r="A35800" s="39"/>
      <c r="E35800" s="40" t="s">
        <v>11404</v>
      </c>
      <c r="F35800" s="40" t="s">
        <v>11404</v>
      </c>
      <c r="G35800" s="40" t="s">
        <v>11404</v>
      </c>
      <c r="H35800" s="40" t="s">
        <v>11404</v>
      </c>
    </row>
    <row r="35801">
      <c r="A35801" s="39"/>
      <c r="E35801" s="40" t="s">
        <v>11404</v>
      </c>
      <c r="F35801" s="40" t="s">
        <v>11404</v>
      </c>
      <c r="G35801" s="40" t="s">
        <v>11404</v>
      </c>
      <c r="H35801" s="40" t="s">
        <v>11404</v>
      </c>
    </row>
    <row r="35802">
      <c r="A35802" s="39"/>
      <c r="E35802" s="40" t="s">
        <v>11404</v>
      </c>
      <c r="F35802" s="40" t="s">
        <v>11404</v>
      </c>
      <c r="G35802" s="40" t="s">
        <v>11404</v>
      </c>
      <c r="H35802" s="40" t="s">
        <v>11404</v>
      </c>
    </row>
    <row r="35803">
      <c r="A35803" s="39"/>
      <c r="E35803" s="40" t="s">
        <v>11404</v>
      </c>
      <c r="F35803" s="40" t="s">
        <v>11404</v>
      </c>
      <c r="G35803" s="40" t="s">
        <v>11404</v>
      </c>
      <c r="H35803" s="40" t="s">
        <v>11404</v>
      </c>
    </row>
    <row r="35804">
      <c r="A35804" s="39"/>
      <c r="E35804" s="40" t="s">
        <v>11404</v>
      </c>
      <c r="F35804" s="40" t="s">
        <v>11404</v>
      </c>
      <c r="G35804" s="40" t="s">
        <v>11404</v>
      </c>
      <c r="H35804" s="40" t="s">
        <v>11404</v>
      </c>
    </row>
    <row r="35805">
      <c r="A35805" s="39"/>
      <c r="E35805" s="40" t="s">
        <v>11404</v>
      </c>
      <c r="F35805" s="40" t="s">
        <v>11404</v>
      </c>
      <c r="G35805" s="40" t="s">
        <v>11404</v>
      </c>
      <c r="H35805" s="40" t="s">
        <v>11404</v>
      </c>
    </row>
    <row r="35806">
      <c r="A35806" s="39"/>
      <c r="E35806" s="40" t="s">
        <v>11404</v>
      </c>
      <c r="F35806" s="40" t="s">
        <v>11404</v>
      </c>
      <c r="G35806" s="40" t="s">
        <v>11404</v>
      </c>
      <c r="H35806" s="40" t="s">
        <v>11404</v>
      </c>
    </row>
    <row r="35807">
      <c r="A35807" s="39"/>
      <c r="E35807" s="40" t="s">
        <v>11404</v>
      </c>
      <c r="F35807" s="40" t="s">
        <v>11404</v>
      </c>
      <c r="G35807" s="40" t="s">
        <v>11404</v>
      </c>
      <c r="H35807" s="40" t="s">
        <v>11404</v>
      </c>
    </row>
    <row r="35808">
      <c r="A35808" s="39"/>
      <c r="E35808" s="40" t="s">
        <v>11404</v>
      </c>
      <c r="F35808" s="40" t="s">
        <v>11404</v>
      </c>
      <c r="G35808" s="40" t="s">
        <v>11404</v>
      </c>
      <c r="H35808" s="40" t="s">
        <v>11404</v>
      </c>
    </row>
    <row r="35809">
      <c r="A35809" s="39"/>
      <c r="E35809" s="40" t="s">
        <v>11404</v>
      </c>
      <c r="F35809" s="40" t="s">
        <v>11404</v>
      </c>
      <c r="G35809" s="40" t="s">
        <v>11404</v>
      </c>
      <c r="H35809" s="40" t="s">
        <v>11404</v>
      </c>
    </row>
    <row r="35810">
      <c r="A35810" s="39"/>
      <c r="E35810" s="40" t="s">
        <v>11404</v>
      </c>
      <c r="F35810" s="40" t="s">
        <v>11404</v>
      </c>
      <c r="G35810" s="40" t="s">
        <v>11404</v>
      </c>
      <c r="H35810" s="40" t="s">
        <v>11404</v>
      </c>
    </row>
    <row r="35811">
      <c r="A35811" s="39"/>
      <c r="E35811" s="40" t="s">
        <v>11404</v>
      </c>
      <c r="F35811" s="40" t="s">
        <v>11404</v>
      </c>
      <c r="G35811" s="40" t="s">
        <v>11404</v>
      </c>
      <c r="H35811" s="40" t="s">
        <v>11404</v>
      </c>
    </row>
    <row r="35812">
      <c r="A35812" s="39"/>
      <c r="E35812" s="40" t="s">
        <v>11404</v>
      </c>
      <c r="F35812" s="40" t="s">
        <v>11404</v>
      </c>
      <c r="G35812" s="40" t="s">
        <v>11404</v>
      </c>
      <c r="H35812" s="40" t="s">
        <v>11404</v>
      </c>
    </row>
    <row r="35813">
      <c r="A35813" s="39"/>
      <c r="E35813" s="40" t="s">
        <v>11404</v>
      </c>
      <c r="F35813" s="40" t="s">
        <v>11404</v>
      </c>
      <c r="G35813" s="40" t="s">
        <v>11404</v>
      </c>
      <c r="H35813" s="40" t="s">
        <v>11404</v>
      </c>
    </row>
    <row r="35814">
      <c r="A35814" s="39"/>
      <c r="E35814" s="40" t="s">
        <v>11404</v>
      </c>
      <c r="F35814" s="40" t="s">
        <v>11404</v>
      </c>
      <c r="G35814" s="40" t="s">
        <v>11404</v>
      </c>
      <c r="H35814" s="40" t="s">
        <v>11404</v>
      </c>
    </row>
    <row r="35815">
      <c r="A35815" s="39"/>
      <c r="E35815" s="40" t="s">
        <v>11404</v>
      </c>
      <c r="F35815" s="40" t="s">
        <v>11404</v>
      </c>
      <c r="G35815" s="40" t="s">
        <v>11404</v>
      </c>
      <c r="H35815" s="40" t="s">
        <v>11404</v>
      </c>
    </row>
    <row r="35816">
      <c r="A35816" s="39"/>
      <c r="E35816" s="40" t="s">
        <v>11404</v>
      </c>
      <c r="F35816" s="40" t="s">
        <v>11404</v>
      </c>
      <c r="G35816" s="40" t="s">
        <v>11404</v>
      </c>
      <c r="H35816" s="40" t="s">
        <v>11404</v>
      </c>
    </row>
    <row r="35817">
      <c r="A35817" s="39"/>
      <c r="E35817" s="40" t="s">
        <v>11404</v>
      </c>
      <c r="F35817" s="40" t="s">
        <v>11404</v>
      </c>
      <c r="G35817" s="40" t="s">
        <v>11404</v>
      </c>
      <c r="H35817" s="40" t="s">
        <v>11404</v>
      </c>
    </row>
    <row r="35818">
      <c r="A35818" s="39"/>
      <c r="E35818" s="40" t="s">
        <v>11404</v>
      </c>
      <c r="F35818" s="40" t="s">
        <v>11404</v>
      </c>
      <c r="G35818" s="40" t="s">
        <v>11404</v>
      </c>
      <c r="H35818" s="40" t="s">
        <v>11404</v>
      </c>
    </row>
    <row r="35819">
      <c r="A35819" s="39"/>
      <c r="E35819" s="40" t="s">
        <v>11404</v>
      </c>
      <c r="F35819" s="40" t="s">
        <v>11404</v>
      </c>
      <c r="G35819" s="40" t="s">
        <v>11404</v>
      </c>
      <c r="H35819" s="40" t="s">
        <v>11404</v>
      </c>
    </row>
    <row r="35820">
      <c r="A35820" s="39"/>
      <c r="E35820" s="40" t="s">
        <v>11404</v>
      </c>
      <c r="F35820" s="40" t="s">
        <v>11404</v>
      </c>
      <c r="G35820" s="40" t="s">
        <v>11404</v>
      </c>
      <c r="H35820" s="40" t="s">
        <v>11404</v>
      </c>
    </row>
    <row r="35821">
      <c r="A35821" s="39"/>
      <c r="E35821" s="40" t="s">
        <v>11404</v>
      </c>
      <c r="F35821" s="40" t="s">
        <v>11404</v>
      </c>
      <c r="G35821" s="40" t="s">
        <v>11404</v>
      </c>
      <c r="H35821" s="40" t="s">
        <v>11404</v>
      </c>
    </row>
    <row r="35822">
      <c r="A35822" s="39"/>
      <c r="E35822" s="40" t="s">
        <v>11404</v>
      </c>
      <c r="F35822" s="40" t="s">
        <v>11404</v>
      </c>
      <c r="G35822" s="40" t="s">
        <v>11404</v>
      </c>
      <c r="H35822" s="40" t="s">
        <v>11404</v>
      </c>
    </row>
    <row r="35823">
      <c r="A35823" s="39"/>
      <c r="E35823" s="40" t="s">
        <v>11404</v>
      </c>
      <c r="F35823" s="40" t="s">
        <v>11404</v>
      </c>
      <c r="G35823" s="40" t="s">
        <v>11404</v>
      </c>
      <c r="H35823" s="40" t="s">
        <v>11404</v>
      </c>
    </row>
    <row r="35824">
      <c r="A35824" s="39"/>
      <c r="E35824" s="40" t="s">
        <v>11404</v>
      </c>
      <c r="F35824" s="40" t="s">
        <v>11404</v>
      </c>
      <c r="G35824" s="40" t="s">
        <v>11404</v>
      </c>
      <c r="H35824" s="40" t="s">
        <v>11404</v>
      </c>
    </row>
    <row r="35825">
      <c r="A35825" s="39"/>
      <c r="E35825" s="40" t="s">
        <v>11404</v>
      </c>
      <c r="F35825" s="40" t="s">
        <v>11404</v>
      </c>
      <c r="G35825" s="40" t="s">
        <v>11404</v>
      </c>
      <c r="H35825" s="40" t="s">
        <v>11404</v>
      </c>
    </row>
    <row r="35826">
      <c r="A35826" s="39"/>
      <c r="E35826" s="40" t="s">
        <v>11404</v>
      </c>
      <c r="F35826" s="40" t="s">
        <v>11404</v>
      </c>
      <c r="G35826" s="40" t="s">
        <v>11404</v>
      </c>
      <c r="H35826" s="40" t="s">
        <v>11404</v>
      </c>
    </row>
    <row r="35827">
      <c r="A35827" s="39"/>
      <c r="E35827" s="40" t="s">
        <v>11404</v>
      </c>
      <c r="F35827" s="40" t="s">
        <v>11404</v>
      </c>
      <c r="G35827" s="40" t="s">
        <v>11404</v>
      </c>
      <c r="H35827" s="40" t="s">
        <v>11404</v>
      </c>
    </row>
    <row r="35828">
      <c r="A35828" s="39"/>
      <c r="E35828" s="40" t="s">
        <v>11404</v>
      </c>
      <c r="F35828" s="40" t="s">
        <v>11404</v>
      </c>
      <c r="G35828" s="40" t="s">
        <v>11404</v>
      </c>
      <c r="H35828" s="40" t="s">
        <v>11404</v>
      </c>
    </row>
    <row r="35829">
      <c r="A35829" s="39"/>
      <c r="E35829" s="40" t="s">
        <v>11404</v>
      </c>
      <c r="F35829" s="40" t="s">
        <v>11404</v>
      </c>
      <c r="G35829" s="40" t="s">
        <v>11404</v>
      </c>
      <c r="H35829" s="40" t="s">
        <v>11404</v>
      </c>
    </row>
    <row r="35830">
      <c r="A35830" s="39"/>
      <c r="E35830" s="40" t="s">
        <v>11404</v>
      </c>
      <c r="F35830" s="40" t="s">
        <v>11404</v>
      </c>
      <c r="G35830" s="40" t="s">
        <v>11404</v>
      </c>
      <c r="H35830" s="40" t="s">
        <v>11404</v>
      </c>
    </row>
    <row r="35831">
      <c r="A35831" s="39"/>
      <c r="E35831" s="40" t="s">
        <v>11404</v>
      </c>
      <c r="F35831" s="40" t="s">
        <v>11404</v>
      </c>
      <c r="G35831" s="40" t="s">
        <v>11404</v>
      </c>
      <c r="H35831" s="40" t="s">
        <v>11404</v>
      </c>
    </row>
    <row r="35832">
      <c r="A35832" s="39"/>
      <c r="E35832" s="40" t="s">
        <v>11404</v>
      </c>
      <c r="F35832" s="40" t="s">
        <v>11404</v>
      </c>
      <c r="G35832" s="40" t="s">
        <v>11404</v>
      </c>
      <c r="H35832" s="40" t="s">
        <v>11404</v>
      </c>
    </row>
    <row r="35833">
      <c r="A35833" s="39"/>
      <c r="E35833" s="40" t="s">
        <v>11404</v>
      </c>
      <c r="F35833" s="40" t="s">
        <v>11404</v>
      </c>
      <c r="G35833" s="40" t="s">
        <v>11404</v>
      </c>
      <c r="H35833" s="40" t="s">
        <v>11404</v>
      </c>
    </row>
    <row r="35834">
      <c r="A35834" s="39"/>
      <c r="E35834" s="40" t="s">
        <v>11404</v>
      </c>
      <c r="F35834" s="40" t="s">
        <v>11404</v>
      </c>
      <c r="G35834" s="40" t="s">
        <v>11404</v>
      </c>
      <c r="H35834" s="40" t="s">
        <v>11404</v>
      </c>
    </row>
    <row r="35835">
      <c r="A35835" s="39"/>
      <c r="E35835" s="40" t="s">
        <v>11404</v>
      </c>
      <c r="F35835" s="40" t="s">
        <v>11404</v>
      </c>
      <c r="G35835" s="40" t="s">
        <v>11404</v>
      </c>
      <c r="H35835" s="40" t="s">
        <v>11404</v>
      </c>
    </row>
    <row r="35836">
      <c r="A35836" s="39"/>
      <c r="E35836" s="40" t="s">
        <v>11404</v>
      </c>
      <c r="F35836" s="40" t="s">
        <v>11404</v>
      </c>
      <c r="G35836" s="40" t="s">
        <v>11404</v>
      </c>
      <c r="H35836" s="40" t="s">
        <v>11404</v>
      </c>
    </row>
    <row r="35837">
      <c r="A35837" s="39"/>
      <c r="E35837" s="40" t="s">
        <v>11404</v>
      </c>
      <c r="F35837" s="40" t="s">
        <v>11404</v>
      </c>
      <c r="G35837" s="40" t="s">
        <v>11404</v>
      </c>
      <c r="H35837" s="40" t="s">
        <v>11404</v>
      </c>
    </row>
    <row r="35838">
      <c r="A35838" s="39"/>
      <c r="E35838" s="40" t="s">
        <v>11404</v>
      </c>
      <c r="F35838" s="40" t="s">
        <v>11404</v>
      </c>
      <c r="G35838" s="40" t="s">
        <v>11404</v>
      </c>
      <c r="H35838" s="40" t="s">
        <v>11404</v>
      </c>
    </row>
    <row r="35839">
      <c r="A35839" s="39"/>
      <c r="E35839" s="40" t="s">
        <v>11404</v>
      </c>
      <c r="F35839" s="40" t="s">
        <v>11404</v>
      </c>
      <c r="G35839" s="40" t="s">
        <v>11404</v>
      </c>
      <c r="H35839" s="40" t="s">
        <v>11404</v>
      </c>
    </row>
    <row r="35840">
      <c r="A35840" s="39"/>
      <c r="E35840" s="40" t="s">
        <v>11404</v>
      </c>
      <c r="F35840" s="40" t="s">
        <v>11404</v>
      </c>
      <c r="G35840" s="40" t="s">
        <v>11404</v>
      </c>
      <c r="H35840" s="40" t="s">
        <v>11404</v>
      </c>
    </row>
    <row r="35841">
      <c r="A35841" s="39"/>
      <c r="E35841" s="40" t="s">
        <v>11404</v>
      </c>
      <c r="F35841" s="40" t="s">
        <v>11404</v>
      </c>
      <c r="G35841" s="40" t="s">
        <v>11404</v>
      </c>
      <c r="H35841" s="40" t="s">
        <v>11404</v>
      </c>
    </row>
    <row r="35842">
      <c r="A35842" s="39"/>
      <c r="E35842" s="40" t="s">
        <v>11404</v>
      </c>
      <c r="F35842" s="40" t="s">
        <v>11404</v>
      </c>
      <c r="G35842" s="40" t="s">
        <v>11404</v>
      </c>
      <c r="H35842" s="40" t="s">
        <v>11404</v>
      </c>
    </row>
    <row r="35843">
      <c r="A35843" s="39"/>
      <c r="E35843" s="40" t="s">
        <v>11404</v>
      </c>
      <c r="F35843" s="40" t="s">
        <v>11404</v>
      </c>
      <c r="G35843" s="40" t="s">
        <v>11404</v>
      </c>
      <c r="H35843" s="40" t="s">
        <v>11404</v>
      </c>
    </row>
    <row r="35844">
      <c r="A35844" s="39"/>
      <c r="E35844" s="40" t="s">
        <v>11404</v>
      </c>
      <c r="F35844" s="40" t="s">
        <v>11404</v>
      </c>
      <c r="G35844" s="40" t="s">
        <v>11404</v>
      </c>
      <c r="H35844" s="40" t="s">
        <v>11404</v>
      </c>
    </row>
    <row r="35845">
      <c r="A35845" s="39"/>
      <c r="E35845" s="40" t="s">
        <v>11404</v>
      </c>
      <c r="F35845" s="40" t="s">
        <v>11404</v>
      </c>
      <c r="G35845" s="40" t="s">
        <v>11404</v>
      </c>
      <c r="H35845" s="40" t="s">
        <v>11404</v>
      </c>
    </row>
    <row r="35846">
      <c r="A35846" s="39"/>
      <c r="E35846" s="40" t="s">
        <v>11404</v>
      </c>
      <c r="F35846" s="40" t="s">
        <v>11404</v>
      </c>
      <c r="G35846" s="40" t="s">
        <v>11404</v>
      </c>
      <c r="H35846" s="40" t="s">
        <v>11404</v>
      </c>
    </row>
    <row r="35847">
      <c r="A35847" s="39"/>
      <c r="E35847" s="40" t="s">
        <v>11404</v>
      </c>
      <c r="F35847" s="40" t="s">
        <v>11404</v>
      </c>
      <c r="G35847" s="40" t="s">
        <v>11404</v>
      </c>
      <c r="H35847" s="40" t="s">
        <v>11404</v>
      </c>
    </row>
    <row r="35848">
      <c r="A35848" s="39"/>
      <c r="E35848" s="40" t="s">
        <v>11404</v>
      </c>
      <c r="F35848" s="40" t="s">
        <v>11404</v>
      </c>
      <c r="G35848" s="40" t="s">
        <v>11404</v>
      </c>
      <c r="H35848" s="40" t="s">
        <v>11404</v>
      </c>
    </row>
    <row r="35849">
      <c r="A35849" s="39"/>
      <c r="E35849" s="40" t="s">
        <v>11404</v>
      </c>
      <c r="F35849" s="40" t="s">
        <v>11404</v>
      </c>
      <c r="G35849" s="40" t="s">
        <v>11404</v>
      </c>
      <c r="H35849" s="40" t="s">
        <v>11404</v>
      </c>
    </row>
    <row r="35850">
      <c r="A35850" s="39"/>
      <c r="E35850" s="40" t="s">
        <v>11404</v>
      </c>
      <c r="F35850" s="40" t="s">
        <v>11404</v>
      </c>
      <c r="G35850" s="40" t="s">
        <v>11404</v>
      </c>
      <c r="H35850" s="40" t="s">
        <v>11404</v>
      </c>
    </row>
    <row r="35851">
      <c r="A35851" s="39"/>
      <c r="E35851" s="40" t="s">
        <v>11404</v>
      </c>
      <c r="F35851" s="40" t="s">
        <v>11404</v>
      </c>
      <c r="G35851" s="40" t="s">
        <v>11404</v>
      </c>
      <c r="H35851" s="40" t="s">
        <v>11404</v>
      </c>
    </row>
    <row r="35852">
      <c r="A35852" s="39"/>
      <c r="E35852" s="40" t="s">
        <v>11404</v>
      </c>
      <c r="F35852" s="40" t="s">
        <v>11404</v>
      </c>
      <c r="G35852" s="40" t="s">
        <v>11404</v>
      </c>
      <c r="H35852" s="40" t="s">
        <v>11404</v>
      </c>
    </row>
    <row r="35853">
      <c r="A35853" s="39"/>
      <c r="E35853" s="40" t="s">
        <v>11404</v>
      </c>
      <c r="F35853" s="40" t="s">
        <v>11404</v>
      </c>
      <c r="G35853" s="40" t="s">
        <v>11404</v>
      </c>
      <c r="H35853" s="40" t="s">
        <v>11404</v>
      </c>
    </row>
    <row r="35854">
      <c r="A35854" s="39"/>
      <c r="E35854" s="40" t="s">
        <v>11404</v>
      </c>
      <c r="F35854" s="40" t="s">
        <v>11404</v>
      </c>
      <c r="G35854" s="40" t="s">
        <v>11404</v>
      </c>
      <c r="H35854" s="40" t="s">
        <v>11404</v>
      </c>
    </row>
    <row r="35855">
      <c r="A35855" s="39"/>
      <c r="E35855" s="40" t="s">
        <v>11404</v>
      </c>
      <c r="F35855" s="40" t="s">
        <v>11404</v>
      </c>
      <c r="G35855" s="40" t="s">
        <v>11404</v>
      </c>
      <c r="H35855" s="40" t="s">
        <v>11404</v>
      </c>
    </row>
    <row r="35856">
      <c r="A35856" s="39"/>
      <c r="E35856" s="40" t="s">
        <v>11404</v>
      </c>
      <c r="F35856" s="40" t="s">
        <v>11404</v>
      </c>
      <c r="G35856" s="40" t="s">
        <v>11404</v>
      </c>
      <c r="H35856" s="40" t="s">
        <v>11404</v>
      </c>
    </row>
    <row r="35857">
      <c r="A35857" s="39"/>
      <c r="E35857" s="40" t="s">
        <v>11404</v>
      </c>
      <c r="F35857" s="40" t="s">
        <v>11404</v>
      </c>
      <c r="G35857" s="40" t="s">
        <v>11404</v>
      </c>
      <c r="H35857" s="40" t="s">
        <v>11404</v>
      </c>
    </row>
    <row r="35858">
      <c r="A35858" s="39"/>
      <c r="E35858" s="40" t="s">
        <v>11404</v>
      </c>
      <c r="F35858" s="40" t="s">
        <v>11404</v>
      </c>
      <c r="G35858" s="40" t="s">
        <v>11404</v>
      </c>
      <c r="H35858" s="40" t="s">
        <v>11404</v>
      </c>
    </row>
    <row r="35859">
      <c r="A35859" s="39"/>
      <c r="E35859" s="40" t="s">
        <v>11404</v>
      </c>
      <c r="F35859" s="40" t="s">
        <v>11404</v>
      </c>
      <c r="G35859" s="40" t="s">
        <v>11404</v>
      </c>
      <c r="H35859" s="40" t="s">
        <v>11404</v>
      </c>
    </row>
    <row r="35860">
      <c r="A35860" s="39"/>
      <c r="E35860" s="40" t="s">
        <v>11404</v>
      </c>
      <c r="F35860" s="40" t="s">
        <v>11404</v>
      </c>
      <c r="G35860" s="40" t="s">
        <v>11404</v>
      </c>
      <c r="H35860" s="40" t="s">
        <v>11404</v>
      </c>
    </row>
    <row r="35861">
      <c r="A35861" s="39"/>
      <c r="E35861" s="40" t="s">
        <v>11404</v>
      </c>
      <c r="F35861" s="40" t="s">
        <v>11404</v>
      </c>
      <c r="G35861" s="40" t="s">
        <v>11404</v>
      </c>
      <c r="H35861" s="40" t="s">
        <v>11404</v>
      </c>
    </row>
    <row r="35862">
      <c r="A35862" s="39"/>
      <c r="E35862" s="40" t="s">
        <v>11404</v>
      </c>
      <c r="F35862" s="40" t="s">
        <v>11404</v>
      </c>
      <c r="G35862" s="40" t="s">
        <v>11404</v>
      </c>
      <c r="H35862" s="40" t="s">
        <v>11404</v>
      </c>
    </row>
    <row r="35863">
      <c r="A35863" s="39"/>
      <c r="E35863" s="40" t="s">
        <v>11404</v>
      </c>
      <c r="F35863" s="40" t="s">
        <v>11404</v>
      </c>
      <c r="G35863" s="40" t="s">
        <v>11404</v>
      </c>
      <c r="H35863" s="40" t="s">
        <v>11404</v>
      </c>
    </row>
    <row r="35864">
      <c r="A35864" s="39"/>
      <c r="E35864" s="40" t="s">
        <v>11404</v>
      </c>
      <c r="F35864" s="40" t="s">
        <v>11404</v>
      </c>
      <c r="G35864" s="40" t="s">
        <v>11404</v>
      </c>
      <c r="H35864" s="40" t="s">
        <v>11404</v>
      </c>
    </row>
    <row r="35865">
      <c r="A35865" s="39"/>
      <c r="E35865" s="40" t="s">
        <v>11404</v>
      </c>
      <c r="F35865" s="40" t="s">
        <v>11404</v>
      </c>
      <c r="G35865" s="40" t="s">
        <v>11404</v>
      </c>
      <c r="H35865" s="40" t="s">
        <v>11404</v>
      </c>
    </row>
    <row r="35866">
      <c r="A35866" s="39"/>
      <c r="E35866" s="40" t="s">
        <v>11404</v>
      </c>
      <c r="F35866" s="40" t="s">
        <v>11404</v>
      </c>
      <c r="G35866" s="40" t="s">
        <v>11404</v>
      </c>
      <c r="H35866" s="40" t="s">
        <v>11404</v>
      </c>
    </row>
    <row r="35867">
      <c r="A35867" s="39"/>
      <c r="E35867" s="40" t="s">
        <v>11404</v>
      </c>
      <c r="F35867" s="40" t="s">
        <v>11404</v>
      </c>
      <c r="G35867" s="40" t="s">
        <v>11404</v>
      </c>
      <c r="H35867" s="40" t="s">
        <v>11404</v>
      </c>
    </row>
    <row r="35868">
      <c r="A35868" s="39"/>
      <c r="E35868" s="40" t="s">
        <v>11404</v>
      </c>
      <c r="F35868" s="40" t="s">
        <v>11404</v>
      </c>
      <c r="G35868" s="40" t="s">
        <v>11404</v>
      </c>
      <c r="H35868" s="40" t="s">
        <v>11404</v>
      </c>
    </row>
    <row r="35869">
      <c r="A35869" s="39"/>
      <c r="E35869" s="40" t="s">
        <v>11404</v>
      </c>
      <c r="F35869" s="40" t="s">
        <v>11404</v>
      </c>
      <c r="G35869" s="40" t="s">
        <v>11404</v>
      </c>
      <c r="H35869" s="40" t="s">
        <v>11404</v>
      </c>
    </row>
    <row r="35870">
      <c r="A35870" s="39"/>
      <c r="E35870" s="40" t="s">
        <v>11404</v>
      </c>
      <c r="F35870" s="40" t="s">
        <v>11404</v>
      </c>
      <c r="G35870" s="40" t="s">
        <v>11404</v>
      </c>
      <c r="H35870" s="40" t="s">
        <v>11404</v>
      </c>
    </row>
    <row r="35871">
      <c r="A35871" s="39"/>
      <c r="E35871" s="40" t="s">
        <v>11404</v>
      </c>
      <c r="F35871" s="40" t="s">
        <v>11404</v>
      </c>
      <c r="G35871" s="40" t="s">
        <v>11404</v>
      </c>
      <c r="H35871" s="40" t="s">
        <v>11404</v>
      </c>
    </row>
    <row r="35872">
      <c r="A35872" s="39"/>
      <c r="E35872" s="40" t="s">
        <v>11404</v>
      </c>
      <c r="F35872" s="40" t="s">
        <v>11404</v>
      </c>
      <c r="G35872" s="40" t="s">
        <v>11404</v>
      </c>
      <c r="H35872" s="40" t="s">
        <v>11404</v>
      </c>
    </row>
    <row r="35873">
      <c r="A35873" s="39"/>
      <c r="E35873" s="40" t="s">
        <v>11404</v>
      </c>
      <c r="F35873" s="40" t="s">
        <v>11404</v>
      </c>
      <c r="G35873" s="40" t="s">
        <v>11404</v>
      </c>
      <c r="H35873" s="40" t="s">
        <v>11404</v>
      </c>
    </row>
    <row r="35874">
      <c r="A35874" s="39"/>
      <c r="E35874" s="40" t="s">
        <v>11404</v>
      </c>
      <c r="F35874" s="40" t="s">
        <v>11404</v>
      </c>
      <c r="G35874" s="40" t="s">
        <v>11404</v>
      </c>
      <c r="H35874" s="40" t="s">
        <v>11404</v>
      </c>
    </row>
    <row r="35875">
      <c r="A35875" s="39"/>
      <c r="E35875" s="40" t="s">
        <v>11404</v>
      </c>
      <c r="F35875" s="40" t="s">
        <v>11404</v>
      </c>
      <c r="G35875" s="40" t="s">
        <v>11404</v>
      </c>
      <c r="H35875" s="40" t="s">
        <v>11404</v>
      </c>
    </row>
    <row r="35876">
      <c r="A35876" s="39"/>
      <c r="E35876" s="40" t="s">
        <v>11404</v>
      </c>
      <c r="F35876" s="40" t="s">
        <v>11404</v>
      </c>
      <c r="G35876" s="40" t="s">
        <v>11404</v>
      </c>
      <c r="H35876" s="40" t="s">
        <v>11404</v>
      </c>
    </row>
    <row r="35877">
      <c r="A35877" s="39"/>
      <c r="E35877" s="40" t="s">
        <v>11404</v>
      </c>
      <c r="F35877" s="40" t="s">
        <v>11404</v>
      </c>
      <c r="G35877" s="40" t="s">
        <v>11404</v>
      </c>
      <c r="H35877" s="40" t="s">
        <v>11404</v>
      </c>
    </row>
    <row r="35878">
      <c r="A35878" s="39"/>
      <c r="E35878" s="40" t="s">
        <v>11404</v>
      </c>
      <c r="F35878" s="40" t="s">
        <v>11404</v>
      </c>
      <c r="G35878" s="40" t="s">
        <v>11404</v>
      </c>
      <c r="H35878" s="40" t="s">
        <v>11404</v>
      </c>
    </row>
    <row r="35879">
      <c r="A35879" s="39"/>
      <c r="E35879" s="40" t="s">
        <v>11404</v>
      </c>
      <c r="F35879" s="40" t="s">
        <v>11404</v>
      </c>
      <c r="G35879" s="40" t="s">
        <v>11404</v>
      </c>
      <c r="H35879" s="40" t="s">
        <v>11404</v>
      </c>
    </row>
    <row r="35880">
      <c r="A35880" s="39"/>
      <c r="E35880" s="40" t="s">
        <v>11404</v>
      </c>
      <c r="F35880" s="40" t="s">
        <v>11404</v>
      </c>
      <c r="G35880" s="40" t="s">
        <v>11404</v>
      </c>
      <c r="H35880" s="40" t="s">
        <v>11404</v>
      </c>
    </row>
    <row r="35881">
      <c r="A35881" s="39"/>
      <c r="E35881" s="40" t="s">
        <v>11404</v>
      </c>
      <c r="F35881" s="40" t="s">
        <v>11404</v>
      </c>
      <c r="G35881" s="40" t="s">
        <v>11404</v>
      </c>
      <c r="H35881" s="40" t="s">
        <v>11404</v>
      </c>
    </row>
    <row r="35882">
      <c r="A35882" s="39"/>
      <c r="E35882" s="40" t="s">
        <v>11404</v>
      </c>
      <c r="F35882" s="40" t="s">
        <v>11404</v>
      </c>
      <c r="G35882" s="40" t="s">
        <v>11404</v>
      </c>
      <c r="H35882" s="40" t="s">
        <v>11404</v>
      </c>
    </row>
    <row r="35883">
      <c r="A35883" s="39"/>
      <c r="E35883" s="40" t="s">
        <v>11404</v>
      </c>
      <c r="F35883" s="40" t="s">
        <v>11404</v>
      </c>
      <c r="G35883" s="40" t="s">
        <v>11404</v>
      </c>
      <c r="H35883" s="40" t="s">
        <v>11404</v>
      </c>
    </row>
    <row r="35884">
      <c r="A35884" s="39"/>
      <c r="E35884" s="40" t="s">
        <v>11404</v>
      </c>
      <c r="F35884" s="40" t="s">
        <v>11404</v>
      </c>
      <c r="G35884" s="40" t="s">
        <v>11404</v>
      </c>
      <c r="H35884" s="40" t="s">
        <v>11404</v>
      </c>
    </row>
    <row r="35885">
      <c r="A35885" s="39"/>
      <c r="E35885" s="40" t="s">
        <v>11404</v>
      </c>
      <c r="F35885" s="40" t="s">
        <v>11404</v>
      </c>
      <c r="G35885" s="40" t="s">
        <v>11404</v>
      </c>
      <c r="H35885" s="40" t="s">
        <v>11404</v>
      </c>
    </row>
    <row r="35886">
      <c r="A35886" s="39"/>
      <c r="E35886" s="40" t="s">
        <v>11404</v>
      </c>
      <c r="F35886" s="40" t="s">
        <v>11404</v>
      </c>
      <c r="G35886" s="40" t="s">
        <v>11404</v>
      </c>
      <c r="H35886" s="40" t="s">
        <v>11404</v>
      </c>
    </row>
    <row r="35887">
      <c r="A35887" s="39"/>
      <c r="E35887" s="40" t="s">
        <v>11404</v>
      </c>
      <c r="F35887" s="40" t="s">
        <v>11404</v>
      </c>
      <c r="G35887" s="40" t="s">
        <v>11404</v>
      </c>
      <c r="H35887" s="40" t="s">
        <v>11404</v>
      </c>
    </row>
    <row r="35888">
      <c r="A35888" s="39"/>
      <c r="E35888" s="40" t="s">
        <v>11404</v>
      </c>
      <c r="F35888" s="40" t="s">
        <v>11404</v>
      </c>
      <c r="G35888" s="40" t="s">
        <v>11404</v>
      </c>
      <c r="H35888" s="40" t="s">
        <v>11404</v>
      </c>
    </row>
    <row r="35889">
      <c r="A35889" s="39"/>
      <c r="E35889" s="40" t="s">
        <v>11404</v>
      </c>
      <c r="F35889" s="40" t="s">
        <v>11404</v>
      </c>
      <c r="G35889" s="40" t="s">
        <v>11404</v>
      </c>
      <c r="H35889" s="40" t="s">
        <v>11404</v>
      </c>
    </row>
    <row r="35890">
      <c r="A35890" s="39"/>
      <c r="E35890" s="40" t="s">
        <v>11404</v>
      </c>
      <c r="F35890" s="40" t="s">
        <v>11404</v>
      </c>
      <c r="G35890" s="40" t="s">
        <v>11404</v>
      </c>
      <c r="H35890" s="40" t="s">
        <v>11404</v>
      </c>
    </row>
    <row r="35891">
      <c r="A35891" s="39"/>
      <c r="E35891" s="40" t="s">
        <v>11404</v>
      </c>
      <c r="F35891" s="40" t="s">
        <v>11404</v>
      </c>
      <c r="G35891" s="40" t="s">
        <v>11404</v>
      </c>
      <c r="H35891" s="40" t="s">
        <v>11404</v>
      </c>
    </row>
    <row r="35892">
      <c r="A35892" s="39"/>
      <c r="E35892" s="40" t="s">
        <v>11404</v>
      </c>
      <c r="F35892" s="40" t="s">
        <v>11404</v>
      </c>
      <c r="G35892" s="40" t="s">
        <v>11404</v>
      </c>
      <c r="H35892" s="40" t="s">
        <v>11404</v>
      </c>
    </row>
    <row r="35893">
      <c r="A35893" s="39"/>
      <c r="E35893" s="40" t="s">
        <v>11404</v>
      </c>
      <c r="F35893" s="40" t="s">
        <v>11404</v>
      </c>
      <c r="G35893" s="40" t="s">
        <v>11404</v>
      </c>
      <c r="H35893" s="40" t="s">
        <v>11404</v>
      </c>
    </row>
    <row r="35894">
      <c r="A35894" s="39"/>
      <c r="E35894" s="40" t="s">
        <v>11404</v>
      </c>
      <c r="F35894" s="40" t="s">
        <v>11404</v>
      </c>
      <c r="G35894" s="40" t="s">
        <v>11404</v>
      </c>
      <c r="H35894" s="40" t="s">
        <v>11404</v>
      </c>
    </row>
    <row r="35895">
      <c r="A35895" s="39"/>
      <c r="E35895" s="40" t="s">
        <v>11404</v>
      </c>
      <c r="F35895" s="40" t="s">
        <v>11404</v>
      </c>
      <c r="G35895" s="40" t="s">
        <v>11404</v>
      </c>
      <c r="H35895" s="40" t="s">
        <v>11404</v>
      </c>
    </row>
    <row r="35896">
      <c r="A35896" s="39"/>
      <c r="E35896" s="40" t="s">
        <v>11404</v>
      </c>
      <c r="F35896" s="40" t="s">
        <v>11404</v>
      </c>
      <c r="G35896" s="40" t="s">
        <v>11404</v>
      </c>
      <c r="H35896" s="40" t="s">
        <v>11404</v>
      </c>
    </row>
    <row r="35897">
      <c r="A35897" s="39"/>
      <c r="E35897" s="40" t="s">
        <v>11404</v>
      </c>
      <c r="F35897" s="40" t="s">
        <v>11404</v>
      </c>
      <c r="G35897" s="40" t="s">
        <v>11404</v>
      </c>
      <c r="H35897" s="40" t="s">
        <v>11404</v>
      </c>
    </row>
    <row r="35898">
      <c r="A35898" s="39"/>
      <c r="E35898" s="40" t="s">
        <v>11404</v>
      </c>
      <c r="F35898" s="40" t="s">
        <v>11404</v>
      </c>
      <c r="G35898" s="40" t="s">
        <v>11404</v>
      </c>
      <c r="H35898" s="40" t="s">
        <v>11404</v>
      </c>
    </row>
    <row r="35899">
      <c r="A35899" s="39"/>
      <c r="E35899" s="40" t="s">
        <v>11404</v>
      </c>
      <c r="F35899" s="40" t="s">
        <v>11404</v>
      </c>
      <c r="G35899" s="40" t="s">
        <v>11404</v>
      </c>
      <c r="H35899" s="40" t="s">
        <v>11404</v>
      </c>
    </row>
    <row r="35900">
      <c r="A35900" s="39"/>
      <c r="E35900" s="40" t="s">
        <v>11404</v>
      </c>
      <c r="F35900" s="40" t="s">
        <v>11404</v>
      </c>
      <c r="G35900" s="40" t="s">
        <v>11404</v>
      </c>
      <c r="H35900" s="40" t="s">
        <v>11404</v>
      </c>
    </row>
    <row r="35901">
      <c r="A35901" s="39"/>
      <c r="E35901" s="40" t="s">
        <v>11404</v>
      </c>
      <c r="F35901" s="40" t="s">
        <v>11404</v>
      </c>
      <c r="G35901" s="40" t="s">
        <v>11404</v>
      </c>
      <c r="H35901" s="40" t="s">
        <v>11404</v>
      </c>
    </row>
    <row r="35902">
      <c r="A35902" s="39"/>
      <c r="E35902" s="40" t="s">
        <v>11404</v>
      </c>
      <c r="F35902" s="40" t="s">
        <v>11404</v>
      </c>
      <c r="G35902" s="40" t="s">
        <v>11404</v>
      </c>
      <c r="H35902" s="40" t="s">
        <v>11404</v>
      </c>
    </row>
    <row r="35903">
      <c r="A35903" s="39"/>
      <c r="E35903" s="40" t="s">
        <v>11404</v>
      </c>
      <c r="F35903" s="40" t="s">
        <v>11404</v>
      </c>
      <c r="G35903" s="40" t="s">
        <v>11404</v>
      </c>
      <c r="H35903" s="40" t="s">
        <v>11404</v>
      </c>
    </row>
    <row r="35904">
      <c r="A35904" s="39"/>
      <c r="E35904" s="40" t="s">
        <v>11404</v>
      </c>
      <c r="F35904" s="40" t="s">
        <v>11404</v>
      </c>
      <c r="G35904" s="40" t="s">
        <v>11404</v>
      </c>
      <c r="H35904" s="40" t="s">
        <v>11404</v>
      </c>
    </row>
    <row r="35905">
      <c r="A35905" s="39"/>
      <c r="E35905" s="40" t="s">
        <v>11404</v>
      </c>
      <c r="F35905" s="40" t="s">
        <v>11404</v>
      </c>
      <c r="G35905" s="40" t="s">
        <v>11404</v>
      </c>
      <c r="H35905" s="40" t="s">
        <v>11404</v>
      </c>
    </row>
    <row r="35906">
      <c r="A35906" s="39"/>
      <c r="E35906" s="40" t="s">
        <v>11404</v>
      </c>
      <c r="F35906" s="40" t="s">
        <v>11404</v>
      </c>
      <c r="G35906" s="40" t="s">
        <v>11404</v>
      </c>
      <c r="H35906" s="40" t="s">
        <v>11404</v>
      </c>
    </row>
    <row r="35907">
      <c r="A35907" s="39"/>
      <c r="E35907" s="40" t="s">
        <v>11404</v>
      </c>
      <c r="F35907" s="40" t="s">
        <v>11404</v>
      </c>
      <c r="G35907" s="40" t="s">
        <v>11404</v>
      </c>
      <c r="H35907" s="40" t="s">
        <v>11404</v>
      </c>
    </row>
    <row r="35908">
      <c r="A35908" s="39"/>
      <c r="E35908" s="40" t="s">
        <v>11404</v>
      </c>
      <c r="F35908" s="40" t="s">
        <v>11404</v>
      </c>
      <c r="G35908" s="40" t="s">
        <v>11404</v>
      </c>
      <c r="H35908" s="40" t="s">
        <v>11404</v>
      </c>
    </row>
    <row r="35909">
      <c r="A35909" s="39"/>
      <c r="E35909" s="40" t="s">
        <v>11404</v>
      </c>
      <c r="F35909" s="40" t="s">
        <v>11404</v>
      </c>
      <c r="G35909" s="40" t="s">
        <v>11404</v>
      </c>
      <c r="H35909" s="40" t="s">
        <v>11404</v>
      </c>
    </row>
    <row r="35910">
      <c r="A35910" s="39"/>
      <c r="E35910" s="40" t="s">
        <v>11404</v>
      </c>
      <c r="F35910" s="40" t="s">
        <v>11404</v>
      </c>
      <c r="G35910" s="40" t="s">
        <v>11404</v>
      </c>
      <c r="H35910" s="40" t="s">
        <v>11404</v>
      </c>
    </row>
    <row r="35911">
      <c r="A35911" s="39"/>
      <c r="E35911" s="40" t="s">
        <v>11404</v>
      </c>
      <c r="F35911" s="40" t="s">
        <v>11404</v>
      </c>
      <c r="G35911" s="40" t="s">
        <v>11404</v>
      </c>
      <c r="H35911" s="40" t="s">
        <v>11404</v>
      </c>
    </row>
    <row r="35912">
      <c r="A35912" s="39"/>
      <c r="E35912" s="40" t="s">
        <v>11404</v>
      </c>
      <c r="F35912" s="40" t="s">
        <v>11404</v>
      </c>
      <c r="G35912" s="40" t="s">
        <v>11404</v>
      </c>
      <c r="H35912" s="40" t="s">
        <v>11404</v>
      </c>
    </row>
    <row r="35913">
      <c r="A35913" s="39"/>
      <c r="E35913" s="40" t="s">
        <v>11404</v>
      </c>
      <c r="F35913" s="40" t="s">
        <v>11404</v>
      </c>
      <c r="G35913" s="40" t="s">
        <v>11404</v>
      </c>
      <c r="H35913" s="40" t="s">
        <v>11404</v>
      </c>
    </row>
    <row r="35914">
      <c r="A35914" s="39"/>
      <c r="E35914" s="40" t="s">
        <v>11404</v>
      </c>
      <c r="F35914" s="40" t="s">
        <v>11404</v>
      </c>
      <c r="G35914" s="40" t="s">
        <v>11404</v>
      </c>
      <c r="H35914" s="40" t="s">
        <v>11404</v>
      </c>
    </row>
    <row r="35915">
      <c r="A35915" s="39"/>
      <c r="E35915" s="40" t="s">
        <v>11404</v>
      </c>
      <c r="F35915" s="40" t="s">
        <v>11404</v>
      </c>
      <c r="G35915" s="40" t="s">
        <v>11404</v>
      </c>
      <c r="H35915" s="40" t="s">
        <v>11404</v>
      </c>
    </row>
    <row r="35916">
      <c r="A35916" s="39"/>
      <c r="E35916" s="40" t="s">
        <v>11404</v>
      </c>
      <c r="F35916" s="40" t="s">
        <v>11404</v>
      </c>
      <c r="G35916" s="40" t="s">
        <v>11404</v>
      </c>
      <c r="H35916" s="40" t="s">
        <v>11404</v>
      </c>
    </row>
    <row r="35917">
      <c r="A35917" s="39"/>
      <c r="E35917" s="40" t="s">
        <v>11404</v>
      </c>
      <c r="F35917" s="40" t="s">
        <v>11404</v>
      </c>
      <c r="G35917" s="40" t="s">
        <v>11404</v>
      </c>
      <c r="H35917" s="40" t="s">
        <v>11404</v>
      </c>
    </row>
    <row r="35918">
      <c r="A35918" s="39"/>
      <c r="E35918" s="40" t="s">
        <v>11404</v>
      </c>
      <c r="F35918" s="40" t="s">
        <v>11404</v>
      </c>
      <c r="G35918" s="40" t="s">
        <v>11404</v>
      </c>
      <c r="H35918" s="40" t="s">
        <v>11404</v>
      </c>
    </row>
    <row r="35919">
      <c r="A35919" s="39"/>
      <c r="E35919" s="40" t="s">
        <v>11404</v>
      </c>
      <c r="F35919" s="40" t="s">
        <v>11404</v>
      </c>
      <c r="G35919" s="40" t="s">
        <v>11404</v>
      </c>
      <c r="H35919" s="40" t="s">
        <v>11404</v>
      </c>
    </row>
    <row r="35920">
      <c r="A35920" s="39"/>
      <c r="E35920" s="40" t="s">
        <v>11404</v>
      </c>
      <c r="F35920" s="40" t="s">
        <v>11404</v>
      </c>
      <c r="G35920" s="40" t="s">
        <v>11404</v>
      </c>
      <c r="H35920" s="40" t="s">
        <v>11404</v>
      </c>
    </row>
    <row r="35921">
      <c r="A35921" s="39"/>
      <c r="E35921" s="40" t="s">
        <v>11404</v>
      </c>
      <c r="F35921" s="40" t="s">
        <v>11404</v>
      </c>
      <c r="G35921" s="40" t="s">
        <v>11404</v>
      </c>
      <c r="H35921" s="40" t="s">
        <v>11404</v>
      </c>
    </row>
    <row r="35922">
      <c r="A35922" s="39"/>
      <c r="E35922" s="40" t="s">
        <v>11404</v>
      </c>
      <c r="F35922" s="40" t="s">
        <v>11404</v>
      </c>
      <c r="G35922" s="40" t="s">
        <v>11404</v>
      </c>
      <c r="H35922" s="40" t="s">
        <v>11404</v>
      </c>
    </row>
    <row r="35923">
      <c r="A35923" s="39"/>
      <c r="E35923" s="40" t="s">
        <v>11404</v>
      </c>
      <c r="F35923" s="40" t="s">
        <v>11404</v>
      </c>
      <c r="G35923" s="40" t="s">
        <v>11404</v>
      </c>
      <c r="H35923" s="40" t="s">
        <v>11404</v>
      </c>
    </row>
    <row r="35924">
      <c r="A35924" s="39"/>
      <c r="E35924" s="40" t="s">
        <v>11404</v>
      </c>
      <c r="F35924" s="40" t="s">
        <v>11404</v>
      </c>
      <c r="G35924" s="40" t="s">
        <v>11404</v>
      </c>
      <c r="H35924" s="40" t="s">
        <v>11404</v>
      </c>
    </row>
    <row r="35925">
      <c r="A35925" s="39"/>
      <c r="E35925" s="40" t="s">
        <v>11404</v>
      </c>
      <c r="F35925" s="40" t="s">
        <v>11404</v>
      </c>
      <c r="G35925" s="40" t="s">
        <v>11404</v>
      </c>
      <c r="H35925" s="40" t="s">
        <v>11404</v>
      </c>
    </row>
    <row r="35926">
      <c r="A35926" s="39"/>
      <c r="E35926" s="40" t="s">
        <v>11404</v>
      </c>
      <c r="F35926" s="40" t="s">
        <v>11404</v>
      </c>
      <c r="G35926" s="40" t="s">
        <v>11404</v>
      </c>
      <c r="H35926" s="40" t="s">
        <v>11404</v>
      </c>
    </row>
    <row r="35927">
      <c r="A35927" s="39"/>
      <c r="E35927" s="40" t="s">
        <v>11404</v>
      </c>
      <c r="F35927" s="40" t="s">
        <v>11404</v>
      </c>
      <c r="G35927" s="40" t="s">
        <v>11404</v>
      </c>
      <c r="H35927" s="40" t="s">
        <v>11404</v>
      </c>
    </row>
    <row r="35928">
      <c r="A35928" s="39"/>
      <c r="E35928" s="40" t="s">
        <v>11404</v>
      </c>
      <c r="F35928" s="40" t="s">
        <v>11404</v>
      </c>
      <c r="G35928" s="40" t="s">
        <v>11404</v>
      </c>
      <c r="H35928" s="40" t="s">
        <v>11404</v>
      </c>
    </row>
    <row r="35929">
      <c r="A35929" s="39"/>
      <c r="E35929" s="40" t="s">
        <v>11404</v>
      </c>
      <c r="F35929" s="40" t="s">
        <v>11404</v>
      </c>
      <c r="G35929" s="40" t="s">
        <v>11404</v>
      </c>
      <c r="H35929" s="40" t="s">
        <v>11404</v>
      </c>
    </row>
    <row r="35930">
      <c r="A35930" s="39"/>
      <c r="E35930" s="40" t="s">
        <v>11404</v>
      </c>
      <c r="F35930" s="40" t="s">
        <v>11404</v>
      </c>
      <c r="G35930" s="40" t="s">
        <v>11404</v>
      </c>
      <c r="H35930" s="40" t="s">
        <v>11404</v>
      </c>
    </row>
    <row r="35931">
      <c r="A35931" s="39"/>
      <c r="E35931" s="40" t="s">
        <v>11404</v>
      </c>
      <c r="F35931" s="40" t="s">
        <v>11404</v>
      </c>
      <c r="G35931" s="40" t="s">
        <v>11404</v>
      </c>
      <c r="H35931" s="40" t="s">
        <v>11404</v>
      </c>
    </row>
    <row r="35932">
      <c r="A35932" s="39"/>
      <c r="E35932" s="40" t="s">
        <v>11404</v>
      </c>
      <c r="F35932" s="40" t="s">
        <v>11404</v>
      </c>
      <c r="G35932" s="40" t="s">
        <v>11404</v>
      </c>
      <c r="H35932" s="40" t="s">
        <v>11404</v>
      </c>
    </row>
    <row r="35933">
      <c r="A35933" s="39"/>
      <c r="E35933" s="40" t="s">
        <v>11404</v>
      </c>
      <c r="F35933" s="40" t="s">
        <v>11404</v>
      </c>
      <c r="G35933" s="40" t="s">
        <v>11404</v>
      </c>
      <c r="H35933" s="40" t="s">
        <v>11404</v>
      </c>
    </row>
    <row r="35934">
      <c r="A35934" s="39"/>
      <c r="E35934" s="40" t="s">
        <v>11404</v>
      </c>
      <c r="F35934" s="40" t="s">
        <v>11404</v>
      </c>
      <c r="G35934" s="40" t="s">
        <v>11404</v>
      </c>
      <c r="H35934" s="40" t="s">
        <v>11404</v>
      </c>
    </row>
    <row r="35935">
      <c r="A35935" s="39"/>
      <c r="E35935" s="40" t="s">
        <v>11404</v>
      </c>
      <c r="F35935" s="40" t="s">
        <v>11404</v>
      </c>
      <c r="G35935" s="40" t="s">
        <v>11404</v>
      </c>
      <c r="H35935" s="40" t="s">
        <v>11404</v>
      </c>
    </row>
    <row r="35936">
      <c r="A35936" s="39"/>
      <c r="E35936" s="40" t="s">
        <v>11404</v>
      </c>
      <c r="F35936" s="40" t="s">
        <v>11404</v>
      </c>
      <c r="G35936" s="40" t="s">
        <v>11404</v>
      </c>
      <c r="H35936" s="40" t="s">
        <v>11404</v>
      </c>
    </row>
    <row r="35937">
      <c r="A35937" s="39"/>
      <c r="E35937" s="40" t="s">
        <v>11404</v>
      </c>
      <c r="F35937" s="40" t="s">
        <v>11404</v>
      </c>
      <c r="G35937" s="40" t="s">
        <v>11404</v>
      </c>
      <c r="H35937" s="40" t="s">
        <v>11404</v>
      </c>
    </row>
    <row r="35938">
      <c r="A35938" s="39"/>
      <c r="E35938" s="40" t="s">
        <v>11404</v>
      </c>
      <c r="F35938" s="40" t="s">
        <v>11404</v>
      </c>
      <c r="G35938" s="40" t="s">
        <v>11404</v>
      </c>
      <c r="H35938" s="40" t="s">
        <v>11404</v>
      </c>
    </row>
    <row r="35939">
      <c r="A35939" s="39"/>
      <c r="E35939" s="40" t="s">
        <v>11404</v>
      </c>
      <c r="F35939" s="40" t="s">
        <v>11404</v>
      </c>
      <c r="G35939" s="40" t="s">
        <v>11404</v>
      </c>
      <c r="H35939" s="40" t="s">
        <v>11404</v>
      </c>
    </row>
    <row r="35940">
      <c r="A35940" s="39"/>
      <c r="E35940" s="40" t="s">
        <v>11404</v>
      </c>
      <c r="F35940" s="40" t="s">
        <v>11404</v>
      </c>
      <c r="G35940" s="40" t="s">
        <v>11404</v>
      </c>
      <c r="H35940" s="40" t="s">
        <v>11404</v>
      </c>
    </row>
    <row r="35941">
      <c r="A35941" s="39"/>
      <c r="E35941" s="40" t="s">
        <v>11404</v>
      </c>
      <c r="F35941" s="40" t="s">
        <v>11404</v>
      </c>
      <c r="G35941" s="40" t="s">
        <v>11404</v>
      </c>
      <c r="H35941" s="40" t="s">
        <v>11404</v>
      </c>
    </row>
    <row r="35942">
      <c r="A35942" s="39"/>
      <c r="E35942" s="40" t="s">
        <v>11404</v>
      </c>
      <c r="F35942" s="40" t="s">
        <v>11404</v>
      </c>
      <c r="G35942" s="40" t="s">
        <v>11404</v>
      </c>
      <c r="H35942" s="40" t="s">
        <v>11404</v>
      </c>
    </row>
    <row r="35943">
      <c r="A35943" s="39"/>
      <c r="E35943" s="40" t="s">
        <v>11404</v>
      </c>
      <c r="F35943" s="40" t="s">
        <v>11404</v>
      </c>
      <c r="G35943" s="40" t="s">
        <v>11404</v>
      </c>
      <c r="H35943" s="40" t="s">
        <v>11404</v>
      </c>
    </row>
    <row r="35944">
      <c r="A35944" s="39"/>
      <c r="E35944" s="40" t="s">
        <v>11404</v>
      </c>
      <c r="F35944" s="40" t="s">
        <v>11404</v>
      </c>
      <c r="G35944" s="40" t="s">
        <v>11404</v>
      </c>
      <c r="H35944" s="40" t="s">
        <v>11404</v>
      </c>
    </row>
    <row r="35945">
      <c r="A35945" s="39"/>
      <c r="E35945" s="40" t="s">
        <v>11404</v>
      </c>
      <c r="F35945" s="40" t="s">
        <v>11404</v>
      </c>
      <c r="G35945" s="40" t="s">
        <v>11404</v>
      </c>
      <c r="H35945" s="40" t="s">
        <v>11404</v>
      </c>
    </row>
    <row r="35946">
      <c r="A35946" s="39"/>
      <c r="E35946" s="40" t="s">
        <v>11404</v>
      </c>
      <c r="F35946" s="40" t="s">
        <v>11404</v>
      </c>
      <c r="G35946" s="40" t="s">
        <v>11404</v>
      </c>
      <c r="H35946" s="40" t="s">
        <v>11404</v>
      </c>
    </row>
    <row r="35947">
      <c r="A35947" s="39"/>
      <c r="E35947" s="40" t="s">
        <v>11404</v>
      </c>
      <c r="F35947" s="40" t="s">
        <v>11404</v>
      </c>
      <c r="G35947" s="40" t="s">
        <v>11404</v>
      </c>
      <c r="H35947" s="40" t="s">
        <v>11404</v>
      </c>
    </row>
    <row r="35948">
      <c r="A35948" s="39"/>
      <c r="E35948" s="40" t="s">
        <v>11404</v>
      </c>
      <c r="F35948" s="40" t="s">
        <v>11404</v>
      </c>
      <c r="G35948" s="40" t="s">
        <v>11404</v>
      </c>
      <c r="H35948" s="40" t="s">
        <v>11404</v>
      </c>
    </row>
    <row r="35949">
      <c r="A35949" s="39"/>
      <c r="E35949" s="40" t="s">
        <v>11404</v>
      </c>
      <c r="F35949" s="40" t="s">
        <v>11404</v>
      </c>
      <c r="G35949" s="40" t="s">
        <v>11404</v>
      </c>
      <c r="H35949" s="40" t="s">
        <v>11404</v>
      </c>
    </row>
    <row r="35950">
      <c r="A35950" s="39"/>
      <c r="E35950" s="40" t="s">
        <v>11404</v>
      </c>
      <c r="F35950" s="40" t="s">
        <v>11404</v>
      </c>
      <c r="G35950" s="40" t="s">
        <v>11404</v>
      </c>
      <c r="H35950" s="40" t="s">
        <v>11404</v>
      </c>
    </row>
    <row r="35951">
      <c r="A35951" s="39"/>
      <c r="E35951" s="40" t="s">
        <v>11404</v>
      </c>
      <c r="F35951" s="40" t="s">
        <v>11404</v>
      </c>
      <c r="G35951" s="40" t="s">
        <v>11404</v>
      </c>
      <c r="H35951" s="40" t="s">
        <v>11404</v>
      </c>
    </row>
    <row r="35952">
      <c r="A35952" s="39"/>
      <c r="E35952" s="40" t="s">
        <v>11404</v>
      </c>
      <c r="F35952" s="40" t="s">
        <v>11404</v>
      </c>
      <c r="G35952" s="40" t="s">
        <v>11404</v>
      </c>
      <c r="H35952" s="40" t="s">
        <v>11404</v>
      </c>
    </row>
    <row r="35953">
      <c r="A35953" s="39"/>
      <c r="E35953" s="40" t="s">
        <v>11404</v>
      </c>
      <c r="F35953" s="40" t="s">
        <v>11404</v>
      </c>
      <c r="G35953" s="40" t="s">
        <v>11404</v>
      </c>
      <c r="H35953" s="40" t="s">
        <v>11404</v>
      </c>
    </row>
    <row r="35954">
      <c r="A35954" s="39"/>
      <c r="E35954" s="40" t="s">
        <v>11404</v>
      </c>
      <c r="F35954" s="40" t="s">
        <v>11404</v>
      </c>
      <c r="G35954" s="40" t="s">
        <v>11404</v>
      </c>
      <c r="H35954" s="40" t="s">
        <v>11404</v>
      </c>
    </row>
    <row r="35955">
      <c r="A35955" s="39"/>
      <c r="E35955" s="40" t="s">
        <v>11404</v>
      </c>
      <c r="F35955" s="40" t="s">
        <v>11404</v>
      </c>
      <c r="G35955" s="40" t="s">
        <v>11404</v>
      </c>
      <c r="H35955" s="40" t="s">
        <v>11404</v>
      </c>
    </row>
    <row r="35956">
      <c r="A35956" s="39"/>
      <c r="E35956" s="40" t="s">
        <v>11404</v>
      </c>
      <c r="F35956" s="40" t="s">
        <v>11404</v>
      </c>
      <c r="G35956" s="40" t="s">
        <v>11404</v>
      </c>
      <c r="H35956" s="40" t="s">
        <v>11404</v>
      </c>
    </row>
    <row r="35957">
      <c r="A35957" s="39"/>
      <c r="E35957" s="40" t="s">
        <v>11404</v>
      </c>
      <c r="F35957" s="40" t="s">
        <v>11404</v>
      </c>
      <c r="G35957" s="40" t="s">
        <v>11404</v>
      </c>
      <c r="H35957" s="40" t="s">
        <v>11404</v>
      </c>
    </row>
    <row r="35958">
      <c r="A35958" s="39"/>
      <c r="E35958" s="40" t="s">
        <v>11404</v>
      </c>
      <c r="F35958" s="40" t="s">
        <v>11404</v>
      </c>
      <c r="G35958" s="40" t="s">
        <v>11404</v>
      </c>
      <c r="H35958" s="40" t="s">
        <v>11404</v>
      </c>
    </row>
    <row r="35959">
      <c r="A35959" s="39"/>
      <c r="E35959" s="40" t="s">
        <v>11404</v>
      </c>
      <c r="F35959" s="40" t="s">
        <v>11404</v>
      </c>
      <c r="G35959" s="40" t="s">
        <v>11404</v>
      </c>
      <c r="H35959" s="40" t="s">
        <v>11404</v>
      </c>
    </row>
    <row r="35960">
      <c r="A35960" s="39"/>
      <c r="E35960" s="40" t="s">
        <v>11404</v>
      </c>
      <c r="F35960" s="40" t="s">
        <v>11404</v>
      </c>
      <c r="G35960" s="40" t="s">
        <v>11404</v>
      </c>
      <c r="H35960" s="40" t="s">
        <v>11404</v>
      </c>
    </row>
    <row r="35961">
      <c r="A35961" s="39"/>
      <c r="E35961" s="40" t="s">
        <v>11404</v>
      </c>
      <c r="F35961" s="40" t="s">
        <v>11404</v>
      </c>
      <c r="G35961" s="40" t="s">
        <v>11404</v>
      </c>
      <c r="H35961" s="40" t="s">
        <v>11404</v>
      </c>
    </row>
    <row r="35962">
      <c r="A35962" s="39"/>
      <c r="E35962" s="40" t="s">
        <v>11404</v>
      </c>
      <c r="F35962" s="40" t="s">
        <v>11404</v>
      </c>
      <c r="G35962" s="40" t="s">
        <v>11404</v>
      </c>
      <c r="H35962" s="40" t="s">
        <v>11404</v>
      </c>
    </row>
    <row r="35963">
      <c r="A35963" s="39"/>
      <c r="E35963" s="40" t="s">
        <v>11404</v>
      </c>
      <c r="F35963" s="40" t="s">
        <v>11404</v>
      </c>
      <c r="G35963" s="40" t="s">
        <v>11404</v>
      </c>
      <c r="H35963" s="40" t="s">
        <v>11404</v>
      </c>
    </row>
    <row r="35964">
      <c r="A35964" s="39"/>
      <c r="E35964" s="40" t="s">
        <v>11404</v>
      </c>
      <c r="F35964" s="40" t="s">
        <v>11404</v>
      </c>
      <c r="G35964" s="40" t="s">
        <v>11404</v>
      </c>
      <c r="H35964" s="40" t="s">
        <v>11404</v>
      </c>
    </row>
    <row r="35965">
      <c r="A35965" s="39"/>
      <c r="E35965" s="40" t="s">
        <v>11404</v>
      </c>
      <c r="F35965" s="40" t="s">
        <v>11404</v>
      </c>
      <c r="G35965" s="40" t="s">
        <v>11404</v>
      </c>
      <c r="H35965" s="40" t="s">
        <v>11404</v>
      </c>
    </row>
    <row r="35966">
      <c r="A35966" s="39"/>
      <c r="E35966" s="40" t="s">
        <v>11404</v>
      </c>
      <c r="F35966" s="40" t="s">
        <v>11404</v>
      </c>
      <c r="G35966" s="40" t="s">
        <v>11404</v>
      </c>
      <c r="H35966" s="40" t="s">
        <v>11404</v>
      </c>
    </row>
    <row r="35967">
      <c r="A35967" s="39"/>
      <c r="E35967" s="40" t="s">
        <v>11404</v>
      </c>
      <c r="F35967" s="40" t="s">
        <v>11404</v>
      </c>
      <c r="G35967" s="40" t="s">
        <v>11404</v>
      </c>
      <c r="H35967" s="40" t="s">
        <v>11404</v>
      </c>
    </row>
    <row r="35968">
      <c r="A35968" s="39"/>
      <c r="E35968" s="40" t="s">
        <v>11404</v>
      </c>
      <c r="F35968" s="40" t="s">
        <v>11404</v>
      </c>
      <c r="G35968" s="40" t="s">
        <v>11404</v>
      </c>
      <c r="H35968" s="40" t="s">
        <v>11404</v>
      </c>
    </row>
    <row r="35969">
      <c r="A35969" s="39"/>
      <c r="E35969" s="40" t="s">
        <v>11404</v>
      </c>
      <c r="F35969" s="40" t="s">
        <v>11404</v>
      </c>
      <c r="G35969" s="40" t="s">
        <v>11404</v>
      </c>
      <c r="H35969" s="40" t="s">
        <v>11404</v>
      </c>
    </row>
    <row r="35970">
      <c r="A35970" s="39"/>
      <c r="E35970" s="40" t="s">
        <v>11404</v>
      </c>
      <c r="F35970" s="40" t="s">
        <v>11404</v>
      </c>
      <c r="G35970" s="40" t="s">
        <v>11404</v>
      </c>
      <c r="H35970" s="40" t="s">
        <v>11404</v>
      </c>
    </row>
    <row r="35971">
      <c r="A35971" s="39"/>
      <c r="E35971" s="40" t="s">
        <v>11404</v>
      </c>
      <c r="F35971" s="40" t="s">
        <v>11404</v>
      </c>
      <c r="G35971" s="40" t="s">
        <v>11404</v>
      </c>
      <c r="H35971" s="40" t="s">
        <v>11404</v>
      </c>
    </row>
    <row r="35972">
      <c r="A35972" s="39"/>
      <c r="E35972" s="40" t="s">
        <v>11404</v>
      </c>
      <c r="F35972" s="40" t="s">
        <v>11404</v>
      </c>
      <c r="G35972" s="40" t="s">
        <v>11404</v>
      </c>
      <c r="H35972" s="40" t="s">
        <v>11404</v>
      </c>
    </row>
    <row r="35973">
      <c r="A35973" s="39"/>
      <c r="E35973" s="40" t="s">
        <v>11404</v>
      </c>
      <c r="F35973" s="40" t="s">
        <v>11404</v>
      </c>
      <c r="G35973" s="40" t="s">
        <v>11404</v>
      </c>
      <c r="H35973" s="40" t="s">
        <v>11404</v>
      </c>
    </row>
    <row r="35974">
      <c r="A35974" s="39"/>
      <c r="E35974" s="40" t="s">
        <v>11404</v>
      </c>
      <c r="F35974" s="40" t="s">
        <v>11404</v>
      </c>
      <c r="G35974" s="40" t="s">
        <v>11404</v>
      </c>
      <c r="H35974" s="40" t="s">
        <v>11404</v>
      </c>
    </row>
    <row r="35975">
      <c r="A35975" s="39"/>
      <c r="E35975" s="40" t="s">
        <v>11404</v>
      </c>
      <c r="F35975" s="40" t="s">
        <v>11404</v>
      </c>
      <c r="G35975" s="40" t="s">
        <v>11404</v>
      </c>
      <c r="H35975" s="40" t="s">
        <v>11404</v>
      </c>
    </row>
    <row r="35976">
      <c r="A35976" s="39"/>
      <c r="E35976" s="40" t="s">
        <v>11404</v>
      </c>
      <c r="F35976" s="40" t="s">
        <v>11404</v>
      </c>
      <c r="G35976" s="40" t="s">
        <v>11404</v>
      </c>
      <c r="H35976" s="40" t="s">
        <v>11404</v>
      </c>
    </row>
    <row r="35977">
      <c r="A35977" s="39"/>
      <c r="E35977" s="40" t="s">
        <v>11404</v>
      </c>
      <c r="F35977" s="40" t="s">
        <v>11404</v>
      </c>
      <c r="G35977" s="40" t="s">
        <v>11404</v>
      </c>
      <c r="H35977" s="40" t="s">
        <v>11404</v>
      </c>
    </row>
    <row r="35978">
      <c r="A35978" s="39"/>
      <c r="E35978" s="40" t="s">
        <v>11404</v>
      </c>
      <c r="F35978" s="40" t="s">
        <v>11404</v>
      </c>
      <c r="G35978" s="40" t="s">
        <v>11404</v>
      </c>
      <c r="H35978" s="40" t="s">
        <v>11404</v>
      </c>
    </row>
    <row r="35979">
      <c r="A35979" s="39"/>
      <c r="E35979" s="40" t="s">
        <v>11404</v>
      </c>
      <c r="F35979" s="40" t="s">
        <v>11404</v>
      </c>
      <c r="G35979" s="40" t="s">
        <v>11404</v>
      </c>
      <c r="H35979" s="40" t="s">
        <v>11404</v>
      </c>
    </row>
    <row r="35980">
      <c r="A35980" s="39"/>
      <c r="E35980" s="40" t="s">
        <v>11404</v>
      </c>
      <c r="F35980" s="40" t="s">
        <v>11404</v>
      </c>
      <c r="G35980" s="40" t="s">
        <v>11404</v>
      </c>
      <c r="H35980" s="40" t="s">
        <v>11404</v>
      </c>
    </row>
    <row r="35981">
      <c r="A35981" s="39"/>
      <c r="E35981" s="40" t="s">
        <v>11404</v>
      </c>
      <c r="F35981" s="40" t="s">
        <v>11404</v>
      </c>
      <c r="G35981" s="40" t="s">
        <v>11404</v>
      </c>
      <c r="H35981" s="40" t="s">
        <v>11404</v>
      </c>
    </row>
    <row r="35982">
      <c r="A35982" s="39"/>
      <c r="E35982" s="40" t="s">
        <v>11404</v>
      </c>
      <c r="F35982" s="40" t="s">
        <v>11404</v>
      </c>
      <c r="G35982" s="40" t="s">
        <v>11404</v>
      </c>
      <c r="H35982" s="40" t="s">
        <v>11404</v>
      </c>
    </row>
    <row r="35983">
      <c r="A35983" s="39"/>
      <c r="E35983" s="40" t="s">
        <v>11404</v>
      </c>
      <c r="F35983" s="40" t="s">
        <v>11404</v>
      </c>
      <c r="G35983" s="40" t="s">
        <v>11404</v>
      </c>
      <c r="H35983" s="40" t="s">
        <v>11404</v>
      </c>
    </row>
    <row r="35984">
      <c r="A35984" s="39"/>
      <c r="E35984" s="40" t="s">
        <v>11404</v>
      </c>
      <c r="F35984" s="40" t="s">
        <v>11404</v>
      </c>
      <c r="G35984" s="40" t="s">
        <v>11404</v>
      </c>
      <c r="H35984" s="40" t="s">
        <v>11404</v>
      </c>
    </row>
    <row r="35985">
      <c r="A35985" s="39"/>
      <c r="E35985" s="40" t="s">
        <v>11404</v>
      </c>
      <c r="F35985" s="40" t="s">
        <v>11404</v>
      </c>
      <c r="G35985" s="40" t="s">
        <v>11404</v>
      </c>
      <c r="H35985" s="40" t="s">
        <v>11404</v>
      </c>
    </row>
    <row r="35986">
      <c r="A35986" s="39"/>
      <c r="E35986" s="40" t="s">
        <v>11404</v>
      </c>
      <c r="F35986" s="40" t="s">
        <v>11404</v>
      </c>
      <c r="G35986" s="40" t="s">
        <v>11404</v>
      </c>
      <c r="H35986" s="40" t="s">
        <v>11404</v>
      </c>
    </row>
    <row r="35987">
      <c r="A35987" s="39"/>
      <c r="E35987" s="40" t="s">
        <v>11404</v>
      </c>
      <c r="F35987" s="40" t="s">
        <v>11404</v>
      </c>
      <c r="G35987" s="40" t="s">
        <v>11404</v>
      </c>
      <c r="H35987" s="40" t="s">
        <v>11404</v>
      </c>
    </row>
    <row r="35988">
      <c r="A35988" s="39"/>
      <c r="E35988" s="40" t="s">
        <v>11404</v>
      </c>
      <c r="F35988" s="40" t="s">
        <v>11404</v>
      </c>
      <c r="G35988" s="40" t="s">
        <v>11404</v>
      </c>
      <c r="H35988" s="40" t="s">
        <v>11404</v>
      </c>
    </row>
    <row r="35989">
      <c r="A35989" s="39"/>
      <c r="E35989" s="40" t="s">
        <v>11404</v>
      </c>
      <c r="F35989" s="40" t="s">
        <v>11404</v>
      </c>
      <c r="G35989" s="40" t="s">
        <v>11404</v>
      </c>
      <c r="H35989" s="40" t="s">
        <v>11404</v>
      </c>
    </row>
    <row r="35990">
      <c r="A35990" s="39"/>
      <c r="E35990" s="40" t="s">
        <v>11404</v>
      </c>
      <c r="F35990" s="40" t="s">
        <v>11404</v>
      </c>
      <c r="G35990" s="40" t="s">
        <v>11404</v>
      </c>
      <c r="H35990" s="40" t="s">
        <v>11404</v>
      </c>
    </row>
    <row r="35991">
      <c r="A35991" s="39"/>
      <c r="E35991" s="40" t="s">
        <v>11404</v>
      </c>
      <c r="F35991" s="40" t="s">
        <v>11404</v>
      </c>
      <c r="G35991" s="40" t="s">
        <v>11404</v>
      </c>
      <c r="H35991" s="40" t="s">
        <v>11404</v>
      </c>
    </row>
    <row r="35992">
      <c r="A35992" s="39"/>
      <c r="E35992" s="40" t="s">
        <v>11404</v>
      </c>
      <c r="F35992" s="40" t="s">
        <v>11404</v>
      </c>
      <c r="G35992" s="40" t="s">
        <v>11404</v>
      </c>
      <c r="H35992" s="40" t="s">
        <v>11404</v>
      </c>
    </row>
    <row r="35993">
      <c r="A35993" s="39"/>
      <c r="E35993" s="40" t="s">
        <v>11404</v>
      </c>
      <c r="F35993" s="40" t="s">
        <v>11404</v>
      </c>
      <c r="G35993" s="40" t="s">
        <v>11404</v>
      </c>
      <c r="H35993" s="40" t="s">
        <v>11404</v>
      </c>
    </row>
    <row r="35994">
      <c r="A35994" s="39"/>
      <c r="E35994" s="40" t="s">
        <v>11404</v>
      </c>
      <c r="F35994" s="40" t="s">
        <v>11404</v>
      </c>
      <c r="G35994" s="40" t="s">
        <v>11404</v>
      </c>
      <c r="H35994" s="40" t="s">
        <v>11404</v>
      </c>
    </row>
    <row r="35995">
      <c r="A35995" s="39"/>
      <c r="E35995" s="40" t="s">
        <v>11404</v>
      </c>
      <c r="F35995" s="40" t="s">
        <v>11404</v>
      </c>
      <c r="G35995" s="40" t="s">
        <v>11404</v>
      </c>
      <c r="H35995" s="40" t="s">
        <v>11404</v>
      </c>
    </row>
    <row r="35996">
      <c r="A35996" s="39"/>
      <c r="E35996" s="40" t="s">
        <v>11404</v>
      </c>
      <c r="F35996" s="40" t="s">
        <v>11404</v>
      </c>
      <c r="G35996" s="40" t="s">
        <v>11404</v>
      </c>
      <c r="H35996" s="40" t="s">
        <v>11404</v>
      </c>
    </row>
    <row r="35997">
      <c r="A35997" s="39"/>
      <c r="E35997" s="40" t="s">
        <v>11404</v>
      </c>
      <c r="F35997" s="40" t="s">
        <v>11404</v>
      </c>
      <c r="G35997" s="40" t="s">
        <v>11404</v>
      </c>
      <c r="H35997" s="40" t="s">
        <v>11404</v>
      </c>
    </row>
    <row r="35998">
      <c r="A35998" s="39"/>
      <c r="E35998" s="40" t="s">
        <v>11404</v>
      </c>
      <c r="F35998" s="40" t="s">
        <v>11404</v>
      </c>
      <c r="G35998" s="40" t="s">
        <v>11404</v>
      </c>
      <c r="H35998" s="40" t="s">
        <v>11404</v>
      </c>
    </row>
    <row r="35999">
      <c r="A35999" s="39"/>
      <c r="E35999" s="40" t="s">
        <v>11404</v>
      </c>
      <c r="F35999" s="40" t="s">
        <v>11404</v>
      </c>
      <c r="G35999" s="40" t="s">
        <v>11404</v>
      </c>
      <c r="H35999" s="40" t="s">
        <v>11404</v>
      </c>
    </row>
    <row r="36000">
      <c r="A36000" s="39"/>
      <c r="E36000" s="40" t="s">
        <v>11404</v>
      </c>
      <c r="F36000" s="40" t="s">
        <v>11404</v>
      </c>
      <c r="G36000" s="40" t="s">
        <v>11404</v>
      </c>
      <c r="H36000" s="40" t="s">
        <v>11404</v>
      </c>
    </row>
    <row r="36001">
      <c r="A36001" s="39"/>
      <c r="E36001" s="40" t="s">
        <v>11404</v>
      </c>
      <c r="F36001" s="40" t="s">
        <v>11404</v>
      </c>
      <c r="G36001" s="40" t="s">
        <v>11404</v>
      </c>
      <c r="H36001" s="40" t="s">
        <v>11404</v>
      </c>
    </row>
    <row r="36002">
      <c r="A36002" s="39"/>
      <c r="E36002" s="40" t="s">
        <v>11404</v>
      </c>
      <c r="F36002" s="40" t="s">
        <v>11404</v>
      </c>
      <c r="G36002" s="40" t="s">
        <v>11404</v>
      </c>
      <c r="H36002" s="40" t="s">
        <v>11404</v>
      </c>
    </row>
    <row r="36003">
      <c r="A36003" s="39"/>
      <c r="E36003" s="40" t="s">
        <v>11404</v>
      </c>
      <c r="F36003" s="40" t="s">
        <v>11404</v>
      </c>
      <c r="G36003" s="40" t="s">
        <v>11404</v>
      </c>
      <c r="H36003" s="40" t="s">
        <v>11404</v>
      </c>
    </row>
    <row r="36004">
      <c r="A36004" s="39"/>
      <c r="E36004" s="40" t="s">
        <v>11404</v>
      </c>
      <c r="F36004" s="40" t="s">
        <v>11404</v>
      </c>
      <c r="G36004" s="40" t="s">
        <v>11404</v>
      </c>
      <c r="H36004" s="40" t="s">
        <v>11404</v>
      </c>
    </row>
    <row r="36005">
      <c r="A36005" s="39"/>
      <c r="E36005" s="40" t="s">
        <v>11404</v>
      </c>
      <c r="F36005" s="40" t="s">
        <v>11404</v>
      </c>
      <c r="G36005" s="40" t="s">
        <v>11404</v>
      </c>
      <c r="H36005" s="40" t="s">
        <v>11404</v>
      </c>
    </row>
    <row r="36006">
      <c r="A36006" s="39"/>
      <c r="E36006" s="40" t="s">
        <v>11404</v>
      </c>
      <c r="F36006" s="40" t="s">
        <v>11404</v>
      </c>
      <c r="G36006" s="40" t="s">
        <v>11404</v>
      </c>
      <c r="H36006" s="40" t="s">
        <v>11404</v>
      </c>
    </row>
    <row r="36007">
      <c r="A36007" s="39"/>
      <c r="E36007" s="40" t="s">
        <v>11404</v>
      </c>
      <c r="F36007" s="40" t="s">
        <v>11404</v>
      </c>
      <c r="G36007" s="40" t="s">
        <v>11404</v>
      </c>
      <c r="H36007" s="40" t="s">
        <v>11404</v>
      </c>
    </row>
    <row r="36008">
      <c r="A36008" s="39"/>
      <c r="E36008" s="40" t="s">
        <v>11404</v>
      </c>
      <c r="F36008" s="40" t="s">
        <v>11404</v>
      </c>
      <c r="G36008" s="40" t="s">
        <v>11404</v>
      </c>
      <c r="H36008" s="40" t="s">
        <v>11404</v>
      </c>
    </row>
    <row r="36009">
      <c r="A36009" s="39"/>
      <c r="E36009" s="40" t="s">
        <v>11404</v>
      </c>
      <c r="F36009" s="40" t="s">
        <v>11404</v>
      </c>
      <c r="G36009" s="40" t="s">
        <v>11404</v>
      </c>
      <c r="H36009" s="40" t="s">
        <v>11404</v>
      </c>
    </row>
    <row r="36010">
      <c r="A36010" s="39"/>
      <c r="E36010" s="40" t="s">
        <v>11404</v>
      </c>
      <c r="F36010" s="40" t="s">
        <v>11404</v>
      </c>
      <c r="G36010" s="40" t="s">
        <v>11404</v>
      </c>
      <c r="H36010" s="40" t="s">
        <v>11404</v>
      </c>
    </row>
    <row r="36011">
      <c r="A36011" s="39"/>
      <c r="E36011" s="40" t="s">
        <v>11404</v>
      </c>
      <c r="F36011" s="40" t="s">
        <v>11404</v>
      </c>
      <c r="G36011" s="40" t="s">
        <v>11404</v>
      </c>
      <c r="H36011" s="40" t="s">
        <v>11404</v>
      </c>
    </row>
    <row r="36012">
      <c r="A36012" s="39"/>
      <c r="E36012" s="40" t="s">
        <v>11404</v>
      </c>
      <c r="F36012" s="40" t="s">
        <v>11404</v>
      </c>
      <c r="G36012" s="40" t="s">
        <v>11404</v>
      </c>
      <c r="H36012" s="40" t="s">
        <v>11404</v>
      </c>
    </row>
    <row r="36013">
      <c r="A36013" s="39"/>
      <c r="E36013" s="40" t="s">
        <v>11404</v>
      </c>
      <c r="F36013" s="40" t="s">
        <v>11404</v>
      </c>
      <c r="G36013" s="40" t="s">
        <v>11404</v>
      </c>
      <c r="H36013" s="40" t="s">
        <v>11404</v>
      </c>
    </row>
    <row r="36014">
      <c r="A36014" s="39"/>
      <c r="E36014" s="40" t="s">
        <v>11404</v>
      </c>
      <c r="F36014" s="40" t="s">
        <v>11404</v>
      </c>
      <c r="G36014" s="40" t="s">
        <v>11404</v>
      </c>
      <c r="H36014" s="40" t="s">
        <v>11404</v>
      </c>
    </row>
    <row r="36015">
      <c r="A36015" s="39"/>
      <c r="E36015" s="40" t="s">
        <v>11404</v>
      </c>
      <c r="F36015" s="40" t="s">
        <v>11404</v>
      </c>
      <c r="G36015" s="40" t="s">
        <v>11404</v>
      </c>
      <c r="H36015" s="40" t="s">
        <v>11404</v>
      </c>
    </row>
    <row r="36016">
      <c r="A36016" s="39"/>
      <c r="E36016" s="40" t="s">
        <v>11404</v>
      </c>
      <c r="F36016" s="40" t="s">
        <v>11404</v>
      </c>
      <c r="G36016" s="40" t="s">
        <v>11404</v>
      </c>
      <c r="H36016" s="40" t="s">
        <v>11404</v>
      </c>
    </row>
    <row r="36017">
      <c r="A36017" s="39"/>
      <c r="E36017" s="40" t="s">
        <v>11404</v>
      </c>
      <c r="F36017" s="40" t="s">
        <v>11404</v>
      </c>
      <c r="G36017" s="40" t="s">
        <v>11404</v>
      </c>
      <c r="H36017" s="40" t="s">
        <v>11404</v>
      </c>
    </row>
    <row r="36018">
      <c r="A36018" s="39"/>
      <c r="E36018" s="40" t="s">
        <v>11404</v>
      </c>
      <c r="F36018" s="40" t="s">
        <v>11404</v>
      </c>
      <c r="G36018" s="40" t="s">
        <v>11404</v>
      </c>
      <c r="H36018" s="40" t="s">
        <v>11404</v>
      </c>
    </row>
    <row r="36019">
      <c r="A36019" s="39"/>
      <c r="E36019" s="40" t="s">
        <v>11404</v>
      </c>
      <c r="F36019" s="40" t="s">
        <v>11404</v>
      </c>
      <c r="G36019" s="40" t="s">
        <v>11404</v>
      </c>
      <c r="H36019" s="40" t="s">
        <v>11404</v>
      </c>
    </row>
    <row r="36020">
      <c r="A36020" s="39"/>
      <c r="E36020" s="40" t="s">
        <v>11404</v>
      </c>
      <c r="F36020" s="40" t="s">
        <v>11404</v>
      </c>
      <c r="G36020" s="40" t="s">
        <v>11404</v>
      </c>
      <c r="H36020" s="40" t="s">
        <v>11404</v>
      </c>
    </row>
    <row r="36021">
      <c r="A36021" s="39"/>
      <c r="E36021" s="40" t="s">
        <v>11404</v>
      </c>
      <c r="F36021" s="40" t="s">
        <v>11404</v>
      </c>
      <c r="G36021" s="40" t="s">
        <v>11404</v>
      </c>
      <c r="H36021" s="40" t="s">
        <v>11404</v>
      </c>
    </row>
    <row r="36022">
      <c r="A36022" s="39"/>
      <c r="E36022" s="40" t="s">
        <v>11404</v>
      </c>
      <c r="F36022" s="40" t="s">
        <v>11404</v>
      </c>
      <c r="G36022" s="40" t="s">
        <v>11404</v>
      </c>
      <c r="H36022" s="40" t="s">
        <v>11404</v>
      </c>
    </row>
    <row r="36023">
      <c r="A36023" s="39"/>
      <c r="E36023" s="40" t="s">
        <v>11404</v>
      </c>
      <c r="F36023" s="40" t="s">
        <v>11404</v>
      </c>
      <c r="G36023" s="40" t="s">
        <v>11404</v>
      </c>
      <c r="H36023" s="40" t="s">
        <v>11404</v>
      </c>
    </row>
    <row r="36024">
      <c r="A36024" s="39"/>
      <c r="E36024" s="40" t="s">
        <v>11404</v>
      </c>
      <c r="F36024" s="40" t="s">
        <v>11404</v>
      </c>
      <c r="G36024" s="40" t="s">
        <v>11404</v>
      </c>
      <c r="H36024" s="40" t="s">
        <v>11404</v>
      </c>
    </row>
    <row r="36025">
      <c r="A36025" s="39"/>
      <c r="E36025" s="40" t="s">
        <v>11404</v>
      </c>
      <c r="F36025" s="40" t="s">
        <v>11404</v>
      </c>
      <c r="G36025" s="40" t="s">
        <v>11404</v>
      </c>
      <c r="H36025" s="40" t="s">
        <v>11404</v>
      </c>
    </row>
    <row r="36026">
      <c r="A36026" s="39"/>
      <c r="E36026" s="40" t="s">
        <v>11404</v>
      </c>
      <c r="F36026" s="40" t="s">
        <v>11404</v>
      </c>
      <c r="G36026" s="40" t="s">
        <v>11404</v>
      </c>
      <c r="H36026" s="40" t="s">
        <v>11404</v>
      </c>
    </row>
    <row r="36027">
      <c r="A36027" s="39"/>
      <c r="E36027" s="40" t="s">
        <v>11404</v>
      </c>
      <c r="F36027" s="40" t="s">
        <v>11404</v>
      </c>
      <c r="G36027" s="40" t="s">
        <v>11404</v>
      </c>
      <c r="H36027" s="40" t="s">
        <v>11404</v>
      </c>
    </row>
    <row r="36028">
      <c r="A36028" s="39"/>
      <c r="E36028" s="40" t="s">
        <v>11404</v>
      </c>
      <c r="F36028" s="40" t="s">
        <v>11404</v>
      </c>
      <c r="G36028" s="40" t="s">
        <v>11404</v>
      </c>
      <c r="H36028" s="40" t="s">
        <v>11404</v>
      </c>
    </row>
    <row r="36029">
      <c r="A36029" s="39"/>
      <c r="E36029" s="40" t="s">
        <v>11404</v>
      </c>
      <c r="F36029" s="40" t="s">
        <v>11404</v>
      </c>
      <c r="G36029" s="40" t="s">
        <v>11404</v>
      </c>
      <c r="H36029" s="40" t="s">
        <v>11404</v>
      </c>
    </row>
    <row r="36030">
      <c r="A36030" s="39"/>
      <c r="E36030" s="40" t="s">
        <v>11404</v>
      </c>
      <c r="F36030" s="40" t="s">
        <v>11404</v>
      </c>
      <c r="G36030" s="40" t="s">
        <v>11404</v>
      </c>
      <c r="H36030" s="40" t="s">
        <v>11404</v>
      </c>
    </row>
    <row r="36031">
      <c r="A36031" s="39"/>
      <c r="E36031" s="40" t="s">
        <v>11404</v>
      </c>
      <c r="F36031" s="40" t="s">
        <v>11404</v>
      </c>
      <c r="G36031" s="40" t="s">
        <v>11404</v>
      </c>
      <c r="H36031" s="40" t="s">
        <v>11404</v>
      </c>
    </row>
    <row r="36032">
      <c r="A36032" s="39"/>
      <c r="E36032" s="40" t="s">
        <v>11404</v>
      </c>
      <c r="F36032" s="40" t="s">
        <v>11404</v>
      </c>
      <c r="G36032" s="40" t="s">
        <v>11404</v>
      </c>
      <c r="H36032" s="40" t="s">
        <v>11404</v>
      </c>
    </row>
    <row r="36033">
      <c r="A36033" s="39"/>
      <c r="E36033" s="40" t="s">
        <v>11404</v>
      </c>
      <c r="F36033" s="40" t="s">
        <v>11404</v>
      </c>
      <c r="G36033" s="40" t="s">
        <v>11404</v>
      </c>
      <c r="H36033" s="40" t="s">
        <v>11404</v>
      </c>
    </row>
    <row r="36034">
      <c r="A36034" s="39"/>
      <c r="E36034" s="40" t="s">
        <v>11404</v>
      </c>
      <c r="F36034" s="40" t="s">
        <v>11404</v>
      </c>
      <c r="G36034" s="40" t="s">
        <v>11404</v>
      </c>
      <c r="H36034" s="40" t="s">
        <v>11404</v>
      </c>
    </row>
    <row r="36035">
      <c r="A36035" s="39"/>
      <c r="E36035" s="40" t="s">
        <v>11404</v>
      </c>
      <c r="F36035" s="40" t="s">
        <v>11404</v>
      </c>
      <c r="G36035" s="40" t="s">
        <v>11404</v>
      </c>
      <c r="H36035" s="40" t="s">
        <v>11404</v>
      </c>
    </row>
    <row r="36036">
      <c r="A36036" s="39"/>
      <c r="E36036" s="40" t="s">
        <v>11404</v>
      </c>
      <c r="F36036" s="40" t="s">
        <v>11404</v>
      </c>
      <c r="G36036" s="40" t="s">
        <v>11404</v>
      </c>
      <c r="H36036" s="40" t="s">
        <v>11404</v>
      </c>
    </row>
    <row r="36037">
      <c r="A36037" s="39"/>
      <c r="E36037" s="40" t="s">
        <v>11404</v>
      </c>
      <c r="F36037" s="40" t="s">
        <v>11404</v>
      </c>
      <c r="G36037" s="40" t="s">
        <v>11404</v>
      </c>
      <c r="H36037" s="40" t="s">
        <v>11404</v>
      </c>
    </row>
    <row r="36038">
      <c r="A36038" s="39"/>
      <c r="E36038" s="40" t="s">
        <v>11404</v>
      </c>
      <c r="F36038" s="40" t="s">
        <v>11404</v>
      </c>
      <c r="G36038" s="40" t="s">
        <v>11404</v>
      </c>
      <c r="H36038" s="40" t="s">
        <v>11404</v>
      </c>
    </row>
    <row r="36039">
      <c r="A36039" s="39"/>
      <c r="E36039" s="40" t="s">
        <v>11404</v>
      </c>
      <c r="F36039" s="40" t="s">
        <v>11404</v>
      </c>
      <c r="G36039" s="40" t="s">
        <v>11404</v>
      </c>
      <c r="H36039" s="40" t="s">
        <v>11404</v>
      </c>
    </row>
    <row r="36040">
      <c r="A36040" s="39"/>
      <c r="E36040" s="40" t="s">
        <v>11404</v>
      </c>
      <c r="F36040" s="40" t="s">
        <v>11404</v>
      </c>
      <c r="G36040" s="40" t="s">
        <v>11404</v>
      </c>
      <c r="H36040" s="40" t="s">
        <v>11404</v>
      </c>
    </row>
    <row r="36041">
      <c r="A36041" s="39"/>
      <c r="E36041" s="40" t="s">
        <v>11404</v>
      </c>
      <c r="F36041" s="40" t="s">
        <v>11404</v>
      </c>
      <c r="G36041" s="40" t="s">
        <v>11404</v>
      </c>
      <c r="H36041" s="40" t="s">
        <v>11404</v>
      </c>
    </row>
    <row r="36042">
      <c r="A36042" s="39"/>
      <c r="E36042" s="40" t="s">
        <v>11404</v>
      </c>
      <c r="F36042" s="40" t="s">
        <v>11404</v>
      </c>
      <c r="G36042" s="40" t="s">
        <v>11404</v>
      </c>
      <c r="H36042" s="40" t="s">
        <v>11404</v>
      </c>
    </row>
    <row r="36043">
      <c r="A36043" s="39"/>
      <c r="E36043" s="40" t="s">
        <v>11404</v>
      </c>
      <c r="F36043" s="40" t="s">
        <v>11404</v>
      </c>
      <c r="G36043" s="40" t="s">
        <v>11404</v>
      </c>
      <c r="H36043" s="40" t="s">
        <v>11404</v>
      </c>
    </row>
    <row r="36044">
      <c r="A36044" s="39"/>
      <c r="E36044" s="40" t="s">
        <v>11404</v>
      </c>
      <c r="F36044" s="40" t="s">
        <v>11404</v>
      </c>
      <c r="G36044" s="40" t="s">
        <v>11404</v>
      </c>
      <c r="H36044" s="40" t="s">
        <v>11404</v>
      </c>
    </row>
    <row r="36045">
      <c r="A36045" s="39"/>
      <c r="E36045" s="40" t="s">
        <v>11404</v>
      </c>
      <c r="F36045" s="40" t="s">
        <v>11404</v>
      </c>
      <c r="G36045" s="40" t="s">
        <v>11404</v>
      </c>
      <c r="H36045" s="40" t="s">
        <v>11404</v>
      </c>
    </row>
    <row r="36046">
      <c r="A36046" s="39"/>
      <c r="E36046" s="40" t="s">
        <v>11404</v>
      </c>
      <c r="F36046" s="40" t="s">
        <v>11404</v>
      </c>
      <c r="G36046" s="40" t="s">
        <v>11404</v>
      </c>
      <c r="H36046" s="40" t="s">
        <v>11404</v>
      </c>
    </row>
    <row r="36047">
      <c r="A36047" s="39"/>
      <c r="E36047" s="40" t="s">
        <v>11404</v>
      </c>
      <c r="F36047" s="40" t="s">
        <v>11404</v>
      </c>
      <c r="G36047" s="40" t="s">
        <v>11404</v>
      </c>
      <c r="H36047" s="40" t="s">
        <v>11404</v>
      </c>
    </row>
    <row r="36048">
      <c r="A36048" s="39"/>
      <c r="E36048" s="40" t="s">
        <v>11404</v>
      </c>
      <c r="F36048" s="40" t="s">
        <v>11404</v>
      </c>
      <c r="G36048" s="40" t="s">
        <v>11404</v>
      </c>
      <c r="H36048" s="40" t="s">
        <v>11404</v>
      </c>
    </row>
    <row r="36049">
      <c r="A36049" s="39"/>
      <c r="E36049" s="40" t="s">
        <v>11404</v>
      </c>
      <c r="F36049" s="40" t="s">
        <v>11404</v>
      </c>
      <c r="G36049" s="40" t="s">
        <v>11404</v>
      </c>
      <c r="H36049" s="40" t="s">
        <v>11404</v>
      </c>
    </row>
    <row r="36050">
      <c r="A36050" s="39"/>
      <c r="E36050" s="40" t="s">
        <v>11404</v>
      </c>
      <c r="F36050" s="40" t="s">
        <v>11404</v>
      </c>
      <c r="G36050" s="40" t="s">
        <v>11404</v>
      </c>
      <c r="H36050" s="40" t="s">
        <v>11404</v>
      </c>
    </row>
    <row r="36051">
      <c r="A36051" s="39"/>
      <c r="E36051" s="40" t="s">
        <v>11404</v>
      </c>
      <c r="F36051" s="40" t="s">
        <v>11404</v>
      </c>
      <c r="G36051" s="40" t="s">
        <v>11404</v>
      </c>
      <c r="H36051" s="40" t="s">
        <v>11404</v>
      </c>
    </row>
    <row r="36052">
      <c r="A36052" s="39"/>
      <c r="E36052" s="40" t="s">
        <v>11404</v>
      </c>
      <c r="F36052" s="40" t="s">
        <v>11404</v>
      </c>
      <c r="G36052" s="40" t="s">
        <v>11404</v>
      </c>
      <c r="H36052" s="40" t="s">
        <v>11404</v>
      </c>
    </row>
    <row r="36053">
      <c r="A36053" s="39"/>
      <c r="E36053" s="40" t="s">
        <v>11404</v>
      </c>
      <c r="F36053" s="40" t="s">
        <v>11404</v>
      </c>
      <c r="G36053" s="40" t="s">
        <v>11404</v>
      </c>
      <c r="H36053" s="40" t="s">
        <v>11404</v>
      </c>
    </row>
    <row r="36054">
      <c r="A36054" s="39"/>
      <c r="E36054" s="40" t="s">
        <v>11404</v>
      </c>
      <c r="F36054" s="40" t="s">
        <v>11404</v>
      </c>
      <c r="G36054" s="40" t="s">
        <v>11404</v>
      </c>
      <c r="H36054" s="40" t="s">
        <v>11404</v>
      </c>
    </row>
    <row r="36055">
      <c r="A36055" s="39"/>
      <c r="E36055" s="40" t="s">
        <v>11404</v>
      </c>
      <c r="F36055" s="40" t="s">
        <v>11404</v>
      </c>
      <c r="G36055" s="40" t="s">
        <v>11404</v>
      </c>
      <c r="H36055" s="40" t="s">
        <v>11404</v>
      </c>
    </row>
    <row r="36056">
      <c r="A36056" s="39"/>
      <c r="E36056" s="40" t="s">
        <v>11404</v>
      </c>
      <c r="F36056" s="40" t="s">
        <v>11404</v>
      </c>
      <c r="G36056" s="40" t="s">
        <v>11404</v>
      </c>
      <c r="H36056" s="40" t="s">
        <v>11404</v>
      </c>
    </row>
    <row r="36057">
      <c r="A36057" s="39"/>
      <c r="E36057" s="40" t="s">
        <v>11404</v>
      </c>
      <c r="F36057" s="40" t="s">
        <v>11404</v>
      </c>
      <c r="G36057" s="40" t="s">
        <v>11404</v>
      </c>
      <c r="H36057" s="40" t="s">
        <v>11404</v>
      </c>
    </row>
    <row r="36058">
      <c r="A36058" s="39"/>
      <c r="E36058" s="40" t="s">
        <v>11404</v>
      </c>
      <c r="F36058" s="40" t="s">
        <v>11404</v>
      </c>
      <c r="G36058" s="40" t="s">
        <v>11404</v>
      </c>
      <c r="H36058" s="40" t="s">
        <v>11404</v>
      </c>
    </row>
    <row r="36059">
      <c r="A36059" s="39"/>
      <c r="E36059" s="40" t="s">
        <v>11404</v>
      </c>
      <c r="F36059" s="40" t="s">
        <v>11404</v>
      </c>
      <c r="G36059" s="40" t="s">
        <v>11404</v>
      </c>
      <c r="H36059" s="40" t="s">
        <v>11404</v>
      </c>
    </row>
    <row r="36060">
      <c r="A36060" s="39"/>
      <c r="E36060" s="40" t="s">
        <v>11404</v>
      </c>
      <c r="F36060" s="40" t="s">
        <v>11404</v>
      </c>
      <c r="G36060" s="40" t="s">
        <v>11404</v>
      </c>
      <c r="H36060" s="40" t="s">
        <v>11404</v>
      </c>
    </row>
    <row r="36061">
      <c r="A36061" s="39"/>
      <c r="E36061" s="40" t="s">
        <v>11404</v>
      </c>
      <c r="F36061" s="40" t="s">
        <v>11404</v>
      </c>
      <c r="G36061" s="40" t="s">
        <v>11404</v>
      </c>
      <c r="H36061" s="40" t="s">
        <v>11404</v>
      </c>
    </row>
    <row r="36062">
      <c r="A36062" s="39"/>
      <c r="E36062" s="40" t="s">
        <v>11404</v>
      </c>
      <c r="F36062" s="40" t="s">
        <v>11404</v>
      </c>
      <c r="G36062" s="40" t="s">
        <v>11404</v>
      </c>
      <c r="H36062" s="40" t="s">
        <v>11404</v>
      </c>
    </row>
    <row r="36063">
      <c r="A36063" s="39"/>
      <c r="E36063" s="40" t="s">
        <v>11404</v>
      </c>
      <c r="F36063" s="40" t="s">
        <v>11404</v>
      </c>
      <c r="G36063" s="40" t="s">
        <v>11404</v>
      </c>
      <c r="H36063" s="40" t="s">
        <v>11404</v>
      </c>
    </row>
    <row r="36064">
      <c r="A36064" s="39"/>
      <c r="E36064" s="40" t="s">
        <v>11404</v>
      </c>
      <c r="F36064" s="40" t="s">
        <v>11404</v>
      </c>
      <c r="G36064" s="40" t="s">
        <v>11404</v>
      </c>
      <c r="H36064" s="40" t="s">
        <v>11404</v>
      </c>
    </row>
    <row r="36065">
      <c r="A36065" s="39"/>
      <c r="E36065" s="40" t="s">
        <v>11404</v>
      </c>
      <c r="F36065" s="40" t="s">
        <v>11404</v>
      </c>
      <c r="G36065" s="40" t="s">
        <v>11404</v>
      </c>
      <c r="H36065" s="40" t="s">
        <v>11404</v>
      </c>
    </row>
    <row r="36066">
      <c r="A36066" s="39"/>
      <c r="E36066" s="40" t="s">
        <v>11404</v>
      </c>
      <c r="F36066" s="40" t="s">
        <v>11404</v>
      </c>
      <c r="G36066" s="40" t="s">
        <v>11404</v>
      </c>
      <c r="H36066" s="40" t="s">
        <v>11404</v>
      </c>
    </row>
    <row r="36067">
      <c r="A36067" s="39"/>
      <c r="E36067" s="40" t="s">
        <v>11404</v>
      </c>
      <c r="F36067" s="40" t="s">
        <v>11404</v>
      </c>
      <c r="G36067" s="40" t="s">
        <v>11404</v>
      </c>
      <c r="H36067" s="40" t="s">
        <v>11404</v>
      </c>
    </row>
    <row r="36068">
      <c r="A36068" s="39"/>
      <c r="E36068" s="40" t="s">
        <v>11404</v>
      </c>
      <c r="F36068" s="40" t="s">
        <v>11404</v>
      </c>
      <c r="G36068" s="40" t="s">
        <v>11404</v>
      </c>
      <c r="H36068" s="40" t="s">
        <v>11404</v>
      </c>
    </row>
    <row r="36069">
      <c r="A36069" s="39"/>
      <c r="E36069" s="40" t="s">
        <v>11404</v>
      </c>
      <c r="F36069" s="40" t="s">
        <v>11404</v>
      </c>
      <c r="G36069" s="40" t="s">
        <v>11404</v>
      </c>
      <c r="H36069" s="40" t="s">
        <v>11404</v>
      </c>
    </row>
    <row r="36070">
      <c r="A36070" s="39"/>
      <c r="E36070" s="40" t="s">
        <v>11404</v>
      </c>
      <c r="F36070" s="40" t="s">
        <v>11404</v>
      </c>
      <c r="G36070" s="40" t="s">
        <v>11404</v>
      </c>
      <c r="H36070" s="40" t="s">
        <v>11404</v>
      </c>
    </row>
    <row r="36071">
      <c r="A36071" s="39"/>
      <c r="E36071" s="40" t="s">
        <v>11404</v>
      </c>
      <c r="F36071" s="40" t="s">
        <v>11404</v>
      </c>
      <c r="G36071" s="40" t="s">
        <v>11404</v>
      </c>
      <c r="H36071" s="40" t="s">
        <v>11404</v>
      </c>
    </row>
    <row r="36072">
      <c r="A36072" s="39"/>
      <c r="E36072" s="40" t="s">
        <v>11404</v>
      </c>
      <c r="F36072" s="40" t="s">
        <v>11404</v>
      </c>
      <c r="G36072" s="40" t="s">
        <v>11404</v>
      </c>
      <c r="H36072" s="40" t="s">
        <v>11404</v>
      </c>
    </row>
    <row r="36073">
      <c r="A36073" s="39"/>
      <c r="E36073" s="40" t="s">
        <v>11404</v>
      </c>
      <c r="F36073" s="40" t="s">
        <v>11404</v>
      </c>
      <c r="G36073" s="40" t="s">
        <v>11404</v>
      </c>
      <c r="H36073" s="40" t="s">
        <v>11404</v>
      </c>
    </row>
    <row r="36074">
      <c r="A36074" s="39"/>
      <c r="E36074" s="40" t="s">
        <v>11404</v>
      </c>
      <c r="F36074" s="40" t="s">
        <v>11404</v>
      </c>
      <c r="G36074" s="40" t="s">
        <v>11404</v>
      </c>
      <c r="H36074" s="40" t="s">
        <v>11404</v>
      </c>
    </row>
    <row r="36075">
      <c r="A36075" s="39"/>
      <c r="E36075" s="40" t="s">
        <v>11404</v>
      </c>
      <c r="F36075" s="40" t="s">
        <v>11404</v>
      </c>
      <c r="G36075" s="40" t="s">
        <v>11404</v>
      </c>
      <c r="H36075" s="40" t="s">
        <v>11404</v>
      </c>
    </row>
    <row r="36076">
      <c r="A36076" s="39"/>
      <c r="E36076" s="40" t="s">
        <v>11404</v>
      </c>
      <c r="F36076" s="40" t="s">
        <v>11404</v>
      </c>
      <c r="G36076" s="40" t="s">
        <v>11404</v>
      </c>
      <c r="H36076" s="40" t="s">
        <v>11404</v>
      </c>
    </row>
    <row r="36077">
      <c r="A36077" s="39"/>
      <c r="E36077" s="40" t="s">
        <v>11404</v>
      </c>
      <c r="F36077" s="40" t="s">
        <v>11404</v>
      </c>
      <c r="G36077" s="40" t="s">
        <v>11404</v>
      </c>
      <c r="H36077" s="40" t="s">
        <v>11404</v>
      </c>
    </row>
    <row r="36078">
      <c r="A36078" s="39"/>
      <c r="E36078" s="40" t="s">
        <v>11404</v>
      </c>
      <c r="F36078" s="40" t="s">
        <v>11404</v>
      </c>
      <c r="G36078" s="40" t="s">
        <v>11404</v>
      </c>
      <c r="H36078" s="40" t="s">
        <v>11404</v>
      </c>
    </row>
    <row r="36079">
      <c r="A36079" s="39"/>
      <c r="E36079" s="40" t="s">
        <v>11404</v>
      </c>
      <c r="F36079" s="40" t="s">
        <v>11404</v>
      </c>
      <c r="G36079" s="40" t="s">
        <v>11404</v>
      </c>
      <c r="H36079" s="40" t="s">
        <v>11404</v>
      </c>
    </row>
    <row r="36080">
      <c r="A36080" s="39"/>
      <c r="E36080" s="40" t="s">
        <v>11404</v>
      </c>
      <c r="F36080" s="40" t="s">
        <v>11404</v>
      </c>
      <c r="G36080" s="40" t="s">
        <v>11404</v>
      </c>
      <c r="H36080" s="40" t="s">
        <v>11404</v>
      </c>
    </row>
    <row r="36081">
      <c r="A36081" s="39"/>
      <c r="E36081" s="40" t="s">
        <v>11404</v>
      </c>
      <c r="F36081" s="40" t="s">
        <v>11404</v>
      </c>
      <c r="G36081" s="40" t="s">
        <v>11404</v>
      </c>
      <c r="H36081" s="40" t="s">
        <v>11404</v>
      </c>
    </row>
    <row r="36082">
      <c r="A36082" s="39"/>
      <c r="E36082" s="40" t="s">
        <v>11404</v>
      </c>
      <c r="F36082" s="40" t="s">
        <v>11404</v>
      </c>
      <c r="G36082" s="40" t="s">
        <v>11404</v>
      </c>
      <c r="H36082" s="40" t="s">
        <v>11404</v>
      </c>
    </row>
    <row r="36083">
      <c r="A36083" s="39"/>
      <c r="E36083" s="40" t="s">
        <v>11404</v>
      </c>
      <c r="F36083" s="40" t="s">
        <v>11404</v>
      </c>
      <c r="G36083" s="40" t="s">
        <v>11404</v>
      </c>
      <c r="H36083" s="40" t="s">
        <v>11404</v>
      </c>
    </row>
    <row r="36084">
      <c r="A36084" s="39"/>
      <c r="E36084" s="40" t="s">
        <v>11404</v>
      </c>
      <c r="F36084" s="40" t="s">
        <v>11404</v>
      </c>
      <c r="G36084" s="40" t="s">
        <v>11404</v>
      </c>
      <c r="H36084" s="40" t="s">
        <v>11404</v>
      </c>
    </row>
    <row r="36085">
      <c r="A36085" s="39"/>
      <c r="E36085" s="40" t="s">
        <v>11404</v>
      </c>
      <c r="F36085" s="40" t="s">
        <v>11404</v>
      </c>
      <c r="G36085" s="40" t="s">
        <v>11404</v>
      </c>
      <c r="H36085" s="40" t="s">
        <v>11404</v>
      </c>
    </row>
    <row r="36086">
      <c r="A36086" s="39"/>
      <c r="E36086" s="40" t="s">
        <v>11404</v>
      </c>
      <c r="F36086" s="40" t="s">
        <v>11404</v>
      </c>
      <c r="G36086" s="40" t="s">
        <v>11404</v>
      </c>
      <c r="H36086" s="40" t="s">
        <v>11404</v>
      </c>
    </row>
    <row r="36087">
      <c r="A36087" s="39"/>
      <c r="E36087" s="40" t="s">
        <v>11404</v>
      </c>
      <c r="F36087" s="40" t="s">
        <v>11404</v>
      </c>
      <c r="G36087" s="40" t="s">
        <v>11404</v>
      </c>
      <c r="H36087" s="40" t="s">
        <v>11404</v>
      </c>
    </row>
    <row r="36088">
      <c r="A36088" s="39"/>
      <c r="E36088" s="40" t="s">
        <v>11404</v>
      </c>
      <c r="F36088" s="40" t="s">
        <v>11404</v>
      </c>
      <c r="G36088" s="40" t="s">
        <v>11404</v>
      </c>
      <c r="H36088" s="40" t="s">
        <v>11404</v>
      </c>
    </row>
    <row r="36089">
      <c r="A36089" s="39"/>
      <c r="E36089" s="40" t="s">
        <v>11404</v>
      </c>
      <c r="F36089" s="40" t="s">
        <v>11404</v>
      </c>
      <c r="G36089" s="40" t="s">
        <v>11404</v>
      </c>
      <c r="H36089" s="40" t="s">
        <v>11404</v>
      </c>
    </row>
    <row r="36090">
      <c r="A36090" s="39"/>
      <c r="E36090" s="40" t="s">
        <v>11404</v>
      </c>
      <c r="F36090" s="40" t="s">
        <v>11404</v>
      </c>
      <c r="G36090" s="40" t="s">
        <v>11404</v>
      </c>
      <c r="H36090" s="40" t="s">
        <v>11404</v>
      </c>
    </row>
    <row r="36091">
      <c r="A36091" s="39"/>
      <c r="E36091" s="40" t="s">
        <v>11404</v>
      </c>
      <c r="F36091" s="40" t="s">
        <v>11404</v>
      </c>
      <c r="G36091" s="40" t="s">
        <v>11404</v>
      </c>
      <c r="H36091" s="40" t="s">
        <v>11404</v>
      </c>
    </row>
    <row r="36092">
      <c r="A36092" s="39"/>
      <c r="E36092" s="40" t="s">
        <v>11404</v>
      </c>
      <c r="F36092" s="40" t="s">
        <v>11404</v>
      </c>
      <c r="G36092" s="40" t="s">
        <v>11404</v>
      </c>
      <c r="H36092" s="40" t="s">
        <v>11404</v>
      </c>
    </row>
    <row r="36093">
      <c r="A36093" s="39"/>
      <c r="E36093" s="40" t="s">
        <v>11404</v>
      </c>
      <c r="F36093" s="40" t="s">
        <v>11404</v>
      </c>
      <c r="G36093" s="40" t="s">
        <v>11404</v>
      </c>
      <c r="H36093" s="40" t="s">
        <v>11404</v>
      </c>
    </row>
    <row r="36094">
      <c r="A36094" s="39"/>
      <c r="E36094" s="40" t="s">
        <v>11404</v>
      </c>
      <c r="F36094" s="40" t="s">
        <v>11404</v>
      </c>
      <c r="G36094" s="40" t="s">
        <v>11404</v>
      </c>
      <c r="H36094" s="40" t="s">
        <v>11404</v>
      </c>
    </row>
    <row r="36095">
      <c r="A36095" s="39"/>
      <c r="E36095" s="40" t="s">
        <v>11404</v>
      </c>
      <c r="F36095" s="40" t="s">
        <v>11404</v>
      </c>
      <c r="G36095" s="40" t="s">
        <v>11404</v>
      </c>
      <c r="H36095" s="40" t="s">
        <v>11404</v>
      </c>
    </row>
    <row r="36096">
      <c r="A36096" s="39"/>
      <c r="E36096" s="40" t="s">
        <v>11404</v>
      </c>
      <c r="F36096" s="40" t="s">
        <v>11404</v>
      </c>
      <c r="G36096" s="40" t="s">
        <v>11404</v>
      </c>
      <c r="H36096" s="40" t="s">
        <v>11404</v>
      </c>
    </row>
    <row r="36097">
      <c r="A36097" s="39"/>
      <c r="E36097" s="40" t="s">
        <v>11404</v>
      </c>
      <c r="F36097" s="40" t="s">
        <v>11404</v>
      </c>
      <c r="G36097" s="40" t="s">
        <v>11404</v>
      </c>
      <c r="H36097" s="40" t="s">
        <v>11404</v>
      </c>
    </row>
    <row r="36098">
      <c r="A36098" s="39"/>
      <c r="E36098" s="40" t="s">
        <v>11404</v>
      </c>
      <c r="F36098" s="40" t="s">
        <v>11404</v>
      </c>
      <c r="G36098" s="40" t="s">
        <v>11404</v>
      </c>
      <c r="H36098" s="40" t="s">
        <v>11404</v>
      </c>
    </row>
    <row r="36099">
      <c r="A36099" s="39"/>
      <c r="E36099" s="40" t="s">
        <v>11404</v>
      </c>
      <c r="F36099" s="40" t="s">
        <v>11404</v>
      </c>
      <c r="G36099" s="40" t="s">
        <v>11404</v>
      </c>
      <c r="H36099" s="40" t="s">
        <v>11404</v>
      </c>
    </row>
    <row r="36100">
      <c r="A36100" s="39"/>
      <c r="E36100" s="40" t="s">
        <v>11404</v>
      </c>
      <c r="F36100" s="40" t="s">
        <v>11404</v>
      </c>
      <c r="G36100" s="40" t="s">
        <v>11404</v>
      </c>
      <c r="H36100" s="40" t="s">
        <v>11404</v>
      </c>
    </row>
    <row r="36101">
      <c r="A36101" s="39"/>
      <c r="E36101" s="40" t="s">
        <v>11404</v>
      </c>
      <c r="F36101" s="40" t="s">
        <v>11404</v>
      </c>
      <c r="G36101" s="40" t="s">
        <v>11404</v>
      </c>
      <c r="H36101" s="40" t="s">
        <v>11404</v>
      </c>
    </row>
    <row r="36102">
      <c r="A36102" s="39"/>
      <c r="E36102" s="40" t="s">
        <v>11404</v>
      </c>
      <c r="F36102" s="40" t="s">
        <v>11404</v>
      </c>
      <c r="G36102" s="40" t="s">
        <v>11404</v>
      </c>
      <c r="H36102" s="40" t="s">
        <v>11404</v>
      </c>
    </row>
    <row r="36103">
      <c r="A36103" s="39"/>
      <c r="E36103" s="40" t="s">
        <v>11404</v>
      </c>
      <c r="F36103" s="40" t="s">
        <v>11404</v>
      </c>
      <c r="G36103" s="40" t="s">
        <v>11404</v>
      </c>
      <c r="H36103" s="40" t="s">
        <v>11404</v>
      </c>
    </row>
    <row r="36104">
      <c r="A36104" s="39"/>
      <c r="E36104" s="40" t="s">
        <v>11404</v>
      </c>
      <c r="F36104" s="40" t="s">
        <v>11404</v>
      </c>
      <c r="G36104" s="40" t="s">
        <v>11404</v>
      </c>
      <c r="H36104" s="40" t="s">
        <v>11404</v>
      </c>
    </row>
    <row r="36105">
      <c r="A36105" s="39"/>
      <c r="E36105" s="40" t="s">
        <v>11404</v>
      </c>
      <c r="F36105" s="40" t="s">
        <v>11404</v>
      </c>
      <c r="G36105" s="40" t="s">
        <v>11404</v>
      </c>
      <c r="H36105" s="40" t="s">
        <v>11404</v>
      </c>
    </row>
    <row r="36106">
      <c r="A36106" s="39"/>
      <c r="E36106" s="40" t="s">
        <v>11404</v>
      </c>
      <c r="F36106" s="40" t="s">
        <v>11404</v>
      </c>
      <c r="G36106" s="40" t="s">
        <v>11404</v>
      </c>
      <c r="H36106" s="40" t="s">
        <v>11404</v>
      </c>
    </row>
    <row r="36107">
      <c r="A36107" s="39"/>
      <c r="E36107" s="40" t="s">
        <v>11404</v>
      </c>
      <c r="F36107" s="40" t="s">
        <v>11404</v>
      </c>
      <c r="G36107" s="40" t="s">
        <v>11404</v>
      </c>
      <c r="H36107" s="40" t="s">
        <v>11404</v>
      </c>
    </row>
    <row r="36108">
      <c r="A36108" s="39"/>
      <c r="E36108" s="40" t="s">
        <v>11404</v>
      </c>
      <c r="F36108" s="40" t="s">
        <v>11404</v>
      </c>
      <c r="G36108" s="40" t="s">
        <v>11404</v>
      </c>
      <c r="H36108" s="40" t="s">
        <v>11404</v>
      </c>
    </row>
    <row r="36109">
      <c r="A36109" s="39"/>
      <c r="E36109" s="40" t="s">
        <v>11404</v>
      </c>
      <c r="F36109" s="40" t="s">
        <v>11404</v>
      </c>
      <c r="G36109" s="40" t="s">
        <v>11404</v>
      </c>
      <c r="H36109" s="40" t="s">
        <v>11404</v>
      </c>
    </row>
    <row r="36110">
      <c r="A36110" s="39"/>
      <c r="E36110" s="40" t="s">
        <v>11404</v>
      </c>
      <c r="F36110" s="40" t="s">
        <v>11404</v>
      </c>
      <c r="G36110" s="40" t="s">
        <v>11404</v>
      </c>
      <c r="H36110" s="40" t="s">
        <v>11404</v>
      </c>
    </row>
    <row r="36111">
      <c r="A36111" s="39"/>
      <c r="E36111" s="40" t="s">
        <v>11404</v>
      </c>
      <c r="F36111" s="40" t="s">
        <v>11404</v>
      </c>
      <c r="G36111" s="40" t="s">
        <v>11404</v>
      </c>
      <c r="H36111" s="40" t="s">
        <v>11404</v>
      </c>
    </row>
    <row r="36112">
      <c r="A36112" s="39"/>
      <c r="E36112" s="40" t="s">
        <v>11404</v>
      </c>
      <c r="F36112" s="40" t="s">
        <v>11404</v>
      </c>
      <c r="G36112" s="40" t="s">
        <v>11404</v>
      </c>
      <c r="H36112" s="40" t="s">
        <v>11404</v>
      </c>
    </row>
    <row r="36113">
      <c r="A36113" s="39"/>
      <c r="E36113" s="40" t="s">
        <v>11404</v>
      </c>
      <c r="F36113" s="40" t="s">
        <v>11404</v>
      </c>
      <c r="G36113" s="40" t="s">
        <v>11404</v>
      </c>
      <c r="H36113" s="40" t="s">
        <v>11404</v>
      </c>
    </row>
    <row r="36114">
      <c r="A36114" s="39"/>
      <c r="E36114" s="40" t="s">
        <v>11404</v>
      </c>
      <c r="F36114" s="40" t="s">
        <v>11404</v>
      </c>
      <c r="G36114" s="40" t="s">
        <v>11404</v>
      </c>
      <c r="H36114" s="40" t="s">
        <v>11404</v>
      </c>
    </row>
    <row r="36115">
      <c r="A36115" s="39"/>
      <c r="E36115" s="40" t="s">
        <v>11404</v>
      </c>
      <c r="F36115" s="40" t="s">
        <v>11404</v>
      </c>
      <c r="G36115" s="40" t="s">
        <v>11404</v>
      </c>
      <c r="H36115" s="40" t="s">
        <v>11404</v>
      </c>
    </row>
    <row r="36116">
      <c r="A36116" s="39"/>
      <c r="E36116" s="40" t="s">
        <v>11404</v>
      </c>
      <c r="F36116" s="40" t="s">
        <v>11404</v>
      </c>
      <c r="G36116" s="40" t="s">
        <v>11404</v>
      </c>
      <c r="H36116" s="40" t="s">
        <v>11404</v>
      </c>
    </row>
    <row r="36117">
      <c r="A36117" s="39"/>
      <c r="E36117" s="40" t="s">
        <v>11404</v>
      </c>
      <c r="F36117" s="40" t="s">
        <v>11404</v>
      </c>
      <c r="G36117" s="40" t="s">
        <v>11404</v>
      </c>
      <c r="H36117" s="40" t="s">
        <v>11404</v>
      </c>
    </row>
    <row r="36118">
      <c r="A36118" s="39"/>
      <c r="E36118" s="40" t="s">
        <v>11404</v>
      </c>
      <c r="F36118" s="40" t="s">
        <v>11404</v>
      </c>
      <c r="G36118" s="40" t="s">
        <v>11404</v>
      </c>
      <c r="H36118" s="40" t="s">
        <v>11404</v>
      </c>
    </row>
    <row r="36119">
      <c r="A36119" s="39"/>
      <c r="E36119" s="40" t="s">
        <v>11404</v>
      </c>
      <c r="F36119" s="40" t="s">
        <v>11404</v>
      </c>
      <c r="G36119" s="40" t="s">
        <v>11404</v>
      </c>
      <c r="H36119" s="40" t="s">
        <v>11404</v>
      </c>
    </row>
    <row r="36120">
      <c r="A36120" s="39"/>
      <c r="E36120" s="40" t="s">
        <v>11404</v>
      </c>
      <c r="F36120" s="40" t="s">
        <v>11404</v>
      </c>
      <c r="G36120" s="40" t="s">
        <v>11404</v>
      </c>
      <c r="H36120" s="40" t="s">
        <v>11404</v>
      </c>
    </row>
    <row r="36121">
      <c r="A36121" s="39"/>
      <c r="E36121" s="40" t="s">
        <v>11404</v>
      </c>
      <c r="F36121" s="40" t="s">
        <v>11404</v>
      </c>
      <c r="G36121" s="40" t="s">
        <v>11404</v>
      </c>
      <c r="H36121" s="40" t="s">
        <v>11404</v>
      </c>
    </row>
    <row r="36122">
      <c r="A36122" s="39"/>
      <c r="E36122" s="40" t="s">
        <v>11404</v>
      </c>
      <c r="F36122" s="40" t="s">
        <v>11404</v>
      </c>
      <c r="G36122" s="40" t="s">
        <v>11404</v>
      </c>
      <c r="H36122" s="40" t="s">
        <v>11404</v>
      </c>
    </row>
    <row r="36123">
      <c r="A36123" s="39"/>
      <c r="E36123" s="40" t="s">
        <v>11404</v>
      </c>
      <c r="F36123" s="40" t="s">
        <v>11404</v>
      </c>
      <c r="G36123" s="40" t="s">
        <v>11404</v>
      </c>
      <c r="H36123" s="40" t="s">
        <v>11404</v>
      </c>
    </row>
    <row r="36124">
      <c r="A36124" s="39"/>
      <c r="E36124" s="40" t="s">
        <v>11404</v>
      </c>
      <c r="F36124" s="40" t="s">
        <v>11404</v>
      </c>
      <c r="G36124" s="40" t="s">
        <v>11404</v>
      </c>
      <c r="H36124" s="40" t="s">
        <v>11404</v>
      </c>
    </row>
    <row r="36125">
      <c r="A36125" s="39"/>
      <c r="E36125" s="40" t="s">
        <v>11404</v>
      </c>
      <c r="F36125" s="40" t="s">
        <v>11404</v>
      </c>
      <c r="G36125" s="40" t="s">
        <v>11404</v>
      </c>
      <c r="H36125" s="40" t="s">
        <v>11404</v>
      </c>
    </row>
    <row r="36126">
      <c r="A36126" s="39"/>
      <c r="E36126" s="40" t="s">
        <v>11404</v>
      </c>
      <c r="F36126" s="40" t="s">
        <v>11404</v>
      </c>
      <c r="G36126" s="40" t="s">
        <v>11404</v>
      </c>
      <c r="H36126" s="40" t="s">
        <v>11404</v>
      </c>
    </row>
    <row r="36127">
      <c r="A36127" s="39"/>
      <c r="E36127" s="40" t="s">
        <v>11404</v>
      </c>
      <c r="F36127" s="40" t="s">
        <v>11404</v>
      </c>
      <c r="G36127" s="40" t="s">
        <v>11404</v>
      </c>
      <c r="H36127" s="40" t="s">
        <v>11404</v>
      </c>
    </row>
    <row r="36128">
      <c r="A36128" s="39"/>
      <c r="E36128" s="40" t="s">
        <v>11404</v>
      </c>
      <c r="F36128" s="40" t="s">
        <v>11404</v>
      </c>
      <c r="G36128" s="40" t="s">
        <v>11404</v>
      </c>
      <c r="H36128" s="40" t="s">
        <v>11404</v>
      </c>
    </row>
    <row r="36129">
      <c r="A36129" s="39"/>
      <c r="E36129" s="40" t="s">
        <v>11404</v>
      </c>
      <c r="F36129" s="40" t="s">
        <v>11404</v>
      </c>
      <c r="G36129" s="40" t="s">
        <v>11404</v>
      </c>
      <c r="H36129" s="40" t="s">
        <v>11404</v>
      </c>
    </row>
    <row r="36130">
      <c r="A36130" s="39"/>
      <c r="E36130" s="40" t="s">
        <v>11404</v>
      </c>
      <c r="F36130" s="40" t="s">
        <v>11404</v>
      </c>
      <c r="G36130" s="40" t="s">
        <v>11404</v>
      </c>
      <c r="H36130" s="40" t="s">
        <v>11404</v>
      </c>
    </row>
    <row r="36131">
      <c r="A36131" s="39"/>
      <c r="E36131" s="40" t="s">
        <v>11404</v>
      </c>
      <c r="F36131" s="40" t="s">
        <v>11404</v>
      </c>
      <c r="G36131" s="40" t="s">
        <v>11404</v>
      </c>
      <c r="H36131" s="40" t="s">
        <v>11404</v>
      </c>
    </row>
    <row r="36132">
      <c r="A36132" s="39"/>
      <c r="E36132" s="40" t="s">
        <v>11404</v>
      </c>
      <c r="F36132" s="40" t="s">
        <v>11404</v>
      </c>
      <c r="G36132" s="40" t="s">
        <v>11404</v>
      </c>
      <c r="H36132" s="40" t="s">
        <v>11404</v>
      </c>
    </row>
    <row r="36133">
      <c r="A36133" s="39"/>
      <c r="E36133" s="40" t="s">
        <v>11404</v>
      </c>
      <c r="F36133" s="40" t="s">
        <v>11404</v>
      </c>
      <c r="G36133" s="40" t="s">
        <v>11404</v>
      </c>
      <c r="H36133" s="40" t="s">
        <v>11404</v>
      </c>
    </row>
    <row r="36134">
      <c r="A36134" s="39"/>
      <c r="E36134" s="40" t="s">
        <v>11404</v>
      </c>
      <c r="F36134" s="40" t="s">
        <v>11404</v>
      </c>
      <c r="G36134" s="40" t="s">
        <v>11404</v>
      </c>
      <c r="H36134" s="40" t="s">
        <v>11404</v>
      </c>
    </row>
    <row r="36135">
      <c r="A36135" s="39"/>
      <c r="E36135" s="40" t="s">
        <v>11404</v>
      </c>
      <c r="F36135" s="40" t="s">
        <v>11404</v>
      </c>
      <c r="G36135" s="40" t="s">
        <v>11404</v>
      </c>
      <c r="H36135" s="40" t="s">
        <v>11404</v>
      </c>
    </row>
    <row r="36136">
      <c r="A36136" s="39"/>
      <c r="E36136" s="40" t="s">
        <v>11404</v>
      </c>
      <c r="F36136" s="40" t="s">
        <v>11404</v>
      </c>
      <c r="G36136" s="40" t="s">
        <v>11404</v>
      </c>
      <c r="H36136" s="40" t="s">
        <v>11404</v>
      </c>
    </row>
    <row r="36137">
      <c r="A36137" s="39"/>
      <c r="E36137" s="40" t="s">
        <v>11404</v>
      </c>
      <c r="F36137" s="40" t="s">
        <v>11404</v>
      </c>
      <c r="G36137" s="40" t="s">
        <v>11404</v>
      </c>
      <c r="H36137" s="40" t="s">
        <v>11404</v>
      </c>
    </row>
    <row r="36138">
      <c r="A36138" s="39"/>
      <c r="E36138" s="40" t="s">
        <v>11404</v>
      </c>
      <c r="F36138" s="40" t="s">
        <v>11404</v>
      </c>
      <c r="G36138" s="40" t="s">
        <v>11404</v>
      </c>
      <c r="H36138" s="40" t="s">
        <v>11404</v>
      </c>
    </row>
    <row r="36139">
      <c r="A36139" s="39"/>
      <c r="E36139" s="40" t="s">
        <v>11404</v>
      </c>
      <c r="F36139" s="40" t="s">
        <v>11404</v>
      </c>
      <c r="G36139" s="40" t="s">
        <v>11404</v>
      </c>
      <c r="H36139" s="40" t="s">
        <v>11404</v>
      </c>
    </row>
    <row r="36140">
      <c r="A36140" s="39"/>
      <c r="E36140" s="40" t="s">
        <v>11404</v>
      </c>
      <c r="F36140" s="40" t="s">
        <v>11404</v>
      </c>
      <c r="G36140" s="40" t="s">
        <v>11404</v>
      </c>
      <c r="H36140" s="40" t="s">
        <v>11404</v>
      </c>
    </row>
    <row r="36141">
      <c r="A36141" s="39"/>
      <c r="E36141" s="40" t="s">
        <v>11404</v>
      </c>
      <c r="F36141" s="40" t="s">
        <v>11404</v>
      </c>
      <c r="G36141" s="40" t="s">
        <v>11404</v>
      </c>
      <c r="H36141" s="40" t="s">
        <v>11404</v>
      </c>
    </row>
    <row r="36142">
      <c r="A36142" s="39"/>
      <c r="E36142" s="40" t="s">
        <v>11404</v>
      </c>
      <c r="F36142" s="40" t="s">
        <v>11404</v>
      </c>
      <c r="G36142" s="40" t="s">
        <v>11404</v>
      </c>
      <c r="H36142" s="40" t="s">
        <v>11404</v>
      </c>
    </row>
    <row r="36143">
      <c r="A36143" s="39"/>
      <c r="E36143" s="40" t="s">
        <v>11404</v>
      </c>
      <c r="F36143" s="40" t="s">
        <v>11404</v>
      </c>
      <c r="G36143" s="40" t="s">
        <v>11404</v>
      </c>
      <c r="H36143" s="40" t="s">
        <v>11404</v>
      </c>
    </row>
    <row r="36144">
      <c r="A36144" s="39"/>
      <c r="E36144" s="40" t="s">
        <v>11404</v>
      </c>
      <c r="F36144" s="40" t="s">
        <v>11404</v>
      </c>
      <c r="G36144" s="40" t="s">
        <v>11404</v>
      </c>
      <c r="H36144" s="40" t="s">
        <v>11404</v>
      </c>
    </row>
    <row r="36145">
      <c r="A36145" s="39"/>
      <c r="E36145" s="40" t="s">
        <v>11404</v>
      </c>
      <c r="F36145" s="40" t="s">
        <v>11404</v>
      </c>
      <c r="G36145" s="40" t="s">
        <v>11404</v>
      </c>
      <c r="H36145" s="40" t="s">
        <v>11404</v>
      </c>
    </row>
    <row r="36146">
      <c r="A36146" s="39"/>
      <c r="E36146" s="40" t="s">
        <v>11404</v>
      </c>
      <c r="F36146" s="40" t="s">
        <v>11404</v>
      </c>
      <c r="G36146" s="40" t="s">
        <v>11404</v>
      </c>
      <c r="H36146" s="40" t="s">
        <v>11404</v>
      </c>
    </row>
    <row r="36147">
      <c r="A36147" s="39"/>
      <c r="E36147" s="40" t="s">
        <v>11404</v>
      </c>
      <c r="F36147" s="40" t="s">
        <v>11404</v>
      </c>
      <c r="G36147" s="40" t="s">
        <v>11404</v>
      </c>
      <c r="H36147" s="40" t="s">
        <v>11404</v>
      </c>
    </row>
    <row r="36148">
      <c r="A36148" s="39"/>
      <c r="E36148" s="40" t="s">
        <v>11404</v>
      </c>
      <c r="F36148" s="40" t="s">
        <v>11404</v>
      </c>
      <c r="G36148" s="40" t="s">
        <v>11404</v>
      </c>
      <c r="H36148" s="40" t="s">
        <v>11404</v>
      </c>
    </row>
    <row r="36149">
      <c r="A36149" s="39"/>
      <c r="E36149" s="40" t="s">
        <v>11404</v>
      </c>
      <c r="F36149" s="40" t="s">
        <v>11404</v>
      </c>
      <c r="G36149" s="40" t="s">
        <v>11404</v>
      </c>
      <c r="H36149" s="40" t="s">
        <v>11404</v>
      </c>
    </row>
    <row r="36150">
      <c r="A36150" s="39"/>
      <c r="E36150" s="40" t="s">
        <v>11404</v>
      </c>
      <c r="F36150" s="40" t="s">
        <v>11404</v>
      </c>
      <c r="G36150" s="40" t="s">
        <v>11404</v>
      </c>
      <c r="H36150" s="40" t="s">
        <v>11404</v>
      </c>
    </row>
    <row r="36151">
      <c r="A36151" s="39"/>
      <c r="E36151" s="40" t="s">
        <v>11404</v>
      </c>
      <c r="F36151" s="40" t="s">
        <v>11404</v>
      </c>
      <c r="G36151" s="40" t="s">
        <v>11404</v>
      </c>
      <c r="H36151" s="40" t="s">
        <v>11404</v>
      </c>
    </row>
    <row r="36152">
      <c r="A36152" s="39"/>
      <c r="E36152" s="40" t="s">
        <v>11404</v>
      </c>
      <c r="F36152" s="40" t="s">
        <v>11404</v>
      </c>
      <c r="G36152" s="40" t="s">
        <v>11404</v>
      </c>
      <c r="H36152" s="40" t="s">
        <v>11404</v>
      </c>
    </row>
    <row r="36153">
      <c r="A36153" s="39"/>
      <c r="E36153" s="40" t="s">
        <v>11404</v>
      </c>
      <c r="F36153" s="40" t="s">
        <v>11404</v>
      </c>
      <c r="G36153" s="40" t="s">
        <v>11404</v>
      </c>
      <c r="H36153" s="40" t="s">
        <v>11404</v>
      </c>
    </row>
    <row r="36154">
      <c r="A36154" s="39"/>
      <c r="E36154" s="40" t="s">
        <v>11404</v>
      </c>
      <c r="F36154" s="40" t="s">
        <v>11404</v>
      </c>
      <c r="G36154" s="40" t="s">
        <v>11404</v>
      </c>
      <c r="H36154" s="40" t="s">
        <v>11404</v>
      </c>
    </row>
    <row r="36155">
      <c r="A36155" s="39"/>
      <c r="E36155" s="40" t="s">
        <v>11404</v>
      </c>
      <c r="F36155" s="40" t="s">
        <v>11404</v>
      </c>
      <c r="G36155" s="40" t="s">
        <v>11404</v>
      </c>
      <c r="H36155" s="40" t="s">
        <v>11404</v>
      </c>
    </row>
    <row r="36156">
      <c r="A36156" s="39"/>
      <c r="E36156" s="40" t="s">
        <v>11404</v>
      </c>
      <c r="F36156" s="40" t="s">
        <v>11404</v>
      </c>
      <c r="G36156" s="40" t="s">
        <v>11404</v>
      </c>
      <c r="H36156" s="40" t="s">
        <v>11404</v>
      </c>
    </row>
    <row r="36157">
      <c r="A36157" s="39"/>
      <c r="E36157" s="40" t="s">
        <v>11404</v>
      </c>
      <c r="F36157" s="40" t="s">
        <v>11404</v>
      </c>
      <c r="G36157" s="40" t="s">
        <v>11404</v>
      </c>
      <c r="H36157" s="40" t="s">
        <v>11404</v>
      </c>
    </row>
    <row r="36158">
      <c r="A36158" s="39"/>
      <c r="E36158" s="40" t="s">
        <v>11404</v>
      </c>
      <c r="F36158" s="40" t="s">
        <v>11404</v>
      </c>
      <c r="G36158" s="40" t="s">
        <v>11404</v>
      </c>
      <c r="H36158" s="40" t="s">
        <v>11404</v>
      </c>
    </row>
    <row r="36159">
      <c r="A36159" s="39"/>
      <c r="E36159" s="40" t="s">
        <v>11404</v>
      </c>
      <c r="F36159" s="40" t="s">
        <v>11404</v>
      </c>
      <c r="G36159" s="40" t="s">
        <v>11404</v>
      </c>
      <c r="H36159" s="40" t="s">
        <v>11404</v>
      </c>
    </row>
    <row r="36160">
      <c r="A36160" s="39"/>
      <c r="E36160" s="40" t="s">
        <v>11404</v>
      </c>
      <c r="F36160" s="40" t="s">
        <v>11404</v>
      </c>
      <c r="G36160" s="40" t="s">
        <v>11404</v>
      </c>
      <c r="H36160" s="40" t="s">
        <v>11404</v>
      </c>
    </row>
    <row r="36161">
      <c r="A36161" s="39"/>
      <c r="E36161" s="40" t="s">
        <v>11404</v>
      </c>
      <c r="F36161" s="40" t="s">
        <v>11404</v>
      </c>
      <c r="G36161" s="40" t="s">
        <v>11404</v>
      </c>
      <c r="H36161" s="40" t="s">
        <v>11404</v>
      </c>
    </row>
    <row r="36162">
      <c r="A36162" s="39"/>
      <c r="E36162" s="40" t="s">
        <v>11404</v>
      </c>
      <c r="F36162" s="40" t="s">
        <v>11404</v>
      </c>
      <c r="G36162" s="40" t="s">
        <v>11404</v>
      </c>
      <c r="H36162" s="40" t="s">
        <v>11404</v>
      </c>
    </row>
    <row r="36163">
      <c r="A36163" s="39"/>
      <c r="E36163" s="40" t="s">
        <v>11404</v>
      </c>
      <c r="F36163" s="40" t="s">
        <v>11404</v>
      </c>
      <c r="G36163" s="40" t="s">
        <v>11404</v>
      </c>
      <c r="H36163" s="40" t="s">
        <v>11404</v>
      </c>
    </row>
    <row r="36164">
      <c r="A36164" s="39"/>
      <c r="E36164" s="40" t="s">
        <v>11404</v>
      </c>
      <c r="F36164" s="40" t="s">
        <v>11404</v>
      </c>
      <c r="G36164" s="40" t="s">
        <v>11404</v>
      </c>
      <c r="H36164" s="40" t="s">
        <v>11404</v>
      </c>
    </row>
    <row r="36165">
      <c r="A36165" s="39"/>
      <c r="E36165" s="40" t="s">
        <v>11404</v>
      </c>
      <c r="F36165" s="40" t="s">
        <v>11404</v>
      </c>
      <c r="G36165" s="40" t="s">
        <v>11404</v>
      </c>
      <c r="H36165" s="40" t="s">
        <v>11404</v>
      </c>
    </row>
    <row r="36166">
      <c r="A36166" s="39"/>
      <c r="E36166" s="40" t="s">
        <v>11404</v>
      </c>
      <c r="F36166" s="40" t="s">
        <v>11404</v>
      </c>
      <c r="G36166" s="40" t="s">
        <v>11404</v>
      </c>
      <c r="H36166" s="40" t="s">
        <v>11404</v>
      </c>
    </row>
    <row r="36167">
      <c r="A36167" s="39"/>
      <c r="E36167" s="40" t="s">
        <v>11404</v>
      </c>
      <c r="F36167" s="40" t="s">
        <v>11404</v>
      </c>
      <c r="G36167" s="40" t="s">
        <v>11404</v>
      </c>
      <c r="H36167" s="40" t="s">
        <v>11404</v>
      </c>
    </row>
    <row r="36168">
      <c r="A36168" s="39"/>
      <c r="E36168" s="40" t="s">
        <v>11404</v>
      </c>
      <c r="F36168" s="40" t="s">
        <v>11404</v>
      </c>
      <c r="G36168" s="40" t="s">
        <v>11404</v>
      </c>
      <c r="H36168" s="40" t="s">
        <v>11404</v>
      </c>
    </row>
    <row r="36169">
      <c r="A36169" s="39"/>
      <c r="E36169" s="40" t="s">
        <v>11404</v>
      </c>
      <c r="F36169" s="40" t="s">
        <v>11404</v>
      </c>
      <c r="G36169" s="40" t="s">
        <v>11404</v>
      </c>
      <c r="H36169" s="40" t="s">
        <v>11404</v>
      </c>
    </row>
    <row r="36170">
      <c r="A36170" s="39"/>
      <c r="E36170" s="40" t="s">
        <v>11404</v>
      </c>
      <c r="F36170" s="40" t="s">
        <v>11404</v>
      </c>
      <c r="G36170" s="40" t="s">
        <v>11404</v>
      </c>
      <c r="H36170" s="40" t="s">
        <v>11404</v>
      </c>
    </row>
    <row r="36171">
      <c r="A36171" s="39"/>
      <c r="E36171" s="40" t="s">
        <v>11404</v>
      </c>
      <c r="F36171" s="40" t="s">
        <v>11404</v>
      </c>
      <c r="G36171" s="40" t="s">
        <v>11404</v>
      </c>
      <c r="H36171" s="40" t="s">
        <v>11404</v>
      </c>
    </row>
    <row r="36172">
      <c r="A36172" s="39"/>
      <c r="E36172" s="40" t="s">
        <v>11404</v>
      </c>
      <c r="F36172" s="40" t="s">
        <v>11404</v>
      </c>
      <c r="G36172" s="40" t="s">
        <v>11404</v>
      </c>
      <c r="H36172" s="40" t="s">
        <v>11404</v>
      </c>
    </row>
    <row r="36173">
      <c r="A36173" s="39"/>
      <c r="E36173" s="40" t="s">
        <v>11404</v>
      </c>
      <c r="F36173" s="40" t="s">
        <v>11404</v>
      </c>
      <c r="G36173" s="40" t="s">
        <v>11404</v>
      </c>
      <c r="H36173" s="40" t="s">
        <v>11404</v>
      </c>
    </row>
    <row r="36174">
      <c r="A36174" s="39"/>
      <c r="E36174" s="40" t="s">
        <v>11404</v>
      </c>
      <c r="F36174" s="40" t="s">
        <v>11404</v>
      </c>
      <c r="G36174" s="40" t="s">
        <v>11404</v>
      </c>
      <c r="H36174" s="40" t="s">
        <v>11404</v>
      </c>
    </row>
    <row r="36175">
      <c r="A36175" s="39"/>
      <c r="E36175" s="40" t="s">
        <v>11404</v>
      </c>
      <c r="F36175" s="40" t="s">
        <v>11404</v>
      </c>
      <c r="G36175" s="40" t="s">
        <v>11404</v>
      </c>
      <c r="H36175" s="40" t="s">
        <v>11404</v>
      </c>
    </row>
    <row r="36176">
      <c r="A36176" s="39"/>
      <c r="E36176" s="40" t="s">
        <v>11404</v>
      </c>
      <c r="F36176" s="40" t="s">
        <v>11404</v>
      </c>
      <c r="G36176" s="40" t="s">
        <v>11404</v>
      </c>
      <c r="H36176" s="40" t="s">
        <v>11404</v>
      </c>
    </row>
    <row r="36177">
      <c r="A36177" s="39"/>
      <c r="E36177" s="40" t="s">
        <v>11404</v>
      </c>
      <c r="F36177" s="40" t="s">
        <v>11404</v>
      </c>
      <c r="G36177" s="40" t="s">
        <v>11404</v>
      </c>
      <c r="H36177" s="40" t="s">
        <v>11404</v>
      </c>
    </row>
    <row r="36178">
      <c r="A36178" s="39"/>
      <c r="E36178" s="40" t="s">
        <v>11404</v>
      </c>
      <c r="F36178" s="40" t="s">
        <v>11404</v>
      </c>
      <c r="G36178" s="40" t="s">
        <v>11404</v>
      </c>
      <c r="H36178" s="40" t="s">
        <v>11404</v>
      </c>
    </row>
    <row r="36179">
      <c r="A36179" s="39"/>
      <c r="E36179" s="40" t="s">
        <v>11404</v>
      </c>
      <c r="F36179" s="40" t="s">
        <v>11404</v>
      </c>
      <c r="G36179" s="40" t="s">
        <v>11404</v>
      </c>
      <c r="H36179" s="40" t="s">
        <v>11404</v>
      </c>
    </row>
    <row r="36180">
      <c r="A36180" s="39"/>
      <c r="E36180" s="40" t="s">
        <v>11404</v>
      </c>
      <c r="F36180" s="40" t="s">
        <v>11404</v>
      </c>
      <c r="G36180" s="40" t="s">
        <v>11404</v>
      </c>
      <c r="H36180" s="40" t="s">
        <v>11404</v>
      </c>
    </row>
    <row r="36181">
      <c r="A36181" s="39"/>
      <c r="E36181" s="40" t="s">
        <v>11404</v>
      </c>
      <c r="F36181" s="40" t="s">
        <v>11404</v>
      </c>
      <c r="G36181" s="40" t="s">
        <v>11404</v>
      </c>
      <c r="H36181" s="40" t="s">
        <v>11404</v>
      </c>
    </row>
    <row r="36182">
      <c r="A36182" s="39"/>
      <c r="E36182" s="40" t="s">
        <v>11404</v>
      </c>
      <c r="F36182" s="40" t="s">
        <v>11404</v>
      </c>
      <c r="G36182" s="40" t="s">
        <v>11404</v>
      </c>
      <c r="H36182" s="40" t="s">
        <v>11404</v>
      </c>
    </row>
    <row r="36183">
      <c r="A36183" s="39"/>
      <c r="E36183" s="40" t="s">
        <v>11404</v>
      </c>
      <c r="F36183" s="40" t="s">
        <v>11404</v>
      </c>
      <c r="G36183" s="40" t="s">
        <v>11404</v>
      </c>
      <c r="H36183" s="40" t="s">
        <v>11404</v>
      </c>
    </row>
    <row r="36184">
      <c r="A36184" s="39"/>
      <c r="E36184" s="40" t="s">
        <v>11404</v>
      </c>
      <c r="F36184" s="40" t="s">
        <v>11404</v>
      </c>
      <c r="G36184" s="40" t="s">
        <v>11404</v>
      </c>
      <c r="H36184" s="40" t="s">
        <v>11404</v>
      </c>
    </row>
    <row r="36185">
      <c r="A36185" s="39"/>
      <c r="E36185" s="40" t="s">
        <v>11404</v>
      </c>
      <c r="F36185" s="40" t="s">
        <v>11404</v>
      </c>
      <c r="G36185" s="40" t="s">
        <v>11404</v>
      </c>
      <c r="H36185" s="40" t="s">
        <v>11404</v>
      </c>
    </row>
    <row r="36186">
      <c r="A36186" s="39"/>
      <c r="E36186" s="40" t="s">
        <v>11404</v>
      </c>
      <c r="F36186" s="40" t="s">
        <v>11404</v>
      </c>
      <c r="G36186" s="40" t="s">
        <v>11404</v>
      </c>
      <c r="H36186" s="40" t="s">
        <v>11404</v>
      </c>
    </row>
    <row r="36187">
      <c r="A36187" s="39"/>
      <c r="E36187" s="40" t="s">
        <v>11404</v>
      </c>
      <c r="F36187" s="40" t="s">
        <v>11404</v>
      </c>
      <c r="G36187" s="40" t="s">
        <v>11404</v>
      </c>
      <c r="H36187" s="40" t="s">
        <v>11404</v>
      </c>
    </row>
    <row r="36188">
      <c r="A36188" s="39"/>
      <c r="E36188" s="40" t="s">
        <v>11404</v>
      </c>
      <c r="F36188" s="40" t="s">
        <v>11404</v>
      </c>
      <c r="G36188" s="40" t="s">
        <v>11404</v>
      </c>
      <c r="H36188" s="40" t="s">
        <v>11404</v>
      </c>
    </row>
    <row r="36189">
      <c r="A36189" s="39"/>
      <c r="E36189" s="40" t="s">
        <v>11404</v>
      </c>
      <c r="F36189" s="40" t="s">
        <v>11404</v>
      </c>
      <c r="G36189" s="40" t="s">
        <v>11404</v>
      </c>
      <c r="H36189" s="40" t="s">
        <v>11404</v>
      </c>
    </row>
    <row r="36190">
      <c r="A36190" s="39"/>
      <c r="E36190" s="40" t="s">
        <v>11404</v>
      </c>
      <c r="F36190" s="40" t="s">
        <v>11404</v>
      </c>
      <c r="G36190" s="40" t="s">
        <v>11404</v>
      </c>
      <c r="H36190" s="40" t="s">
        <v>11404</v>
      </c>
    </row>
    <row r="36191">
      <c r="A36191" s="39"/>
      <c r="E36191" s="40" t="s">
        <v>11404</v>
      </c>
      <c r="F36191" s="40" t="s">
        <v>11404</v>
      </c>
      <c r="G36191" s="40" t="s">
        <v>11404</v>
      </c>
      <c r="H36191" s="40" t="s">
        <v>11404</v>
      </c>
    </row>
    <row r="36192">
      <c r="A36192" s="39"/>
      <c r="E36192" s="40" t="s">
        <v>11404</v>
      </c>
      <c r="F36192" s="40" t="s">
        <v>11404</v>
      </c>
      <c r="G36192" s="40" t="s">
        <v>11404</v>
      </c>
      <c r="H36192" s="40" t="s">
        <v>11404</v>
      </c>
    </row>
    <row r="36193">
      <c r="A36193" s="39"/>
      <c r="E36193" s="40" t="s">
        <v>11404</v>
      </c>
      <c r="F36193" s="40" t="s">
        <v>11404</v>
      </c>
      <c r="G36193" s="40" t="s">
        <v>11404</v>
      </c>
      <c r="H36193" s="40" t="s">
        <v>11404</v>
      </c>
    </row>
    <row r="36194">
      <c r="A36194" s="39"/>
      <c r="E36194" s="40" t="s">
        <v>11404</v>
      </c>
      <c r="F36194" s="40" t="s">
        <v>11404</v>
      </c>
      <c r="G36194" s="40" t="s">
        <v>11404</v>
      </c>
      <c r="H36194" s="40" t="s">
        <v>11404</v>
      </c>
    </row>
    <row r="36195">
      <c r="A36195" s="39"/>
      <c r="E36195" s="40" t="s">
        <v>11404</v>
      </c>
      <c r="F36195" s="40" t="s">
        <v>11404</v>
      </c>
      <c r="G36195" s="40" t="s">
        <v>11404</v>
      </c>
      <c r="H36195" s="40" t="s">
        <v>11404</v>
      </c>
    </row>
    <row r="36196">
      <c r="A36196" s="39"/>
      <c r="E36196" s="40" t="s">
        <v>11404</v>
      </c>
      <c r="F36196" s="40" t="s">
        <v>11404</v>
      </c>
      <c r="G36196" s="40" t="s">
        <v>11404</v>
      </c>
      <c r="H36196" s="40" t="s">
        <v>11404</v>
      </c>
    </row>
    <row r="36197">
      <c r="A36197" s="39"/>
      <c r="E36197" s="40" t="s">
        <v>11404</v>
      </c>
      <c r="F36197" s="40" t="s">
        <v>11404</v>
      </c>
      <c r="G36197" s="40" t="s">
        <v>11404</v>
      </c>
      <c r="H36197" s="40" t="s">
        <v>11404</v>
      </c>
    </row>
    <row r="36198">
      <c r="A36198" s="39"/>
      <c r="E36198" s="40" t="s">
        <v>11404</v>
      </c>
      <c r="F36198" s="40" t="s">
        <v>11404</v>
      </c>
      <c r="G36198" s="40" t="s">
        <v>11404</v>
      </c>
      <c r="H36198" s="40" t="s">
        <v>11404</v>
      </c>
    </row>
    <row r="36199">
      <c r="A36199" s="39"/>
      <c r="E36199" s="40" t="s">
        <v>11404</v>
      </c>
      <c r="F36199" s="40" t="s">
        <v>11404</v>
      </c>
      <c r="G36199" s="40" t="s">
        <v>11404</v>
      </c>
      <c r="H36199" s="40" t="s">
        <v>11404</v>
      </c>
    </row>
    <row r="36200">
      <c r="A36200" s="39"/>
      <c r="E36200" s="40" t="s">
        <v>11404</v>
      </c>
      <c r="F36200" s="40" t="s">
        <v>11404</v>
      </c>
      <c r="G36200" s="40" t="s">
        <v>11404</v>
      </c>
      <c r="H36200" s="40" t="s">
        <v>11404</v>
      </c>
    </row>
    <row r="36201">
      <c r="A36201" s="39"/>
      <c r="E36201" s="40" t="s">
        <v>11404</v>
      </c>
      <c r="F36201" s="40" t="s">
        <v>11404</v>
      </c>
      <c r="G36201" s="40" t="s">
        <v>11404</v>
      </c>
      <c r="H36201" s="40" t="s">
        <v>11404</v>
      </c>
    </row>
    <row r="36202">
      <c r="A36202" s="39"/>
      <c r="E36202" s="40" t="s">
        <v>11404</v>
      </c>
      <c r="F36202" s="40" t="s">
        <v>11404</v>
      </c>
      <c r="G36202" s="40" t="s">
        <v>11404</v>
      </c>
      <c r="H36202" s="40" t="s">
        <v>11404</v>
      </c>
    </row>
    <row r="36203">
      <c r="A36203" s="39"/>
      <c r="E36203" s="40" t="s">
        <v>11404</v>
      </c>
      <c r="F36203" s="40" t="s">
        <v>11404</v>
      </c>
      <c r="G36203" s="40" t="s">
        <v>11404</v>
      </c>
      <c r="H36203" s="40" t="s">
        <v>11404</v>
      </c>
    </row>
    <row r="36204">
      <c r="A36204" s="39"/>
      <c r="E36204" s="40" t="s">
        <v>11404</v>
      </c>
      <c r="F36204" s="40" t="s">
        <v>11404</v>
      </c>
      <c r="G36204" s="40" t="s">
        <v>11404</v>
      </c>
      <c r="H36204" s="40" t="s">
        <v>11404</v>
      </c>
    </row>
    <row r="36205">
      <c r="A36205" s="39"/>
      <c r="E36205" s="40" t="s">
        <v>11404</v>
      </c>
      <c r="F36205" s="40" t="s">
        <v>11404</v>
      </c>
      <c r="G36205" s="40" t="s">
        <v>11404</v>
      </c>
      <c r="H36205" s="40" t="s">
        <v>11404</v>
      </c>
    </row>
    <row r="36206">
      <c r="A36206" s="39"/>
      <c r="E36206" s="40" t="s">
        <v>11404</v>
      </c>
      <c r="F36206" s="40" t="s">
        <v>11404</v>
      </c>
      <c r="G36206" s="40" t="s">
        <v>11404</v>
      </c>
      <c r="H36206" s="40" t="s">
        <v>11404</v>
      </c>
    </row>
    <row r="36207">
      <c r="A36207" s="39"/>
      <c r="E36207" s="40" t="s">
        <v>11404</v>
      </c>
      <c r="F36207" s="40" t="s">
        <v>11404</v>
      </c>
      <c r="G36207" s="40" t="s">
        <v>11404</v>
      </c>
      <c r="H36207" s="40" t="s">
        <v>11404</v>
      </c>
    </row>
    <row r="36208">
      <c r="A36208" s="39"/>
      <c r="E36208" s="40" t="s">
        <v>11404</v>
      </c>
      <c r="F36208" s="40" t="s">
        <v>11404</v>
      </c>
      <c r="G36208" s="40" t="s">
        <v>11404</v>
      </c>
      <c r="H36208" s="40" t="s">
        <v>11404</v>
      </c>
    </row>
    <row r="36209">
      <c r="A36209" s="39"/>
      <c r="E36209" s="40" t="s">
        <v>11404</v>
      </c>
      <c r="F36209" s="40" t="s">
        <v>11404</v>
      </c>
      <c r="G36209" s="40" t="s">
        <v>11404</v>
      </c>
      <c r="H36209" s="40" t="s">
        <v>11404</v>
      </c>
    </row>
    <row r="36210">
      <c r="A36210" s="39"/>
      <c r="E36210" s="40" t="s">
        <v>11404</v>
      </c>
      <c r="F36210" s="40" t="s">
        <v>11404</v>
      </c>
      <c r="G36210" s="40" t="s">
        <v>11404</v>
      </c>
      <c r="H36210" s="40" t="s">
        <v>11404</v>
      </c>
    </row>
    <row r="36211">
      <c r="A36211" s="39"/>
      <c r="E36211" s="40" t="s">
        <v>11404</v>
      </c>
      <c r="F36211" s="40" t="s">
        <v>11404</v>
      </c>
      <c r="G36211" s="40" t="s">
        <v>11404</v>
      </c>
      <c r="H36211" s="40" t="s">
        <v>11404</v>
      </c>
    </row>
    <row r="36212">
      <c r="A36212" s="39"/>
      <c r="E36212" s="40" t="s">
        <v>11404</v>
      </c>
      <c r="F36212" s="40" t="s">
        <v>11404</v>
      </c>
      <c r="G36212" s="40" t="s">
        <v>11404</v>
      </c>
      <c r="H36212" s="40" t="s">
        <v>11404</v>
      </c>
    </row>
    <row r="36213">
      <c r="A36213" s="39"/>
      <c r="E36213" s="40" t="s">
        <v>11404</v>
      </c>
      <c r="F36213" s="40" t="s">
        <v>11404</v>
      </c>
      <c r="G36213" s="40" t="s">
        <v>11404</v>
      </c>
      <c r="H36213" s="40" t="s">
        <v>11404</v>
      </c>
    </row>
    <row r="36214">
      <c r="A36214" s="39"/>
      <c r="E36214" s="40" t="s">
        <v>11404</v>
      </c>
      <c r="F36214" s="40" t="s">
        <v>11404</v>
      </c>
      <c r="G36214" s="40" t="s">
        <v>11404</v>
      </c>
      <c r="H36214" s="40" t="s">
        <v>11404</v>
      </c>
    </row>
    <row r="36215">
      <c r="A36215" s="39"/>
      <c r="E36215" s="40" t="s">
        <v>11404</v>
      </c>
      <c r="F36215" s="40" t="s">
        <v>11404</v>
      </c>
      <c r="G36215" s="40" t="s">
        <v>11404</v>
      </c>
      <c r="H36215" s="40" t="s">
        <v>11404</v>
      </c>
    </row>
    <row r="36216">
      <c r="A36216" s="39"/>
      <c r="E36216" s="40" t="s">
        <v>11404</v>
      </c>
      <c r="F36216" s="40" t="s">
        <v>11404</v>
      </c>
      <c r="G36216" s="40" t="s">
        <v>11404</v>
      </c>
      <c r="H36216" s="40" t="s">
        <v>11404</v>
      </c>
    </row>
    <row r="36217">
      <c r="A36217" s="39"/>
      <c r="E36217" s="40" t="s">
        <v>11404</v>
      </c>
      <c r="F36217" s="40" t="s">
        <v>11404</v>
      </c>
      <c r="G36217" s="40" t="s">
        <v>11404</v>
      </c>
      <c r="H36217" s="40" t="s">
        <v>11404</v>
      </c>
    </row>
    <row r="36218">
      <c r="A36218" s="39"/>
      <c r="E36218" s="40" t="s">
        <v>11404</v>
      </c>
      <c r="F36218" s="40" t="s">
        <v>11404</v>
      </c>
      <c r="G36218" s="40" t="s">
        <v>11404</v>
      </c>
      <c r="H36218" s="40" t="s">
        <v>11404</v>
      </c>
    </row>
    <row r="36219">
      <c r="A36219" s="39"/>
      <c r="E36219" s="40" t="s">
        <v>11404</v>
      </c>
      <c r="F36219" s="40" t="s">
        <v>11404</v>
      </c>
      <c r="G36219" s="40" t="s">
        <v>11404</v>
      </c>
      <c r="H36219" s="40" t="s">
        <v>11404</v>
      </c>
    </row>
    <row r="36220">
      <c r="A36220" s="39"/>
      <c r="E36220" s="40" t="s">
        <v>11404</v>
      </c>
      <c r="F36220" s="40" t="s">
        <v>11404</v>
      </c>
      <c r="G36220" s="40" t="s">
        <v>11404</v>
      </c>
      <c r="H36220" s="40" t="s">
        <v>11404</v>
      </c>
    </row>
    <row r="36221">
      <c r="A36221" s="39"/>
      <c r="E36221" s="40" t="s">
        <v>11404</v>
      </c>
      <c r="F36221" s="40" t="s">
        <v>11404</v>
      </c>
      <c r="G36221" s="40" t="s">
        <v>11404</v>
      </c>
      <c r="H36221" s="40" t="s">
        <v>11404</v>
      </c>
    </row>
    <row r="36222">
      <c r="A36222" s="39"/>
      <c r="E36222" s="40" t="s">
        <v>11404</v>
      </c>
      <c r="F36222" s="40" t="s">
        <v>11404</v>
      </c>
      <c r="G36222" s="40" t="s">
        <v>11404</v>
      </c>
      <c r="H36222" s="40" t="s">
        <v>11404</v>
      </c>
    </row>
    <row r="36223">
      <c r="A36223" s="39"/>
      <c r="E36223" s="40" t="s">
        <v>11404</v>
      </c>
      <c r="F36223" s="40" t="s">
        <v>11404</v>
      </c>
      <c r="G36223" s="40" t="s">
        <v>11404</v>
      </c>
      <c r="H36223" s="40" t="s">
        <v>11404</v>
      </c>
    </row>
    <row r="36224">
      <c r="A36224" s="39"/>
      <c r="E36224" s="40" t="s">
        <v>11404</v>
      </c>
      <c r="F36224" s="40" t="s">
        <v>11404</v>
      </c>
      <c r="G36224" s="40" t="s">
        <v>11404</v>
      </c>
      <c r="H36224" s="40" t="s">
        <v>11404</v>
      </c>
    </row>
    <row r="36225">
      <c r="A36225" s="39"/>
      <c r="E36225" s="40" t="s">
        <v>11404</v>
      </c>
      <c r="F36225" s="40" t="s">
        <v>11404</v>
      </c>
      <c r="G36225" s="40" t="s">
        <v>11404</v>
      </c>
      <c r="H36225" s="40" t="s">
        <v>11404</v>
      </c>
    </row>
    <row r="36226">
      <c r="A36226" s="39"/>
      <c r="E36226" s="40" t="s">
        <v>11404</v>
      </c>
      <c r="F36226" s="40" t="s">
        <v>11404</v>
      </c>
      <c r="G36226" s="40" t="s">
        <v>11404</v>
      </c>
      <c r="H36226" s="40" t="s">
        <v>11404</v>
      </c>
    </row>
    <row r="36227">
      <c r="A36227" s="39"/>
      <c r="E36227" s="40" t="s">
        <v>11404</v>
      </c>
      <c r="F36227" s="40" t="s">
        <v>11404</v>
      </c>
      <c r="G36227" s="40" t="s">
        <v>11404</v>
      </c>
      <c r="H36227" s="40" t="s">
        <v>11404</v>
      </c>
    </row>
    <row r="36228">
      <c r="A36228" s="39"/>
      <c r="E36228" s="40" t="s">
        <v>11404</v>
      </c>
      <c r="F36228" s="40" t="s">
        <v>11404</v>
      </c>
      <c r="G36228" s="40" t="s">
        <v>11404</v>
      </c>
      <c r="H36228" s="40" t="s">
        <v>11404</v>
      </c>
    </row>
    <row r="36229">
      <c r="A36229" s="39"/>
      <c r="E36229" s="40" t="s">
        <v>11404</v>
      </c>
      <c r="F36229" s="40" t="s">
        <v>11404</v>
      </c>
      <c r="G36229" s="40" t="s">
        <v>11404</v>
      </c>
      <c r="H36229" s="40" t="s">
        <v>11404</v>
      </c>
    </row>
    <row r="36230">
      <c r="A36230" s="39"/>
      <c r="E36230" s="40" t="s">
        <v>11404</v>
      </c>
      <c r="F36230" s="40" t="s">
        <v>11404</v>
      </c>
      <c r="G36230" s="40" t="s">
        <v>11404</v>
      </c>
      <c r="H36230" s="40" t="s">
        <v>11404</v>
      </c>
    </row>
    <row r="36231">
      <c r="A36231" s="39"/>
      <c r="E36231" s="40" t="s">
        <v>11404</v>
      </c>
      <c r="F36231" s="40" t="s">
        <v>11404</v>
      </c>
      <c r="G36231" s="40" t="s">
        <v>11404</v>
      </c>
      <c r="H36231" s="40" t="s">
        <v>11404</v>
      </c>
    </row>
    <row r="36232">
      <c r="A36232" s="39"/>
      <c r="E36232" s="40" t="s">
        <v>11404</v>
      </c>
      <c r="F36232" s="40" t="s">
        <v>11404</v>
      </c>
      <c r="G36232" s="40" t="s">
        <v>11404</v>
      </c>
      <c r="H36232" s="40" t="s">
        <v>11404</v>
      </c>
    </row>
    <row r="36233">
      <c r="A36233" s="39"/>
      <c r="E36233" s="40" t="s">
        <v>11404</v>
      </c>
      <c r="F36233" s="40" t="s">
        <v>11404</v>
      </c>
      <c r="G36233" s="40" t="s">
        <v>11404</v>
      </c>
      <c r="H36233" s="40" t="s">
        <v>11404</v>
      </c>
    </row>
    <row r="36234">
      <c r="A36234" s="39"/>
      <c r="E36234" s="40" t="s">
        <v>11404</v>
      </c>
      <c r="F36234" s="40" t="s">
        <v>11404</v>
      </c>
      <c r="G36234" s="40" t="s">
        <v>11404</v>
      </c>
      <c r="H36234" s="40" t="s">
        <v>11404</v>
      </c>
    </row>
    <row r="36235">
      <c r="A36235" s="39"/>
      <c r="E36235" s="40" t="s">
        <v>11404</v>
      </c>
      <c r="F36235" s="40" t="s">
        <v>11404</v>
      </c>
      <c r="G36235" s="40" t="s">
        <v>11404</v>
      </c>
      <c r="H36235" s="40" t="s">
        <v>11404</v>
      </c>
    </row>
    <row r="36236">
      <c r="A36236" s="39"/>
      <c r="E36236" s="40" t="s">
        <v>11404</v>
      </c>
      <c r="F36236" s="40" t="s">
        <v>11404</v>
      </c>
      <c r="G36236" s="40" t="s">
        <v>11404</v>
      </c>
      <c r="H36236" s="40" t="s">
        <v>11404</v>
      </c>
    </row>
    <row r="36237">
      <c r="A36237" s="39"/>
      <c r="E36237" s="40" t="s">
        <v>11404</v>
      </c>
      <c r="F36237" s="40" t="s">
        <v>11404</v>
      </c>
      <c r="G36237" s="40" t="s">
        <v>11404</v>
      </c>
      <c r="H36237" s="40" t="s">
        <v>11404</v>
      </c>
    </row>
    <row r="36238">
      <c r="A36238" s="39"/>
      <c r="E36238" s="40" t="s">
        <v>11404</v>
      </c>
      <c r="F36238" s="40" t="s">
        <v>11404</v>
      </c>
      <c r="G36238" s="40" t="s">
        <v>11404</v>
      </c>
      <c r="H36238" s="40" t="s">
        <v>11404</v>
      </c>
    </row>
    <row r="36239">
      <c r="A36239" s="39"/>
      <c r="E36239" s="40" t="s">
        <v>11404</v>
      </c>
      <c r="F36239" s="40" t="s">
        <v>11404</v>
      </c>
      <c r="G36239" s="40" t="s">
        <v>11404</v>
      </c>
      <c r="H36239" s="40" t="s">
        <v>11404</v>
      </c>
    </row>
    <row r="36240">
      <c r="A36240" s="39"/>
      <c r="E36240" s="40" t="s">
        <v>11404</v>
      </c>
      <c r="F36240" s="40" t="s">
        <v>11404</v>
      </c>
      <c r="G36240" s="40" t="s">
        <v>11404</v>
      </c>
      <c r="H36240" s="40" t="s">
        <v>11404</v>
      </c>
    </row>
    <row r="36241">
      <c r="A36241" s="39"/>
      <c r="E36241" s="40" t="s">
        <v>11404</v>
      </c>
      <c r="F36241" s="40" t="s">
        <v>11404</v>
      </c>
      <c r="G36241" s="40" t="s">
        <v>11404</v>
      </c>
      <c r="H36241" s="40" t="s">
        <v>11404</v>
      </c>
    </row>
    <row r="36242">
      <c r="A36242" s="39"/>
      <c r="E36242" s="40" t="s">
        <v>11404</v>
      </c>
      <c r="F36242" s="40" t="s">
        <v>11404</v>
      </c>
      <c r="G36242" s="40" t="s">
        <v>11404</v>
      </c>
      <c r="H36242" s="40" t="s">
        <v>11404</v>
      </c>
    </row>
    <row r="36243">
      <c r="A36243" s="39"/>
      <c r="E36243" s="40" t="s">
        <v>11404</v>
      </c>
      <c r="F36243" s="40" t="s">
        <v>11404</v>
      </c>
      <c r="G36243" s="40" t="s">
        <v>11404</v>
      </c>
      <c r="H36243" s="40" t="s">
        <v>11404</v>
      </c>
    </row>
    <row r="36244">
      <c r="A36244" s="39"/>
      <c r="E36244" s="40" t="s">
        <v>11404</v>
      </c>
      <c r="F36244" s="40" t="s">
        <v>11404</v>
      </c>
      <c r="G36244" s="40" t="s">
        <v>11404</v>
      </c>
      <c r="H36244" s="40" t="s">
        <v>11404</v>
      </c>
    </row>
    <row r="36245">
      <c r="A36245" s="39"/>
      <c r="E36245" s="40" t="s">
        <v>11404</v>
      </c>
      <c r="F36245" s="40" t="s">
        <v>11404</v>
      </c>
      <c r="G36245" s="40" t="s">
        <v>11404</v>
      </c>
      <c r="H36245" s="40" t="s">
        <v>11404</v>
      </c>
    </row>
    <row r="36246">
      <c r="A36246" s="39"/>
      <c r="E36246" s="40" t="s">
        <v>11404</v>
      </c>
      <c r="F36246" s="40" t="s">
        <v>11404</v>
      </c>
      <c r="G36246" s="40" t="s">
        <v>11404</v>
      </c>
      <c r="H36246" s="40" t="s">
        <v>11404</v>
      </c>
    </row>
    <row r="36247">
      <c r="A36247" s="39"/>
      <c r="E36247" s="40" t="s">
        <v>11404</v>
      </c>
      <c r="F36247" s="40" t="s">
        <v>11404</v>
      </c>
      <c r="G36247" s="40" t="s">
        <v>11404</v>
      </c>
      <c r="H36247" s="40" t="s">
        <v>11404</v>
      </c>
    </row>
    <row r="36248">
      <c r="A36248" s="39"/>
      <c r="E36248" s="40" t="s">
        <v>11404</v>
      </c>
      <c r="F36248" s="40" t="s">
        <v>11404</v>
      </c>
      <c r="G36248" s="40" t="s">
        <v>11404</v>
      </c>
      <c r="H36248" s="40" t="s">
        <v>11404</v>
      </c>
    </row>
    <row r="36249">
      <c r="A36249" s="39"/>
      <c r="E36249" s="40" t="s">
        <v>11404</v>
      </c>
      <c r="F36249" s="40" t="s">
        <v>11404</v>
      </c>
      <c r="G36249" s="40" t="s">
        <v>11404</v>
      </c>
      <c r="H36249" s="40" t="s">
        <v>11404</v>
      </c>
    </row>
    <row r="36250">
      <c r="A36250" s="39"/>
      <c r="E36250" s="40" t="s">
        <v>11404</v>
      </c>
      <c r="F36250" s="40" t="s">
        <v>11404</v>
      </c>
      <c r="G36250" s="40" t="s">
        <v>11404</v>
      </c>
      <c r="H36250" s="40" t="s">
        <v>11404</v>
      </c>
    </row>
    <row r="36251">
      <c r="A36251" s="39"/>
      <c r="E36251" s="40" t="s">
        <v>11404</v>
      </c>
      <c r="F36251" s="40" t="s">
        <v>11404</v>
      </c>
      <c r="G36251" s="40" t="s">
        <v>11404</v>
      </c>
      <c r="H36251" s="40" t="s">
        <v>11404</v>
      </c>
    </row>
    <row r="36252">
      <c r="A36252" s="39"/>
      <c r="E36252" s="40" t="s">
        <v>11404</v>
      </c>
      <c r="F36252" s="40" t="s">
        <v>11404</v>
      </c>
      <c r="G36252" s="40" t="s">
        <v>11404</v>
      </c>
      <c r="H36252" s="40" t="s">
        <v>11404</v>
      </c>
    </row>
    <row r="36253">
      <c r="A36253" s="39"/>
      <c r="E36253" s="40" t="s">
        <v>11404</v>
      </c>
      <c r="F36253" s="40" t="s">
        <v>11404</v>
      </c>
      <c r="G36253" s="40" t="s">
        <v>11404</v>
      </c>
      <c r="H36253" s="40" t="s">
        <v>11404</v>
      </c>
    </row>
    <row r="36254">
      <c r="A36254" s="39"/>
      <c r="E36254" s="40" t="s">
        <v>11404</v>
      </c>
      <c r="F36254" s="40" t="s">
        <v>11404</v>
      </c>
      <c r="G36254" s="40" t="s">
        <v>11404</v>
      </c>
      <c r="H36254" s="40" t="s">
        <v>11404</v>
      </c>
    </row>
    <row r="36255">
      <c r="A36255" s="39"/>
      <c r="E36255" s="40" t="s">
        <v>11404</v>
      </c>
      <c r="F36255" s="40" t="s">
        <v>11404</v>
      </c>
      <c r="G36255" s="40" t="s">
        <v>11404</v>
      </c>
      <c r="H36255" s="40" t="s">
        <v>11404</v>
      </c>
    </row>
    <row r="36256">
      <c r="A36256" s="39"/>
      <c r="E36256" s="40" t="s">
        <v>11404</v>
      </c>
      <c r="F36256" s="40" t="s">
        <v>11404</v>
      </c>
      <c r="G36256" s="40" t="s">
        <v>11404</v>
      </c>
      <c r="H36256" s="40" t="s">
        <v>11404</v>
      </c>
    </row>
    <row r="36257">
      <c r="A36257" s="39"/>
      <c r="E36257" s="40" t="s">
        <v>11404</v>
      </c>
      <c r="F36257" s="40" t="s">
        <v>11404</v>
      </c>
      <c r="G36257" s="40" t="s">
        <v>11404</v>
      </c>
      <c r="H36257" s="40" t="s">
        <v>11404</v>
      </c>
    </row>
    <row r="36258">
      <c r="A36258" s="39"/>
      <c r="E36258" s="40" t="s">
        <v>11404</v>
      </c>
      <c r="F36258" s="40" t="s">
        <v>11404</v>
      </c>
      <c r="G36258" s="40" t="s">
        <v>11404</v>
      </c>
      <c r="H36258" s="40" t="s">
        <v>11404</v>
      </c>
    </row>
    <row r="36259">
      <c r="A36259" s="39"/>
      <c r="E36259" s="40" t="s">
        <v>11404</v>
      </c>
      <c r="F36259" s="40" t="s">
        <v>11404</v>
      </c>
      <c r="G36259" s="40" t="s">
        <v>11404</v>
      </c>
      <c r="H36259" s="40" t="s">
        <v>11404</v>
      </c>
    </row>
    <row r="36260">
      <c r="A36260" s="39"/>
      <c r="E36260" s="40" t="s">
        <v>11404</v>
      </c>
      <c r="F36260" s="40" t="s">
        <v>11404</v>
      </c>
      <c r="G36260" s="40" t="s">
        <v>11404</v>
      </c>
      <c r="H36260" s="40" t="s">
        <v>11404</v>
      </c>
    </row>
    <row r="36261">
      <c r="A36261" s="39"/>
      <c r="E36261" s="40" t="s">
        <v>11404</v>
      </c>
      <c r="F36261" s="40" t="s">
        <v>11404</v>
      </c>
      <c r="G36261" s="40" t="s">
        <v>11404</v>
      </c>
      <c r="H36261" s="40" t="s">
        <v>11404</v>
      </c>
    </row>
    <row r="36262">
      <c r="A36262" s="39"/>
      <c r="E36262" s="40" t="s">
        <v>11404</v>
      </c>
      <c r="F36262" s="40" t="s">
        <v>11404</v>
      </c>
      <c r="G36262" s="40" t="s">
        <v>11404</v>
      </c>
      <c r="H36262" s="40" t="s">
        <v>11404</v>
      </c>
    </row>
    <row r="36263">
      <c r="A36263" s="39"/>
      <c r="E36263" s="40" t="s">
        <v>11404</v>
      </c>
      <c r="F36263" s="40" t="s">
        <v>11404</v>
      </c>
      <c r="G36263" s="40" t="s">
        <v>11404</v>
      </c>
      <c r="H36263" s="40" t="s">
        <v>11404</v>
      </c>
    </row>
    <row r="36264">
      <c r="A36264" s="39"/>
      <c r="E36264" s="40" t="s">
        <v>11404</v>
      </c>
      <c r="F36264" s="40" t="s">
        <v>11404</v>
      </c>
      <c r="G36264" s="40" t="s">
        <v>11404</v>
      </c>
      <c r="H36264" s="40" t="s">
        <v>11404</v>
      </c>
    </row>
    <row r="36265">
      <c r="A36265" s="39"/>
      <c r="E36265" s="40" t="s">
        <v>11404</v>
      </c>
      <c r="F36265" s="40" t="s">
        <v>11404</v>
      </c>
      <c r="G36265" s="40" t="s">
        <v>11404</v>
      </c>
      <c r="H36265" s="40" t="s">
        <v>11404</v>
      </c>
    </row>
    <row r="36266">
      <c r="A36266" s="39"/>
      <c r="E36266" s="40" t="s">
        <v>11404</v>
      </c>
      <c r="F36266" s="40" t="s">
        <v>11404</v>
      </c>
      <c r="G36266" s="40" t="s">
        <v>11404</v>
      </c>
      <c r="H36266" s="40" t="s">
        <v>11404</v>
      </c>
    </row>
    <row r="36267">
      <c r="A36267" s="39"/>
      <c r="E36267" s="40" t="s">
        <v>11404</v>
      </c>
      <c r="F36267" s="40" t="s">
        <v>11404</v>
      </c>
      <c r="G36267" s="40" t="s">
        <v>11404</v>
      </c>
      <c r="H36267" s="40" t="s">
        <v>11404</v>
      </c>
    </row>
    <row r="36268">
      <c r="A36268" s="39"/>
      <c r="E36268" s="40" t="s">
        <v>11404</v>
      </c>
      <c r="F36268" s="40" t="s">
        <v>11404</v>
      </c>
      <c r="G36268" s="40" t="s">
        <v>11404</v>
      </c>
      <c r="H36268" s="40" t="s">
        <v>11404</v>
      </c>
    </row>
    <row r="36269">
      <c r="A36269" s="39"/>
      <c r="E36269" s="40" t="s">
        <v>11404</v>
      </c>
      <c r="F36269" s="40" t="s">
        <v>11404</v>
      </c>
      <c r="G36269" s="40" t="s">
        <v>11404</v>
      </c>
      <c r="H36269" s="40" t="s">
        <v>11404</v>
      </c>
    </row>
    <row r="36270">
      <c r="A36270" s="39"/>
      <c r="E36270" s="40" t="s">
        <v>11404</v>
      </c>
      <c r="F36270" s="40" t="s">
        <v>11404</v>
      </c>
      <c r="G36270" s="40" t="s">
        <v>11404</v>
      </c>
      <c r="H36270" s="40" t="s">
        <v>11404</v>
      </c>
    </row>
    <row r="36271">
      <c r="A36271" s="39"/>
      <c r="E36271" s="40" t="s">
        <v>11404</v>
      </c>
      <c r="F36271" s="40" t="s">
        <v>11404</v>
      </c>
      <c r="G36271" s="40" t="s">
        <v>11404</v>
      </c>
      <c r="H36271" s="40" t="s">
        <v>11404</v>
      </c>
    </row>
    <row r="36272">
      <c r="A36272" s="39"/>
      <c r="E36272" s="40" t="s">
        <v>11404</v>
      </c>
      <c r="F36272" s="40" t="s">
        <v>11404</v>
      </c>
      <c r="G36272" s="40" t="s">
        <v>11404</v>
      </c>
      <c r="H36272" s="40" t="s">
        <v>11404</v>
      </c>
    </row>
    <row r="36273">
      <c r="A36273" s="39"/>
      <c r="E36273" s="40" t="s">
        <v>11404</v>
      </c>
      <c r="F36273" s="40" t="s">
        <v>11404</v>
      </c>
      <c r="G36273" s="40" t="s">
        <v>11404</v>
      </c>
      <c r="H36273" s="40" t="s">
        <v>11404</v>
      </c>
    </row>
    <row r="36274">
      <c r="A36274" s="39"/>
      <c r="E36274" s="40" t="s">
        <v>11404</v>
      </c>
      <c r="F36274" s="40" t="s">
        <v>11404</v>
      </c>
      <c r="G36274" s="40" t="s">
        <v>11404</v>
      </c>
      <c r="H36274" s="40" t="s">
        <v>11404</v>
      </c>
    </row>
    <row r="36275">
      <c r="A36275" s="39"/>
      <c r="E36275" s="40" t="s">
        <v>11404</v>
      </c>
      <c r="F36275" s="40" t="s">
        <v>11404</v>
      </c>
      <c r="G36275" s="40" t="s">
        <v>11404</v>
      </c>
      <c r="H36275" s="40" t="s">
        <v>11404</v>
      </c>
    </row>
    <row r="36276">
      <c r="A36276" s="39"/>
      <c r="E36276" s="40" t="s">
        <v>11404</v>
      </c>
      <c r="F36276" s="40" t="s">
        <v>11404</v>
      </c>
      <c r="G36276" s="40" t="s">
        <v>11404</v>
      </c>
      <c r="H36276" s="40" t="s">
        <v>11404</v>
      </c>
    </row>
    <row r="36277">
      <c r="A36277" s="39"/>
      <c r="E36277" s="40" t="s">
        <v>11404</v>
      </c>
      <c r="F36277" s="40" t="s">
        <v>11404</v>
      </c>
      <c r="G36277" s="40" t="s">
        <v>11404</v>
      </c>
      <c r="H36277" s="40" t="s">
        <v>11404</v>
      </c>
    </row>
    <row r="36278">
      <c r="A36278" s="39"/>
      <c r="E36278" s="40" t="s">
        <v>11404</v>
      </c>
      <c r="F36278" s="40" t="s">
        <v>11404</v>
      </c>
      <c r="G36278" s="40" t="s">
        <v>11404</v>
      </c>
      <c r="H36278" s="40" t="s">
        <v>11404</v>
      </c>
    </row>
    <row r="36279">
      <c r="A36279" s="39"/>
      <c r="E36279" s="40" t="s">
        <v>11404</v>
      </c>
      <c r="F36279" s="40" t="s">
        <v>11404</v>
      </c>
      <c r="G36279" s="40" t="s">
        <v>11404</v>
      </c>
      <c r="H36279" s="40" t="s">
        <v>11404</v>
      </c>
    </row>
    <row r="36280">
      <c r="A36280" s="39"/>
      <c r="E36280" s="40" t="s">
        <v>11404</v>
      </c>
      <c r="F36280" s="40" t="s">
        <v>11404</v>
      </c>
      <c r="G36280" s="40" t="s">
        <v>11404</v>
      </c>
      <c r="H36280" s="40" t="s">
        <v>11404</v>
      </c>
    </row>
    <row r="36281">
      <c r="A36281" s="39"/>
      <c r="E36281" s="40" t="s">
        <v>11404</v>
      </c>
      <c r="F36281" s="40" t="s">
        <v>11404</v>
      </c>
      <c r="G36281" s="40" t="s">
        <v>11404</v>
      </c>
      <c r="H36281" s="40" t="s">
        <v>11404</v>
      </c>
    </row>
    <row r="36282">
      <c r="A36282" s="39"/>
      <c r="E36282" s="40" t="s">
        <v>11404</v>
      </c>
      <c r="F36282" s="40" t="s">
        <v>11404</v>
      </c>
      <c r="G36282" s="40" t="s">
        <v>11404</v>
      </c>
      <c r="H36282" s="40" t="s">
        <v>11404</v>
      </c>
    </row>
    <row r="36283">
      <c r="A36283" s="39"/>
      <c r="E36283" s="40" t="s">
        <v>11404</v>
      </c>
      <c r="F36283" s="40" t="s">
        <v>11404</v>
      </c>
      <c r="G36283" s="40" t="s">
        <v>11404</v>
      </c>
      <c r="H36283" s="40" t="s">
        <v>11404</v>
      </c>
    </row>
    <row r="36284">
      <c r="A36284" s="39"/>
      <c r="E36284" s="40" t="s">
        <v>11404</v>
      </c>
      <c r="F36284" s="40" t="s">
        <v>11404</v>
      </c>
      <c r="G36284" s="40" t="s">
        <v>11404</v>
      </c>
      <c r="H36284" s="40" t="s">
        <v>11404</v>
      </c>
    </row>
    <row r="36285">
      <c r="A36285" s="39"/>
      <c r="E36285" s="40" t="s">
        <v>11404</v>
      </c>
      <c r="F36285" s="40" t="s">
        <v>11404</v>
      </c>
      <c r="G36285" s="40" t="s">
        <v>11404</v>
      </c>
      <c r="H36285" s="40" t="s">
        <v>11404</v>
      </c>
    </row>
    <row r="36286">
      <c r="A36286" s="39"/>
      <c r="E36286" s="40" t="s">
        <v>11404</v>
      </c>
      <c r="F36286" s="40" t="s">
        <v>11404</v>
      </c>
      <c r="G36286" s="40" t="s">
        <v>11404</v>
      </c>
      <c r="H36286" s="40" t="s">
        <v>11404</v>
      </c>
    </row>
    <row r="36287">
      <c r="A36287" s="39"/>
      <c r="E36287" s="40" t="s">
        <v>11404</v>
      </c>
      <c r="F36287" s="40" t="s">
        <v>11404</v>
      </c>
      <c r="G36287" s="40" t="s">
        <v>11404</v>
      </c>
      <c r="H36287" s="40" t="s">
        <v>11404</v>
      </c>
    </row>
    <row r="36288">
      <c r="A36288" s="39"/>
      <c r="E36288" s="40" t="s">
        <v>11404</v>
      </c>
      <c r="F36288" s="40" t="s">
        <v>11404</v>
      </c>
      <c r="G36288" s="40" t="s">
        <v>11404</v>
      </c>
      <c r="H36288" s="40" t="s">
        <v>11404</v>
      </c>
    </row>
    <row r="36289">
      <c r="A36289" s="39"/>
      <c r="E36289" s="40" t="s">
        <v>11404</v>
      </c>
      <c r="F36289" s="40" t="s">
        <v>11404</v>
      </c>
      <c r="G36289" s="40" t="s">
        <v>11404</v>
      </c>
      <c r="H36289" s="40" t="s">
        <v>11404</v>
      </c>
    </row>
    <row r="36290">
      <c r="A36290" s="39"/>
      <c r="E36290" s="40" t="s">
        <v>11404</v>
      </c>
      <c r="F36290" s="40" t="s">
        <v>11404</v>
      </c>
      <c r="G36290" s="40" t="s">
        <v>11404</v>
      </c>
      <c r="H36290" s="40" t="s">
        <v>11404</v>
      </c>
    </row>
    <row r="36291">
      <c r="A36291" s="39"/>
      <c r="E36291" s="40" t="s">
        <v>11404</v>
      </c>
      <c r="F36291" s="40" t="s">
        <v>11404</v>
      </c>
      <c r="G36291" s="40" t="s">
        <v>11404</v>
      </c>
      <c r="H36291" s="40" t="s">
        <v>11404</v>
      </c>
    </row>
    <row r="36292">
      <c r="A36292" s="39"/>
      <c r="E36292" s="40" t="s">
        <v>11404</v>
      </c>
      <c r="F36292" s="40" t="s">
        <v>11404</v>
      </c>
      <c r="G36292" s="40" t="s">
        <v>11404</v>
      </c>
      <c r="H36292" s="40" t="s">
        <v>11404</v>
      </c>
    </row>
    <row r="36293">
      <c r="A36293" s="39"/>
      <c r="E36293" s="40" t="s">
        <v>11404</v>
      </c>
      <c r="F36293" s="40" t="s">
        <v>11404</v>
      </c>
      <c r="G36293" s="40" t="s">
        <v>11404</v>
      </c>
      <c r="H36293" s="40" t="s">
        <v>11404</v>
      </c>
    </row>
    <row r="36294">
      <c r="A36294" s="39"/>
      <c r="E36294" s="40" t="s">
        <v>11404</v>
      </c>
      <c r="F36294" s="40" t="s">
        <v>11404</v>
      </c>
      <c r="G36294" s="40" t="s">
        <v>11404</v>
      </c>
      <c r="H36294" s="40" t="s">
        <v>11404</v>
      </c>
    </row>
    <row r="36295">
      <c r="A36295" s="39"/>
      <c r="E36295" s="40" t="s">
        <v>11404</v>
      </c>
      <c r="F36295" s="40" t="s">
        <v>11404</v>
      </c>
      <c r="G36295" s="40" t="s">
        <v>11404</v>
      </c>
      <c r="H36295" s="40" t="s">
        <v>11404</v>
      </c>
    </row>
    <row r="36296">
      <c r="A36296" s="39"/>
      <c r="E36296" s="40" t="s">
        <v>11404</v>
      </c>
      <c r="F36296" s="40" t="s">
        <v>11404</v>
      </c>
      <c r="G36296" s="40" t="s">
        <v>11404</v>
      </c>
      <c r="H36296" s="40" t="s">
        <v>11404</v>
      </c>
    </row>
    <row r="36297">
      <c r="A36297" s="39"/>
      <c r="E36297" s="40" t="s">
        <v>11404</v>
      </c>
      <c r="F36297" s="40" t="s">
        <v>11404</v>
      </c>
      <c r="G36297" s="40" t="s">
        <v>11404</v>
      </c>
      <c r="H36297" s="40" t="s">
        <v>11404</v>
      </c>
    </row>
    <row r="36298">
      <c r="A36298" s="39"/>
      <c r="E36298" s="40" t="s">
        <v>11404</v>
      </c>
      <c r="F36298" s="40" t="s">
        <v>11404</v>
      </c>
      <c r="G36298" s="40" t="s">
        <v>11404</v>
      </c>
      <c r="H36298" s="40" t="s">
        <v>11404</v>
      </c>
    </row>
    <row r="36299">
      <c r="A36299" s="39"/>
      <c r="E36299" s="40" t="s">
        <v>11404</v>
      </c>
      <c r="F36299" s="40" t="s">
        <v>11404</v>
      </c>
      <c r="G36299" s="40" t="s">
        <v>11404</v>
      </c>
      <c r="H36299" s="40" t="s">
        <v>11404</v>
      </c>
    </row>
    <row r="36300">
      <c r="A36300" s="39"/>
      <c r="E36300" s="40" t="s">
        <v>11404</v>
      </c>
      <c r="F36300" s="40" t="s">
        <v>11404</v>
      </c>
      <c r="G36300" s="40" t="s">
        <v>11404</v>
      </c>
      <c r="H36300" s="40" t="s">
        <v>11404</v>
      </c>
    </row>
    <row r="36301">
      <c r="A36301" s="39"/>
      <c r="E36301" s="40" t="s">
        <v>11404</v>
      </c>
      <c r="F36301" s="40" t="s">
        <v>11404</v>
      </c>
      <c r="G36301" s="40" t="s">
        <v>11404</v>
      </c>
      <c r="H36301" s="40" t="s">
        <v>11404</v>
      </c>
    </row>
    <row r="36302">
      <c r="A36302" s="39"/>
      <c r="E36302" s="40" t="s">
        <v>11404</v>
      </c>
      <c r="F36302" s="40" t="s">
        <v>11404</v>
      </c>
      <c r="G36302" s="40" t="s">
        <v>11404</v>
      </c>
      <c r="H36302" s="40" t="s">
        <v>11404</v>
      </c>
    </row>
    <row r="36303">
      <c r="A36303" s="39"/>
      <c r="E36303" s="40" t="s">
        <v>11404</v>
      </c>
      <c r="F36303" s="40" t="s">
        <v>11404</v>
      </c>
      <c r="G36303" s="40" t="s">
        <v>11404</v>
      </c>
      <c r="H36303" s="40" t="s">
        <v>11404</v>
      </c>
    </row>
    <row r="36304">
      <c r="A36304" s="39"/>
      <c r="E36304" s="40" t="s">
        <v>11404</v>
      </c>
      <c r="F36304" s="40" t="s">
        <v>11404</v>
      </c>
      <c r="G36304" s="40" t="s">
        <v>11404</v>
      </c>
      <c r="H36304" s="40" t="s">
        <v>11404</v>
      </c>
    </row>
    <row r="36305">
      <c r="A36305" s="39"/>
      <c r="E36305" s="40" t="s">
        <v>11404</v>
      </c>
      <c r="F36305" s="40" t="s">
        <v>11404</v>
      </c>
      <c r="G36305" s="40" t="s">
        <v>11404</v>
      </c>
      <c r="H36305" s="40" t="s">
        <v>11404</v>
      </c>
    </row>
    <row r="36306">
      <c r="A36306" s="39"/>
      <c r="E36306" s="40" t="s">
        <v>11404</v>
      </c>
      <c r="F36306" s="40" t="s">
        <v>11404</v>
      </c>
      <c r="G36306" s="40" t="s">
        <v>11404</v>
      </c>
      <c r="H36306" s="40" t="s">
        <v>11404</v>
      </c>
    </row>
    <row r="36307">
      <c r="A36307" s="39"/>
      <c r="E36307" s="40" t="s">
        <v>11404</v>
      </c>
      <c r="F36307" s="40" t="s">
        <v>11404</v>
      </c>
      <c r="G36307" s="40" t="s">
        <v>11404</v>
      </c>
      <c r="H36307" s="40" t="s">
        <v>11404</v>
      </c>
    </row>
    <row r="36308">
      <c r="A36308" s="39"/>
      <c r="E36308" s="40" t="s">
        <v>11404</v>
      </c>
      <c r="F36308" s="40" t="s">
        <v>11404</v>
      </c>
      <c r="G36308" s="40" t="s">
        <v>11404</v>
      </c>
      <c r="H36308" s="40" t="s">
        <v>11404</v>
      </c>
    </row>
    <row r="36309">
      <c r="A36309" s="39"/>
      <c r="E36309" s="40" t="s">
        <v>11404</v>
      </c>
      <c r="F36309" s="40" t="s">
        <v>11404</v>
      </c>
      <c r="G36309" s="40" t="s">
        <v>11404</v>
      </c>
      <c r="H36309" s="40" t="s">
        <v>11404</v>
      </c>
    </row>
    <row r="36310">
      <c r="A36310" s="39"/>
      <c r="E36310" s="40" t="s">
        <v>11404</v>
      </c>
      <c r="F36310" s="40" t="s">
        <v>11404</v>
      </c>
      <c r="G36310" s="40" t="s">
        <v>11404</v>
      </c>
      <c r="H36310" s="40" t="s">
        <v>11404</v>
      </c>
    </row>
    <row r="36311">
      <c r="A36311" s="39"/>
      <c r="E36311" s="40" t="s">
        <v>11404</v>
      </c>
      <c r="F36311" s="40" t="s">
        <v>11404</v>
      </c>
      <c r="G36311" s="40" t="s">
        <v>11404</v>
      </c>
      <c r="H36311" s="40" t="s">
        <v>11404</v>
      </c>
    </row>
    <row r="36312">
      <c r="A36312" s="39"/>
      <c r="E36312" s="40" t="s">
        <v>11404</v>
      </c>
      <c r="F36312" s="40" t="s">
        <v>11404</v>
      </c>
      <c r="G36312" s="40" t="s">
        <v>11404</v>
      </c>
      <c r="H36312" s="40" t="s">
        <v>11404</v>
      </c>
    </row>
    <row r="36313">
      <c r="A36313" s="39"/>
      <c r="E36313" s="40" t="s">
        <v>11404</v>
      </c>
      <c r="F36313" s="40" t="s">
        <v>11404</v>
      </c>
      <c r="G36313" s="40" t="s">
        <v>11404</v>
      </c>
      <c r="H36313" s="40" t="s">
        <v>11404</v>
      </c>
    </row>
    <row r="36314">
      <c r="A36314" s="39"/>
      <c r="E36314" s="40" t="s">
        <v>11404</v>
      </c>
      <c r="F36314" s="40" t="s">
        <v>11404</v>
      </c>
      <c r="G36314" s="40" t="s">
        <v>11404</v>
      </c>
      <c r="H36314" s="40" t="s">
        <v>11404</v>
      </c>
    </row>
    <row r="36315">
      <c r="A36315" s="39"/>
      <c r="E36315" s="40" t="s">
        <v>11404</v>
      </c>
      <c r="F36315" s="40" t="s">
        <v>11404</v>
      </c>
      <c r="G36315" s="40" t="s">
        <v>11404</v>
      </c>
      <c r="H36315" s="40" t="s">
        <v>11404</v>
      </c>
    </row>
    <row r="36316">
      <c r="A36316" s="39"/>
      <c r="E36316" s="40" t="s">
        <v>11404</v>
      </c>
      <c r="F36316" s="40" t="s">
        <v>11404</v>
      </c>
      <c r="G36316" s="40" t="s">
        <v>11404</v>
      </c>
      <c r="H36316" s="40" t="s">
        <v>11404</v>
      </c>
    </row>
    <row r="36317">
      <c r="A36317" s="39"/>
      <c r="E36317" s="40" t="s">
        <v>11404</v>
      </c>
      <c r="F36317" s="40" t="s">
        <v>11404</v>
      </c>
      <c r="G36317" s="40" t="s">
        <v>11404</v>
      </c>
      <c r="H36317" s="40" t="s">
        <v>11404</v>
      </c>
    </row>
    <row r="36318">
      <c r="A36318" s="39"/>
      <c r="E36318" s="40" t="s">
        <v>11404</v>
      </c>
      <c r="F36318" s="40" t="s">
        <v>11404</v>
      </c>
      <c r="G36318" s="40" t="s">
        <v>11404</v>
      </c>
      <c r="H36318" s="40" t="s">
        <v>11404</v>
      </c>
    </row>
    <row r="36319">
      <c r="A36319" s="39"/>
      <c r="E36319" s="40" t="s">
        <v>11404</v>
      </c>
      <c r="F36319" s="40" t="s">
        <v>11404</v>
      </c>
      <c r="G36319" s="40" t="s">
        <v>11404</v>
      </c>
      <c r="H36319" s="40" t="s">
        <v>11404</v>
      </c>
    </row>
    <row r="36320">
      <c r="A36320" s="39"/>
      <c r="E36320" s="40" t="s">
        <v>11404</v>
      </c>
      <c r="F36320" s="40" t="s">
        <v>11404</v>
      </c>
      <c r="G36320" s="40" t="s">
        <v>11404</v>
      </c>
      <c r="H36320" s="40" t="s">
        <v>11404</v>
      </c>
    </row>
    <row r="36321">
      <c r="A36321" s="39"/>
      <c r="E36321" s="40" t="s">
        <v>11404</v>
      </c>
      <c r="F36321" s="40" t="s">
        <v>11404</v>
      </c>
      <c r="G36321" s="40" t="s">
        <v>11404</v>
      </c>
      <c r="H36321" s="40" t="s">
        <v>11404</v>
      </c>
    </row>
    <row r="36322">
      <c r="A36322" s="39"/>
      <c r="E36322" s="40" t="s">
        <v>11404</v>
      </c>
      <c r="F36322" s="40" t="s">
        <v>11404</v>
      </c>
      <c r="G36322" s="40" t="s">
        <v>11404</v>
      </c>
      <c r="H36322" s="40" t="s">
        <v>11404</v>
      </c>
    </row>
    <row r="36323">
      <c r="A36323" s="39"/>
      <c r="E36323" s="40" t="s">
        <v>11404</v>
      </c>
      <c r="F36323" s="40" t="s">
        <v>11404</v>
      </c>
      <c r="G36323" s="40" t="s">
        <v>11404</v>
      </c>
      <c r="H36323" s="40" t="s">
        <v>11404</v>
      </c>
    </row>
    <row r="36324">
      <c r="A36324" s="39"/>
      <c r="E36324" s="40" t="s">
        <v>11404</v>
      </c>
      <c r="F36324" s="40" t="s">
        <v>11404</v>
      </c>
      <c r="G36324" s="40" t="s">
        <v>11404</v>
      </c>
      <c r="H36324" s="40" t="s">
        <v>11404</v>
      </c>
    </row>
    <row r="36325">
      <c r="A36325" s="39"/>
      <c r="E36325" s="40" t="s">
        <v>11404</v>
      </c>
      <c r="F36325" s="40" t="s">
        <v>11404</v>
      </c>
      <c r="G36325" s="40" t="s">
        <v>11404</v>
      </c>
      <c r="H36325" s="40" t="s">
        <v>11404</v>
      </c>
    </row>
    <row r="36326">
      <c r="A36326" s="39"/>
      <c r="E36326" s="40" t="s">
        <v>11404</v>
      </c>
      <c r="F36326" s="40" t="s">
        <v>11404</v>
      </c>
      <c r="G36326" s="40" t="s">
        <v>11404</v>
      </c>
      <c r="H36326" s="40" t="s">
        <v>11404</v>
      </c>
    </row>
    <row r="36327">
      <c r="A36327" s="39"/>
      <c r="E36327" s="40" t="s">
        <v>11404</v>
      </c>
      <c r="F36327" s="40" t="s">
        <v>11404</v>
      </c>
      <c r="G36327" s="40" t="s">
        <v>11404</v>
      </c>
      <c r="H36327" s="40" t="s">
        <v>11404</v>
      </c>
    </row>
    <row r="36328">
      <c r="A36328" s="39"/>
      <c r="E36328" s="40" t="s">
        <v>11404</v>
      </c>
      <c r="F36328" s="40" t="s">
        <v>11404</v>
      </c>
      <c r="G36328" s="40" t="s">
        <v>11404</v>
      </c>
      <c r="H36328" s="40" t="s">
        <v>11404</v>
      </c>
    </row>
    <row r="36329">
      <c r="A36329" s="39"/>
      <c r="E36329" s="40" t="s">
        <v>11404</v>
      </c>
      <c r="F36329" s="40" t="s">
        <v>11404</v>
      </c>
      <c r="G36329" s="40" t="s">
        <v>11404</v>
      </c>
      <c r="H36329" s="40" t="s">
        <v>11404</v>
      </c>
    </row>
    <row r="36330">
      <c r="A36330" s="39"/>
      <c r="E36330" s="40" t="s">
        <v>11404</v>
      </c>
      <c r="F36330" s="40" t="s">
        <v>11404</v>
      </c>
      <c r="G36330" s="40" t="s">
        <v>11404</v>
      </c>
      <c r="H36330" s="40" t="s">
        <v>11404</v>
      </c>
    </row>
    <row r="36331">
      <c r="A36331" s="39"/>
      <c r="E36331" s="40" t="s">
        <v>11404</v>
      </c>
      <c r="F36331" s="40" t="s">
        <v>11404</v>
      </c>
      <c r="G36331" s="40" t="s">
        <v>11404</v>
      </c>
      <c r="H36331" s="40" t="s">
        <v>11404</v>
      </c>
    </row>
    <row r="36332">
      <c r="A36332" s="39"/>
      <c r="E36332" s="40" t="s">
        <v>11404</v>
      </c>
      <c r="F36332" s="40" t="s">
        <v>11404</v>
      </c>
      <c r="G36332" s="40" t="s">
        <v>11404</v>
      </c>
      <c r="H36332" s="40" t="s">
        <v>11404</v>
      </c>
    </row>
    <row r="36333">
      <c r="A36333" s="39"/>
      <c r="E36333" s="40" t="s">
        <v>11404</v>
      </c>
      <c r="F36333" s="40" t="s">
        <v>11404</v>
      </c>
      <c r="G36333" s="40" t="s">
        <v>11404</v>
      </c>
      <c r="H36333" s="40" t="s">
        <v>11404</v>
      </c>
    </row>
    <row r="36334">
      <c r="A36334" s="39"/>
      <c r="E36334" s="40" t="s">
        <v>11404</v>
      </c>
      <c r="F36334" s="40" t="s">
        <v>11404</v>
      </c>
      <c r="G36334" s="40" t="s">
        <v>11404</v>
      </c>
      <c r="H36334" s="40" t="s">
        <v>11404</v>
      </c>
    </row>
    <row r="36335">
      <c r="A36335" s="39"/>
      <c r="E36335" s="40" t="s">
        <v>11404</v>
      </c>
      <c r="F36335" s="40" t="s">
        <v>11404</v>
      </c>
      <c r="G36335" s="40" t="s">
        <v>11404</v>
      </c>
      <c r="H36335" s="40" t="s">
        <v>11404</v>
      </c>
    </row>
    <row r="36336">
      <c r="A36336" s="39"/>
      <c r="E36336" s="40" t="s">
        <v>11404</v>
      </c>
      <c r="F36336" s="40" t="s">
        <v>11404</v>
      </c>
      <c r="G36336" s="40" t="s">
        <v>11404</v>
      </c>
      <c r="H36336" s="40" t="s">
        <v>11404</v>
      </c>
    </row>
    <row r="36337">
      <c r="A36337" s="39"/>
      <c r="E36337" s="40" t="s">
        <v>11404</v>
      </c>
      <c r="F36337" s="40" t="s">
        <v>11404</v>
      </c>
      <c r="G36337" s="40" t="s">
        <v>11404</v>
      </c>
      <c r="H36337" s="40" t="s">
        <v>11404</v>
      </c>
    </row>
    <row r="36338">
      <c r="A36338" s="39"/>
      <c r="E36338" s="40" t="s">
        <v>11404</v>
      </c>
      <c r="F36338" s="40" t="s">
        <v>11404</v>
      </c>
      <c r="G36338" s="40" t="s">
        <v>11404</v>
      </c>
      <c r="H36338" s="40" t="s">
        <v>11404</v>
      </c>
    </row>
    <row r="36339">
      <c r="A36339" s="39"/>
      <c r="E36339" s="40" t="s">
        <v>11404</v>
      </c>
      <c r="F36339" s="40" t="s">
        <v>11404</v>
      </c>
      <c r="G36339" s="40" t="s">
        <v>11404</v>
      </c>
      <c r="H36339" s="40" t="s">
        <v>11404</v>
      </c>
    </row>
    <row r="36340">
      <c r="A36340" s="39"/>
      <c r="E36340" s="40" t="s">
        <v>11404</v>
      </c>
      <c r="F36340" s="40" t="s">
        <v>11404</v>
      </c>
      <c r="G36340" s="40" t="s">
        <v>11404</v>
      </c>
      <c r="H36340" s="40" t="s">
        <v>11404</v>
      </c>
    </row>
    <row r="36341">
      <c r="A36341" s="39"/>
      <c r="E36341" s="40" t="s">
        <v>11404</v>
      </c>
      <c r="F36341" s="40" t="s">
        <v>11404</v>
      </c>
      <c r="G36341" s="40" t="s">
        <v>11404</v>
      </c>
      <c r="H36341" s="40" t="s">
        <v>11404</v>
      </c>
    </row>
    <row r="36342">
      <c r="A36342" s="39"/>
      <c r="E36342" s="40" t="s">
        <v>11404</v>
      </c>
      <c r="F36342" s="40" t="s">
        <v>11404</v>
      </c>
      <c r="G36342" s="40" t="s">
        <v>11404</v>
      </c>
      <c r="H36342" s="40" t="s">
        <v>11404</v>
      </c>
    </row>
    <row r="36343">
      <c r="A36343" s="39"/>
      <c r="E36343" s="40" t="s">
        <v>11404</v>
      </c>
      <c r="F36343" s="40" t="s">
        <v>11404</v>
      </c>
      <c r="G36343" s="40" t="s">
        <v>11404</v>
      </c>
      <c r="H36343" s="40" t="s">
        <v>11404</v>
      </c>
    </row>
    <row r="36344">
      <c r="A36344" s="39"/>
      <c r="E36344" s="40" t="s">
        <v>11404</v>
      </c>
      <c r="F36344" s="40" t="s">
        <v>11404</v>
      </c>
      <c r="G36344" s="40" t="s">
        <v>11404</v>
      </c>
      <c r="H36344" s="40" t="s">
        <v>11404</v>
      </c>
    </row>
    <row r="36345">
      <c r="A36345" s="39"/>
      <c r="E36345" s="40" t="s">
        <v>11404</v>
      </c>
      <c r="F36345" s="40" t="s">
        <v>11404</v>
      </c>
      <c r="G36345" s="40" t="s">
        <v>11404</v>
      </c>
      <c r="H36345" s="40" t="s">
        <v>11404</v>
      </c>
    </row>
    <row r="36346">
      <c r="A36346" s="39"/>
      <c r="E36346" s="40" t="s">
        <v>11404</v>
      </c>
      <c r="F36346" s="40" t="s">
        <v>11404</v>
      </c>
      <c r="G36346" s="40" t="s">
        <v>11404</v>
      </c>
      <c r="H36346" s="40" t="s">
        <v>11404</v>
      </c>
    </row>
    <row r="36347">
      <c r="A36347" s="39"/>
      <c r="E36347" s="40" t="s">
        <v>11404</v>
      </c>
      <c r="F36347" s="40" t="s">
        <v>11404</v>
      </c>
      <c r="G36347" s="40" t="s">
        <v>11404</v>
      </c>
      <c r="H36347" s="40" t="s">
        <v>11404</v>
      </c>
    </row>
    <row r="36348">
      <c r="A36348" s="39"/>
      <c r="E36348" s="40" t="s">
        <v>11404</v>
      </c>
      <c r="F36348" s="40" t="s">
        <v>11404</v>
      </c>
      <c r="G36348" s="40" t="s">
        <v>11404</v>
      </c>
      <c r="H36348" s="40" t="s">
        <v>11404</v>
      </c>
    </row>
    <row r="36349">
      <c r="A36349" s="39"/>
      <c r="E36349" s="40" t="s">
        <v>11404</v>
      </c>
      <c r="F36349" s="40" t="s">
        <v>11404</v>
      </c>
      <c r="G36349" s="40" t="s">
        <v>11404</v>
      </c>
      <c r="H36349" s="40" t="s">
        <v>11404</v>
      </c>
    </row>
    <row r="36350">
      <c r="A36350" s="39"/>
      <c r="E36350" s="40" t="s">
        <v>11404</v>
      </c>
      <c r="F36350" s="40" t="s">
        <v>11404</v>
      </c>
      <c r="G36350" s="40" t="s">
        <v>11404</v>
      </c>
      <c r="H36350" s="40" t="s">
        <v>11404</v>
      </c>
    </row>
    <row r="36351">
      <c r="A36351" s="39"/>
      <c r="E36351" s="40" t="s">
        <v>11404</v>
      </c>
      <c r="F36351" s="40" t="s">
        <v>11404</v>
      </c>
      <c r="G36351" s="40" t="s">
        <v>11404</v>
      </c>
      <c r="H36351" s="40" t="s">
        <v>11404</v>
      </c>
    </row>
    <row r="36352">
      <c r="A36352" s="39"/>
      <c r="E36352" s="40" t="s">
        <v>11404</v>
      </c>
      <c r="F36352" s="40" t="s">
        <v>11404</v>
      </c>
      <c r="G36352" s="40" t="s">
        <v>11404</v>
      </c>
      <c r="H36352" s="40" t="s">
        <v>11404</v>
      </c>
    </row>
    <row r="36353">
      <c r="A36353" s="39"/>
      <c r="E36353" s="40" t="s">
        <v>11404</v>
      </c>
      <c r="F36353" s="40" t="s">
        <v>11404</v>
      </c>
      <c r="G36353" s="40" t="s">
        <v>11404</v>
      </c>
      <c r="H36353" s="40" t="s">
        <v>11404</v>
      </c>
    </row>
    <row r="36354">
      <c r="A36354" s="39"/>
      <c r="E36354" s="40" t="s">
        <v>11404</v>
      </c>
      <c r="F36354" s="40" t="s">
        <v>11404</v>
      </c>
      <c r="G36354" s="40" t="s">
        <v>11404</v>
      </c>
      <c r="H36354" s="40" t="s">
        <v>11404</v>
      </c>
    </row>
    <row r="36355">
      <c r="A36355" s="39"/>
      <c r="E36355" s="40" t="s">
        <v>11404</v>
      </c>
      <c r="F36355" s="40" t="s">
        <v>11404</v>
      </c>
      <c r="G36355" s="40" t="s">
        <v>11404</v>
      </c>
      <c r="H36355" s="40" t="s">
        <v>11404</v>
      </c>
    </row>
    <row r="36356">
      <c r="A36356" s="39"/>
      <c r="E36356" s="40" t="s">
        <v>11404</v>
      </c>
      <c r="F36356" s="40" t="s">
        <v>11404</v>
      </c>
      <c r="G36356" s="40" t="s">
        <v>11404</v>
      </c>
      <c r="H36356" s="40" t="s">
        <v>11404</v>
      </c>
    </row>
    <row r="36357">
      <c r="A36357" s="39"/>
      <c r="E36357" s="40" t="s">
        <v>11404</v>
      </c>
      <c r="F36357" s="40" t="s">
        <v>11404</v>
      </c>
      <c r="G36357" s="40" t="s">
        <v>11404</v>
      </c>
      <c r="H36357" s="40" t="s">
        <v>11404</v>
      </c>
    </row>
    <row r="36358">
      <c r="A36358" s="39"/>
      <c r="E36358" s="40" t="s">
        <v>11404</v>
      </c>
      <c r="F36358" s="40" t="s">
        <v>11404</v>
      </c>
      <c r="G36358" s="40" t="s">
        <v>11404</v>
      </c>
      <c r="H36358" s="40" t="s">
        <v>11404</v>
      </c>
    </row>
    <row r="36359">
      <c r="A36359" s="39"/>
      <c r="E36359" s="40" t="s">
        <v>11404</v>
      </c>
      <c r="F36359" s="40" t="s">
        <v>11404</v>
      </c>
      <c r="G36359" s="40" t="s">
        <v>11404</v>
      </c>
      <c r="H36359" s="40" t="s">
        <v>11404</v>
      </c>
    </row>
    <row r="36360">
      <c r="A36360" s="39"/>
      <c r="E36360" s="40" t="s">
        <v>11404</v>
      </c>
      <c r="F36360" s="40" t="s">
        <v>11404</v>
      </c>
      <c r="G36360" s="40" t="s">
        <v>11404</v>
      </c>
      <c r="H36360" s="40" t="s">
        <v>11404</v>
      </c>
    </row>
    <row r="36361">
      <c r="A36361" s="39"/>
      <c r="E36361" s="40" t="s">
        <v>11404</v>
      </c>
      <c r="F36361" s="40" t="s">
        <v>11404</v>
      </c>
      <c r="G36361" s="40" t="s">
        <v>11404</v>
      </c>
      <c r="H36361" s="40" t="s">
        <v>11404</v>
      </c>
    </row>
    <row r="36362">
      <c r="A36362" s="39"/>
      <c r="E36362" s="40" t="s">
        <v>11404</v>
      </c>
      <c r="F36362" s="40" t="s">
        <v>11404</v>
      </c>
      <c r="G36362" s="40" t="s">
        <v>11404</v>
      </c>
      <c r="H36362" s="40" t="s">
        <v>11404</v>
      </c>
    </row>
    <row r="36363">
      <c r="A36363" s="39"/>
      <c r="E36363" s="40" t="s">
        <v>11404</v>
      </c>
      <c r="F36363" s="40" t="s">
        <v>11404</v>
      </c>
      <c r="G36363" s="40" t="s">
        <v>11404</v>
      </c>
      <c r="H36363" s="40" t="s">
        <v>11404</v>
      </c>
    </row>
    <row r="36364">
      <c r="A36364" s="39"/>
      <c r="E36364" s="40" t="s">
        <v>11404</v>
      </c>
      <c r="F36364" s="40" t="s">
        <v>11404</v>
      </c>
      <c r="G36364" s="40" t="s">
        <v>11404</v>
      </c>
      <c r="H36364" s="40" t="s">
        <v>11404</v>
      </c>
    </row>
    <row r="36365">
      <c r="A36365" s="39"/>
      <c r="E36365" s="40" t="s">
        <v>11404</v>
      </c>
      <c r="F36365" s="40" t="s">
        <v>11404</v>
      </c>
      <c r="G36365" s="40" t="s">
        <v>11404</v>
      </c>
      <c r="H36365" s="40" t="s">
        <v>11404</v>
      </c>
    </row>
    <row r="36366">
      <c r="A36366" s="39"/>
      <c r="E36366" s="40" t="s">
        <v>11404</v>
      </c>
      <c r="F36366" s="40" t="s">
        <v>11404</v>
      </c>
      <c r="G36366" s="40" t="s">
        <v>11404</v>
      </c>
      <c r="H36366" s="40" t="s">
        <v>11404</v>
      </c>
    </row>
    <row r="36367">
      <c r="A36367" s="39"/>
      <c r="E36367" s="40" t="s">
        <v>11404</v>
      </c>
      <c r="F36367" s="40" t="s">
        <v>11404</v>
      </c>
      <c r="G36367" s="40" t="s">
        <v>11404</v>
      </c>
      <c r="H36367" s="40" t="s">
        <v>11404</v>
      </c>
    </row>
    <row r="36368">
      <c r="A36368" s="39"/>
      <c r="E36368" s="40" t="s">
        <v>11404</v>
      </c>
      <c r="F36368" s="40" t="s">
        <v>11404</v>
      </c>
      <c r="G36368" s="40" t="s">
        <v>11404</v>
      </c>
      <c r="H36368" s="40" t="s">
        <v>11404</v>
      </c>
    </row>
    <row r="36369">
      <c r="A36369" s="39"/>
      <c r="E36369" s="40" t="s">
        <v>11404</v>
      </c>
      <c r="F36369" s="40" t="s">
        <v>11404</v>
      </c>
      <c r="G36369" s="40" t="s">
        <v>11404</v>
      </c>
      <c r="H36369" s="40" t="s">
        <v>11404</v>
      </c>
    </row>
    <row r="36370">
      <c r="A36370" s="39"/>
      <c r="E36370" s="40" t="s">
        <v>11404</v>
      </c>
      <c r="F36370" s="40" t="s">
        <v>11404</v>
      </c>
      <c r="G36370" s="40" t="s">
        <v>11404</v>
      </c>
      <c r="H36370" s="40" t="s">
        <v>11404</v>
      </c>
    </row>
    <row r="36371">
      <c r="A36371" s="39"/>
      <c r="E36371" s="40" t="s">
        <v>11404</v>
      </c>
      <c r="F36371" s="40" t="s">
        <v>11404</v>
      </c>
      <c r="G36371" s="40" t="s">
        <v>11404</v>
      </c>
      <c r="H36371" s="40" t="s">
        <v>11404</v>
      </c>
    </row>
    <row r="36372">
      <c r="A36372" s="39"/>
      <c r="E36372" s="40" t="s">
        <v>11404</v>
      </c>
      <c r="F36372" s="40" t="s">
        <v>11404</v>
      </c>
      <c r="G36372" s="40" t="s">
        <v>11404</v>
      </c>
      <c r="H36372" s="40" t="s">
        <v>11404</v>
      </c>
    </row>
    <row r="36373">
      <c r="A36373" s="39"/>
      <c r="E36373" s="40" t="s">
        <v>11404</v>
      </c>
      <c r="F36373" s="40" t="s">
        <v>11404</v>
      </c>
      <c r="G36373" s="40" t="s">
        <v>11404</v>
      </c>
      <c r="H36373" s="40" t="s">
        <v>11404</v>
      </c>
    </row>
    <row r="36374">
      <c r="A36374" s="39"/>
      <c r="E36374" s="40" t="s">
        <v>11404</v>
      </c>
      <c r="F36374" s="40" t="s">
        <v>11404</v>
      </c>
      <c r="G36374" s="40" t="s">
        <v>11404</v>
      </c>
      <c r="H36374" s="40" t="s">
        <v>11404</v>
      </c>
    </row>
    <row r="36375">
      <c r="A36375" s="39"/>
      <c r="E36375" s="40" t="s">
        <v>11404</v>
      </c>
      <c r="F36375" s="40" t="s">
        <v>11404</v>
      </c>
      <c r="G36375" s="40" t="s">
        <v>11404</v>
      </c>
      <c r="H36375" s="40" t="s">
        <v>11404</v>
      </c>
    </row>
    <row r="36376">
      <c r="A36376" s="39"/>
      <c r="E36376" s="40" t="s">
        <v>11404</v>
      </c>
      <c r="F36376" s="40" t="s">
        <v>11404</v>
      </c>
      <c r="G36376" s="40" t="s">
        <v>11404</v>
      </c>
      <c r="H36376" s="40" t="s">
        <v>11404</v>
      </c>
    </row>
    <row r="36377">
      <c r="A36377" s="39"/>
      <c r="E36377" s="40" t="s">
        <v>11404</v>
      </c>
      <c r="F36377" s="40" t="s">
        <v>11404</v>
      </c>
      <c r="G36377" s="40" t="s">
        <v>11404</v>
      </c>
      <c r="H36377" s="40" t="s">
        <v>11404</v>
      </c>
    </row>
    <row r="36378">
      <c r="A36378" s="39"/>
      <c r="E36378" s="40" t="s">
        <v>11404</v>
      </c>
      <c r="F36378" s="40" t="s">
        <v>11404</v>
      </c>
      <c r="G36378" s="40" t="s">
        <v>11404</v>
      </c>
      <c r="H36378" s="40" t="s">
        <v>11404</v>
      </c>
    </row>
    <row r="36379">
      <c r="A36379" s="39"/>
      <c r="E36379" s="40" t="s">
        <v>11404</v>
      </c>
      <c r="F36379" s="40" t="s">
        <v>11404</v>
      </c>
      <c r="G36379" s="40" t="s">
        <v>11404</v>
      </c>
      <c r="H36379" s="40" t="s">
        <v>11404</v>
      </c>
    </row>
    <row r="36380">
      <c r="A36380" s="39"/>
      <c r="E36380" s="40" t="s">
        <v>11404</v>
      </c>
      <c r="F36380" s="40" t="s">
        <v>11404</v>
      </c>
      <c r="G36380" s="40" t="s">
        <v>11404</v>
      </c>
      <c r="H36380" s="40" t="s">
        <v>11404</v>
      </c>
    </row>
    <row r="36381">
      <c r="A36381" s="39"/>
      <c r="E36381" s="40" t="s">
        <v>11404</v>
      </c>
      <c r="F36381" s="40" t="s">
        <v>11404</v>
      </c>
      <c r="G36381" s="40" t="s">
        <v>11404</v>
      </c>
      <c r="H36381" s="40" t="s">
        <v>11404</v>
      </c>
    </row>
    <row r="36382">
      <c r="A36382" s="39"/>
      <c r="E36382" s="40" t="s">
        <v>11404</v>
      </c>
      <c r="F36382" s="40" t="s">
        <v>11404</v>
      </c>
      <c r="G36382" s="40" t="s">
        <v>11404</v>
      </c>
      <c r="H36382" s="40" t="s">
        <v>11404</v>
      </c>
    </row>
    <row r="36383">
      <c r="A36383" s="39"/>
      <c r="E36383" s="40" t="s">
        <v>11404</v>
      </c>
      <c r="F36383" s="40" t="s">
        <v>11404</v>
      </c>
      <c r="G36383" s="40" t="s">
        <v>11404</v>
      </c>
      <c r="H36383" s="40" t="s">
        <v>11404</v>
      </c>
    </row>
    <row r="36384">
      <c r="A36384" s="39"/>
      <c r="E36384" s="40" t="s">
        <v>11404</v>
      </c>
      <c r="F36384" s="40" t="s">
        <v>11404</v>
      </c>
      <c r="G36384" s="40" t="s">
        <v>11404</v>
      </c>
      <c r="H36384" s="40" t="s">
        <v>11404</v>
      </c>
    </row>
    <row r="36385">
      <c r="A36385" s="39"/>
      <c r="E36385" s="40" t="s">
        <v>11404</v>
      </c>
      <c r="F36385" s="40" t="s">
        <v>11404</v>
      </c>
      <c r="G36385" s="40" t="s">
        <v>11404</v>
      </c>
      <c r="H36385" s="40" t="s">
        <v>11404</v>
      </c>
    </row>
    <row r="36386">
      <c r="A36386" s="39"/>
      <c r="E36386" s="40" t="s">
        <v>11404</v>
      </c>
      <c r="F36386" s="40" t="s">
        <v>11404</v>
      </c>
      <c r="G36386" s="40" t="s">
        <v>11404</v>
      </c>
      <c r="H36386" s="40" t="s">
        <v>11404</v>
      </c>
    </row>
    <row r="36387">
      <c r="A36387" s="39"/>
      <c r="E36387" s="40" t="s">
        <v>11404</v>
      </c>
      <c r="F36387" s="40" t="s">
        <v>11404</v>
      </c>
      <c r="G36387" s="40" t="s">
        <v>11404</v>
      </c>
      <c r="H36387" s="40" t="s">
        <v>11404</v>
      </c>
    </row>
    <row r="36388">
      <c r="A36388" s="39"/>
      <c r="E36388" s="40" t="s">
        <v>11404</v>
      </c>
      <c r="F36388" s="40" t="s">
        <v>11404</v>
      </c>
      <c r="G36388" s="40" t="s">
        <v>11404</v>
      </c>
      <c r="H36388" s="40" t="s">
        <v>11404</v>
      </c>
    </row>
    <row r="36389">
      <c r="A36389" s="39"/>
      <c r="E36389" s="40" t="s">
        <v>11404</v>
      </c>
      <c r="F36389" s="40" t="s">
        <v>11404</v>
      </c>
      <c r="G36389" s="40" t="s">
        <v>11404</v>
      </c>
      <c r="H36389" s="40" t="s">
        <v>11404</v>
      </c>
    </row>
    <row r="36390">
      <c r="A36390" s="39"/>
      <c r="E36390" s="40" t="s">
        <v>11404</v>
      </c>
      <c r="F36390" s="40" t="s">
        <v>11404</v>
      </c>
      <c r="G36390" s="40" t="s">
        <v>11404</v>
      </c>
      <c r="H36390" s="40" t="s">
        <v>11404</v>
      </c>
    </row>
    <row r="36391">
      <c r="A36391" s="39"/>
      <c r="E36391" s="40" t="s">
        <v>11404</v>
      </c>
      <c r="F36391" s="40" t="s">
        <v>11404</v>
      </c>
      <c r="G36391" s="40" t="s">
        <v>11404</v>
      </c>
      <c r="H36391" s="40" t="s">
        <v>11404</v>
      </c>
    </row>
    <row r="36392">
      <c r="A36392" s="39"/>
      <c r="E36392" s="40" t="s">
        <v>11404</v>
      </c>
      <c r="F36392" s="40" t="s">
        <v>11404</v>
      </c>
      <c r="G36392" s="40" t="s">
        <v>11404</v>
      </c>
      <c r="H36392" s="40" t="s">
        <v>11404</v>
      </c>
    </row>
    <row r="36393">
      <c r="A36393" s="39"/>
      <c r="E36393" s="40" t="s">
        <v>11404</v>
      </c>
      <c r="F36393" s="40" t="s">
        <v>11404</v>
      </c>
      <c r="G36393" s="40" t="s">
        <v>11404</v>
      </c>
      <c r="H36393" s="40" t="s">
        <v>11404</v>
      </c>
    </row>
    <row r="36394">
      <c r="A36394" s="39"/>
      <c r="E36394" s="40" t="s">
        <v>11404</v>
      </c>
      <c r="F36394" s="40" t="s">
        <v>11404</v>
      </c>
      <c r="G36394" s="40" t="s">
        <v>11404</v>
      </c>
      <c r="H36394" s="40" t="s">
        <v>11404</v>
      </c>
    </row>
    <row r="36395">
      <c r="A36395" s="39"/>
      <c r="E36395" s="40" t="s">
        <v>11404</v>
      </c>
      <c r="F36395" s="40" t="s">
        <v>11404</v>
      </c>
      <c r="G36395" s="40" t="s">
        <v>11404</v>
      </c>
      <c r="H36395" s="40" t="s">
        <v>11404</v>
      </c>
    </row>
    <row r="36396">
      <c r="A36396" s="39"/>
      <c r="E36396" s="40" t="s">
        <v>11404</v>
      </c>
      <c r="F36396" s="40" t="s">
        <v>11404</v>
      </c>
      <c r="G36396" s="40" t="s">
        <v>11404</v>
      </c>
      <c r="H36396" s="40" t="s">
        <v>11404</v>
      </c>
    </row>
    <row r="36397">
      <c r="A36397" s="39"/>
      <c r="E36397" s="40" t="s">
        <v>11404</v>
      </c>
      <c r="F36397" s="40" t="s">
        <v>11404</v>
      </c>
      <c r="G36397" s="40" t="s">
        <v>11404</v>
      </c>
      <c r="H36397" s="40" t="s">
        <v>11404</v>
      </c>
    </row>
    <row r="36398">
      <c r="A36398" s="39"/>
      <c r="E36398" s="40" t="s">
        <v>11404</v>
      </c>
      <c r="F36398" s="40" t="s">
        <v>11404</v>
      </c>
      <c r="G36398" s="40" t="s">
        <v>11404</v>
      </c>
      <c r="H36398" s="40" t="s">
        <v>11404</v>
      </c>
    </row>
    <row r="36399">
      <c r="A36399" s="39"/>
      <c r="E36399" s="40" t="s">
        <v>11404</v>
      </c>
      <c r="F36399" s="40" t="s">
        <v>11404</v>
      </c>
      <c r="G36399" s="40" t="s">
        <v>11404</v>
      </c>
      <c r="H36399" s="40" t="s">
        <v>11404</v>
      </c>
    </row>
    <row r="36400">
      <c r="A36400" s="39"/>
      <c r="E36400" s="40" t="s">
        <v>11404</v>
      </c>
      <c r="F36400" s="40" t="s">
        <v>11404</v>
      </c>
      <c r="G36400" s="40" t="s">
        <v>11404</v>
      </c>
      <c r="H36400" s="40" t="s">
        <v>11404</v>
      </c>
    </row>
    <row r="36401">
      <c r="A36401" s="39"/>
      <c r="E36401" s="40" t="s">
        <v>11404</v>
      </c>
      <c r="F36401" s="40" t="s">
        <v>11404</v>
      </c>
      <c r="G36401" s="40" t="s">
        <v>11404</v>
      </c>
      <c r="H36401" s="40" t="s">
        <v>11404</v>
      </c>
    </row>
    <row r="36402">
      <c r="A36402" s="39"/>
      <c r="E36402" s="40" t="s">
        <v>11404</v>
      </c>
      <c r="F36402" s="40" t="s">
        <v>11404</v>
      </c>
      <c r="G36402" s="40" t="s">
        <v>11404</v>
      </c>
      <c r="H36402" s="40" t="s">
        <v>11404</v>
      </c>
    </row>
    <row r="36403">
      <c r="A36403" s="39"/>
      <c r="E36403" s="40" t="s">
        <v>11404</v>
      </c>
      <c r="F36403" s="40" t="s">
        <v>11404</v>
      </c>
      <c r="G36403" s="40" t="s">
        <v>11404</v>
      </c>
      <c r="H36403" s="40" t="s">
        <v>11404</v>
      </c>
    </row>
    <row r="36404">
      <c r="A36404" s="39"/>
      <c r="E36404" s="40" t="s">
        <v>11404</v>
      </c>
      <c r="F36404" s="40" t="s">
        <v>11404</v>
      </c>
      <c r="G36404" s="40" t="s">
        <v>11404</v>
      </c>
      <c r="H36404" s="40" t="s">
        <v>11404</v>
      </c>
    </row>
    <row r="36405">
      <c r="A36405" s="39"/>
      <c r="E36405" s="40" t="s">
        <v>11404</v>
      </c>
      <c r="F36405" s="40" t="s">
        <v>11404</v>
      </c>
      <c r="G36405" s="40" t="s">
        <v>11404</v>
      </c>
      <c r="H36405" s="40" t="s">
        <v>11404</v>
      </c>
    </row>
    <row r="36406">
      <c r="A36406" s="39"/>
      <c r="E36406" s="40" t="s">
        <v>11404</v>
      </c>
      <c r="F36406" s="40" t="s">
        <v>11404</v>
      </c>
      <c r="G36406" s="40" t="s">
        <v>11404</v>
      </c>
      <c r="H36406" s="40" t="s">
        <v>11404</v>
      </c>
    </row>
    <row r="36407">
      <c r="A36407" s="39"/>
      <c r="E36407" s="40" t="s">
        <v>11404</v>
      </c>
      <c r="F36407" s="40" t="s">
        <v>11404</v>
      </c>
      <c r="G36407" s="40" t="s">
        <v>11404</v>
      </c>
      <c r="H36407" s="40" t="s">
        <v>11404</v>
      </c>
    </row>
    <row r="36408">
      <c r="A36408" s="39"/>
      <c r="E36408" s="40" t="s">
        <v>11404</v>
      </c>
      <c r="F36408" s="40" t="s">
        <v>11404</v>
      </c>
      <c r="G36408" s="40" t="s">
        <v>11404</v>
      </c>
      <c r="H36408" s="40" t="s">
        <v>11404</v>
      </c>
    </row>
    <row r="36409">
      <c r="A36409" s="39"/>
      <c r="E36409" s="40" t="s">
        <v>11404</v>
      </c>
      <c r="F36409" s="40" t="s">
        <v>11404</v>
      </c>
      <c r="G36409" s="40" t="s">
        <v>11404</v>
      </c>
      <c r="H36409" s="40" t="s">
        <v>11404</v>
      </c>
    </row>
    <row r="36410">
      <c r="A36410" s="39"/>
      <c r="E36410" s="40" t="s">
        <v>11404</v>
      </c>
      <c r="F36410" s="40" t="s">
        <v>11404</v>
      </c>
      <c r="G36410" s="40" t="s">
        <v>11404</v>
      </c>
      <c r="H36410" s="40" t="s">
        <v>11404</v>
      </c>
    </row>
    <row r="36411">
      <c r="A36411" s="39"/>
      <c r="E36411" s="40" t="s">
        <v>11404</v>
      </c>
      <c r="F36411" s="40" t="s">
        <v>11404</v>
      </c>
      <c r="G36411" s="40" t="s">
        <v>11404</v>
      </c>
      <c r="H36411" s="40" t="s">
        <v>11404</v>
      </c>
    </row>
    <row r="36412">
      <c r="A36412" s="39"/>
      <c r="E36412" s="40" t="s">
        <v>11404</v>
      </c>
      <c r="F36412" s="40" t="s">
        <v>11404</v>
      </c>
      <c r="G36412" s="40" t="s">
        <v>11404</v>
      </c>
      <c r="H36412" s="40" t="s">
        <v>11404</v>
      </c>
    </row>
    <row r="36413">
      <c r="A36413" s="39"/>
      <c r="E36413" s="40" t="s">
        <v>11404</v>
      </c>
      <c r="F36413" s="40" t="s">
        <v>11404</v>
      </c>
      <c r="G36413" s="40" t="s">
        <v>11404</v>
      </c>
      <c r="H36413" s="40" t="s">
        <v>11404</v>
      </c>
    </row>
    <row r="36414">
      <c r="A36414" s="39"/>
      <c r="E36414" s="40" t="s">
        <v>11404</v>
      </c>
      <c r="F36414" s="40" t="s">
        <v>11404</v>
      </c>
      <c r="G36414" s="40" t="s">
        <v>11404</v>
      </c>
      <c r="H36414" s="40" t="s">
        <v>11404</v>
      </c>
    </row>
    <row r="36415">
      <c r="A36415" s="39"/>
      <c r="E36415" s="40" t="s">
        <v>11404</v>
      </c>
      <c r="F36415" s="40" t="s">
        <v>11404</v>
      </c>
      <c r="G36415" s="40" t="s">
        <v>11404</v>
      </c>
      <c r="H36415" s="40" t="s">
        <v>11404</v>
      </c>
    </row>
    <row r="36416">
      <c r="A36416" s="39"/>
      <c r="E36416" s="40" t="s">
        <v>11404</v>
      </c>
      <c r="F36416" s="40" t="s">
        <v>11404</v>
      </c>
      <c r="G36416" s="40" t="s">
        <v>11404</v>
      </c>
      <c r="H36416" s="40" t="s">
        <v>11404</v>
      </c>
    </row>
    <row r="36417">
      <c r="A36417" s="39"/>
      <c r="E36417" s="40" t="s">
        <v>11404</v>
      </c>
      <c r="F36417" s="40" t="s">
        <v>11404</v>
      </c>
      <c r="G36417" s="40" t="s">
        <v>11404</v>
      </c>
      <c r="H36417" s="40" t="s">
        <v>11404</v>
      </c>
    </row>
    <row r="36418">
      <c r="A36418" s="39"/>
      <c r="E36418" s="40" t="s">
        <v>11404</v>
      </c>
      <c r="F36418" s="40" t="s">
        <v>11404</v>
      </c>
      <c r="G36418" s="40" t="s">
        <v>11404</v>
      </c>
      <c r="H36418" s="40" t="s">
        <v>11404</v>
      </c>
    </row>
    <row r="36419">
      <c r="A36419" s="39"/>
      <c r="E36419" s="40" t="s">
        <v>11404</v>
      </c>
      <c r="F36419" s="40" t="s">
        <v>11404</v>
      </c>
      <c r="G36419" s="40" t="s">
        <v>11404</v>
      </c>
      <c r="H36419" s="40" t="s">
        <v>11404</v>
      </c>
    </row>
    <row r="36420">
      <c r="A36420" s="39"/>
      <c r="E36420" s="40" t="s">
        <v>11404</v>
      </c>
      <c r="F36420" s="40" t="s">
        <v>11404</v>
      </c>
      <c r="G36420" s="40" t="s">
        <v>11404</v>
      </c>
      <c r="H36420" s="40" t="s">
        <v>11404</v>
      </c>
    </row>
    <row r="36421">
      <c r="A36421" s="39"/>
      <c r="E36421" s="40" t="s">
        <v>11404</v>
      </c>
      <c r="F36421" s="40" t="s">
        <v>11404</v>
      </c>
      <c r="G36421" s="40" t="s">
        <v>11404</v>
      </c>
      <c r="H36421" s="40" t="s">
        <v>11404</v>
      </c>
    </row>
    <row r="36422">
      <c r="A36422" s="39"/>
      <c r="E36422" s="40" t="s">
        <v>11404</v>
      </c>
      <c r="F36422" s="40" t="s">
        <v>11404</v>
      </c>
      <c r="G36422" s="40" t="s">
        <v>11404</v>
      </c>
      <c r="H36422" s="40" t="s">
        <v>11404</v>
      </c>
    </row>
    <row r="36423">
      <c r="A36423" s="39"/>
      <c r="E36423" s="40" t="s">
        <v>11404</v>
      </c>
      <c r="F36423" s="40" t="s">
        <v>11404</v>
      </c>
      <c r="G36423" s="40" t="s">
        <v>11404</v>
      </c>
      <c r="H36423" s="40" t="s">
        <v>11404</v>
      </c>
    </row>
    <row r="36424">
      <c r="A36424" s="39"/>
      <c r="E36424" s="40" t="s">
        <v>11404</v>
      </c>
      <c r="F36424" s="40" t="s">
        <v>11404</v>
      </c>
      <c r="G36424" s="40" t="s">
        <v>11404</v>
      </c>
      <c r="H36424" s="40" t="s">
        <v>11404</v>
      </c>
    </row>
    <row r="36425">
      <c r="A36425" s="39"/>
      <c r="E36425" s="40" t="s">
        <v>11404</v>
      </c>
      <c r="F36425" s="40" t="s">
        <v>11404</v>
      </c>
      <c r="G36425" s="40" t="s">
        <v>11404</v>
      </c>
      <c r="H36425" s="40" t="s">
        <v>11404</v>
      </c>
    </row>
    <row r="36426">
      <c r="A36426" s="39"/>
      <c r="E36426" s="40" t="s">
        <v>11404</v>
      </c>
      <c r="F36426" s="40" t="s">
        <v>11404</v>
      </c>
      <c r="G36426" s="40" t="s">
        <v>11404</v>
      </c>
      <c r="H36426" s="40" t="s">
        <v>11404</v>
      </c>
    </row>
    <row r="36427">
      <c r="A36427" s="39"/>
      <c r="E36427" s="40" t="s">
        <v>11404</v>
      </c>
      <c r="F36427" s="40" t="s">
        <v>11404</v>
      </c>
      <c r="G36427" s="40" t="s">
        <v>11404</v>
      </c>
      <c r="H36427" s="40" t="s">
        <v>11404</v>
      </c>
    </row>
    <row r="36428">
      <c r="A36428" s="39"/>
      <c r="E36428" s="40" t="s">
        <v>11404</v>
      </c>
      <c r="F36428" s="40" t="s">
        <v>11404</v>
      </c>
      <c r="G36428" s="40" t="s">
        <v>11404</v>
      </c>
      <c r="H36428" s="40" t="s">
        <v>11404</v>
      </c>
    </row>
    <row r="36429">
      <c r="A36429" s="39"/>
      <c r="E36429" s="40" t="s">
        <v>11404</v>
      </c>
      <c r="F36429" s="40" t="s">
        <v>11404</v>
      </c>
      <c r="G36429" s="40" t="s">
        <v>11404</v>
      </c>
      <c r="H36429" s="40" t="s">
        <v>11404</v>
      </c>
    </row>
    <row r="36430">
      <c r="A36430" s="39"/>
      <c r="E36430" s="40" t="s">
        <v>11404</v>
      </c>
      <c r="F36430" s="40" t="s">
        <v>11404</v>
      </c>
      <c r="G36430" s="40" t="s">
        <v>11404</v>
      </c>
      <c r="H36430" s="40" t="s">
        <v>11404</v>
      </c>
    </row>
    <row r="36431">
      <c r="A36431" s="39"/>
      <c r="E36431" s="40" t="s">
        <v>11404</v>
      </c>
      <c r="F36431" s="40" t="s">
        <v>11404</v>
      </c>
      <c r="G36431" s="40" t="s">
        <v>11404</v>
      </c>
      <c r="H36431" s="40" t="s">
        <v>11404</v>
      </c>
    </row>
    <row r="36432">
      <c r="A36432" s="39"/>
      <c r="E36432" s="40" t="s">
        <v>11404</v>
      </c>
      <c r="F36432" s="40" t="s">
        <v>11404</v>
      </c>
      <c r="G36432" s="40" t="s">
        <v>11404</v>
      </c>
      <c r="H36432" s="40" t="s">
        <v>11404</v>
      </c>
    </row>
    <row r="36433">
      <c r="A36433" s="39"/>
      <c r="E36433" s="40" t="s">
        <v>11404</v>
      </c>
      <c r="F36433" s="40" t="s">
        <v>11404</v>
      </c>
      <c r="G36433" s="40" t="s">
        <v>11404</v>
      </c>
      <c r="H36433" s="40" t="s">
        <v>11404</v>
      </c>
    </row>
    <row r="36434">
      <c r="A36434" s="39"/>
      <c r="E36434" s="40" t="s">
        <v>11404</v>
      </c>
      <c r="F36434" s="40" t="s">
        <v>11404</v>
      </c>
      <c r="G36434" s="40" t="s">
        <v>11404</v>
      </c>
      <c r="H36434" s="40" t="s">
        <v>11404</v>
      </c>
    </row>
    <row r="36435">
      <c r="A36435" s="39"/>
      <c r="E36435" s="40" t="s">
        <v>11404</v>
      </c>
      <c r="F36435" s="40" t="s">
        <v>11404</v>
      </c>
      <c r="G36435" s="40" t="s">
        <v>11404</v>
      </c>
      <c r="H36435" s="40" t="s">
        <v>11404</v>
      </c>
    </row>
    <row r="36436">
      <c r="A36436" s="39"/>
      <c r="E36436" s="40" t="s">
        <v>11404</v>
      </c>
      <c r="F36436" s="40" t="s">
        <v>11404</v>
      </c>
      <c r="G36436" s="40" t="s">
        <v>11404</v>
      </c>
      <c r="H36436" s="40" t="s">
        <v>11404</v>
      </c>
    </row>
    <row r="36437">
      <c r="A36437" s="39"/>
      <c r="E36437" s="40" t="s">
        <v>11404</v>
      </c>
      <c r="F36437" s="40" t="s">
        <v>11404</v>
      </c>
      <c r="G36437" s="40" t="s">
        <v>11404</v>
      </c>
      <c r="H36437" s="40" t="s">
        <v>11404</v>
      </c>
    </row>
    <row r="36438">
      <c r="A36438" s="39"/>
      <c r="E36438" s="40" t="s">
        <v>11404</v>
      </c>
      <c r="F36438" s="40" t="s">
        <v>11404</v>
      </c>
      <c r="G36438" s="40" t="s">
        <v>11404</v>
      </c>
      <c r="H36438" s="40" t="s">
        <v>11404</v>
      </c>
    </row>
    <row r="36439">
      <c r="A36439" s="39"/>
      <c r="E36439" s="40" t="s">
        <v>11404</v>
      </c>
      <c r="F36439" s="40" t="s">
        <v>11404</v>
      </c>
      <c r="G36439" s="40" t="s">
        <v>11404</v>
      </c>
      <c r="H36439" s="40" t="s">
        <v>11404</v>
      </c>
    </row>
    <row r="36440">
      <c r="A36440" s="39"/>
      <c r="E36440" s="40" t="s">
        <v>11404</v>
      </c>
      <c r="F36440" s="40" t="s">
        <v>11404</v>
      </c>
      <c r="G36440" s="40" t="s">
        <v>11404</v>
      </c>
      <c r="H36440" s="40" t="s">
        <v>11404</v>
      </c>
    </row>
    <row r="36441">
      <c r="A36441" s="39"/>
      <c r="E36441" s="40" t="s">
        <v>11404</v>
      </c>
      <c r="F36441" s="40" t="s">
        <v>11404</v>
      </c>
      <c r="G36441" s="40" t="s">
        <v>11404</v>
      </c>
      <c r="H36441" s="40" t="s">
        <v>11404</v>
      </c>
    </row>
    <row r="36442">
      <c r="A36442" s="39"/>
      <c r="E36442" s="40" t="s">
        <v>11404</v>
      </c>
      <c r="F36442" s="40" t="s">
        <v>11404</v>
      </c>
      <c r="G36442" s="40" t="s">
        <v>11404</v>
      </c>
      <c r="H36442" s="40" t="s">
        <v>11404</v>
      </c>
    </row>
    <row r="36443">
      <c r="A36443" s="39"/>
      <c r="E36443" s="40" t="s">
        <v>11404</v>
      </c>
      <c r="F36443" s="40" t="s">
        <v>11404</v>
      </c>
      <c r="G36443" s="40" t="s">
        <v>11404</v>
      </c>
      <c r="H36443" s="40" t="s">
        <v>11404</v>
      </c>
    </row>
    <row r="36444">
      <c r="A36444" s="39"/>
      <c r="E36444" s="40" t="s">
        <v>11404</v>
      </c>
      <c r="F36444" s="40" t="s">
        <v>11404</v>
      </c>
      <c r="G36444" s="40" t="s">
        <v>11404</v>
      </c>
      <c r="H36444" s="40" t="s">
        <v>11404</v>
      </c>
    </row>
    <row r="36445">
      <c r="A36445" s="39"/>
      <c r="E36445" s="40" t="s">
        <v>11404</v>
      </c>
      <c r="F36445" s="40" t="s">
        <v>11404</v>
      </c>
      <c r="G36445" s="40" t="s">
        <v>11404</v>
      </c>
      <c r="H36445" s="40" t="s">
        <v>11404</v>
      </c>
    </row>
    <row r="36446">
      <c r="A36446" s="39"/>
      <c r="E36446" s="40" t="s">
        <v>11404</v>
      </c>
      <c r="F36446" s="40" t="s">
        <v>11404</v>
      </c>
      <c r="G36446" s="40" t="s">
        <v>11404</v>
      </c>
      <c r="H36446" s="40" t="s">
        <v>11404</v>
      </c>
    </row>
    <row r="36447">
      <c r="A36447" s="39"/>
      <c r="E36447" s="40" t="s">
        <v>11404</v>
      </c>
      <c r="F36447" s="40" t="s">
        <v>11404</v>
      </c>
      <c r="G36447" s="40" t="s">
        <v>11404</v>
      </c>
      <c r="H36447" s="40" t="s">
        <v>11404</v>
      </c>
    </row>
    <row r="36448">
      <c r="A36448" s="39"/>
      <c r="E36448" s="40" t="s">
        <v>11404</v>
      </c>
      <c r="F36448" s="40" t="s">
        <v>11404</v>
      </c>
      <c r="G36448" s="40" t="s">
        <v>11404</v>
      </c>
      <c r="H36448" s="40" t="s">
        <v>11404</v>
      </c>
    </row>
    <row r="36449">
      <c r="A36449" s="39"/>
      <c r="E36449" s="40" t="s">
        <v>11404</v>
      </c>
      <c r="F36449" s="40" t="s">
        <v>11404</v>
      </c>
      <c r="G36449" s="40" t="s">
        <v>11404</v>
      </c>
      <c r="H36449" s="40" t="s">
        <v>11404</v>
      </c>
    </row>
    <row r="36450">
      <c r="A36450" s="39"/>
      <c r="E36450" s="40" t="s">
        <v>11404</v>
      </c>
      <c r="F36450" s="40" t="s">
        <v>11404</v>
      </c>
      <c r="G36450" s="40" t="s">
        <v>11404</v>
      </c>
      <c r="H36450" s="40" t="s">
        <v>11404</v>
      </c>
    </row>
    <row r="36451">
      <c r="A36451" s="39"/>
      <c r="E36451" s="40" t="s">
        <v>11404</v>
      </c>
      <c r="F36451" s="40" t="s">
        <v>11404</v>
      </c>
      <c r="G36451" s="40" t="s">
        <v>11404</v>
      </c>
      <c r="H36451" s="40" t="s">
        <v>11404</v>
      </c>
    </row>
    <row r="36452">
      <c r="A36452" s="39"/>
      <c r="E36452" s="40" t="s">
        <v>11404</v>
      </c>
      <c r="F36452" s="40" t="s">
        <v>11404</v>
      </c>
      <c r="G36452" s="40" t="s">
        <v>11404</v>
      </c>
      <c r="H36452" s="40" t="s">
        <v>11404</v>
      </c>
    </row>
    <row r="36453">
      <c r="A36453" s="39"/>
      <c r="E36453" s="40" t="s">
        <v>11404</v>
      </c>
      <c r="F36453" s="40" t="s">
        <v>11404</v>
      </c>
      <c r="G36453" s="40" t="s">
        <v>11404</v>
      </c>
      <c r="H36453" s="40" t="s">
        <v>11404</v>
      </c>
    </row>
    <row r="36454">
      <c r="A36454" s="39"/>
      <c r="E36454" s="40" t="s">
        <v>11404</v>
      </c>
      <c r="F36454" s="40" t="s">
        <v>11404</v>
      </c>
      <c r="G36454" s="40" t="s">
        <v>11404</v>
      </c>
      <c r="H36454" s="40" t="s">
        <v>11404</v>
      </c>
    </row>
    <row r="36455">
      <c r="A36455" s="39"/>
      <c r="E36455" s="40" t="s">
        <v>11404</v>
      </c>
      <c r="F36455" s="40" t="s">
        <v>11404</v>
      </c>
      <c r="G36455" s="40" t="s">
        <v>11404</v>
      </c>
      <c r="H36455" s="40" t="s">
        <v>11404</v>
      </c>
    </row>
    <row r="36456">
      <c r="A36456" s="39"/>
      <c r="E36456" s="40" t="s">
        <v>11404</v>
      </c>
      <c r="F36456" s="40" t="s">
        <v>11404</v>
      </c>
      <c r="G36456" s="40" t="s">
        <v>11404</v>
      </c>
      <c r="H36456" s="40" t="s">
        <v>11404</v>
      </c>
    </row>
    <row r="36457">
      <c r="A36457" s="39"/>
      <c r="E36457" s="40" t="s">
        <v>11404</v>
      </c>
      <c r="F36457" s="40" t="s">
        <v>11404</v>
      </c>
      <c r="G36457" s="40" t="s">
        <v>11404</v>
      </c>
      <c r="H36457" s="40" t="s">
        <v>11404</v>
      </c>
    </row>
    <row r="36458">
      <c r="A36458" s="39"/>
      <c r="E36458" s="40" t="s">
        <v>11404</v>
      </c>
      <c r="F36458" s="40" t="s">
        <v>11404</v>
      </c>
      <c r="G36458" s="40" t="s">
        <v>11404</v>
      </c>
      <c r="H36458" s="40" t="s">
        <v>11404</v>
      </c>
    </row>
    <row r="36459">
      <c r="A36459" s="39"/>
      <c r="E36459" s="40" t="s">
        <v>11404</v>
      </c>
      <c r="F36459" s="40" t="s">
        <v>11404</v>
      </c>
      <c r="G36459" s="40" t="s">
        <v>11404</v>
      </c>
      <c r="H36459" s="40" t="s">
        <v>11404</v>
      </c>
    </row>
    <row r="36460">
      <c r="A36460" s="39"/>
      <c r="E36460" s="40" t="s">
        <v>11404</v>
      </c>
      <c r="F36460" s="40" t="s">
        <v>11404</v>
      </c>
      <c r="G36460" s="40" t="s">
        <v>11404</v>
      </c>
      <c r="H36460" s="40" t="s">
        <v>11404</v>
      </c>
    </row>
    <row r="36461">
      <c r="A36461" s="39"/>
      <c r="E36461" s="40" t="s">
        <v>11404</v>
      </c>
      <c r="F36461" s="40" t="s">
        <v>11404</v>
      </c>
      <c r="G36461" s="40" t="s">
        <v>11404</v>
      </c>
      <c r="H36461" s="40" t="s">
        <v>11404</v>
      </c>
    </row>
    <row r="36462">
      <c r="A36462" s="39"/>
      <c r="E36462" s="40" t="s">
        <v>11404</v>
      </c>
      <c r="F36462" s="40" t="s">
        <v>11404</v>
      </c>
      <c r="G36462" s="40" t="s">
        <v>11404</v>
      </c>
      <c r="H36462" s="40" t="s">
        <v>11404</v>
      </c>
    </row>
    <row r="36463">
      <c r="A36463" s="39"/>
      <c r="E36463" s="40" t="s">
        <v>11404</v>
      </c>
      <c r="F36463" s="40" t="s">
        <v>11404</v>
      </c>
      <c r="G36463" s="40" t="s">
        <v>11404</v>
      </c>
      <c r="H36463" s="40" t="s">
        <v>11404</v>
      </c>
    </row>
    <row r="36464">
      <c r="A36464" s="39"/>
      <c r="E36464" s="40" t="s">
        <v>11404</v>
      </c>
      <c r="F36464" s="40" t="s">
        <v>11404</v>
      </c>
      <c r="G36464" s="40" t="s">
        <v>11404</v>
      </c>
      <c r="H36464" s="40" t="s">
        <v>11404</v>
      </c>
    </row>
    <row r="36465">
      <c r="A36465" s="39"/>
      <c r="E36465" s="40" t="s">
        <v>11404</v>
      </c>
      <c r="F36465" s="40" t="s">
        <v>11404</v>
      </c>
      <c r="G36465" s="40" t="s">
        <v>11404</v>
      </c>
      <c r="H36465" s="40" t="s">
        <v>11404</v>
      </c>
    </row>
    <row r="36466">
      <c r="A36466" s="39"/>
      <c r="E36466" s="40" t="s">
        <v>11404</v>
      </c>
      <c r="F36466" s="40" t="s">
        <v>11404</v>
      </c>
      <c r="G36466" s="40" t="s">
        <v>11404</v>
      </c>
      <c r="H36466" s="40" t="s">
        <v>11404</v>
      </c>
    </row>
    <row r="36467">
      <c r="A36467" s="39"/>
      <c r="E36467" s="40" t="s">
        <v>11404</v>
      </c>
      <c r="F36467" s="40" t="s">
        <v>11404</v>
      </c>
      <c r="G36467" s="40" t="s">
        <v>11404</v>
      </c>
      <c r="H36467" s="40" t="s">
        <v>11404</v>
      </c>
    </row>
    <row r="36468">
      <c r="A36468" s="39"/>
      <c r="E36468" s="40" t="s">
        <v>11404</v>
      </c>
      <c r="F36468" s="40" t="s">
        <v>11404</v>
      </c>
      <c r="G36468" s="40" t="s">
        <v>11404</v>
      </c>
      <c r="H36468" s="40" t="s">
        <v>11404</v>
      </c>
    </row>
    <row r="36469">
      <c r="A36469" s="39"/>
      <c r="E36469" s="40" t="s">
        <v>11404</v>
      </c>
      <c r="F36469" s="40" t="s">
        <v>11404</v>
      </c>
      <c r="G36469" s="40" t="s">
        <v>11404</v>
      </c>
      <c r="H36469" s="40" t="s">
        <v>11404</v>
      </c>
    </row>
    <row r="36470">
      <c r="A36470" s="39"/>
      <c r="E36470" s="40" t="s">
        <v>11404</v>
      </c>
      <c r="F36470" s="40" t="s">
        <v>11404</v>
      </c>
      <c r="G36470" s="40" t="s">
        <v>11404</v>
      </c>
      <c r="H36470" s="40" t="s">
        <v>11404</v>
      </c>
    </row>
    <row r="36471">
      <c r="A36471" s="39"/>
      <c r="E36471" s="40" t="s">
        <v>11404</v>
      </c>
      <c r="F36471" s="40" t="s">
        <v>11404</v>
      </c>
      <c r="G36471" s="40" t="s">
        <v>11404</v>
      </c>
      <c r="H36471" s="40" t="s">
        <v>11404</v>
      </c>
    </row>
    <row r="36472">
      <c r="A36472" s="39"/>
      <c r="E36472" s="40" t="s">
        <v>11404</v>
      </c>
      <c r="F36472" s="40" t="s">
        <v>11404</v>
      </c>
      <c r="G36472" s="40" t="s">
        <v>11404</v>
      </c>
      <c r="H36472" s="40" t="s">
        <v>11404</v>
      </c>
    </row>
    <row r="36473">
      <c r="A36473" s="39"/>
      <c r="E36473" s="40" t="s">
        <v>11404</v>
      </c>
      <c r="F36473" s="40" t="s">
        <v>11404</v>
      </c>
      <c r="G36473" s="40" t="s">
        <v>11404</v>
      </c>
      <c r="H36473" s="40" t="s">
        <v>11404</v>
      </c>
    </row>
    <row r="36474">
      <c r="A36474" s="39"/>
      <c r="E36474" s="40" t="s">
        <v>11404</v>
      </c>
      <c r="F36474" s="40" t="s">
        <v>11404</v>
      </c>
      <c r="G36474" s="40" t="s">
        <v>11404</v>
      </c>
      <c r="H36474" s="40" t="s">
        <v>11404</v>
      </c>
    </row>
    <row r="36475">
      <c r="A36475" s="39"/>
      <c r="E36475" s="40" t="s">
        <v>11404</v>
      </c>
      <c r="F36475" s="40" t="s">
        <v>11404</v>
      </c>
      <c r="G36475" s="40" t="s">
        <v>11404</v>
      </c>
      <c r="H36475" s="40" t="s">
        <v>11404</v>
      </c>
    </row>
    <row r="36476">
      <c r="A36476" s="39"/>
      <c r="E36476" s="40" t="s">
        <v>11404</v>
      </c>
      <c r="F36476" s="40" t="s">
        <v>11404</v>
      </c>
      <c r="G36476" s="40" t="s">
        <v>11404</v>
      </c>
      <c r="H36476" s="40" t="s">
        <v>11404</v>
      </c>
    </row>
    <row r="36477">
      <c r="A36477" s="39"/>
      <c r="E36477" s="40" t="s">
        <v>11404</v>
      </c>
      <c r="F36477" s="40" t="s">
        <v>11404</v>
      </c>
      <c r="G36477" s="40" t="s">
        <v>11404</v>
      </c>
      <c r="H36477" s="40" t="s">
        <v>11404</v>
      </c>
    </row>
    <row r="36478">
      <c r="A36478" s="39"/>
      <c r="E36478" s="40" t="s">
        <v>11404</v>
      </c>
      <c r="F36478" s="40" t="s">
        <v>11404</v>
      </c>
      <c r="G36478" s="40" t="s">
        <v>11404</v>
      </c>
      <c r="H36478" s="40" t="s">
        <v>11404</v>
      </c>
    </row>
    <row r="36479">
      <c r="A36479" s="39"/>
      <c r="E36479" s="40" t="s">
        <v>11404</v>
      </c>
      <c r="F36479" s="40" t="s">
        <v>11404</v>
      </c>
      <c r="G36479" s="40" t="s">
        <v>11404</v>
      </c>
      <c r="H36479" s="40" t="s">
        <v>11404</v>
      </c>
    </row>
    <row r="36480">
      <c r="A36480" s="39"/>
      <c r="E36480" s="40" t="s">
        <v>11404</v>
      </c>
      <c r="F36480" s="40" t="s">
        <v>11404</v>
      </c>
      <c r="G36480" s="40" t="s">
        <v>11404</v>
      </c>
      <c r="H36480" s="40" t="s">
        <v>11404</v>
      </c>
    </row>
    <row r="36481">
      <c r="A36481" s="39"/>
      <c r="E36481" s="40" t="s">
        <v>11404</v>
      </c>
      <c r="F36481" s="40" t="s">
        <v>11404</v>
      </c>
      <c r="G36481" s="40" t="s">
        <v>11404</v>
      </c>
      <c r="H36481" s="40" t="s">
        <v>11404</v>
      </c>
    </row>
    <row r="36482">
      <c r="A36482" s="39"/>
      <c r="E36482" s="40" t="s">
        <v>11404</v>
      </c>
      <c r="F36482" s="40" t="s">
        <v>11404</v>
      </c>
      <c r="G36482" s="40" t="s">
        <v>11404</v>
      </c>
      <c r="H36482" s="40" t="s">
        <v>11404</v>
      </c>
    </row>
    <row r="36483">
      <c r="A36483" s="39"/>
      <c r="E36483" s="40" t="s">
        <v>11404</v>
      </c>
      <c r="F36483" s="40" t="s">
        <v>11404</v>
      </c>
      <c r="G36483" s="40" t="s">
        <v>11404</v>
      </c>
      <c r="H36483" s="40" t="s">
        <v>11404</v>
      </c>
    </row>
    <row r="36484">
      <c r="A36484" s="39"/>
      <c r="E36484" s="40" t="s">
        <v>11404</v>
      </c>
      <c r="F36484" s="40" t="s">
        <v>11404</v>
      </c>
      <c r="G36484" s="40" t="s">
        <v>11404</v>
      </c>
      <c r="H36484" s="40" t="s">
        <v>11404</v>
      </c>
    </row>
    <row r="36485">
      <c r="A36485" s="39"/>
      <c r="E36485" s="40" t="s">
        <v>11404</v>
      </c>
      <c r="F36485" s="40" t="s">
        <v>11404</v>
      </c>
      <c r="G36485" s="40" t="s">
        <v>11404</v>
      </c>
      <c r="H36485" s="40" t="s">
        <v>11404</v>
      </c>
    </row>
    <row r="36486">
      <c r="A36486" s="39"/>
      <c r="E36486" s="40" t="s">
        <v>11404</v>
      </c>
      <c r="F36486" s="40" t="s">
        <v>11404</v>
      </c>
      <c r="G36486" s="40" t="s">
        <v>11404</v>
      </c>
      <c r="H36486" s="40" t="s">
        <v>11404</v>
      </c>
    </row>
    <row r="36487">
      <c r="A36487" s="39"/>
      <c r="E36487" s="40" t="s">
        <v>11404</v>
      </c>
      <c r="F36487" s="40" t="s">
        <v>11404</v>
      </c>
      <c r="G36487" s="40" t="s">
        <v>11404</v>
      </c>
      <c r="H36487" s="40" t="s">
        <v>11404</v>
      </c>
    </row>
    <row r="36488">
      <c r="A36488" s="39"/>
      <c r="E36488" s="40" t="s">
        <v>11404</v>
      </c>
      <c r="F36488" s="40" t="s">
        <v>11404</v>
      </c>
      <c r="G36488" s="40" t="s">
        <v>11404</v>
      </c>
      <c r="H36488" s="40" t="s">
        <v>11404</v>
      </c>
    </row>
    <row r="36489">
      <c r="A36489" s="39"/>
      <c r="E36489" s="40" t="s">
        <v>11404</v>
      </c>
      <c r="F36489" s="40" t="s">
        <v>11404</v>
      </c>
      <c r="G36489" s="40" t="s">
        <v>11404</v>
      </c>
      <c r="H36489" s="40" t="s">
        <v>11404</v>
      </c>
    </row>
    <row r="36490">
      <c r="A36490" s="39"/>
      <c r="E36490" s="40" t="s">
        <v>11404</v>
      </c>
      <c r="F36490" s="40" t="s">
        <v>11404</v>
      </c>
      <c r="G36490" s="40" t="s">
        <v>11404</v>
      </c>
      <c r="H36490" s="40" t="s">
        <v>11404</v>
      </c>
    </row>
    <row r="36491">
      <c r="A36491" s="39"/>
      <c r="E36491" s="40" t="s">
        <v>11404</v>
      </c>
      <c r="F36491" s="40" t="s">
        <v>11404</v>
      </c>
      <c r="G36491" s="40" t="s">
        <v>11404</v>
      </c>
      <c r="H36491" s="40" t="s">
        <v>11404</v>
      </c>
    </row>
    <row r="36492">
      <c r="A36492" s="39"/>
      <c r="E36492" s="40" t="s">
        <v>11404</v>
      </c>
      <c r="F36492" s="40" t="s">
        <v>11404</v>
      </c>
      <c r="G36492" s="40" t="s">
        <v>11404</v>
      </c>
      <c r="H36492" s="40" t="s">
        <v>11404</v>
      </c>
    </row>
    <row r="36493">
      <c r="A36493" s="39"/>
      <c r="E36493" s="40" t="s">
        <v>11404</v>
      </c>
      <c r="F36493" s="40" t="s">
        <v>11404</v>
      </c>
      <c r="G36493" s="40" t="s">
        <v>11404</v>
      </c>
      <c r="H36493" s="40" t="s">
        <v>11404</v>
      </c>
    </row>
    <row r="36494">
      <c r="A36494" s="39"/>
      <c r="E36494" s="40" t="s">
        <v>11404</v>
      </c>
      <c r="F36494" s="40" t="s">
        <v>11404</v>
      </c>
      <c r="G36494" s="40" t="s">
        <v>11404</v>
      </c>
      <c r="H36494" s="40" t="s">
        <v>11404</v>
      </c>
    </row>
    <row r="36495">
      <c r="A36495" s="39"/>
      <c r="E36495" s="40" t="s">
        <v>11404</v>
      </c>
      <c r="F36495" s="40" t="s">
        <v>11404</v>
      </c>
      <c r="G36495" s="40" t="s">
        <v>11404</v>
      </c>
      <c r="H36495" s="40" t="s">
        <v>11404</v>
      </c>
    </row>
    <row r="36496">
      <c r="A36496" s="39"/>
      <c r="E36496" s="40" t="s">
        <v>11404</v>
      </c>
      <c r="F36496" s="40" t="s">
        <v>11404</v>
      </c>
      <c r="G36496" s="40" t="s">
        <v>11404</v>
      </c>
      <c r="H36496" s="40" t="s">
        <v>11404</v>
      </c>
    </row>
    <row r="36497">
      <c r="A36497" s="39"/>
      <c r="E36497" s="40" t="s">
        <v>11404</v>
      </c>
      <c r="F36497" s="40" t="s">
        <v>11404</v>
      </c>
      <c r="G36497" s="40" t="s">
        <v>11404</v>
      </c>
      <c r="H36497" s="40" t="s">
        <v>11404</v>
      </c>
    </row>
    <row r="36498">
      <c r="A36498" s="39"/>
      <c r="E36498" s="40" t="s">
        <v>11404</v>
      </c>
      <c r="F36498" s="40" t="s">
        <v>11404</v>
      </c>
      <c r="G36498" s="40" t="s">
        <v>11404</v>
      </c>
      <c r="H36498" s="40" t="s">
        <v>11404</v>
      </c>
    </row>
    <row r="36499">
      <c r="A36499" s="39"/>
      <c r="E36499" s="40" t="s">
        <v>11404</v>
      </c>
      <c r="F36499" s="40" t="s">
        <v>11404</v>
      </c>
      <c r="G36499" s="40" t="s">
        <v>11404</v>
      </c>
      <c r="H36499" s="40" t="s">
        <v>11404</v>
      </c>
    </row>
    <row r="36500">
      <c r="A36500" s="39"/>
      <c r="E36500" s="40" t="s">
        <v>11404</v>
      </c>
      <c r="F36500" s="40" t="s">
        <v>11404</v>
      </c>
      <c r="G36500" s="40" t="s">
        <v>11404</v>
      </c>
      <c r="H36500" s="40" t="s">
        <v>11404</v>
      </c>
    </row>
    <row r="36501">
      <c r="A36501" s="39"/>
      <c r="E36501" s="40" t="s">
        <v>11404</v>
      </c>
      <c r="F36501" s="40" t="s">
        <v>11404</v>
      </c>
      <c r="G36501" s="40" t="s">
        <v>11404</v>
      </c>
      <c r="H36501" s="40" t="s">
        <v>11404</v>
      </c>
    </row>
    <row r="36502">
      <c r="A36502" s="39"/>
      <c r="E36502" s="40" t="s">
        <v>11404</v>
      </c>
      <c r="F36502" s="40" t="s">
        <v>11404</v>
      </c>
      <c r="G36502" s="40" t="s">
        <v>11404</v>
      </c>
      <c r="H36502" s="40" t="s">
        <v>11404</v>
      </c>
    </row>
    <row r="36503">
      <c r="A36503" s="39"/>
      <c r="E36503" s="40" t="s">
        <v>11404</v>
      </c>
      <c r="F36503" s="40" t="s">
        <v>11404</v>
      </c>
      <c r="G36503" s="40" t="s">
        <v>11404</v>
      </c>
      <c r="H36503" s="40" t="s">
        <v>11404</v>
      </c>
    </row>
    <row r="36504">
      <c r="A36504" s="39"/>
      <c r="E36504" s="40" t="s">
        <v>11404</v>
      </c>
      <c r="F36504" s="40" t="s">
        <v>11404</v>
      </c>
      <c r="G36504" s="40" t="s">
        <v>11404</v>
      </c>
      <c r="H36504" s="40" t="s">
        <v>11404</v>
      </c>
    </row>
    <row r="36505">
      <c r="A36505" s="39"/>
      <c r="E36505" s="40" t="s">
        <v>11404</v>
      </c>
      <c r="F36505" s="40" t="s">
        <v>11404</v>
      </c>
      <c r="G36505" s="40" t="s">
        <v>11404</v>
      </c>
      <c r="H36505" s="40" t="s">
        <v>11404</v>
      </c>
    </row>
    <row r="36506">
      <c r="A36506" s="39"/>
      <c r="E36506" s="40" t="s">
        <v>11404</v>
      </c>
      <c r="F36506" s="40" t="s">
        <v>11404</v>
      </c>
      <c r="G36506" s="40" t="s">
        <v>11404</v>
      </c>
      <c r="H36506" s="40" t="s">
        <v>11404</v>
      </c>
    </row>
    <row r="36507">
      <c r="A36507" s="39"/>
      <c r="E36507" s="40" t="s">
        <v>11404</v>
      </c>
      <c r="F36507" s="40" t="s">
        <v>11404</v>
      </c>
      <c r="G36507" s="40" t="s">
        <v>11404</v>
      </c>
      <c r="H36507" s="40" t="s">
        <v>11404</v>
      </c>
    </row>
    <row r="36508">
      <c r="A36508" s="39"/>
      <c r="E36508" s="40" t="s">
        <v>11404</v>
      </c>
      <c r="F36508" s="40" t="s">
        <v>11404</v>
      </c>
      <c r="G36508" s="40" t="s">
        <v>11404</v>
      </c>
      <c r="H36508" s="40" t="s">
        <v>11404</v>
      </c>
    </row>
    <row r="36509">
      <c r="A36509" s="39"/>
      <c r="E36509" s="40" t="s">
        <v>11404</v>
      </c>
      <c r="F36509" s="40" t="s">
        <v>11404</v>
      </c>
      <c r="G36509" s="40" t="s">
        <v>11404</v>
      </c>
      <c r="H36509" s="40" t="s">
        <v>11404</v>
      </c>
    </row>
    <row r="36510">
      <c r="A36510" s="39"/>
      <c r="E36510" s="40" t="s">
        <v>11404</v>
      </c>
      <c r="F36510" s="40" t="s">
        <v>11404</v>
      </c>
      <c r="G36510" s="40" t="s">
        <v>11404</v>
      </c>
      <c r="H36510" s="40" t="s">
        <v>11404</v>
      </c>
    </row>
    <row r="36511">
      <c r="A36511" s="39"/>
      <c r="E36511" s="40" t="s">
        <v>11404</v>
      </c>
      <c r="F36511" s="40" t="s">
        <v>11404</v>
      </c>
      <c r="G36511" s="40" t="s">
        <v>11404</v>
      </c>
      <c r="H36511" s="40" t="s">
        <v>11404</v>
      </c>
    </row>
    <row r="36512">
      <c r="A36512" s="39"/>
      <c r="E36512" s="40" t="s">
        <v>11404</v>
      </c>
      <c r="F36512" s="40" t="s">
        <v>11404</v>
      </c>
      <c r="G36512" s="40" t="s">
        <v>11404</v>
      </c>
      <c r="H36512" s="40" t="s">
        <v>11404</v>
      </c>
    </row>
    <row r="36513">
      <c r="A36513" s="39"/>
      <c r="E36513" s="40" t="s">
        <v>11404</v>
      </c>
      <c r="F36513" s="40" t="s">
        <v>11404</v>
      </c>
      <c r="G36513" s="40" t="s">
        <v>11404</v>
      </c>
      <c r="H36513" s="40" t="s">
        <v>11404</v>
      </c>
    </row>
    <row r="36514">
      <c r="A36514" s="39"/>
      <c r="E36514" s="40" t="s">
        <v>11404</v>
      </c>
      <c r="F36514" s="40" t="s">
        <v>11404</v>
      </c>
      <c r="G36514" s="40" t="s">
        <v>11404</v>
      </c>
      <c r="H36514" s="40" t="s">
        <v>11404</v>
      </c>
    </row>
    <row r="36515">
      <c r="A36515" s="39"/>
      <c r="E36515" s="40" t="s">
        <v>11404</v>
      </c>
      <c r="F36515" s="40" t="s">
        <v>11404</v>
      </c>
      <c r="G36515" s="40" t="s">
        <v>11404</v>
      </c>
      <c r="H36515" s="40" t="s">
        <v>11404</v>
      </c>
    </row>
    <row r="36516">
      <c r="A36516" s="39"/>
      <c r="E36516" s="40" t="s">
        <v>11404</v>
      </c>
      <c r="F36516" s="40" t="s">
        <v>11404</v>
      </c>
      <c r="G36516" s="40" t="s">
        <v>11404</v>
      </c>
      <c r="H36516" s="40" t="s">
        <v>11404</v>
      </c>
    </row>
    <row r="36517">
      <c r="A36517" s="39"/>
      <c r="E36517" s="40" t="s">
        <v>11404</v>
      </c>
      <c r="F36517" s="40" t="s">
        <v>11404</v>
      </c>
      <c r="G36517" s="40" t="s">
        <v>11404</v>
      </c>
      <c r="H36517" s="40" t="s">
        <v>11404</v>
      </c>
    </row>
    <row r="36518">
      <c r="A36518" s="39"/>
      <c r="E36518" s="40" t="s">
        <v>11404</v>
      </c>
      <c r="F36518" s="40" t="s">
        <v>11404</v>
      </c>
      <c r="G36518" s="40" t="s">
        <v>11404</v>
      </c>
      <c r="H36518" s="40" t="s">
        <v>11404</v>
      </c>
    </row>
    <row r="36519">
      <c r="A36519" s="39"/>
      <c r="E36519" s="40" t="s">
        <v>11404</v>
      </c>
      <c r="F36519" s="40" t="s">
        <v>11404</v>
      </c>
      <c r="G36519" s="40" t="s">
        <v>11404</v>
      </c>
      <c r="H36519" s="40" t="s">
        <v>11404</v>
      </c>
    </row>
    <row r="36520">
      <c r="A36520" s="39"/>
      <c r="E36520" s="40" t="s">
        <v>11404</v>
      </c>
      <c r="F36520" s="40" t="s">
        <v>11404</v>
      </c>
      <c r="G36520" s="40" t="s">
        <v>11404</v>
      </c>
      <c r="H36520" s="40" t="s">
        <v>11404</v>
      </c>
    </row>
    <row r="36521">
      <c r="A36521" s="39"/>
      <c r="E36521" s="40" t="s">
        <v>11404</v>
      </c>
      <c r="F36521" s="40" t="s">
        <v>11404</v>
      </c>
      <c r="G36521" s="40" t="s">
        <v>11404</v>
      </c>
      <c r="H36521" s="40" t="s">
        <v>11404</v>
      </c>
    </row>
    <row r="36522">
      <c r="A36522" s="39"/>
      <c r="E36522" s="40" t="s">
        <v>11404</v>
      </c>
      <c r="F36522" s="40" t="s">
        <v>11404</v>
      </c>
      <c r="G36522" s="40" t="s">
        <v>11404</v>
      </c>
      <c r="H36522" s="40" t="s">
        <v>11404</v>
      </c>
    </row>
    <row r="36523">
      <c r="A36523" s="39"/>
      <c r="E36523" s="40" t="s">
        <v>11404</v>
      </c>
      <c r="F36523" s="40" t="s">
        <v>11404</v>
      </c>
      <c r="G36523" s="40" t="s">
        <v>11404</v>
      </c>
      <c r="H36523" s="40" t="s">
        <v>11404</v>
      </c>
    </row>
    <row r="36524">
      <c r="A36524" s="39"/>
      <c r="E36524" s="40" t="s">
        <v>11404</v>
      </c>
      <c r="F36524" s="40" t="s">
        <v>11404</v>
      </c>
      <c r="G36524" s="40" t="s">
        <v>11404</v>
      </c>
      <c r="H36524" s="40" t="s">
        <v>11404</v>
      </c>
    </row>
    <row r="36525">
      <c r="A36525" s="39"/>
      <c r="E36525" s="40" t="s">
        <v>11404</v>
      </c>
      <c r="F36525" s="40" t="s">
        <v>11404</v>
      </c>
      <c r="G36525" s="40" t="s">
        <v>11404</v>
      </c>
      <c r="H36525" s="40" t="s">
        <v>11404</v>
      </c>
    </row>
    <row r="36526">
      <c r="A36526" s="39"/>
      <c r="E36526" s="40" t="s">
        <v>11404</v>
      </c>
      <c r="F36526" s="40" t="s">
        <v>11404</v>
      </c>
      <c r="G36526" s="40" t="s">
        <v>11404</v>
      </c>
      <c r="H36526" s="40" t="s">
        <v>11404</v>
      </c>
    </row>
    <row r="36527">
      <c r="A36527" s="39"/>
      <c r="E36527" s="40" t="s">
        <v>11404</v>
      </c>
      <c r="F36527" s="40" t="s">
        <v>11404</v>
      </c>
      <c r="G36527" s="40" t="s">
        <v>11404</v>
      </c>
      <c r="H36527" s="40" t="s">
        <v>11404</v>
      </c>
    </row>
    <row r="36528">
      <c r="A36528" s="39"/>
      <c r="E36528" s="40" t="s">
        <v>11404</v>
      </c>
      <c r="F36528" s="40" t="s">
        <v>11404</v>
      </c>
      <c r="G36528" s="40" t="s">
        <v>11404</v>
      </c>
      <c r="H36528" s="40" t="s">
        <v>11404</v>
      </c>
    </row>
    <row r="36529">
      <c r="A36529" s="39"/>
      <c r="E36529" s="40" t="s">
        <v>11404</v>
      </c>
      <c r="F36529" s="40" t="s">
        <v>11404</v>
      </c>
      <c r="G36529" s="40" t="s">
        <v>11404</v>
      </c>
      <c r="H36529" s="40" t="s">
        <v>11404</v>
      </c>
    </row>
    <row r="36530">
      <c r="A36530" s="39"/>
      <c r="E36530" s="40" t="s">
        <v>11404</v>
      </c>
      <c r="F36530" s="40" t="s">
        <v>11404</v>
      </c>
      <c r="G36530" s="40" t="s">
        <v>11404</v>
      </c>
      <c r="H36530" s="40" t="s">
        <v>11404</v>
      </c>
    </row>
    <row r="36531">
      <c r="A36531" s="39"/>
      <c r="E36531" s="40" t="s">
        <v>11404</v>
      </c>
      <c r="F36531" s="40" t="s">
        <v>11404</v>
      </c>
      <c r="G36531" s="40" t="s">
        <v>11404</v>
      </c>
      <c r="H36531" s="40" t="s">
        <v>11404</v>
      </c>
    </row>
    <row r="36532">
      <c r="A36532" s="39"/>
      <c r="E36532" s="40" t="s">
        <v>11404</v>
      </c>
      <c r="F36532" s="40" t="s">
        <v>11404</v>
      </c>
      <c r="G36532" s="40" t="s">
        <v>11404</v>
      </c>
      <c r="H36532" s="40" t="s">
        <v>11404</v>
      </c>
    </row>
    <row r="36533">
      <c r="A36533" s="39"/>
      <c r="E36533" s="40" t="s">
        <v>11404</v>
      </c>
      <c r="F36533" s="40" t="s">
        <v>11404</v>
      </c>
      <c r="G36533" s="40" t="s">
        <v>11404</v>
      </c>
      <c r="H36533" s="40" t="s">
        <v>11404</v>
      </c>
    </row>
    <row r="36534">
      <c r="A36534" s="39"/>
      <c r="E36534" s="40" t="s">
        <v>11404</v>
      </c>
      <c r="F36534" s="40" t="s">
        <v>11404</v>
      </c>
      <c r="G36534" s="40" t="s">
        <v>11404</v>
      </c>
      <c r="H36534" s="40" t="s">
        <v>11404</v>
      </c>
    </row>
    <row r="36535">
      <c r="A36535" s="39"/>
      <c r="E36535" s="40" t="s">
        <v>11404</v>
      </c>
      <c r="F36535" s="40" t="s">
        <v>11404</v>
      </c>
      <c r="G36535" s="40" t="s">
        <v>11404</v>
      </c>
      <c r="H36535" s="40" t="s">
        <v>11404</v>
      </c>
    </row>
    <row r="36536">
      <c r="A36536" s="39"/>
      <c r="E36536" s="40" t="s">
        <v>11404</v>
      </c>
      <c r="F36536" s="40" t="s">
        <v>11404</v>
      </c>
      <c r="G36536" s="40" t="s">
        <v>11404</v>
      </c>
      <c r="H36536" s="40" t="s">
        <v>11404</v>
      </c>
    </row>
    <row r="36537">
      <c r="A36537" s="39"/>
      <c r="E36537" s="40" t="s">
        <v>11404</v>
      </c>
      <c r="F36537" s="40" t="s">
        <v>11404</v>
      </c>
      <c r="G36537" s="40" t="s">
        <v>11404</v>
      </c>
      <c r="H36537" s="40" t="s">
        <v>11404</v>
      </c>
    </row>
    <row r="36538">
      <c r="A36538" s="39"/>
      <c r="E36538" s="40" t="s">
        <v>11404</v>
      </c>
      <c r="F36538" s="40" t="s">
        <v>11404</v>
      </c>
      <c r="G36538" s="40" t="s">
        <v>11404</v>
      </c>
      <c r="H36538" s="40" t="s">
        <v>11404</v>
      </c>
    </row>
    <row r="36539">
      <c r="A36539" s="39"/>
      <c r="E36539" s="40" t="s">
        <v>11404</v>
      </c>
      <c r="F36539" s="40" t="s">
        <v>11404</v>
      </c>
      <c r="G36539" s="40" t="s">
        <v>11404</v>
      </c>
      <c r="H36539" s="40" t="s">
        <v>11404</v>
      </c>
    </row>
    <row r="36540">
      <c r="A36540" s="39"/>
      <c r="E36540" s="40" t="s">
        <v>11404</v>
      </c>
      <c r="F36540" s="40" t="s">
        <v>11404</v>
      </c>
      <c r="G36540" s="40" t="s">
        <v>11404</v>
      </c>
      <c r="H36540" s="40" t="s">
        <v>11404</v>
      </c>
    </row>
    <row r="36541">
      <c r="A36541" s="39"/>
      <c r="E36541" s="40" t="s">
        <v>11404</v>
      </c>
      <c r="F36541" s="40" t="s">
        <v>11404</v>
      </c>
      <c r="G36541" s="40" t="s">
        <v>11404</v>
      </c>
      <c r="H36541" s="40" t="s">
        <v>11404</v>
      </c>
    </row>
    <row r="36542">
      <c r="A36542" s="39"/>
      <c r="E36542" s="40" t="s">
        <v>11404</v>
      </c>
      <c r="F36542" s="40" t="s">
        <v>11404</v>
      </c>
      <c r="G36542" s="40" t="s">
        <v>11404</v>
      </c>
      <c r="H36542" s="40" t="s">
        <v>11404</v>
      </c>
    </row>
    <row r="36543">
      <c r="A36543" s="39"/>
      <c r="E36543" s="40" t="s">
        <v>11404</v>
      </c>
      <c r="F36543" s="40" t="s">
        <v>11404</v>
      </c>
      <c r="G36543" s="40" t="s">
        <v>11404</v>
      </c>
      <c r="H36543" s="40" t="s">
        <v>11404</v>
      </c>
    </row>
    <row r="36544">
      <c r="A36544" s="39"/>
      <c r="E36544" s="40" t="s">
        <v>11404</v>
      </c>
      <c r="F36544" s="40" t="s">
        <v>11404</v>
      </c>
      <c r="G36544" s="40" t="s">
        <v>11404</v>
      </c>
      <c r="H36544" s="40" t="s">
        <v>11404</v>
      </c>
    </row>
    <row r="36545">
      <c r="A36545" s="39"/>
      <c r="E36545" s="40" t="s">
        <v>11404</v>
      </c>
      <c r="F36545" s="40" t="s">
        <v>11404</v>
      </c>
      <c r="G36545" s="40" t="s">
        <v>11404</v>
      </c>
      <c r="H36545" s="40" t="s">
        <v>11404</v>
      </c>
    </row>
    <row r="36546">
      <c r="A36546" s="39"/>
      <c r="E36546" s="40" t="s">
        <v>11404</v>
      </c>
      <c r="F36546" s="40" t="s">
        <v>11404</v>
      </c>
      <c r="G36546" s="40" t="s">
        <v>11404</v>
      </c>
      <c r="H36546" s="40" t="s">
        <v>11404</v>
      </c>
    </row>
    <row r="36547">
      <c r="A36547" s="39"/>
      <c r="E36547" s="40" t="s">
        <v>11404</v>
      </c>
      <c r="F36547" s="40" t="s">
        <v>11404</v>
      </c>
      <c r="G36547" s="40" t="s">
        <v>11404</v>
      </c>
      <c r="H36547" s="40" t="s">
        <v>11404</v>
      </c>
    </row>
    <row r="36548">
      <c r="A36548" s="39"/>
      <c r="E36548" s="40" t="s">
        <v>11404</v>
      </c>
      <c r="F36548" s="40" t="s">
        <v>11404</v>
      </c>
      <c r="G36548" s="40" t="s">
        <v>11404</v>
      </c>
      <c r="H36548" s="40" t="s">
        <v>11404</v>
      </c>
    </row>
    <row r="36549">
      <c r="A36549" s="39"/>
      <c r="E36549" s="40" t="s">
        <v>11404</v>
      </c>
      <c r="F36549" s="40" t="s">
        <v>11404</v>
      </c>
      <c r="G36549" s="40" t="s">
        <v>11404</v>
      </c>
      <c r="H36549" s="40" t="s">
        <v>11404</v>
      </c>
    </row>
    <row r="36550">
      <c r="A36550" s="39"/>
      <c r="E36550" s="40" t="s">
        <v>11404</v>
      </c>
      <c r="F36550" s="40" t="s">
        <v>11404</v>
      </c>
      <c r="G36550" s="40" t="s">
        <v>11404</v>
      </c>
      <c r="H36550" s="40" t="s">
        <v>11404</v>
      </c>
    </row>
    <row r="36551">
      <c r="A36551" s="39"/>
      <c r="E36551" s="40" t="s">
        <v>11404</v>
      </c>
      <c r="F36551" s="40" t="s">
        <v>11404</v>
      </c>
      <c r="G36551" s="40" t="s">
        <v>11404</v>
      </c>
      <c r="H36551" s="40" t="s">
        <v>11404</v>
      </c>
    </row>
    <row r="36552">
      <c r="A36552" s="39"/>
      <c r="E36552" s="40" t="s">
        <v>11404</v>
      </c>
      <c r="F36552" s="40" t="s">
        <v>11404</v>
      </c>
      <c r="G36552" s="40" t="s">
        <v>11404</v>
      </c>
      <c r="H36552" s="40" t="s">
        <v>11404</v>
      </c>
    </row>
    <row r="36553">
      <c r="A36553" s="39"/>
      <c r="E36553" s="40" t="s">
        <v>11404</v>
      </c>
      <c r="F36553" s="40" t="s">
        <v>11404</v>
      </c>
      <c r="G36553" s="40" t="s">
        <v>11404</v>
      </c>
      <c r="H36553" s="40" t="s">
        <v>11404</v>
      </c>
    </row>
    <row r="36554">
      <c r="A36554" s="39"/>
      <c r="E36554" s="40" t="s">
        <v>11404</v>
      </c>
      <c r="F36554" s="40" t="s">
        <v>11404</v>
      </c>
      <c r="G36554" s="40" t="s">
        <v>11404</v>
      </c>
      <c r="H36554" s="40" t="s">
        <v>11404</v>
      </c>
    </row>
    <row r="36555">
      <c r="A36555" s="39"/>
      <c r="E36555" s="40" t="s">
        <v>11404</v>
      </c>
      <c r="F36555" s="40" t="s">
        <v>11404</v>
      </c>
      <c r="G36555" s="40" t="s">
        <v>11404</v>
      </c>
      <c r="H36555" s="40" t="s">
        <v>11404</v>
      </c>
    </row>
    <row r="36556">
      <c r="A36556" s="39"/>
      <c r="E36556" s="40" t="s">
        <v>11404</v>
      </c>
      <c r="F36556" s="40" t="s">
        <v>11404</v>
      </c>
      <c r="G36556" s="40" t="s">
        <v>11404</v>
      </c>
      <c r="H36556" s="40" t="s">
        <v>11404</v>
      </c>
    </row>
    <row r="36557">
      <c r="A36557" s="39"/>
      <c r="E36557" s="40" t="s">
        <v>11404</v>
      </c>
      <c r="F36557" s="40" t="s">
        <v>11404</v>
      </c>
      <c r="G36557" s="40" t="s">
        <v>11404</v>
      </c>
      <c r="H36557" s="40" t="s">
        <v>11404</v>
      </c>
    </row>
    <row r="36558">
      <c r="A36558" s="39"/>
      <c r="E36558" s="40" t="s">
        <v>11404</v>
      </c>
      <c r="F36558" s="40" t="s">
        <v>11404</v>
      </c>
      <c r="G36558" s="40" t="s">
        <v>11404</v>
      </c>
      <c r="H36558" s="40" t="s">
        <v>11404</v>
      </c>
    </row>
    <row r="36559">
      <c r="A36559" s="39"/>
      <c r="E36559" s="40" t="s">
        <v>11404</v>
      </c>
      <c r="F36559" s="40" t="s">
        <v>11404</v>
      </c>
      <c r="G36559" s="40" t="s">
        <v>11404</v>
      </c>
      <c r="H36559" s="40" t="s">
        <v>11404</v>
      </c>
    </row>
    <row r="36560">
      <c r="A36560" s="39"/>
      <c r="E36560" s="40" t="s">
        <v>11404</v>
      </c>
      <c r="F36560" s="40" t="s">
        <v>11404</v>
      </c>
      <c r="G36560" s="40" t="s">
        <v>11404</v>
      </c>
      <c r="H36560" s="40" t="s">
        <v>11404</v>
      </c>
    </row>
    <row r="36561">
      <c r="A36561" s="39"/>
      <c r="E36561" s="40" t="s">
        <v>11404</v>
      </c>
      <c r="F36561" s="40" t="s">
        <v>11404</v>
      </c>
      <c r="G36561" s="40" t="s">
        <v>11404</v>
      </c>
      <c r="H36561" s="40" t="s">
        <v>11404</v>
      </c>
    </row>
    <row r="36562">
      <c r="A36562" s="39"/>
      <c r="E36562" s="40" t="s">
        <v>11404</v>
      </c>
      <c r="F36562" s="40" t="s">
        <v>11404</v>
      </c>
      <c r="G36562" s="40" t="s">
        <v>11404</v>
      </c>
      <c r="H36562" s="40" t="s">
        <v>11404</v>
      </c>
    </row>
    <row r="36563">
      <c r="A36563" s="39"/>
      <c r="E36563" s="40" t="s">
        <v>11404</v>
      </c>
      <c r="F36563" s="40" t="s">
        <v>11404</v>
      </c>
      <c r="G36563" s="40" t="s">
        <v>11404</v>
      </c>
      <c r="H36563" s="40" t="s">
        <v>11404</v>
      </c>
    </row>
    <row r="36564">
      <c r="A36564" s="39"/>
      <c r="E36564" s="40" t="s">
        <v>11404</v>
      </c>
      <c r="F36564" s="40" t="s">
        <v>11404</v>
      </c>
      <c r="G36564" s="40" t="s">
        <v>11404</v>
      </c>
      <c r="H36564" s="40" t="s">
        <v>11404</v>
      </c>
    </row>
    <row r="36565">
      <c r="A36565" s="39"/>
      <c r="E36565" s="40" t="s">
        <v>11404</v>
      </c>
      <c r="F36565" s="40" t="s">
        <v>11404</v>
      </c>
      <c r="G36565" s="40" t="s">
        <v>11404</v>
      </c>
      <c r="H36565" s="40" t="s">
        <v>11404</v>
      </c>
    </row>
    <row r="36566">
      <c r="A36566" s="39"/>
      <c r="E36566" s="40" t="s">
        <v>11404</v>
      </c>
      <c r="F36566" s="40" t="s">
        <v>11404</v>
      </c>
      <c r="G36566" s="40" t="s">
        <v>11404</v>
      </c>
      <c r="H36566" s="40" t="s">
        <v>11404</v>
      </c>
    </row>
    <row r="36567">
      <c r="A36567" s="39"/>
      <c r="E36567" s="40" t="s">
        <v>11404</v>
      </c>
      <c r="F36567" s="40" t="s">
        <v>11404</v>
      </c>
      <c r="G36567" s="40" t="s">
        <v>11404</v>
      </c>
      <c r="H36567" s="40" t="s">
        <v>11404</v>
      </c>
    </row>
    <row r="36568">
      <c r="A36568" s="39"/>
      <c r="E36568" s="40" t="s">
        <v>11404</v>
      </c>
      <c r="F36568" s="40" t="s">
        <v>11404</v>
      </c>
      <c r="G36568" s="40" t="s">
        <v>11404</v>
      </c>
      <c r="H36568" s="40" t="s">
        <v>11404</v>
      </c>
    </row>
    <row r="36569">
      <c r="A36569" s="39"/>
      <c r="E36569" s="40" t="s">
        <v>11404</v>
      </c>
      <c r="F36569" s="40" t="s">
        <v>11404</v>
      </c>
      <c r="G36569" s="40" t="s">
        <v>11404</v>
      </c>
      <c r="H36569" s="40" t="s">
        <v>11404</v>
      </c>
    </row>
    <row r="36570">
      <c r="A36570" s="39"/>
      <c r="E36570" s="40" t="s">
        <v>11404</v>
      </c>
      <c r="F36570" s="40" t="s">
        <v>11404</v>
      </c>
      <c r="G36570" s="40" t="s">
        <v>11404</v>
      </c>
      <c r="H36570" s="40" t="s">
        <v>11404</v>
      </c>
    </row>
    <row r="36571">
      <c r="A36571" s="39"/>
      <c r="E36571" s="40" t="s">
        <v>11404</v>
      </c>
      <c r="F36571" s="40" t="s">
        <v>11404</v>
      </c>
      <c r="G36571" s="40" t="s">
        <v>11404</v>
      </c>
      <c r="H36571" s="40" t="s">
        <v>11404</v>
      </c>
    </row>
    <row r="36572">
      <c r="A36572" s="39"/>
      <c r="E36572" s="40" t="s">
        <v>11404</v>
      </c>
      <c r="F36572" s="40" t="s">
        <v>11404</v>
      </c>
      <c r="G36572" s="40" t="s">
        <v>11404</v>
      </c>
      <c r="H36572" s="40" t="s">
        <v>11404</v>
      </c>
    </row>
    <row r="36573">
      <c r="A36573" s="39"/>
      <c r="E36573" s="40" t="s">
        <v>11404</v>
      </c>
      <c r="F36573" s="40" t="s">
        <v>11404</v>
      </c>
      <c r="G36573" s="40" t="s">
        <v>11404</v>
      </c>
      <c r="H36573" s="40" t="s">
        <v>11404</v>
      </c>
    </row>
    <row r="36574">
      <c r="A36574" s="39"/>
      <c r="E36574" s="40" t="s">
        <v>11404</v>
      </c>
      <c r="F36574" s="40" t="s">
        <v>11404</v>
      </c>
      <c r="G36574" s="40" t="s">
        <v>11404</v>
      </c>
      <c r="H36574" s="40" t="s">
        <v>11404</v>
      </c>
    </row>
    <row r="36575">
      <c r="A36575" s="39"/>
      <c r="E36575" s="40" t="s">
        <v>11404</v>
      </c>
      <c r="F36575" s="40" t="s">
        <v>11404</v>
      </c>
      <c r="G36575" s="40" t="s">
        <v>11404</v>
      </c>
      <c r="H36575" s="40" t="s">
        <v>11404</v>
      </c>
    </row>
    <row r="36576">
      <c r="A36576" s="39"/>
      <c r="E36576" s="40" t="s">
        <v>11404</v>
      </c>
      <c r="F36576" s="40" t="s">
        <v>11404</v>
      </c>
      <c r="G36576" s="40" t="s">
        <v>11404</v>
      </c>
      <c r="H36576" s="40" t="s">
        <v>11404</v>
      </c>
    </row>
    <row r="36577">
      <c r="A36577" s="39"/>
      <c r="E36577" s="40" t="s">
        <v>11404</v>
      </c>
      <c r="F36577" s="40" t="s">
        <v>11404</v>
      </c>
      <c r="G36577" s="40" t="s">
        <v>11404</v>
      </c>
      <c r="H36577" s="40" t="s">
        <v>11404</v>
      </c>
    </row>
    <row r="36578">
      <c r="A36578" s="39"/>
      <c r="E36578" s="40" t="s">
        <v>11404</v>
      </c>
      <c r="F36578" s="40" t="s">
        <v>11404</v>
      </c>
      <c r="G36578" s="40" t="s">
        <v>11404</v>
      </c>
      <c r="H36578" s="40" t="s">
        <v>11404</v>
      </c>
    </row>
    <row r="36579">
      <c r="A36579" s="39"/>
      <c r="E36579" s="40" t="s">
        <v>11404</v>
      </c>
      <c r="F36579" s="40" t="s">
        <v>11404</v>
      </c>
      <c r="G36579" s="40" t="s">
        <v>11404</v>
      </c>
      <c r="H36579" s="40" t="s">
        <v>11404</v>
      </c>
    </row>
    <row r="36580">
      <c r="A36580" s="39"/>
      <c r="E36580" s="40" t="s">
        <v>11404</v>
      </c>
      <c r="F36580" s="40" t="s">
        <v>11404</v>
      </c>
      <c r="G36580" s="40" t="s">
        <v>11404</v>
      </c>
      <c r="H36580" s="40" t="s">
        <v>11404</v>
      </c>
    </row>
    <row r="36581">
      <c r="A36581" s="39"/>
      <c r="E36581" s="40" t="s">
        <v>11404</v>
      </c>
      <c r="F36581" s="40" t="s">
        <v>11404</v>
      </c>
      <c r="G36581" s="40" t="s">
        <v>11404</v>
      </c>
      <c r="H36581" s="40" t="s">
        <v>11404</v>
      </c>
    </row>
    <row r="36582">
      <c r="A36582" s="39"/>
      <c r="E36582" s="40" t="s">
        <v>11404</v>
      </c>
      <c r="F36582" s="40" t="s">
        <v>11404</v>
      </c>
      <c r="G36582" s="40" t="s">
        <v>11404</v>
      </c>
      <c r="H36582" s="40" t="s">
        <v>11404</v>
      </c>
    </row>
    <row r="36583">
      <c r="A36583" s="39"/>
      <c r="E36583" s="40" t="s">
        <v>11404</v>
      </c>
      <c r="F36583" s="40" t="s">
        <v>11404</v>
      </c>
      <c r="G36583" s="40" t="s">
        <v>11404</v>
      </c>
      <c r="H36583" s="40" t="s">
        <v>11404</v>
      </c>
    </row>
    <row r="36584">
      <c r="A36584" s="39"/>
      <c r="E36584" s="40" t="s">
        <v>11404</v>
      </c>
      <c r="F36584" s="40" t="s">
        <v>11404</v>
      </c>
      <c r="G36584" s="40" t="s">
        <v>11404</v>
      </c>
      <c r="H36584" s="40" t="s">
        <v>11404</v>
      </c>
    </row>
    <row r="36585">
      <c r="A36585" s="39"/>
      <c r="E36585" s="40" t="s">
        <v>11404</v>
      </c>
      <c r="F36585" s="40" t="s">
        <v>11404</v>
      </c>
      <c r="G36585" s="40" t="s">
        <v>11404</v>
      </c>
      <c r="H36585" s="40" t="s">
        <v>11404</v>
      </c>
    </row>
    <row r="36586">
      <c r="A36586" s="39"/>
      <c r="E36586" s="40" t="s">
        <v>11404</v>
      </c>
      <c r="F36586" s="40" t="s">
        <v>11404</v>
      </c>
      <c r="G36586" s="40" t="s">
        <v>11404</v>
      </c>
      <c r="H36586" s="40" t="s">
        <v>11404</v>
      </c>
    </row>
    <row r="36587">
      <c r="A36587" s="39"/>
      <c r="E36587" s="40" t="s">
        <v>11404</v>
      </c>
      <c r="F36587" s="40" t="s">
        <v>11404</v>
      </c>
      <c r="G36587" s="40" t="s">
        <v>11404</v>
      </c>
      <c r="H36587" s="40" t="s">
        <v>11404</v>
      </c>
    </row>
    <row r="36588">
      <c r="A36588" s="39"/>
      <c r="E36588" s="40" t="s">
        <v>11404</v>
      </c>
      <c r="F36588" s="40" t="s">
        <v>11404</v>
      </c>
      <c r="G36588" s="40" t="s">
        <v>11404</v>
      </c>
      <c r="H36588" s="40" t="s">
        <v>11404</v>
      </c>
    </row>
    <row r="36589">
      <c r="A36589" s="39"/>
      <c r="E36589" s="40" t="s">
        <v>11404</v>
      </c>
      <c r="F36589" s="40" t="s">
        <v>11404</v>
      </c>
      <c r="G36589" s="40" t="s">
        <v>11404</v>
      </c>
      <c r="H36589" s="40" t="s">
        <v>11404</v>
      </c>
    </row>
    <row r="36590">
      <c r="A36590" s="39"/>
      <c r="E36590" s="40" t="s">
        <v>11404</v>
      </c>
      <c r="F36590" s="40" t="s">
        <v>11404</v>
      </c>
      <c r="G36590" s="40" t="s">
        <v>11404</v>
      </c>
      <c r="H36590" s="40" t="s">
        <v>11404</v>
      </c>
    </row>
    <row r="36591">
      <c r="A36591" s="39"/>
      <c r="E36591" s="40" t="s">
        <v>11404</v>
      </c>
      <c r="F36591" s="40" t="s">
        <v>11404</v>
      </c>
      <c r="G36591" s="40" t="s">
        <v>11404</v>
      </c>
      <c r="H36591" s="40" t="s">
        <v>11404</v>
      </c>
    </row>
    <row r="36592">
      <c r="A36592" s="39"/>
      <c r="E36592" s="40" t="s">
        <v>11404</v>
      </c>
      <c r="F36592" s="40" t="s">
        <v>11404</v>
      </c>
      <c r="G36592" s="40" t="s">
        <v>11404</v>
      </c>
      <c r="H36592" s="40" t="s">
        <v>11404</v>
      </c>
    </row>
    <row r="36593">
      <c r="A36593" s="39"/>
      <c r="E36593" s="40" t="s">
        <v>11404</v>
      </c>
      <c r="F36593" s="40" t="s">
        <v>11404</v>
      </c>
      <c r="G36593" s="40" t="s">
        <v>11404</v>
      </c>
      <c r="H36593" s="40" t="s">
        <v>11404</v>
      </c>
    </row>
    <row r="36594">
      <c r="A36594" s="39"/>
      <c r="E36594" s="40" t="s">
        <v>11404</v>
      </c>
      <c r="F36594" s="40" t="s">
        <v>11404</v>
      </c>
      <c r="G36594" s="40" t="s">
        <v>11404</v>
      </c>
      <c r="H36594" s="40" t="s">
        <v>11404</v>
      </c>
    </row>
    <row r="36595">
      <c r="A36595" s="39"/>
      <c r="E36595" s="40" t="s">
        <v>11404</v>
      </c>
      <c r="F36595" s="40" t="s">
        <v>11404</v>
      </c>
      <c r="G36595" s="40" t="s">
        <v>11404</v>
      </c>
      <c r="H36595" s="40" t="s">
        <v>11404</v>
      </c>
    </row>
    <row r="36596">
      <c r="A36596" s="39"/>
      <c r="E36596" s="40" t="s">
        <v>11404</v>
      </c>
      <c r="F36596" s="40" t="s">
        <v>11404</v>
      </c>
      <c r="G36596" s="40" t="s">
        <v>11404</v>
      </c>
      <c r="H36596" s="40" t="s">
        <v>11404</v>
      </c>
    </row>
    <row r="36597">
      <c r="A36597" s="39"/>
      <c r="E36597" s="40" t="s">
        <v>11404</v>
      </c>
      <c r="F36597" s="40" t="s">
        <v>11404</v>
      </c>
      <c r="G36597" s="40" t="s">
        <v>11404</v>
      </c>
      <c r="H36597" s="40" t="s">
        <v>11404</v>
      </c>
    </row>
    <row r="36598">
      <c r="A36598" s="39"/>
      <c r="E36598" s="40" t="s">
        <v>11404</v>
      </c>
      <c r="F36598" s="40" t="s">
        <v>11404</v>
      </c>
      <c r="G36598" s="40" t="s">
        <v>11404</v>
      </c>
      <c r="H36598" s="40" t="s">
        <v>11404</v>
      </c>
    </row>
    <row r="36599">
      <c r="A36599" s="39"/>
      <c r="E36599" s="40" t="s">
        <v>11404</v>
      </c>
      <c r="F36599" s="40" t="s">
        <v>11404</v>
      </c>
      <c r="G36599" s="40" t="s">
        <v>11404</v>
      </c>
      <c r="H36599" s="40" t="s">
        <v>11404</v>
      </c>
    </row>
    <row r="36600">
      <c r="A36600" s="39"/>
      <c r="E36600" s="40" t="s">
        <v>11404</v>
      </c>
      <c r="F36600" s="40" t="s">
        <v>11404</v>
      </c>
      <c r="G36600" s="40" t="s">
        <v>11404</v>
      </c>
      <c r="H36600" s="40" t="s">
        <v>11404</v>
      </c>
    </row>
    <row r="36601">
      <c r="A36601" s="39"/>
      <c r="E36601" s="40" t="s">
        <v>11404</v>
      </c>
      <c r="F36601" s="40" t="s">
        <v>11404</v>
      </c>
      <c r="G36601" s="40" t="s">
        <v>11404</v>
      </c>
      <c r="H36601" s="40" t="s">
        <v>11404</v>
      </c>
    </row>
    <row r="36602">
      <c r="A36602" s="39"/>
      <c r="E36602" s="40" t="s">
        <v>11404</v>
      </c>
      <c r="F36602" s="40" t="s">
        <v>11404</v>
      </c>
      <c r="G36602" s="40" t="s">
        <v>11404</v>
      </c>
      <c r="H36602" s="40" t="s">
        <v>11404</v>
      </c>
    </row>
    <row r="36603">
      <c r="A36603" s="39"/>
      <c r="E36603" s="40" t="s">
        <v>11404</v>
      </c>
      <c r="F36603" s="40" t="s">
        <v>11404</v>
      </c>
      <c r="G36603" s="40" t="s">
        <v>11404</v>
      </c>
      <c r="H36603" s="40" t="s">
        <v>11404</v>
      </c>
    </row>
    <row r="36604">
      <c r="A36604" s="39"/>
      <c r="E36604" s="40" t="s">
        <v>11404</v>
      </c>
      <c r="F36604" s="40" t="s">
        <v>11404</v>
      </c>
      <c r="G36604" s="40" t="s">
        <v>11404</v>
      </c>
      <c r="H36604" s="40" t="s">
        <v>11404</v>
      </c>
    </row>
    <row r="36605">
      <c r="A36605" s="39"/>
      <c r="E36605" s="40" t="s">
        <v>11404</v>
      </c>
      <c r="F36605" s="40" t="s">
        <v>11404</v>
      </c>
      <c r="G36605" s="40" t="s">
        <v>11404</v>
      </c>
      <c r="H36605" s="40" t="s">
        <v>11404</v>
      </c>
    </row>
    <row r="36606">
      <c r="A36606" s="39"/>
      <c r="E36606" s="40" t="s">
        <v>11404</v>
      </c>
      <c r="F36606" s="40" t="s">
        <v>11404</v>
      </c>
      <c r="G36606" s="40" t="s">
        <v>11404</v>
      </c>
      <c r="H36606" s="40" t="s">
        <v>11404</v>
      </c>
    </row>
    <row r="36607">
      <c r="A36607" s="39"/>
      <c r="E36607" s="40" t="s">
        <v>11404</v>
      </c>
      <c r="F36607" s="40" t="s">
        <v>11404</v>
      </c>
      <c r="G36607" s="40" t="s">
        <v>11404</v>
      </c>
      <c r="H36607" s="40" t="s">
        <v>11404</v>
      </c>
    </row>
    <row r="36608">
      <c r="A36608" s="39"/>
      <c r="E36608" s="40" t="s">
        <v>11404</v>
      </c>
      <c r="F36608" s="40" t="s">
        <v>11404</v>
      </c>
      <c r="G36608" s="40" t="s">
        <v>11404</v>
      </c>
      <c r="H36608" s="40" t="s">
        <v>11404</v>
      </c>
    </row>
    <row r="36609">
      <c r="A36609" s="39"/>
      <c r="E36609" s="40" t="s">
        <v>11404</v>
      </c>
      <c r="F36609" s="40" t="s">
        <v>11404</v>
      </c>
      <c r="G36609" s="40" t="s">
        <v>11404</v>
      </c>
      <c r="H36609" s="40" t="s">
        <v>11404</v>
      </c>
    </row>
    <row r="36610">
      <c r="A36610" s="39"/>
      <c r="E36610" s="40" t="s">
        <v>11404</v>
      </c>
      <c r="F36610" s="40" t="s">
        <v>11404</v>
      </c>
      <c r="G36610" s="40" t="s">
        <v>11404</v>
      </c>
      <c r="H36610" s="40" t="s">
        <v>11404</v>
      </c>
    </row>
    <row r="36611">
      <c r="A36611" s="39"/>
      <c r="E36611" s="40" t="s">
        <v>11404</v>
      </c>
      <c r="F36611" s="40" t="s">
        <v>11404</v>
      </c>
      <c r="G36611" s="40" t="s">
        <v>11404</v>
      </c>
      <c r="H36611" s="40" t="s">
        <v>11404</v>
      </c>
    </row>
    <row r="36612">
      <c r="A36612" s="39"/>
      <c r="E36612" s="40" t="s">
        <v>11404</v>
      </c>
      <c r="F36612" s="40" t="s">
        <v>11404</v>
      </c>
      <c r="G36612" s="40" t="s">
        <v>11404</v>
      </c>
      <c r="H36612" s="40" t="s">
        <v>11404</v>
      </c>
    </row>
    <row r="36613">
      <c r="A36613" s="39"/>
      <c r="E36613" s="40" t="s">
        <v>11404</v>
      </c>
      <c r="F36613" s="40" t="s">
        <v>11404</v>
      </c>
      <c r="G36613" s="40" t="s">
        <v>11404</v>
      </c>
      <c r="H36613" s="40" t="s">
        <v>11404</v>
      </c>
    </row>
    <row r="36614">
      <c r="A36614" s="39"/>
      <c r="E36614" s="40" t="s">
        <v>11404</v>
      </c>
      <c r="F36614" s="40" t="s">
        <v>11404</v>
      </c>
      <c r="G36614" s="40" t="s">
        <v>11404</v>
      </c>
      <c r="H36614" s="40" t="s">
        <v>11404</v>
      </c>
    </row>
    <row r="36615">
      <c r="A36615" s="39"/>
      <c r="E36615" s="40" t="s">
        <v>11404</v>
      </c>
      <c r="F36615" s="40" t="s">
        <v>11404</v>
      </c>
      <c r="G36615" s="40" t="s">
        <v>11404</v>
      </c>
      <c r="H36615" s="40" t="s">
        <v>11404</v>
      </c>
    </row>
    <row r="36616">
      <c r="A36616" s="39"/>
      <c r="E36616" s="40" t="s">
        <v>11404</v>
      </c>
      <c r="F36616" s="40" t="s">
        <v>11404</v>
      </c>
      <c r="G36616" s="40" t="s">
        <v>11404</v>
      </c>
      <c r="H36616" s="40" t="s">
        <v>11404</v>
      </c>
    </row>
    <row r="36617">
      <c r="A36617" s="39"/>
      <c r="E36617" s="40" t="s">
        <v>11404</v>
      </c>
      <c r="F36617" s="40" t="s">
        <v>11404</v>
      </c>
      <c r="G36617" s="40" t="s">
        <v>11404</v>
      </c>
      <c r="H36617" s="40" t="s">
        <v>11404</v>
      </c>
    </row>
    <row r="36618">
      <c r="A36618" s="39"/>
      <c r="E36618" s="40" t="s">
        <v>11404</v>
      </c>
      <c r="F36618" s="40" t="s">
        <v>11404</v>
      </c>
      <c r="G36618" s="40" t="s">
        <v>11404</v>
      </c>
      <c r="H36618" s="40" t="s">
        <v>11404</v>
      </c>
    </row>
    <row r="36619">
      <c r="A36619" s="39"/>
      <c r="E36619" s="40" t="s">
        <v>11404</v>
      </c>
      <c r="F36619" s="40" t="s">
        <v>11404</v>
      </c>
      <c r="G36619" s="40" t="s">
        <v>11404</v>
      </c>
      <c r="H36619" s="40" t="s">
        <v>11404</v>
      </c>
    </row>
    <row r="36620">
      <c r="A36620" s="39"/>
      <c r="E36620" s="40" t="s">
        <v>11404</v>
      </c>
      <c r="F36620" s="40" t="s">
        <v>11404</v>
      </c>
      <c r="G36620" s="40" t="s">
        <v>11404</v>
      </c>
      <c r="H36620" s="40" t="s">
        <v>11404</v>
      </c>
    </row>
    <row r="36621">
      <c r="A36621" s="39"/>
      <c r="E36621" s="40" t="s">
        <v>11404</v>
      </c>
      <c r="F36621" s="40" t="s">
        <v>11404</v>
      </c>
      <c r="G36621" s="40" t="s">
        <v>11404</v>
      </c>
      <c r="H36621" s="40" t="s">
        <v>11404</v>
      </c>
    </row>
    <row r="36622">
      <c r="A36622" s="39"/>
      <c r="E36622" s="40" t="s">
        <v>11404</v>
      </c>
      <c r="F36622" s="40" t="s">
        <v>11404</v>
      </c>
      <c r="G36622" s="40" t="s">
        <v>11404</v>
      </c>
      <c r="H36622" s="40" t="s">
        <v>11404</v>
      </c>
    </row>
    <row r="36623">
      <c r="A36623" s="39"/>
      <c r="E36623" s="40" t="s">
        <v>11404</v>
      </c>
      <c r="F36623" s="40" t="s">
        <v>11404</v>
      </c>
      <c r="G36623" s="40" t="s">
        <v>11404</v>
      </c>
      <c r="H36623" s="40" t="s">
        <v>11404</v>
      </c>
    </row>
    <row r="36624">
      <c r="A36624" s="39"/>
      <c r="E36624" s="40" t="s">
        <v>11404</v>
      </c>
      <c r="F36624" s="40" t="s">
        <v>11404</v>
      </c>
      <c r="G36624" s="40" t="s">
        <v>11404</v>
      </c>
      <c r="H36624" s="40" t="s">
        <v>11404</v>
      </c>
    </row>
    <row r="36625">
      <c r="A36625" s="39"/>
      <c r="E36625" s="40" t="s">
        <v>11404</v>
      </c>
      <c r="F36625" s="40" t="s">
        <v>11404</v>
      </c>
      <c r="G36625" s="40" t="s">
        <v>11404</v>
      </c>
      <c r="H36625" s="40" t="s">
        <v>11404</v>
      </c>
    </row>
    <row r="36626">
      <c r="A36626" s="39"/>
      <c r="E36626" s="40" t="s">
        <v>11404</v>
      </c>
      <c r="F36626" s="40" t="s">
        <v>11404</v>
      </c>
      <c r="G36626" s="40" t="s">
        <v>11404</v>
      </c>
      <c r="H36626" s="40" t="s">
        <v>11404</v>
      </c>
    </row>
    <row r="36627">
      <c r="A36627" s="39"/>
      <c r="E36627" s="40" t="s">
        <v>11404</v>
      </c>
      <c r="F36627" s="40" t="s">
        <v>11404</v>
      </c>
      <c r="G36627" s="40" t="s">
        <v>11404</v>
      </c>
      <c r="H36627" s="40" t="s">
        <v>11404</v>
      </c>
    </row>
    <row r="36628">
      <c r="A36628" s="39"/>
      <c r="E36628" s="40" t="s">
        <v>11404</v>
      </c>
      <c r="F36628" s="40" t="s">
        <v>11404</v>
      </c>
      <c r="G36628" s="40" t="s">
        <v>11404</v>
      </c>
      <c r="H36628" s="40" t="s">
        <v>11404</v>
      </c>
    </row>
    <row r="36629">
      <c r="A36629" s="39"/>
      <c r="E36629" s="40" t="s">
        <v>11404</v>
      </c>
      <c r="F36629" s="40" t="s">
        <v>11404</v>
      </c>
      <c r="G36629" s="40" t="s">
        <v>11404</v>
      </c>
      <c r="H36629" s="40" t="s">
        <v>11404</v>
      </c>
    </row>
    <row r="36630">
      <c r="A36630" s="39"/>
      <c r="E36630" s="40" t="s">
        <v>11404</v>
      </c>
      <c r="F36630" s="40" t="s">
        <v>11404</v>
      </c>
      <c r="G36630" s="40" t="s">
        <v>11404</v>
      </c>
      <c r="H36630" s="40" t="s">
        <v>11404</v>
      </c>
    </row>
    <row r="36631">
      <c r="A36631" s="39"/>
      <c r="E36631" s="40" t="s">
        <v>11404</v>
      </c>
      <c r="F36631" s="40" t="s">
        <v>11404</v>
      </c>
      <c r="G36631" s="40" t="s">
        <v>11404</v>
      </c>
      <c r="H36631" s="40" t="s">
        <v>11404</v>
      </c>
    </row>
    <row r="36632">
      <c r="A36632" s="39"/>
      <c r="E36632" s="40" t="s">
        <v>11404</v>
      </c>
      <c r="F36632" s="40" t="s">
        <v>11404</v>
      </c>
      <c r="G36632" s="40" t="s">
        <v>11404</v>
      </c>
      <c r="H36632" s="40" t="s">
        <v>11404</v>
      </c>
    </row>
    <row r="36633">
      <c r="A36633" s="39"/>
      <c r="E36633" s="40" t="s">
        <v>11404</v>
      </c>
      <c r="F36633" s="40" t="s">
        <v>11404</v>
      </c>
      <c r="G36633" s="40" t="s">
        <v>11404</v>
      </c>
      <c r="H36633" s="40" t="s">
        <v>11404</v>
      </c>
    </row>
    <row r="36634">
      <c r="A36634" s="39"/>
      <c r="E36634" s="40" t="s">
        <v>11404</v>
      </c>
      <c r="F36634" s="40" t="s">
        <v>11404</v>
      </c>
      <c r="G36634" s="40" t="s">
        <v>11404</v>
      </c>
      <c r="H36634" s="40" t="s">
        <v>11404</v>
      </c>
    </row>
    <row r="36635">
      <c r="A36635" s="39"/>
      <c r="E36635" s="40" t="s">
        <v>11404</v>
      </c>
      <c r="F36635" s="40" t="s">
        <v>11404</v>
      </c>
      <c r="G36635" s="40" t="s">
        <v>11404</v>
      </c>
      <c r="H36635" s="40" t="s">
        <v>11404</v>
      </c>
    </row>
    <row r="36636">
      <c r="A36636" s="39"/>
      <c r="E36636" s="40" t="s">
        <v>11404</v>
      </c>
      <c r="F36636" s="40" t="s">
        <v>11404</v>
      </c>
      <c r="G36636" s="40" t="s">
        <v>11404</v>
      </c>
      <c r="H36636" s="40" t="s">
        <v>11404</v>
      </c>
    </row>
    <row r="36637">
      <c r="A36637" s="39"/>
      <c r="E36637" s="40" t="s">
        <v>11404</v>
      </c>
      <c r="F36637" s="40" t="s">
        <v>11404</v>
      </c>
      <c r="G36637" s="40" t="s">
        <v>11404</v>
      </c>
      <c r="H36637" s="40" t="s">
        <v>11404</v>
      </c>
    </row>
    <row r="36638">
      <c r="A36638" s="39"/>
      <c r="E36638" s="40" t="s">
        <v>11404</v>
      </c>
      <c r="F36638" s="40" t="s">
        <v>11404</v>
      </c>
      <c r="G36638" s="40" t="s">
        <v>11404</v>
      </c>
      <c r="H36638" s="40" t="s">
        <v>11404</v>
      </c>
    </row>
    <row r="36639">
      <c r="A36639" s="39"/>
      <c r="E36639" s="40" t="s">
        <v>11404</v>
      </c>
      <c r="F36639" s="40" t="s">
        <v>11404</v>
      </c>
      <c r="G36639" s="40" t="s">
        <v>11404</v>
      </c>
      <c r="H36639" s="40" t="s">
        <v>11404</v>
      </c>
    </row>
    <row r="36640">
      <c r="A36640" s="39"/>
      <c r="E36640" s="40" t="s">
        <v>11404</v>
      </c>
      <c r="F36640" s="40" t="s">
        <v>11404</v>
      </c>
      <c r="G36640" s="40" t="s">
        <v>11404</v>
      </c>
      <c r="H36640" s="40" t="s">
        <v>11404</v>
      </c>
    </row>
    <row r="36641">
      <c r="A36641" s="39"/>
      <c r="E36641" s="40" t="s">
        <v>11404</v>
      </c>
      <c r="F36641" s="40" t="s">
        <v>11404</v>
      </c>
      <c r="G36641" s="40" t="s">
        <v>11404</v>
      </c>
      <c r="H36641" s="40" t="s">
        <v>11404</v>
      </c>
    </row>
    <row r="36642">
      <c r="A36642" s="39"/>
      <c r="E36642" s="40" t="s">
        <v>11404</v>
      </c>
      <c r="F36642" s="40" t="s">
        <v>11404</v>
      </c>
      <c r="G36642" s="40" t="s">
        <v>11404</v>
      </c>
      <c r="H36642" s="40" t="s">
        <v>11404</v>
      </c>
    </row>
    <row r="36643">
      <c r="A36643" s="39"/>
      <c r="E36643" s="40" t="s">
        <v>11404</v>
      </c>
      <c r="F36643" s="40" t="s">
        <v>11404</v>
      </c>
      <c r="G36643" s="40" t="s">
        <v>11404</v>
      </c>
      <c r="H36643" s="40" t="s">
        <v>11404</v>
      </c>
    </row>
    <row r="36644">
      <c r="A36644" s="39"/>
      <c r="E36644" s="40" t="s">
        <v>11404</v>
      </c>
      <c r="F36644" s="40" t="s">
        <v>11404</v>
      </c>
      <c r="G36644" s="40" t="s">
        <v>11404</v>
      </c>
      <c r="H36644" s="40" t="s">
        <v>11404</v>
      </c>
    </row>
    <row r="36645">
      <c r="A36645" s="39"/>
      <c r="E36645" s="40" t="s">
        <v>11404</v>
      </c>
      <c r="F36645" s="40" t="s">
        <v>11404</v>
      </c>
      <c r="G36645" s="40" t="s">
        <v>11404</v>
      </c>
      <c r="H36645" s="40" t="s">
        <v>11404</v>
      </c>
    </row>
    <row r="36646">
      <c r="A36646" s="39"/>
      <c r="E36646" s="40" t="s">
        <v>11404</v>
      </c>
      <c r="F36646" s="40" t="s">
        <v>11404</v>
      </c>
      <c r="G36646" s="40" t="s">
        <v>11404</v>
      </c>
      <c r="H36646" s="40" t="s">
        <v>11404</v>
      </c>
    </row>
    <row r="36647">
      <c r="A36647" s="39"/>
      <c r="E36647" s="40" t="s">
        <v>11404</v>
      </c>
      <c r="F36647" s="40" t="s">
        <v>11404</v>
      </c>
      <c r="G36647" s="40" t="s">
        <v>11404</v>
      </c>
      <c r="H36647" s="40" t="s">
        <v>11404</v>
      </c>
    </row>
    <row r="36648">
      <c r="A36648" s="39"/>
      <c r="E36648" s="40" t="s">
        <v>11404</v>
      </c>
      <c r="F36648" s="40" t="s">
        <v>11404</v>
      </c>
      <c r="G36648" s="40" t="s">
        <v>11404</v>
      </c>
      <c r="H36648" s="40" t="s">
        <v>11404</v>
      </c>
    </row>
    <row r="36649">
      <c r="A36649" s="39"/>
      <c r="E36649" s="40" t="s">
        <v>11404</v>
      </c>
      <c r="F36649" s="40" t="s">
        <v>11404</v>
      </c>
      <c r="G36649" s="40" t="s">
        <v>11404</v>
      </c>
      <c r="H36649" s="40" t="s">
        <v>11404</v>
      </c>
    </row>
    <row r="36650">
      <c r="A36650" s="39"/>
      <c r="E36650" s="40" t="s">
        <v>11404</v>
      </c>
      <c r="F36650" s="40" t="s">
        <v>11404</v>
      </c>
      <c r="G36650" s="40" t="s">
        <v>11404</v>
      </c>
      <c r="H36650" s="40" t="s">
        <v>11404</v>
      </c>
    </row>
    <row r="36651">
      <c r="A36651" s="39"/>
      <c r="E36651" s="40" t="s">
        <v>11404</v>
      </c>
      <c r="F36651" s="40" t="s">
        <v>11404</v>
      </c>
      <c r="G36651" s="40" t="s">
        <v>11404</v>
      </c>
      <c r="H36651" s="40" t="s">
        <v>11404</v>
      </c>
    </row>
    <row r="36652">
      <c r="A36652" s="39"/>
      <c r="E36652" s="40" t="s">
        <v>11404</v>
      </c>
      <c r="F36652" s="40" t="s">
        <v>11404</v>
      </c>
      <c r="G36652" s="40" t="s">
        <v>11404</v>
      </c>
      <c r="H36652" s="40" t="s">
        <v>11404</v>
      </c>
    </row>
    <row r="36653">
      <c r="A36653" s="39"/>
      <c r="E36653" s="40" t="s">
        <v>11404</v>
      </c>
      <c r="F36653" s="40" t="s">
        <v>11404</v>
      </c>
      <c r="G36653" s="40" t="s">
        <v>11404</v>
      </c>
      <c r="H36653" s="40" t="s">
        <v>11404</v>
      </c>
    </row>
    <row r="36654">
      <c r="A36654" s="39"/>
      <c r="E36654" s="40" t="s">
        <v>11404</v>
      </c>
      <c r="F36654" s="40" t="s">
        <v>11404</v>
      </c>
      <c r="G36654" s="40" t="s">
        <v>11404</v>
      </c>
      <c r="H36654" s="40" t="s">
        <v>11404</v>
      </c>
    </row>
    <row r="36655">
      <c r="A36655" s="39"/>
      <c r="E36655" s="40" t="s">
        <v>11404</v>
      </c>
      <c r="F36655" s="40" t="s">
        <v>11404</v>
      </c>
      <c r="G36655" s="40" t="s">
        <v>11404</v>
      </c>
      <c r="H36655" s="40" t="s">
        <v>11404</v>
      </c>
    </row>
    <row r="36656">
      <c r="A36656" s="39"/>
      <c r="E36656" s="40" t="s">
        <v>11404</v>
      </c>
      <c r="F36656" s="40" t="s">
        <v>11404</v>
      </c>
      <c r="G36656" s="40" t="s">
        <v>11404</v>
      </c>
      <c r="H36656" s="40" t="s">
        <v>11404</v>
      </c>
    </row>
    <row r="36657">
      <c r="A36657" s="39"/>
      <c r="E36657" s="40" t="s">
        <v>11404</v>
      </c>
      <c r="F36657" s="40" t="s">
        <v>11404</v>
      </c>
      <c r="G36657" s="40" t="s">
        <v>11404</v>
      </c>
      <c r="H36657" s="40" t="s">
        <v>11404</v>
      </c>
    </row>
    <row r="36658">
      <c r="A36658" s="39"/>
      <c r="E36658" s="40" t="s">
        <v>11404</v>
      </c>
      <c r="F36658" s="40" t="s">
        <v>11404</v>
      </c>
      <c r="G36658" s="40" t="s">
        <v>11404</v>
      </c>
      <c r="H36658" s="40" t="s">
        <v>11404</v>
      </c>
    </row>
    <row r="36659">
      <c r="A36659" s="39"/>
      <c r="E36659" s="40" t="s">
        <v>11404</v>
      </c>
      <c r="F36659" s="40" t="s">
        <v>11404</v>
      </c>
      <c r="G36659" s="40" t="s">
        <v>11404</v>
      </c>
      <c r="H36659" s="40" t="s">
        <v>11404</v>
      </c>
    </row>
    <row r="36660">
      <c r="A36660" s="39"/>
      <c r="E36660" s="40" t="s">
        <v>11404</v>
      </c>
      <c r="F36660" s="40" t="s">
        <v>11404</v>
      </c>
      <c r="G36660" s="40" t="s">
        <v>11404</v>
      </c>
      <c r="H36660" s="40" t="s">
        <v>11404</v>
      </c>
    </row>
    <row r="36661">
      <c r="A36661" s="39"/>
      <c r="E36661" s="40" t="s">
        <v>11404</v>
      </c>
      <c r="F36661" s="40" t="s">
        <v>11404</v>
      </c>
      <c r="G36661" s="40" t="s">
        <v>11404</v>
      </c>
      <c r="H36661" s="40" t="s">
        <v>11404</v>
      </c>
    </row>
    <row r="36662">
      <c r="A36662" s="39"/>
      <c r="E36662" s="40" t="s">
        <v>11404</v>
      </c>
      <c r="F36662" s="40" t="s">
        <v>11404</v>
      </c>
      <c r="G36662" s="40" t="s">
        <v>11404</v>
      </c>
      <c r="H36662" s="40" t="s">
        <v>11404</v>
      </c>
    </row>
    <row r="36663">
      <c r="A36663" s="39"/>
      <c r="E36663" s="40" t="s">
        <v>11404</v>
      </c>
      <c r="F36663" s="40" t="s">
        <v>11404</v>
      </c>
      <c r="G36663" s="40" t="s">
        <v>11404</v>
      </c>
      <c r="H36663" s="40" t="s">
        <v>11404</v>
      </c>
    </row>
    <row r="36664">
      <c r="A36664" s="39"/>
      <c r="E36664" s="40" t="s">
        <v>11404</v>
      </c>
      <c r="F36664" s="40" t="s">
        <v>11404</v>
      </c>
      <c r="G36664" s="40" t="s">
        <v>11404</v>
      </c>
      <c r="H36664" s="40" t="s">
        <v>11404</v>
      </c>
    </row>
    <row r="36665">
      <c r="A36665" s="39"/>
      <c r="E36665" s="40" t="s">
        <v>11404</v>
      </c>
      <c r="F36665" s="40" t="s">
        <v>11404</v>
      </c>
      <c r="G36665" s="40" t="s">
        <v>11404</v>
      </c>
      <c r="H36665" s="40" t="s">
        <v>11404</v>
      </c>
    </row>
    <row r="36666">
      <c r="A36666" s="39"/>
      <c r="E36666" s="40" t="s">
        <v>11404</v>
      </c>
      <c r="F36666" s="40" t="s">
        <v>11404</v>
      </c>
      <c r="G36666" s="40" t="s">
        <v>11404</v>
      </c>
      <c r="H36666" s="40" t="s">
        <v>11404</v>
      </c>
    </row>
    <row r="36667">
      <c r="A36667" s="39"/>
      <c r="E36667" s="40" t="s">
        <v>11404</v>
      </c>
      <c r="F36667" s="40" t="s">
        <v>11404</v>
      </c>
      <c r="G36667" s="40" t="s">
        <v>11404</v>
      </c>
      <c r="H36667" s="40" t="s">
        <v>11404</v>
      </c>
    </row>
    <row r="36668">
      <c r="A36668" s="39"/>
      <c r="E36668" s="40" t="s">
        <v>11404</v>
      </c>
      <c r="F36668" s="40" t="s">
        <v>11404</v>
      </c>
      <c r="G36668" s="40" t="s">
        <v>11404</v>
      </c>
      <c r="H36668" s="40" t="s">
        <v>11404</v>
      </c>
    </row>
    <row r="36669">
      <c r="A36669" s="39"/>
      <c r="E36669" s="40" t="s">
        <v>11404</v>
      </c>
      <c r="F36669" s="40" t="s">
        <v>11404</v>
      </c>
      <c r="G36669" s="40" t="s">
        <v>11404</v>
      </c>
      <c r="H36669" s="40" t="s">
        <v>11404</v>
      </c>
    </row>
    <row r="36670">
      <c r="A36670" s="39"/>
      <c r="E36670" s="40" t="s">
        <v>11404</v>
      </c>
      <c r="F36670" s="40" t="s">
        <v>11404</v>
      </c>
      <c r="G36670" s="40" t="s">
        <v>11404</v>
      </c>
      <c r="H36670" s="40" t="s">
        <v>11404</v>
      </c>
    </row>
    <row r="36671">
      <c r="A36671" s="39"/>
      <c r="E36671" s="40" t="s">
        <v>11404</v>
      </c>
      <c r="F36671" s="40" t="s">
        <v>11404</v>
      </c>
      <c r="G36671" s="40" t="s">
        <v>11404</v>
      </c>
      <c r="H36671" s="40" t="s">
        <v>11404</v>
      </c>
    </row>
    <row r="36672">
      <c r="A36672" s="39"/>
      <c r="E36672" s="40" t="s">
        <v>11404</v>
      </c>
      <c r="F36672" s="40" t="s">
        <v>11404</v>
      </c>
      <c r="G36672" s="40" t="s">
        <v>11404</v>
      </c>
      <c r="H36672" s="40" t="s">
        <v>11404</v>
      </c>
    </row>
    <row r="36673">
      <c r="A36673" s="39"/>
      <c r="E36673" s="40" t="s">
        <v>11404</v>
      </c>
      <c r="F36673" s="40" t="s">
        <v>11404</v>
      </c>
      <c r="G36673" s="40" t="s">
        <v>11404</v>
      </c>
      <c r="H36673" s="40" t="s">
        <v>11404</v>
      </c>
    </row>
    <row r="36674">
      <c r="A36674" s="39"/>
      <c r="E36674" s="40" t="s">
        <v>11404</v>
      </c>
      <c r="F36674" s="40" t="s">
        <v>11404</v>
      </c>
      <c r="G36674" s="40" t="s">
        <v>11404</v>
      </c>
      <c r="H36674" s="40" t="s">
        <v>11404</v>
      </c>
    </row>
    <row r="36675">
      <c r="A36675" s="39"/>
      <c r="E36675" s="40" t="s">
        <v>11404</v>
      </c>
      <c r="F36675" s="40" t="s">
        <v>11404</v>
      </c>
      <c r="G36675" s="40" t="s">
        <v>11404</v>
      </c>
      <c r="H36675" s="40" t="s">
        <v>11404</v>
      </c>
    </row>
    <row r="36676">
      <c r="A36676" s="39"/>
      <c r="E36676" s="40" t="s">
        <v>11404</v>
      </c>
      <c r="F36676" s="40" t="s">
        <v>11404</v>
      </c>
      <c r="G36676" s="40" t="s">
        <v>11404</v>
      </c>
      <c r="H36676" s="40" t="s">
        <v>11404</v>
      </c>
    </row>
    <row r="36677">
      <c r="A36677" s="39"/>
      <c r="E36677" s="40" t="s">
        <v>11404</v>
      </c>
      <c r="F36677" s="40" t="s">
        <v>11404</v>
      </c>
      <c r="G36677" s="40" t="s">
        <v>11404</v>
      </c>
      <c r="H36677" s="40" t="s">
        <v>11404</v>
      </c>
    </row>
    <row r="36678">
      <c r="A36678" s="39"/>
      <c r="E36678" s="40" t="s">
        <v>11404</v>
      </c>
      <c r="F36678" s="40" t="s">
        <v>11404</v>
      </c>
      <c r="G36678" s="40" t="s">
        <v>11404</v>
      </c>
      <c r="H36678" s="40" t="s">
        <v>11404</v>
      </c>
    </row>
    <row r="36679">
      <c r="A36679" s="39"/>
      <c r="E36679" s="40" t="s">
        <v>11404</v>
      </c>
      <c r="F36679" s="40" t="s">
        <v>11404</v>
      </c>
      <c r="G36679" s="40" t="s">
        <v>11404</v>
      </c>
      <c r="H36679" s="40" t="s">
        <v>11404</v>
      </c>
    </row>
    <row r="36680">
      <c r="A36680" s="39"/>
      <c r="E36680" s="40" t="s">
        <v>11404</v>
      </c>
      <c r="F36680" s="40" t="s">
        <v>11404</v>
      </c>
      <c r="G36680" s="40" t="s">
        <v>11404</v>
      </c>
      <c r="H36680" s="40" t="s">
        <v>11404</v>
      </c>
    </row>
    <row r="36681">
      <c r="A36681" s="39"/>
      <c r="E36681" s="40" t="s">
        <v>11404</v>
      </c>
      <c r="F36681" s="40" t="s">
        <v>11404</v>
      </c>
      <c r="G36681" s="40" t="s">
        <v>11404</v>
      </c>
      <c r="H36681" s="40" t="s">
        <v>11404</v>
      </c>
    </row>
    <row r="36682">
      <c r="A36682" s="39"/>
      <c r="E36682" s="40" t="s">
        <v>11404</v>
      </c>
      <c r="F36682" s="40" t="s">
        <v>11404</v>
      </c>
      <c r="G36682" s="40" t="s">
        <v>11404</v>
      </c>
      <c r="H36682" s="40" t="s">
        <v>11404</v>
      </c>
    </row>
    <row r="36683">
      <c r="A36683" s="39"/>
      <c r="E36683" s="40" t="s">
        <v>11404</v>
      </c>
      <c r="F36683" s="40" t="s">
        <v>11404</v>
      </c>
      <c r="G36683" s="40" t="s">
        <v>11404</v>
      </c>
      <c r="H36683" s="40" t="s">
        <v>11404</v>
      </c>
    </row>
    <row r="36684">
      <c r="A36684" s="39"/>
      <c r="E36684" s="40" t="s">
        <v>11404</v>
      </c>
      <c r="F36684" s="40" t="s">
        <v>11404</v>
      </c>
      <c r="G36684" s="40" t="s">
        <v>11404</v>
      </c>
      <c r="H36684" s="40" t="s">
        <v>11404</v>
      </c>
    </row>
    <row r="36685">
      <c r="A36685" s="39"/>
      <c r="E36685" s="40" t="s">
        <v>11404</v>
      </c>
      <c r="F36685" s="40" t="s">
        <v>11404</v>
      </c>
      <c r="G36685" s="40" t="s">
        <v>11404</v>
      </c>
      <c r="H36685" s="40" t="s">
        <v>11404</v>
      </c>
    </row>
    <row r="36686">
      <c r="A36686" s="39"/>
      <c r="E36686" s="40" t="s">
        <v>11404</v>
      </c>
      <c r="F36686" s="40" t="s">
        <v>11404</v>
      </c>
      <c r="G36686" s="40" t="s">
        <v>11404</v>
      </c>
      <c r="H36686" s="40" t="s">
        <v>11404</v>
      </c>
    </row>
    <row r="36687">
      <c r="A36687" s="39"/>
      <c r="E36687" s="40" t="s">
        <v>11404</v>
      </c>
      <c r="F36687" s="40" t="s">
        <v>11404</v>
      </c>
      <c r="G36687" s="40" t="s">
        <v>11404</v>
      </c>
      <c r="H36687" s="40" t="s">
        <v>11404</v>
      </c>
    </row>
    <row r="36688">
      <c r="A36688" s="39"/>
      <c r="E36688" s="40" t="s">
        <v>11404</v>
      </c>
      <c r="F36688" s="40" t="s">
        <v>11404</v>
      </c>
      <c r="G36688" s="40" t="s">
        <v>11404</v>
      </c>
      <c r="H36688" s="40" t="s">
        <v>11404</v>
      </c>
    </row>
    <row r="36689">
      <c r="A36689" s="39"/>
      <c r="E36689" s="40" t="s">
        <v>11404</v>
      </c>
      <c r="F36689" s="40" t="s">
        <v>11404</v>
      </c>
      <c r="G36689" s="40" t="s">
        <v>11404</v>
      </c>
      <c r="H36689" s="40" t="s">
        <v>11404</v>
      </c>
    </row>
    <row r="36690">
      <c r="A36690" s="39"/>
      <c r="E36690" s="40" t="s">
        <v>11404</v>
      </c>
      <c r="F36690" s="40" t="s">
        <v>11404</v>
      </c>
      <c r="G36690" s="40" t="s">
        <v>11404</v>
      </c>
      <c r="H36690" s="40" t="s">
        <v>11404</v>
      </c>
    </row>
    <row r="36691">
      <c r="A36691" s="39"/>
      <c r="E36691" s="40" t="s">
        <v>11404</v>
      </c>
      <c r="F36691" s="40" t="s">
        <v>11404</v>
      </c>
      <c r="G36691" s="40" t="s">
        <v>11404</v>
      </c>
      <c r="H36691" s="40" t="s">
        <v>11404</v>
      </c>
    </row>
    <row r="36692">
      <c r="A36692" s="39"/>
      <c r="E36692" s="40" t="s">
        <v>11404</v>
      </c>
      <c r="F36692" s="40" t="s">
        <v>11404</v>
      </c>
      <c r="G36692" s="40" t="s">
        <v>11404</v>
      </c>
      <c r="H36692" s="40" t="s">
        <v>11404</v>
      </c>
    </row>
    <row r="36693">
      <c r="A36693" s="39"/>
      <c r="E36693" s="40" t="s">
        <v>11404</v>
      </c>
      <c r="F36693" s="40" t="s">
        <v>11404</v>
      </c>
      <c r="G36693" s="40" t="s">
        <v>11404</v>
      </c>
      <c r="H36693" s="40" t="s">
        <v>11404</v>
      </c>
    </row>
    <row r="36694">
      <c r="A36694" s="39"/>
      <c r="E36694" s="40" t="s">
        <v>11404</v>
      </c>
      <c r="F36694" s="40" t="s">
        <v>11404</v>
      </c>
      <c r="G36694" s="40" t="s">
        <v>11404</v>
      </c>
      <c r="H36694" s="40" t="s">
        <v>11404</v>
      </c>
    </row>
    <row r="36695">
      <c r="A36695" s="39"/>
      <c r="E36695" s="40" t="s">
        <v>11404</v>
      </c>
      <c r="F36695" s="40" t="s">
        <v>11404</v>
      </c>
      <c r="G36695" s="40" t="s">
        <v>11404</v>
      </c>
      <c r="H36695" s="40" t="s">
        <v>11404</v>
      </c>
    </row>
    <row r="36696">
      <c r="A36696" s="39"/>
      <c r="E36696" s="40" t="s">
        <v>11404</v>
      </c>
      <c r="F36696" s="40" t="s">
        <v>11404</v>
      </c>
      <c r="G36696" s="40" t="s">
        <v>11404</v>
      </c>
      <c r="H36696" s="40" t="s">
        <v>11404</v>
      </c>
    </row>
    <row r="36697">
      <c r="A36697" s="39"/>
      <c r="E36697" s="40" t="s">
        <v>11404</v>
      </c>
      <c r="F36697" s="40" t="s">
        <v>11404</v>
      </c>
      <c r="G36697" s="40" t="s">
        <v>11404</v>
      </c>
      <c r="H36697" s="40" t="s">
        <v>11404</v>
      </c>
    </row>
    <row r="36698">
      <c r="A36698" s="39"/>
      <c r="E36698" s="40" t="s">
        <v>11404</v>
      </c>
      <c r="F36698" s="40" t="s">
        <v>11404</v>
      </c>
      <c r="G36698" s="40" t="s">
        <v>11404</v>
      </c>
      <c r="H36698" s="40" t="s">
        <v>11404</v>
      </c>
    </row>
    <row r="36699">
      <c r="A36699" s="39"/>
      <c r="E36699" s="40" t="s">
        <v>11404</v>
      </c>
      <c r="F36699" s="40" t="s">
        <v>11404</v>
      </c>
      <c r="G36699" s="40" t="s">
        <v>11404</v>
      </c>
      <c r="H36699" s="40" t="s">
        <v>11404</v>
      </c>
    </row>
    <row r="36700">
      <c r="A36700" s="39"/>
      <c r="E36700" s="40" t="s">
        <v>11404</v>
      </c>
      <c r="F36700" s="40" t="s">
        <v>11404</v>
      </c>
      <c r="G36700" s="40" t="s">
        <v>11404</v>
      </c>
      <c r="H36700" s="40" t="s">
        <v>11404</v>
      </c>
    </row>
    <row r="36701">
      <c r="A36701" s="39"/>
      <c r="E36701" s="40" t="s">
        <v>11404</v>
      </c>
      <c r="F36701" s="40" t="s">
        <v>11404</v>
      </c>
      <c r="G36701" s="40" t="s">
        <v>11404</v>
      </c>
      <c r="H36701" s="40" t="s">
        <v>11404</v>
      </c>
    </row>
    <row r="36702">
      <c r="A36702" s="39"/>
      <c r="E36702" s="40" t="s">
        <v>11404</v>
      </c>
      <c r="F36702" s="40" t="s">
        <v>11404</v>
      </c>
      <c r="G36702" s="40" t="s">
        <v>11404</v>
      </c>
      <c r="H36702" s="40" t="s">
        <v>11404</v>
      </c>
    </row>
    <row r="36703">
      <c r="A36703" s="39"/>
      <c r="E36703" s="40" t="s">
        <v>11404</v>
      </c>
      <c r="F36703" s="40" t="s">
        <v>11404</v>
      </c>
      <c r="G36703" s="40" t="s">
        <v>11404</v>
      </c>
      <c r="H36703" s="40" t="s">
        <v>11404</v>
      </c>
    </row>
    <row r="36704">
      <c r="A36704" s="39"/>
      <c r="E36704" s="40" t="s">
        <v>11404</v>
      </c>
      <c r="F36704" s="40" t="s">
        <v>11404</v>
      </c>
      <c r="G36704" s="40" t="s">
        <v>11404</v>
      </c>
      <c r="H36704" s="40" t="s">
        <v>11404</v>
      </c>
    </row>
    <row r="36705">
      <c r="A36705" s="39"/>
      <c r="E36705" s="40" t="s">
        <v>11404</v>
      </c>
      <c r="F36705" s="40" t="s">
        <v>11404</v>
      </c>
      <c r="G36705" s="40" t="s">
        <v>11404</v>
      </c>
      <c r="H36705" s="40" t="s">
        <v>11404</v>
      </c>
    </row>
    <row r="36706">
      <c r="A36706" s="39"/>
      <c r="E36706" s="40" t="s">
        <v>11404</v>
      </c>
      <c r="F36706" s="40" t="s">
        <v>11404</v>
      </c>
      <c r="G36706" s="40" t="s">
        <v>11404</v>
      </c>
      <c r="H36706" s="40" t="s">
        <v>11404</v>
      </c>
    </row>
    <row r="36707">
      <c r="A36707" s="39"/>
      <c r="E36707" s="40" t="s">
        <v>11404</v>
      </c>
      <c r="F36707" s="40" t="s">
        <v>11404</v>
      </c>
      <c r="G36707" s="40" t="s">
        <v>11404</v>
      </c>
      <c r="H36707" s="40" t="s">
        <v>11404</v>
      </c>
    </row>
    <row r="36708">
      <c r="A36708" s="39"/>
      <c r="E36708" s="40" t="s">
        <v>11404</v>
      </c>
      <c r="F36708" s="40" t="s">
        <v>11404</v>
      </c>
      <c r="G36708" s="40" t="s">
        <v>11404</v>
      </c>
      <c r="H36708" s="40" t="s">
        <v>11404</v>
      </c>
    </row>
    <row r="36709">
      <c r="A36709" s="39"/>
      <c r="E36709" s="40" t="s">
        <v>11404</v>
      </c>
      <c r="F36709" s="40" t="s">
        <v>11404</v>
      </c>
      <c r="G36709" s="40" t="s">
        <v>11404</v>
      </c>
      <c r="H36709" s="40" t="s">
        <v>11404</v>
      </c>
    </row>
    <row r="36710">
      <c r="A36710" s="39"/>
      <c r="E36710" s="40" t="s">
        <v>11404</v>
      </c>
      <c r="F36710" s="40" t="s">
        <v>11404</v>
      </c>
      <c r="G36710" s="40" t="s">
        <v>11404</v>
      </c>
      <c r="H36710" s="40" t="s">
        <v>11404</v>
      </c>
    </row>
    <row r="36711">
      <c r="A36711" s="39"/>
      <c r="E36711" s="40" t="s">
        <v>11404</v>
      </c>
      <c r="F36711" s="40" t="s">
        <v>11404</v>
      </c>
      <c r="G36711" s="40" t="s">
        <v>11404</v>
      </c>
      <c r="H36711" s="40" t="s">
        <v>11404</v>
      </c>
    </row>
    <row r="36712">
      <c r="A36712" s="39"/>
      <c r="E36712" s="40" t="s">
        <v>11404</v>
      </c>
      <c r="F36712" s="40" t="s">
        <v>11404</v>
      </c>
      <c r="G36712" s="40" t="s">
        <v>11404</v>
      </c>
      <c r="H36712" s="40" t="s">
        <v>11404</v>
      </c>
    </row>
    <row r="36713">
      <c r="A36713" s="39"/>
      <c r="E36713" s="40" t="s">
        <v>11404</v>
      </c>
      <c r="F36713" s="40" t="s">
        <v>11404</v>
      </c>
      <c r="G36713" s="40" t="s">
        <v>11404</v>
      </c>
      <c r="H36713" s="40" t="s">
        <v>11404</v>
      </c>
    </row>
    <row r="36714">
      <c r="A36714" s="39"/>
      <c r="E36714" s="40" t="s">
        <v>11404</v>
      </c>
      <c r="F36714" s="40" t="s">
        <v>11404</v>
      </c>
      <c r="G36714" s="40" t="s">
        <v>11404</v>
      </c>
      <c r="H36714" s="40" t="s">
        <v>11404</v>
      </c>
    </row>
    <row r="36715">
      <c r="A36715" s="39"/>
      <c r="E36715" s="40" t="s">
        <v>11404</v>
      </c>
      <c r="F36715" s="40" t="s">
        <v>11404</v>
      </c>
      <c r="G36715" s="40" t="s">
        <v>11404</v>
      </c>
      <c r="H36715" s="40" t="s">
        <v>11404</v>
      </c>
    </row>
    <row r="36716">
      <c r="A36716" s="39"/>
      <c r="E36716" s="40" t="s">
        <v>11404</v>
      </c>
      <c r="F36716" s="40" t="s">
        <v>11404</v>
      </c>
      <c r="G36716" s="40" t="s">
        <v>11404</v>
      </c>
      <c r="H36716" s="40" t="s">
        <v>11404</v>
      </c>
    </row>
    <row r="36717">
      <c r="A36717" s="39"/>
      <c r="E36717" s="40" t="s">
        <v>11404</v>
      </c>
      <c r="F36717" s="40" t="s">
        <v>11404</v>
      </c>
      <c r="G36717" s="40" t="s">
        <v>11404</v>
      </c>
      <c r="H36717" s="40" t="s">
        <v>11404</v>
      </c>
    </row>
    <row r="36718">
      <c r="A36718" s="39"/>
      <c r="E36718" s="40" t="s">
        <v>11404</v>
      </c>
      <c r="F36718" s="40" t="s">
        <v>11404</v>
      </c>
      <c r="G36718" s="40" t="s">
        <v>11404</v>
      </c>
      <c r="H36718" s="40" t="s">
        <v>11404</v>
      </c>
    </row>
    <row r="36719">
      <c r="A36719" s="39"/>
      <c r="E36719" s="40" t="s">
        <v>11404</v>
      </c>
      <c r="F36719" s="40" t="s">
        <v>11404</v>
      </c>
      <c r="G36719" s="40" t="s">
        <v>11404</v>
      </c>
      <c r="H36719" s="40" t="s">
        <v>11404</v>
      </c>
    </row>
    <row r="36720">
      <c r="A36720" s="39"/>
      <c r="E36720" s="40" t="s">
        <v>11404</v>
      </c>
      <c r="F36720" s="40" t="s">
        <v>11404</v>
      </c>
      <c r="G36720" s="40" t="s">
        <v>11404</v>
      </c>
      <c r="H36720" s="40" t="s">
        <v>11404</v>
      </c>
    </row>
    <row r="36721">
      <c r="A36721" s="39"/>
      <c r="E36721" s="40" t="s">
        <v>11404</v>
      </c>
      <c r="F36721" s="40" t="s">
        <v>11404</v>
      </c>
      <c r="G36721" s="40" t="s">
        <v>11404</v>
      </c>
      <c r="H36721" s="40" t="s">
        <v>11404</v>
      </c>
    </row>
    <row r="36722">
      <c r="A36722" s="39"/>
      <c r="E36722" s="40" t="s">
        <v>11404</v>
      </c>
      <c r="F36722" s="40" t="s">
        <v>11404</v>
      </c>
      <c r="G36722" s="40" t="s">
        <v>11404</v>
      </c>
      <c r="H36722" s="40" t="s">
        <v>11404</v>
      </c>
    </row>
    <row r="36723">
      <c r="A36723" s="39"/>
      <c r="E36723" s="40" t="s">
        <v>11404</v>
      </c>
      <c r="F36723" s="40" t="s">
        <v>11404</v>
      </c>
      <c r="G36723" s="40" t="s">
        <v>11404</v>
      </c>
      <c r="H36723" s="40" t="s">
        <v>11404</v>
      </c>
    </row>
    <row r="36724">
      <c r="A36724" s="39"/>
      <c r="E36724" s="40" t="s">
        <v>11404</v>
      </c>
      <c r="F36724" s="40" t="s">
        <v>11404</v>
      </c>
      <c r="G36724" s="40" t="s">
        <v>11404</v>
      </c>
      <c r="H36724" s="40" t="s">
        <v>11404</v>
      </c>
    </row>
    <row r="36725">
      <c r="A36725" s="39"/>
      <c r="E36725" s="40" t="s">
        <v>11404</v>
      </c>
      <c r="F36725" s="40" t="s">
        <v>11404</v>
      </c>
      <c r="G36725" s="40" t="s">
        <v>11404</v>
      </c>
      <c r="H36725" s="40" t="s">
        <v>11404</v>
      </c>
    </row>
    <row r="36726">
      <c r="A36726" s="39"/>
      <c r="E36726" s="40" t="s">
        <v>11404</v>
      </c>
      <c r="F36726" s="40" t="s">
        <v>11404</v>
      </c>
      <c r="G36726" s="40" t="s">
        <v>11404</v>
      </c>
      <c r="H36726" s="40" t="s">
        <v>11404</v>
      </c>
    </row>
    <row r="36727">
      <c r="A36727" s="39"/>
      <c r="E36727" s="40" t="s">
        <v>11404</v>
      </c>
      <c r="F36727" s="40" t="s">
        <v>11404</v>
      </c>
      <c r="G36727" s="40" t="s">
        <v>11404</v>
      </c>
      <c r="H36727" s="40" t="s">
        <v>11404</v>
      </c>
    </row>
    <row r="36728">
      <c r="A36728" s="39"/>
      <c r="E36728" s="40" t="s">
        <v>11404</v>
      </c>
      <c r="F36728" s="40" t="s">
        <v>11404</v>
      </c>
      <c r="G36728" s="40" t="s">
        <v>11404</v>
      </c>
      <c r="H36728" s="40" t="s">
        <v>11404</v>
      </c>
    </row>
    <row r="36729">
      <c r="A36729" s="39"/>
      <c r="E36729" s="40" t="s">
        <v>11404</v>
      </c>
      <c r="F36729" s="40" t="s">
        <v>11404</v>
      </c>
      <c r="G36729" s="40" t="s">
        <v>11404</v>
      </c>
      <c r="H36729" s="40" t="s">
        <v>11404</v>
      </c>
    </row>
    <row r="36730">
      <c r="A36730" s="39"/>
      <c r="E36730" s="40" t="s">
        <v>11404</v>
      </c>
      <c r="F36730" s="40" t="s">
        <v>11404</v>
      </c>
      <c r="G36730" s="40" t="s">
        <v>11404</v>
      </c>
      <c r="H36730" s="40" t="s">
        <v>11404</v>
      </c>
    </row>
    <row r="36731">
      <c r="A36731" s="39"/>
      <c r="E36731" s="40" t="s">
        <v>11404</v>
      </c>
      <c r="F36731" s="40" t="s">
        <v>11404</v>
      </c>
      <c r="G36731" s="40" t="s">
        <v>11404</v>
      </c>
      <c r="H36731" s="40" t="s">
        <v>11404</v>
      </c>
    </row>
    <row r="36732">
      <c r="A36732" s="39"/>
      <c r="E36732" s="40" t="s">
        <v>11404</v>
      </c>
      <c r="F36732" s="40" t="s">
        <v>11404</v>
      </c>
      <c r="G36732" s="40" t="s">
        <v>11404</v>
      </c>
      <c r="H36732" s="40" t="s">
        <v>11404</v>
      </c>
    </row>
    <row r="36733">
      <c r="A36733" s="39"/>
      <c r="E36733" s="40" t="s">
        <v>11404</v>
      </c>
      <c r="F36733" s="40" t="s">
        <v>11404</v>
      </c>
      <c r="G36733" s="40" t="s">
        <v>11404</v>
      </c>
      <c r="H36733" s="40" t="s">
        <v>11404</v>
      </c>
    </row>
    <row r="36734">
      <c r="A36734" s="39"/>
      <c r="E36734" s="40" t="s">
        <v>11404</v>
      </c>
      <c r="F36734" s="40" t="s">
        <v>11404</v>
      </c>
      <c r="G36734" s="40" t="s">
        <v>11404</v>
      </c>
      <c r="H36734" s="40" t="s">
        <v>11404</v>
      </c>
    </row>
    <row r="36735">
      <c r="A36735" s="39"/>
      <c r="E36735" s="40" t="s">
        <v>11404</v>
      </c>
      <c r="F36735" s="40" t="s">
        <v>11404</v>
      </c>
      <c r="G36735" s="40" t="s">
        <v>11404</v>
      </c>
      <c r="H36735" s="40" t="s">
        <v>11404</v>
      </c>
    </row>
    <row r="36736">
      <c r="A36736" s="39"/>
      <c r="E36736" s="40" t="s">
        <v>11404</v>
      </c>
      <c r="F36736" s="40" t="s">
        <v>11404</v>
      </c>
      <c r="G36736" s="40" t="s">
        <v>11404</v>
      </c>
      <c r="H36736" s="40" t="s">
        <v>11404</v>
      </c>
    </row>
    <row r="36737">
      <c r="A36737" s="39"/>
      <c r="E36737" s="40" t="s">
        <v>11404</v>
      </c>
      <c r="F36737" s="40" t="s">
        <v>11404</v>
      </c>
      <c r="G36737" s="40" t="s">
        <v>11404</v>
      </c>
      <c r="H36737" s="40" t="s">
        <v>11404</v>
      </c>
    </row>
    <row r="36738">
      <c r="A36738" s="39"/>
      <c r="E36738" s="40" t="s">
        <v>11404</v>
      </c>
      <c r="F36738" s="40" t="s">
        <v>11404</v>
      </c>
      <c r="G36738" s="40" t="s">
        <v>11404</v>
      </c>
      <c r="H36738" s="40" t="s">
        <v>11404</v>
      </c>
    </row>
    <row r="36739">
      <c r="A36739" s="39"/>
      <c r="E36739" s="40" t="s">
        <v>11404</v>
      </c>
      <c r="F36739" s="40" t="s">
        <v>11404</v>
      </c>
      <c r="G36739" s="40" t="s">
        <v>11404</v>
      </c>
      <c r="H36739" s="40" t="s">
        <v>11404</v>
      </c>
    </row>
    <row r="36740">
      <c r="A36740" s="39"/>
      <c r="E36740" s="40" t="s">
        <v>11404</v>
      </c>
      <c r="F36740" s="40" t="s">
        <v>11404</v>
      </c>
      <c r="G36740" s="40" t="s">
        <v>11404</v>
      </c>
      <c r="H36740" s="40" t="s">
        <v>11404</v>
      </c>
    </row>
    <row r="36741">
      <c r="A36741" s="39"/>
      <c r="E36741" s="40" t="s">
        <v>11404</v>
      </c>
      <c r="F36741" s="40" t="s">
        <v>11404</v>
      </c>
      <c r="G36741" s="40" t="s">
        <v>11404</v>
      </c>
      <c r="H36741" s="40" t="s">
        <v>11404</v>
      </c>
    </row>
    <row r="36742">
      <c r="A36742" s="39"/>
      <c r="E36742" s="40" t="s">
        <v>11404</v>
      </c>
      <c r="F36742" s="40" t="s">
        <v>11404</v>
      </c>
      <c r="G36742" s="40" t="s">
        <v>11404</v>
      </c>
      <c r="H36742" s="40" t="s">
        <v>11404</v>
      </c>
    </row>
    <row r="36743">
      <c r="A36743" s="39"/>
      <c r="E36743" s="40" t="s">
        <v>11404</v>
      </c>
      <c r="F36743" s="40" t="s">
        <v>11404</v>
      </c>
      <c r="G36743" s="40" t="s">
        <v>11404</v>
      </c>
      <c r="H36743" s="40" t="s">
        <v>11404</v>
      </c>
    </row>
    <row r="36744">
      <c r="A36744" s="39"/>
      <c r="E36744" s="40" t="s">
        <v>11404</v>
      </c>
      <c r="F36744" s="40" t="s">
        <v>11404</v>
      </c>
      <c r="G36744" s="40" t="s">
        <v>11404</v>
      </c>
      <c r="H36744" s="40" t="s">
        <v>11404</v>
      </c>
    </row>
    <row r="36745">
      <c r="A36745" s="39"/>
      <c r="E36745" s="40" t="s">
        <v>11404</v>
      </c>
      <c r="F36745" s="40" t="s">
        <v>11404</v>
      </c>
      <c r="G36745" s="40" t="s">
        <v>11404</v>
      </c>
      <c r="H36745" s="40" t="s">
        <v>11404</v>
      </c>
    </row>
    <row r="36746">
      <c r="A36746" s="39"/>
      <c r="E36746" s="40" t="s">
        <v>11404</v>
      </c>
      <c r="F36746" s="40" t="s">
        <v>11404</v>
      </c>
      <c r="G36746" s="40" t="s">
        <v>11404</v>
      </c>
      <c r="H36746" s="40" t="s">
        <v>11404</v>
      </c>
    </row>
    <row r="36747">
      <c r="A36747" s="39"/>
      <c r="E36747" s="40" t="s">
        <v>11404</v>
      </c>
      <c r="F36747" s="40" t="s">
        <v>11404</v>
      </c>
      <c r="G36747" s="40" t="s">
        <v>11404</v>
      </c>
      <c r="H36747" s="40" t="s">
        <v>11404</v>
      </c>
    </row>
    <row r="36748">
      <c r="A36748" s="39"/>
      <c r="E36748" s="40" t="s">
        <v>11404</v>
      </c>
      <c r="F36748" s="40" t="s">
        <v>11404</v>
      </c>
      <c r="G36748" s="40" t="s">
        <v>11404</v>
      </c>
      <c r="H36748" s="40" t="s">
        <v>11404</v>
      </c>
    </row>
    <row r="36749">
      <c r="A36749" s="39"/>
      <c r="E36749" s="40" t="s">
        <v>11404</v>
      </c>
      <c r="F36749" s="40" t="s">
        <v>11404</v>
      </c>
      <c r="G36749" s="40" t="s">
        <v>11404</v>
      </c>
      <c r="H36749" s="40" t="s">
        <v>11404</v>
      </c>
    </row>
    <row r="36750">
      <c r="A36750" s="39"/>
      <c r="E36750" s="40" t="s">
        <v>11404</v>
      </c>
      <c r="F36750" s="40" t="s">
        <v>11404</v>
      </c>
      <c r="G36750" s="40" t="s">
        <v>11404</v>
      </c>
      <c r="H36750" s="40" t="s">
        <v>11404</v>
      </c>
    </row>
    <row r="36751">
      <c r="A36751" s="39"/>
      <c r="E36751" s="40" t="s">
        <v>11404</v>
      </c>
      <c r="F36751" s="40" t="s">
        <v>11404</v>
      </c>
      <c r="G36751" s="40" t="s">
        <v>11404</v>
      </c>
      <c r="H36751" s="40" t="s">
        <v>11404</v>
      </c>
    </row>
    <row r="36752">
      <c r="A36752" s="39"/>
      <c r="E36752" s="40" t="s">
        <v>11404</v>
      </c>
      <c r="F36752" s="40" t="s">
        <v>11404</v>
      </c>
      <c r="G36752" s="40" t="s">
        <v>11404</v>
      </c>
      <c r="H36752" s="40" t="s">
        <v>11404</v>
      </c>
    </row>
    <row r="36753">
      <c r="A36753" s="39"/>
      <c r="E36753" s="40" t="s">
        <v>11404</v>
      </c>
      <c r="F36753" s="40" t="s">
        <v>11404</v>
      </c>
      <c r="G36753" s="40" t="s">
        <v>11404</v>
      </c>
      <c r="H36753" s="40" t="s">
        <v>11404</v>
      </c>
    </row>
    <row r="36754">
      <c r="A36754" s="39"/>
      <c r="E36754" s="40" t="s">
        <v>11404</v>
      </c>
      <c r="F36754" s="40" t="s">
        <v>11404</v>
      </c>
      <c r="G36754" s="40" t="s">
        <v>11404</v>
      </c>
      <c r="H36754" s="40" t="s">
        <v>11404</v>
      </c>
    </row>
    <row r="36755">
      <c r="A36755" s="39"/>
      <c r="E36755" s="40" t="s">
        <v>11404</v>
      </c>
      <c r="F36755" s="40" t="s">
        <v>11404</v>
      </c>
      <c r="G36755" s="40" t="s">
        <v>11404</v>
      </c>
      <c r="H36755" s="40" t="s">
        <v>11404</v>
      </c>
    </row>
    <row r="36756">
      <c r="A36756" s="39"/>
      <c r="E36756" s="40" t="s">
        <v>11404</v>
      </c>
      <c r="F36756" s="40" t="s">
        <v>11404</v>
      </c>
      <c r="G36756" s="40" t="s">
        <v>11404</v>
      </c>
      <c r="H36756" s="40" t="s">
        <v>11404</v>
      </c>
    </row>
    <row r="36757">
      <c r="A36757" s="39"/>
      <c r="E36757" s="40" t="s">
        <v>11404</v>
      </c>
      <c r="F36757" s="40" t="s">
        <v>11404</v>
      </c>
      <c r="G36757" s="40" t="s">
        <v>11404</v>
      </c>
      <c r="H36757" s="40" t="s">
        <v>11404</v>
      </c>
    </row>
    <row r="36758">
      <c r="A36758" s="39"/>
      <c r="E36758" s="40" t="s">
        <v>11404</v>
      </c>
      <c r="F36758" s="40" t="s">
        <v>11404</v>
      </c>
      <c r="G36758" s="40" t="s">
        <v>11404</v>
      </c>
      <c r="H36758" s="40" t="s">
        <v>11404</v>
      </c>
    </row>
    <row r="36759">
      <c r="A36759" s="39"/>
      <c r="E36759" s="40" t="s">
        <v>11404</v>
      </c>
      <c r="F36759" s="40" t="s">
        <v>11404</v>
      </c>
      <c r="G36759" s="40" t="s">
        <v>11404</v>
      </c>
      <c r="H36759" s="40" t="s">
        <v>11404</v>
      </c>
    </row>
    <row r="36760">
      <c r="A36760" s="39"/>
      <c r="E36760" s="40" t="s">
        <v>11404</v>
      </c>
      <c r="F36760" s="40" t="s">
        <v>11404</v>
      </c>
      <c r="G36760" s="40" t="s">
        <v>11404</v>
      </c>
      <c r="H36760" s="40" t="s">
        <v>11404</v>
      </c>
    </row>
    <row r="36761">
      <c r="A36761" s="39"/>
      <c r="E36761" s="40" t="s">
        <v>11404</v>
      </c>
      <c r="F36761" s="40" t="s">
        <v>11404</v>
      </c>
      <c r="G36761" s="40" t="s">
        <v>11404</v>
      </c>
      <c r="H36761" s="40" t="s">
        <v>11404</v>
      </c>
    </row>
    <row r="36762">
      <c r="A36762" s="39"/>
      <c r="E36762" s="40" t="s">
        <v>11404</v>
      </c>
      <c r="F36762" s="40" t="s">
        <v>11404</v>
      </c>
      <c r="G36762" s="40" t="s">
        <v>11404</v>
      </c>
      <c r="H36762" s="40" t="s">
        <v>11404</v>
      </c>
    </row>
    <row r="36763">
      <c r="A36763" s="39"/>
      <c r="E36763" s="40" t="s">
        <v>11404</v>
      </c>
      <c r="F36763" s="40" t="s">
        <v>11404</v>
      </c>
      <c r="G36763" s="40" t="s">
        <v>11404</v>
      </c>
      <c r="H36763" s="40" t="s">
        <v>11404</v>
      </c>
    </row>
    <row r="36764">
      <c r="A36764" s="39"/>
      <c r="E36764" s="40" t="s">
        <v>11404</v>
      </c>
      <c r="F36764" s="40" t="s">
        <v>11404</v>
      </c>
      <c r="G36764" s="40" t="s">
        <v>11404</v>
      </c>
      <c r="H36764" s="40" t="s">
        <v>11404</v>
      </c>
    </row>
    <row r="36765">
      <c r="A36765" s="39"/>
      <c r="E36765" s="40" t="s">
        <v>11404</v>
      </c>
      <c r="F36765" s="40" t="s">
        <v>11404</v>
      </c>
      <c r="G36765" s="40" t="s">
        <v>11404</v>
      </c>
      <c r="H36765" s="40" t="s">
        <v>11404</v>
      </c>
    </row>
    <row r="36766">
      <c r="A36766" s="39"/>
      <c r="E36766" s="40" t="s">
        <v>11404</v>
      </c>
      <c r="F36766" s="40" t="s">
        <v>11404</v>
      </c>
      <c r="G36766" s="40" t="s">
        <v>11404</v>
      </c>
      <c r="H36766" s="40" t="s">
        <v>11404</v>
      </c>
    </row>
    <row r="36767">
      <c r="A36767" s="39"/>
      <c r="E36767" s="40" t="s">
        <v>11404</v>
      </c>
      <c r="F36767" s="40" t="s">
        <v>11404</v>
      </c>
      <c r="G36767" s="40" t="s">
        <v>11404</v>
      </c>
      <c r="H36767" s="40" t="s">
        <v>11404</v>
      </c>
    </row>
    <row r="36768">
      <c r="A36768" s="39"/>
      <c r="E36768" s="40" t="s">
        <v>11404</v>
      </c>
      <c r="F36768" s="40" t="s">
        <v>11404</v>
      </c>
      <c r="G36768" s="40" t="s">
        <v>11404</v>
      </c>
      <c r="H36768" s="40" t="s">
        <v>11404</v>
      </c>
    </row>
    <row r="36769">
      <c r="A36769" s="39"/>
      <c r="E36769" s="40" t="s">
        <v>11404</v>
      </c>
      <c r="F36769" s="40" t="s">
        <v>11404</v>
      </c>
      <c r="G36769" s="40" t="s">
        <v>11404</v>
      </c>
      <c r="H36769" s="40" t="s">
        <v>11404</v>
      </c>
    </row>
    <row r="36770">
      <c r="A36770" s="39"/>
      <c r="E36770" s="40" t="s">
        <v>11404</v>
      </c>
      <c r="F36770" s="40" t="s">
        <v>11404</v>
      </c>
      <c r="G36770" s="40" t="s">
        <v>11404</v>
      </c>
      <c r="H36770" s="40" t="s">
        <v>11404</v>
      </c>
    </row>
    <row r="36771">
      <c r="A36771" s="39"/>
      <c r="E36771" s="40" t="s">
        <v>11404</v>
      </c>
      <c r="F36771" s="40" t="s">
        <v>11404</v>
      </c>
      <c r="G36771" s="40" t="s">
        <v>11404</v>
      </c>
      <c r="H36771" s="40" t="s">
        <v>11404</v>
      </c>
    </row>
    <row r="36772">
      <c r="A36772" s="39"/>
      <c r="E36772" s="40" t="s">
        <v>11404</v>
      </c>
      <c r="F36772" s="40" t="s">
        <v>11404</v>
      </c>
      <c r="G36772" s="40" t="s">
        <v>11404</v>
      </c>
      <c r="H36772" s="40" t="s">
        <v>11404</v>
      </c>
    </row>
    <row r="36773">
      <c r="A36773" s="39"/>
      <c r="E36773" s="40" t="s">
        <v>11404</v>
      </c>
      <c r="F36773" s="40" t="s">
        <v>11404</v>
      </c>
      <c r="G36773" s="40" t="s">
        <v>11404</v>
      </c>
      <c r="H36773" s="40" t="s">
        <v>11404</v>
      </c>
    </row>
    <row r="36774">
      <c r="A36774" s="39"/>
      <c r="E36774" s="40" t="s">
        <v>11404</v>
      </c>
      <c r="F36774" s="40" t="s">
        <v>11404</v>
      </c>
      <c r="G36774" s="40" t="s">
        <v>11404</v>
      </c>
      <c r="H36774" s="40" t="s">
        <v>11404</v>
      </c>
    </row>
    <row r="36775">
      <c r="A36775" s="39"/>
      <c r="E36775" s="40" t="s">
        <v>11404</v>
      </c>
      <c r="F36775" s="40" t="s">
        <v>11404</v>
      </c>
      <c r="G36775" s="40" t="s">
        <v>11404</v>
      </c>
      <c r="H36775" s="40" t="s">
        <v>11404</v>
      </c>
    </row>
    <row r="36776">
      <c r="A36776" s="39"/>
      <c r="E36776" s="40" t="s">
        <v>11404</v>
      </c>
      <c r="F36776" s="40" t="s">
        <v>11404</v>
      </c>
      <c r="G36776" s="40" t="s">
        <v>11404</v>
      </c>
      <c r="H36776" s="40" t="s">
        <v>11404</v>
      </c>
    </row>
    <row r="36777">
      <c r="A36777" s="39"/>
      <c r="E36777" s="40" t="s">
        <v>11404</v>
      </c>
      <c r="F36777" s="40" t="s">
        <v>11404</v>
      </c>
      <c r="G36777" s="40" t="s">
        <v>11404</v>
      </c>
      <c r="H36777" s="40" t="s">
        <v>11404</v>
      </c>
    </row>
    <row r="36778">
      <c r="A36778" s="39"/>
      <c r="E36778" s="40" t="s">
        <v>11404</v>
      </c>
      <c r="F36778" s="40" t="s">
        <v>11404</v>
      </c>
      <c r="G36778" s="40" t="s">
        <v>11404</v>
      </c>
      <c r="H36778" s="40" t="s">
        <v>11404</v>
      </c>
    </row>
    <row r="36779">
      <c r="A36779" s="39"/>
      <c r="E36779" s="40" t="s">
        <v>11404</v>
      </c>
      <c r="F36779" s="40" t="s">
        <v>11404</v>
      </c>
      <c r="G36779" s="40" t="s">
        <v>11404</v>
      </c>
      <c r="H36779" s="40" t="s">
        <v>11404</v>
      </c>
    </row>
    <row r="36780">
      <c r="A36780" s="39"/>
      <c r="E36780" s="40" t="s">
        <v>11404</v>
      </c>
      <c r="F36780" s="40" t="s">
        <v>11404</v>
      </c>
      <c r="G36780" s="40" t="s">
        <v>11404</v>
      </c>
      <c r="H36780" s="40" t="s">
        <v>11404</v>
      </c>
    </row>
    <row r="36781">
      <c r="A36781" s="39"/>
      <c r="E36781" s="40" t="s">
        <v>11404</v>
      </c>
      <c r="F36781" s="40" t="s">
        <v>11404</v>
      </c>
      <c r="G36781" s="40" t="s">
        <v>11404</v>
      </c>
      <c r="H36781" s="40" t="s">
        <v>11404</v>
      </c>
    </row>
    <row r="36782">
      <c r="A36782" s="39"/>
      <c r="E36782" s="40" t="s">
        <v>11404</v>
      </c>
      <c r="F36782" s="40" t="s">
        <v>11404</v>
      </c>
      <c r="G36782" s="40" t="s">
        <v>11404</v>
      </c>
      <c r="H36782" s="40" t="s">
        <v>11404</v>
      </c>
    </row>
    <row r="36783">
      <c r="A36783" s="39"/>
      <c r="E36783" s="40" t="s">
        <v>11404</v>
      </c>
      <c r="F36783" s="40" t="s">
        <v>11404</v>
      </c>
      <c r="G36783" s="40" t="s">
        <v>11404</v>
      </c>
      <c r="H36783" s="40" t="s">
        <v>11404</v>
      </c>
    </row>
    <row r="36784">
      <c r="A36784" s="39"/>
      <c r="E36784" s="40" t="s">
        <v>11404</v>
      </c>
      <c r="F36784" s="40" t="s">
        <v>11404</v>
      </c>
      <c r="G36784" s="40" t="s">
        <v>11404</v>
      </c>
      <c r="H36784" s="40" t="s">
        <v>11404</v>
      </c>
    </row>
    <row r="36785">
      <c r="A36785" s="39"/>
      <c r="E36785" s="40" t="s">
        <v>11404</v>
      </c>
      <c r="F36785" s="40" t="s">
        <v>11404</v>
      </c>
      <c r="G36785" s="40" t="s">
        <v>11404</v>
      </c>
      <c r="H36785" s="40" t="s">
        <v>11404</v>
      </c>
    </row>
    <row r="36786">
      <c r="A36786" s="39"/>
      <c r="E36786" s="40" t="s">
        <v>11404</v>
      </c>
      <c r="F36786" s="40" t="s">
        <v>11404</v>
      </c>
      <c r="G36786" s="40" t="s">
        <v>11404</v>
      </c>
      <c r="H36786" s="40" t="s">
        <v>11404</v>
      </c>
    </row>
    <row r="36787">
      <c r="A36787" s="39"/>
      <c r="E36787" s="40" t="s">
        <v>11404</v>
      </c>
      <c r="F36787" s="40" t="s">
        <v>11404</v>
      </c>
      <c r="G36787" s="40" t="s">
        <v>11404</v>
      </c>
      <c r="H36787" s="40" t="s">
        <v>11404</v>
      </c>
    </row>
    <row r="36788">
      <c r="A36788" s="39"/>
      <c r="E36788" s="40" t="s">
        <v>11404</v>
      </c>
      <c r="F36788" s="40" t="s">
        <v>11404</v>
      </c>
      <c r="G36788" s="40" t="s">
        <v>11404</v>
      </c>
      <c r="H36788" s="40" t="s">
        <v>11404</v>
      </c>
    </row>
    <row r="36789">
      <c r="A36789" s="39"/>
      <c r="E36789" s="40" t="s">
        <v>11404</v>
      </c>
      <c r="F36789" s="40" t="s">
        <v>11404</v>
      </c>
      <c r="G36789" s="40" t="s">
        <v>11404</v>
      </c>
      <c r="H36789" s="40" t="s">
        <v>11404</v>
      </c>
    </row>
    <row r="36790">
      <c r="A36790" s="39"/>
      <c r="E36790" s="40" t="s">
        <v>11404</v>
      </c>
      <c r="F36790" s="40" t="s">
        <v>11404</v>
      </c>
      <c r="G36790" s="40" t="s">
        <v>11404</v>
      </c>
      <c r="H36790" s="40" t="s">
        <v>11404</v>
      </c>
    </row>
    <row r="36791">
      <c r="A36791" s="39"/>
      <c r="E36791" s="40" t="s">
        <v>11404</v>
      </c>
      <c r="F36791" s="40" t="s">
        <v>11404</v>
      </c>
      <c r="G36791" s="40" t="s">
        <v>11404</v>
      </c>
      <c r="H36791" s="40" t="s">
        <v>11404</v>
      </c>
    </row>
    <row r="36792">
      <c r="A36792" s="39"/>
      <c r="E36792" s="40" t="s">
        <v>11404</v>
      </c>
      <c r="F36792" s="40" t="s">
        <v>11404</v>
      </c>
      <c r="G36792" s="40" t="s">
        <v>11404</v>
      </c>
      <c r="H36792" s="40" t="s">
        <v>11404</v>
      </c>
    </row>
    <row r="36793">
      <c r="A36793" s="39"/>
      <c r="E36793" s="40" t="s">
        <v>11404</v>
      </c>
      <c r="F36793" s="40" t="s">
        <v>11404</v>
      </c>
      <c r="G36793" s="40" t="s">
        <v>11404</v>
      </c>
      <c r="H36793" s="40" t="s">
        <v>11404</v>
      </c>
    </row>
    <row r="36794">
      <c r="A36794" s="39"/>
      <c r="E36794" s="40" t="s">
        <v>11404</v>
      </c>
      <c r="F36794" s="40" t="s">
        <v>11404</v>
      </c>
      <c r="G36794" s="40" t="s">
        <v>11404</v>
      </c>
      <c r="H36794" s="40" t="s">
        <v>11404</v>
      </c>
    </row>
    <row r="36795">
      <c r="A36795" s="39"/>
      <c r="E36795" s="40" t="s">
        <v>11404</v>
      </c>
      <c r="F36795" s="40" t="s">
        <v>11404</v>
      </c>
      <c r="G36795" s="40" t="s">
        <v>11404</v>
      </c>
      <c r="H36795" s="40" t="s">
        <v>11404</v>
      </c>
    </row>
    <row r="36796">
      <c r="A36796" s="39"/>
      <c r="E36796" s="40" t="s">
        <v>11404</v>
      </c>
      <c r="F36796" s="40" t="s">
        <v>11404</v>
      </c>
      <c r="G36796" s="40" t="s">
        <v>11404</v>
      </c>
      <c r="H36796" s="40" t="s">
        <v>11404</v>
      </c>
    </row>
    <row r="36797">
      <c r="A36797" s="39"/>
      <c r="E36797" s="40" t="s">
        <v>11404</v>
      </c>
      <c r="F36797" s="40" t="s">
        <v>11404</v>
      </c>
      <c r="G36797" s="40" t="s">
        <v>11404</v>
      </c>
      <c r="H36797" s="40" t="s">
        <v>11404</v>
      </c>
    </row>
    <row r="36798">
      <c r="A36798" s="39"/>
      <c r="E36798" s="40" t="s">
        <v>11404</v>
      </c>
      <c r="F36798" s="40" t="s">
        <v>11404</v>
      </c>
      <c r="G36798" s="40" t="s">
        <v>11404</v>
      </c>
      <c r="H36798" s="40" t="s">
        <v>11404</v>
      </c>
    </row>
    <row r="36799">
      <c r="A36799" s="39"/>
      <c r="E36799" s="40" t="s">
        <v>11404</v>
      </c>
      <c r="F36799" s="40" t="s">
        <v>11404</v>
      </c>
      <c r="G36799" s="40" t="s">
        <v>11404</v>
      </c>
      <c r="H36799" s="40" t="s">
        <v>11404</v>
      </c>
    </row>
    <row r="36800">
      <c r="A36800" s="39"/>
      <c r="E36800" s="40" t="s">
        <v>11404</v>
      </c>
      <c r="F36800" s="40" t="s">
        <v>11404</v>
      </c>
      <c r="G36800" s="40" t="s">
        <v>11404</v>
      </c>
      <c r="H36800" s="40" t="s">
        <v>11404</v>
      </c>
    </row>
    <row r="36801">
      <c r="A36801" s="39"/>
      <c r="E36801" s="40" t="s">
        <v>11404</v>
      </c>
      <c r="F36801" s="40" t="s">
        <v>11404</v>
      </c>
      <c r="G36801" s="40" t="s">
        <v>11404</v>
      </c>
      <c r="H36801" s="40" t="s">
        <v>11404</v>
      </c>
    </row>
    <row r="36802">
      <c r="A36802" s="39"/>
      <c r="E36802" s="40" t="s">
        <v>11404</v>
      </c>
      <c r="F36802" s="40" t="s">
        <v>11404</v>
      </c>
      <c r="G36802" s="40" t="s">
        <v>11404</v>
      </c>
      <c r="H36802" s="40" t="s">
        <v>11404</v>
      </c>
    </row>
    <row r="36803">
      <c r="A36803" s="39"/>
      <c r="E36803" s="40" t="s">
        <v>11404</v>
      </c>
      <c r="F36803" s="40" t="s">
        <v>11404</v>
      </c>
      <c r="G36803" s="40" t="s">
        <v>11404</v>
      </c>
      <c r="H36803" s="40" t="s">
        <v>11404</v>
      </c>
    </row>
    <row r="36804">
      <c r="A36804" s="39"/>
      <c r="E36804" s="40" t="s">
        <v>11404</v>
      </c>
      <c r="F36804" s="40" t="s">
        <v>11404</v>
      </c>
      <c r="G36804" s="40" t="s">
        <v>11404</v>
      </c>
      <c r="H36804" s="40" t="s">
        <v>11404</v>
      </c>
    </row>
    <row r="36805">
      <c r="A36805" s="39"/>
      <c r="E36805" s="40" t="s">
        <v>11404</v>
      </c>
      <c r="F36805" s="40" t="s">
        <v>11404</v>
      </c>
      <c r="G36805" s="40" t="s">
        <v>11404</v>
      </c>
      <c r="H36805" s="40" t="s">
        <v>11404</v>
      </c>
    </row>
    <row r="36806">
      <c r="A36806" s="39"/>
      <c r="E36806" s="40" t="s">
        <v>11404</v>
      </c>
      <c r="F36806" s="40" t="s">
        <v>11404</v>
      </c>
      <c r="G36806" s="40" t="s">
        <v>11404</v>
      </c>
      <c r="H36806" s="40" t="s">
        <v>11404</v>
      </c>
    </row>
    <row r="36807">
      <c r="A36807" s="39"/>
      <c r="E36807" s="40" t="s">
        <v>11404</v>
      </c>
      <c r="F36807" s="40" t="s">
        <v>11404</v>
      </c>
      <c r="G36807" s="40" t="s">
        <v>11404</v>
      </c>
      <c r="H36807" s="40" t="s">
        <v>11404</v>
      </c>
    </row>
    <row r="36808">
      <c r="A36808" s="39"/>
      <c r="E36808" s="40" t="s">
        <v>11404</v>
      </c>
      <c r="F36808" s="40" t="s">
        <v>11404</v>
      </c>
      <c r="G36808" s="40" t="s">
        <v>11404</v>
      </c>
      <c r="H36808" s="40" t="s">
        <v>11404</v>
      </c>
    </row>
    <row r="36809">
      <c r="A36809" s="39"/>
      <c r="E36809" s="40" t="s">
        <v>11404</v>
      </c>
      <c r="F36809" s="40" t="s">
        <v>11404</v>
      </c>
      <c r="G36809" s="40" t="s">
        <v>11404</v>
      </c>
      <c r="H36809" s="40" t="s">
        <v>11404</v>
      </c>
    </row>
    <row r="36810">
      <c r="A36810" s="39"/>
      <c r="E36810" s="40" t="s">
        <v>11404</v>
      </c>
      <c r="F36810" s="40" t="s">
        <v>11404</v>
      </c>
      <c r="G36810" s="40" t="s">
        <v>11404</v>
      </c>
      <c r="H36810" s="40" t="s">
        <v>11404</v>
      </c>
    </row>
    <row r="36811">
      <c r="A36811" s="39"/>
      <c r="E36811" s="40" t="s">
        <v>11404</v>
      </c>
      <c r="F36811" s="40" t="s">
        <v>11404</v>
      </c>
      <c r="G36811" s="40" t="s">
        <v>11404</v>
      </c>
      <c r="H36811" s="40" t="s">
        <v>11404</v>
      </c>
    </row>
    <row r="36812">
      <c r="A36812" s="39"/>
      <c r="E36812" s="40" t="s">
        <v>11404</v>
      </c>
      <c r="F36812" s="40" t="s">
        <v>11404</v>
      </c>
      <c r="G36812" s="40" t="s">
        <v>11404</v>
      </c>
      <c r="H36812" s="40" t="s">
        <v>11404</v>
      </c>
    </row>
    <row r="36813">
      <c r="A36813" s="39"/>
      <c r="E36813" s="40" t="s">
        <v>11404</v>
      </c>
      <c r="F36813" s="40" t="s">
        <v>11404</v>
      </c>
      <c r="G36813" s="40" t="s">
        <v>11404</v>
      </c>
      <c r="H36813" s="40" t="s">
        <v>11404</v>
      </c>
    </row>
    <row r="36814">
      <c r="A36814" s="39"/>
      <c r="E36814" s="40" t="s">
        <v>11404</v>
      </c>
      <c r="F36814" s="40" t="s">
        <v>11404</v>
      </c>
      <c r="G36814" s="40" t="s">
        <v>11404</v>
      </c>
      <c r="H36814" s="40" t="s">
        <v>11404</v>
      </c>
    </row>
    <row r="36815">
      <c r="A36815" s="39"/>
      <c r="E36815" s="40" t="s">
        <v>11404</v>
      </c>
      <c r="F36815" s="40" t="s">
        <v>11404</v>
      </c>
      <c r="G36815" s="40" t="s">
        <v>11404</v>
      </c>
      <c r="H36815" s="40" t="s">
        <v>11404</v>
      </c>
    </row>
    <row r="36816">
      <c r="A36816" s="39"/>
      <c r="E36816" s="40" t="s">
        <v>11404</v>
      </c>
      <c r="F36816" s="40" t="s">
        <v>11404</v>
      </c>
      <c r="G36816" s="40" t="s">
        <v>11404</v>
      </c>
      <c r="H36816" s="40" t="s">
        <v>11404</v>
      </c>
    </row>
    <row r="36817">
      <c r="A36817" s="39"/>
      <c r="E36817" s="40" t="s">
        <v>11404</v>
      </c>
      <c r="F36817" s="40" t="s">
        <v>11404</v>
      </c>
      <c r="G36817" s="40" t="s">
        <v>11404</v>
      </c>
      <c r="H36817" s="40" t="s">
        <v>11404</v>
      </c>
    </row>
    <row r="36818">
      <c r="A36818" s="39"/>
      <c r="E36818" s="40" t="s">
        <v>11404</v>
      </c>
      <c r="F36818" s="40" t="s">
        <v>11404</v>
      </c>
      <c r="G36818" s="40" t="s">
        <v>11404</v>
      </c>
      <c r="H36818" s="40" t="s">
        <v>11404</v>
      </c>
    </row>
    <row r="36819">
      <c r="A36819" s="39"/>
      <c r="E36819" s="40" t="s">
        <v>11404</v>
      </c>
      <c r="F36819" s="40" t="s">
        <v>11404</v>
      </c>
      <c r="G36819" s="40" t="s">
        <v>11404</v>
      </c>
      <c r="H36819" s="40" t="s">
        <v>11404</v>
      </c>
    </row>
    <row r="36820">
      <c r="A36820" s="39"/>
      <c r="E36820" s="40" t="s">
        <v>11404</v>
      </c>
      <c r="F36820" s="40" t="s">
        <v>11404</v>
      </c>
      <c r="G36820" s="40" t="s">
        <v>11404</v>
      </c>
      <c r="H36820" s="40" t="s">
        <v>11404</v>
      </c>
    </row>
    <row r="36821">
      <c r="A36821" s="39"/>
      <c r="E36821" s="40" t="s">
        <v>11404</v>
      </c>
      <c r="F36821" s="40" t="s">
        <v>11404</v>
      </c>
      <c r="G36821" s="40" t="s">
        <v>11404</v>
      </c>
      <c r="H36821" s="40" t="s">
        <v>11404</v>
      </c>
    </row>
    <row r="36822">
      <c r="A36822" s="39"/>
      <c r="E36822" s="40" t="s">
        <v>11404</v>
      </c>
      <c r="F36822" s="40" t="s">
        <v>11404</v>
      </c>
      <c r="G36822" s="40" t="s">
        <v>11404</v>
      </c>
      <c r="H36822" s="40" t="s">
        <v>11404</v>
      </c>
    </row>
    <row r="36823">
      <c r="A36823" s="39"/>
      <c r="E36823" s="40" t="s">
        <v>11404</v>
      </c>
      <c r="F36823" s="40" t="s">
        <v>11404</v>
      </c>
      <c r="G36823" s="40" t="s">
        <v>11404</v>
      </c>
      <c r="H36823" s="40" t="s">
        <v>11404</v>
      </c>
    </row>
    <row r="36824">
      <c r="A36824" s="39"/>
      <c r="E36824" s="40" t="s">
        <v>11404</v>
      </c>
      <c r="F36824" s="40" t="s">
        <v>11404</v>
      </c>
      <c r="G36824" s="40" t="s">
        <v>11404</v>
      </c>
      <c r="H36824" s="40" t="s">
        <v>11404</v>
      </c>
    </row>
    <row r="36825">
      <c r="A36825" s="39"/>
      <c r="E36825" s="40" t="s">
        <v>11404</v>
      </c>
      <c r="F36825" s="40" t="s">
        <v>11404</v>
      </c>
      <c r="G36825" s="40" t="s">
        <v>11404</v>
      </c>
      <c r="H36825" s="40" t="s">
        <v>11404</v>
      </c>
    </row>
    <row r="36826">
      <c r="A36826" s="39"/>
      <c r="E36826" s="40" t="s">
        <v>11404</v>
      </c>
      <c r="F36826" s="40" t="s">
        <v>11404</v>
      </c>
      <c r="G36826" s="40" t="s">
        <v>11404</v>
      </c>
      <c r="H36826" s="40" t="s">
        <v>11404</v>
      </c>
    </row>
    <row r="36827">
      <c r="A36827" s="39"/>
      <c r="E36827" s="40" t="s">
        <v>11404</v>
      </c>
      <c r="F36827" s="40" t="s">
        <v>11404</v>
      </c>
      <c r="G36827" s="40" t="s">
        <v>11404</v>
      </c>
      <c r="H36827" s="40" t="s">
        <v>11404</v>
      </c>
    </row>
    <row r="36828">
      <c r="A36828" s="39"/>
      <c r="E36828" s="40" t="s">
        <v>11404</v>
      </c>
      <c r="F36828" s="40" t="s">
        <v>11404</v>
      </c>
      <c r="G36828" s="40" t="s">
        <v>11404</v>
      </c>
      <c r="H36828" s="40" t="s">
        <v>11404</v>
      </c>
    </row>
    <row r="36829">
      <c r="A36829" s="39"/>
      <c r="E36829" s="40" t="s">
        <v>11404</v>
      </c>
      <c r="F36829" s="40" t="s">
        <v>11404</v>
      </c>
      <c r="G36829" s="40" t="s">
        <v>11404</v>
      </c>
      <c r="H36829" s="40" t="s">
        <v>11404</v>
      </c>
    </row>
    <row r="36830">
      <c r="A36830" s="39"/>
      <c r="E36830" s="40" t="s">
        <v>11404</v>
      </c>
      <c r="F36830" s="40" t="s">
        <v>11404</v>
      </c>
      <c r="G36830" s="40" t="s">
        <v>11404</v>
      </c>
      <c r="H36830" s="40" t="s">
        <v>11404</v>
      </c>
    </row>
    <row r="36831">
      <c r="A36831" s="39"/>
      <c r="E36831" s="40" t="s">
        <v>11404</v>
      </c>
      <c r="F36831" s="40" t="s">
        <v>11404</v>
      </c>
      <c r="G36831" s="40" t="s">
        <v>11404</v>
      </c>
      <c r="H36831" s="40" t="s">
        <v>11404</v>
      </c>
    </row>
    <row r="36832">
      <c r="A36832" s="39"/>
      <c r="E36832" s="40" t="s">
        <v>11404</v>
      </c>
      <c r="F36832" s="40" t="s">
        <v>11404</v>
      </c>
      <c r="G36832" s="40" t="s">
        <v>11404</v>
      </c>
      <c r="H36832" s="40" t="s">
        <v>11404</v>
      </c>
    </row>
    <row r="36833">
      <c r="A36833" s="39"/>
      <c r="E36833" s="40" t="s">
        <v>11404</v>
      </c>
      <c r="F36833" s="40" t="s">
        <v>11404</v>
      </c>
      <c r="G36833" s="40" t="s">
        <v>11404</v>
      </c>
      <c r="H36833" s="40" t="s">
        <v>11404</v>
      </c>
    </row>
    <row r="36834">
      <c r="A36834" s="39"/>
      <c r="E36834" s="40" t="s">
        <v>11404</v>
      </c>
      <c r="F36834" s="40" t="s">
        <v>11404</v>
      </c>
      <c r="G36834" s="40" t="s">
        <v>11404</v>
      </c>
      <c r="H36834" s="40" t="s">
        <v>11404</v>
      </c>
    </row>
    <row r="36835">
      <c r="A36835" s="39"/>
      <c r="E36835" s="40" t="s">
        <v>11404</v>
      </c>
      <c r="F36835" s="40" t="s">
        <v>11404</v>
      </c>
      <c r="G36835" s="40" t="s">
        <v>11404</v>
      </c>
      <c r="H36835" s="40" t="s">
        <v>11404</v>
      </c>
    </row>
    <row r="36836">
      <c r="A36836" s="39"/>
      <c r="E36836" s="40" t="s">
        <v>11404</v>
      </c>
      <c r="F36836" s="40" t="s">
        <v>11404</v>
      </c>
      <c r="G36836" s="40" t="s">
        <v>11404</v>
      </c>
      <c r="H36836" s="40" t="s">
        <v>11404</v>
      </c>
    </row>
    <row r="36837">
      <c r="A36837" s="39"/>
      <c r="E36837" s="40" t="s">
        <v>11404</v>
      </c>
      <c r="F36837" s="40" t="s">
        <v>11404</v>
      </c>
      <c r="G36837" s="40" t="s">
        <v>11404</v>
      </c>
      <c r="H36837" s="40" t="s">
        <v>11404</v>
      </c>
    </row>
    <row r="36838">
      <c r="A36838" s="39"/>
      <c r="E36838" s="40" t="s">
        <v>11404</v>
      </c>
      <c r="F36838" s="40" t="s">
        <v>11404</v>
      </c>
      <c r="G36838" s="40" t="s">
        <v>11404</v>
      </c>
      <c r="H36838" s="40" t="s">
        <v>11404</v>
      </c>
    </row>
    <row r="36839">
      <c r="A36839" s="39"/>
      <c r="E36839" s="40" t="s">
        <v>11404</v>
      </c>
      <c r="F36839" s="40" t="s">
        <v>11404</v>
      </c>
      <c r="G36839" s="40" t="s">
        <v>11404</v>
      </c>
      <c r="H36839" s="40" t="s">
        <v>11404</v>
      </c>
    </row>
    <row r="36840">
      <c r="A36840" s="39"/>
      <c r="E36840" s="40" t="s">
        <v>11404</v>
      </c>
      <c r="F36840" s="40" t="s">
        <v>11404</v>
      </c>
      <c r="G36840" s="40" t="s">
        <v>11404</v>
      </c>
      <c r="H36840" s="40" t="s">
        <v>11404</v>
      </c>
    </row>
    <row r="36841">
      <c r="A36841" s="39"/>
      <c r="E36841" s="40" t="s">
        <v>11404</v>
      </c>
      <c r="F36841" s="40" t="s">
        <v>11404</v>
      </c>
      <c r="G36841" s="40" t="s">
        <v>11404</v>
      </c>
      <c r="H36841" s="40" t="s">
        <v>11404</v>
      </c>
    </row>
    <row r="36842">
      <c r="A36842" s="39"/>
      <c r="E36842" s="40" t="s">
        <v>11404</v>
      </c>
      <c r="F36842" s="40" t="s">
        <v>11404</v>
      </c>
      <c r="G36842" s="40" t="s">
        <v>11404</v>
      </c>
      <c r="H36842" s="40" t="s">
        <v>11404</v>
      </c>
    </row>
    <row r="36843">
      <c r="A36843" s="39"/>
      <c r="E36843" s="40" t="s">
        <v>11404</v>
      </c>
      <c r="F36843" s="40" t="s">
        <v>11404</v>
      </c>
      <c r="G36843" s="40" t="s">
        <v>11404</v>
      </c>
      <c r="H36843" s="40" t="s">
        <v>11404</v>
      </c>
    </row>
    <row r="36844">
      <c r="A36844" s="39"/>
      <c r="E36844" s="40" t="s">
        <v>11404</v>
      </c>
      <c r="F36844" s="40" t="s">
        <v>11404</v>
      </c>
      <c r="G36844" s="40" t="s">
        <v>11404</v>
      </c>
      <c r="H36844" s="40" t="s">
        <v>11404</v>
      </c>
    </row>
    <row r="36845">
      <c r="A36845" s="39"/>
      <c r="E36845" s="40" t="s">
        <v>11404</v>
      </c>
      <c r="F36845" s="40" t="s">
        <v>11404</v>
      </c>
      <c r="G36845" s="40" t="s">
        <v>11404</v>
      </c>
      <c r="H36845" s="40" t="s">
        <v>11404</v>
      </c>
    </row>
    <row r="36846">
      <c r="A36846" s="39"/>
      <c r="E36846" s="40" t="s">
        <v>11404</v>
      </c>
      <c r="F36846" s="40" t="s">
        <v>11404</v>
      </c>
      <c r="G36846" s="40" t="s">
        <v>11404</v>
      </c>
      <c r="H36846" s="40" t="s">
        <v>11404</v>
      </c>
    </row>
    <row r="36847">
      <c r="A36847" s="39"/>
      <c r="E36847" s="40" t="s">
        <v>11404</v>
      </c>
      <c r="F36847" s="40" t="s">
        <v>11404</v>
      </c>
      <c r="G36847" s="40" t="s">
        <v>11404</v>
      </c>
      <c r="H36847" s="40" t="s">
        <v>11404</v>
      </c>
    </row>
    <row r="36848">
      <c r="A36848" s="39"/>
      <c r="E36848" s="40" t="s">
        <v>11404</v>
      </c>
      <c r="F36848" s="40" t="s">
        <v>11404</v>
      </c>
      <c r="G36848" s="40" t="s">
        <v>11404</v>
      </c>
      <c r="H36848" s="40" t="s">
        <v>11404</v>
      </c>
    </row>
    <row r="36849">
      <c r="A36849" s="39"/>
      <c r="E36849" s="40" t="s">
        <v>11404</v>
      </c>
      <c r="F36849" s="40" t="s">
        <v>11404</v>
      </c>
      <c r="G36849" s="40" t="s">
        <v>11404</v>
      </c>
      <c r="H36849" s="40" t="s">
        <v>11404</v>
      </c>
    </row>
    <row r="36850">
      <c r="A36850" s="39"/>
      <c r="E36850" s="40" t="s">
        <v>11404</v>
      </c>
      <c r="F36850" s="40" t="s">
        <v>11404</v>
      </c>
      <c r="G36850" s="40" t="s">
        <v>11404</v>
      </c>
      <c r="H36850" s="40" t="s">
        <v>11404</v>
      </c>
    </row>
    <row r="36851">
      <c r="A36851" s="39"/>
      <c r="E36851" s="40" t="s">
        <v>11404</v>
      </c>
      <c r="F36851" s="40" t="s">
        <v>11404</v>
      </c>
      <c r="G36851" s="40" t="s">
        <v>11404</v>
      </c>
      <c r="H36851" s="40" t="s">
        <v>11404</v>
      </c>
    </row>
    <row r="36852">
      <c r="A36852" s="39"/>
      <c r="E36852" s="40" t="s">
        <v>11404</v>
      </c>
      <c r="F36852" s="40" t="s">
        <v>11404</v>
      </c>
      <c r="G36852" s="40" t="s">
        <v>11404</v>
      </c>
      <c r="H36852" s="40" t="s">
        <v>11404</v>
      </c>
    </row>
    <row r="36853">
      <c r="A36853" s="39"/>
      <c r="E36853" s="40" t="s">
        <v>11404</v>
      </c>
      <c r="F36853" s="40" t="s">
        <v>11404</v>
      </c>
      <c r="G36853" s="40" t="s">
        <v>11404</v>
      </c>
      <c r="H36853" s="40" t="s">
        <v>11404</v>
      </c>
    </row>
    <row r="36854">
      <c r="A36854" s="39"/>
      <c r="E36854" s="40" t="s">
        <v>11404</v>
      </c>
      <c r="F36854" s="40" t="s">
        <v>11404</v>
      </c>
      <c r="G36854" s="40" t="s">
        <v>11404</v>
      </c>
      <c r="H36854" s="40" t="s">
        <v>11404</v>
      </c>
    </row>
    <row r="36855">
      <c r="A36855" s="39"/>
      <c r="E36855" s="40" t="s">
        <v>11404</v>
      </c>
      <c r="F36855" s="40" t="s">
        <v>11404</v>
      </c>
      <c r="G36855" s="40" t="s">
        <v>11404</v>
      </c>
      <c r="H36855" s="40" t="s">
        <v>11404</v>
      </c>
    </row>
    <row r="36856">
      <c r="A36856" s="39"/>
      <c r="E36856" s="40" t="s">
        <v>11404</v>
      </c>
      <c r="F36856" s="40" t="s">
        <v>11404</v>
      </c>
      <c r="G36856" s="40" t="s">
        <v>11404</v>
      </c>
      <c r="H36856" s="40" t="s">
        <v>11404</v>
      </c>
    </row>
    <row r="36857">
      <c r="A36857" s="39"/>
      <c r="E36857" s="40" t="s">
        <v>11404</v>
      </c>
      <c r="F36857" s="40" t="s">
        <v>11404</v>
      </c>
      <c r="G36857" s="40" t="s">
        <v>11404</v>
      </c>
      <c r="H36857" s="40" t="s">
        <v>11404</v>
      </c>
    </row>
    <row r="36858">
      <c r="A36858" s="39"/>
      <c r="E36858" s="40" t="s">
        <v>11404</v>
      </c>
      <c r="F36858" s="40" t="s">
        <v>11404</v>
      </c>
      <c r="G36858" s="40" t="s">
        <v>11404</v>
      </c>
      <c r="H36858" s="40" t="s">
        <v>11404</v>
      </c>
    </row>
    <row r="36859">
      <c r="A36859" s="39"/>
      <c r="E36859" s="40" t="s">
        <v>11404</v>
      </c>
      <c r="F36859" s="40" t="s">
        <v>11404</v>
      </c>
      <c r="G36859" s="40" t="s">
        <v>11404</v>
      </c>
      <c r="H36859" s="40" t="s">
        <v>11404</v>
      </c>
    </row>
    <row r="36860">
      <c r="A36860" s="39"/>
      <c r="E36860" s="40" t="s">
        <v>11404</v>
      </c>
      <c r="F36860" s="40" t="s">
        <v>11404</v>
      </c>
      <c r="G36860" s="40" t="s">
        <v>11404</v>
      </c>
      <c r="H36860" s="40" t="s">
        <v>11404</v>
      </c>
    </row>
    <row r="36861">
      <c r="A36861" s="39"/>
      <c r="E36861" s="40" t="s">
        <v>11404</v>
      </c>
      <c r="F36861" s="40" t="s">
        <v>11404</v>
      </c>
      <c r="G36861" s="40" t="s">
        <v>11404</v>
      </c>
      <c r="H36861" s="40" t="s">
        <v>11404</v>
      </c>
    </row>
    <row r="36862">
      <c r="A36862" s="39"/>
      <c r="E36862" s="40" t="s">
        <v>11404</v>
      </c>
      <c r="F36862" s="40" t="s">
        <v>11404</v>
      </c>
      <c r="G36862" s="40" t="s">
        <v>11404</v>
      </c>
      <c r="H36862" s="40" t="s">
        <v>11404</v>
      </c>
    </row>
    <row r="36863">
      <c r="A36863" s="39"/>
      <c r="E36863" s="40" t="s">
        <v>11404</v>
      </c>
      <c r="F36863" s="40" t="s">
        <v>11404</v>
      </c>
      <c r="G36863" s="40" t="s">
        <v>11404</v>
      </c>
      <c r="H36863" s="40" t="s">
        <v>11404</v>
      </c>
    </row>
    <row r="36864">
      <c r="A36864" s="39"/>
      <c r="E36864" s="40" t="s">
        <v>11404</v>
      </c>
      <c r="F36864" s="40" t="s">
        <v>11404</v>
      </c>
      <c r="G36864" s="40" t="s">
        <v>11404</v>
      </c>
      <c r="H36864" s="40" t="s">
        <v>11404</v>
      </c>
    </row>
    <row r="36865">
      <c r="A36865" s="39"/>
      <c r="E36865" s="40" t="s">
        <v>11404</v>
      </c>
      <c r="F36865" s="40" t="s">
        <v>11404</v>
      </c>
      <c r="G36865" s="40" t="s">
        <v>11404</v>
      </c>
      <c r="H36865" s="40" t="s">
        <v>11404</v>
      </c>
    </row>
    <row r="36866">
      <c r="A36866" s="39"/>
      <c r="E36866" s="40" t="s">
        <v>11404</v>
      </c>
      <c r="F36866" s="40" t="s">
        <v>11404</v>
      </c>
      <c r="G36866" s="40" t="s">
        <v>11404</v>
      </c>
      <c r="H36866" s="40" t="s">
        <v>11404</v>
      </c>
    </row>
    <row r="36867">
      <c r="A36867" s="39"/>
      <c r="E36867" s="40" t="s">
        <v>11404</v>
      </c>
      <c r="F36867" s="40" t="s">
        <v>11404</v>
      </c>
      <c r="G36867" s="40" t="s">
        <v>11404</v>
      </c>
      <c r="H36867" s="40" t="s">
        <v>11404</v>
      </c>
    </row>
    <row r="36868">
      <c r="A36868" s="39"/>
      <c r="E36868" s="40" t="s">
        <v>11404</v>
      </c>
      <c r="F36868" s="40" t="s">
        <v>11404</v>
      </c>
      <c r="G36868" s="40" t="s">
        <v>11404</v>
      </c>
      <c r="H36868" s="40" t="s">
        <v>11404</v>
      </c>
    </row>
    <row r="36869">
      <c r="A36869" s="39"/>
      <c r="E36869" s="40" t="s">
        <v>11404</v>
      </c>
      <c r="F36869" s="40" t="s">
        <v>11404</v>
      </c>
      <c r="G36869" s="40" t="s">
        <v>11404</v>
      </c>
      <c r="H36869" s="40" t="s">
        <v>11404</v>
      </c>
    </row>
    <row r="36870">
      <c r="A36870" s="39"/>
      <c r="E36870" s="40" t="s">
        <v>11404</v>
      </c>
      <c r="F36870" s="40" t="s">
        <v>11404</v>
      </c>
      <c r="G36870" s="40" t="s">
        <v>11404</v>
      </c>
      <c r="H36870" s="40" t="s">
        <v>11404</v>
      </c>
    </row>
    <row r="36871">
      <c r="A36871" s="39"/>
      <c r="E36871" s="40" t="s">
        <v>11404</v>
      </c>
      <c r="F36871" s="40" t="s">
        <v>11404</v>
      </c>
      <c r="G36871" s="40" t="s">
        <v>11404</v>
      </c>
      <c r="H36871" s="40" t="s">
        <v>11404</v>
      </c>
    </row>
    <row r="36872">
      <c r="A36872" s="39"/>
      <c r="E36872" s="40" t="s">
        <v>11404</v>
      </c>
      <c r="F36872" s="40" t="s">
        <v>11404</v>
      </c>
      <c r="G36872" s="40" t="s">
        <v>11404</v>
      </c>
      <c r="H36872" s="40" t="s">
        <v>11404</v>
      </c>
    </row>
    <row r="36873">
      <c r="A36873" s="39"/>
      <c r="E36873" s="40" t="s">
        <v>11404</v>
      </c>
      <c r="F36873" s="40" t="s">
        <v>11404</v>
      </c>
      <c r="G36873" s="40" t="s">
        <v>11404</v>
      </c>
      <c r="H36873" s="40" t="s">
        <v>11404</v>
      </c>
    </row>
    <row r="36874">
      <c r="A36874" s="39"/>
      <c r="E36874" s="40" t="s">
        <v>11404</v>
      </c>
      <c r="F36874" s="40" t="s">
        <v>11404</v>
      </c>
      <c r="G36874" s="40" t="s">
        <v>11404</v>
      </c>
      <c r="H36874" s="40" t="s">
        <v>11404</v>
      </c>
    </row>
    <row r="36875">
      <c r="A36875" s="39"/>
      <c r="E36875" s="40" t="s">
        <v>11404</v>
      </c>
      <c r="F36875" s="40" t="s">
        <v>11404</v>
      </c>
      <c r="G36875" s="40" t="s">
        <v>11404</v>
      </c>
      <c r="H36875" s="40" t="s">
        <v>11404</v>
      </c>
    </row>
    <row r="36876">
      <c r="A36876" s="39"/>
      <c r="E36876" s="40" t="s">
        <v>11404</v>
      </c>
      <c r="F36876" s="40" t="s">
        <v>11404</v>
      </c>
      <c r="G36876" s="40" t="s">
        <v>11404</v>
      </c>
      <c r="H36876" s="40" t="s">
        <v>11404</v>
      </c>
    </row>
    <row r="36877">
      <c r="A36877" s="39"/>
      <c r="E36877" s="40" t="s">
        <v>11404</v>
      </c>
      <c r="F36877" s="40" t="s">
        <v>11404</v>
      </c>
      <c r="G36877" s="40" t="s">
        <v>11404</v>
      </c>
      <c r="H36877" s="40" t="s">
        <v>11404</v>
      </c>
    </row>
    <row r="36878">
      <c r="A36878" s="39"/>
      <c r="E36878" s="40" t="s">
        <v>11404</v>
      </c>
      <c r="F36878" s="40" t="s">
        <v>11404</v>
      </c>
      <c r="G36878" s="40" t="s">
        <v>11404</v>
      </c>
      <c r="H36878" s="40" t="s">
        <v>11404</v>
      </c>
    </row>
    <row r="36879">
      <c r="A36879" s="39"/>
      <c r="E36879" s="40" t="s">
        <v>11404</v>
      </c>
      <c r="F36879" s="40" t="s">
        <v>11404</v>
      </c>
      <c r="G36879" s="40" t="s">
        <v>11404</v>
      </c>
      <c r="H36879" s="40" t="s">
        <v>11404</v>
      </c>
    </row>
    <row r="36880">
      <c r="A36880" s="39"/>
      <c r="E36880" s="40" t="s">
        <v>11404</v>
      </c>
      <c r="F36880" s="40" t="s">
        <v>11404</v>
      </c>
      <c r="G36880" s="40" t="s">
        <v>11404</v>
      </c>
      <c r="H36880" s="40" t="s">
        <v>11404</v>
      </c>
    </row>
    <row r="36881">
      <c r="A36881" s="39"/>
      <c r="E36881" s="40" t="s">
        <v>11404</v>
      </c>
      <c r="F36881" s="40" t="s">
        <v>11404</v>
      </c>
      <c r="G36881" s="40" t="s">
        <v>11404</v>
      </c>
      <c r="H36881" s="40" t="s">
        <v>11404</v>
      </c>
    </row>
    <row r="36882">
      <c r="A36882" s="39"/>
      <c r="E36882" s="40" t="s">
        <v>11404</v>
      </c>
      <c r="F36882" s="40" t="s">
        <v>11404</v>
      </c>
      <c r="G36882" s="40" t="s">
        <v>11404</v>
      </c>
      <c r="H36882" s="40" t="s">
        <v>11404</v>
      </c>
    </row>
    <row r="36883">
      <c r="A36883" s="39"/>
      <c r="E36883" s="40" t="s">
        <v>11404</v>
      </c>
      <c r="F36883" s="40" t="s">
        <v>11404</v>
      </c>
      <c r="G36883" s="40" t="s">
        <v>11404</v>
      </c>
      <c r="H36883" s="40" t="s">
        <v>11404</v>
      </c>
    </row>
    <row r="36884">
      <c r="A36884" s="39"/>
      <c r="E36884" s="40" t="s">
        <v>11404</v>
      </c>
      <c r="F36884" s="40" t="s">
        <v>11404</v>
      </c>
      <c r="G36884" s="40" t="s">
        <v>11404</v>
      </c>
      <c r="H36884" s="40" t="s">
        <v>11404</v>
      </c>
    </row>
    <row r="36885">
      <c r="A36885" s="39"/>
      <c r="E36885" s="40" t="s">
        <v>11404</v>
      </c>
      <c r="F36885" s="40" t="s">
        <v>11404</v>
      </c>
      <c r="G36885" s="40" t="s">
        <v>11404</v>
      </c>
      <c r="H36885" s="40" t="s">
        <v>11404</v>
      </c>
    </row>
    <row r="36886">
      <c r="A36886" s="39"/>
      <c r="E36886" s="40" t="s">
        <v>11404</v>
      </c>
      <c r="F36886" s="40" t="s">
        <v>11404</v>
      </c>
      <c r="G36886" s="40" t="s">
        <v>11404</v>
      </c>
      <c r="H36886" s="40" t="s">
        <v>11404</v>
      </c>
    </row>
    <row r="36887">
      <c r="A36887" s="39"/>
      <c r="E36887" s="40" t="s">
        <v>11404</v>
      </c>
      <c r="F36887" s="40" t="s">
        <v>11404</v>
      </c>
      <c r="G36887" s="40" t="s">
        <v>11404</v>
      </c>
      <c r="H36887" s="40" t="s">
        <v>11404</v>
      </c>
    </row>
    <row r="36888">
      <c r="A36888" s="39"/>
      <c r="E36888" s="40" t="s">
        <v>11404</v>
      </c>
      <c r="F36888" s="40" t="s">
        <v>11404</v>
      </c>
      <c r="G36888" s="40" t="s">
        <v>11404</v>
      </c>
      <c r="H36888" s="40" t="s">
        <v>11404</v>
      </c>
    </row>
    <row r="36889">
      <c r="A36889" s="39"/>
      <c r="E36889" s="40" t="s">
        <v>11404</v>
      </c>
      <c r="F36889" s="40" t="s">
        <v>11404</v>
      </c>
      <c r="G36889" s="40" t="s">
        <v>11404</v>
      </c>
      <c r="H36889" s="40" t="s">
        <v>11404</v>
      </c>
    </row>
    <row r="36890">
      <c r="A36890" s="39"/>
      <c r="E36890" s="40" t="s">
        <v>11404</v>
      </c>
      <c r="F36890" s="40" t="s">
        <v>11404</v>
      </c>
      <c r="G36890" s="40" t="s">
        <v>11404</v>
      </c>
      <c r="H36890" s="40" t="s">
        <v>11404</v>
      </c>
    </row>
    <row r="36891">
      <c r="A36891" s="39"/>
      <c r="E36891" s="40" t="s">
        <v>11404</v>
      </c>
      <c r="F36891" s="40" t="s">
        <v>11404</v>
      </c>
      <c r="G36891" s="40" t="s">
        <v>11404</v>
      </c>
      <c r="H36891" s="40" t="s">
        <v>11404</v>
      </c>
    </row>
    <row r="36892">
      <c r="A36892" s="39"/>
      <c r="E36892" s="40" t="s">
        <v>11404</v>
      </c>
      <c r="F36892" s="40" t="s">
        <v>11404</v>
      </c>
      <c r="G36892" s="40" t="s">
        <v>11404</v>
      </c>
      <c r="H36892" s="40" t="s">
        <v>11404</v>
      </c>
    </row>
    <row r="36893">
      <c r="A36893" s="39"/>
      <c r="E36893" s="40" t="s">
        <v>11404</v>
      </c>
      <c r="F36893" s="40" t="s">
        <v>11404</v>
      </c>
      <c r="G36893" s="40" t="s">
        <v>11404</v>
      </c>
      <c r="H36893" s="40" t="s">
        <v>11404</v>
      </c>
    </row>
    <row r="36894">
      <c r="A36894" s="39"/>
      <c r="E36894" s="40" t="s">
        <v>11404</v>
      </c>
      <c r="F36894" s="40" t="s">
        <v>11404</v>
      </c>
      <c r="G36894" s="40" t="s">
        <v>11404</v>
      </c>
      <c r="H36894" s="40" t="s">
        <v>11404</v>
      </c>
    </row>
    <row r="36895">
      <c r="A36895" s="39"/>
      <c r="E36895" s="40" t="s">
        <v>11404</v>
      </c>
      <c r="F36895" s="40" t="s">
        <v>11404</v>
      </c>
      <c r="G36895" s="40" t="s">
        <v>11404</v>
      </c>
      <c r="H36895" s="40" t="s">
        <v>11404</v>
      </c>
    </row>
    <row r="36896">
      <c r="A36896" s="39"/>
      <c r="E36896" s="40" t="s">
        <v>11404</v>
      </c>
      <c r="F36896" s="40" t="s">
        <v>11404</v>
      </c>
      <c r="G36896" s="40" t="s">
        <v>11404</v>
      </c>
      <c r="H36896" s="40" t="s">
        <v>11404</v>
      </c>
    </row>
    <row r="36897">
      <c r="A36897" s="39"/>
      <c r="E36897" s="40" t="s">
        <v>11404</v>
      </c>
      <c r="F36897" s="40" t="s">
        <v>11404</v>
      </c>
      <c r="G36897" s="40" t="s">
        <v>11404</v>
      </c>
      <c r="H36897" s="40" t="s">
        <v>11404</v>
      </c>
    </row>
    <row r="36898">
      <c r="A36898" s="39"/>
      <c r="E36898" s="40" t="s">
        <v>11404</v>
      </c>
      <c r="F36898" s="40" t="s">
        <v>11404</v>
      </c>
      <c r="G36898" s="40" t="s">
        <v>11404</v>
      </c>
      <c r="H36898" s="40" t="s">
        <v>11404</v>
      </c>
    </row>
    <row r="36899">
      <c r="A36899" s="39"/>
      <c r="E36899" s="40" t="s">
        <v>11404</v>
      </c>
      <c r="F36899" s="40" t="s">
        <v>11404</v>
      </c>
      <c r="G36899" s="40" t="s">
        <v>11404</v>
      </c>
      <c r="H36899" s="40" t="s">
        <v>11404</v>
      </c>
    </row>
    <row r="36900">
      <c r="A36900" s="39"/>
      <c r="E36900" s="40" t="s">
        <v>11404</v>
      </c>
      <c r="F36900" s="40" t="s">
        <v>11404</v>
      </c>
      <c r="G36900" s="40" t="s">
        <v>11404</v>
      </c>
      <c r="H36900" s="40" t="s">
        <v>11404</v>
      </c>
    </row>
    <row r="36901">
      <c r="A36901" s="39"/>
      <c r="E36901" s="40" t="s">
        <v>11404</v>
      </c>
      <c r="F36901" s="40" t="s">
        <v>11404</v>
      </c>
      <c r="G36901" s="40" t="s">
        <v>11404</v>
      </c>
      <c r="H36901" s="40" t="s">
        <v>11404</v>
      </c>
    </row>
    <row r="36902">
      <c r="A36902" s="39"/>
      <c r="E36902" s="40" t="s">
        <v>11404</v>
      </c>
      <c r="F36902" s="40" t="s">
        <v>11404</v>
      </c>
      <c r="G36902" s="40" t="s">
        <v>11404</v>
      </c>
      <c r="H36902" s="40" t="s">
        <v>11404</v>
      </c>
    </row>
    <row r="36903">
      <c r="A36903" s="39"/>
      <c r="E36903" s="40" t="s">
        <v>11404</v>
      </c>
      <c r="F36903" s="40" t="s">
        <v>11404</v>
      </c>
      <c r="G36903" s="40" t="s">
        <v>11404</v>
      </c>
      <c r="H36903" s="40" t="s">
        <v>11404</v>
      </c>
    </row>
    <row r="36904">
      <c r="A36904" s="39"/>
      <c r="E36904" s="40" t="s">
        <v>11404</v>
      </c>
      <c r="F36904" s="40" t="s">
        <v>11404</v>
      </c>
      <c r="G36904" s="40" t="s">
        <v>11404</v>
      </c>
      <c r="H36904" s="40" t="s">
        <v>11404</v>
      </c>
    </row>
    <row r="36905">
      <c r="A36905" s="39"/>
      <c r="E36905" s="40" t="s">
        <v>11404</v>
      </c>
      <c r="F36905" s="40" t="s">
        <v>11404</v>
      </c>
      <c r="G36905" s="40" t="s">
        <v>11404</v>
      </c>
      <c r="H36905" s="40" t="s">
        <v>11404</v>
      </c>
    </row>
    <row r="36906">
      <c r="A36906" s="39"/>
      <c r="E36906" s="40" t="s">
        <v>11404</v>
      </c>
      <c r="F36906" s="40" t="s">
        <v>11404</v>
      </c>
      <c r="G36906" s="40" t="s">
        <v>11404</v>
      </c>
      <c r="H36906" s="40" t="s">
        <v>11404</v>
      </c>
    </row>
    <row r="36907">
      <c r="A36907" s="39"/>
      <c r="E36907" s="40" t="s">
        <v>11404</v>
      </c>
      <c r="F36907" s="40" t="s">
        <v>11404</v>
      </c>
      <c r="G36907" s="40" t="s">
        <v>11404</v>
      </c>
      <c r="H36907" s="40" t="s">
        <v>11404</v>
      </c>
    </row>
    <row r="36908">
      <c r="A36908" s="39"/>
      <c r="E36908" s="40" t="s">
        <v>11404</v>
      </c>
      <c r="F36908" s="40" t="s">
        <v>11404</v>
      </c>
      <c r="G36908" s="40" t="s">
        <v>11404</v>
      </c>
      <c r="H36908" s="40" t="s">
        <v>11404</v>
      </c>
    </row>
    <row r="36909">
      <c r="A36909" s="39"/>
      <c r="E36909" s="40" t="s">
        <v>11404</v>
      </c>
      <c r="F36909" s="40" t="s">
        <v>11404</v>
      </c>
      <c r="G36909" s="40" t="s">
        <v>11404</v>
      </c>
      <c r="H36909" s="40" t="s">
        <v>11404</v>
      </c>
    </row>
    <row r="36910">
      <c r="A36910" s="39"/>
      <c r="E36910" s="40" t="s">
        <v>11404</v>
      </c>
      <c r="F36910" s="40" t="s">
        <v>11404</v>
      </c>
      <c r="G36910" s="40" t="s">
        <v>11404</v>
      </c>
      <c r="H36910" s="40" t="s">
        <v>11404</v>
      </c>
    </row>
    <row r="36911">
      <c r="A36911" s="39"/>
      <c r="E36911" s="40" t="s">
        <v>11404</v>
      </c>
      <c r="F36911" s="40" t="s">
        <v>11404</v>
      </c>
      <c r="G36911" s="40" t="s">
        <v>11404</v>
      </c>
      <c r="H36911" s="40" t="s">
        <v>11404</v>
      </c>
    </row>
    <row r="36912">
      <c r="A36912" s="39"/>
      <c r="E36912" s="40" t="s">
        <v>11404</v>
      </c>
      <c r="F36912" s="40" t="s">
        <v>11404</v>
      </c>
      <c r="G36912" s="40" t="s">
        <v>11404</v>
      </c>
      <c r="H36912" s="40" t="s">
        <v>11404</v>
      </c>
    </row>
    <row r="36913">
      <c r="A36913" s="39"/>
      <c r="E36913" s="40" t="s">
        <v>11404</v>
      </c>
      <c r="F36913" s="40" t="s">
        <v>11404</v>
      </c>
      <c r="G36913" s="40" t="s">
        <v>11404</v>
      </c>
      <c r="H36913" s="40" t="s">
        <v>11404</v>
      </c>
    </row>
    <row r="36914">
      <c r="A36914" s="39"/>
      <c r="E36914" s="40" t="s">
        <v>11404</v>
      </c>
      <c r="F36914" s="40" t="s">
        <v>11404</v>
      </c>
      <c r="G36914" s="40" t="s">
        <v>11404</v>
      </c>
      <c r="H36914" s="40" t="s">
        <v>11404</v>
      </c>
    </row>
    <row r="36915">
      <c r="A36915" s="39"/>
      <c r="E36915" s="40" t="s">
        <v>11404</v>
      </c>
      <c r="F36915" s="40" t="s">
        <v>11404</v>
      </c>
      <c r="G36915" s="40" t="s">
        <v>11404</v>
      </c>
      <c r="H36915" s="40" t="s">
        <v>11404</v>
      </c>
    </row>
    <row r="36916">
      <c r="A36916" s="39"/>
      <c r="E36916" s="40" t="s">
        <v>11404</v>
      </c>
      <c r="F36916" s="40" t="s">
        <v>11404</v>
      </c>
      <c r="G36916" s="40" t="s">
        <v>11404</v>
      </c>
      <c r="H36916" s="40" t="s">
        <v>11404</v>
      </c>
    </row>
    <row r="36917">
      <c r="A36917" s="39"/>
      <c r="E36917" s="40" t="s">
        <v>11404</v>
      </c>
      <c r="F36917" s="40" t="s">
        <v>11404</v>
      </c>
      <c r="G36917" s="40" t="s">
        <v>11404</v>
      </c>
      <c r="H36917" s="40" t="s">
        <v>11404</v>
      </c>
    </row>
    <row r="36918">
      <c r="A36918" s="39"/>
      <c r="E36918" s="40" t="s">
        <v>11404</v>
      </c>
      <c r="F36918" s="40" t="s">
        <v>11404</v>
      </c>
      <c r="G36918" s="40" t="s">
        <v>11404</v>
      </c>
      <c r="H36918" s="40" t="s">
        <v>11404</v>
      </c>
    </row>
    <row r="36919">
      <c r="A36919" s="39"/>
      <c r="E36919" s="40" t="s">
        <v>11404</v>
      </c>
      <c r="F36919" s="40" t="s">
        <v>11404</v>
      </c>
      <c r="G36919" s="40" t="s">
        <v>11404</v>
      </c>
      <c r="H36919" s="40" t="s">
        <v>11404</v>
      </c>
    </row>
    <row r="36920">
      <c r="A36920" s="39"/>
      <c r="E36920" s="40" t="s">
        <v>11404</v>
      </c>
      <c r="F36920" s="40" t="s">
        <v>11404</v>
      </c>
      <c r="G36920" s="40" t="s">
        <v>11404</v>
      </c>
      <c r="H36920" s="40" t="s">
        <v>11404</v>
      </c>
    </row>
    <row r="36921">
      <c r="A36921" s="39"/>
      <c r="E36921" s="40" t="s">
        <v>11404</v>
      </c>
      <c r="F36921" s="40" t="s">
        <v>11404</v>
      </c>
      <c r="G36921" s="40" t="s">
        <v>11404</v>
      </c>
      <c r="H36921" s="40" t="s">
        <v>11404</v>
      </c>
    </row>
    <row r="36922">
      <c r="A36922" s="39"/>
      <c r="E36922" s="40" t="s">
        <v>11404</v>
      </c>
      <c r="F36922" s="40" t="s">
        <v>11404</v>
      </c>
      <c r="G36922" s="40" t="s">
        <v>11404</v>
      </c>
      <c r="H36922" s="40" t="s">
        <v>11404</v>
      </c>
    </row>
    <row r="36923">
      <c r="A36923" s="39"/>
      <c r="E36923" s="40" t="s">
        <v>11404</v>
      </c>
      <c r="F36923" s="40" t="s">
        <v>11404</v>
      </c>
      <c r="G36923" s="40" t="s">
        <v>11404</v>
      </c>
      <c r="H36923" s="40" t="s">
        <v>11404</v>
      </c>
    </row>
    <row r="36924">
      <c r="A36924" s="39"/>
      <c r="E36924" s="40" t="s">
        <v>11404</v>
      </c>
      <c r="F36924" s="40" t="s">
        <v>11404</v>
      </c>
      <c r="G36924" s="40" t="s">
        <v>11404</v>
      </c>
      <c r="H36924" s="40" t="s">
        <v>11404</v>
      </c>
    </row>
    <row r="36925">
      <c r="A36925" s="39"/>
      <c r="E36925" s="40" t="s">
        <v>11404</v>
      </c>
      <c r="F36925" s="40" t="s">
        <v>11404</v>
      </c>
      <c r="G36925" s="40" t="s">
        <v>11404</v>
      </c>
      <c r="H36925" s="40" t="s">
        <v>11404</v>
      </c>
    </row>
    <row r="36926">
      <c r="A36926" s="39"/>
      <c r="E36926" s="40" t="s">
        <v>11404</v>
      </c>
      <c r="F36926" s="40" t="s">
        <v>11404</v>
      </c>
      <c r="G36926" s="40" t="s">
        <v>11404</v>
      </c>
      <c r="H36926" s="40" t="s">
        <v>11404</v>
      </c>
    </row>
    <row r="36927">
      <c r="A36927" s="39"/>
      <c r="E36927" s="40" t="s">
        <v>11404</v>
      </c>
      <c r="F36927" s="40" t="s">
        <v>11404</v>
      </c>
      <c r="G36927" s="40" t="s">
        <v>11404</v>
      </c>
      <c r="H36927" s="40" t="s">
        <v>11404</v>
      </c>
    </row>
    <row r="36928">
      <c r="A36928" s="39"/>
      <c r="E36928" s="40" t="s">
        <v>11404</v>
      </c>
      <c r="F36928" s="40" t="s">
        <v>11404</v>
      </c>
      <c r="G36928" s="40" t="s">
        <v>11404</v>
      </c>
      <c r="H36928" s="40" t="s">
        <v>11404</v>
      </c>
    </row>
    <row r="36929">
      <c r="A36929" s="39"/>
      <c r="E36929" s="40" t="s">
        <v>11404</v>
      </c>
      <c r="F36929" s="40" t="s">
        <v>11404</v>
      </c>
      <c r="G36929" s="40" t="s">
        <v>11404</v>
      </c>
      <c r="H36929" s="40" t="s">
        <v>11404</v>
      </c>
    </row>
    <row r="36930">
      <c r="A36930" s="39"/>
      <c r="E36930" s="40" t="s">
        <v>11404</v>
      </c>
      <c r="F36930" s="40" t="s">
        <v>11404</v>
      </c>
      <c r="G36930" s="40" t="s">
        <v>11404</v>
      </c>
      <c r="H36930" s="40" t="s">
        <v>11404</v>
      </c>
    </row>
    <row r="36931">
      <c r="A36931" s="39"/>
      <c r="E36931" s="40" t="s">
        <v>11404</v>
      </c>
      <c r="F36931" s="40" t="s">
        <v>11404</v>
      </c>
      <c r="G36931" s="40" t="s">
        <v>11404</v>
      </c>
      <c r="H36931" s="40" t="s">
        <v>11404</v>
      </c>
    </row>
    <row r="36932">
      <c r="A36932" s="39"/>
      <c r="E36932" s="40" t="s">
        <v>11404</v>
      </c>
      <c r="F36932" s="40" t="s">
        <v>11404</v>
      </c>
      <c r="G36932" s="40" t="s">
        <v>11404</v>
      </c>
      <c r="H36932" s="40" t="s">
        <v>11404</v>
      </c>
    </row>
    <row r="36933">
      <c r="A36933" s="39"/>
      <c r="E36933" s="40" t="s">
        <v>11404</v>
      </c>
      <c r="F36933" s="40" t="s">
        <v>11404</v>
      </c>
      <c r="G36933" s="40" t="s">
        <v>11404</v>
      </c>
      <c r="H36933" s="40" t="s">
        <v>11404</v>
      </c>
    </row>
    <row r="36934">
      <c r="A36934" s="39"/>
      <c r="E36934" s="40" t="s">
        <v>11404</v>
      </c>
      <c r="F36934" s="40" t="s">
        <v>11404</v>
      </c>
      <c r="G36934" s="40" t="s">
        <v>11404</v>
      </c>
      <c r="H36934" s="40" t="s">
        <v>11404</v>
      </c>
    </row>
    <row r="36935">
      <c r="A36935" s="39"/>
      <c r="E36935" s="40" t="s">
        <v>11404</v>
      </c>
      <c r="F36935" s="40" t="s">
        <v>11404</v>
      </c>
      <c r="G36935" s="40" t="s">
        <v>11404</v>
      </c>
      <c r="H36935" s="40" t="s">
        <v>11404</v>
      </c>
    </row>
    <row r="36936">
      <c r="A36936" s="39"/>
      <c r="E36936" s="40" t="s">
        <v>11404</v>
      </c>
      <c r="F36936" s="40" t="s">
        <v>11404</v>
      </c>
      <c r="G36936" s="40" t="s">
        <v>11404</v>
      </c>
      <c r="H36936" s="40" t="s">
        <v>11404</v>
      </c>
    </row>
    <row r="36937">
      <c r="A36937" s="39"/>
      <c r="E36937" s="40" t="s">
        <v>11404</v>
      </c>
      <c r="F36937" s="40" t="s">
        <v>11404</v>
      </c>
      <c r="G36937" s="40" t="s">
        <v>11404</v>
      </c>
      <c r="H36937" s="40" t="s">
        <v>11404</v>
      </c>
    </row>
    <row r="36938">
      <c r="A36938" s="39"/>
      <c r="E36938" s="40" t="s">
        <v>11404</v>
      </c>
      <c r="F36938" s="40" t="s">
        <v>11404</v>
      </c>
      <c r="G36938" s="40" t="s">
        <v>11404</v>
      </c>
      <c r="H36938" s="40" t="s">
        <v>11404</v>
      </c>
    </row>
    <row r="36939">
      <c r="A36939" s="39"/>
      <c r="E36939" s="40" t="s">
        <v>11404</v>
      </c>
      <c r="F36939" s="40" t="s">
        <v>11404</v>
      </c>
      <c r="G36939" s="40" t="s">
        <v>11404</v>
      </c>
      <c r="H36939" s="40" t="s">
        <v>11404</v>
      </c>
    </row>
    <row r="36940">
      <c r="A36940" s="39"/>
      <c r="E36940" s="40" t="s">
        <v>11404</v>
      </c>
      <c r="F36940" s="40" t="s">
        <v>11404</v>
      </c>
      <c r="G36940" s="40" t="s">
        <v>11404</v>
      </c>
      <c r="H36940" s="40" t="s">
        <v>11404</v>
      </c>
    </row>
    <row r="36941">
      <c r="A36941" s="39"/>
      <c r="E36941" s="40" t="s">
        <v>11404</v>
      </c>
      <c r="F36941" s="40" t="s">
        <v>11404</v>
      </c>
      <c r="G36941" s="40" t="s">
        <v>11404</v>
      </c>
      <c r="H36941" s="40" t="s">
        <v>11404</v>
      </c>
    </row>
    <row r="36942">
      <c r="A36942" s="39"/>
      <c r="E36942" s="40" t="s">
        <v>11404</v>
      </c>
      <c r="F36942" s="40" t="s">
        <v>11404</v>
      </c>
      <c r="G36942" s="40" t="s">
        <v>11404</v>
      </c>
      <c r="H36942" s="40" t="s">
        <v>11404</v>
      </c>
    </row>
    <row r="36943">
      <c r="A36943" s="39"/>
      <c r="E36943" s="40" t="s">
        <v>11404</v>
      </c>
      <c r="F36943" s="40" t="s">
        <v>11404</v>
      </c>
      <c r="G36943" s="40" t="s">
        <v>11404</v>
      </c>
      <c r="H36943" s="40" t="s">
        <v>11404</v>
      </c>
    </row>
    <row r="36944">
      <c r="A36944" s="39"/>
      <c r="E36944" s="40" t="s">
        <v>11404</v>
      </c>
      <c r="F36944" s="40" t="s">
        <v>11404</v>
      </c>
      <c r="G36944" s="40" t="s">
        <v>11404</v>
      </c>
      <c r="H36944" s="40" t="s">
        <v>11404</v>
      </c>
    </row>
    <row r="36945">
      <c r="A36945" s="39"/>
      <c r="E36945" s="40" t="s">
        <v>11404</v>
      </c>
      <c r="F36945" s="40" t="s">
        <v>11404</v>
      </c>
      <c r="G36945" s="40" t="s">
        <v>11404</v>
      </c>
      <c r="H36945" s="40" t="s">
        <v>11404</v>
      </c>
    </row>
    <row r="36946">
      <c r="A36946" s="39"/>
      <c r="E36946" s="40" t="s">
        <v>11404</v>
      </c>
      <c r="F36946" s="40" t="s">
        <v>11404</v>
      </c>
      <c r="G36946" s="40" t="s">
        <v>11404</v>
      </c>
      <c r="H36946" s="40" t="s">
        <v>11404</v>
      </c>
    </row>
    <row r="36947">
      <c r="A36947" s="39"/>
      <c r="E36947" s="40" t="s">
        <v>11404</v>
      </c>
      <c r="F36947" s="40" t="s">
        <v>11404</v>
      </c>
      <c r="G36947" s="40" t="s">
        <v>11404</v>
      </c>
      <c r="H36947" s="40" t="s">
        <v>11404</v>
      </c>
    </row>
    <row r="36948">
      <c r="A36948" s="39"/>
      <c r="E36948" s="40" t="s">
        <v>11404</v>
      </c>
      <c r="F36948" s="40" t="s">
        <v>11404</v>
      </c>
      <c r="G36948" s="40" t="s">
        <v>11404</v>
      </c>
      <c r="H36948" s="40" t="s">
        <v>11404</v>
      </c>
    </row>
    <row r="36949">
      <c r="A36949" s="39"/>
      <c r="E36949" s="40" t="s">
        <v>11404</v>
      </c>
      <c r="F36949" s="40" t="s">
        <v>11404</v>
      </c>
      <c r="G36949" s="40" t="s">
        <v>11404</v>
      </c>
      <c r="H36949" s="40" t="s">
        <v>11404</v>
      </c>
    </row>
    <row r="36950">
      <c r="A36950" s="39"/>
      <c r="E36950" s="40" t="s">
        <v>11404</v>
      </c>
      <c r="F36950" s="40" t="s">
        <v>11404</v>
      </c>
      <c r="G36950" s="40" t="s">
        <v>11404</v>
      </c>
      <c r="H36950" s="40" t="s">
        <v>11404</v>
      </c>
    </row>
    <row r="36951">
      <c r="A36951" s="39"/>
      <c r="E36951" s="40" t="s">
        <v>11404</v>
      </c>
      <c r="F36951" s="40" t="s">
        <v>11404</v>
      </c>
      <c r="G36951" s="40" t="s">
        <v>11404</v>
      </c>
      <c r="H36951" s="40" t="s">
        <v>11404</v>
      </c>
    </row>
    <row r="36952">
      <c r="A36952" s="39"/>
      <c r="E36952" s="40" t="s">
        <v>11404</v>
      </c>
      <c r="F36952" s="40" t="s">
        <v>11404</v>
      </c>
      <c r="G36952" s="40" t="s">
        <v>11404</v>
      </c>
      <c r="H36952" s="40" t="s">
        <v>11404</v>
      </c>
    </row>
    <row r="36953">
      <c r="A36953" s="39"/>
      <c r="E36953" s="40" t="s">
        <v>11404</v>
      </c>
      <c r="F36953" s="40" t="s">
        <v>11404</v>
      </c>
      <c r="G36953" s="40" t="s">
        <v>11404</v>
      </c>
      <c r="H36953" s="40" t="s">
        <v>11404</v>
      </c>
    </row>
    <row r="36954">
      <c r="A36954" s="39"/>
      <c r="E36954" s="40" t="s">
        <v>11404</v>
      </c>
      <c r="F36954" s="40" t="s">
        <v>11404</v>
      </c>
      <c r="G36954" s="40" t="s">
        <v>11404</v>
      </c>
      <c r="H36954" s="40" t="s">
        <v>11404</v>
      </c>
    </row>
    <row r="36955">
      <c r="A36955" s="39"/>
      <c r="E36955" s="40" t="s">
        <v>11404</v>
      </c>
      <c r="F36955" s="40" t="s">
        <v>11404</v>
      </c>
      <c r="G36955" s="40" t="s">
        <v>11404</v>
      </c>
      <c r="H36955" s="40" t="s">
        <v>11404</v>
      </c>
    </row>
    <row r="36956">
      <c r="A36956" s="39"/>
      <c r="E36956" s="40" t="s">
        <v>11404</v>
      </c>
      <c r="F36956" s="40" t="s">
        <v>11404</v>
      </c>
      <c r="G36956" s="40" t="s">
        <v>11404</v>
      </c>
      <c r="H36956" s="40" t="s">
        <v>11404</v>
      </c>
    </row>
    <row r="36957">
      <c r="A36957" s="39"/>
      <c r="E36957" s="40" t="s">
        <v>11404</v>
      </c>
      <c r="F36957" s="40" t="s">
        <v>11404</v>
      </c>
      <c r="G36957" s="40" t="s">
        <v>11404</v>
      </c>
      <c r="H36957" s="40" t="s">
        <v>11404</v>
      </c>
    </row>
    <row r="36958">
      <c r="A36958" s="39"/>
      <c r="E36958" s="40" t="s">
        <v>11404</v>
      </c>
      <c r="F36958" s="40" t="s">
        <v>11404</v>
      </c>
      <c r="G36958" s="40" t="s">
        <v>11404</v>
      </c>
      <c r="H36958" s="40" t="s">
        <v>11404</v>
      </c>
    </row>
    <row r="36959">
      <c r="A36959" s="39"/>
      <c r="E36959" s="40" t="s">
        <v>11404</v>
      </c>
      <c r="F36959" s="40" t="s">
        <v>11404</v>
      </c>
      <c r="G36959" s="40" t="s">
        <v>11404</v>
      </c>
      <c r="H36959" s="40" t="s">
        <v>11404</v>
      </c>
    </row>
    <row r="36960">
      <c r="A36960" s="39"/>
      <c r="E36960" s="40" t="s">
        <v>11404</v>
      </c>
      <c r="F36960" s="40" t="s">
        <v>11404</v>
      </c>
      <c r="G36960" s="40" t="s">
        <v>11404</v>
      </c>
      <c r="H36960" s="40" t="s">
        <v>11404</v>
      </c>
    </row>
    <row r="36961">
      <c r="A36961" s="39"/>
      <c r="E36961" s="40" t="s">
        <v>11404</v>
      </c>
      <c r="F36961" s="40" t="s">
        <v>11404</v>
      </c>
      <c r="G36961" s="40" t="s">
        <v>11404</v>
      </c>
      <c r="H36961" s="40" t="s">
        <v>11404</v>
      </c>
    </row>
    <row r="36962">
      <c r="A36962" s="39"/>
      <c r="E36962" s="40" t="s">
        <v>11404</v>
      </c>
      <c r="F36962" s="40" t="s">
        <v>11404</v>
      </c>
      <c r="G36962" s="40" t="s">
        <v>11404</v>
      </c>
      <c r="H36962" s="40" t="s">
        <v>11404</v>
      </c>
    </row>
    <row r="36963">
      <c r="A36963" s="39"/>
      <c r="E36963" s="40" t="s">
        <v>11404</v>
      </c>
      <c r="F36963" s="40" t="s">
        <v>11404</v>
      </c>
      <c r="G36963" s="40" t="s">
        <v>11404</v>
      </c>
      <c r="H36963" s="40" t="s">
        <v>11404</v>
      </c>
    </row>
    <row r="36964">
      <c r="A36964" s="39"/>
      <c r="E36964" s="40" t="s">
        <v>11404</v>
      </c>
      <c r="F36964" s="40" t="s">
        <v>11404</v>
      </c>
      <c r="G36964" s="40" t="s">
        <v>11404</v>
      </c>
      <c r="H36964" s="40" t="s">
        <v>11404</v>
      </c>
    </row>
    <row r="36965">
      <c r="A36965" s="39"/>
      <c r="E36965" s="40" t="s">
        <v>11404</v>
      </c>
      <c r="F36965" s="40" t="s">
        <v>11404</v>
      </c>
      <c r="G36965" s="40" t="s">
        <v>11404</v>
      </c>
      <c r="H36965" s="40" t="s">
        <v>11404</v>
      </c>
    </row>
    <row r="36966">
      <c r="A36966" s="39"/>
      <c r="E36966" s="40" t="s">
        <v>11404</v>
      </c>
      <c r="F36966" s="40" t="s">
        <v>11404</v>
      </c>
      <c r="G36966" s="40" t="s">
        <v>11404</v>
      </c>
      <c r="H36966" s="40" t="s">
        <v>11404</v>
      </c>
    </row>
    <row r="36967">
      <c r="A36967" s="39"/>
      <c r="E36967" s="40" t="s">
        <v>11404</v>
      </c>
      <c r="F36967" s="40" t="s">
        <v>11404</v>
      </c>
      <c r="G36967" s="40" t="s">
        <v>11404</v>
      </c>
      <c r="H36967" s="40" t="s">
        <v>11404</v>
      </c>
    </row>
    <row r="36968">
      <c r="A36968" s="39"/>
      <c r="E36968" s="40" t="s">
        <v>11404</v>
      </c>
      <c r="F36968" s="40" t="s">
        <v>11404</v>
      </c>
      <c r="G36968" s="40" t="s">
        <v>11404</v>
      </c>
      <c r="H36968" s="40" t="s">
        <v>11404</v>
      </c>
    </row>
    <row r="36969">
      <c r="A36969" s="39"/>
      <c r="E36969" s="40" t="s">
        <v>11404</v>
      </c>
      <c r="F36969" s="40" t="s">
        <v>11404</v>
      </c>
      <c r="G36969" s="40" t="s">
        <v>11404</v>
      </c>
      <c r="H36969" s="40" t="s">
        <v>11404</v>
      </c>
    </row>
    <row r="36970">
      <c r="A36970" s="39"/>
      <c r="E36970" s="40" t="s">
        <v>11404</v>
      </c>
      <c r="F36970" s="40" t="s">
        <v>11404</v>
      </c>
      <c r="G36970" s="40" t="s">
        <v>11404</v>
      </c>
      <c r="H36970" s="40" t="s">
        <v>11404</v>
      </c>
    </row>
    <row r="36971">
      <c r="A36971" s="39"/>
      <c r="E36971" s="40" t="s">
        <v>11404</v>
      </c>
      <c r="F36971" s="40" t="s">
        <v>11404</v>
      </c>
      <c r="G36971" s="40" t="s">
        <v>11404</v>
      </c>
      <c r="H36971" s="40" t="s">
        <v>11404</v>
      </c>
    </row>
    <row r="36972">
      <c r="A36972" s="39"/>
      <c r="E36972" s="40" t="s">
        <v>11404</v>
      </c>
      <c r="F36972" s="40" t="s">
        <v>11404</v>
      </c>
      <c r="G36972" s="40" t="s">
        <v>11404</v>
      </c>
      <c r="H36972" s="40" t="s">
        <v>11404</v>
      </c>
    </row>
    <row r="36973">
      <c r="A36973" s="39"/>
      <c r="E36973" s="40" t="s">
        <v>11404</v>
      </c>
      <c r="F36973" s="40" t="s">
        <v>11404</v>
      </c>
      <c r="G36973" s="40" t="s">
        <v>11404</v>
      </c>
      <c r="H36973" s="40" t="s">
        <v>11404</v>
      </c>
    </row>
    <row r="36974">
      <c r="A36974" s="39"/>
      <c r="E36974" s="40" t="s">
        <v>11404</v>
      </c>
      <c r="F36974" s="40" t="s">
        <v>11404</v>
      </c>
      <c r="G36974" s="40" t="s">
        <v>11404</v>
      </c>
      <c r="H36974" s="40" t="s">
        <v>11404</v>
      </c>
    </row>
    <row r="36975">
      <c r="A36975" s="39"/>
      <c r="E36975" s="40" t="s">
        <v>11404</v>
      </c>
      <c r="F36975" s="40" t="s">
        <v>11404</v>
      </c>
      <c r="G36975" s="40" t="s">
        <v>11404</v>
      </c>
      <c r="H36975" s="40" t="s">
        <v>11404</v>
      </c>
    </row>
    <row r="36976">
      <c r="A36976" s="39"/>
      <c r="E36976" s="40" t="s">
        <v>11404</v>
      </c>
      <c r="F36976" s="40" t="s">
        <v>11404</v>
      </c>
      <c r="G36976" s="40" t="s">
        <v>11404</v>
      </c>
      <c r="H36976" s="40" t="s">
        <v>11404</v>
      </c>
    </row>
    <row r="36977">
      <c r="A36977" s="39"/>
      <c r="E36977" s="40" t="s">
        <v>11404</v>
      </c>
      <c r="F36977" s="40" t="s">
        <v>11404</v>
      </c>
      <c r="G36977" s="40" t="s">
        <v>11404</v>
      </c>
      <c r="H36977" s="40" t="s">
        <v>11404</v>
      </c>
    </row>
    <row r="36978">
      <c r="A36978" s="39"/>
      <c r="E36978" s="40" t="s">
        <v>11404</v>
      </c>
      <c r="F36978" s="40" t="s">
        <v>11404</v>
      </c>
      <c r="G36978" s="40" t="s">
        <v>11404</v>
      </c>
      <c r="H36978" s="40" t="s">
        <v>11404</v>
      </c>
    </row>
    <row r="36979">
      <c r="A36979" s="39"/>
      <c r="E36979" s="40" t="s">
        <v>11404</v>
      </c>
      <c r="F36979" s="40" t="s">
        <v>11404</v>
      </c>
      <c r="G36979" s="40" t="s">
        <v>11404</v>
      </c>
      <c r="H36979" s="40" t="s">
        <v>11404</v>
      </c>
    </row>
    <row r="36980">
      <c r="A36980" s="39"/>
      <c r="E36980" s="40" t="s">
        <v>11404</v>
      </c>
      <c r="F36980" s="40" t="s">
        <v>11404</v>
      </c>
      <c r="G36980" s="40" t="s">
        <v>11404</v>
      </c>
      <c r="H36980" s="40" t="s">
        <v>11404</v>
      </c>
    </row>
    <row r="36981">
      <c r="A36981" s="39"/>
      <c r="E36981" s="40" t="s">
        <v>11404</v>
      </c>
      <c r="F36981" s="40" t="s">
        <v>11404</v>
      </c>
      <c r="G36981" s="40" t="s">
        <v>11404</v>
      </c>
      <c r="H36981" s="40" t="s">
        <v>11404</v>
      </c>
    </row>
    <row r="36982">
      <c r="A36982" s="39"/>
      <c r="E36982" s="40" t="s">
        <v>11404</v>
      </c>
      <c r="F36982" s="40" t="s">
        <v>11404</v>
      </c>
      <c r="G36982" s="40" t="s">
        <v>11404</v>
      </c>
      <c r="H36982" s="40" t="s">
        <v>11404</v>
      </c>
    </row>
    <row r="36983">
      <c r="A36983" s="39"/>
      <c r="E36983" s="40" t="s">
        <v>11404</v>
      </c>
      <c r="F36983" s="40" t="s">
        <v>11404</v>
      </c>
      <c r="G36983" s="40" t="s">
        <v>11404</v>
      </c>
      <c r="H36983" s="40" t="s">
        <v>11404</v>
      </c>
    </row>
    <row r="36984">
      <c r="A36984" s="39"/>
      <c r="E36984" s="40" t="s">
        <v>11404</v>
      </c>
      <c r="F36984" s="40" t="s">
        <v>11404</v>
      </c>
      <c r="G36984" s="40" t="s">
        <v>11404</v>
      </c>
      <c r="H36984" s="40" t="s">
        <v>11404</v>
      </c>
    </row>
    <row r="36985">
      <c r="A36985" s="39"/>
      <c r="E36985" s="40" t="s">
        <v>11404</v>
      </c>
      <c r="F36985" s="40" t="s">
        <v>11404</v>
      </c>
      <c r="G36985" s="40" t="s">
        <v>11404</v>
      </c>
      <c r="H36985" s="40" t="s">
        <v>11404</v>
      </c>
    </row>
    <row r="36986">
      <c r="A36986" s="39"/>
      <c r="E36986" s="40" t="s">
        <v>11404</v>
      </c>
      <c r="F36986" s="40" t="s">
        <v>11404</v>
      </c>
      <c r="G36986" s="40" t="s">
        <v>11404</v>
      </c>
      <c r="H36986" s="40" t="s">
        <v>11404</v>
      </c>
    </row>
    <row r="36987">
      <c r="A36987" s="39"/>
      <c r="E36987" s="40" t="s">
        <v>11404</v>
      </c>
      <c r="F36987" s="40" t="s">
        <v>11404</v>
      </c>
      <c r="G36987" s="40" t="s">
        <v>11404</v>
      </c>
      <c r="H36987" s="40" t="s">
        <v>11404</v>
      </c>
    </row>
    <row r="36988">
      <c r="A36988" s="39"/>
      <c r="E36988" s="40" t="s">
        <v>11404</v>
      </c>
      <c r="F36988" s="40" t="s">
        <v>11404</v>
      </c>
      <c r="G36988" s="40" t="s">
        <v>11404</v>
      </c>
      <c r="H36988" s="40" t="s">
        <v>11404</v>
      </c>
    </row>
    <row r="36989">
      <c r="A36989" s="39"/>
      <c r="E36989" s="40" t="s">
        <v>11404</v>
      </c>
      <c r="F36989" s="40" t="s">
        <v>11404</v>
      </c>
      <c r="G36989" s="40" t="s">
        <v>11404</v>
      </c>
      <c r="H36989" s="40" t="s">
        <v>11404</v>
      </c>
    </row>
    <row r="36990">
      <c r="A36990" s="39"/>
      <c r="E36990" s="40" t="s">
        <v>11404</v>
      </c>
      <c r="F36990" s="40" t="s">
        <v>11404</v>
      </c>
      <c r="G36990" s="40" t="s">
        <v>11404</v>
      </c>
      <c r="H36990" s="40" t="s">
        <v>11404</v>
      </c>
    </row>
    <row r="36991">
      <c r="A36991" s="39"/>
      <c r="E36991" s="40" t="s">
        <v>11404</v>
      </c>
      <c r="F36991" s="40" t="s">
        <v>11404</v>
      </c>
      <c r="G36991" s="40" t="s">
        <v>11404</v>
      </c>
      <c r="H36991" s="40" t="s">
        <v>11404</v>
      </c>
    </row>
    <row r="36992">
      <c r="A36992" s="39"/>
      <c r="E36992" s="40" t="s">
        <v>11404</v>
      </c>
      <c r="F36992" s="40" t="s">
        <v>11404</v>
      </c>
      <c r="G36992" s="40" t="s">
        <v>11404</v>
      </c>
      <c r="H36992" s="40" t="s">
        <v>11404</v>
      </c>
    </row>
    <row r="36993">
      <c r="A36993" s="39"/>
      <c r="E36993" s="40" t="s">
        <v>11404</v>
      </c>
      <c r="F36993" s="40" t="s">
        <v>11404</v>
      </c>
      <c r="G36993" s="40" t="s">
        <v>11404</v>
      </c>
      <c r="H36993" s="40" t="s">
        <v>11404</v>
      </c>
    </row>
    <row r="36994">
      <c r="A36994" s="39"/>
      <c r="E36994" s="40" t="s">
        <v>11404</v>
      </c>
      <c r="F36994" s="40" t="s">
        <v>11404</v>
      </c>
      <c r="G36994" s="40" t="s">
        <v>11404</v>
      </c>
      <c r="H36994" s="40" t="s">
        <v>11404</v>
      </c>
    </row>
    <row r="36995">
      <c r="A36995" s="39"/>
      <c r="E36995" s="40" t="s">
        <v>11404</v>
      </c>
      <c r="F36995" s="40" t="s">
        <v>11404</v>
      </c>
      <c r="G36995" s="40" t="s">
        <v>11404</v>
      </c>
      <c r="H36995" s="40" t="s">
        <v>11404</v>
      </c>
    </row>
    <row r="36996">
      <c r="A36996" s="39"/>
      <c r="E36996" s="40" t="s">
        <v>11404</v>
      </c>
      <c r="F36996" s="40" t="s">
        <v>11404</v>
      </c>
      <c r="G36996" s="40" t="s">
        <v>11404</v>
      </c>
      <c r="H36996" s="40" t="s">
        <v>11404</v>
      </c>
    </row>
    <row r="36997">
      <c r="A36997" s="39"/>
      <c r="E36997" s="40" t="s">
        <v>11404</v>
      </c>
      <c r="F36997" s="40" t="s">
        <v>11404</v>
      </c>
      <c r="G36997" s="40" t="s">
        <v>11404</v>
      </c>
      <c r="H36997" s="40" t="s">
        <v>11404</v>
      </c>
    </row>
    <row r="36998">
      <c r="A36998" s="39"/>
      <c r="E36998" s="40" t="s">
        <v>11404</v>
      </c>
      <c r="F36998" s="40" t="s">
        <v>11404</v>
      </c>
      <c r="G36998" s="40" t="s">
        <v>11404</v>
      </c>
      <c r="H36998" s="40" t="s">
        <v>11404</v>
      </c>
    </row>
    <row r="36999">
      <c r="A36999" s="39"/>
      <c r="E36999" s="40" t="s">
        <v>11404</v>
      </c>
      <c r="F36999" s="40" t="s">
        <v>11404</v>
      </c>
      <c r="G36999" s="40" t="s">
        <v>11404</v>
      </c>
      <c r="H36999" s="40" t="s">
        <v>11404</v>
      </c>
    </row>
    <row r="37000">
      <c r="A37000" s="39"/>
      <c r="E37000" s="40" t="s">
        <v>11404</v>
      </c>
      <c r="F37000" s="40" t="s">
        <v>11404</v>
      </c>
      <c r="G37000" s="40" t="s">
        <v>11404</v>
      </c>
      <c r="H37000" s="40" t="s">
        <v>11404</v>
      </c>
    </row>
    <row r="37001">
      <c r="A37001" s="39"/>
      <c r="E37001" s="40" t="s">
        <v>11404</v>
      </c>
      <c r="F37001" s="40" t="s">
        <v>11404</v>
      </c>
      <c r="G37001" s="40" t="s">
        <v>11404</v>
      </c>
      <c r="H37001" s="40" t="s">
        <v>11404</v>
      </c>
    </row>
    <row r="37002">
      <c r="A37002" s="39"/>
      <c r="E37002" s="40" t="s">
        <v>11404</v>
      </c>
      <c r="F37002" s="40" t="s">
        <v>11404</v>
      </c>
      <c r="G37002" s="40" t="s">
        <v>11404</v>
      </c>
      <c r="H37002" s="40" t="s">
        <v>11404</v>
      </c>
    </row>
    <row r="37003">
      <c r="A37003" s="39"/>
      <c r="E37003" s="40" t="s">
        <v>11404</v>
      </c>
      <c r="F37003" s="40" t="s">
        <v>11404</v>
      </c>
      <c r="G37003" s="40" t="s">
        <v>11404</v>
      </c>
      <c r="H37003" s="40" t="s">
        <v>11404</v>
      </c>
    </row>
    <row r="37004">
      <c r="A37004" s="39"/>
      <c r="E37004" s="40" t="s">
        <v>11404</v>
      </c>
      <c r="F37004" s="40" t="s">
        <v>11404</v>
      </c>
      <c r="G37004" s="40" t="s">
        <v>11404</v>
      </c>
      <c r="H37004" s="40" t="s">
        <v>11404</v>
      </c>
    </row>
    <row r="37005">
      <c r="A37005" s="39"/>
      <c r="E37005" s="40" t="s">
        <v>11404</v>
      </c>
      <c r="F37005" s="40" t="s">
        <v>11404</v>
      </c>
      <c r="G37005" s="40" t="s">
        <v>11404</v>
      </c>
      <c r="H37005" s="40" t="s">
        <v>11404</v>
      </c>
    </row>
    <row r="37006">
      <c r="A37006" s="39"/>
      <c r="E37006" s="40" t="s">
        <v>11404</v>
      </c>
      <c r="F37006" s="40" t="s">
        <v>11404</v>
      </c>
      <c r="G37006" s="40" t="s">
        <v>11404</v>
      </c>
      <c r="H37006" s="40" t="s">
        <v>11404</v>
      </c>
    </row>
    <row r="37007">
      <c r="A37007" s="39"/>
      <c r="E37007" s="40" t="s">
        <v>11404</v>
      </c>
      <c r="F37007" s="40" t="s">
        <v>11404</v>
      </c>
      <c r="G37007" s="40" t="s">
        <v>11404</v>
      </c>
      <c r="H37007" s="40" t="s">
        <v>11404</v>
      </c>
    </row>
    <row r="37008">
      <c r="A37008" s="39"/>
      <c r="E37008" s="40" t="s">
        <v>11404</v>
      </c>
      <c r="F37008" s="40" t="s">
        <v>11404</v>
      </c>
      <c r="G37008" s="40" t="s">
        <v>11404</v>
      </c>
      <c r="H37008" s="40" t="s">
        <v>11404</v>
      </c>
    </row>
    <row r="37009">
      <c r="A37009" s="39"/>
      <c r="E37009" s="40" t="s">
        <v>11404</v>
      </c>
      <c r="F37009" s="40" t="s">
        <v>11404</v>
      </c>
      <c r="G37009" s="40" t="s">
        <v>11404</v>
      </c>
      <c r="H37009" s="40" t="s">
        <v>11404</v>
      </c>
    </row>
    <row r="37010">
      <c r="A37010" s="39"/>
      <c r="E37010" s="40" t="s">
        <v>11404</v>
      </c>
      <c r="F37010" s="40" t="s">
        <v>11404</v>
      </c>
      <c r="G37010" s="40" t="s">
        <v>11404</v>
      </c>
      <c r="H37010" s="40" t="s">
        <v>11404</v>
      </c>
    </row>
    <row r="37011">
      <c r="A37011" s="39"/>
      <c r="E37011" s="40" t="s">
        <v>11404</v>
      </c>
      <c r="F37011" s="40" t="s">
        <v>11404</v>
      </c>
      <c r="G37011" s="40" t="s">
        <v>11404</v>
      </c>
      <c r="H37011" s="40" t="s">
        <v>11404</v>
      </c>
    </row>
    <row r="37012">
      <c r="A37012" s="39"/>
      <c r="E37012" s="40" t="s">
        <v>11404</v>
      </c>
      <c r="F37012" s="40" t="s">
        <v>11404</v>
      </c>
      <c r="G37012" s="40" t="s">
        <v>11404</v>
      </c>
      <c r="H37012" s="40" t="s">
        <v>11404</v>
      </c>
    </row>
    <row r="37013">
      <c r="A37013" s="39"/>
      <c r="E37013" s="40" t="s">
        <v>11404</v>
      </c>
      <c r="F37013" s="40" t="s">
        <v>11404</v>
      </c>
      <c r="G37013" s="40" t="s">
        <v>11404</v>
      </c>
      <c r="H37013" s="40" t="s">
        <v>11404</v>
      </c>
    </row>
    <row r="37014">
      <c r="A37014" s="39"/>
      <c r="E37014" s="40" t="s">
        <v>11404</v>
      </c>
      <c r="F37014" s="40" t="s">
        <v>11404</v>
      </c>
      <c r="G37014" s="40" t="s">
        <v>11404</v>
      </c>
      <c r="H37014" s="40" t="s">
        <v>11404</v>
      </c>
    </row>
    <row r="37015">
      <c r="A37015" s="39"/>
      <c r="E37015" s="40" t="s">
        <v>11404</v>
      </c>
      <c r="F37015" s="40" t="s">
        <v>11404</v>
      </c>
      <c r="G37015" s="40" t="s">
        <v>11404</v>
      </c>
      <c r="H37015" s="40" t="s">
        <v>11404</v>
      </c>
    </row>
    <row r="37016">
      <c r="A37016" s="39"/>
      <c r="E37016" s="40" t="s">
        <v>11404</v>
      </c>
      <c r="F37016" s="40" t="s">
        <v>11404</v>
      </c>
      <c r="G37016" s="40" t="s">
        <v>11404</v>
      </c>
      <c r="H37016" s="40" t="s">
        <v>11404</v>
      </c>
    </row>
    <row r="37017">
      <c r="A37017" s="39"/>
      <c r="E37017" s="40" t="s">
        <v>11404</v>
      </c>
      <c r="F37017" s="40" t="s">
        <v>11404</v>
      </c>
      <c r="G37017" s="40" t="s">
        <v>11404</v>
      </c>
      <c r="H37017" s="40" t="s">
        <v>11404</v>
      </c>
    </row>
    <row r="37018">
      <c r="A37018" s="39"/>
      <c r="E37018" s="40" t="s">
        <v>11404</v>
      </c>
      <c r="F37018" s="40" t="s">
        <v>11404</v>
      </c>
      <c r="G37018" s="40" t="s">
        <v>11404</v>
      </c>
      <c r="H37018" s="40" t="s">
        <v>11404</v>
      </c>
    </row>
    <row r="37019">
      <c r="A37019" s="39"/>
      <c r="E37019" s="40" t="s">
        <v>11404</v>
      </c>
      <c r="F37019" s="40" t="s">
        <v>11404</v>
      </c>
      <c r="G37019" s="40" t="s">
        <v>11404</v>
      </c>
      <c r="H37019" s="40" t="s">
        <v>11404</v>
      </c>
    </row>
    <row r="37020">
      <c r="A37020" s="39"/>
      <c r="E37020" s="40" t="s">
        <v>11404</v>
      </c>
      <c r="F37020" s="40" t="s">
        <v>11404</v>
      </c>
      <c r="G37020" s="40" t="s">
        <v>11404</v>
      </c>
      <c r="H37020" s="40" t="s">
        <v>11404</v>
      </c>
    </row>
    <row r="37021">
      <c r="A37021" s="39"/>
      <c r="E37021" s="40" t="s">
        <v>11404</v>
      </c>
      <c r="F37021" s="40" t="s">
        <v>11404</v>
      </c>
      <c r="G37021" s="40" t="s">
        <v>11404</v>
      </c>
      <c r="H37021" s="40" t="s">
        <v>11404</v>
      </c>
    </row>
    <row r="37022">
      <c r="A37022" s="39"/>
      <c r="E37022" s="40" t="s">
        <v>11404</v>
      </c>
      <c r="F37022" s="40" t="s">
        <v>11404</v>
      </c>
      <c r="G37022" s="40" t="s">
        <v>11404</v>
      </c>
      <c r="H37022" s="40" t="s">
        <v>11404</v>
      </c>
    </row>
    <row r="37023">
      <c r="A37023" s="39"/>
      <c r="E37023" s="40" t="s">
        <v>11404</v>
      </c>
      <c r="F37023" s="40" t="s">
        <v>11404</v>
      </c>
      <c r="G37023" s="40" t="s">
        <v>11404</v>
      </c>
      <c r="H37023" s="40" t="s">
        <v>11404</v>
      </c>
    </row>
    <row r="37024">
      <c r="A37024" s="39"/>
      <c r="E37024" s="40" t="s">
        <v>11404</v>
      </c>
      <c r="F37024" s="40" t="s">
        <v>11404</v>
      </c>
      <c r="G37024" s="40" t="s">
        <v>11404</v>
      </c>
      <c r="H37024" s="40" t="s">
        <v>11404</v>
      </c>
    </row>
    <row r="37025">
      <c r="A37025" s="39"/>
      <c r="E37025" s="40" t="s">
        <v>11404</v>
      </c>
      <c r="F37025" s="40" t="s">
        <v>11404</v>
      </c>
      <c r="G37025" s="40" t="s">
        <v>11404</v>
      </c>
      <c r="H37025" s="40" t="s">
        <v>11404</v>
      </c>
    </row>
    <row r="37026">
      <c r="A37026" s="39"/>
      <c r="E37026" s="40" t="s">
        <v>11404</v>
      </c>
      <c r="F37026" s="40" t="s">
        <v>11404</v>
      </c>
      <c r="G37026" s="40" t="s">
        <v>11404</v>
      </c>
      <c r="H37026" s="40" t="s">
        <v>11404</v>
      </c>
    </row>
    <row r="37027">
      <c r="A37027" s="39"/>
      <c r="E37027" s="40" t="s">
        <v>11404</v>
      </c>
      <c r="F37027" s="40" t="s">
        <v>11404</v>
      </c>
      <c r="G37027" s="40" t="s">
        <v>11404</v>
      </c>
      <c r="H37027" s="40" t="s">
        <v>11404</v>
      </c>
    </row>
    <row r="37028">
      <c r="A37028" s="39"/>
      <c r="E37028" s="40" t="s">
        <v>11404</v>
      </c>
      <c r="F37028" s="40" t="s">
        <v>11404</v>
      </c>
      <c r="G37028" s="40" t="s">
        <v>11404</v>
      </c>
      <c r="H37028" s="40" t="s">
        <v>11404</v>
      </c>
    </row>
    <row r="37029">
      <c r="A37029" s="39"/>
      <c r="E37029" s="40" t="s">
        <v>11404</v>
      </c>
      <c r="F37029" s="40" t="s">
        <v>11404</v>
      </c>
      <c r="G37029" s="40" t="s">
        <v>11404</v>
      </c>
      <c r="H37029" s="40" t="s">
        <v>11404</v>
      </c>
    </row>
    <row r="37030">
      <c r="A37030" s="39"/>
      <c r="E37030" s="40" t="s">
        <v>11404</v>
      </c>
      <c r="F37030" s="40" t="s">
        <v>11404</v>
      </c>
      <c r="G37030" s="40" t="s">
        <v>11404</v>
      </c>
      <c r="H37030" s="40" t="s">
        <v>11404</v>
      </c>
    </row>
    <row r="37031">
      <c r="A37031" s="39"/>
      <c r="E37031" s="40" t="s">
        <v>11404</v>
      </c>
      <c r="F37031" s="40" t="s">
        <v>11404</v>
      </c>
      <c r="G37031" s="40" t="s">
        <v>11404</v>
      </c>
      <c r="H37031" s="40" t="s">
        <v>11404</v>
      </c>
    </row>
    <row r="37032">
      <c r="A37032" s="39"/>
      <c r="E37032" s="40" t="s">
        <v>11404</v>
      </c>
      <c r="F37032" s="40" t="s">
        <v>11404</v>
      </c>
      <c r="G37032" s="40" t="s">
        <v>11404</v>
      </c>
      <c r="H37032" s="40" t="s">
        <v>11404</v>
      </c>
    </row>
    <row r="37033">
      <c r="A37033" s="39"/>
      <c r="E37033" s="40" t="s">
        <v>11404</v>
      </c>
      <c r="F37033" s="40" t="s">
        <v>11404</v>
      </c>
      <c r="G37033" s="40" t="s">
        <v>11404</v>
      </c>
      <c r="H37033" s="40" t="s">
        <v>11404</v>
      </c>
    </row>
    <row r="37034">
      <c r="A37034" s="39"/>
      <c r="E37034" s="40" t="s">
        <v>11404</v>
      </c>
      <c r="F37034" s="40" t="s">
        <v>11404</v>
      </c>
      <c r="G37034" s="40" t="s">
        <v>11404</v>
      </c>
      <c r="H37034" s="40" t="s">
        <v>11404</v>
      </c>
    </row>
    <row r="37035">
      <c r="A37035" s="39"/>
      <c r="E37035" s="40" t="s">
        <v>11404</v>
      </c>
      <c r="F37035" s="40" t="s">
        <v>11404</v>
      </c>
      <c r="G37035" s="40" t="s">
        <v>11404</v>
      </c>
      <c r="H37035" s="40" t="s">
        <v>11404</v>
      </c>
    </row>
    <row r="37036">
      <c r="A37036" s="39"/>
      <c r="E37036" s="40" t="s">
        <v>11404</v>
      </c>
      <c r="F37036" s="40" t="s">
        <v>11404</v>
      </c>
      <c r="G37036" s="40" t="s">
        <v>11404</v>
      </c>
      <c r="H37036" s="40" t="s">
        <v>11404</v>
      </c>
    </row>
    <row r="37037">
      <c r="A37037" s="39"/>
      <c r="E37037" s="40" t="s">
        <v>11404</v>
      </c>
      <c r="F37037" s="40" t="s">
        <v>11404</v>
      </c>
      <c r="G37037" s="40" t="s">
        <v>11404</v>
      </c>
      <c r="H37037" s="40" t="s">
        <v>11404</v>
      </c>
    </row>
    <row r="37038">
      <c r="A37038" s="39"/>
      <c r="E37038" s="40" t="s">
        <v>11404</v>
      </c>
      <c r="F37038" s="40" t="s">
        <v>11404</v>
      </c>
      <c r="G37038" s="40" t="s">
        <v>11404</v>
      </c>
      <c r="H37038" s="40" t="s">
        <v>11404</v>
      </c>
    </row>
    <row r="37039">
      <c r="A37039" s="39"/>
      <c r="E37039" s="40" t="s">
        <v>11404</v>
      </c>
      <c r="F37039" s="40" t="s">
        <v>11404</v>
      </c>
      <c r="G37039" s="40" t="s">
        <v>11404</v>
      </c>
      <c r="H37039" s="40" t="s">
        <v>11404</v>
      </c>
    </row>
    <row r="37040">
      <c r="A37040" s="39"/>
      <c r="E37040" s="40" t="s">
        <v>11404</v>
      </c>
      <c r="F37040" s="40" t="s">
        <v>11404</v>
      </c>
      <c r="G37040" s="40" t="s">
        <v>11404</v>
      </c>
      <c r="H37040" s="40" t="s">
        <v>11404</v>
      </c>
    </row>
    <row r="37041">
      <c r="A37041" s="39"/>
      <c r="E37041" s="40" t="s">
        <v>11404</v>
      </c>
      <c r="F37041" s="40" t="s">
        <v>11404</v>
      </c>
      <c r="G37041" s="40" t="s">
        <v>11404</v>
      </c>
      <c r="H37041" s="40" t="s">
        <v>11404</v>
      </c>
    </row>
    <row r="37042">
      <c r="A37042" s="39"/>
      <c r="E37042" s="40" t="s">
        <v>11404</v>
      </c>
      <c r="F37042" s="40" t="s">
        <v>11404</v>
      </c>
      <c r="G37042" s="40" t="s">
        <v>11404</v>
      </c>
      <c r="H37042" s="40" t="s">
        <v>11404</v>
      </c>
    </row>
    <row r="37043">
      <c r="A37043" s="39"/>
      <c r="E37043" s="40" t="s">
        <v>11404</v>
      </c>
      <c r="F37043" s="40" t="s">
        <v>11404</v>
      </c>
      <c r="G37043" s="40" t="s">
        <v>11404</v>
      </c>
      <c r="H37043" s="40" t="s">
        <v>11404</v>
      </c>
    </row>
    <row r="37044">
      <c r="A37044" s="39"/>
      <c r="E37044" s="40" t="s">
        <v>11404</v>
      </c>
      <c r="F37044" s="40" t="s">
        <v>11404</v>
      </c>
      <c r="G37044" s="40" t="s">
        <v>11404</v>
      </c>
      <c r="H37044" s="40" t="s">
        <v>11404</v>
      </c>
    </row>
    <row r="37045">
      <c r="A37045" s="39"/>
      <c r="E37045" s="40" t="s">
        <v>11404</v>
      </c>
      <c r="F37045" s="40" t="s">
        <v>11404</v>
      </c>
      <c r="G37045" s="40" t="s">
        <v>11404</v>
      </c>
      <c r="H37045" s="40" t="s">
        <v>11404</v>
      </c>
    </row>
    <row r="37046">
      <c r="A37046" s="39"/>
      <c r="E37046" s="40" t="s">
        <v>11404</v>
      </c>
      <c r="F37046" s="40" t="s">
        <v>11404</v>
      </c>
      <c r="G37046" s="40" t="s">
        <v>11404</v>
      </c>
      <c r="H37046" s="40" t="s">
        <v>11404</v>
      </c>
    </row>
    <row r="37047">
      <c r="A37047" s="39"/>
      <c r="E37047" s="40" t="s">
        <v>11404</v>
      </c>
      <c r="F37047" s="40" t="s">
        <v>11404</v>
      </c>
      <c r="G37047" s="40" t="s">
        <v>11404</v>
      </c>
      <c r="H37047" s="40" t="s">
        <v>11404</v>
      </c>
    </row>
    <row r="37048">
      <c r="A37048" s="39"/>
      <c r="E37048" s="40" t="s">
        <v>11404</v>
      </c>
      <c r="F37048" s="40" t="s">
        <v>11404</v>
      </c>
      <c r="G37048" s="40" t="s">
        <v>11404</v>
      </c>
      <c r="H37048" s="40" t="s">
        <v>11404</v>
      </c>
    </row>
    <row r="37049">
      <c r="A37049" s="39"/>
      <c r="E37049" s="40" t="s">
        <v>11404</v>
      </c>
      <c r="F37049" s="40" t="s">
        <v>11404</v>
      </c>
      <c r="G37049" s="40" t="s">
        <v>11404</v>
      </c>
      <c r="H37049" s="40" t="s">
        <v>11404</v>
      </c>
    </row>
    <row r="37050">
      <c r="A37050" s="39"/>
      <c r="E37050" s="40" t="s">
        <v>11404</v>
      </c>
      <c r="F37050" s="40" t="s">
        <v>11404</v>
      </c>
      <c r="G37050" s="40" t="s">
        <v>11404</v>
      </c>
      <c r="H37050" s="40" t="s">
        <v>11404</v>
      </c>
    </row>
    <row r="37051">
      <c r="A37051" s="39"/>
      <c r="E37051" s="40" t="s">
        <v>11404</v>
      </c>
      <c r="F37051" s="40" t="s">
        <v>11404</v>
      </c>
      <c r="G37051" s="40" t="s">
        <v>11404</v>
      </c>
      <c r="H37051" s="40" t="s">
        <v>11404</v>
      </c>
    </row>
    <row r="37052">
      <c r="A37052" s="39"/>
      <c r="E37052" s="40" t="s">
        <v>11404</v>
      </c>
      <c r="F37052" s="40" t="s">
        <v>11404</v>
      </c>
      <c r="G37052" s="40" t="s">
        <v>11404</v>
      </c>
      <c r="H37052" s="40" t="s">
        <v>11404</v>
      </c>
    </row>
    <row r="37053">
      <c r="A37053" s="39"/>
      <c r="E37053" s="40" t="s">
        <v>11404</v>
      </c>
      <c r="F37053" s="40" t="s">
        <v>11404</v>
      </c>
      <c r="G37053" s="40" t="s">
        <v>11404</v>
      </c>
      <c r="H37053" s="40" t="s">
        <v>11404</v>
      </c>
    </row>
    <row r="37054">
      <c r="A37054" s="39"/>
      <c r="E37054" s="40" t="s">
        <v>11404</v>
      </c>
      <c r="F37054" s="40" t="s">
        <v>11404</v>
      </c>
      <c r="G37054" s="40" t="s">
        <v>11404</v>
      </c>
      <c r="H37054" s="40" t="s">
        <v>11404</v>
      </c>
    </row>
    <row r="37055">
      <c r="A37055" s="39"/>
      <c r="E37055" s="40" t="s">
        <v>11404</v>
      </c>
      <c r="F37055" s="40" t="s">
        <v>11404</v>
      </c>
      <c r="G37055" s="40" t="s">
        <v>11404</v>
      </c>
      <c r="H37055" s="40" t="s">
        <v>11404</v>
      </c>
    </row>
    <row r="37056">
      <c r="A37056" s="39"/>
      <c r="E37056" s="40" t="s">
        <v>11404</v>
      </c>
      <c r="F37056" s="40" t="s">
        <v>11404</v>
      </c>
      <c r="G37056" s="40" t="s">
        <v>11404</v>
      </c>
      <c r="H37056" s="40" t="s">
        <v>11404</v>
      </c>
    </row>
    <row r="37057">
      <c r="A37057" s="39"/>
      <c r="E37057" s="40" t="s">
        <v>11404</v>
      </c>
      <c r="F37057" s="40" t="s">
        <v>11404</v>
      </c>
      <c r="G37057" s="40" t="s">
        <v>11404</v>
      </c>
      <c r="H37057" s="40" t="s">
        <v>11404</v>
      </c>
    </row>
    <row r="37058">
      <c r="A37058" s="39"/>
      <c r="E37058" s="40" t="s">
        <v>11404</v>
      </c>
      <c r="F37058" s="40" t="s">
        <v>11404</v>
      </c>
      <c r="G37058" s="40" t="s">
        <v>11404</v>
      </c>
      <c r="H37058" s="40" t="s">
        <v>11404</v>
      </c>
    </row>
    <row r="37059">
      <c r="A37059" s="39"/>
      <c r="E37059" s="40" t="s">
        <v>11404</v>
      </c>
      <c r="F37059" s="40" t="s">
        <v>11404</v>
      </c>
      <c r="G37059" s="40" t="s">
        <v>11404</v>
      </c>
      <c r="H37059" s="40" t="s">
        <v>11404</v>
      </c>
    </row>
    <row r="37060">
      <c r="A37060" s="39"/>
      <c r="E37060" s="40" t="s">
        <v>11404</v>
      </c>
      <c r="F37060" s="40" t="s">
        <v>11404</v>
      </c>
      <c r="G37060" s="40" t="s">
        <v>11404</v>
      </c>
      <c r="H37060" s="40" t="s">
        <v>11404</v>
      </c>
    </row>
    <row r="37061">
      <c r="A37061" s="39"/>
      <c r="E37061" s="40" t="s">
        <v>11404</v>
      </c>
      <c r="F37061" s="40" t="s">
        <v>11404</v>
      </c>
      <c r="G37061" s="40" t="s">
        <v>11404</v>
      </c>
      <c r="H37061" s="40" t="s">
        <v>11404</v>
      </c>
    </row>
    <row r="37062">
      <c r="A37062" s="39"/>
      <c r="E37062" s="40" t="s">
        <v>11404</v>
      </c>
      <c r="F37062" s="40" t="s">
        <v>11404</v>
      </c>
      <c r="G37062" s="40" t="s">
        <v>11404</v>
      </c>
      <c r="H37062" s="40" t="s">
        <v>11404</v>
      </c>
    </row>
    <row r="37063">
      <c r="A37063" s="39"/>
      <c r="E37063" s="40" t="s">
        <v>11404</v>
      </c>
      <c r="F37063" s="40" t="s">
        <v>11404</v>
      </c>
      <c r="G37063" s="40" t="s">
        <v>11404</v>
      </c>
      <c r="H37063" s="40" t="s">
        <v>11404</v>
      </c>
    </row>
    <row r="37064">
      <c r="A37064" s="39"/>
      <c r="E37064" s="40" t="s">
        <v>11404</v>
      </c>
      <c r="F37064" s="40" t="s">
        <v>11404</v>
      </c>
      <c r="G37064" s="40" t="s">
        <v>11404</v>
      </c>
      <c r="H37064" s="40" t="s">
        <v>11404</v>
      </c>
    </row>
    <row r="37065">
      <c r="A37065" s="39"/>
      <c r="E37065" s="40" t="s">
        <v>11404</v>
      </c>
      <c r="F37065" s="40" t="s">
        <v>11404</v>
      </c>
      <c r="G37065" s="40" t="s">
        <v>11404</v>
      </c>
      <c r="H37065" s="40" t="s">
        <v>11404</v>
      </c>
    </row>
    <row r="37066">
      <c r="A37066" s="39"/>
      <c r="E37066" s="40" t="s">
        <v>11404</v>
      </c>
      <c r="F37066" s="40" t="s">
        <v>11404</v>
      </c>
      <c r="G37066" s="40" t="s">
        <v>11404</v>
      </c>
      <c r="H37066" s="40" t="s">
        <v>11404</v>
      </c>
    </row>
    <row r="37067">
      <c r="A37067" s="39"/>
      <c r="E37067" s="40" t="s">
        <v>11404</v>
      </c>
      <c r="F37067" s="40" t="s">
        <v>11404</v>
      </c>
      <c r="G37067" s="40" t="s">
        <v>11404</v>
      </c>
      <c r="H37067" s="40" t="s">
        <v>11404</v>
      </c>
    </row>
    <row r="37068">
      <c r="A37068" s="39"/>
      <c r="E37068" s="40" t="s">
        <v>11404</v>
      </c>
      <c r="F37068" s="40" t="s">
        <v>11404</v>
      </c>
      <c r="G37068" s="40" t="s">
        <v>11404</v>
      </c>
      <c r="H37068" s="40" t="s">
        <v>11404</v>
      </c>
    </row>
    <row r="37069">
      <c r="A37069" s="39"/>
      <c r="E37069" s="40" t="s">
        <v>11404</v>
      </c>
      <c r="F37069" s="40" t="s">
        <v>11404</v>
      </c>
      <c r="G37069" s="40" t="s">
        <v>11404</v>
      </c>
      <c r="H37069" s="40" t="s">
        <v>11404</v>
      </c>
    </row>
    <row r="37070">
      <c r="A37070" s="39"/>
      <c r="E37070" s="40" t="s">
        <v>11404</v>
      </c>
      <c r="F37070" s="40" t="s">
        <v>11404</v>
      </c>
      <c r="G37070" s="40" t="s">
        <v>11404</v>
      </c>
      <c r="H37070" s="40" t="s">
        <v>11404</v>
      </c>
    </row>
    <row r="37071">
      <c r="A37071" s="39"/>
      <c r="E37071" s="40" t="s">
        <v>11404</v>
      </c>
      <c r="F37071" s="40" t="s">
        <v>11404</v>
      </c>
      <c r="G37071" s="40" t="s">
        <v>11404</v>
      </c>
      <c r="H37071" s="40" t="s">
        <v>11404</v>
      </c>
    </row>
    <row r="37072">
      <c r="A37072" s="39"/>
      <c r="E37072" s="40" t="s">
        <v>11404</v>
      </c>
      <c r="F37072" s="40" t="s">
        <v>11404</v>
      </c>
      <c r="G37072" s="40" t="s">
        <v>11404</v>
      </c>
      <c r="H37072" s="40" t="s">
        <v>11404</v>
      </c>
    </row>
    <row r="37073">
      <c r="A37073" s="39"/>
      <c r="E37073" s="40" t="s">
        <v>11404</v>
      </c>
      <c r="F37073" s="40" t="s">
        <v>11404</v>
      </c>
      <c r="G37073" s="40" t="s">
        <v>11404</v>
      </c>
      <c r="H37073" s="40" t="s">
        <v>11404</v>
      </c>
    </row>
    <row r="37074">
      <c r="A37074" s="39"/>
      <c r="E37074" s="40" t="s">
        <v>11404</v>
      </c>
      <c r="F37074" s="40" t="s">
        <v>11404</v>
      </c>
      <c r="G37074" s="40" t="s">
        <v>11404</v>
      </c>
      <c r="H37074" s="40" t="s">
        <v>11404</v>
      </c>
    </row>
    <row r="37075">
      <c r="A37075" s="39"/>
      <c r="E37075" s="40" t="s">
        <v>11404</v>
      </c>
      <c r="F37075" s="40" t="s">
        <v>11404</v>
      </c>
      <c r="G37075" s="40" t="s">
        <v>11404</v>
      </c>
      <c r="H37075" s="40" t="s">
        <v>11404</v>
      </c>
    </row>
    <row r="37076">
      <c r="A37076" s="39"/>
      <c r="E37076" s="40" t="s">
        <v>11404</v>
      </c>
      <c r="F37076" s="40" t="s">
        <v>11404</v>
      </c>
      <c r="G37076" s="40" t="s">
        <v>11404</v>
      </c>
      <c r="H37076" s="40" t="s">
        <v>11404</v>
      </c>
    </row>
    <row r="37077">
      <c r="A37077" s="39"/>
      <c r="E37077" s="40" t="s">
        <v>11404</v>
      </c>
      <c r="F37077" s="40" t="s">
        <v>11404</v>
      </c>
      <c r="G37077" s="40" t="s">
        <v>11404</v>
      </c>
      <c r="H37077" s="40" t="s">
        <v>11404</v>
      </c>
    </row>
    <row r="37078">
      <c r="A37078" s="39"/>
      <c r="E37078" s="40" t="s">
        <v>11404</v>
      </c>
      <c r="F37078" s="40" t="s">
        <v>11404</v>
      </c>
      <c r="G37078" s="40" t="s">
        <v>11404</v>
      </c>
      <c r="H37078" s="40" t="s">
        <v>11404</v>
      </c>
    </row>
    <row r="37079">
      <c r="A37079" s="39"/>
      <c r="E37079" s="40" t="s">
        <v>11404</v>
      </c>
      <c r="F37079" s="40" t="s">
        <v>11404</v>
      </c>
      <c r="G37079" s="40" t="s">
        <v>11404</v>
      </c>
      <c r="H37079" s="40" t="s">
        <v>11404</v>
      </c>
    </row>
    <row r="37080">
      <c r="A37080" s="39"/>
      <c r="E37080" s="40" t="s">
        <v>11404</v>
      </c>
      <c r="F37080" s="40" t="s">
        <v>11404</v>
      </c>
      <c r="G37080" s="40" t="s">
        <v>11404</v>
      </c>
      <c r="H37080" s="40" t="s">
        <v>11404</v>
      </c>
    </row>
    <row r="37081">
      <c r="A37081" s="39"/>
      <c r="E37081" s="40" t="s">
        <v>11404</v>
      </c>
      <c r="F37081" s="40" t="s">
        <v>11404</v>
      </c>
      <c r="G37081" s="40" t="s">
        <v>11404</v>
      </c>
      <c r="H37081" s="40" t="s">
        <v>11404</v>
      </c>
    </row>
    <row r="37082">
      <c r="A37082" s="39"/>
      <c r="E37082" s="40" t="s">
        <v>11404</v>
      </c>
      <c r="F37082" s="40" t="s">
        <v>11404</v>
      </c>
      <c r="G37082" s="40" t="s">
        <v>11404</v>
      </c>
      <c r="H37082" s="40" t="s">
        <v>11404</v>
      </c>
    </row>
    <row r="37083">
      <c r="A37083" s="39"/>
      <c r="E37083" s="40" t="s">
        <v>11404</v>
      </c>
      <c r="F37083" s="40" t="s">
        <v>11404</v>
      </c>
      <c r="G37083" s="40" t="s">
        <v>11404</v>
      </c>
      <c r="H37083" s="40" t="s">
        <v>11404</v>
      </c>
    </row>
    <row r="37084">
      <c r="A37084" s="39"/>
      <c r="E37084" s="40" t="s">
        <v>11404</v>
      </c>
      <c r="F37084" s="40" t="s">
        <v>11404</v>
      </c>
      <c r="G37084" s="40" t="s">
        <v>11404</v>
      </c>
      <c r="H37084" s="40" t="s">
        <v>11404</v>
      </c>
    </row>
    <row r="37085">
      <c r="A37085" s="39"/>
      <c r="E37085" s="40" t="s">
        <v>11404</v>
      </c>
      <c r="F37085" s="40" t="s">
        <v>11404</v>
      </c>
      <c r="G37085" s="40" t="s">
        <v>11404</v>
      </c>
      <c r="H37085" s="40" t="s">
        <v>11404</v>
      </c>
    </row>
    <row r="37086">
      <c r="A37086" s="39"/>
      <c r="E37086" s="40" t="s">
        <v>11404</v>
      </c>
      <c r="F37086" s="40" t="s">
        <v>11404</v>
      </c>
      <c r="G37086" s="40" t="s">
        <v>11404</v>
      </c>
      <c r="H37086" s="40" t="s">
        <v>11404</v>
      </c>
    </row>
    <row r="37087">
      <c r="A37087" s="39"/>
      <c r="E37087" s="40" t="s">
        <v>11404</v>
      </c>
      <c r="F37087" s="40" t="s">
        <v>11404</v>
      </c>
      <c r="G37087" s="40" t="s">
        <v>11404</v>
      </c>
      <c r="H37087" s="40" t="s">
        <v>11404</v>
      </c>
    </row>
    <row r="37088">
      <c r="A37088" s="39"/>
      <c r="E37088" s="40" t="s">
        <v>11404</v>
      </c>
      <c r="F37088" s="40" t="s">
        <v>11404</v>
      </c>
      <c r="G37088" s="40" t="s">
        <v>11404</v>
      </c>
      <c r="H37088" s="40" t="s">
        <v>11404</v>
      </c>
    </row>
    <row r="37089">
      <c r="A37089" s="39"/>
      <c r="E37089" s="40" t="s">
        <v>11404</v>
      </c>
      <c r="F37089" s="40" t="s">
        <v>11404</v>
      </c>
      <c r="G37089" s="40" t="s">
        <v>11404</v>
      </c>
      <c r="H37089" s="40" t="s">
        <v>11404</v>
      </c>
    </row>
    <row r="37090">
      <c r="A37090" s="39"/>
      <c r="E37090" s="40" t="s">
        <v>11404</v>
      </c>
      <c r="F37090" s="40" t="s">
        <v>11404</v>
      </c>
      <c r="G37090" s="40" t="s">
        <v>11404</v>
      </c>
      <c r="H37090" s="40" t="s">
        <v>11404</v>
      </c>
    </row>
    <row r="37091">
      <c r="A37091" s="39"/>
      <c r="E37091" s="40" t="s">
        <v>11404</v>
      </c>
      <c r="F37091" s="40" t="s">
        <v>11404</v>
      </c>
      <c r="G37091" s="40" t="s">
        <v>11404</v>
      </c>
      <c r="H37091" s="40" t="s">
        <v>11404</v>
      </c>
    </row>
    <row r="37092">
      <c r="A37092" s="39"/>
      <c r="E37092" s="40" t="s">
        <v>11404</v>
      </c>
      <c r="F37092" s="40" t="s">
        <v>11404</v>
      </c>
      <c r="G37092" s="40" t="s">
        <v>11404</v>
      </c>
      <c r="H37092" s="40" t="s">
        <v>11404</v>
      </c>
    </row>
    <row r="37093">
      <c r="A37093" s="39"/>
      <c r="E37093" s="40" t="s">
        <v>11404</v>
      </c>
      <c r="F37093" s="40" t="s">
        <v>11404</v>
      </c>
      <c r="G37093" s="40" t="s">
        <v>11404</v>
      </c>
      <c r="H37093" s="40" t="s">
        <v>11404</v>
      </c>
    </row>
    <row r="37094">
      <c r="A37094" s="39"/>
      <c r="E37094" s="40" t="s">
        <v>11404</v>
      </c>
      <c r="F37094" s="40" t="s">
        <v>11404</v>
      </c>
      <c r="G37094" s="40" t="s">
        <v>11404</v>
      </c>
      <c r="H37094" s="40" t="s">
        <v>11404</v>
      </c>
    </row>
    <row r="37095">
      <c r="A37095" s="39"/>
      <c r="E37095" s="40" t="s">
        <v>11404</v>
      </c>
      <c r="F37095" s="40" t="s">
        <v>11404</v>
      </c>
      <c r="G37095" s="40" t="s">
        <v>11404</v>
      </c>
      <c r="H37095" s="40" t="s">
        <v>11404</v>
      </c>
    </row>
    <row r="37096">
      <c r="A37096" s="39"/>
      <c r="E37096" s="40" t="s">
        <v>11404</v>
      </c>
      <c r="F37096" s="40" t="s">
        <v>11404</v>
      </c>
      <c r="G37096" s="40" t="s">
        <v>11404</v>
      </c>
      <c r="H37096" s="40" t="s">
        <v>11404</v>
      </c>
    </row>
    <row r="37097">
      <c r="A37097" s="39"/>
      <c r="E37097" s="40" t="s">
        <v>11404</v>
      </c>
      <c r="F37097" s="40" t="s">
        <v>11404</v>
      </c>
      <c r="G37097" s="40" t="s">
        <v>11404</v>
      </c>
      <c r="H37097" s="40" t="s">
        <v>11404</v>
      </c>
    </row>
    <row r="37098">
      <c r="A37098" s="39"/>
      <c r="E37098" s="40" t="s">
        <v>11404</v>
      </c>
      <c r="F37098" s="40" t="s">
        <v>11404</v>
      </c>
      <c r="G37098" s="40" t="s">
        <v>11404</v>
      </c>
      <c r="H37098" s="40" t="s">
        <v>11404</v>
      </c>
    </row>
    <row r="37099">
      <c r="A37099" s="39"/>
      <c r="E37099" s="40" t="s">
        <v>11404</v>
      </c>
      <c r="F37099" s="40" t="s">
        <v>11404</v>
      </c>
      <c r="G37099" s="40" t="s">
        <v>11404</v>
      </c>
      <c r="H37099" s="40" t="s">
        <v>11404</v>
      </c>
    </row>
    <row r="37100">
      <c r="A37100" s="39"/>
      <c r="E37100" s="40" t="s">
        <v>11404</v>
      </c>
      <c r="F37100" s="40" t="s">
        <v>11404</v>
      </c>
      <c r="G37100" s="40" t="s">
        <v>11404</v>
      </c>
      <c r="H37100" s="40" t="s">
        <v>11404</v>
      </c>
    </row>
    <row r="37101">
      <c r="A37101" s="39"/>
      <c r="E37101" s="40" t="s">
        <v>11404</v>
      </c>
      <c r="F37101" s="40" t="s">
        <v>11404</v>
      </c>
      <c r="G37101" s="40" t="s">
        <v>11404</v>
      </c>
      <c r="H37101" s="40" t="s">
        <v>11404</v>
      </c>
    </row>
    <row r="37102">
      <c r="A37102" s="39"/>
      <c r="E37102" s="40" t="s">
        <v>11404</v>
      </c>
      <c r="F37102" s="40" t="s">
        <v>11404</v>
      </c>
      <c r="G37102" s="40" t="s">
        <v>11404</v>
      </c>
      <c r="H37102" s="40" t="s">
        <v>11404</v>
      </c>
    </row>
    <row r="37103">
      <c r="A37103" s="39"/>
      <c r="E37103" s="40" t="s">
        <v>11404</v>
      </c>
      <c r="F37103" s="40" t="s">
        <v>11404</v>
      </c>
      <c r="G37103" s="40" t="s">
        <v>11404</v>
      </c>
      <c r="H37103" s="40" t="s">
        <v>11404</v>
      </c>
    </row>
    <row r="37104">
      <c r="A37104" s="39"/>
      <c r="E37104" s="40" t="s">
        <v>11404</v>
      </c>
      <c r="F37104" s="40" t="s">
        <v>11404</v>
      </c>
      <c r="G37104" s="40" t="s">
        <v>11404</v>
      </c>
      <c r="H37104" s="40" t="s">
        <v>11404</v>
      </c>
    </row>
    <row r="37105">
      <c r="A37105" s="39"/>
      <c r="E37105" s="40" t="s">
        <v>11404</v>
      </c>
      <c r="F37105" s="40" t="s">
        <v>11404</v>
      </c>
      <c r="G37105" s="40" t="s">
        <v>11404</v>
      </c>
      <c r="H37105" s="40" t="s">
        <v>11404</v>
      </c>
    </row>
    <row r="37106">
      <c r="A37106" s="39"/>
      <c r="E37106" s="40" t="s">
        <v>11404</v>
      </c>
      <c r="F37106" s="40" t="s">
        <v>11404</v>
      </c>
      <c r="G37106" s="40" t="s">
        <v>11404</v>
      </c>
      <c r="H37106" s="40" t="s">
        <v>11404</v>
      </c>
    </row>
    <row r="37107">
      <c r="A37107" s="39"/>
      <c r="E37107" s="40" t="s">
        <v>11404</v>
      </c>
      <c r="F37107" s="40" t="s">
        <v>11404</v>
      </c>
      <c r="G37107" s="40" t="s">
        <v>11404</v>
      </c>
      <c r="H37107" s="40" t="s">
        <v>11404</v>
      </c>
    </row>
    <row r="37108">
      <c r="A37108" s="39"/>
      <c r="E37108" s="40" t="s">
        <v>11404</v>
      </c>
      <c r="F37108" s="40" t="s">
        <v>11404</v>
      </c>
      <c r="G37108" s="40" t="s">
        <v>11404</v>
      </c>
      <c r="H37108" s="40" t="s">
        <v>11404</v>
      </c>
    </row>
    <row r="37109">
      <c r="A37109" s="39"/>
      <c r="E37109" s="40" t="s">
        <v>11404</v>
      </c>
      <c r="F37109" s="40" t="s">
        <v>11404</v>
      </c>
      <c r="G37109" s="40" t="s">
        <v>11404</v>
      </c>
      <c r="H37109" s="40" t="s">
        <v>11404</v>
      </c>
    </row>
    <row r="37110">
      <c r="A37110" s="39"/>
      <c r="E37110" s="40" t="s">
        <v>11404</v>
      </c>
      <c r="F37110" s="40" t="s">
        <v>11404</v>
      </c>
      <c r="G37110" s="40" t="s">
        <v>11404</v>
      </c>
      <c r="H37110" s="40" t="s">
        <v>11404</v>
      </c>
    </row>
    <row r="37111">
      <c r="A37111" s="39"/>
      <c r="E37111" s="40" t="s">
        <v>11404</v>
      </c>
      <c r="F37111" s="40" t="s">
        <v>11404</v>
      </c>
      <c r="G37111" s="40" t="s">
        <v>11404</v>
      </c>
      <c r="H37111" s="40" t="s">
        <v>11404</v>
      </c>
    </row>
    <row r="37112">
      <c r="A37112" s="39"/>
      <c r="E37112" s="40" t="s">
        <v>11404</v>
      </c>
      <c r="F37112" s="40" t="s">
        <v>11404</v>
      </c>
      <c r="G37112" s="40" t="s">
        <v>11404</v>
      </c>
      <c r="H37112" s="40" t="s">
        <v>11404</v>
      </c>
    </row>
    <row r="37113">
      <c r="A37113" s="39"/>
      <c r="E37113" s="40" t="s">
        <v>11404</v>
      </c>
      <c r="F37113" s="40" t="s">
        <v>11404</v>
      </c>
      <c r="G37113" s="40" t="s">
        <v>11404</v>
      </c>
      <c r="H37113" s="40" t="s">
        <v>11404</v>
      </c>
    </row>
    <row r="37114">
      <c r="A37114" s="39"/>
      <c r="E37114" s="40" t="s">
        <v>11404</v>
      </c>
      <c r="F37114" s="40" t="s">
        <v>11404</v>
      </c>
      <c r="G37114" s="40" t="s">
        <v>11404</v>
      </c>
      <c r="H37114" s="40" t="s">
        <v>11404</v>
      </c>
    </row>
    <row r="37115">
      <c r="A37115" s="39"/>
      <c r="E37115" s="40" t="s">
        <v>11404</v>
      </c>
      <c r="F37115" s="40" t="s">
        <v>11404</v>
      </c>
      <c r="G37115" s="40" t="s">
        <v>11404</v>
      </c>
      <c r="H37115" s="40" t="s">
        <v>11404</v>
      </c>
    </row>
    <row r="37116">
      <c r="A37116" s="39"/>
      <c r="E37116" s="40" t="s">
        <v>11404</v>
      </c>
      <c r="F37116" s="40" t="s">
        <v>11404</v>
      </c>
      <c r="G37116" s="40" t="s">
        <v>11404</v>
      </c>
      <c r="H37116" s="40" t="s">
        <v>11404</v>
      </c>
    </row>
    <row r="37117">
      <c r="A37117" s="39"/>
      <c r="E37117" s="40" t="s">
        <v>11404</v>
      </c>
      <c r="F37117" s="40" t="s">
        <v>11404</v>
      </c>
      <c r="G37117" s="40" t="s">
        <v>11404</v>
      </c>
      <c r="H37117" s="40" t="s">
        <v>11404</v>
      </c>
    </row>
    <row r="37118">
      <c r="A37118" s="39"/>
      <c r="E37118" s="40" t="s">
        <v>11404</v>
      </c>
      <c r="F37118" s="40" t="s">
        <v>11404</v>
      </c>
      <c r="G37118" s="40" t="s">
        <v>11404</v>
      </c>
      <c r="H37118" s="40" t="s">
        <v>11404</v>
      </c>
    </row>
    <row r="37119">
      <c r="A37119" s="39"/>
      <c r="E37119" s="40" t="s">
        <v>11404</v>
      </c>
      <c r="F37119" s="40" t="s">
        <v>11404</v>
      </c>
      <c r="G37119" s="40" t="s">
        <v>11404</v>
      </c>
      <c r="H37119" s="40" t="s">
        <v>11404</v>
      </c>
    </row>
    <row r="37120">
      <c r="A37120" s="39"/>
      <c r="E37120" s="40" t="s">
        <v>11404</v>
      </c>
      <c r="F37120" s="40" t="s">
        <v>11404</v>
      </c>
      <c r="G37120" s="40" t="s">
        <v>11404</v>
      </c>
      <c r="H37120" s="40" t="s">
        <v>11404</v>
      </c>
    </row>
    <row r="37121">
      <c r="A37121" s="39"/>
      <c r="E37121" s="40" t="s">
        <v>11404</v>
      </c>
      <c r="F37121" s="40" t="s">
        <v>11404</v>
      </c>
      <c r="G37121" s="40" t="s">
        <v>11404</v>
      </c>
      <c r="H37121" s="40" t="s">
        <v>11404</v>
      </c>
    </row>
    <row r="37122">
      <c r="A37122" s="39"/>
      <c r="E37122" s="40" t="s">
        <v>11404</v>
      </c>
      <c r="F37122" s="40" t="s">
        <v>11404</v>
      </c>
      <c r="G37122" s="40" t="s">
        <v>11404</v>
      </c>
      <c r="H37122" s="40" t="s">
        <v>11404</v>
      </c>
    </row>
    <row r="37123">
      <c r="A37123" s="39"/>
      <c r="E37123" s="40" t="s">
        <v>11404</v>
      </c>
      <c r="F37123" s="40" t="s">
        <v>11404</v>
      </c>
      <c r="G37123" s="40" t="s">
        <v>11404</v>
      </c>
      <c r="H37123" s="40" t="s">
        <v>11404</v>
      </c>
    </row>
    <row r="37124">
      <c r="A37124" s="39"/>
      <c r="E37124" s="40" t="s">
        <v>11404</v>
      </c>
      <c r="F37124" s="40" t="s">
        <v>11404</v>
      </c>
      <c r="G37124" s="40" t="s">
        <v>11404</v>
      </c>
      <c r="H37124" s="40" t="s">
        <v>11404</v>
      </c>
    </row>
    <row r="37125">
      <c r="A37125" s="39"/>
      <c r="E37125" s="40" t="s">
        <v>11404</v>
      </c>
      <c r="F37125" s="40" t="s">
        <v>11404</v>
      </c>
      <c r="G37125" s="40" t="s">
        <v>11404</v>
      </c>
      <c r="H37125" s="40" t="s">
        <v>11404</v>
      </c>
    </row>
    <row r="37126">
      <c r="A37126" s="39"/>
      <c r="E37126" s="40" t="s">
        <v>11404</v>
      </c>
      <c r="F37126" s="40" t="s">
        <v>11404</v>
      </c>
      <c r="G37126" s="40" t="s">
        <v>11404</v>
      </c>
      <c r="H37126" s="40" t="s">
        <v>11404</v>
      </c>
    </row>
    <row r="37127">
      <c r="A37127" s="39"/>
      <c r="E37127" s="40" t="s">
        <v>11404</v>
      </c>
      <c r="F37127" s="40" t="s">
        <v>11404</v>
      </c>
      <c r="G37127" s="40" t="s">
        <v>11404</v>
      </c>
      <c r="H37127" s="40" t="s">
        <v>11404</v>
      </c>
    </row>
    <row r="37128">
      <c r="A37128" s="39"/>
      <c r="E37128" s="40" t="s">
        <v>11404</v>
      </c>
      <c r="F37128" s="40" t="s">
        <v>11404</v>
      </c>
      <c r="G37128" s="40" t="s">
        <v>11404</v>
      </c>
      <c r="H37128" s="40" t="s">
        <v>11404</v>
      </c>
    </row>
    <row r="37129">
      <c r="A37129" s="39"/>
      <c r="E37129" s="40" t="s">
        <v>11404</v>
      </c>
      <c r="F37129" s="40" t="s">
        <v>11404</v>
      </c>
      <c r="G37129" s="40" t="s">
        <v>11404</v>
      </c>
      <c r="H37129" s="40" t="s">
        <v>11404</v>
      </c>
    </row>
    <row r="37130">
      <c r="A37130" s="39"/>
      <c r="E37130" s="40" t="s">
        <v>11404</v>
      </c>
      <c r="F37130" s="40" t="s">
        <v>11404</v>
      </c>
      <c r="G37130" s="40" t="s">
        <v>11404</v>
      </c>
      <c r="H37130" s="40" t="s">
        <v>11404</v>
      </c>
    </row>
    <row r="37131">
      <c r="A37131" s="39"/>
      <c r="E37131" s="40" t="s">
        <v>11404</v>
      </c>
      <c r="F37131" s="40" t="s">
        <v>11404</v>
      </c>
      <c r="G37131" s="40" t="s">
        <v>11404</v>
      </c>
      <c r="H37131" s="40" t="s">
        <v>11404</v>
      </c>
    </row>
    <row r="37132">
      <c r="A37132" s="39"/>
      <c r="E37132" s="40" t="s">
        <v>11404</v>
      </c>
      <c r="F37132" s="40" t="s">
        <v>11404</v>
      </c>
      <c r="G37132" s="40" t="s">
        <v>11404</v>
      </c>
      <c r="H37132" s="40" t="s">
        <v>11404</v>
      </c>
    </row>
    <row r="37133">
      <c r="A37133" s="39"/>
      <c r="E37133" s="40" t="s">
        <v>11404</v>
      </c>
      <c r="F37133" s="40" t="s">
        <v>11404</v>
      </c>
      <c r="G37133" s="40" t="s">
        <v>11404</v>
      </c>
      <c r="H37133" s="40" t="s">
        <v>11404</v>
      </c>
    </row>
    <row r="37134">
      <c r="A37134" s="39"/>
      <c r="E37134" s="40" t="s">
        <v>11404</v>
      </c>
      <c r="F37134" s="40" t="s">
        <v>11404</v>
      </c>
      <c r="G37134" s="40" t="s">
        <v>11404</v>
      </c>
      <c r="H37134" s="40" t="s">
        <v>11404</v>
      </c>
    </row>
    <row r="37135">
      <c r="A37135" s="39"/>
      <c r="E37135" s="40" t="s">
        <v>11404</v>
      </c>
      <c r="F37135" s="40" t="s">
        <v>11404</v>
      </c>
      <c r="G37135" s="40" t="s">
        <v>11404</v>
      </c>
      <c r="H37135" s="40" t="s">
        <v>11404</v>
      </c>
    </row>
    <row r="37136">
      <c r="A37136" s="39"/>
      <c r="E37136" s="40" t="s">
        <v>11404</v>
      </c>
      <c r="F37136" s="40" t="s">
        <v>11404</v>
      </c>
      <c r="G37136" s="40" t="s">
        <v>11404</v>
      </c>
      <c r="H37136" s="40" t="s">
        <v>11404</v>
      </c>
    </row>
    <row r="37137">
      <c r="A37137" s="39"/>
      <c r="E37137" s="40" t="s">
        <v>11404</v>
      </c>
      <c r="F37137" s="40" t="s">
        <v>11404</v>
      </c>
      <c r="G37137" s="40" t="s">
        <v>11404</v>
      </c>
      <c r="H37137" s="40" t="s">
        <v>11404</v>
      </c>
    </row>
    <row r="37138">
      <c r="A37138" s="39"/>
      <c r="E37138" s="40" t="s">
        <v>11404</v>
      </c>
      <c r="F37138" s="40" t="s">
        <v>11404</v>
      </c>
      <c r="G37138" s="40" t="s">
        <v>11404</v>
      </c>
      <c r="H37138" s="40" t="s">
        <v>11404</v>
      </c>
    </row>
    <row r="37139">
      <c r="A37139" s="39"/>
      <c r="E37139" s="40" t="s">
        <v>11404</v>
      </c>
      <c r="F37139" s="40" t="s">
        <v>11404</v>
      </c>
      <c r="G37139" s="40" t="s">
        <v>11404</v>
      </c>
      <c r="H37139" s="40" t="s">
        <v>11404</v>
      </c>
    </row>
    <row r="37140">
      <c r="A37140" s="39"/>
      <c r="E37140" s="40" t="s">
        <v>11404</v>
      </c>
      <c r="F37140" s="40" t="s">
        <v>11404</v>
      </c>
      <c r="G37140" s="40" t="s">
        <v>11404</v>
      </c>
      <c r="H37140" s="40" t="s">
        <v>11404</v>
      </c>
    </row>
    <row r="37141">
      <c r="A37141" s="39"/>
      <c r="E37141" s="40" t="s">
        <v>11404</v>
      </c>
      <c r="F37141" s="40" t="s">
        <v>11404</v>
      </c>
      <c r="G37141" s="40" t="s">
        <v>11404</v>
      </c>
      <c r="H37141" s="40" t="s">
        <v>11404</v>
      </c>
    </row>
    <row r="37142">
      <c r="A37142" s="39"/>
      <c r="E37142" s="40" t="s">
        <v>11404</v>
      </c>
      <c r="F37142" s="40" t="s">
        <v>11404</v>
      </c>
      <c r="G37142" s="40" t="s">
        <v>11404</v>
      </c>
      <c r="H37142" s="40" t="s">
        <v>11404</v>
      </c>
    </row>
    <row r="37143">
      <c r="A37143" s="39"/>
      <c r="E37143" s="40" t="s">
        <v>11404</v>
      </c>
      <c r="F37143" s="40" t="s">
        <v>11404</v>
      </c>
      <c r="G37143" s="40" t="s">
        <v>11404</v>
      </c>
      <c r="H37143" s="40" t="s">
        <v>11404</v>
      </c>
    </row>
    <row r="37144">
      <c r="A37144" s="39"/>
      <c r="E37144" s="40" t="s">
        <v>11404</v>
      </c>
      <c r="F37144" s="40" t="s">
        <v>11404</v>
      </c>
      <c r="G37144" s="40" t="s">
        <v>11404</v>
      </c>
      <c r="H37144" s="40" t="s">
        <v>11404</v>
      </c>
    </row>
    <row r="37145">
      <c r="A37145" s="39"/>
      <c r="E37145" s="40" t="s">
        <v>11404</v>
      </c>
      <c r="F37145" s="40" t="s">
        <v>11404</v>
      </c>
      <c r="G37145" s="40" t="s">
        <v>11404</v>
      </c>
      <c r="H37145" s="40" t="s">
        <v>11404</v>
      </c>
    </row>
    <row r="37146">
      <c r="A37146" s="39"/>
      <c r="E37146" s="40" t="s">
        <v>11404</v>
      </c>
      <c r="F37146" s="40" t="s">
        <v>11404</v>
      </c>
      <c r="G37146" s="40" t="s">
        <v>11404</v>
      </c>
      <c r="H37146" s="40" t="s">
        <v>11404</v>
      </c>
    </row>
    <row r="37147">
      <c r="A37147" s="39"/>
      <c r="E37147" s="40" t="s">
        <v>11404</v>
      </c>
      <c r="F37147" s="40" t="s">
        <v>11404</v>
      </c>
      <c r="G37147" s="40" t="s">
        <v>11404</v>
      </c>
      <c r="H37147" s="40" t="s">
        <v>11404</v>
      </c>
    </row>
    <row r="37148">
      <c r="A37148" s="39"/>
      <c r="E37148" s="40" t="s">
        <v>11404</v>
      </c>
      <c r="F37148" s="40" t="s">
        <v>11404</v>
      </c>
      <c r="G37148" s="40" t="s">
        <v>11404</v>
      </c>
      <c r="H37148" s="40" t="s">
        <v>11404</v>
      </c>
    </row>
    <row r="37149">
      <c r="A37149" s="39"/>
      <c r="E37149" s="40" t="s">
        <v>11404</v>
      </c>
      <c r="F37149" s="40" t="s">
        <v>11404</v>
      </c>
      <c r="G37149" s="40" t="s">
        <v>11404</v>
      </c>
      <c r="H37149" s="40" t="s">
        <v>11404</v>
      </c>
    </row>
    <row r="37150">
      <c r="A37150" s="39"/>
      <c r="E37150" s="40" t="s">
        <v>11404</v>
      </c>
      <c r="F37150" s="40" t="s">
        <v>11404</v>
      </c>
      <c r="G37150" s="40" t="s">
        <v>11404</v>
      </c>
      <c r="H37150" s="40" t="s">
        <v>11404</v>
      </c>
    </row>
    <row r="37151">
      <c r="A37151" s="39"/>
      <c r="E37151" s="40" t="s">
        <v>11404</v>
      </c>
      <c r="F37151" s="40" t="s">
        <v>11404</v>
      </c>
      <c r="G37151" s="40" t="s">
        <v>11404</v>
      </c>
      <c r="H37151" s="40" t="s">
        <v>11404</v>
      </c>
    </row>
    <row r="37152">
      <c r="A37152" s="39"/>
      <c r="E37152" s="40" t="s">
        <v>11404</v>
      </c>
      <c r="F37152" s="40" t="s">
        <v>11404</v>
      </c>
      <c r="G37152" s="40" t="s">
        <v>11404</v>
      </c>
      <c r="H37152" s="40" t="s">
        <v>11404</v>
      </c>
    </row>
    <row r="37153">
      <c r="A37153" s="39"/>
      <c r="E37153" s="40" t="s">
        <v>11404</v>
      </c>
      <c r="F37153" s="40" t="s">
        <v>11404</v>
      </c>
      <c r="G37153" s="40" t="s">
        <v>11404</v>
      </c>
      <c r="H37153" s="40" t="s">
        <v>11404</v>
      </c>
    </row>
    <row r="37154">
      <c r="A37154" s="39"/>
      <c r="E37154" s="40" t="s">
        <v>11404</v>
      </c>
      <c r="F37154" s="40" t="s">
        <v>11404</v>
      </c>
      <c r="G37154" s="40" t="s">
        <v>11404</v>
      </c>
      <c r="H37154" s="40" t="s">
        <v>11404</v>
      </c>
    </row>
    <row r="37155">
      <c r="A37155" s="39"/>
      <c r="E37155" s="40" t="s">
        <v>11404</v>
      </c>
      <c r="F37155" s="40" t="s">
        <v>11404</v>
      </c>
      <c r="G37155" s="40" t="s">
        <v>11404</v>
      </c>
      <c r="H37155" s="40" t="s">
        <v>11404</v>
      </c>
    </row>
    <row r="37156">
      <c r="A37156" s="39"/>
      <c r="E37156" s="40" t="s">
        <v>11404</v>
      </c>
      <c r="F37156" s="40" t="s">
        <v>11404</v>
      </c>
      <c r="G37156" s="40" t="s">
        <v>11404</v>
      </c>
      <c r="H37156" s="40" t="s">
        <v>11404</v>
      </c>
    </row>
    <row r="37157">
      <c r="A37157" s="39"/>
      <c r="E37157" s="40" t="s">
        <v>11404</v>
      </c>
      <c r="F37157" s="40" t="s">
        <v>11404</v>
      </c>
      <c r="G37157" s="40" t="s">
        <v>11404</v>
      </c>
      <c r="H37157" s="40" t="s">
        <v>11404</v>
      </c>
    </row>
    <row r="37158">
      <c r="A37158" s="39"/>
      <c r="E37158" s="40" t="s">
        <v>11404</v>
      </c>
      <c r="F37158" s="40" t="s">
        <v>11404</v>
      </c>
      <c r="G37158" s="40" t="s">
        <v>11404</v>
      </c>
      <c r="H37158" s="40" t="s">
        <v>11404</v>
      </c>
    </row>
    <row r="37159">
      <c r="A37159" s="39"/>
      <c r="E37159" s="40" t="s">
        <v>11404</v>
      </c>
      <c r="F37159" s="40" t="s">
        <v>11404</v>
      </c>
      <c r="G37159" s="40" t="s">
        <v>11404</v>
      </c>
      <c r="H37159" s="40" t="s">
        <v>11404</v>
      </c>
    </row>
    <row r="37160">
      <c r="A37160" s="39"/>
      <c r="E37160" s="40" t="s">
        <v>11404</v>
      </c>
      <c r="F37160" s="40" t="s">
        <v>11404</v>
      </c>
      <c r="G37160" s="40" t="s">
        <v>11404</v>
      </c>
      <c r="H37160" s="40" t="s">
        <v>11404</v>
      </c>
    </row>
    <row r="37161">
      <c r="A37161" s="39"/>
      <c r="E37161" s="40" t="s">
        <v>11404</v>
      </c>
      <c r="F37161" s="40" t="s">
        <v>11404</v>
      </c>
      <c r="G37161" s="40" t="s">
        <v>11404</v>
      </c>
      <c r="H37161" s="40" t="s">
        <v>11404</v>
      </c>
    </row>
    <row r="37162">
      <c r="A37162" s="39"/>
      <c r="E37162" s="40" t="s">
        <v>11404</v>
      </c>
      <c r="F37162" s="40" t="s">
        <v>11404</v>
      </c>
      <c r="G37162" s="40" t="s">
        <v>11404</v>
      </c>
      <c r="H37162" s="40" t="s">
        <v>11404</v>
      </c>
    </row>
    <row r="37163">
      <c r="A37163" s="39"/>
      <c r="E37163" s="40" t="s">
        <v>11404</v>
      </c>
      <c r="F37163" s="40" t="s">
        <v>11404</v>
      </c>
      <c r="G37163" s="40" t="s">
        <v>11404</v>
      </c>
      <c r="H37163" s="40" t="s">
        <v>11404</v>
      </c>
    </row>
    <row r="37164">
      <c r="A37164" s="39"/>
      <c r="E37164" s="40" t="s">
        <v>11404</v>
      </c>
      <c r="F37164" s="40" t="s">
        <v>11404</v>
      </c>
      <c r="G37164" s="40" t="s">
        <v>11404</v>
      </c>
      <c r="H37164" s="40" t="s">
        <v>11404</v>
      </c>
    </row>
    <row r="37165">
      <c r="A37165" s="39"/>
      <c r="E37165" s="40" t="s">
        <v>11404</v>
      </c>
      <c r="F37165" s="40" t="s">
        <v>11404</v>
      </c>
      <c r="G37165" s="40" t="s">
        <v>11404</v>
      </c>
      <c r="H37165" s="40" t="s">
        <v>11404</v>
      </c>
    </row>
    <row r="37166">
      <c r="A37166" s="39"/>
      <c r="E37166" s="40" t="s">
        <v>11404</v>
      </c>
      <c r="F37166" s="40" t="s">
        <v>11404</v>
      </c>
      <c r="G37166" s="40" t="s">
        <v>11404</v>
      </c>
      <c r="H37166" s="40" t="s">
        <v>11404</v>
      </c>
    </row>
    <row r="37167">
      <c r="A37167" s="39"/>
      <c r="E37167" s="40" t="s">
        <v>11404</v>
      </c>
      <c r="F37167" s="40" t="s">
        <v>11404</v>
      </c>
      <c r="G37167" s="40" t="s">
        <v>11404</v>
      </c>
      <c r="H37167" s="40" t="s">
        <v>11404</v>
      </c>
    </row>
    <row r="37168">
      <c r="A37168" s="39"/>
      <c r="E37168" s="40" t="s">
        <v>11404</v>
      </c>
      <c r="F37168" s="40" t="s">
        <v>11404</v>
      </c>
      <c r="G37168" s="40" t="s">
        <v>11404</v>
      </c>
      <c r="H37168" s="40" t="s">
        <v>11404</v>
      </c>
    </row>
    <row r="37169">
      <c r="A37169" s="39"/>
      <c r="E37169" s="40" t="s">
        <v>11404</v>
      </c>
      <c r="F37169" s="40" t="s">
        <v>11404</v>
      </c>
      <c r="G37169" s="40" t="s">
        <v>11404</v>
      </c>
      <c r="H37169" s="40" t="s">
        <v>11404</v>
      </c>
    </row>
    <row r="37170">
      <c r="A37170" s="39"/>
      <c r="E37170" s="40" t="s">
        <v>11404</v>
      </c>
      <c r="F37170" s="40" t="s">
        <v>11404</v>
      </c>
      <c r="G37170" s="40" t="s">
        <v>11404</v>
      </c>
      <c r="H37170" s="40" t="s">
        <v>11404</v>
      </c>
    </row>
    <row r="37171">
      <c r="A37171" s="39"/>
      <c r="E37171" s="40" t="s">
        <v>11404</v>
      </c>
      <c r="F37171" s="40" t="s">
        <v>11404</v>
      </c>
      <c r="G37171" s="40" t="s">
        <v>11404</v>
      </c>
      <c r="H37171" s="40" t="s">
        <v>11404</v>
      </c>
    </row>
    <row r="37172">
      <c r="A37172" s="39"/>
      <c r="E37172" s="40" t="s">
        <v>11404</v>
      </c>
      <c r="F37172" s="40" t="s">
        <v>11404</v>
      </c>
      <c r="G37172" s="40" t="s">
        <v>11404</v>
      </c>
      <c r="H37172" s="40" t="s">
        <v>11404</v>
      </c>
    </row>
    <row r="37173">
      <c r="A37173" s="39"/>
      <c r="E37173" s="40" t="s">
        <v>11404</v>
      </c>
      <c r="F37173" s="40" t="s">
        <v>11404</v>
      </c>
      <c r="G37173" s="40" t="s">
        <v>11404</v>
      </c>
      <c r="H37173" s="40" t="s">
        <v>11404</v>
      </c>
    </row>
    <row r="37174">
      <c r="A37174" s="39"/>
      <c r="E37174" s="40" t="s">
        <v>11404</v>
      </c>
      <c r="F37174" s="40" t="s">
        <v>11404</v>
      </c>
      <c r="G37174" s="40" t="s">
        <v>11404</v>
      </c>
      <c r="H37174" s="40" t="s">
        <v>11404</v>
      </c>
    </row>
    <row r="37175">
      <c r="A37175" s="39"/>
      <c r="E37175" s="40" t="s">
        <v>11404</v>
      </c>
      <c r="F37175" s="40" t="s">
        <v>11404</v>
      </c>
      <c r="G37175" s="40" t="s">
        <v>11404</v>
      </c>
      <c r="H37175" s="40" t="s">
        <v>11404</v>
      </c>
    </row>
    <row r="37176">
      <c r="A37176" s="39"/>
      <c r="E37176" s="40" t="s">
        <v>11404</v>
      </c>
      <c r="F37176" s="40" t="s">
        <v>11404</v>
      </c>
      <c r="G37176" s="40" t="s">
        <v>11404</v>
      </c>
      <c r="H37176" s="40" t="s">
        <v>11404</v>
      </c>
    </row>
    <row r="37177">
      <c r="A37177" s="39"/>
      <c r="E37177" s="40" t="s">
        <v>11404</v>
      </c>
      <c r="F37177" s="40" t="s">
        <v>11404</v>
      </c>
      <c r="G37177" s="40" t="s">
        <v>11404</v>
      </c>
      <c r="H37177" s="40" t="s">
        <v>11404</v>
      </c>
    </row>
    <row r="37178">
      <c r="A37178" s="39"/>
      <c r="E37178" s="40" t="s">
        <v>11404</v>
      </c>
      <c r="F37178" s="40" t="s">
        <v>11404</v>
      </c>
      <c r="G37178" s="40" t="s">
        <v>11404</v>
      </c>
      <c r="H37178" s="40" t="s">
        <v>11404</v>
      </c>
    </row>
    <row r="37179">
      <c r="A37179" s="39"/>
      <c r="E37179" s="40" t="s">
        <v>11404</v>
      </c>
      <c r="F37179" s="40" t="s">
        <v>11404</v>
      </c>
      <c r="G37179" s="40" t="s">
        <v>11404</v>
      </c>
      <c r="H37179" s="40" t="s">
        <v>11404</v>
      </c>
    </row>
    <row r="37180">
      <c r="A37180" s="39"/>
      <c r="E37180" s="40" t="s">
        <v>11404</v>
      </c>
      <c r="F37180" s="40" t="s">
        <v>11404</v>
      </c>
      <c r="G37180" s="40" t="s">
        <v>11404</v>
      </c>
      <c r="H37180" s="40" t="s">
        <v>11404</v>
      </c>
    </row>
    <row r="37181">
      <c r="A37181" s="39"/>
      <c r="E37181" s="40" t="s">
        <v>11404</v>
      </c>
      <c r="F37181" s="40" t="s">
        <v>11404</v>
      </c>
      <c r="G37181" s="40" t="s">
        <v>11404</v>
      </c>
      <c r="H37181" s="40" t="s">
        <v>11404</v>
      </c>
    </row>
    <row r="37182">
      <c r="A37182" s="39"/>
      <c r="E37182" s="40" t="s">
        <v>11404</v>
      </c>
      <c r="F37182" s="40" t="s">
        <v>11404</v>
      </c>
      <c r="G37182" s="40" t="s">
        <v>11404</v>
      </c>
      <c r="H37182" s="40" t="s">
        <v>11404</v>
      </c>
    </row>
    <row r="37183">
      <c r="A37183" s="39"/>
      <c r="E37183" s="40" t="s">
        <v>11404</v>
      </c>
      <c r="F37183" s="40" t="s">
        <v>11404</v>
      </c>
      <c r="G37183" s="40" t="s">
        <v>11404</v>
      </c>
      <c r="H37183" s="40" t="s">
        <v>11404</v>
      </c>
    </row>
    <row r="37184">
      <c r="A37184" s="39"/>
      <c r="E37184" s="40" t="s">
        <v>11404</v>
      </c>
      <c r="F37184" s="40" t="s">
        <v>11404</v>
      </c>
      <c r="G37184" s="40" t="s">
        <v>11404</v>
      </c>
      <c r="H37184" s="40" t="s">
        <v>11404</v>
      </c>
    </row>
    <row r="37185">
      <c r="A37185" s="39"/>
      <c r="E37185" s="40" t="s">
        <v>11404</v>
      </c>
      <c r="F37185" s="40" t="s">
        <v>11404</v>
      </c>
      <c r="G37185" s="40" t="s">
        <v>11404</v>
      </c>
      <c r="H37185" s="40" t="s">
        <v>11404</v>
      </c>
    </row>
    <row r="37186">
      <c r="A37186" s="39"/>
      <c r="E37186" s="40" t="s">
        <v>11404</v>
      </c>
      <c r="F37186" s="40" t="s">
        <v>11404</v>
      </c>
      <c r="G37186" s="40" t="s">
        <v>11404</v>
      </c>
      <c r="H37186" s="40" t="s">
        <v>11404</v>
      </c>
    </row>
    <row r="37187">
      <c r="A37187" s="39"/>
      <c r="E37187" s="40" t="s">
        <v>11404</v>
      </c>
      <c r="F37187" s="40" t="s">
        <v>11404</v>
      </c>
      <c r="G37187" s="40" t="s">
        <v>11404</v>
      </c>
      <c r="H37187" s="40" t="s">
        <v>11404</v>
      </c>
    </row>
    <row r="37188">
      <c r="A37188" s="39"/>
      <c r="E37188" s="40" t="s">
        <v>11404</v>
      </c>
      <c r="F37188" s="40" t="s">
        <v>11404</v>
      </c>
      <c r="G37188" s="40" t="s">
        <v>11404</v>
      </c>
      <c r="H37188" s="40" t="s">
        <v>11404</v>
      </c>
    </row>
    <row r="37189">
      <c r="A37189" s="39"/>
      <c r="E37189" s="40" t="s">
        <v>11404</v>
      </c>
      <c r="F37189" s="40" t="s">
        <v>11404</v>
      </c>
      <c r="G37189" s="40" t="s">
        <v>11404</v>
      </c>
      <c r="H37189" s="40" t="s">
        <v>11404</v>
      </c>
    </row>
    <row r="37190">
      <c r="A37190" s="39"/>
      <c r="E37190" s="40" t="s">
        <v>11404</v>
      </c>
      <c r="F37190" s="40" t="s">
        <v>11404</v>
      </c>
      <c r="G37190" s="40" t="s">
        <v>11404</v>
      </c>
      <c r="H37190" s="40" t="s">
        <v>11404</v>
      </c>
    </row>
    <row r="37191">
      <c r="A37191" s="39"/>
      <c r="E37191" s="40" t="s">
        <v>11404</v>
      </c>
      <c r="F37191" s="40" t="s">
        <v>11404</v>
      </c>
      <c r="G37191" s="40" t="s">
        <v>11404</v>
      </c>
      <c r="H37191" s="40" t="s">
        <v>11404</v>
      </c>
    </row>
    <row r="37192">
      <c r="A37192" s="39"/>
      <c r="E37192" s="40" t="s">
        <v>11404</v>
      </c>
      <c r="F37192" s="40" t="s">
        <v>11404</v>
      </c>
      <c r="G37192" s="40" t="s">
        <v>11404</v>
      </c>
      <c r="H37192" s="40" t="s">
        <v>11404</v>
      </c>
    </row>
    <row r="37193">
      <c r="A37193" s="39"/>
      <c r="E37193" s="40" t="s">
        <v>11404</v>
      </c>
      <c r="F37193" s="40" t="s">
        <v>11404</v>
      </c>
      <c r="G37193" s="40" t="s">
        <v>11404</v>
      </c>
      <c r="H37193" s="40" t="s">
        <v>11404</v>
      </c>
    </row>
    <row r="37194">
      <c r="A37194" s="39"/>
      <c r="E37194" s="40" t="s">
        <v>11404</v>
      </c>
      <c r="F37194" s="40" t="s">
        <v>11404</v>
      </c>
      <c r="G37194" s="40" t="s">
        <v>11404</v>
      </c>
      <c r="H37194" s="40" t="s">
        <v>11404</v>
      </c>
    </row>
    <row r="37195">
      <c r="A37195" s="39"/>
      <c r="E37195" s="40" t="s">
        <v>11404</v>
      </c>
      <c r="F37195" s="40" t="s">
        <v>11404</v>
      </c>
      <c r="G37195" s="40" t="s">
        <v>11404</v>
      </c>
      <c r="H37195" s="40" t="s">
        <v>11404</v>
      </c>
    </row>
    <row r="37196">
      <c r="A37196" s="39"/>
      <c r="E37196" s="40" t="s">
        <v>11404</v>
      </c>
      <c r="F37196" s="40" t="s">
        <v>11404</v>
      </c>
      <c r="G37196" s="40" t="s">
        <v>11404</v>
      </c>
      <c r="H37196" s="40" t="s">
        <v>11404</v>
      </c>
    </row>
    <row r="37197">
      <c r="A37197" s="39"/>
      <c r="E37197" s="40" t="s">
        <v>11404</v>
      </c>
      <c r="F37197" s="40" t="s">
        <v>11404</v>
      </c>
      <c r="G37197" s="40" t="s">
        <v>11404</v>
      </c>
      <c r="H37197" s="40" t="s">
        <v>11404</v>
      </c>
    </row>
    <row r="37198">
      <c r="A37198" s="39"/>
      <c r="E37198" s="40" t="s">
        <v>11404</v>
      </c>
      <c r="F37198" s="40" t="s">
        <v>11404</v>
      </c>
      <c r="G37198" s="40" t="s">
        <v>11404</v>
      </c>
      <c r="H37198" s="40" t="s">
        <v>11404</v>
      </c>
    </row>
    <row r="37199">
      <c r="A37199" s="39"/>
      <c r="E37199" s="40" t="s">
        <v>11404</v>
      </c>
      <c r="F37199" s="40" t="s">
        <v>11404</v>
      </c>
      <c r="G37199" s="40" t="s">
        <v>11404</v>
      </c>
      <c r="H37199" s="40" t="s">
        <v>11404</v>
      </c>
    </row>
    <row r="37200">
      <c r="A37200" s="39"/>
      <c r="E37200" s="40" t="s">
        <v>11404</v>
      </c>
      <c r="F37200" s="40" t="s">
        <v>11404</v>
      </c>
      <c r="G37200" s="40" t="s">
        <v>11404</v>
      </c>
      <c r="H37200" s="40" t="s">
        <v>11404</v>
      </c>
    </row>
    <row r="37201">
      <c r="A37201" s="39"/>
      <c r="E37201" s="40" t="s">
        <v>11404</v>
      </c>
      <c r="F37201" s="40" t="s">
        <v>11404</v>
      </c>
      <c r="G37201" s="40" t="s">
        <v>11404</v>
      </c>
      <c r="H37201" s="40" t="s">
        <v>11404</v>
      </c>
    </row>
    <row r="37202">
      <c r="A37202" s="39"/>
      <c r="E37202" s="40" t="s">
        <v>11404</v>
      </c>
      <c r="F37202" s="40" t="s">
        <v>11404</v>
      </c>
      <c r="G37202" s="40" t="s">
        <v>11404</v>
      </c>
      <c r="H37202" s="40" t="s">
        <v>11404</v>
      </c>
    </row>
    <row r="37203">
      <c r="A37203" s="39"/>
      <c r="E37203" s="40" t="s">
        <v>11404</v>
      </c>
      <c r="F37203" s="40" t="s">
        <v>11404</v>
      </c>
      <c r="G37203" s="40" t="s">
        <v>11404</v>
      </c>
      <c r="H37203" s="40" t="s">
        <v>11404</v>
      </c>
    </row>
    <row r="37204">
      <c r="A37204" s="39"/>
      <c r="E37204" s="40" t="s">
        <v>11404</v>
      </c>
      <c r="F37204" s="40" t="s">
        <v>11404</v>
      </c>
      <c r="G37204" s="40" t="s">
        <v>11404</v>
      </c>
      <c r="H37204" s="40" t="s">
        <v>11404</v>
      </c>
    </row>
    <row r="37205">
      <c r="A37205" s="39"/>
      <c r="E37205" s="40" t="s">
        <v>11404</v>
      </c>
      <c r="F37205" s="40" t="s">
        <v>11404</v>
      </c>
      <c r="G37205" s="40" t="s">
        <v>11404</v>
      </c>
      <c r="H37205" s="40" t="s">
        <v>11404</v>
      </c>
    </row>
    <row r="37206">
      <c r="A37206" s="39"/>
      <c r="E37206" s="40" t="s">
        <v>11404</v>
      </c>
      <c r="F37206" s="40" t="s">
        <v>11404</v>
      </c>
      <c r="G37206" s="40" t="s">
        <v>11404</v>
      </c>
      <c r="H37206" s="40" t="s">
        <v>11404</v>
      </c>
    </row>
    <row r="37207">
      <c r="A37207" s="39"/>
      <c r="E37207" s="40" t="s">
        <v>11404</v>
      </c>
      <c r="F37207" s="40" t="s">
        <v>11404</v>
      </c>
      <c r="G37207" s="40" t="s">
        <v>11404</v>
      </c>
      <c r="H37207" s="40" t="s">
        <v>11404</v>
      </c>
    </row>
    <row r="37208">
      <c r="A37208" s="39"/>
      <c r="E37208" s="40" t="s">
        <v>11404</v>
      </c>
      <c r="F37208" s="40" t="s">
        <v>11404</v>
      </c>
      <c r="G37208" s="40" t="s">
        <v>11404</v>
      </c>
      <c r="H37208" s="40" t="s">
        <v>11404</v>
      </c>
    </row>
    <row r="37209">
      <c r="A37209" s="39"/>
      <c r="E37209" s="40" t="s">
        <v>11404</v>
      </c>
      <c r="F37209" s="40" t="s">
        <v>11404</v>
      </c>
      <c r="G37209" s="40" t="s">
        <v>11404</v>
      </c>
      <c r="H37209" s="40" t="s">
        <v>11404</v>
      </c>
    </row>
    <row r="37210">
      <c r="A37210" s="39"/>
      <c r="E37210" s="40" t="s">
        <v>11404</v>
      </c>
      <c r="F37210" s="40" t="s">
        <v>11404</v>
      </c>
      <c r="G37210" s="40" t="s">
        <v>11404</v>
      </c>
      <c r="H37210" s="40" t="s">
        <v>11404</v>
      </c>
    </row>
    <row r="37211">
      <c r="A37211" s="39"/>
      <c r="E37211" s="40" t="s">
        <v>11404</v>
      </c>
      <c r="F37211" s="40" t="s">
        <v>11404</v>
      </c>
      <c r="G37211" s="40" t="s">
        <v>11404</v>
      </c>
      <c r="H37211" s="40" t="s">
        <v>11404</v>
      </c>
    </row>
    <row r="37212">
      <c r="A37212" s="39"/>
      <c r="E37212" s="40" t="s">
        <v>11404</v>
      </c>
      <c r="F37212" s="40" t="s">
        <v>11404</v>
      </c>
      <c r="G37212" s="40" t="s">
        <v>11404</v>
      </c>
      <c r="H37212" s="40" t="s">
        <v>11404</v>
      </c>
    </row>
    <row r="37213">
      <c r="A37213" s="39"/>
      <c r="E37213" s="40" t="s">
        <v>11404</v>
      </c>
      <c r="F37213" s="40" t="s">
        <v>11404</v>
      </c>
      <c r="G37213" s="40" t="s">
        <v>11404</v>
      </c>
      <c r="H37213" s="40" t="s">
        <v>11404</v>
      </c>
    </row>
    <row r="37214">
      <c r="A37214" s="39"/>
      <c r="E37214" s="40" t="s">
        <v>11404</v>
      </c>
      <c r="F37214" s="40" t="s">
        <v>11404</v>
      </c>
      <c r="G37214" s="40" t="s">
        <v>11404</v>
      </c>
      <c r="H37214" s="40" t="s">
        <v>11404</v>
      </c>
    </row>
    <row r="37215">
      <c r="A37215" s="39"/>
      <c r="E37215" s="40" t="s">
        <v>11404</v>
      </c>
      <c r="F37215" s="40" t="s">
        <v>11404</v>
      </c>
      <c r="G37215" s="40" t="s">
        <v>11404</v>
      </c>
      <c r="H37215" s="40" t="s">
        <v>11404</v>
      </c>
    </row>
    <row r="37216">
      <c r="A37216" s="39"/>
      <c r="E37216" s="40" t="s">
        <v>11404</v>
      </c>
      <c r="F37216" s="40" t="s">
        <v>11404</v>
      </c>
      <c r="G37216" s="40" t="s">
        <v>11404</v>
      </c>
      <c r="H37216" s="40" t="s">
        <v>11404</v>
      </c>
    </row>
    <row r="37217">
      <c r="A37217" s="39"/>
      <c r="E37217" s="40" t="s">
        <v>11404</v>
      </c>
      <c r="F37217" s="40" t="s">
        <v>11404</v>
      </c>
      <c r="G37217" s="40" t="s">
        <v>11404</v>
      </c>
      <c r="H37217" s="40" t="s">
        <v>11404</v>
      </c>
    </row>
    <row r="37218">
      <c r="A37218" s="39"/>
      <c r="E37218" s="40" t="s">
        <v>11404</v>
      </c>
      <c r="F37218" s="40" t="s">
        <v>11404</v>
      </c>
      <c r="G37218" s="40" t="s">
        <v>11404</v>
      </c>
      <c r="H37218" s="40" t="s">
        <v>11404</v>
      </c>
    </row>
    <row r="37219">
      <c r="A37219" s="39"/>
      <c r="E37219" s="40" t="s">
        <v>11404</v>
      </c>
      <c r="F37219" s="40" t="s">
        <v>11404</v>
      </c>
      <c r="G37219" s="40" t="s">
        <v>11404</v>
      </c>
      <c r="H37219" s="40" t="s">
        <v>11404</v>
      </c>
    </row>
    <row r="37220">
      <c r="A37220" s="39"/>
      <c r="E37220" s="40" t="s">
        <v>11404</v>
      </c>
      <c r="F37220" s="40" t="s">
        <v>11404</v>
      </c>
      <c r="G37220" s="40" t="s">
        <v>11404</v>
      </c>
      <c r="H37220" s="40" t="s">
        <v>11404</v>
      </c>
    </row>
    <row r="37221">
      <c r="A37221" s="39"/>
      <c r="E37221" s="40" t="s">
        <v>11404</v>
      </c>
      <c r="F37221" s="40" t="s">
        <v>11404</v>
      </c>
      <c r="G37221" s="40" t="s">
        <v>11404</v>
      </c>
      <c r="H37221" s="40" t="s">
        <v>11404</v>
      </c>
    </row>
    <row r="37222">
      <c r="A37222" s="39"/>
      <c r="E37222" s="40" t="s">
        <v>11404</v>
      </c>
      <c r="F37222" s="40" t="s">
        <v>11404</v>
      </c>
      <c r="G37222" s="40" t="s">
        <v>11404</v>
      </c>
      <c r="H37222" s="40" t="s">
        <v>11404</v>
      </c>
    </row>
    <row r="37223">
      <c r="A37223" s="39"/>
      <c r="E37223" s="40" t="s">
        <v>11404</v>
      </c>
      <c r="F37223" s="40" t="s">
        <v>11404</v>
      </c>
      <c r="G37223" s="40" t="s">
        <v>11404</v>
      </c>
      <c r="H37223" s="40" t="s">
        <v>11404</v>
      </c>
    </row>
    <row r="37224">
      <c r="A37224" s="39"/>
      <c r="E37224" s="40" t="s">
        <v>11404</v>
      </c>
      <c r="F37224" s="40" t="s">
        <v>11404</v>
      </c>
      <c r="G37224" s="40" t="s">
        <v>11404</v>
      </c>
      <c r="H37224" s="40" t="s">
        <v>11404</v>
      </c>
    </row>
    <row r="37225">
      <c r="A37225" s="39"/>
      <c r="E37225" s="40" t="s">
        <v>11404</v>
      </c>
      <c r="F37225" s="40" t="s">
        <v>11404</v>
      </c>
      <c r="G37225" s="40" t="s">
        <v>11404</v>
      </c>
      <c r="H37225" s="40" t="s">
        <v>11404</v>
      </c>
    </row>
    <row r="37226">
      <c r="A37226" s="39"/>
      <c r="E37226" s="40" t="s">
        <v>11404</v>
      </c>
      <c r="F37226" s="40" t="s">
        <v>11404</v>
      </c>
      <c r="G37226" s="40" t="s">
        <v>11404</v>
      </c>
      <c r="H37226" s="40" t="s">
        <v>11404</v>
      </c>
    </row>
    <row r="37227">
      <c r="A37227" s="39"/>
      <c r="E37227" s="40" t="s">
        <v>11404</v>
      </c>
      <c r="F37227" s="40" t="s">
        <v>11404</v>
      </c>
      <c r="G37227" s="40" t="s">
        <v>11404</v>
      </c>
      <c r="H37227" s="40" t="s">
        <v>11404</v>
      </c>
    </row>
    <row r="37228">
      <c r="A37228" s="39"/>
      <c r="E37228" s="40" t="s">
        <v>11404</v>
      </c>
      <c r="F37228" s="40" t="s">
        <v>11404</v>
      </c>
      <c r="G37228" s="40" t="s">
        <v>11404</v>
      </c>
      <c r="H37228" s="40" t="s">
        <v>11404</v>
      </c>
    </row>
    <row r="37229">
      <c r="A37229" s="39"/>
      <c r="E37229" s="40" t="s">
        <v>11404</v>
      </c>
      <c r="F37229" s="40" t="s">
        <v>11404</v>
      </c>
      <c r="G37229" s="40" t="s">
        <v>11404</v>
      </c>
      <c r="H37229" s="40" t="s">
        <v>11404</v>
      </c>
    </row>
    <row r="37230">
      <c r="A37230" s="39"/>
      <c r="E37230" s="40" t="s">
        <v>11404</v>
      </c>
      <c r="F37230" s="40" t="s">
        <v>11404</v>
      </c>
      <c r="G37230" s="40" t="s">
        <v>11404</v>
      </c>
      <c r="H37230" s="40" t="s">
        <v>11404</v>
      </c>
    </row>
    <row r="37231">
      <c r="A37231" s="39"/>
      <c r="E37231" s="40" t="s">
        <v>11404</v>
      </c>
      <c r="F37231" s="40" t="s">
        <v>11404</v>
      </c>
      <c r="G37231" s="40" t="s">
        <v>11404</v>
      </c>
      <c r="H37231" s="40" t="s">
        <v>11404</v>
      </c>
    </row>
    <row r="37232">
      <c r="A37232" s="39"/>
      <c r="E37232" s="40" t="s">
        <v>11404</v>
      </c>
      <c r="F37232" s="40" t="s">
        <v>11404</v>
      </c>
      <c r="G37232" s="40" t="s">
        <v>11404</v>
      </c>
      <c r="H37232" s="40" t="s">
        <v>11404</v>
      </c>
    </row>
    <row r="37233">
      <c r="A37233" s="39"/>
      <c r="E37233" s="40" t="s">
        <v>11404</v>
      </c>
      <c r="F37233" s="40" t="s">
        <v>11404</v>
      </c>
      <c r="G37233" s="40" t="s">
        <v>11404</v>
      </c>
      <c r="H37233" s="40" t="s">
        <v>11404</v>
      </c>
    </row>
    <row r="37234">
      <c r="A37234" s="39"/>
      <c r="E37234" s="40" t="s">
        <v>11404</v>
      </c>
      <c r="F37234" s="40" t="s">
        <v>11404</v>
      </c>
      <c r="G37234" s="40" t="s">
        <v>11404</v>
      </c>
      <c r="H37234" s="40" t="s">
        <v>11404</v>
      </c>
    </row>
    <row r="37235">
      <c r="A37235" s="39"/>
      <c r="E37235" s="40" t="s">
        <v>11404</v>
      </c>
      <c r="F37235" s="40" t="s">
        <v>11404</v>
      </c>
      <c r="G37235" s="40" t="s">
        <v>11404</v>
      </c>
      <c r="H37235" s="40" t="s">
        <v>11404</v>
      </c>
    </row>
    <row r="37236">
      <c r="A37236" s="39"/>
      <c r="E37236" s="40" t="s">
        <v>11404</v>
      </c>
      <c r="F37236" s="40" t="s">
        <v>11404</v>
      </c>
      <c r="G37236" s="40" t="s">
        <v>11404</v>
      </c>
      <c r="H37236" s="40" t="s">
        <v>11404</v>
      </c>
    </row>
    <row r="37237">
      <c r="A37237" s="39"/>
      <c r="E37237" s="40" t="s">
        <v>11404</v>
      </c>
      <c r="F37237" s="40" t="s">
        <v>11404</v>
      </c>
      <c r="G37237" s="40" t="s">
        <v>11404</v>
      </c>
      <c r="H37237" s="40" t="s">
        <v>11404</v>
      </c>
    </row>
    <row r="37238">
      <c r="A37238" s="39"/>
      <c r="E37238" s="40" t="s">
        <v>11404</v>
      </c>
      <c r="F37238" s="40" t="s">
        <v>11404</v>
      </c>
      <c r="G37238" s="40" t="s">
        <v>11404</v>
      </c>
      <c r="H37238" s="40" t="s">
        <v>11404</v>
      </c>
    </row>
    <row r="37239">
      <c r="A37239" s="39"/>
      <c r="E37239" s="40" t="s">
        <v>11404</v>
      </c>
      <c r="F37239" s="40" t="s">
        <v>11404</v>
      </c>
      <c r="G37239" s="40" t="s">
        <v>11404</v>
      </c>
      <c r="H37239" s="40" t="s">
        <v>11404</v>
      </c>
    </row>
    <row r="37240">
      <c r="A37240" s="39"/>
      <c r="E37240" s="40" t="s">
        <v>11404</v>
      </c>
      <c r="F37240" s="40" t="s">
        <v>11404</v>
      </c>
      <c r="G37240" s="40" t="s">
        <v>11404</v>
      </c>
      <c r="H37240" s="40" t="s">
        <v>11404</v>
      </c>
    </row>
    <row r="37241">
      <c r="A37241" s="39"/>
      <c r="E37241" s="40" t="s">
        <v>11404</v>
      </c>
      <c r="F37241" s="40" t="s">
        <v>11404</v>
      </c>
      <c r="G37241" s="40" t="s">
        <v>11404</v>
      </c>
      <c r="H37241" s="40" t="s">
        <v>11404</v>
      </c>
    </row>
    <row r="37242">
      <c r="A37242" s="39"/>
      <c r="E37242" s="40" t="s">
        <v>11404</v>
      </c>
      <c r="F37242" s="40" t="s">
        <v>11404</v>
      </c>
      <c r="G37242" s="40" t="s">
        <v>11404</v>
      </c>
      <c r="H37242" s="40" t="s">
        <v>11404</v>
      </c>
    </row>
    <row r="37243">
      <c r="A37243" s="39"/>
      <c r="E37243" s="40" t="s">
        <v>11404</v>
      </c>
      <c r="F37243" s="40" t="s">
        <v>11404</v>
      </c>
      <c r="G37243" s="40" t="s">
        <v>11404</v>
      </c>
      <c r="H37243" s="40" t="s">
        <v>11404</v>
      </c>
    </row>
    <row r="37244">
      <c r="A37244" s="39"/>
      <c r="E37244" s="40" t="s">
        <v>11404</v>
      </c>
      <c r="F37244" s="40" t="s">
        <v>11404</v>
      </c>
      <c r="G37244" s="40" t="s">
        <v>11404</v>
      </c>
      <c r="H37244" s="40" t="s">
        <v>11404</v>
      </c>
    </row>
    <row r="37245">
      <c r="A37245" s="39"/>
      <c r="E37245" s="40" t="s">
        <v>11404</v>
      </c>
      <c r="F37245" s="40" t="s">
        <v>11404</v>
      </c>
      <c r="G37245" s="40" t="s">
        <v>11404</v>
      </c>
      <c r="H37245" s="40" t="s">
        <v>11404</v>
      </c>
    </row>
    <row r="37246">
      <c r="A37246" s="39"/>
      <c r="E37246" s="40" t="s">
        <v>11404</v>
      </c>
      <c r="F37246" s="40" t="s">
        <v>11404</v>
      </c>
      <c r="G37246" s="40" t="s">
        <v>11404</v>
      </c>
      <c r="H37246" s="40" t="s">
        <v>11404</v>
      </c>
    </row>
    <row r="37247">
      <c r="A37247" s="39"/>
      <c r="E37247" s="40" t="s">
        <v>11404</v>
      </c>
      <c r="F37247" s="40" t="s">
        <v>11404</v>
      </c>
      <c r="G37247" s="40" t="s">
        <v>11404</v>
      </c>
      <c r="H37247" s="40" t="s">
        <v>11404</v>
      </c>
    </row>
    <row r="37248">
      <c r="A37248" s="39"/>
      <c r="E37248" s="40" t="s">
        <v>11404</v>
      </c>
      <c r="F37248" s="40" t="s">
        <v>11404</v>
      </c>
      <c r="G37248" s="40" t="s">
        <v>11404</v>
      </c>
      <c r="H37248" s="40" t="s">
        <v>11404</v>
      </c>
    </row>
    <row r="37249">
      <c r="A37249" s="39"/>
      <c r="E37249" s="40" t="s">
        <v>11404</v>
      </c>
      <c r="F37249" s="40" t="s">
        <v>11404</v>
      </c>
      <c r="G37249" s="40" t="s">
        <v>11404</v>
      </c>
      <c r="H37249" s="40" t="s">
        <v>11404</v>
      </c>
    </row>
    <row r="37250">
      <c r="A37250" s="39"/>
      <c r="E37250" s="40" t="s">
        <v>11404</v>
      </c>
      <c r="F37250" s="40" t="s">
        <v>11404</v>
      </c>
      <c r="G37250" s="40" t="s">
        <v>11404</v>
      </c>
      <c r="H37250" s="40" t="s">
        <v>11404</v>
      </c>
    </row>
    <row r="37251">
      <c r="A37251" s="39"/>
      <c r="E37251" s="40" t="s">
        <v>11404</v>
      </c>
      <c r="F37251" s="40" t="s">
        <v>11404</v>
      </c>
      <c r="G37251" s="40" t="s">
        <v>11404</v>
      </c>
      <c r="H37251" s="40" t="s">
        <v>11404</v>
      </c>
    </row>
    <row r="37252">
      <c r="A37252" s="39"/>
      <c r="E37252" s="40" t="s">
        <v>11404</v>
      </c>
      <c r="F37252" s="40" t="s">
        <v>11404</v>
      </c>
      <c r="G37252" s="40" t="s">
        <v>11404</v>
      </c>
      <c r="H37252" s="40" t="s">
        <v>11404</v>
      </c>
    </row>
    <row r="37253">
      <c r="A37253" s="39"/>
      <c r="E37253" s="40" t="s">
        <v>11404</v>
      </c>
      <c r="F37253" s="40" t="s">
        <v>11404</v>
      </c>
      <c r="G37253" s="40" t="s">
        <v>11404</v>
      </c>
      <c r="H37253" s="40" t="s">
        <v>11404</v>
      </c>
    </row>
    <row r="37254">
      <c r="A37254" s="39"/>
      <c r="E37254" s="40" t="s">
        <v>11404</v>
      </c>
      <c r="F37254" s="40" t="s">
        <v>11404</v>
      </c>
      <c r="G37254" s="40" t="s">
        <v>11404</v>
      </c>
      <c r="H37254" s="40" t="s">
        <v>11404</v>
      </c>
    </row>
    <row r="37255">
      <c r="A37255" s="39"/>
      <c r="E37255" s="40" t="s">
        <v>11404</v>
      </c>
      <c r="F37255" s="40" t="s">
        <v>11404</v>
      </c>
      <c r="G37255" s="40" t="s">
        <v>11404</v>
      </c>
      <c r="H37255" s="40" t="s">
        <v>11404</v>
      </c>
    </row>
    <row r="37256">
      <c r="A37256" s="39"/>
      <c r="E37256" s="40" t="s">
        <v>11404</v>
      </c>
      <c r="F37256" s="40" t="s">
        <v>11404</v>
      </c>
      <c r="G37256" s="40" t="s">
        <v>11404</v>
      </c>
      <c r="H37256" s="40" t="s">
        <v>11404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40.75"/>
    <col customWidth="1" min="3" max="3" width="32.0"/>
    <col customWidth="1" min="4" max="4" width="20.13"/>
    <col customWidth="1" min="5" max="6" width="24.38"/>
    <col customWidth="1" min="7" max="7" width="28.38"/>
  </cols>
  <sheetData>
    <row r="1">
      <c r="A1" s="41" t="s">
        <v>11494</v>
      </c>
      <c r="B1" s="42" t="s">
        <v>11495</v>
      </c>
      <c r="C1" s="42" t="s">
        <v>11496</v>
      </c>
      <c r="D1" s="43" t="s">
        <v>11497</v>
      </c>
      <c r="E1" s="44" t="s">
        <v>11498</v>
      </c>
      <c r="F1" s="45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>
      <c r="A2" s="26" t="s">
        <v>11499</v>
      </c>
      <c r="B2" s="47" t="s">
        <v>501</v>
      </c>
      <c r="C2" s="47" t="s">
        <v>11450</v>
      </c>
      <c r="D2" s="48">
        <v>48.0</v>
      </c>
      <c r="E2" s="26" t="s">
        <v>11449</v>
      </c>
      <c r="F2" s="31"/>
    </row>
    <row r="3">
      <c r="A3" s="47" t="s">
        <v>11500</v>
      </c>
      <c r="B3" s="47" t="s">
        <v>11501</v>
      </c>
      <c r="C3" s="47" t="s">
        <v>11450</v>
      </c>
      <c r="D3" s="48">
        <v>48.0</v>
      </c>
      <c r="E3" s="26" t="s">
        <v>11502</v>
      </c>
      <c r="F3" s="31"/>
    </row>
    <row r="4">
      <c r="A4" s="47" t="s">
        <v>11503</v>
      </c>
      <c r="B4" s="47" t="s">
        <v>11504</v>
      </c>
      <c r="C4" s="47" t="s">
        <v>11450</v>
      </c>
      <c r="D4" s="48">
        <v>48.0</v>
      </c>
      <c r="E4" s="26" t="s">
        <v>11505</v>
      </c>
      <c r="F4" s="31"/>
    </row>
    <row r="5">
      <c r="A5" s="47" t="s">
        <v>11506</v>
      </c>
      <c r="B5" s="47" t="s">
        <v>11507</v>
      </c>
      <c r="C5" s="47" t="s">
        <v>11450</v>
      </c>
      <c r="D5" s="48">
        <v>48.0</v>
      </c>
      <c r="E5" s="26" t="s">
        <v>11486</v>
      </c>
      <c r="F5" s="31"/>
      <c r="G5" s="31" t="s">
        <v>11508</v>
      </c>
    </row>
    <row r="6">
      <c r="A6" s="47" t="s">
        <v>11509</v>
      </c>
      <c r="B6" s="47" t="s">
        <v>7537</v>
      </c>
      <c r="C6" s="47" t="s">
        <v>11450</v>
      </c>
      <c r="D6" s="48">
        <v>48.0</v>
      </c>
      <c r="E6" s="26" t="s">
        <v>11486</v>
      </c>
      <c r="F6" s="31"/>
      <c r="G6" s="31"/>
    </row>
    <row r="7">
      <c r="A7" s="47" t="s">
        <v>11510</v>
      </c>
      <c r="B7" s="47" t="s">
        <v>6597</v>
      </c>
      <c r="C7" s="47" t="s">
        <v>11450</v>
      </c>
      <c r="D7" s="48">
        <v>48.0</v>
      </c>
      <c r="E7" s="26" t="s">
        <v>11484</v>
      </c>
      <c r="F7" s="31"/>
      <c r="G7" s="31"/>
    </row>
    <row r="8">
      <c r="A8" s="47" t="s">
        <v>11511</v>
      </c>
      <c r="B8" s="47" t="s">
        <v>668</v>
      </c>
      <c r="C8" s="47" t="s">
        <v>667</v>
      </c>
      <c r="D8" s="48">
        <v>48.0</v>
      </c>
      <c r="E8" s="26" t="s">
        <v>11456</v>
      </c>
      <c r="F8" s="31"/>
      <c r="G8" s="47" t="s">
        <v>11512</v>
      </c>
    </row>
    <row r="9">
      <c r="A9" s="47" t="s">
        <v>11513</v>
      </c>
      <c r="B9" s="47" t="s">
        <v>3950</v>
      </c>
      <c r="C9" s="47" t="s">
        <v>667</v>
      </c>
      <c r="D9" s="48">
        <v>48.0</v>
      </c>
      <c r="E9" s="26" t="s">
        <v>11472</v>
      </c>
      <c r="F9" s="31"/>
      <c r="G9" s="47"/>
    </row>
    <row r="10">
      <c r="A10" s="47" t="s">
        <v>11514</v>
      </c>
      <c r="B10" s="47" t="s">
        <v>329</v>
      </c>
      <c r="C10" s="47" t="s">
        <v>313</v>
      </c>
      <c r="D10" s="48">
        <v>48.0</v>
      </c>
      <c r="E10" s="26" t="s">
        <v>11433</v>
      </c>
      <c r="F10" s="31"/>
      <c r="G10" s="47" t="s">
        <v>313</v>
      </c>
    </row>
    <row r="11">
      <c r="A11" s="47" t="s">
        <v>11515</v>
      </c>
      <c r="B11" s="47" t="s">
        <v>314</v>
      </c>
      <c r="C11" s="47" t="s">
        <v>313</v>
      </c>
      <c r="D11" s="48">
        <v>48.0</v>
      </c>
      <c r="E11" s="26" t="s">
        <v>11431</v>
      </c>
      <c r="F11" s="31"/>
      <c r="G11" s="47" t="s">
        <v>215</v>
      </c>
    </row>
    <row r="12">
      <c r="A12" s="47" t="s">
        <v>11516</v>
      </c>
      <c r="B12" s="47" t="s">
        <v>11517</v>
      </c>
      <c r="C12" s="47" t="s">
        <v>313</v>
      </c>
      <c r="D12" s="48">
        <v>48.0</v>
      </c>
      <c r="E12" s="26" t="s">
        <v>11518</v>
      </c>
      <c r="F12" s="31"/>
      <c r="G12" s="47" t="s">
        <v>871</v>
      </c>
    </row>
    <row r="13">
      <c r="A13" s="47" t="s">
        <v>11519</v>
      </c>
      <c r="B13" s="47" t="s">
        <v>4272</v>
      </c>
      <c r="C13" s="47" t="s">
        <v>313</v>
      </c>
      <c r="D13" s="48">
        <v>48.0</v>
      </c>
      <c r="E13" s="26" t="s">
        <v>11474</v>
      </c>
      <c r="F13" s="31"/>
    </row>
    <row r="14">
      <c r="A14" s="47" t="s">
        <v>11520</v>
      </c>
      <c r="B14" s="47" t="s">
        <v>384</v>
      </c>
      <c r="C14" s="47" t="s">
        <v>313</v>
      </c>
      <c r="D14" s="48">
        <v>48.0</v>
      </c>
      <c r="E14" s="26" t="s">
        <v>11439</v>
      </c>
      <c r="F14" s="31"/>
    </row>
    <row r="15">
      <c r="A15" s="47" t="s">
        <v>11521</v>
      </c>
      <c r="B15" s="47" t="s">
        <v>3924</v>
      </c>
      <c r="C15" s="47" t="s">
        <v>313</v>
      </c>
      <c r="D15" s="48">
        <v>48.0</v>
      </c>
      <c r="E15" s="26" t="s">
        <v>11470</v>
      </c>
      <c r="F15" s="31"/>
    </row>
    <row r="16">
      <c r="A16" s="47" t="s">
        <v>11522</v>
      </c>
      <c r="B16" s="47" t="s">
        <v>487</v>
      </c>
      <c r="C16" s="47" t="s">
        <v>205</v>
      </c>
      <c r="D16" s="48">
        <v>48.0</v>
      </c>
      <c r="E16" s="26" t="s">
        <v>11447</v>
      </c>
      <c r="F16" s="31"/>
      <c r="G16" s="31" t="s">
        <v>11523</v>
      </c>
    </row>
    <row r="17">
      <c r="A17" s="47" t="s">
        <v>11524</v>
      </c>
      <c r="B17" s="47" t="s">
        <v>716</v>
      </c>
      <c r="C17" s="47" t="s">
        <v>205</v>
      </c>
      <c r="D17" s="48">
        <v>48.0</v>
      </c>
      <c r="E17" s="26" t="s">
        <v>11458</v>
      </c>
      <c r="F17" s="31"/>
      <c r="G17" s="47" t="s">
        <v>220</v>
      </c>
    </row>
    <row r="18">
      <c r="A18" s="47" t="s">
        <v>11525</v>
      </c>
      <c r="B18" s="47" t="s">
        <v>1471</v>
      </c>
      <c r="C18" s="47" t="s">
        <v>205</v>
      </c>
      <c r="D18" s="48">
        <v>48.0</v>
      </c>
      <c r="E18" s="26" t="s">
        <v>11425</v>
      </c>
      <c r="F18" s="31"/>
      <c r="G18" s="47" t="s">
        <v>204</v>
      </c>
    </row>
    <row r="19">
      <c r="A19" s="47" t="s">
        <v>11526</v>
      </c>
      <c r="B19" s="47" t="s">
        <v>569</v>
      </c>
      <c r="C19" s="47" t="s">
        <v>205</v>
      </c>
      <c r="D19" s="48">
        <v>48.0</v>
      </c>
      <c r="E19" s="26" t="s">
        <v>11454</v>
      </c>
      <c r="F19" s="31"/>
    </row>
    <row r="20">
      <c r="A20" s="47" t="s">
        <v>11527</v>
      </c>
      <c r="B20" s="47" t="s">
        <v>2280</v>
      </c>
      <c r="C20" s="47" t="s">
        <v>205</v>
      </c>
      <c r="D20" s="48">
        <v>48.0</v>
      </c>
      <c r="E20" s="26" t="s">
        <v>11447</v>
      </c>
      <c r="F20" s="31"/>
      <c r="G20" s="31" t="s">
        <v>11528</v>
      </c>
    </row>
    <row r="21">
      <c r="A21" s="47" t="s">
        <v>11529</v>
      </c>
      <c r="B21" s="47" t="s">
        <v>253</v>
      </c>
      <c r="C21" s="47" t="s">
        <v>205</v>
      </c>
      <c r="D21" s="48">
        <v>48.0</v>
      </c>
      <c r="E21" s="26" t="s">
        <v>11425</v>
      </c>
      <c r="F21" s="31"/>
      <c r="G21" s="47" t="s">
        <v>257</v>
      </c>
    </row>
    <row r="22">
      <c r="A22" s="47" t="s">
        <v>11530</v>
      </c>
      <c r="B22" s="47" t="s">
        <v>452</v>
      </c>
      <c r="C22" s="47" t="s">
        <v>205</v>
      </c>
      <c r="D22" s="48">
        <v>48.0</v>
      </c>
      <c r="E22" s="26" t="s">
        <v>11441</v>
      </c>
      <c r="F22" s="31"/>
    </row>
    <row r="23">
      <c r="A23" s="49" t="s">
        <v>11531</v>
      </c>
      <c r="B23" s="49" t="s">
        <v>2335</v>
      </c>
      <c r="C23" s="47" t="s">
        <v>205</v>
      </c>
      <c r="D23" s="48">
        <v>48.0</v>
      </c>
      <c r="E23" s="26" t="s">
        <v>11441</v>
      </c>
      <c r="F23" s="31"/>
    </row>
    <row r="24">
      <c r="A24" s="49" t="s">
        <v>11532</v>
      </c>
      <c r="B24" s="49" t="s">
        <v>9016</v>
      </c>
      <c r="C24" s="47" t="s">
        <v>205</v>
      </c>
      <c r="D24" s="48">
        <v>48.0</v>
      </c>
      <c r="E24" s="31" t="s">
        <v>11492</v>
      </c>
      <c r="F24" s="31"/>
    </row>
    <row r="25">
      <c r="A25" s="47" t="s">
        <v>11533</v>
      </c>
      <c r="B25" s="47" t="s">
        <v>549</v>
      </c>
      <c r="C25" s="47" t="s">
        <v>205</v>
      </c>
      <c r="D25" s="48">
        <v>48.0</v>
      </c>
      <c r="E25" s="26" t="s">
        <v>11452</v>
      </c>
      <c r="F25" s="31"/>
    </row>
    <row r="26">
      <c r="A26" s="47" t="s">
        <v>11534</v>
      </c>
      <c r="B26" s="47" t="s">
        <v>389</v>
      </c>
      <c r="C26" s="47" t="s">
        <v>215</v>
      </c>
      <c r="D26" s="48">
        <v>48.0</v>
      </c>
      <c r="E26" s="26" t="s">
        <v>11422</v>
      </c>
      <c r="F26" s="31"/>
    </row>
    <row r="27">
      <c r="A27" s="47" t="s">
        <v>11535</v>
      </c>
      <c r="B27" s="47" t="s">
        <v>355</v>
      </c>
      <c r="C27" s="47" t="s">
        <v>215</v>
      </c>
      <c r="D27" s="48">
        <v>48.0</v>
      </c>
      <c r="E27" s="26" t="s">
        <v>11435</v>
      </c>
      <c r="F27" s="31"/>
    </row>
    <row r="28">
      <c r="A28" s="47" t="s">
        <v>11470</v>
      </c>
      <c r="B28" s="47" t="s">
        <v>532</v>
      </c>
      <c r="C28" s="47" t="s">
        <v>215</v>
      </c>
      <c r="D28" s="48">
        <v>48.0</v>
      </c>
      <c r="E28" s="26" t="s">
        <v>11435</v>
      </c>
      <c r="F28" s="31"/>
    </row>
    <row r="29">
      <c r="A29" s="47" t="s">
        <v>11536</v>
      </c>
      <c r="B29" s="47" t="s">
        <v>216</v>
      </c>
      <c r="C29" s="47" t="s">
        <v>215</v>
      </c>
      <c r="D29" s="48">
        <v>48.0</v>
      </c>
      <c r="E29" s="26" t="s">
        <v>11422</v>
      </c>
      <c r="F29" s="31"/>
    </row>
    <row r="30">
      <c r="A30" s="47" t="s">
        <v>11537</v>
      </c>
      <c r="B30" s="47" t="s">
        <v>913</v>
      </c>
      <c r="C30" s="47" t="s">
        <v>220</v>
      </c>
      <c r="D30" s="48">
        <v>48.0</v>
      </c>
      <c r="E30" s="26" t="s">
        <v>11443</v>
      </c>
      <c r="F30" s="31"/>
    </row>
    <row r="31">
      <c r="A31" s="47" t="s">
        <v>11538</v>
      </c>
      <c r="B31" s="47" t="s">
        <v>536</v>
      </c>
      <c r="C31" s="47" t="s">
        <v>220</v>
      </c>
      <c r="D31" s="48">
        <v>48.0</v>
      </c>
      <c r="E31" s="26" t="s">
        <v>11443</v>
      </c>
      <c r="F31" s="31"/>
    </row>
    <row r="32">
      <c r="A32" s="47" t="s">
        <v>11539</v>
      </c>
      <c r="B32" s="47" t="s">
        <v>36</v>
      </c>
      <c r="C32" s="47" t="s">
        <v>220</v>
      </c>
      <c r="D32" s="48">
        <v>48.0</v>
      </c>
      <c r="E32" s="26" t="s">
        <v>11397</v>
      </c>
      <c r="F32" s="31"/>
    </row>
    <row r="33">
      <c r="A33" s="47" t="s">
        <v>11540</v>
      </c>
      <c r="B33" s="47" t="s">
        <v>124</v>
      </c>
      <c r="C33" s="47" t="s">
        <v>220</v>
      </c>
      <c r="D33" s="48">
        <v>48.0</v>
      </c>
      <c r="E33" s="26" t="s">
        <v>11411</v>
      </c>
      <c r="F33" s="31"/>
    </row>
    <row r="34">
      <c r="A34" s="47" t="s">
        <v>11541</v>
      </c>
      <c r="B34" s="47" t="s">
        <v>59</v>
      </c>
      <c r="C34" s="47" t="s">
        <v>220</v>
      </c>
      <c r="D34" s="48">
        <v>48.0</v>
      </c>
      <c r="E34" s="26" t="s">
        <v>11397</v>
      </c>
      <c r="F34" s="31"/>
    </row>
    <row r="35">
      <c r="A35" s="47" t="s">
        <v>11407</v>
      </c>
      <c r="B35" s="47" t="s">
        <v>1406</v>
      </c>
      <c r="C35" s="47" t="s">
        <v>220</v>
      </c>
      <c r="D35" s="48">
        <v>48.0</v>
      </c>
      <c r="E35" s="26" t="s">
        <v>11411</v>
      </c>
      <c r="F35" s="31"/>
    </row>
    <row r="36">
      <c r="A36" s="47" t="s">
        <v>11478</v>
      </c>
      <c r="B36" s="47" t="s">
        <v>466</v>
      </c>
      <c r="C36" s="47" t="s">
        <v>220</v>
      </c>
      <c r="D36" s="48">
        <v>48.0</v>
      </c>
      <c r="E36" s="26" t="s">
        <v>11443</v>
      </c>
      <c r="F36" s="31"/>
    </row>
    <row r="37">
      <c r="A37" s="47" t="s">
        <v>11542</v>
      </c>
      <c r="B37" s="47" t="s">
        <v>896</v>
      </c>
      <c r="C37" s="47" t="s">
        <v>220</v>
      </c>
      <c r="D37" s="48">
        <v>48.0</v>
      </c>
      <c r="E37" s="26" t="s">
        <v>11397</v>
      </c>
      <c r="F37" s="31"/>
    </row>
    <row r="38">
      <c r="A38" s="47" t="s">
        <v>11543</v>
      </c>
      <c r="B38" s="47" t="s">
        <v>83</v>
      </c>
      <c r="C38" s="47" t="s">
        <v>220</v>
      </c>
      <c r="D38" s="48">
        <v>48.0</v>
      </c>
      <c r="E38" s="26" t="s">
        <v>11405</v>
      </c>
      <c r="F38" s="31"/>
    </row>
    <row r="39">
      <c r="A39" s="47" t="s">
        <v>11544</v>
      </c>
      <c r="B39" s="47" t="s">
        <v>5512</v>
      </c>
      <c r="C39" s="47" t="s">
        <v>220</v>
      </c>
      <c r="D39" s="48">
        <v>48.0</v>
      </c>
      <c r="E39" s="26" t="s">
        <v>11478</v>
      </c>
      <c r="F39" s="31"/>
    </row>
    <row r="40">
      <c r="A40" s="47" t="s">
        <v>11545</v>
      </c>
      <c r="B40" s="47" t="s">
        <v>5697</v>
      </c>
      <c r="C40" s="47" t="s">
        <v>220</v>
      </c>
      <c r="D40" s="48">
        <v>48.0</v>
      </c>
      <c r="E40" s="26" t="s">
        <v>11482</v>
      </c>
      <c r="F40" s="31"/>
    </row>
    <row r="41">
      <c r="A41" s="47" t="s">
        <v>11546</v>
      </c>
      <c r="B41" s="47" t="s">
        <v>5670</v>
      </c>
      <c r="C41" s="47" t="s">
        <v>220</v>
      </c>
      <c r="D41" s="48">
        <v>48.0</v>
      </c>
      <c r="E41" s="26" t="s">
        <v>11480</v>
      </c>
      <c r="F41" s="31"/>
    </row>
    <row r="42">
      <c r="A42" s="47" t="s">
        <v>11547</v>
      </c>
      <c r="B42" s="47" t="s">
        <v>90</v>
      </c>
      <c r="C42" s="47" t="s">
        <v>220</v>
      </c>
      <c r="D42" s="48">
        <v>48.0</v>
      </c>
      <c r="E42" s="26" t="s">
        <v>11407</v>
      </c>
      <c r="F42" s="31"/>
    </row>
    <row r="43">
      <c r="A43" s="47" t="s">
        <v>11548</v>
      </c>
      <c r="B43" s="47" t="s">
        <v>8401</v>
      </c>
      <c r="C43" s="47" t="s">
        <v>220</v>
      </c>
      <c r="D43" s="48">
        <v>48.0</v>
      </c>
      <c r="E43" s="26" t="s">
        <v>11490</v>
      </c>
      <c r="F43" s="31"/>
    </row>
    <row r="44">
      <c r="A44" s="47" t="s">
        <v>11549</v>
      </c>
      <c r="B44" s="47" t="s">
        <v>98</v>
      </c>
      <c r="C44" s="47" t="s">
        <v>204</v>
      </c>
      <c r="D44" s="48">
        <v>48.0</v>
      </c>
      <c r="E44" s="26" t="s">
        <v>11409</v>
      </c>
      <c r="F44" s="31"/>
    </row>
    <row r="45">
      <c r="A45" s="47" t="s">
        <v>11550</v>
      </c>
      <c r="B45" s="47" t="s">
        <v>192</v>
      </c>
      <c r="C45" s="47" t="s">
        <v>204</v>
      </c>
      <c r="D45" s="48">
        <v>48.0</v>
      </c>
      <c r="E45" s="26" t="s">
        <v>11415</v>
      </c>
      <c r="F45" s="31"/>
    </row>
    <row r="46">
      <c r="A46" s="47" t="s">
        <v>11551</v>
      </c>
      <c r="B46" s="47" t="s">
        <v>471</v>
      </c>
      <c r="C46" s="47" t="s">
        <v>204</v>
      </c>
      <c r="D46" s="48">
        <v>48.0</v>
      </c>
      <c r="E46" s="26" t="s">
        <v>11445</v>
      </c>
      <c r="F46" s="31"/>
    </row>
    <row r="47">
      <c r="A47" s="47" t="s">
        <v>11552</v>
      </c>
      <c r="B47" s="47" t="s">
        <v>207</v>
      </c>
      <c r="C47" s="47" t="s">
        <v>204</v>
      </c>
      <c r="D47" s="48">
        <v>48.0</v>
      </c>
      <c r="E47" s="26" t="s">
        <v>11420</v>
      </c>
      <c r="F47" s="31"/>
    </row>
    <row r="48">
      <c r="A48" s="47" t="s">
        <v>11553</v>
      </c>
      <c r="B48" s="47" t="s">
        <v>892</v>
      </c>
      <c r="C48" s="47" t="s">
        <v>204</v>
      </c>
      <c r="D48" s="48">
        <v>48.0</v>
      </c>
      <c r="E48" s="26" t="s">
        <v>11413</v>
      </c>
      <c r="F48" s="31"/>
    </row>
    <row r="49">
      <c r="A49" s="47" t="s">
        <v>11554</v>
      </c>
      <c r="B49" s="47" t="s">
        <v>53</v>
      </c>
      <c r="C49" s="47" t="s">
        <v>204</v>
      </c>
      <c r="D49" s="48">
        <v>48.0</v>
      </c>
      <c r="E49" s="26" t="s">
        <v>11402</v>
      </c>
      <c r="F49" s="31"/>
    </row>
    <row r="50">
      <c r="A50" s="47" t="s">
        <v>11555</v>
      </c>
      <c r="B50" s="47" t="s">
        <v>360</v>
      </c>
      <c r="C50" s="47" t="s">
        <v>204</v>
      </c>
      <c r="D50" s="48">
        <v>48.0</v>
      </c>
      <c r="E50" s="26" t="s">
        <v>11437</v>
      </c>
      <c r="F50" s="31"/>
    </row>
    <row r="51">
      <c r="A51" s="47" t="s">
        <v>11556</v>
      </c>
      <c r="B51" s="47" t="s">
        <v>167</v>
      </c>
      <c r="C51" s="47" t="s">
        <v>204</v>
      </c>
      <c r="D51" s="48">
        <v>48.0</v>
      </c>
      <c r="E51" s="26" t="s">
        <v>11413</v>
      </c>
      <c r="F51" s="31"/>
    </row>
    <row r="52">
      <c r="A52" s="47" t="s">
        <v>11557</v>
      </c>
      <c r="B52" s="47" t="s">
        <v>171</v>
      </c>
      <c r="C52" s="47" t="s">
        <v>204</v>
      </c>
      <c r="D52" s="48">
        <v>48.0</v>
      </c>
      <c r="E52" s="26" t="s">
        <v>11413</v>
      </c>
      <c r="F52" s="31"/>
    </row>
    <row r="53">
      <c r="A53" s="47" t="s">
        <v>11558</v>
      </c>
      <c r="B53" s="47" t="s">
        <v>5256</v>
      </c>
      <c r="C53" s="47" t="s">
        <v>204</v>
      </c>
      <c r="D53" s="48">
        <v>48.0</v>
      </c>
      <c r="E53" s="26" t="s">
        <v>11476</v>
      </c>
      <c r="F53" s="31"/>
    </row>
    <row r="54">
      <c r="A54" s="47" t="s">
        <v>11559</v>
      </c>
      <c r="B54" s="47" t="s">
        <v>148</v>
      </c>
      <c r="C54" s="47" t="s">
        <v>204</v>
      </c>
      <c r="D54" s="48">
        <v>48.0</v>
      </c>
      <c r="E54" s="26" t="s">
        <v>11409</v>
      </c>
      <c r="F54" s="31"/>
    </row>
    <row r="55">
      <c r="A55" s="47" t="s">
        <v>11560</v>
      </c>
      <c r="B55" s="40" t="s">
        <v>5606</v>
      </c>
      <c r="C55" s="47" t="s">
        <v>204</v>
      </c>
      <c r="D55" s="48">
        <v>48.0</v>
      </c>
      <c r="E55" s="26" t="s">
        <v>11400</v>
      </c>
      <c r="F55" s="31"/>
    </row>
    <row r="56">
      <c r="A56" s="47" t="s">
        <v>11561</v>
      </c>
      <c r="B56" s="31" t="s">
        <v>8206</v>
      </c>
      <c r="C56" s="47" t="s">
        <v>204</v>
      </c>
      <c r="D56" s="48">
        <v>48.0</v>
      </c>
      <c r="E56" s="26" t="s">
        <v>11488</v>
      </c>
      <c r="F56" s="31"/>
    </row>
    <row r="57">
      <c r="A57" s="47" t="s">
        <v>11562</v>
      </c>
      <c r="B57" s="47" t="s">
        <v>47</v>
      </c>
      <c r="C57" s="47" t="s">
        <v>204</v>
      </c>
      <c r="D57" s="48">
        <v>48.0</v>
      </c>
      <c r="E57" s="26" t="s">
        <v>11400</v>
      </c>
      <c r="F57" s="31"/>
    </row>
    <row r="58">
      <c r="A58" s="47" t="s">
        <v>11563</v>
      </c>
      <c r="B58" s="47" t="s">
        <v>11564</v>
      </c>
      <c r="C58" s="47" t="s">
        <v>871</v>
      </c>
      <c r="D58" s="48">
        <v>48.0</v>
      </c>
      <c r="E58" s="26" t="s">
        <v>11565</v>
      </c>
      <c r="F58" s="31"/>
    </row>
    <row r="59">
      <c r="A59" s="47" t="s">
        <v>11566</v>
      </c>
      <c r="B59" s="47" t="s">
        <v>1021</v>
      </c>
      <c r="C59" s="47" t="s">
        <v>871</v>
      </c>
      <c r="D59" s="48">
        <v>48.0</v>
      </c>
      <c r="E59" s="26" t="s">
        <v>11460</v>
      </c>
      <c r="F59" s="31"/>
    </row>
    <row r="60">
      <c r="A60" s="47" t="s">
        <v>11567</v>
      </c>
      <c r="B60" s="47" t="s">
        <v>872</v>
      </c>
      <c r="C60" s="47" t="s">
        <v>871</v>
      </c>
      <c r="D60" s="48">
        <v>48.0</v>
      </c>
      <c r="E60" s="26" t="s">
        <v>11460</v>
      </c>
      <c r="F60" s="31"/>
    </row>
    <row r="61">
      <c r="A61" s="47" t="s">
        <v>11568</v>
      </c>
      <c r="B61" s="47" t="s">
        <v>7424</v>
      </c>
      <c r="C61" s="47" t="s">
        <v>871</v>
      </c>
      <c r="D61" s="48">
        <v>48.0</v>
      </c>
      <c r="E61" s="26" t="s">
        <v>11460</v>
      </c>
      <c r="F61" s="31"/>
    </row>
    <row r="62">
      <c r="A62" s="47" t="s">
        <v>11569</v>
      </c>
      <c r="B62" s="47" t="s">
        <v>11570</v>
      </c>
      <c r="C62" s="47" t="s">
        <v>871</v>
      </c>
      <c r="D62" s="48">
        <v>48.0</v>
      </c>
      <c r="E62" s="26" t="s">
        <v>11571</v>
      </c>
      <c r="F62" s="31"/>
    </row>
    <row r="63">
      <c r="A63" s="47" t="s">
        <v>11572</v>
      </c>
      <c r="B63" s="47" t="s">
        <v>992</v>
      </c>
      <c r="C63" s="47" t="s">
        <v>257</v>
      </c>
      <c r="D63" s="48">
        <v>48.0</v>
      </c>
      <c r="E63" s="26" t="s">
        <v>11462</v>
      </c>
      <c r="F63" s="31"/>
    </row>
    <row r="64">
      <c r="A64" s="47" t="s">
        <v>11573</v>
      </c>
      <c r="B64" s="47" t="s">
        <v>285</v>
      </c>
      <c r="C64" s="47" t="s">
        <v>257</v>
      </c>
      <c r="D64" s="48">
        <v>48.0</v>
      </c>
      <c r="E64" s="26" t="s">
        <v>11417</v>
      </c>
      <c r="F64" s="31"/>
    </row>
    <row r="65">
      <c r="A65" s="47" t="s">
        <v>11574</v>
      </c>
      <c r="B65" s="47" t="s">
        <v>11575</v>
      </c>
      <c r="C65" s="47" t="s">
        <v>257</v>
      </c>
      <c r="D65" s="48">
        <v>48.0</v>
      </c>
      <c r="E65" s="26" t="s">
        <v>11576</v>
      </c>
      <c r="F65" s="31"/>
    </row>
    <row r="66">
      <c r="A66" s="47" t="s">
        <v>11577</v>
      </c>
      <c r="B66" s="47" t="s">
        <v>206</v>
      </c>
      <c r="C66" s="47" t="s">
        <v>257</v>
      </c>
      <c r="D66" s="48">
        <v>48.0</v>
      </c>
      <c r="E66" s="26" t="s">
        <v>11417</v>
      </c>
      <c r="F66" s="31"/>
    </row>
    <row r="67">
      <c r="A67" s="47" t="s">
        <v>11578</v>
      </c>
      <c r="B67" s="47" t="s">
        <v>3194</v>
      </c>
      <c r="C67" s="47" t="s">
        <v>257</v>
      </c>
      <c r="D67" s="48">
        <v>48.0</v>
      </c>
      <c r="E67" s="26" t="s">
        <v>11468</v>
      </c>
      <c r="F67" s="31"/>
    </row>
    <row r="68">
      <c r="A68" s="47" t="s">
        <v>11579</v>
      </c>
      <c r="B68" s="47" t="s">
        <v>2453</v>
      </c>
      <c r="C68" s="47" t="s">
        <v>257</v>
      </c>
      <c r="D68" s="48">
        <v>48.0</v>
      </c>
      <c r="E68" s="26" t="s">
        <v>11466</v>
      </c>
      <c r="F68" s="31"/>
    </row>
    <row r="69">
      <c r="A69" s="47" t="s">
        <v>11502</v>
      </c>
      <c r="B69" s="47" t="s">
        <v>2320</v>
      </c>
      <c r="C69" s="47" t="s">
        <v>257</v>
      </c>
      <c r="D69" s="48">
        <v>48.0</v>
      </c>
      <c r="E69" s="26" t="s">
        <v>11464</v>
      </c>
      <c r="F69" s="31"/>
    </row>
    <row r="70">
      <c r="A70" s="47" t="s">
        <v>11580</v>
      </c>
      <c r="B70" s="47" t="s">
        <v>11581</v>
      </c>
      <c r="C70" s="47" t="s">
        <v>257</v>
      </c>
      <c r="D70" s="48">
        <v>48.0</v>
      </c>
      <c r="E70" s="26" t="s">
        <v>11522</v>
      </c>
      <c r="F70" s="31"/>
    </row>
    <row r="71">
      <c r="A71" s="47" t="s">
        <v>11582</v>
      </c>
      <c r="B71" s="47" t="s">
        <v>1555</v>
      </c>
      <c r="C71" s="47" t="s">
        <v>257</v>
      </c>
      <c r="D71" s="48">
        <v>48.0</v>
      </c>
      <c r="E71" s="26" t="s">
        <v>11427</v>
      </c>
      <c r="F71" s="31"/>
    </row>
    <row r="72">
      <c r="A72" s="47" t="s">
        <v>11583</v>
      </c>
      <c r="B72" s="47" t="s">
        <v>272</v>
      </c>
      <c r="C72" s="47" t="s">
        <v>257</v>
      </c>
      <c r="D72" s="48">
        <v>48.0</v>
      </c>
      <c r="E72" s="26" t="s">
        <v>11429</v>
      </c>
      <c r="F72" s="31"/>
    </row>
    <row r="73">
      <c r="A73" s="47" t="s">
        <v>11584</v>
      </c>
      <c r="B73" s="47" t="s">
        <v>258</v>
      </c>
      <c r="C73" s="47" t="s">
        <v>257</v>
      </c>
      <c r="D73" s="48">
        <v>48.0</v>
      </c>
      <c r="E73" s="26" t="s">
        <v>11427</v>
      </c>
      <c r="F73" s="31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4.88"/>
    <col customWidth="1" min="3" max="3" width="18.5"/>
  </cols>
  <sheetData>
    <row r="1">
      <c r="A1" s="50" t="s">
        <v>11585</v>
      </c>
      <c r="B1" s="50" t="s">
        <v>11586</v>
      </c>
      <c r="C1" s="50" t="s">
        <v>11</v>
      </c>
      <c r="D1" s="41" t="s">
        <v>11587</v>
      </c>
    </row>
    <row r="2">
      <c r="A2" s="26" t="s">
        <v>11522</v>
      </c>
      <c r="B2" s="26" t="s">
        <v>11588</v>
      </c>
      <c r="C2" s="47" t="s">
        <v>11589</v>
      </c>
      <c r="D2" s="26" t="s">
        <v>11419</v>
      </c>
    </row>
    <row r="3">
      <c r="A3" s="26" t="s">
        <v>11435</v>
      </c>
      <c r="B3" s="26" t="s">
        <v>11436</v>
      </c>
      <c r="C3" s="47" t="s">
        <v>11590</v>
      </c>
      <c r="D3" s="26" t="s">
        <v>11424</v>
      </c>
    </row>
    <row r="4">
      <c r="A4" s="26" t="s">
        <v>11464</v>
      </c>
      <c r="B4" s="26" t="s">
        <v>11465</v>
      </c>
      <c r="C4" s="47" t="s">
        <v>11589</v>
      </c>
      <c r="D4" s="26" t="s">
        <v>11419</v>
      </c>
    </row>
    <row r="5">
      <c r="A5" s="26" t="s">
        <v>11443</v>
      </c>
      <c r="B5" s="26" t="s">
        <v>11444</v>
      </c>
      <c r="C5" s="47" t="s">
        <v>11590</v>
      </c>
      <c r="D5" s="26" t="s">
        <v>11399</v>
      </c>
    </row>
    <row r="6">
      <c r="A6" s="26" t="s">
        <v>11505</v>
      </c>
      <c r="B6" s="26" t="s">
        <v>11591</v>
      </c>
      <c r="C6" s="47" t="s">
        <v>11590</v>
      </c>
      <c r="D6" s="26" t="s">
        <v>11424</v>
      </c>
    </row>
    <row r="7">
      <c r="A7" s="26" t="s">
        <v>11571</v>
      </c>
      <c r="B7" s="26" t="s">
        <v>11592</v>
      </c>
      <c r="C7" s="47" t="s">
        <v>11590</v>
      </c>
      <c r="D7" s="26" t="s">
        <v>11424</v>
      </c>
    </row>
    <row r="8">
      <c r="A8" s="26" t="s">
        <v>11593</v>
      </c>
      <c r="B8" s="26" t="s">
        <v>11594</v>
      </c>
      <c r="C8" s="47" t="s">
        <v>11589</v>
      </c>
      <c r="D8" s="26" t="s">
        <v>11419</v>
      </c>
    </row>
    <row r="9">
      <c r="A9" s="26" t="s">
        <v>11447</v>
      </c>
      <c r="B9" s="26" t="s">
        <v>11448</v>
      </c>
      <c r="C9" s="47" t="s">
        <v>11589</v>
      </c>
      <c r="D9" s="26" t="s">
        <v>11419</v>
      </c>
    </row>
    <row r="10">
      <c r="A10" s="26" t="s">
        <v>11427</v>
      </c>
      <c r="B10" s="26" t="s">
        <v>11428</v>
      </c>
      <c r="C10" s="47" t="s">
        <v>11589</v>
      </c>
      <c r="D10" s="26" t="s">
        <v>11419</v>
      </c>
    </row>
    <row r="11">
      <c r="A11" s="26" t="s">
        <v>11454</v>
      </c>
      <c r="B11" s="26" t="s">
        <v>11455</v>
      </c>
      <c r="C11" s="47" t="s">
        <v>11589</v>
      </c>
      <c r="D11" s="26" t="s">
        <v>11419</v>
      </c>
    </row>
    <row r="12">
      <c r="A12" s="26" t="s">
        <v>11595</v>
      </c>
      <c r="B12" s="26" t="s">
        <v>11596</v>
      </c>
      <c r="C12" s="47" t="s">
        <v>11589</v>
      </c>
      <c r="D12" s="26" t="s">
        <v>11419</v>
      </c>
    </row>
    <row r="13">
      <c r="A13" s="26" t="s">
        <v>11431</v>
      </c>
      <c r="B13" s="26" t="s">
        <v>11432</v>
      </c>
      <c r="C13" s="47" t="s">
        <v>11590</v>
      </c>
      <c r="D13" s="26" t="s">
        <v>11424</v>
      </c>
    </row>
    <row r="14">
      <c r="A14" s="26" t="s">
        <v>11518</v>
      </c>
      <c r="B14" s="26" t="s">
        <v>11597</v>
      </c>
      <c r="C14" s="47" t="s">
        <v>11590</v>
      </c>
      <c r="D14" s="26" t="s">
        <v>11424</v>
      </c>
    </row>
    <row r="15">
      <c r="A15" s="26" t="s">
        <v>11429</v>
      </c>
      <c r="B15" s="26" t="s">
        <v>11430</v>
      </c>
      <c r="C15" s="47" t="s">
        <v>11589</v>
      </c>
      <c r="D15" s="26" t="s">
        <v>11419</v>
      </c>
    </row>
    <row r="16">
      <c r="A16" s="26" t="s">
        <v>11417</v>
      </c>
      <c r="B16" s="26" t="s">
        <v>11418</v>
      </c>
      <c r="C16" s="47" t="s">
        <v>11589</v>
      </c>
      <c r="D16" s="26" t="s">
        <v>11419</v>
      </c>
    </row>
    <row r="17">
      <c r="A17" s="26" t="s">
        <v>11405</v>
      </c>
      <c r="B17" s="26" t="s">
        <v>11406</v>
      </c>
      <c r="C17" s="47" t="s">
        <v>11590</v>
      </c>
      <c r="D17" s="26" t="s">
        <v>11399</v>
      </c>
    </row>
    <row r="18">
      <c r="A18" s="26" t="s">
        <v>11397</v>
      </c>
      <c r="B18" s="26" t="s">
        <v>11398</v>
      </c>
      <c r="C18" s="47" t="s">
        <v>11590</v>
      </c>
      <c r="D18" s="26" t="s">
        <v>11399</v>
      </c>
    </row>
    <row r="19">
      <c r="A19" s="26" t="s">
        <v>11433</v>
      </c>
      <c r="B19" s="26" t="s">
        <v>11434</v>
      </c>
      <c r="C19" s="47" t="s">
        <v>11590</v>
      </c>
      <c r="D19" s="26" t="s">
        <v>11424</v>
      </c>
    </row>
    <row r="20">
      <c r="A20" s="26" t="s">
        <v>11502</v>
      </c>
      <c r="B20" s="26" t="s">
        <v>11598</v>
      </c>
      <c r="C20" s="47" t="s">
        <v>11590</v>
      </c>
      <c r="D20" s="26" t="s">
        <v>11424</v>
      </c>
    </row>
    <row r="21">
      <c r="A21" s="26" t="s">
        <v>11407</v>
      </c>
      <c r="B21" s="26" t="s">
        <v>11408</v>
      </c>
      <c r="C21" s="47" t="s">
        <v>11590</v>
      </c>
      <c r="D21" s="26" t="s">
        <v>11399</v>
      </c>
    </row>
    <row r="22">
      <c r="A22" s="26" t="s">
        <v>11462</v>
      </c>
      <c r="B22" s="26" t="s">
        <v>11463</v>
      </c>
      <c r="C22" s="47" t="s">
        <v>11589</v>
      </c>
      <c r="D22" s="26" t="s">
        <v>11419</v>
      </c>
    </row>
    <row r="23">
      <c r="A23" s="40" t="s">
        <v>11460</v>
      </c>
      <c r="B23" s="26" t="s">
        <v>11461</v>
      </c>
      <c r="C23" s="47" t="s">
        <v>11590</v>
      </c>
      <c r="D23" s="26" t="s">
        <v>11424</v>
      </c>
    </row>
    <row r="24">
      <c r="A24" s="26" t="s">
        <v>11411</v>
      </c>
      <c r="B24" s="26" t="s">
        <v>11412</v>
      </c>
      <c r="C24" s="47" t="s">
        <v>11590</v>
      </c>
      <c r="D24" s="26" t="s">
        <v>11399</v>
      </c>
    </row>
    <row r="25">
      <c r="A25" s="26" t="s">
        <v>11486</v>
      </c>
      <c r="B25" s="26" t="s">
        <v>11487</v>
      </c>
      <c r="C25" s="47" t="s">
        <v>11590</v>
      </c>
      <c r="D25" s="26" t="s">
        <v>11424</v>
      </c>
    </row>
    <row r="26">
      <c r="A26" s="26" t="s">
        <v>11439</v>
      </c>
      <c r="B26" s="26" t="s">
        <v>11440</v>
      </c>
      <c r="C26" s="47" t="s">
        <v>11590</v>
      </c>
      <c r="D26" s="26" t="s">
        <v>11424</v>
      </c>
    </row>
    <row r="27">
      <c r="A27" s="26" t="s">
        <v>11422</v>
      </c>
      <c r="B27" s="26" t="s">
        <v>11423</v>
      </c>
      <c r="C27" s="47" t="s">
        <v>11590</v>
      </c>
      <c r="D27" s="26" t="s">
        <v>11424</v>
      </c>
    </row>
    <row r="28">
      <c r="A28" s="26" t="s">
        <v>11425</v>
      </c>
      <c r="B28" s="26" t="s">
        <v>11426</v>
      </c>
      <c r="C28" s="47" t="s">
        <v>11589</v>
      </c>
      <c r="D28" s="26" t="s">
        <v>11419</v>
      </c>
    </row>
    <row r="29">
      <c r="A29" s="26" t="s">
        <v>11576</v>
      </c>
      <c r="B29" s="26" t="s">
        <v>11599</v>
      </c>
      <c r="C29" s="47" t="s">
        <v>11589</v>
      </c>
      <c r="D29" s="26" t="s">
        <v>11419</v>
      </c>
    </row>
    <row r="30">
      <c r="A30" s="26" t="s">
        <v>11458</v>
      </c>
      <c r="B30" s="26" t="s">
        <v>11459</v>
      </c>
      <c r="C30" s="47" t="s">
        <v>11589</v>
      </c>
      <c r="D30" s="26" t="s">
        <v>11419</v>
      </c>
    </row>
    <row r="31">
      <c r="A31" s="26" t="s">
        <v>11468</v>
      </c>
      <c r="B31" s="26" t="s">
        <v>11469</v>
      </c>
      <c r="C31" s="47" t="s">
        <v>11589</v>
      </c>
      <c r="D31" s="26" t="s">
        <v>11419</v>
      </c>
    </row>
    <row r="32">
      <c r="A32" s="26" t="s">
        <v>11466</v>
      </c>
      <c r="B32" s="26" t="s">
        <v>11467</v>
      </c>
      <c r="C32" s="47" t="s">
        <v>11589</v>
      </c>
      <c r="D32" s="26" t="s">
        <v>11419</v>
      </c>
    </row>
    <row r="33">
      <c r="A33" s="26" t="s">
        <v>11565</v>
      </c>
      <c r="B33" s="26" t="s">
        <v>11600</v>
      </c>
      <c r="C33" s="47" t="s">
        <v>11590</v>
      </c>
      <c r="D33" s="26" t="s">
        <v>11424</v>
      </c>
    </row>
    <row r="34">
      <c r="A34" s="26" t="s">
        <v>11488</v>
      </c>
      <c r="B34" s="26" t="s">
        <v>11489</v>
      </c>
      <c r="C34" s="47" t="s">
        <v>11590</v>
      </c>
      <c r="D34" s="26" t="s">
        <v>11399</v>
      </c>
    </row>
    <row r="35">
      <c r="A35" s="26" t="s">
        <v>11413</v>
      </c>
      <c r="B35" s="26" t="s">
        <v>11414</v>
      </c>
      <c r="C35" s="47" t="s">
        <v>11590</v>
      </c>
      <c r="D35" s="26" t="s">
        <v>11399</v>
      </c>
    </row>
    <row r="36">
      <c r="A36" s="26" t="s">
        <v>11402</v>
      </c>
      <c r="B36" s="26" t="s">
        <v>11403</v>
      </c>
      <c r="C36" s="47" t="s">
        <v>11590</v>
      </c>
      <c r="D36" s="26" t="s">
        <v>11399</v>
      </c>
    </row>
    <row r="37">
      <c r="A37" s="26" t="s">
        <v>11420</v>
      </c>
      <c r="B37" s="26" t="s">
        <v>11421</v>
      </c>
      <c r="C37" s="47" t="s">
        <v>11590</v>
      </c>
      <c r="D37" s="26" t="s">
        <v>11399</v>
      </c>
    </row>
    <row r="38">
      <c r="A38" s="26" t="s">
        <v>11409</v>
      </c>
      <c r="B38" s="26" t="s">
        <v>11410</v>
      </c>
      <c r="C38" s="47" t="s">
        <v>11590</v>
      </c>
      <c r="D38" s="26" t="s">
        <v>11399</v>
      </c>
    </row>
    <row r="39">
      <c r="A39" s="26" t="s">
        <v>11400</v>
      </c>
      <c r="B39" s="26" t="s">
        <v>11401</v>
      </c>
      <c r="C39" s="47" t="s">
        <v>11590</v>
      </c>
      <c r="D39" s="26" t="s">
        <v>11399</v>
      </c>
    </row>
    <row r="40">
      <c r="A40" s="26" t="s">
        <v>11476</v>
      </c>
      <c r="B40" s="26" t="s">
        <v>11477</v>
      </c>
      <c r="C40" s="47" t="s">
        <v>11590</v>
      </c>
      <c r="D40" s="26" t="s">
        <v>11399</v>
      </c>
    </row>
    <row r="41">
      <c r="A41" s="26" t="s">
        <v>11456</v>
      </c>
      <c r="B41" s="26" t="s">
        <v>11457</v>
      </c>
      <c r="C41" s="47" t="s">
        <v>11590</v>
      </c>
      <c r="D41" s="26" t="s">
        <v>11424</v>
      </c>
    </row>
    <row r="42">
      <c r="A42" s="26" t="s">
        <v>11441</v>
      </c>
      <c r="B42" s="26" t="s">
        <v>11442</v>
      </c>
      <c r="C42" s="47" t="s">
        <v>11589</v>
      </c>
      <c r="D42" s="26" t="s">
        <v>11419</v>
      </c>
    </row>
    <row r="43">
      <c r="A43" s="26" t="s">
        <v>11415</v>
      </c>
      <c r="B43" s="26" t="s">
        <v>11416</v>
      </c>
      <c r="C43" s="47" t="s">
        <v>11590</v>
      </c>
      <c r="D43" s="26" t="s">
        <v>11399</v>
      </c>
    </row>
    <row r="44">
      <c r="A44" s="26" t="s">
        <v>11445</v>
      </c>
      <c r="B44" s="26" t="s">
        <v>11446</v>
      </c>
      <c r="C44" s="47" t="s">
        <v>11590</v>
      </c>
      <c r="D44" s="26" t="s">
        <v>11399</v>
      </c>
    </row>
    <row r="45">
      <c r="A45" s="26" t="s">
        <v>11437</v>
      </c>
      <c r="B45" s="26" t="s">
        <v>11438</v>
      </c>
      <c r="C45" s="47" t="s">
        <v>11590</v>
      </c>
      <c r="D45" s="26" t="s">
        <v>11399</v>
      </c>
    </row>
    <row r="46">
      <c r="A46" s="26" t="s">
        <v>11474</v>
      </c>
      <c r="B46" s="26" t="s">
        <v>11475</v>
      </c>
      <c r="C46" s="47" t="s">
        <v>11590</v>
      </c>
      <c r="D46" s="26" t="s">
        <v>11424</v>
      </c>
    </row>
    <row r="47">
      <c r="A47" s="26" t="s">
        <v>11452</v>
      </c>
      <c r="B47" s="26" t="s">
        <v>11453</v>
      </c>
      <c r="C47" s="47" t="s">
        <v>11589</v>
      </c>
      <c r="D47" s="26" t="s">
        <v>11419</v>
      </c>
    </row>
    <row r="48">
      <c r="A48" s="26" t="s">
        <v>11449</v>
      </c>
      <c r="B48" s="26" t="s">
        <v>11451</v>
      </c>
      <c r="C48" s="47" t="s">
        <v>11590</v>
      </c>
      <c r="D48" s="26" t="s">
        <v>11424</v>
      </c>
    </row>
    <row r="49">
      <c r="A49" s="26" t="s">
        <v>11478</v>
      </c>
      <c r="B49" s="26" t="s">
        <v>11479</v>
      </c>
      <c r="C49" s="47" t="s">
        <v>11590</v>
      </c>
      <c r="D49" s="26" t="s">
        <v>11399</v>
      </c>
    </row>
    <row r="50">
      <c r="A50" s="31" t="s">
        <v>11472</v>
      </c>
      <c r="B50" s="31" t="s">
        <v>11473</v>
      </c>
      <c r="C50" s="31" t="s">
        <v>11590</v>
      </c>
      <c r="D50" s="31" t="s">
        <v>11424</v>
      </c>
    </row>
    <row r="51">
      <c r="A51" s="31" t="s">
        <v>11470</v>
      </c>
      <c r="B51" s="31" t="s">
        <v>11471</v>
      </c>
      <c r="C51" s="31" t="s">
        <v>11590</v>
      </c>
      <c r="D51" s="31" t="s">
        <v>11424</v>
      </c>
    </row>
    <row r="52">
      <c r="A52" s="31" t="s">
        <v>11484</v>
      </c>
      <c r="B52" s="31" t="s">
        <v>11485</v>
      </c>
      <c r="C52" s="31" t="s">
        <v>11590</v>
      </c>
      <c r="D52" s="31" t="s">
        <v>11424</v>
      </c>
    </row>
    <row r="53">
      <c r="A53" s="31" t="s">
        <v>11478</v>
      </c>
      <c r="B53" s="31" t="s">
        <v>11479</v>
      </c>
      <c r="C53" s="31" t="s">
        <v>11590</v>
      </c>
      <c r="D53" s="31" t="s">
        <v>11399</v>
      </c>
    </row>
    <row r="54">
      <c r="A54" s="31" t="s">
        <v>11482</v>
      </c>
      <c r="B54" s="31" t="s">
        <v>11483</v>
      </c>
      <c r="C54" s="31" t="s">
        <v>11590</v>
      </c>
      <c r="D54" s="31" t="s">
        <v>11399</v>
      </c>
    </row>
    <row r="55">
      <c r="A55" s="31" t="s">
        <v>11480</v>
      </c>
      <c r="B55" s="31" t="s">
        <v>11481</v>
      </c>
      <c r="C55" s="31" t="s">
        <v>11590</v>
      </c>
      <c r="D55" s="31" t="s">
        <v>11399</v>
      </c>
    </row>
    <row r="56">
      <c r="A56" s="31" t="s">
        <v>11490</v>
      </c>
      <c r="B56" s="31" t="s">
        <v>11491</v>
      </c>
      <c r="C56" s="31" t="s">
        <v>11590</v>
      </c>
      <c r="D56" s="31" t="s">
        <v>11399</v>
      </c>
    </row>
    <row r="57">
      <c r="A57" s="31" t="s">
        <v>11492</v>
      </c>
      <c r="B57" s="31" t="s">
        <v>11493</v>
      </c>
      <c r="C57" s="47" t="s">
        <v>11589</v>
      </c>
      <c r="D57" s="26" t="s">
        <v>11419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31.5"/>
    <col customWidth="1" min="3" max="3" width="23.75"/>
    <col customWidth="1" min="5" max="5" width="20.75"/>
    <col customWidth="1" min="6" max="6" width="37.25"/>
    <col customWidth="1" min="7" max="7" width="24.63"/>
  </cols>
  <sheetData>
    <row r="1">
      <c r="A1" s="51" t="s">
        <v>0</v>
      </c>
      <c r="B1" s="52" t="s">
        <v>15</v>
      </c>
      <c r="C1" s="52" t="s">
        <v>11601</v>
      </c>
      <c r="D1" s="52" t="s">
        <v>11602</v>
      </c>
      <c r="E1" s="31" t="s">
        <v>11585</v>
      </c>
      <c r="F1" s="31" t="s">
        <v>11496</v>
      </c>
      <c r="G1" s="31" t="s">
        <v>11</v>
      </c>
    </row>
    <row r="2">
      <c r="A2" s="53">
        <f>IFERROR(__xludf.DUMMYFUNCTION("LET(
  data_range, 'Master Data All'!A2:X1499,
  first_day, EOMONTH(TODAY(),-1)+1,
  stack, {
    IFERROR(QUERY(data_range, ""SELECT A, P, I, M WHERE P IS NOT NULL AND A IS NOT NULL""));
    IFERROR(QUERY(data_range, ""SELECT A, Q, I, M WHERE Q IS NOT NU"&amp;"LL AND A IS NOT NULL""));
    IFERROR(QUERY(data_range, ""SELECT A, R, I, M WHERE R IS NOT NULL AND A IS NOT NULL""));
    IFERROR(QUERY(data_range, ""SELECT A, S, I, M WHERE S IS NOT NULL AND A IS NOT NULL""));
    IFERROR(QUERY(data_range, ""SELECT A, T"&amp;", I, M WHERE T IS NOT NULL AND A IS NOT NULL""));
    IFERROR(QUERY(data_range, ""SELECT A, U, I, M WHERE U IS NOT NULL AND A IS NOT NULL""));
    IFERROR(QUERY(data_range, ""SELECT A, V, I, M WHERE V IS NOT NULL AND A IS NOT NULL""));
    IFERROR(QUERY(d"&amp;"ata_range, ""SELECT A, W, I, M WHERE W IS NOT NULL AND A IS NOT NULL""));
    IFERROR(QUERY(data_range, ""SELECT A, X, I, M WHERE X IS NOT NULL AND A IS NOT NULL""))
  },
  SORT(
    FILTER(
      stack,
      INDEX(stack, 0, 1) &gt;= first_day
    ),
  1, "&amp;"TRUE)
)"),45992.000220925926)</f>
        <v>45992.00022</v>
      </c>
      <c r="B2" s="19" t="str">
        <f>IFERROR(__xludf.DUMMYFUNCTION("""COMPUTED_VALUE"""),"ROS YANE KANA LUDJI")</f>
        <v>ROS YANE KANA LUDJI</v>
      </c>
      <c r="C2" s="19" t="str">
        <f>IFERROR(__xludf.DUMMYFUNCTION("""COMPUTED_VALUE"""),"Belum disetujui")</f>
        <v>Belum disetujui</v>
      </c>
      <c r="D2" s="19"/>
      <c r="E2" s="40" t="str">
        <f t="array" ref="E2:E1499">IF(B2:B1499="",
    "",
    IFNA(
      VLOOKUP(
        UPPER(TRIM(B2:B1499)),
        {UPPER(TRIM('Database Promotor'!B2:B1499)), 'Database Promotor'!E2:E1499},
        2,
        FALSE
      ),
      "Promotor Tidak Ditemukan"
    )
  )
</f>
        <v>SPC013</v>
      </c>
      <c r="F2" s="40" t="str">
        <f t="array" ref="F2:F1499">IF(B2:B1499="",, IFERROR(VLOOKUP(B2:B1499, {'Database Promotor'!B:B , 'Database Promotor'!C:C}, 2, FALSE), "Sator Tdk Ditemukan"))</f>
        <v>TUTOR ANDRI RUDOLOF ELI MANAFE</v>
      </c>
      <c r="G2" s="40" t="str">
        <f t="array" ref="G2:G1499">IF(E2:E1499="",
    "",
    IFNA(
      VLOOKUP(UPPER(TRIM(E2:E1499)),
        {UPPER(TRIM('Database Toko'!A2:A499)), 'Database Toko'!D2:D499},
        2,
        FALSE
      ),
      "Detail Tdk Ditemukan"
    )
  )
</f>
        <v>KUPANG</v>
      </c>
    </row>
    <row r="3">
      <c r="A3" s="53">
        <f>IFERROR(__xludf.DUMMYFUNCTION("""COMPUTED_VALUE"""),45992.39247590278)</f>
        <v>45992.39248</v>
      </c>
      <c r="B3" s="19" t="str">
        <f>IFERROR(__xludf.DUMMYFUNCTION("""COMPUTED_VALUE"""),"MARNITHA JUWIKE TIMORATI RUNESI")</f>
        <v>MARNITHA JUWIKE TIMORATI RUNESI</v>
      </c>
      <c r="C3" s="19" t="str">
        <f>IFERROR(__xludf.DUMMYFUNCTION("""COMPUTED_VALUE"""),"Belum disetujui")</f>
        <v>Belum disetujui</v>
      </c>
      <c r="D3" s="19"/>
      <c r="E3" s="40" t="s">
        <v>11420</v>
      </c>
      <c r="F3" s="40" t="s">
        <v>204</v>
      </c>
      <c r="G3" s="40" t="s">
        <v>11399</v>
      </c>
    </row>
    <row r="4">
      <c r="A4" s="53">
        <f>IFERROR(__xludf.DUMMYFUNCTION("""COMPUTED_VALUE"""),45992.41216761574)</f>
        <v>45992.41217</v>
      </c>
      <c r="B4" s="19" t="str">
        <f>IFERROR(__xludf.DUMMYFUNCTION("""COMPUTED_VALUE"""),"ROS YANE KANA LUDJI")</f>
        <v>ROS YANE KANA LUDJI</v>
      </c>
      <c r="C4" s="19" t="str">
        <f>IFERROR(__xludf.DUMMYFUNCTION("""COMPUTED_VALUE"""),"Belum disetujui")</f>
        <v>Belum disetujui</v>
      </c>
      <c r="D4" s="19"/>
      <c r="E4" s="40" t="s">
        <v>11437</v>
      </c>
      <c r="F4" s="40" t="s">
        <v>204</v>
      </c>
      <c r="G4" s="40" t="s">
        <v>11399</v>
      </c>
    </row>
    <row r="5">
      <c r="A5" s="53">
        <f>IFERROR(__xludf.DUMMYFUNCTION("""COMPUTED_VALUE"""),45992.42242364584)</f>
        <v>45992.42242</v>
      </c>
      <c r="B5" s="19" t="str">
        <f>IFERROR(__xludf.DUMMYFUNCTION("""COMPUTED_VALUE"""),"ANDHIKA ULLY")</f>
        <v>ANDHIKA ULLY</v>
      </c>
      <c r="C5" s="19" t="str">
        <f>IFERROR(__xludf.DUMMYFUNCTION("""COMPUTED_VALUE"""),"Belum disetujui")</f>
        <v>Belum disetujui</v>
      </c>
      <c r="D5" s="19"/>
      <c r="E5" s="40" t="s">
        <v>11482</v>
      </c>
      <c r="F5" s="40" t="s">
        <v>220</v>
      </c>
      <c r="G5" s="40" t="s">
        <v>11399</v>
      </c>
    </row>
    <row r="6">
      <c r="A6" s="53">
        <f>IFERROR(__xludf.DUMMYFUNCTION("""COMPUTED_VALUE"""),45992.42366331018)</f>
        <v>45992.42366</v>
      </c>
      <c r="B6" s="19" t="str">
        <f>IFERROR(__xludf.DUMMYFUNCTION("""COMPUTED_VALUE"""),"MARNITHA JUWIKE TIMORATI RUNESI")</f>
        <v>MARNITHA JUWIKE TIMORATI RUNESI</v>
      </c>
      <c r="C6" s="19" t="str">
        <f>IFERROR(__xludf.DUMMYFUNCTION("""COMPUTED_VALUE"""),"Belum disetujui")</f>
        <v>Belum disetujui</v>
      </c>
      <c r="D6" s="19"/>
      <c r="E6" s="40" t="s">
        <v>11420</v>
      </c>
      <c r="F6" s="40" t="s">
        <v>204</v>
      </c>
      <c r="G6" s="40" t="s">
        <v>11399</v>
      </c>
    </row>
    <row r="7">
      <c r="A7" s="53">
        <f>IFERROR(__xludf.DUMMYFUNCTION("""COMPUTED_VALUE"""),45992.43756385417)</f>
        <v>45992.43756</v>
      </c>
      <c r="B7" s="19" t="str">
        <f>IFERROR(__xludf.DUMMYFUNCTION("""COMPUTED_VALUE"""),"AINI RAHMATINI NATALIA MOESTAKIM")</f>
        <v>AINI RAHMATINI NATALIA MOESTAKIM</v>
      </c>
      <c r="C7" s="19" t="str">
        <f>IFERROR(__xludf.DUMMYFUNCTION("""COMPUTED_VALUE"""),"Dapat limit tapi belum diproses")</f>
        <v>Dapat limit tapi belum diproses</v>
      </c>
      <c r="D7" s="19" t="str">
        <f>IFERROR(__xludf.DUMMYFUNCTION("""COMPUTED_VALUE"""),"Y21d series")</f>
        <v>Y21d series</v>
      </c>
      <c r="E7" s="40" t="s">
        <v>11409</v>
      </c>
      <c r="F7" s="40" t="s">
        <v>204</v>
      </c>
      <c r="G7" s="40" t="s">
        <v>11399</v>
      </c>
    </row>
    <row r="8">
      <c r="A8" s="53">
        <f>IFERROR(__xludf.DUMMYFUNCTION("""COMPUTED_VALUE"""),45992.46769275463)</f>
        <v>45992.46769</v>
      </c>
      <c r="B8" s="19" t="str">
        <f>IFERROR(__xludf.DUMMYFUNCTION("""COMPUTED_VALUE"""),"EMPI FRANGKI LIEM")</f>
        <v>EMPI FRANGKI LIEM</v>
      </c>
      <c r="C8" s="19" t="str">
        <f>IFERROR(__xludf.DUMMYFUNCTION("""COMPUTED_VALUE"""),"Belum disetujui")</f>
        <v>Belum disetujui</v>
      </c>
      <c r="D8" s="19"/>
      <c r="E8" s="40" t="s">
        <v>11397</v>
      </c>
      <c r="F8" s="40" t="s">
        <v>220</v>
      </c>
      <c r="G8" s="40" t="s">
        <v>11399</v>
      </c>
    </row>
    <row r="9">
      <c r="A9" s="53">
        <f>IFERROR(__xludf.DUMMYFUNCTION("""COMPUTED_VALUE"""),45992.50544042824)</f>
        <v>45992.50544</v>
      </c>
      <c r="B9" s="19" t="str">
        <f>IFERROR(__xludf.DUMMYFUNCTION("""COMPUTED_VALUE"""),"YENDRI ELISHABET BERELOE")</f>
        <v>YENDRI ELISHABET BERELOE</v>
      </c>
      <c r="C9" s="19" t="str">
        <f>IFERROR(__xludf.DUMMYFUNCTION("""COMPUTED_VALUE"""),"Belum disetujui")</f>
        <v>Belum disetujui</v>
      </c>
      <c r="D9" s="19"/>
      <c r="E9" s="40" t="s">
        <v>11490</v>
      </c>
      <c r="F9" s="40" t="s">
        <v>220</v>
      </c>
      <c r="G9" s="40" t="s">
        <v>11399</v>
      </c>
    </row>
    <row r="10">
      <c r="A10" s="53">
        <f>IFERROR(__xludf.DUMMYFUNCTION("""COMPUTED_VALUE"""),45992.564250324074)</f>
        <v>45992.56425</v>
      </c>
      <c r="B10" s="19" t="str">
        <f>IFERROR(__xludf.DUMMYFUNCTION("""COMPUTED_VALUE"""),"ANNA RAHMATIA JUFRI")</f>
        <v>ANNA RAHMATIA JUFRI</v>
      </c>
      <c r="C10" s="19" t="str">
        <f>IFERROR(__xludf.DUMMYFUNCTION("""COMPUTED_VALUE"""),"Belum disetujui")</f>
        <v>Belum disetujui</v>
      </c>
      <c r="D10" s="19"/>
      <c r="E10" s="40" t="s">
        <v>11484</v>
      </c>
      <c r="F10" s="40" t="s">
        <v>11450</v>
      </c>
      <c r="G10" s="40" t="s">
        <v>11424</v>
      </c>
    </row>
    <row r="11">
      <c r="A11" s="53">
        <f>IFERROR(__xludf.DUMMYFUNCTION("""COMPUTED_VALUE"""),45992.568997662034)</f>
        <v>45992.569</v>
      </c>
      <c r="B11" s="19" t="str">
        <f>IFERROR(__xludf.DUMMYFUNCTION("""COMPUTED_VALUE"""),"SANTI MARIA LUKMINI NAHAK")</f>
        <v>SANTI MARIA LUKMINI NAHAK</v>
      </c>
      <c r="C11" s="19" t="str">
        <f>IFERROR(__xludf.DUMMYFUNCTION("""COMPUTED_VALUE"""),"Belum disetujui")</f>
        <v>Belum disetujui</v>
      </c>
      <c r="D11" s="19"/>
      <c r="E11" s="40" t="s">
        <v>11460</v>
      </c>
      <c r="F11" s="40" t="s">
        <v>871</v>
      </c>
      <c r="G11" s="40" t="s">
        <v>11424</v>
      </c>
    </row>
    <row r="12">
      <c r="A12" s="53">
        <f>IFERROR(__xludf.DUMMYFUNCTION("""COMPUTED_VALUE"""),45992.56975221065)</f>
        <v>45992.56975</v>
      </c>
      <c r="B12" s="19" t="str">
        <f>IFERROR(__xludf.DUMMYFUNCTION("""COMPUTED_VALUE"""),"RESTIANY MARIA LUAN KALI")</f>
        <v>RESTIANY MARIA LUAN KALI</v>
      </c>
      <c r="C12" s="19" t="str">
        <f>IFERROR(__xludf.DUMMYFUNCTION("""COMPUTED_VALUE"""),"Belum disetujui")</f>
        <v>Belum disetujui</v>
      </c>
      <c r="D12" s="19"/>
      <c r="E12" s="40" t="s">
        <v>11400</v>
      </c>
      <c r="F12" s="40" t="s">
        <v>204</v>
      </c>
      <c r="G12" s="40" t="s">
        <v>11399</v>
      </c>
    </row>
    <row r="13">
      <c r="A13" s="53">
        <f>IFERROR(__xludf.DUMMYFUNCTION("""COMPUTED_VALUE"""),45992.575315960654)</f>
        <v>45992.57532</v>
      </c>
      <c r="B13" s="19" t="str">
        <f>IFERROR(__xludf.DUMMYFUNCTION("""COMPUTED_VALUE"""),"NUR FATIMAH MOLBANG")</f>
        <v>NUR FATIMAH MOLBANG</v>
      </c>
      <c r="C13" s="19" t="str">
        <f>IFERROR(__xludf.DUMMYFUNCTION("""COMPUTED_VALUE"""),"Belum disetujui")</f>
        <v>Belum disetujui</v>
      </c>
      <c r="D13" s="19"/>
      <c r="E13" s="40" t="s">
        <v>11439</v>
      </c>
      <c r="F13" s="40" t="s">
        <v>313</v>
      </c>
      <c r="G13" s="40" t="s">
        <v>11424</v>
      </c>
    </row>
    <row r="14">
      <c r="A14" s="53">
        <f>IFERROR(__xludf.DUMMYFUNCTION("""COMPUTED_VALUE"""),45992.5792065162)</f>
        <v>45992.57921</v>
      </c>
      <c r="B14" s="19" t="str">
        <f>IFERROR(__xludf.DUMMYFUNCTION("""COMPUTED_VALUE"""),"NUR FATIMAH MOLBANG")</f>
        <v>NUR FATIMAH MOLBANG</v>
      </c>
      <c r="C14" s="19" t="str">
        <f>IFERROR(__xludf.DUMMYFUNCTION("""COMPUTED_VALUE"""),"Belum disetujui")</f>
        <v>Belum disetujui</v>
      </c>
      <c r="D14" s="19"/>
      <c r="E14" s="40" t="s">
        <v>11439</v>
      </c>
      <c r="F14" s="40" t="s">
        <v>313</v>
      </c>
      <c r="G14" s="40" t="s">
        <v>11424</v>
      </c>
    </row>
    <row r="15">
      <c r="A15" s="53">
        <f>IFERROR(__xludf.DUMMYFUNCTION("""COMPUTED_VALUE"""),45992.583182372684)</f>
        <v>45992.58318</v>
      </c>
      <c r="B15" s="19" t="str">
        <f>IFERROR(__xludf.DUMMYFUNCTION("""COMPUTED_VALUE"""),"PATRIANI MENGI ULY")</f>
        <v>PATRIANI MENGI ULY</v>
      </c>
      <c r="C15" s="19" t="str">
        <f>IFERROR(__xludf.DUMMYFUNCTION("""COMPUTED_VALUE"""),"Belum disetujui")</f>
        <v>Belum disetujui</v>
      </c>
      <c r="D15" s="19"/>
      <c r="E15" s="40" t="s">
        <v>11402</v>
      </c>
      <c r="F15" s="40" t="s">
        <v>204</v>
      </c>
      <c r="G15" s="40" t="s">
        <v>11399</v>
      </c>
    </row>
    <row r="16">
      <c r="A16" s="53">
        <f>IFERROR(__xludf.DUMMYFUNCTION("""COMPUTED_VALUE"""),45992.60638649306)</f>
        <v>45992.60639</v>
      </c>
      <c r="B16" s="19" t="str">
        <f>IFERROR(__xludf.DUMMYFUNCTION("""COMPUTED_VALUE"""),"BERGITHA NIA OLIN")</f>
        <v>BERGITHA NIA OLIN</v>
      </c>
      <c r="C16" s="19" t="str">
        <f>IFERROR(__xludf.DUMMYFUNCTION("""COMPUTED_VALUE"""),"Belum disetujui")</f>
        <v>Belum disetujui</v>
      </c>
      <c r="D16" s="19"/>
      <c r="E16" s="40" t="s">
        <v>11431</v>
      </c>
      <c r="F16" s="40" t="s">
        <v>313</v>
      </c>
      <c r="G16" s="40" t="s">
        <v>11424</v>
      </c>
    </row>
    <row r="17">
      <c r="A17" s="53">
        <f>IFERROR(__xludf.DUMMYFUNCTION("""COMPUTED_VALUE"""),45992.61478524306)</f>
        <v>45992.61479</v>
      </c>
      <c r="B17" s="19" t="str">
        <f>IFERROR(__xludf.DUMMYFUNCTION("""COMPUTED_VALUE"""),"YENDRI ELISHABET BERELOE")</f>
        <v>YENDRI ELISHABET BERELOE</v>
      </c>
      <c r="C17" s="19" t="str">
        <f>IFERROR(__xludf.DUMMYFUNCTION("""COMPUTED_VALUE"""),"Dapat limit tapi belum diproses")</f>
        <v>Dapat limit tapi belum diproses</v>
      </c>
      <c r="D17" s="19" t="str">
        <f>IFERROR(__xludf.DUMMYFUNCTION("""COMPUTED_VALUE"""),"Y21d series")</f>
        <v>Y21d series</v>
      </c>
      <c r="E17" s="40" t="s">
        <v>11490</v>
      </c>
      <c r="F17" s="40" t="s">
        <v>220</v>
      </c>
      <c r="G17" s="40" t="s">
        <v>11399</v>
      </c>
    </row>
    <row r="18">
      <c r="A18" s="53">
        <f>IFERROR(__xludf.DUMMYFUNCTION("""COMPUTED_VALUE"""),45992.67328905092)</f>
        <v>45992.67329</v>
      </c>
      <c r="B18" s="19" t="str">
        <f>IFERROR(__xludf.DUMMYFUNCTION("""COMPUTED_VALUE"""),"NABILA RAHMAWATI")</f>
        <v>NABILA RAHMAWATI</v>
      </c>
      <c r="C18" s="19" t="str">
        <f>IFERROR(__xludf.DUMMYFUNCTION("""COMPUTED_VALUE"""),"Belum disetujui")</f>
        <v>Belum disetujui</v>
      </c>
      <c r="D18" s="19"/>
      <c r="E18" s="40" t="s">
        <v>11464</v>
      </c>
      <c r="F18" s="40" t="s">
        <v>257</v>
      </c>
      <c r="G18" s="40" t="s">
        <v>11419</v>
      </c>
    </row>
    <row r="19">
      <c r="A19" s="53">
        <f>IFERROR(__xludf.DUMMYFUNCTION("""COMPUTED_VALUE"""),45992.728126319445)</f>
        <v>45992.72813</v>
      </c>
      <c r="B19" s="19" t="str">
        <f>IFERROR(__xludf.DUMMYFUNCTION("""COMPUTED_VALUE"""),"WARDIA")</f>
        <v>WARDIA</v>
      </c>
      <c r="C19" s="19" t="str">
        <f>IFERROR(__xludf.DUMMYFUNCTION("""COMPUTED_VALUE"""),"Belum disetujui")</f>
        <v>Belum disetujui</v>
      </c>
      <c r="D19" s="19"/>
      <c r="E19" s="40" t="s">
        <v>11409</v>
      </c>
      <c r="F19" s="40" t="s">
        <v>204</v>
      </c>
      <c r="G19" s="40" t="s">
        <v>11399</v>
      </c>
    </row>
    <row r="20">
      <c r="A20" s="53">
        <f>IFERROR(__xludf.DUMMYFUNCTION("""COMPUTED_VALUE"""),45992.74368403935)</f>
        <v>45992.74368</v>
      </c>
      <c r="B20" s="19" t="str">
        <f>IFERROR(__xludf.DUMMYFUNCTION("""COMPUTED_VALUE"""),"ESTER LUDJI")</f>
        <v>ESTER LUDJI</v>
      </c>
      <c r="C20" s="19" t="str">
        <f>IFERROR(__xludf.DUMMYFUNCTION("""COMPUTED_VALUE"""),"ACC")</f>
        <v>ACC</v>
      </c>
      <c r="D20" s="19" t="str">
        <f>IFERROR(__xludf.DUMMYFUNCTION("""COMPUTED_VALUE"""),"Y21d series")</f>
        <v>Y21d series</v>
      </c>
      <c r="E20" s="40" t="s">
        <v>11441</v>
      </c>
      <c r="F20" s="40" t="s">
        <v>205</v>
      </c>
      <c r="G20" s="40" t="s">
        <v>11419</v>
      </c>
    </row>
    <row r="21">
      <c r="A21" s="53">
        <f>IFERROR(__xludf.DUMMYFUNCTION("""COMPUTED_VALUE"""),45992.767859479165)</f>
        <v>45992.76786</v>
      </c>
      <c r="B21" s="19" t="str">
        <f>IFERROR(__xludf.DUMMYFUNCTION("""COMPUTED_VALUE"""),"ESTER LUDJI")</f>
        <v>ESTER LUDJI</v>
      </c>
      <c r="C21" s="19" t="str">
        <f>IFERROR(__xludf.DUMMYFUNCTION("""COMPUTED_VALUE"""),"Belum disetujui")</f>
        <v>Belum disetujui</v>
      </c>
      <c r="D21" s="19"/>
      <c r="E21" s="40" t="s">
        <v>11441</v>
      </c>
      <c r="F21" s="40" t="s">
        <v>205</v>
      </c>
      <c r="G21" s="40" t="s">
        <v>11419</v>
      </c>
    </row>
    <row r="22">
      <c r="A22" s="53">
        <f>IFERROR(__xludf.DUMMYFUNCTION("""COMPUTED_VALUE"""),45992.77763405093)</f>
        <v>45992.77763</v>
      </c>
      <c r="B22" s="19" t="str">
        <f>IFERROR(__xludf.DUMMYFUNCTION("""COMPUTED_VALUE"""),"ASRI NINGSI RAMBU ATA ENDI")</f>
        <v>ASRI NINGSI RAMBU ATA ENDI</v>
      </c>
      <c r="C22" s="19" t="str">
        <f>IFERROR(__xludf.DUMMYFUNCTION("""COMPUTED_VALUE"""),"Dapat limit tapi belum diproses")</f>
        <v>Dapat limit tapi belum diproses</v>
      </c>
      <c r="D22" s="19" t="str">
        <f>IFERROR(__xludf.DUMMYFUNCTION("""COMPUTED_VALUE"""),"Y400 series")</f>
        <v>Y400 series</v>
      </c>
      <c r="E22" s="40" t="s">
        <v>11441</v>
      </c>
      <c r="F22" s="40" t="s">
        <v>205</v>
      </c>
      <c r="G22" s="40" t="s">
        <v>11419</v>
      </c>
    </row>
    <row r="23">
      <c r="A23" s="53">
        <f>IFERROR(__xludf.DUMMYFUNCTION("""COMPUTED_VALUE"""),45992.77939128473)</f>
        <v>45992.77939</v>
      </c>
      <c r="B23" s="19" t="str">
        <f>IFERROR(__xludf.DUMMYFUNCTION("""COMPUTED_VALUE"""),"ROS YANE KANA LUDJI")</f>
        <v>ROS YANE KANA LUDJI</v>
      </c>
      <c r="C23" s="19" t="str">
        <f>IFERROR(__xludf.DUMMYFUNCTION("""COMPUTED_VALUE"""),"Belum disetujui")</f>
        <v>Belum disetujui</v>
      </c>
      <c r="D23" s="19"/>
      <c r="E23" s="40" t="s">
        <v>11437</v>
      </c>
      <c r="F23" s="40" t="s">
        <v>204</v>
      </c>
      <c r="G23" s="40" t="s">
        <v>11399</v>
      </c>
    </row>
    <row r="24">
      <c r="A24" s="53">
        <f>IFERROR(__xludf.DUMMYFUNCTION("""COMPUTED_VALUE"""),45992.78130732638)</f>
        <v>45992.78131</v>
      </c>
      <c r="B24" s="19" t="str">
        <f>IFERROR(__xludf.DUMMYFUNCTION("""COMPUTED_VALUE"""),"BERGITHA NIA OLIN")</f>
        <v>BERGITHA NIA OLIN</v>
      </c>
      <c r="C24" s="19" t="str">
        <f>IFERROR(__xludf.DUMMYFUNCTION("""COMPUTED_VALUE"""),"ACC")</f>
        <v>ACC</v>
      </c>
      <c r="D24" s="19" t="str">
        <f>IFERROR(__xludf.DUMMYFUNCTION("""COMPUTED_VALUE"""),"V60 Lite series")</f>
        <v>V60 Lite series</v>
      </c>
      <c r="E24" s="40" t="s">
        <v>11431</v>
      </c>
      <c r="F24" s="40" t="s">
        <v>313</v>
      </c>
      <c r="G24" s="40" t="s">
        <v>11424</v>
      </c>
    </row>
    <row r="25">
      <c r="A25" s="53">
        <f>IFERROR(__xludf.DUMMYFUNCTION("""COMPUTED_VALUE"""),45992.796267280086)</f>
        <v>45992.79627</v>
      </c>
      <c r="B25" s="19" t="str">
        <f>IFERROR(__xludf.DUMMYFUNCTION("""COMPUTED_VALUE"""),"SANTI MARIA LUKMINI NAHAK")</f>
        <v>SANTI MARIA LUKMINI NAHAK</v>
      </c>
      <c r="C25" s="19" t="str">
        <f>IFERROR(__xludf.DUMMYFUNCTION("""COMPUTED_VALUE"""),"Belum disetujui")</f>
        <v>Belum disetujui</v>
      </c>
      <c r="D25" s="19"/>
      <c r="E25" s="40" t="s">
        <v>11460</v>
      </c>
      <c r="F25" s="40" t="s">
        <v>871</v>
      </c>
      <c r="G25" s="40" t="s">
        <v>11424</v>
      </c>
    </row>
    <row r="26">
      <c r="A26" s="53">
        <f>IFERROR(__xludf.DUMMYFUNCTION("""COMPUTED_VALUE"""),45992.819738726845)</f>
        <v>45992.81974</v>
      </c>
      <c r="B26" s="19" t="str">
        <f>IFERROR(__xludf.DUMMYFUNCTION("""COMPUTED_VALUE"""),"YOVANDA KATRINA NAE")</f>
        <v>YOVANDA KATRINA NAE</v>
      </c>
      <c r="C26" s="19" t="str">
        <f>IFERROR(__xludf.DUMMYFUNCTION("""COMPUTED_VALUE"""),"Belum disetujui")</f>
        <v>Belum disetujui</v>
      </c>
      <c r="D26" s="19"/>
      <c r="E26" s="40" t="s">
        <v>11425</v>
      </c>
      <c r="F26" s="40" t="s">
        <v>205</v>
      </c>
      <c r="G26" s="40" t="s">
        <v>11419</v>
      </c>
    </row>
    <row r="27">
      <c r="A27" s="53">
        <f>IFERROR(__xludf.DUMMYFUNCTION("""COMPUTED_VALUE"""),45992.83968498843)</f>
        <v>45992.83968</v>
      </c>
      <c r="B27" s="19" t="str">
        <f>IFERROR(__xludf.DUMMYFUNCTION("""COMPUTED_VALUE"""),"WINDRI MANOE")</f>
        <v>WINDRI MANOE</v>
      </c>
      <c r="C27" s="19" t="str">
        <f>IFERROR(__xludf.DUMMYFUNCTION("""COMPUTED_VALUE"""),"Belum disetujui")</f>
        <v>Belum disetujui</v>
      </c>
      <c r="D27" s="19"/>
      <c r="E27" s="40" t="s">
        <v>11443</v>
      </c>
      <c r="F27" s="40" t="s">
        <v>220</v>
      </c>
      <c r="G27" s="40" t="s">
        <v>11399</v>
      </c>
    </row>
    <row r="28">
      <c r="A28" s="53">
        <f>IFERROR(__xludf.DUMMYFUNCTION("""COMPUTED_VALUE"""),45992.840489166665)</f>
        <v>45992.84049</v>
      </c>
      <c r="B28" s="19" t="str">
        <f>IFERROR(__xludf.DUMMYFUNCTION("""COMPUTED_VALUE"""),"WINDRI MANOE")</f>
        <v>WINDRI MANOE</v>
      </c>
      <c r="C28" s="19" t="str">
        <f>IFERROR(__xludf.DUMMYFUNCTION("""COMPUTED_VALUE"""),"Belum disetujui")</f>
        <v>Belum disetujui</v>
      </c>
      <c r="D28" s="19"/>
      <c r="E28" s="40" t="s">
        <v>11443</v>
      </c>
      <c r="F28" s="40" t="s">
        <v>220</v>
      </c>
      <c r="G28" s="40" t="s">
        <v>11399</v>
      </c>
    </row>
    <row r="29">
      <c r="A29" s="53">
        <f>IFERROR(__xludf.DUMMYFUNCTION("""COMPUTED_VALUE"""),45992.85128471065)</f>
        <v>45992.85128</v>
      </c>
      <c r="B29" s="19" t="str">
        <f>IFERROR(__xludf.DUMMYFUNCTION("""COMPUTED_VALUE"""),"DWITNEY PRETY WANGGANDIMA")</f>
        <v>DWITNEY PRETY WANGGANDIMA</v>
      </c>
      <c r="C29" s="19" t="str">
        <f>IFERROR(__xludf.DUMMYFUNCTION("""COMPUTED_VALUE"""),"Belum disetujui")</f>
        <v>Belum disetujui</v>
      </c>
      <c r="D29" s="19"/>
      <c r="E29" s="40" t="s">
        <v>11443</v>
      </c>
      <c r="F29" s="40" t="s">
        <v>220</v>
      </c>
      <c r="G29" s="40" t="s">
        <v>11399</v>
      </c>
    </row>
    <row r="30">
      <c r="A30" s="53">
        <f>IFERROR(__xludf.DUMMYFUNCTION("""COMPUTED_VALUE"""),45992.85280275463)</f>
        <v>45992.8528</v>
      </c>
      <c r="B30" s="19" t="str">
        <f>IFERROR(__xludf.DUMMYFUNCTION("""COMPUTED_VALUE"""),"DWITNEY PRETY WANGGANDIMA")</f>
        <v>DWITNEY PRETY WANGGANDIMA</v>
      </c>
      <c r="C30" s="19" t="str">
        <f>IFERROR(__xludf.DUMMYFUNCTION("""COMPUTED_VALUE"""),"Belum disetujui")</f>
        <v>Belum disetujui</v>
      </c>
      <c r="D30" s="19"/>
      <c r="E30" s="40" t="s">
        <v>11443</v>
      </c>
      <c r="F30" s="40" t="s">
        <v>220</v>
      </c>
      <c r="G30" s="40" t="s">
        <v>11399</v>
      </c>
    </row>
    <row r="31">
      <c r="A31" s="53">
        <f>IFERROR(__xludf.DUMMYFUNCTION("""COMPUTED_VALUE"""),45992.866584537034)</f>
        <v>45992.86658</v>
      </c>
      <c r="B31" s="19" t="str">
        <f>IFERROR(__xludf.DUMMYFUNCTION("""COMPUTED_VALUE"""),"YOVANDA KATRINA NAE")</f>
        <v>YOVANDA KATRINA NAE</v>
      </c>
      <c r="C31" s="19" t="str">
        <f>IFERROR(__xludf.DUMMYFUNCTION("""COMPUTED_VALUE"""),"ACC")</f>
        <v>ACC</v>
      </c>
      <c r="D31" s="19" t="str">
        <f>IFERROR(__xludf.DUMMYFUNCTION("""COMPUTED_VALUE"""),"Y21d series")</f>
        <v>Y21d series</v>
      </c>
      <c r="E31" s="40" t="s">
        <v>11425</v>
      </c>
      <c r="F31" s="40" t="s">
        <v>205</v>
      </c>
      <c r="G31" s="40" t="s">
        <v>11419</v>
      </c>
    </row>
    <row r="32">
      <c r="A32" s="53">
        <f>IFERROR(__xludf.DUMMYFUNCTION("""COMPUTED_VALUE"""),45992.90303767362)</f>
        <v>45992.90304</v>
      </c>
      <c r="B32" s="19" t="str">
        <f>IFERROR(__xludf.DUMMYFUNCTION("""COMPUTED_VALUE"""),"HERONIMUS NAMU WALI")</f>
        <v>HERONIMUS NAMU WALI</v>
      </c>
      <c r="C32" s="19" t="str">
        <f>IFERROR(__xludf.DUMMYFUNCTION("""COMPUTED_VALUE"""),"ACC")</f>
        <v>ACC</v>
      </c>
      <c r="D32" s="19" t="str">
        <f>IFERROR(__xludf.DUMMYFUNCTION("""COMPUTED_VALUE"""),"Y21d series")</f>
        <v>Y21d series</v>
      </c>
      <c r="E32" s="40" t="s">
        <v>11452</v>
      </c>
      <c r="F32" s="40" t="s">
        <v>205</v>
      </c>
      <c r="G32" s="40" t="s">
        <v>11419</v>
      </c>
    </row>
    <row r="33">
      <c r="A33" s="53">
        <f>IFERROR(__xludf.DUMMYFUNCTION("""COMPUTED_VALUE"""),45992.90552940972)</f>
        <v>45992.90553</v>
      </c>
      <c r="B33" s="19" t="str">
        <f>IFERROR(__xludf.DUMMYFUNCTION("""COMPUTED_VALUE"""),"HERONIMUS NAMU WALI")</f>
        <v>HERONIMUS NAMU WALI</v>
      </c>
      <c r="C33" s="19" t="str">
        <f>IFERROR(__xludf.DUMMYFUNCTION("""COMPUTED_VALUE"""),"Belum disetujui")</f>
        <v>Belum disetujui</v>
      </c>
      <c r="D33" s="19"/>
      <c r="E33" s="40" t="s">
        <v>11452</v>
      </c>
      <c r="F33" s="40" t="s">
        <v>205</v>
      </c>
      <c r="G33" s="40" t="s">
        <v>11419</v>
      </c>
    </row>
    <row r="34">
      <c r="A34" s="53">
        <f>IFERROR(__xludf.DUMMYFUNCTION("""COMPUTED_VALUE"""),45993.40507277778)</f>
        <v>45993.40507</v>
      </c>
      <c r="B34" s="19" t="str">
        <f>IFERROR(__xludf.DUMMYFUNCTION("""COMPUTED_VALUE"""),"AZ ZAHRA SITI ZAINAB")</f>
        <v>AZ ZAHRA SITI ZAINAB</v>
      </c>
      <c r="C34" s="19" t="str">
        <f>IFERROR(__xludf.DUMMYFUNCTION("""COMPUTED_VALUE"""),"Belum disetujui")</f>
        <v>Belum disetujui</v>
      </c>
      <c r="D34" s="19"/>
      <c r="E34" s="40" t="s">
        <v>11462</v>
      </c>
      <c r="F34" s="40" t="s">
        <v>257</v>
      </c>
      <c r="G34" s="40" t="s">
        <v>11419</v>
      </c>
    </row>
    <row r="35">
      <c r="A35" s="53">
        <f>IFERROR(__xludf.DUMMYFUNCTION("""COMPUTED_VALUE"""),45993.41075219907)</f>
        <v>45993.41075</v>
      </c>
      <c r="B35" s="19" t="str">
        <f>IFERROR(__xludf.DUMMYFUNCTION("""COMPUTED_VALUE"""),"YUNITA TAMELAB")</f>
        <v>YUNITA TAMELAB</v>
      </c>
      <c r="C35" s="19" t="str">
        <f>IFERROR(__xludf.DUMMYFUNCTION("""COMPUTED_VALUE"""),"Belum disetujui")</f>
        <v>Belum disetujui</v>
      </c>
      <c r="D35" s="19"/>
      <c r="E35" s="40" t="s">
        <v>11472</v>
      </c>
      <c r="F35" s="40" t="s">
        <v>667</v>
      </c>
      <c r="G35" s="40" t="s">
        <v>11424</v>
      </c>
    </row>
    <row r="36">
      <c r="A36" s="53">
        <f>IFERROR(__xludf.DUMMYFUNCTION("""COMPUTED_VALUE"""),45993.416915821756)</f>
        <v>45993.41692</v>
      </c>
      <c r="B36" s="19" t="str">
        <f>IFERROR(__xludf.DUMMYFUNCTION("""COMPUTED_VALUE"""),"PUSPA ANGGREINI")</f>
        <v>PUSPA ANGGREINI</v>
      </c>
      <c r="C36" s="19" t="str">
        <f>IFERROR(__xludf.DUMMYFUNCTION("""COMPUTED_VALUE"""),"Dapat limit tapi belum diproses")</f>
        <v>Dapat limit tapi belum diproses</v>
      </c>
      <c r="D36" s="19" t="str">
        <f>IFERROR(__xludf.DUMMYFUNCTION("""COMPUTED_VALUE"""),"Y21d series")</f>
        <v>Y21d series</v>
      </c>
      <c r="E36" s="40" t="s">
        <v>11427</v>
      </c>
      <c r="F36" s="40" t="s">
        <v>257</v>
      </c>
      <c r="G36" s="40" t="s">
        <v>11419</v>
      </c>
    </row>
    <row r="37">
      <c r="A37" s="53">
        <f>IFERROR(__xludf.DUMMYFUNCTION("""COMPUTED_VALUE"""),45993.43785559028)</f>
        <v>45993.43786</v>
      </c>
      <c r="B37" s="19" t="str">
        <f>IFERROR(__xludf.DUMMYFUNCTION("""COMPUTED_VALUE"""),"ASTUTI BELA WAWO")</f>
        <v>ASTUTI BELA WAWO</v>
      </c>
      <c r="C37" s="19" t="str">
        <f>IFERROR(__xludf.DUMMYFUNCTION("""COMPUTED_VALUE"""),"Belum disetujui")</f>
        <v>Belum disetujui</v>
      </c>
      <c r="D37" s="19"/>
      <c r="E37" s="40" t="s">
        <v>11427</v>
      </c>
      <c r="F37" s="40" t="s">
        <v>257</v>
      </c>
      <c r="G37" s="40" t="s">
        <v>11419</v>
      </c>
    </row>
    <row r="38">
      <c r="A38" s="53">
        <f>IFERROR(__xludf.DUMMYFUNCTION("""COMPUTED_VALUE"""),45993.43924400463)</f>
        <v>45993.43924</v>
      </c>
      <c r="B38" s="19" t="str">
        <f>IFERROR(__xludf.DUMMYFUNCTION("""COMPUTED_VALUE"""),"ASTUTI BELA WAWO")</f>
        <v>ASTUTI BELA WAWO</v>
      </c>
      <c r="C38" s="19" t="str">
        <f>IFERROR(__xludf.DUMMYFUNCTION("""COMPUTED_VALUE"""),"Belum disetujui")</f>
        <v>Belum disetujui</v>
      </c>
      <c r="D38" s="19"/>
      <c r="E38" s="40" t="s">
        <v>11427</v>
      </c>
      <c r="F38" s="40" t="s">
        <v>257</v>
      </c>
      <c r="G38" s="40" t="s">
        <v>11419</v>
      </c>
    </row>
    <row r="39">
      <c r="A39" s="53">
        <f>IFERROR(__xludf.DUMMYFUNCTION("""COMPUTED_VALUE"""),45993.440446458335)</f>
        <v>45993.44045</v>
      </c>
      <c r="B39" s="19" t="str">
        <f>IFERROR(__xludf.DUMMYFUNCTION("""COMPUTED_VALUE"""),"ASTUTI BELA WAWO")</f>
        <v>ASTUTI BELA WAWO</v>
      </c>
      <c r="C39" s="19" t="str">
        <f>IFERROR(__xludf.DUMMYFUNCTION("""COMPUTED_VALUE"""),"Belum disetujui")</f>
        <v>Belum disetujui</v>
      </c>
      <c r="D39" s="19"/>
      <c r="E39" s="40" t="s">
        <v>11427</v>
      </c>
      <c r="F39" s="40" t="s">
        <v>257</v>
      </c>
      <c r="G39" s="40" t="s">
        <v>11419</v>
      </c>
    </row>
    <row r="40">
      <c r="A40" s="53">
        <f>IFERROR(__xludf.DUMMYFUNCTION("""COMPUTED_VALUE"""),45993.47803436343)</f>
        <v>45993.47803</v>
      </c>
      <c r="B40" s="19" t="str">
        <f>IFERROR(__xludf.DUMMYFUNCTION("""COMPUTED_VALUE"""),"PRETI SISILIA SILA")</f>
        <v>PRETI SISILIA SILA</v>
      </c>
      <c r="C40" s="19" t="str">
        <f>IFERROR(__xludf.DUMMYFUNCTION("""COMPUTED_VALUE"""),"Dapat limit tapi belum diproses")</f>
        <v>Dapat limit tapi belum diproses</v>
      </c>
      <c r="D40" s="19" t="str">
        <f>IFERROR(__xludf.DUMMYFUNCTION("""COMPUTED_VALUE"""),"Y21d series")</f>
        <v>Y21d series</v>
      </c>
      <c r="E40" s="40" t="s">
        <v>11456</v>
      </c>
      <c r="F40" s="40" t="s">
        <v>667</v>
      </c>
      <c r="G40" s="40" t="s">
        <v>11424</v>
      </c>
    </row>
    <row r="41">
      <c r="A41" s="53">
        <f>IFERROR(__xludf.DUMMYFUNCTION("""COMPUTED_VALUE"""),45993.49545135416)</f>
        <v>45993.49545</v>
      </c>
      <c r="B41" s="19" t="str">
        <f>IFERROR(__xludf.DUMMYFUNCTION("""COMPUTED_VALUE"""),"MARATHA MARLINDA FANGGIDAE")</f>
        <v>MARATHA MARLINDA FANGGIDAE</v>
      </c>
      <c r="C41" s="19" t="str">
        <f>IFERROR(__xludf.DUMMYFUNCTION("""COMPUTED_VALUE"""),"Dapat limit tapi belum diproses")</f>
        <v>Dapat limit tapi belum diproses</v>
      </c>
      <c r="D41" s="19" t="str">
        <f>IFERROR(__xludf.DUMMYFUNCTION("""COMPUTED_VALUE"""),"Y21d series")</f>
        <v>Y21d series</v>
      </c>
      <c r="E41" s="40" t="s">
        <v>11435</v>
      </c>
      <c r="F41" s="40" t="s">
        <v>215</v>
      </c>
      <c r="G41" s="40" t="s">
        <v>11424</v>
      </c>
    </row>
    <row r="42">
      <c r="A42" s="53">
        <f>IFERROR(__xludf.DUMMYFUNCTION("""COMPUTED_VALUE"""),45993.49679296297)</f>
        <v>45993.49679</v>
      </c>
      <c r="B42" s="19" t="str">
        <f>IFERROR(__xludf.DUMMYFUNCTION("""COMPUTED_VALUE"""),"NOVLIANA BARBALINA MISA")</f>
        <v>NOVLIANA BARBALINA MISA</v>
      </c>
      <c r="C42" s="19" t="str">
        <f>IFERROR(__xludf.DUMMYFUNCTION("""COMPUTED_VALUE"""),"Belum disetujui")</f>
        <v>Belum disetujui</v>
      </c>
      <c r="D42" s="19"/>
      <c r="E42" s="40" t="s">
        <v>11454</v>
      </c>
      <c r="F42" s="40" t="s">
        <v>205</v>
      </c>
      <c r="G42" s="40" t="s">
        <v>11419</v>
      </c>
    </row>
    <row r="43">
      <c r="A43" s="53">
        <f>IFERROR(__xludf.DUMMYFUNCTION("""COMPUTED_VALUE"""),45993.50505728009)</f>
        <v>45993.50506</v>
      </c>
      <c r="B43" s="19" t="str">
        <f>IFERROR(__xludf.DUMMYFUNCTION("""COMPUTED_VALUE"""),"MARIA MELAN ANANCE BILI")</f>
        <v>MARIA MELAN ANANCE BILI</v>
      </c>
      <c r="C43" s="19" t="str">
        <f>IFERROR(__xludf.DUMMYFUNCTION("""COMPUTED_VALUE"""),"Belum disetujui")</f>
        <v>Belum disetujui</v>
      </c>
      <c r="D43" s="19"/>
      <c r="E43" s="40" t="s">
        <v>11466</v>
      </c>
      <c r="F43" s="40" t="s">
        <v>257</v>
      </c>
      <c r="G43" s="40" t="s">
        <v>11419</v>
      </c>
    </row>
    <row r="44">
      <c r="A44" s="53">
        <f>IFERROR(__xludf.DUMMYFUNCTION("""COMPUTED_VALUE"""),45993.522510324074)</f>
        <v>45993.52251</v>
      </c>
      <c r="B44" s="19" t="str">
        <f>IFERROR(__xludf.DUMMYFUNCTION("""COMPUTED_VALUE"""),"ANDHIKA ULLY")</f>
        <v>ANDHIKA ULLY</v>
      </c>
      <c r="C44" s="19" t="str">
        <f>IFERROR(__xludf.DUMMYFUNCTION("""COMPUTED_VALUE"""),"Belum disetujui")</f>
        <v>Belum disetujui</v>
      </c>
      <c r="D44" s="19"/>
      <c r="E44" s="40" t="s">
        <v>11482</v>
      </c>
      <c r="F44" s="40" t="s">
        <v>220</v>
      </c>
      <c r="G44" s="40" t="s">
        <v>11399</v>
      </c>
    </row>
    <row r="45">
      <c r="A45" s="53">
        <f>IFERROR(__xludf.DUMMYFUNCTION("""COMPUTED_VALUE"""),45993.53238291667)</f>
        <v>45993.53238</v>
      </c>
      <c r="B45" s="19" t="str">
        <f>IFERROR(__xludf.DUMMYFUNCTION("""COMPUTED_VALUE"""),"NOVLIANA BARBALINA MISA")</f>
        <v>NOVLIANA BARBALINA MISA</v>
      </c>
      <c r="C45" s="19" t="str">
        <f>IFERROR(__xludf.DUMMYFUNCTION("""COMPUTED_VALUE"""),"Dapat limit tapi belum diproses")</f>
        <v>Dapat limit tapi belum diproses</v>
      </c>
      <c r="D45" s="19" t="str">
        <f>IFERROR(__xludf.DUMMYFUNCTION("""COMPUTED_VALUE"""),"Y21d series")</f>
        <v>Y21d series</v>
      </c>
      <c r="E45" s="40" t="s">
        <v>11454</v>
      </c>
      <c r="F45" s="40" t="s">
        <v>205</v>
      </c>
      <c r="G45" s="40" t="s">
        <v>11419</v>
      </c>
    </row>
    <row r="46">
      <c r="A46" s="53">
        <f>IFERROR(__xludf.DUMMYFUNCTION("""COMPUTED_VALUE"""),45993.53481921297)</f>
        <v>45993.53482</v>
      </c>
      <c r="B46" s="19" t="str">
        <f>IFERROR(__xludf.DUMMYFUNCTION("""COMPUTED_VALUE"""),"IDMAL YUSDIRAN YUSUF")</f>
        <v>IDMAL YUSDIRAN YUSUF</v>
      </c>
      <c r="C46" s="19" t="str">
        <f>IFERROR(__xludf.DUMMYFUNCTION("""COMPUTED_VALUE"""),"Belum disetujui")</f>
        <v>Belum disetujui</v>
      </c>
      <c r="D46" s="19"/>
      <c r="E46" s="40" t="s">
        <v>11417</v>
      </c>
      <c r="F46" s="40" t="s">
        <v>257</v>
      </c>
      <c r="G46" s="40" t="s">
        <v>11419</v>
      </c>
    </row>
    <row r="47">
      <c r="A47" s="53">
        <f>IFERROR(__xludf.DUMMYFUNCTION("""COMPUTED_VALUE"""),45993.544780335644)</f>
        <v>45993.54478</v>
      </c>
      <c r="B47" s="19" t="str">
        <f>IFERROR(__xludf.DUMMYFUNCTION("""COMPUTED_VALUE"""),"ROS YANE KANA LUDJI")</f>
        <v>ROS YANE KANA LUDJI</v>
      </c>
      <c r="C47" s="19" t="str">
        <f>IFERROR(__xludf.DUMMYFUNCTION("""COMPUTED_VALUE"""),"Belum disetujui")</f>
        <v>Belum disetujui</v>
      </c>
      <c r="D47" s="19"/>
      <c r="E47" s="40" t="s">
        <v>11437</v>
      </c>
      <c r="F47" s="40" t="s">
        <v>204</v>
      </c>
      <c r="G47" s="40" t="s">
        <v>11399</v>
      </c>
    </row>
    <row r="48">
      <c r="A48" s="53">
        <f>IFERROR(__xludf.DUMMYFUNCTION("""COMPUTED_VALUE"""),45993.54682649305)</f>
        <v>45993.54683</v>
      </c>
      <c r="B48" s="19" t="str">
        <f>IFERROR(__xludf.DUMMYFUNCTION("""COMPUTED_VALUE"""),"SANTI MARIA LUKMINI NAHAK")</f>
        <v>SANTI MARIA LUKMINI NAHAK</v>
      </c>
      <c r="C48" s="19" t="str">
        <f>IFERROR(__xludf.DUMMYFUNCTION("""COMPUTED_VALUE"""),"Belum disetujui")</f>
        <v>Belum disetujui</v>
      </c>
      <c r="D48" s="19"/>
      <c r="E48" s="40" t="s">
        <v>11460</v>
      </c>
      <c r="F48" s="40" t="s">
        <v>871</v>
      </c>
      <c r="G48" s="40" t="s">
        <v>11424</v>
      </c>
    </row>
    <row r="49">
      <c r="A49" s="53">
        <f>IFERROR(__xludf.DUMMYFUNCTION("""COMPUTED_VALUE"""),45993.54807872685)</f>
        <v>45993.54808</v>
      </c>
      <c r="B49" s="19" t="str">
        <f>IFERROR(__xludf.DUMMYFUNCTION("""COMPUTED_VALUE"""),"ROS YANE KANA LUDJI")</f>
        <v>ROS YANE KANA LUDJI</v>
      </c>
      <c r="C49" s="19" t="str">
        <f>IFERROR(__xludf.DUMMYFUNCTION("""COMPUTED_VALUE"""),"Belum disetujui")</f>
        <v>Belum disetujui</v>
      </c>
      <c r="D49" s="19"/>
      <c r="E49" s="40" t="s">
        <v>11437</v>
      </c>
      <c r="F49" s="40" t="s">
        <v>204</v>
      </c>
      <c r="G49" s="40" t="s">
        <v>11399</v>
      </c>
    </row>
    <row r="50">
      <c r="A50" s="53">
        <f>IFERROR(__xludf.DUMMYFUNCTION("""COMPUTED_VALUE"""),45993.55046239583)</f>
        <v>45993.55046</v>
      </c>
      <c r="B50" s="19" t="str">
        <f>IFERROR(__xludf.DUMMYFUNCTION("""COMPUTED_VALUE"""),"MARNITHA JUWIKE TIMORATI RUNESI")</f>
        <v>MARNITHA JUWIKE TIMORATI RUNESI</v>
      </c>
      <c r="C50" s="19" t="str">
        <f>IFERROR(__xludf.DUMMYFUNCTION("""COMPUTED_VALUE"""),"Belum disetujui")</f>
        <v>Belum disetujui</v>
      </c>
      <c r="D50" s="19"/>
      <c r="E50" s="40" t="s">
        <v>11420</v>
      </c>
      <c r="F50" s="40" t="s">
        <v>204</v>
      </c>
      <c r="G50" s="40" t="s">
        <v>11399</v>
      </c>
    </row>
    <row r="51">
      <c r="A51" s="53">
        <f>IFERROR(__xludf.DUMMYFUNCTION("""COMPUTED_VALUE"""),45993.554693541664)</f>
        <v>45993.55469</v>
      </c>
      <c r="B51" s="19" t="str">
        <f>IFERROR(__xludf.DUMMYFUNCTION("""COMPUTED_VALUE"""),"ASRI NINGSI RAMBU ATA ENDI")</f>
        <v>ASRI NINGSI RAMBU ATA ENDI</v>
      </c>
      <c r="C51" s="19" t="str">
        <f>IFERROR(__xludf.DUMMYFUNCTION("""COMPUTED_VALUE"""),"Belum disetujui")</f>
        <v>Belum disetujui</v>
      </c>
      <c r="D51" s="19"/>
      <c r="E51" s="40" t="s">
        <v>11441</v>
      </c>
      <c r="F51" s="40" t="s">
        <v>205</v>
      </c>
      <c r="G51" s="40" t="s">
        <v>11419</v>
      </c>
    </row>
    <row r="52">
      <c r="A52" s="53">
        <f>IFERROR(__xludf.DUMMYFUNCTION("""COMPUTED_VALUE"""),45993.65028991898)</f>
        <v>45993.65029</v>
      </c>
      <c r="B52" s="19" t="str">
        <f>IFERROR(__xludf.DUMMYFUNCTION("""COMPUTED_VALUE"""),"NOVLIANA BARBALINA MISA")</f>
        <v>NOVLIANA BARBALINA MISA</v>
      </c>
      <c r="C52" s="19" t="str">
        <f>IFERROR(__xludf.DUMMYFUNCTION("""COMPUTED_VALUE"""),"ACC")</f>
        <v>ACC</v>
      </c>
      <c r="D52" s="19" t="str">
        <f>IFERROR(__xludf.DUMMYFUNCTION("""COMPUTED_VALUE"""),"Y21d series")</f>
        <v>Y21d series</v>
      </c>
      <c r="E52" s="40" t="s">
        <v>11454</v>
      </c>
      <c r="F52" s="40" t="s">
        <v>205</v>
      </c>
      <c r="G52" s="40" t="s">
        <v>11419</v>
      </c>
    </row>
    <row r="53">
      <c r="A53" s="53">
        <f>IFERROR(__xludf.DUMMYFUNCTION("""COMPUTED_VALUE"""),45993.66795928241)</f>
        <v>45993.66796</v>
      </c>
      <c r="B53" s="19" t="str">
        <f>IFERROR(__xludf.DUMMYFUNCTION("""COMPUTED_VALUE"""),"ASRI NINGSI RAMBU ATA ENDI")</f>
        <v>ASRI NINGSI RAMBU ATA ENDI</v>
      </c>
      <c r="C53" s="19" t="str">
        <f>IFERROR(__xludf.DUMMYFUNCTION("""COMPUTED_VALUE"""),"Belum disetujui")</f>
        <v>Belum disetujui</v>
      </c>
      <c r="D53" s="19"/>
      <c r="E53" s="40" t="s">
        <v>11441</v>
      </c>
      <c r="F53" s="40" t="s">
        <v>205</v>
      </c>
      <c r="G53" s="40" t="s">
        <v>11419</v>
      </c>
    </row>
    <row r="54">
      <c r="A54" s="53">
        <f>IFERROR(__xludf.DUMMYFUNCTION("""COMPUTED_VALUE"""),45993.69571012732)</f>
        <v>45993.69571</v>
      </c>
      <c r="B54" s="19" t="str">
        <f>IFERROR(__xludf.DUMMYFUNCTION("""COMPUTED_VALUE"""),"NUR FATIMAH MOLBANG")</f>
        <v>NUR FATIMAH MOLBANG</v>
      </c>
      <c r="C54" s="19" t="str">
        <f>IFERROR(__xludf.DUMMYFUNCTION("""COMPUTED_VALUE"""),"ACC")</f>
        <v>ACC</v>
      </c>
      <c r="D54" s="19" t="str">
        <f>IFERROR(__xludf.DUMMYFUNCTION("""COMPUTED_VALUE"""),"Y21d series")</f>
        <v>Y21d series</v>
      </c>
      <c r="E54" s="40" t="s">
        <v>11439</v>
      </c>
      <c r="F54" s="40" t="s">
        <v>313</v>
      </c>
      <c r="G54" s="40" t="s">
        <v>11424</v>
      </c>
    </row>
    <row r="55">
      <c r="A55" s="53">
        <f>IFERROR(__xludf.DUMMYFUNCTION("""COMPUTED_VALUE"""),45993.69793998842)</f>
        <v>45993.69794</v>
      </c>
      <c r="B55" s="19" t="str">
        <f>IFERROR(__xludf.DUMMYFUNCTION("""COMPUTED_VALUE"""),"NUR FATIMAH MOLBANG")</f>
        <v>NUR FATIMAH MOLBANG</v>
      </c>
      <c r="C55" s="19" t="str">
        <f>IFERROR(__xludf.DUMMYFUNCTION("""COMPUTED_VALUE"""),"ACC")</f>
        <v>ACC</v>
      </c>
      <c r="D55" s="19" t="str">
        <f>IFERROR(__xludf.DUMMYFUNCTION("""COMPUTED_VALUE"""),"Y21d series")</f>
        <v>Y21d series</v>
      </c>
      <c r="E55" s="40" t="s">
        <v>11439</v>
      </c>
      <c r="F55" s="40" t="s">
        <v>313</v>
      </c>
      <c r="G55" s="40" t="s">
        <v>11424</v>
      </c>
    </row>
    <row r="56">
      <c r="A56" s="53">
        <f>IFERROR(__xludf.DUMMYFUNCTION("""COMPUTED_VALUE"""),45993.69931180555)</f>
        <v>45993.69931</v>
      </c>
      <c r="B56" s="19" t="str">
        <f>IFERROR(__xludf.DUMMYFUNCTION("""COMPUTED_VALUE"""),"WINDRI MANOE")</f>
        <v>WINDRI MANOE</v>
      </c>
      <c r="C56" s="19" t="str">
        <f>IFERROR(__xludf.DUMMYFUNCTION("""COMPUTED_VALUE"""),"Belum disetujui")</f>
        <v>Belum disetujui</v>
      </c>
      <c r="D56" s="19"/>
      <c r="E56" s="40" t="s">
        <v>11443</v>
      </c>
      <c r="F56" s="40" t="s">
        <v>220</v>
      </c>
      <c r="G56" s="40" t="s">
        <v>11399</v>
      </c>
    </row>
    <row r="57">
      <c r="A57" s="53">
        <f>IFERROR(__xludf.DUMMYFUNCTION("""COMPUTED_VALUE"""),45993.70677390046)</f>
        <v>45993.70677</v>
      </c>
      <c r="B57" s="19" t="str">
        <f>IFERROR(__xludf.DUMMYFUNCTION("""COMPUTED_VALUE"""),"SULIS NURAINI INSYATUN")</f>
        <v>SULIS NURAINI INSYATUN</v>
      </c>
      <c r="C57" s="19" t="str">
        <f>IFERROR(__xludf.DUMMYFUNCTION("""COMPUTED_VALUE"""),"Belum disetujui")</f>
        <v>Belum disetujui</v>
      </c>
      <c r="D57" s="19"/>
      <c r="E57" s="40" t="s">
        <v>11429</v>
      </c>
      <c r="F57" s="40" t="s">
        <v>257</v>
      </c>
      <c r="G57" s="40" t="s">
        <v>11419</v>
      </c>
    </row>
    <row r="58">
      <c r="A58" s="53">
        <f>IFERROR(__xludf.DUMMYFUNCTION("""COMPUTED_VALUE"""),45993.724381273154)</f>
        <v>45993.72438</v>
      </c>
      <c r="B58" s="19" t="str">
        <f>IFERROR(__xludf.DUMMYFUNCTION("""COMPUTED_VALUE"""),"ASRI NINGSI RAMBU ATA ENDI")</f>
        <v>ASRI NINGSI RAMBU ATA ENDI</v>
      </c>
      <c r="C58" s="19" t="str">
        <f>IFERROR(__xludf.DUMMYFUNCTION("""COMPUTED_VALUE"""),"Belum disetujui")</f>
        <v>Belum disetujui</v>
      </c>
      <c r="D58" s="19"/>
      <c r="E58" s="40" t="s">
        <v>11441</v>
      </c>
      <c r="F58" s="40" t="s">
        <v>205</v>
      </c>
      <c r="G58" s="40" t="s">
        <v>11419</v>
      </c>
    </row>
    <row r="59">
      <c r="A59" s="53">
        <f>IFERROR(__xludf.DUMMYFUNCTION("""COMPUTED_VALUE"""),45993.728520543984)</f>
        <v>45993.72852</v>
      </c>
      <c r="B59" s="19" t="str">
        <f>IFERROR(__xludf.DUMMYFUNCTION("""COMPUTED_VALUE"""),"ESTER LUDJI")</f>
        <v>ESTER LUDJI</v>
      </c>
      <c r="C59" s="19" t="str">
        <f>IFERROR(__xludf.DUMMYFUNCTION("""COMPUTED_VALUE"""),"Belum disetujui")</f>
        <v>Belum disetujui</v>
      </c>
      <c r="D59" s="19"/>
      <c r="E59" s="40" t="s">
        <v>11441</v>
      </c>
      <c r="F59" s="40" t="s">
        <v>205</v>
      </c>
      <c r="G59" s="40" t="s">
        <v>11419</v>
      </c>
    </row>
    <row r="60">
      <c r="A60" s="53">
        <f>IFERROR(__xludf.DUMMYFUNCTION("""COMPUTED_VALUE"""),45993.73269866898)</f>
        <v>45993.7327</v>
      </c>
      <c r="B60" s="19" t="str">
        <f>IFERROR(__xludf.DUMMYFUNCTION("""COMPUTED_VALUE"""),"NOVLIANA BARBALINA MISA")</f>
        <v>NOVLIANA BARBALINA MISA</v>
      </c>
      <c r="C60" s="19" t="str">
        <f>IFERROR(__xludf.DUMMYFUNCTION("""COMPUTED_VALUE"""),"ACC")</f>
        <v>ACC</v>
      </c>
      <c r="D60" s="19" t="str">
        <f>IFERROR(__xludf.DUMMYFUNCTION("""COMPUTED_VALUE"""),"Y21d series")</f>
        <v>Y21d series</v>
      </c>
      <c r="E60" s="40" t="s">
        <v>11454</v>
      </c>
      <c r="F60" s="40" t="s">
        <v>205</v>
      </c>
      <c r="G60" s="40" t="s">
        <v>11419</v>
      </c>
    </row>
    <row r="61">
      <c r="A61" s="53">
        <f>IFERROR(__xludf.DUMMYFUNCTION("""COMPUTED_VALUE"""),45993.741195787035)</f>
        <v>45993.7412</v>
      </c>
      <c r="B61" s="19" t="str">
        <f>IFERROR(__xludf.DUMMYFUNCTION("""COMPUTED_VALUE"""),"WARDIA")</f>
        <v>WARDIA</v>
      </c>
      <c r="C61" s="19" t="str">
        <f>IFERROR(__xludf.DUMMYFUNCTION("""COMPUTED_VALUE"""),"Belum disetujui")</f>
        <v>Belum disetujui</v>
      </c>
      <c r="D61" s="19"/>
      <c r="E61" s="40" t="s">
        <v>11409</v>
      </c>
      <c r="F61" s="40" t="s">
        <v>204</v>
      </c>
      <c r="G61" s="40" t="s">
        <v>11399</v>
      </c>
    </row>
    <row r="62">
      <c r="A62" s="53">
        <f>IFERROR(__xludf.DUMMYFUNCTION("""COMPUTED_VALUE"""),45993.7423109375)</f>
        <v>45993.74231</v>
      </c>
      <c r="B62" s="19" t="str">
        <f>IFERROR(__xludf.DUMMYFUNCTION("""COMPUTED_VALUE"""),"MARNITHA JUWIKE TIMORATI RUNESI")</f>
        <v>MARNITHA JUWIKE TIMORATI RUNESI</v>
      </c>
      <c r="C62" s="19" t="str">
        <f>IFERROR(__xludf.DUMMYFUNCTION("""COMPUTED_VALUE"""),"ACC")</f>
        <v>ACC</v>
      </c>
      <c r="D62" s="19" t="str">
        <f>IFERROR(__xludf.DUMMYFUNCTION("""COMPUTED_VALUE"""),"Y21d series")</f>
        <v>Y21d series</v>
      </c>
      <c r="E62" s="40" t="s">
        <v>11420</v>
      </c>
      <c r="F62" s="40" t="s">
        <v>204</v>
      </c>
      <c r="G62" s="40" t="s">
        <v>11399</v>
      </c>
    </row>
    <row r="63">
      <c r="A63" s="53">
        <f>IFERROR(__xludf.DUMMYFUNCTION("""COMPUTED_VALUE"""),45993.75063717592)</f>
        <v>45993.75064</v>
      </c>
      <c r="B63" s="19" t="str">
        <f>IFERROR(__xludf.DUMMYFUNCTION("""COMPUTED_VALUE"""),"NENY MERLIANTI NA'U")</f>
        <v>NENY MERLIANTI NA'U</v>
      </c>
      <c r="C63" s="19" t="str">
        <f>IFERROR(__xludf.DUMMYFUNCTION("""COMPUTED_VALUE"""),"Dapat limit tapi belum diproses")</f>
        <v>Dapat limit tapi belum diproses</v>
      </c>
      <c r="D63" s="19" t="str">
        <f>IFERROR(__xludf.DUMMYFUNCTION("""COMPUTED_VALUE"""),"Y21d series")</f>
        <v>Y21d series</v>
      </c>
      <c r="E63" s="40" t="s">
        <v>11476</v>
      </c>
      <c r="F63" s="40" t="s">
        <v>204</v>
      </c>
      <c r="G63" s="40" t="s">
        <v>11399</v>
      </c>
    </row>
    <row r="64">
      <c r="A64" s="53">
        <f>IFERROR(__xludf.DUMMYFUNCTION("""COMPUTED_VALUE"""),45993.770085069445)</f>
        <v>45993.77009</v>
      </c>
      <c r="B64" s="19" t="str">
        <f>IFERROR(__xludf.DUMMYFUNCTION("""COMPUTED_VALUE"""),"YOVANDA KATRINA NAE")</f>
        <v>YOVANDA KATRINA NAE</v>
      </c>
      <c r="C64" s="19" t="str">
        <f>IFERROR(__xludf.DUMMYFUNCTION("""COMPUTED_VALUE"""),"Belum disetujui")</f>
        <v>Belum disetujui</v>
      </c>
      <c r="D64" s="19"/>
      <c r="E64" s="40" t="s">
        <v>11425</v>
      </c>
      <c r="F64" s="40" t="s">
        <v>205</v>
      </c>
      <c r="G64" s="40" t="s">
        <v>11419</v>
      </c>
    </row>
    <row r="65">
      <c r="A65" s="53">
        <f>IFERROR(__xludf.DUMMYFUNCTION("""COMPUTED_VALUE"""),45993.77797498842)</f>
        <v>45993.77797</v>
      </c>
      <c r="B65" s="19" t="str">
        <f>IFERROR(__xludf.DUMMYFUNCTION("""COMPUTED_VALUE"""),"YOVANDA KATRINA NAE")</f>
        <v>YOVANDA KATRINA NAE</v>
      </c>
      <c r="C65" s="19" t="str">
        <f>IFERROR(__xludf.DUMMYFUNCTION("""COMPUTED_VALUE"""),"Belum disetujui")</f>
        <v>Belum disetujui</v>
      </c>
      <c r="D65" s="19"/>
      <c r="E65" s="40" t="s">
        <v>11425</v>
      </c>
      <c r="F65" s="40" t="s">
        <v>205</v>
      </c>
      <c r="G65" s="40" t="s">
        <v>11419</v>
      </c>
    </row>
    <row r="66">
      <c r="A66" s="53">
        <f>IFERROR(__xludf.DUMMYFUNCTION("""COMPUTED_VALUE"""),45993.78051347222)</f>
        <v>45993.78051</v>
      </c>
      <c r="B66" s="19" t="str">
        <f>IFERROR(__xludf.DUMMYFUNCTION("""COMPUTED_VALUE"""),"ANYARMITHA SOPHIA SUEK")</f>
        <v>ANYARMITHA SOPHIA SUEK</v>
      </c>
      <c r="C66" s="19" t="str">
        <f>IFERROR(__xludf.DUMMYFUNCTION("""COMPUTED_VALUE"""),"Belum disetujui")</f>
        <v>Belum disetujui</v>
      </c>
      <c r="D66" s="19"/>
      <c r="E66" s="40" t="s">
        <v>11443</v>
      </c>
      <c r="F66" s="40" t="s">
        <v>220</v>
      </c>
      <c r="G66" s="40" t="s">
        <v>11399</v>
      </c>
    </row>
    <row r="67">
      <c r="A67" s="53">
        <f>IFERROR(__xludf.DUMMYFUNCTION("""COMPUTED_VALUE"""),45993.78811693287)</f>
        <v>45993.78812</v>
      </c>
      <c r="B67" s="19" t="str">
        <f>IFERROR(__xludf.DUMMYFUNCTION("""COMPUTED_VALUE"""),"ASTUTI BELA WAWO")</f>
        <v>ASTUTI BELA WAWO</v>
      </c>
      <c r="C67" s="19" t="str">
        <f>IFERROR(__xludf.DUMMYFUNCTION("""COMPUTED_VALUE"""),"Dapat limit tapi belum diproses")</f>
        <v>Dapat limit tapi belum diproses</v>
      </c>
      <c r="D67" s="19" t="str">
        <f>IFERROR(__xludf.DUMMYFUNCTION("""COMPUTED_VALUE"""),"Y21d series")</f>
        <v>Y21d series</v>
      </c>
      <c r="E67" s="40" t="s">
        <v>11427</v>
      </c>
      <c r="F67" s="40" t="s">
        <v>257</v>
      </c>
      <c r="G67" s="40" t="s">
        <v>11419</v>
      </c>
    </row>
    <row r="68">
      <c r="A68" s="53">
        <f>IFERROR(__xludf.DUMMYFUNCTION("""COMPUTED_VALUE"""),45993.80144224537)</f>
        <v>45993.80144</v>
      </c>
      <c r="B68" s="19" t="str">
        <f>IFERROR(__xludf.DUMMYFUNCTION("""COMPUTED_VALUE"""),"AZ ZAHRA SITI ZAINAB")</f>
        <v>AZ ZAHRA SITI ZAINAB</v>
      </c>
      <c r="C68" s="19" t="str">
        <f>IFERROR(__xludf.DUMMYFUNCTION("""COMPUTED_VALUE"""),"Belum disetujui")</f>
        <v>Belum disetujui</v>
      </c>
      <c r="D68" s="19"/>
      <c r="E68" s="40" t="s">
        <v>11462</v>
      </c>
      <c r="F68" s="40" t="s">
        <v>257</v>
      </c>
      <c r="G68" s="40" t="s">
        <v>11419</v>
      </c>
    </row>
    <row r="69">
      <c r="A69" s="53">
        <f>IFERROR(__xludf.DUMMYFUNCTION("""COMPUTED_VALUE"""),45993.812384212964)</f>
        <v>45993.81238</v>
      </c>
      <c r="B69" s="19" t="str">
        <f>IFERROR(__xludf.DUMMYFUNCTION("""COMPUTED_VALUE"""),"IRENE NOVALIA KADJU")</f>
        <v>IRENE NOVALIA KADJU</v>
      </c>
      <c r="C69" s="19" t="str">
        <f>IFERROR(__xludf.DUMMYFUNCTION("""COMPUTED_VALUE"""),"Belum disetujui")</f>
        <v>Belum disetujui</v>
      </c>
      <c r="D69" s="19"/>
      <c r="E69" s="40" t="s">
        <v>11445</v>
      </c>
      <c r="F69" s="40" t="s">
        <v>204</v>
      </c>
      <c r="G69" s="40" t="s">
        <v>11399</v>
      </c>
    </row>
    <row r="70">
      <c r="A70" s="53">
        <f>IFERROR(__xludf.DUMMYFUNCTION("""COMPUTED_VALUE"""),45993.814452673614)</f>
        <v>45993.81445</v>
      </c>
      <c r="B70" s="19" t="str">
        <f>IFERROR(__xludf.DUMMYFUNCTION("""COMPUTED_VALUE"""),"PRETI SISILIA SILA")</f>
        <v>PRETI SISILIA SILA</v>
      </c>
      <c r="C70" s="19" t="str">
        <f>IFERROR(__xludf.DUMMYFUNCTION("""COMPUTED_VALUE"""),"Dapat limit tapi belum diproses")</f>
        <v>Dapat limit tapi belum diproses</v>
      </c>
      <c r="D70" s="19" t="str">
        <f>IFERROR(__xludf.DUMMYFUNCTION("""COMPUTED_VALUE"""),"V60 series")</f>
        <v>V60 series</v>
      </c>
      <c r="E70" s="40" t="s">
        <v>11456</v>
      </c>
      <c r="F70" s="40" t="s">
        <v>667</v>
      </c>
      <c r="G70" s="40" t="s">
        <v>11424</v>
      </c>
    </row>
    <row r="71">
      <c r="A71" s="53">
        <f>IFERROR(__xludf.DUMMYFUNCTION("""COMPUTED_VALUE"""),45993.837161180556)</f>
        <v>45993.83716</v>
      </c>
      <c r="B71" s="19" t="str">
        <f>IFERROR(__xludf.DUMMYFUNCTION("""COMPUTED_VALUE"""),"ADRIANA")</f>
        <v>ADRIANA</v>
      </c>
      <c r="C71" s="19" t="str">
        <f>IFERROR(__xludf.DUMMYFUNCTION("""COMPUTED_VALUE"""),"Dapat limit tapi belum diproses")</f>
        <v>Dapat limit tapi belum diproses</v>
      </c>
      <c r="D71" s="19" t="str">
        <f>IFERROR(__xludf.DUMMYFUNCTION("""COMPUTED_VALUE"""),"Y21d series")</f>
        <v>Y21d series</v>
      </c>
      <c r="E71" s="40" t="s">
        <v>11433</v>
      </c>
      <c r="F71" s="40" t="s">
        <v>313</v>
      </c>
      <c r="G71" s="40" t="s">
        <v>11424</v>
      </c>
    </row>
    <row r="72">
      <c r="A72" s="53">
        <f>IFERROR(__xludf.DUMMYFUNCTION("""COMPUTED_VALUE"""),45993.845966863424)</f>
        <v>45993.84597</v>
      </c>
      <c r="B72" s="19" t="str">
        <f>IFERROR(__xludf.DUMMYFUNCTION("""COMPUTED_VALUE"""),"MARIA MELAN ANANCE BILI")</f>
        <v>MARIA MELAN ANANCE BILI</v>
      </c>
      <c r="C72" s="19" t="str">
        <f>IFERROR(__xludf.DUMMYFUNCTION("""COMPUTED_VALUE"""),"ACC")</f>
        <v>ACC</v>
      </c>
      <c r="D72" s="19" t="str">
        <f>IFERROR(__xludf.DUMMYFUNCTION("""COMPUTED_VALUE"""),"V60 Lite series")</f>
        <v>V60 Lite series</v>
      </c>
      <c r="E72" s="40" t="s">
        <v>11466</v>
      </c>
      <c r="F72" s="40" t="s">
        <v>257</v>
      </c>
      <c r="G72" s="40" t="s">
        <v>11419</v>
      </c>
    </row>
    <row r="73">
      <c r="A73" s="53">
        <f>IFERROR(__xludf.DUMMYFUNCTION("""COMPUTED_VALUE"""),45993.8541271412)</f>
        <v>45993.85413</v>
      </c>
      <c r="B73" s="19" t="str">
        <f>IFERROR(__xludf.DUMMYFUNCTION("""COMPUTED_VALUE"""),"NUR FATIMAH MOLBANG")</f>
        <v>NUR FATIMAH MOLBANG</v>
      </c>
      <c r="C73" s="19" t="str">
        <f>IFERROR(__xludf.DUMMYFUNCTION("""COMPUTED_VALUE"""),"Belum disetujui")</f>
        <v>Belum disetujui</v>
      </c>
      <c r="D73" s="19"/>
      <c r="E73" s="40" t="s">
        <v>11439</v>
      </c>
      <c r="F73" s="40" t="s">
        <v>313</v>
      </c>
      <c r="G73" s="40" t="s">
        <v>11424</v>
      </c>
    </row>
    <row r="74">
      <c r="A74" s="53">
        <f>IFERROR(__xludf.DUMMYFUNCTION("""COMPUTED_VALUE"""),45993.91202762732)</f>
        <v>45993.91203</v>
      </c>
      <c r="B74" s="19" t="str">
        <f>IFERROR(__xludf.DUMMYFUNCTION("""COMPUTED_VALUE"""),"ESTER LUDJI")</f>
        <v>ESTER LUDJI</v>
      </c>
      <c r="C74" s="19" t="str">
        <f>IFERROR(__xludf.DUMMYFUNCTION("""COMPUTED_VALUE"""),"ACC")</f>
        <v>ACC</v>
      </c>
      <c r="D74" s="19" t="str">
        <f>IFERROR(__xludf.DUMMYFUNCTION("""COMPUTED_VALUE"""),"Y400 series")</f>
        <v>Y400 series</v>
      </c>
      <c r="E74" s="40" t="s">
        <v>11441</v>
      </c>
      <c r="F74" s="40" t="s">
        <v>205</v>
      </c>
      <c r="G74" s="40" t="s">
        <v>11419</v>
      </c>
    </row>
    <row r="75">
      <c r="A75" s="53">
        <f>IFERROR(__xludf.DUMMYFUNCTION("""COMPUTED_VALUE"""),45993.94131409722)</f>
        <v>45993.94131</v>
      </c>
      <c r="B75" s="19" t="str">
        <f>IFERROR(__xludf.DUMMYFUNCTION("""COMPUTED_VALUE"""),"SANTI MARIA LUKMINI NAHAK")</f>
        <v>SANTI MARIA LUKMINI NAHAK</v>
      </c>
      <c r="C75" s="19" t="str">
        <f>IFERROR(__xludf.DUMMYFUNCTION("""COMPUTED_VALUE"""),"Belum disetujui")</f>
        <v>Belum disetujui</v>
      </c>
      <c r="D75" s="19"/>
      <c r="E75" s="40" t="s">
        <v>11460</v>
      </c>
      <c r="F75" s="40" t="s">
        <v>871</v>
      </c>
      <c r="G75" s="40" t="s">
        <v>11424</v>
      </c>
    </row>
    <row r="76">
      <c r="A76" s="53">
        <f>IFERROR(__xludf.DUMMYFUNCTION("""COMPUTED_VALUE"""),45994.42721375)</f>
        <v>45994.42721</v>
      </c>
      <c r="B76" s="19" t="str">
        <f>IFERROR(__xludf.DUMMYFUNCTION("""COMPUTED_VALUE"""),"MARIA MELAN ANANCE BILI")</f>
        <v>MARIA MELAN ANANCE BILI</v>
      </c>
      <c r="C76" s="19" t="str">
        <f>IFERROR(__xludf.DUMMYFUNCTION("""COMPUTED_VALUE"""),"Belum disetujui")</f>
        <v>Belum disetujui</v>
      </c>
      <c r="D76" s="19"/>
      <c r="E76" s="40" t="s">
        <v>11466</v>
      </c>
      <c r="F76" s="40" t="s">
        <v>257</v>
      </c>
      <c r="G76" s="40" t="s">
        <v>11419</v>
      </c>
    </row>
    <row r="77">
      <c r="A77" s="53">
        <f>IFERROR(__xludf.DUMMYFUNCTION("""COMPUTED_VALUE"""),45994.428609675924)</f>
        <v>45994.42861</v>
      </c>
      <c r="B77" s="19" t="str">
        <f>IFERROR(__xludf.DUMMYFUNCTION("""COMPUTED_VALUE"""),"MARIA MELAN ANANCE BILI")</f>
        <v>MARIA MELAN ANANCE BILI</v>
      </c>
      <c r="C77" s="19" t="str">
        <f>IFERROR(__xludf.DUMMYFUNCTION("""COMPUTED_VALUE"""),"Belum disetujui")</f>
        <v>Belum disetujui</v>
      </c>
      <c r="D77" s="19"/>
      <c r="E77" s="40" t="s">
        <v>11466</v>
      </c>
      <c r="F77" s="40" t="s">
        <v>257</v>
      </c>
      <c r="G77" s="40" t="s">
        <v>11419</v>
      </c>
    </row>
    <row r="78">
      <c r="A78" s="53">
        <f>IFERROR(__xludf.DUMMYFUNCTION("""COMPUTED_VALUE"""),45994.42870438657)</f>
        <v>45994.4287</v>
      </c>
      <c r="B78" s="19" t="str">
        <f>IFERROR(__xludf.DUMMYFUNCTION("""COMPUTED_VALUE"""),"PRETI SISILIA SILA")</f>
        <v>PRETI SISILIA SILA</v>
      </c>
      <c r="C78" s="19" t="str">
        <f>IFERROR(__xludf.DUMMYFUNCTION("""COMPUTED_VALUE"""),"Belum disetujui")</f>
        <v>Belum disetujui</v>
      </c>
      <c r="D78" s="19"/>
      <c r="E78" s="40" t="s">
        <v>11456</v>
      </c>
      <c r="F78" s="40" t="s">
        <v>667</v>
      </c>
      <c r="G78" s="40" t="s">
        <v>11424</v>
      </c>
    </row>
    <row r="79">
      <c r="A79" s="53">
        <f>IFERROR(__xludf.DUMMYFUNCTION("""COMPUTED_VALUE"""),45994.43426706018)</f>
        <v>45994.43427</v>
      </c>
      <c r="B79" s="19" t="str">
        <f>IFERROR(__xludf.DUMMYFUNCTION("""COMPUTED_VALUE"""),"YUNITA TAMELAB")</f>
        <v>YUNITA TAMELAB</v>
      </c>
      <c r="C79" s="19" t="str">
        <f>IFERROR(__xludf.DUMMYFUNCTION("""COMPUTED_VALUE"""),"Belum disetujui")</f>
        <v>Belum disetujui</v>
      </c>
      <c r="D79" s="19"/>
      <c r="E79" s="40" t="s">
        <v>11472</v>
      </c>
      <c r="F79" s="40" t="s">
        <v>667</v>
      </c>
      <c r="G79" s="40" t="s">
        <v>11424</v>
      </c>
    </row>
    <row r="80">
      <c r="A80" s="53">
        <f>IFERROR(__xludf.DUMMYFUNCTION("""COMPUTED_VALUE"""),45994.46554200232)</f>
        <v>45994.46554</v>
      </c>
      <c r="B80" s="19" t="str">
        <f>IFERROR(__xludf.DUMMYFUNCTION("""COMPUTED_VALUE"""),"NOVANTRY RUTHANIA NAFFIE")</f>
        <v>NOVANTRY RUTHANIA NAFFIE</v>
      </c>
      <c r="C80" s="19" t="str">
        <f>IFERROR(__xludf.DUMMYFUNCTION("""COMPUTED_VALUE"""),"Belum disetujui")</f>
        <v>Belum disetujui</v>
      </c>
      <c r="D80" s="19"/>
      <c r="E80" s="40" t="s">
        <v>11397</v>
      </c>
      <c r="F80" s="40" t="s">
        <v>220</v>
      </c>
      <c r="G80" s="40" t="s">
        <v>11399</v>
      </c>
    </row>
    <row r="81">
      <c r="A81" s="53">
        <f>IFERROR(__xludf.DUMMYFUNCTION("""COMPUTED_VALUE"""),45994.46812059028)</f>
        <v>45994.46812</v>
      </c>
      <c r="B81" s="19" t="str">
        <f>IFERROR(__xludf.DUMMYFUNCTION("""COMPUTED_VALUE"""),"FEBRIANTHY ELISABET NA'U")</f>
        <v>FEBRIANTHY ELISABET NA'U</v>
      </c>
      <c r="C81" s="19" t="str">
        <f>IFERROR(__xludf.DUMMYFUNCTION("""COMPUTED_VALUE"""),"Belum disetujui")</f>
        <v>Belum disetujui</v>
      </c>
      <c r="D81" s="19"/>
      <c r="E81" s="40" t="s">
        <v>11415</v>
      </c>
      <c r="F81" s="40" t="s">
        <v>204</v>
      </c>
      <c r="G81" s="40" t="s">
        <v>11399</v>
      </c>
    </row>
    <row r="82">
      <c r="A82" s="53">
        <f>IFERROR(__xludf.DUMMYFUNCTION("""COMPUTED_VALUE"""),45994.48669936343)</f>
        <v>45994.4867</v>
      </c>
      <c r="B82" s="19" t="str">
        <f>IFERROR(__xludf.DUMMYFUNCTION("""COMPUTED_VALUE"""),"AZ ZAHRA SITI ZAINAB")</f>
        <v>AZ ZAHRA SITI ZAINAB</v>
      </c>
      <c r="C82" s="19" t="str">
        <f>IFERROR(__xludf.DUMMYFUNCTION("""COMPUTED_VALUE"""),"ACC")</f>
        <v>ACC</v>
      </c>
      <c r="D82" s="19" t="str">
        <f>IFERROR(__xludf.DUMMYFUNCTION("""COMPUTED_VALUE"""),"Y400 series")</f>
        <v>Y400 series</v>
      </c>
      <c r="E82" s="40" t="s">
        <v>11462</v>
      </c>
      <c r="F82" s="40" t="s">
        <v>257</v>
      </c>
      <c r="G82" s="40" t="s">
        <v>11419</v>
      </c>
    </row>
    <row r="83">
      <c r="A83" s="53">
        <f>IFERROR(__xludf.DUMMYFUNCTION("""COMPUTED_VALUE"""),45994.48809438658)</f>
        <v>45994.48809</v>
      </c>
      <c r="B83" s="19" t="str">
        <f>IFERROR(__xludf.DUMMYFUNCTION("""COMPUTED_VALUE"""),"ROS YANE KANA LUDJI")</f>
        <v>ROS YANE KANA LUDJI</v>
      </c>
      <c r="C83" s="19" t="str">
        <f>IFERROR(__xludf.DUMMYFUNCTION("""COMPUTED_VALUE"""),"Belum disetujui")</f>
        <v>Belum disetujui</v>
      </c>
      <c r="D83" s="19"/>
      <c r="E83" s="40" t="s">
        <v>11437</v>
      </c>
      <c r="F83" s="40" t="s">
        <v>204</v>
      </c>
      <c r="G83" s="40" t="s">
        <v>11399</v>
      </c>
    </row>
    <row r="84">
      <c r="A84" s="53">
        <f>IFERROR(__xludf.DUMMYFUNCTION("""COMPUTED_VALUE"""),45994.497347476856)</f>
        <v>45994.49735</v>
      </c>
      <c r="B84" s="19" t="str">
        <f>IFERROR(__xludf.DUMMYFUNCTION("""COMPUTED_VALUE"""),"KESIA NATALIA I. BENU")</f>
        <v>KESIA NATALIA I. BENU</v>
      </c>
      <c r="C84" s="19" t="str">
        <f>IFERROR(__xludf.DUMMYFUNCTION("""COMPUTED_VALUE"""),"ACC")</f>
        <v>ACC</v>
      </c>
      <c r="D84" s="19" t="str">
        <f>IFERROR(__xludf.DUMMYFUNCTION("""COMPUTED_VALUE"""),"Y400 series")</f>
        <v>Y400 series</v>
      </c>
      <c r="E84" s="40" t="s">
        <v>11417</v>
      </c>
      <c r="F84" s="40" t="s">
        <v>257</v>
      </c>
      <c r="G84" s="40" t="s">
        <v>11419</v>
      </c>
    </row>
    <row r="85">
      <c r="A85" s="53">
        <f>IFERROR(__xludf.DUMMYFUNCTION("""COMPUTED_VALUE"""),45994.50929259259)</f>
        <v>45994.50929</v>
      </c>
      <c r="B85" s="19" t="str">
        <f>IFERROR(__xludf.DUMMYFUNCTION("""COMPUTED_VALUE"""),"NABILA RAHMAWATI")</f>
        <v>NABILA RAHMAWATI</v>
      </c>
      <c r="C85" s="19" t="str">
        <f>IFERROR(__xludf.DUMMYFUNCTION("""COMPUTED_VALUE"""),"Belum disetujui")</f>
        <v>Belum disetujui</v>
      </c>
      <c r="D85" s="19"/>
      <c r="E85" s="40" t="s">
        <v>11464</v>
      </c>
      <c r="F85" s="40" t="s">
        <v>257</v>
      </c>
      <c r="G85" s="40" t="s">
        <v>11419</v>
      </c>
    </row>
    <row r="86">
      <c r="A86" s="53">
        <f>IFERROR(__xludf.DUMMYFUNCTION("""COMPUTED_VALUE"""),45994.51020031251)</f>
        <v>45994.5102</v>
      </c>
      <c r="B86" s="19" t="str">
        <f>IFERROR(__xludf.DUMMYFUNCTION("""COMPUTED_VALUE"""),"ASTUTI BELA WAWO")</f>
        <v>ASTUTI BELA WAWO</v>
      </c>
      <c r="C86" s="19" t="str">
        <f>IFERROR(__xludf.DUMMYFUNCTION("""COMPUTED_VALUE"""),"Dapat limit tapi belum diproses")</f>
        <v>Dapat limit tapi belum diproses</v>
      </c>
      <c r="D86" s="19" t="str">
        <f>IFERROR(__xludf.DUMMYFUNCTION("""COMPUTED_VALUE"""),"Y21d series")</f>
        <v>Y21d series</v>
      </c>
      <c r="E86" s="40" t="s">
        <v>11427</v>
      </c>
      <c r="F86" s="40" t="s">
        <v>257</v>
      </c>
      <c r="G86" s="40" t="s">
        <v>11419</v>
      </c>
    </row>
    <row r="87">
      <c r="A87" s="53">
        <f>IFERROR(__xludf.DUMMYFUNCTION("""COMPUTED_VALUE"""),45994.513593692136)</f>
        <v>45994.51359</v>
      </c>
      <c r="B87" s="19" t="str">
        <f>IFERROR(__xludf.DUMMYFUNCTION("""COMPUTED_VALUE"""),"ALDIANA WELIA PANIE")</f>
        <v>ALDIANA WELIA PANIE</v>
      </c>
      <c r="C87" s="19" t="str">
        <f>IFERROR(__xludf.DUMMYFUNCTION("""COMPUTED_VALUE"""),"Belum disetujui")</f>
        <v>Belum disetujui</v>
      </c>
      <c r="D87" s="19"/>
      <c r="E87" s="40" t="s">
        <v>11422</v>
      </c>
      <c r="F87" s="40" t="s">
        <v>215</v>
      </c>
      <c r="G87" s="40" t="s">
        <v>11424</v>
      </c>
    </row>
    <row r="88">
      <c r="A88" s="53">
        <f>IFERROR(__xludf.DUMMYFUNCTION("""COMPUTED_VALUE"""),45994.51465967592)</f>
        <v>45994.51466</v>
      </c>
      <c r="B88" s="19" t="str">
        <f>IFERROR(__xludf.DUMMYFUNCTION("""COMPUTED_VALUE"""),"RESTIANY MARIA LUAN KALI")</f>
        <v>RESTIANY MARIA LUAN KALI</v>
      </c>
      <c r="C88" s="19" t="str">
        <f>IFERROR(__xludf.DUMMYFUNCTION("""COMPUTED_VALUE"""),"Belum disetujui")</f>
        <v>Belum disetujui</v>
      </c>
      <c r="D88" s="19"/>
      <c r="E88" s="40" t="s">
        <v>11400</v>
      </c>
      <c r="F88" s="40" t="s">
        <v>204</v>
      </c>
      <c r="G88" s="40" t="s">
        <v>11399</v>
      </c>
    </row>
    <row r="89">
      <c r="A89" s="53">
        <f>IFERROR(__xludf.DUMMYFUNCTION("""COMPUTED_VALUE"""),45994.51734414352)</f>
        <v>45994.51734</v>
      </c>
      <c r="B89" s="19" t="str">
        <f>IFERROR(__xludf.DUMMYFUNCTION("""COMPUTED_VALUE"""),"BERGITHA NIA OLIN")</f>
        <v>BERGITHA NIA OLIN</v>
      </c>
      <c r="C89" s="19" t="str">
        <f>IFERROR(__xludf.DUMMYFUNCTION("""COMPUTED_VALUE"""),"Belum disetujui")</f>
        <v>Belum disetujui</v>
      </c>
      <c r="D89" s="19"/>
      <c r="E89" s="40" t="s">
        <v>11431</v>
      </c>
      <c r="F89" s="40" t="s">
        <v>313</v>
      </c>
      <c r="G89" s="40" t="s">
        <v>11424</v>
      </c>
    </row>
    <row r="90">
      <c r="A90" s="53">
        <f>IFERROR(__xludf.DUMMYFUNCTION("""COMPUTED_VALUE"""),45994.53813782408)</f>
        <v>45994.53814</v>
      </c>
      <c r="B90" s="19" t="str">
        <f>IFERROR(__xludf.DUMMYFUNCTION("""COMPUTED_VALUE"""),"ANYARMITHA SOPHIA SUEK")</f>
        <v>ANYARMITHA SOPHIA SUEK</v>
      </c>
      <c r="C90" s="19" t="str">
        <f>IFERROR(__xludf.DUMMYFUNCTION("""COMPUTED_VALUE"""),"Belum disetujui")</f>
        <v>Belum disetujui</v>
      </c>
      <c r="D90" s="19"/>
      <c r="E90" s="40" t="s">
        <v>11443</v>
      </c>
      <c r="F90" s="40" t="s">
        <v>220</v>
      </c>
      <c r="G90" s="40" t="s">
        <v>11399</v>
      </c>
    </row>
    <row r="91">
      <c r="A91" s="53">
        <f>IFERROR(__xludf.DUMMYFUNCTION("""COMPUTED_VALUE"""),45994.54844388889)</f>
        <v>45994.54844</v>
      </c>
      <c r="B91" s="19" t="str">
        <f>IFERROR(__xludf.DUMMYFUNCTION("""COMPUTED_VALUE"""),"YASINTHA MBU")</f>
        <v>YASINTHA MBU</v>
      </c>
      <c r="C91" s="19" t="str">
        <f>IFERROR(__xludf.DUMMYFUNCTION("""COMPUTED_VALUE"""),"Belum disetujui")</f>
        <v>Belum disetujui</v>
      </c>
      <c r="D91" s="19"/>
      <c r="E91" s="40" t="s">
        <v>11407</v>
      </c>
      <c r="F91" s="40" t="s">
        <v>220</v>
      </c>
      <c r="G91" s="40" t="s">
        <v>11399</v>
      </c>
    </row>
    <row r="92">
      <c r="A92" s="53">
        <f>IFERROR(__xludf.DUMMYFUNCTION("""COMPUTED_VALUE"""),45994.577952210646)</f>
        <v>45994.57795</v>
      </c>
      <c r="B92" s="19" t="str">
        <f>IFERROR(__xludf.DUMMYFUNCTION("""COMPUTED_VALUE"""),"ASTUTI BELA WAWO")</f>
        <v>ASTUTI BELA WAWO</v>
      </c>
      <c r="C92" s="19" t="str">
        <f>IFERROR(__xludf.DUMMYFUNCTION("""COMPUTED_VALUE"""),"Belum disetujui")</f>
        <v>Belum disetujui</v>
      </c>
      <c r="D92" s="19"/>
      <c r="E92" s="40" t="s">
        <v>11427</v>
      </c>
      <c r="F92" s="40" t="s">
        <v>257</v>
      </c>
      <c r="G92" s="40" t="s">
        <v>11419</v>
      </c>
    </row>
    <row r="93">
      <c r="A93" s="53">
        <f>IFERROR(__xludf.DUMMYFUNCTION("""COMPUTED_VALUE"""),45994.58770231482)</f>
        <v>45994.5877</v>
      </c>
      <c r="B93" s="19" t="str">
        <f>IFERROR(__xludf.DUMMYFUNCTION("""COMPUTED_VALUE"""),"YUNITA TAMELAB")</f>
        <v>YUNITA TAMELAB</v>
      </c>
      <c r="C93" s="19" t="str">
        <f>IFERROR(__xludf.DUMMYFUNCTION("""COMPUTED_VALUE"""),"Belum disetujui")</f>
        <v>Belum disetujui</v>
      </c>
      <c r="D93" s="19"/>
      <c r="E93" s="40" t="s">
        <v>11472</v>
      </c>
      <c r="F93" s="40" t="s">
        <v>667</v>
      </c>
      <c r="G93" s="40" t="s">
        <v>11424</v>
      </c>
    </row>
    <row r="94">
      <c r="A94" s="53">
        <f>IFERROR(__xludf.DUMMYFUNCTION("""COMPUTED_VALUE"""),45994.59161390046)</f>
        <v>45994.59161</v>
      </c>
      <c r="B94" s="19" t="str">
        <f>IFERROR(__xludf.DUMMYFUNCTION("""COMPUTED_VALUE"""),"ANYARMITHA SOPHIA SUEK")</f>
        <v>ANYARMITHA SOPHIA SUEK</v>
      </c>
      <c r="C94" s="19" t="str">
        <f>IFERROR(__xludf.DUMMYFUNCTION("""COMPUTED_VALUE"""),"Belum disetujui")</f>
        <v>Belum disetujui</v>
      </c>
      <c r="D94" s="19"/>
      <c r="E94" s="40" t="s">
        <v>11443</v>
      </c>
      <c r="F94" s="40" t="s">
        <v>220</v>
      </c>
      <c r="G94" s="40" t="s">
        <v>11399</v>
      </c>
    </row>
    <row r="95">
      <c r="A95" s="53">
        <f>IFERROR(__xludf.DUMMYFUNCTION("""COMPUTED_VALUE"""),45994.60704673611)</f>
        <v>45994.60705</v>
      </c>
      <c r="B95" s="19" t="str">
        <f>IFERROR(__xludf.DUMMYFUNCTION("""COMPUTED_VALUE"""),"ADRIANA")</f>
        <v>ADRIANA</v>
      </c>
      <c r="C95" s="19" t="str">
        <f>IFERROR(__xludf.DUMMYFUNCTION("""COMPUTED_VALUE"""),"Belum disetujui")</f>
        <v>Belum disetujui</v>
      </c>
      <c r="D95" s="19"/>
      <c r="E95" s="40" t="s">
        <v>11433</v>
      </c>
      <c r="F95" s="40" t="s">
        <v>313</v>
      </c>
      <c r="G95" s="40" t="s">
        <v>11424</v>
      </c>
    </row>
    <row r="96">
      <c r="A96" s="53">
        <f>IFERROR(__xludf.DUMMYFUNCTION("""COMPUTED_VALUE"""),45994.60910775463)</f>
        <v>45994.60911</v>
      </c>
      <c r="B96" s="19" t="str">
        <f>IFERROR(__xludf.DUMMYFUNCTION("""COMPUTED_VALUE"""),"ADRIANA")</f>
        <v>ADRIANA</v>
      </c>
      <c r="C96" s="19" t="str">
        <f>IFERROR(__xludf.DUMMYFUNCTION("""COMPUTED_VALUE"""),"Belum disetujui")</f>
        <v>Belum disetujui</v>
      </c>
      <c r="D96" s="19"/>
      <c r="E96" s="40" t="s">
        <v>11433</v>
      </c>
      <c r="F96" s="40" t="s">
        <v>313</v>
      </c>
      <c r="G96" s="40" t="s">
        <v>11424</v>
      </c>
    </row>
    <row r="97">
      <c r="A97" s="53">
        <f>IFERROR(__xludf.DUMMYFUNCTION("""COMPUTED_VALUE"""),45994.61069847223)</f>
        <v>45994.6107</v>
      </c>
      <c r="B97" s="19" t="str">
        <f>IFERROR(__xludf.DUMMYFUNCTION("""COMPUTED_VALUE"""),"ADRIANA")</f>
        <v>ADRIANA</v>
      </c>
      <c r="C97" s="19" t="str">
        <f>IFERROR(__xludf.DUMMYFUNCTION("""COMPUTED_VALUE"""),"Dapat limit tapi belum diproses")</f>
        <v>Dapat limit tapi belum diproses</v>
      </c>
      <c r="D97" s="19" t="str">
        <f>IFERROR(__xludf.DUMMYFUNCTION("""COMPUTED_VALUE"""),"Y21d series")</f>
        <v>Y21d series</v>
      </c>
      <c r="E97" s="40" t="s">
        <v>11433</v>
      </c>
      <c r="F97" s="40" t="s">
        <v>313</v>
      </c>
      <c r="G97" s="40" t="s">
        <v>11424</v>
      </c>
    </row>
    <row r="98">
      <c r="A98" s="53">
        <f>IFERROR(__xludf.DUMMYFUNCTION("""COMPUTED_VALUE"""),45994.61302736111)</f>
        <v>45994.61303</v>
      </c>
      <c r="B98" s="19" t="str">
        <f>IFERROR(__xludf.DUMMYFUNCTION("""COMPUTED_VALUE"""),"ASRI NINGSI RAMBU ATA ENDI")</f>
        <v>ASRI NINGSI RAMBU ATA ENDI</v>
      </c>
      <c r="C98" s="19" t="str">
        <f>IFERROR(__xludf.DUMMYFUNCTION("""COMPUTED_VALUE"""),"ACC")</f>
        <v>ACC</v>
      </c>
      <c r="D98" s="19" t="str">
        <f>IFERROR(__xludf.DUMMYFUNCTION("""COMPUTED_VALUE"""),"Y21d series")</f>
        <v>Y21d series</v>
      </c>
      <c r="E98" s="40" t="s">
        <v>11441</v>
      </c>
      <c r="F98" s="40" t="s">
        <v>205</v>
      </c>
      <c r="G98" s="40" t="s">
        <v>11419</v>
      </c>
    </row>
    <row r="99">
      <c r="A99" s="53">
        <f>IFERROR(__xludf.DUMMYFUNCTION("""COMPUTED_VALUE"""),45994.62247973379)</f>
        <v>45994.62248</v>
      </c>
      <c r="B99" s="19" t="str">
        <f>IFERROR(__xludf.DUMMYFUNCTION("""COMPUTED_VALUE"""),"SANTI MARIA LUKMINI NAHAK")</f>
        <v>SANTI MARIA LUKMINI NAHAK</v>
      </c>
      <c r="C99" s="19" t="str">
        <f>IFERROR(__xludf.DUMMYFUNCTION("""COMPUTED_VALUE"""),"Dapat limit tapi belum diproses")</f>
        <v>Dapat limit tapi belum diproses</v>
      </c>
      <c r="D99" s="19" t="str">
        <f>IFERROR(__xludf.DUMMYFUNCTION("""COMPUTED_VALUE"""),"Y400 series")</f>
        <v>Y400 series</v>
      </c>
      <c r="E99" s="40" t="s">
        <v>11460</v>
      </c>
      <c r="F99" s="40" t="s">
        <v>871</v>
      </c>
      <c r="G99" s="40" t="s">
        <v>11424</v>
      </c>
    </row>
    <row r="100">
      <c r="A100" s="53">
        <f>IFERROR(__xludf.DUMMYFUNCTION("""COMPUTED_VALUE"""),45994.625472280095)</f>
        <v>45994.62547</v>
      </c>
      <c r="B100" s="19" t="str">
        <f>IFERROR(__xludf.DUMMYFUNCTION("""COMPUTED_VALUE"""),"NABILA RAHMAWATI")</f>
        <v>NABILA RAHMAWATI</v>
      </c>
      <c r="C100" s="19" t="str">
        <f>IFERROR(__xludf.DUMMYFUNCTION("""COMPUTED_VALUE"""),"Dapat limit tapi belum diproses")</f>
        <v>Dapat limit tapi belum diproses</v>
      </c>
      <c r="D100" s="19" t="str">
        <f>IFERROR(__xludf.DUMMYFUNCTION("""COMPUTED_VALUE"""),"Y21d series")</f>
        <v>Y21d series</v>
      </c>
      <c r="E100" s="40" t="s">
        <v>11464</v>
      </c>
      <c r="F100" s="40" t="s">
        <v>257</v>
      </c>
      <c r="G100" s="40" t="s">
        <v>11419</v>
      </c>
    </row>
    <row r="101">
      <c r="A101" s="53">
        <f>IFERROR(__xludf.DUMMYFUNCTION("""COMPUTED_VALUE"""),45994.625763414355)</f>
        <v>45994.62576</v>
      </c>
      <c r="B101" s="19" t="str">
        <f>IFERROR(__xludf.DUMMYFUNCTION("""COMPUTED_VALUE"""),"AZ ZAHRA SITI ZAINAB")</f>
        <v>AZ ZAHRA SITI ZAINAB</v>
      </c>
      <c r="C101" s="19" t="str">
        <f>IFERROR(__xludf.DUMMYFUNCTION("""COMPUTED_VALUE"""),"ACC")</f>
        <v>ACC</v>
      </c>
      <c r="D101" s="19" t="str">
        <f>IFERROR(__xludf.DUMMYFUNCTION("""COMPUTED_VALUE"""),"Y21d series")</f>
        <v>Y21d series</v>
      </c>
      <c r="E101" s="40" t="s">
        <v>11462</v>
      </c>
      <c r="F101" s="40" t="s">
        <v>257</v>
      </c>
      <c r="G101" s="40" t="s">
        <v>11419</v>
      </c>
    </row>
    <row r="102">
      <c r="A102" s="53">
        <f>IFERROR(__xludf.DUMMYFUNCTION("""COMPUTED_VALUE"""),45994.638187083336)</f>
        <v>45994.63819</v>
      </c>
      <c r="B102" s="19" t="str">
        <f>IFERROR(__xludf.DUMMYFUNCTION("""COMPUTED_VALUE"""),"MARNITHA JUWIKE TIMORATI RUNESI")</f>
        <v>MARNITHA JUWIKE TIMORATI RUNESI</v>
      </c>
      <c r="C102" s="19" t="str">
        <f>IFERROR(__xludf.DUMMYFUNCTION("""COMPUTED_VALUE"""),"ACC")</f>
        <v>ACC</v>
      </c>
      <c r="D102" s="19" t="str">
        <f>IFERROR(__xludf.DUMMYFUNCTION("""COMPUTED_VALUE"""),"Y21d series")</f>
        <v>Y21d series</v>
      </c>
      <c r="E102" s="40" t="s">
        <v>11420</v>
      </c>
      <c r="F102" s="40" t="s">
        <v>204</v>
      </c>
      <c r="G102" s="40" t="s">
        <v>11399</v>
      </c>
    </row>
    <row r="103">
      <c r="A103" s="53">
        <f>IFERROR(__xludf.DUMMYFUNCTION("""COMPUTED_VALUE"""),45994.64643987269)</f>
        <v>45994.64644</v>
      </c>
      <c r="B103" s="19" t="str">
        <f>IFERROR(__xludf.DUMMYFUNCTION("""COMPUTED_VALUE"""),"YUNITA TAMELAB")</f>
        <v>YUNITA TAMELAB</v>
      </c>
      <c r="C103" s="19" t="str">
        <f>IFERROR(__xludf.DUMMYFUNCTION("""COMPUTED_VALUE"""),"Belum disetujui")</f>
        <v>Belum disetujui</v>
      </c>
      <c r="D103" s="19"/>
      <c r="E103" s="40" t="s">
        <v>11472</v>
      </c>
      <c r="F103" s="40" t="s">
        <v>667</v>
      </c>
      <c r="G103" s="40" t="s">
        <v>11424</v>
      </c>
    </row>
    <row r="104">
      <c r="A104" s="53">
        <f>IFERROR(__xludf.DUMMYFUNCTION("""COMPUTED_VALUE"""),45994.647694074076)</f>
        <v>45994.64769</v>
      </c>
      <c r="B104" s="19" t="str">
        <f>IFERROR(__xludf.DUMMYFUNCTION("""COMPUTED_VALUE"""),"MARNITHA JUWIKE TIMORATI RUNESI")</f>
        <v>MARNITHA JUWIKE TIMORATI RUNESI</v>
      </c>
      <c r="C104" s="19" t="str">
        <f>IFERROR(__xludf.DUMMYFUNCTION("""COMPUTED_VALUE"""),"Belum disetujui")</f>
        <v>Belum disetujui</v>
      </c>
      <c r="D104" s="19"/>
      <c r="E104" s="40" t="s">
        <v>11420</v>
      </c>
      <c r="F104" s="40" t="s">
        <v>204</v>
      </c>
      <c r="G104" s="40" t="s">
        <v>11399</v>
      </c>
    </row>
    <row r="105">
      <c r="A105" s="53">
        <f>IFERROR(__xludf.DUMMYFUNCTION("""COMPUTED_VALUE"""),45994.68137020833)</f>
        <v>45994.68137</v>
      </c>
      <c r="B105" s="19" t="str">
        <f>IFERROR(__xludf.DUMMYFUNCTION("""COMPUTED_VALUE"""),"ANITA ANA AMAH")</f>
        <v>ANITA ANA AMAH</v>
      </c>
      <c r="C105" s="19" t="str">
        <f>IFERROR(__xludf.DUMMYFUNCTION("""COMPUTED_VALUE"""),"Belum disetujui")</f>
        <v>Belum disetujui</v>
      </c>
      <c r="D105" s="19"/>
      <c r="E105" s="40" t="s">
        <v>11425</v>
      </c>
      <c r="F105" s="40" t="s">
        <v>205</v>
      </c>
      <c r="G105" s="40" t="s">
        <v>11419</v>
      </c>
    </row>
    <row r="106">
      <c r="A106" s="53">
        <f>IFERROR(__xludf.DUMMYFUNCTION("""COMPUTED_VALUE"""),45994.686726493055)</f>
        <v>45994.68673</v>
      </c>
      <c r="B106" s="19" t="str">
        <f>IFERROR(__xludf.DUMMYFUNCTION("""COMPUTED_VALUE"""),"SULIS NURAINI INSYATUN")</f>
        <v>SULIS NURAINI INSYATUN</v>
      </c>
      <c r="C106" s="19" t="str">
        <f>IFERROR(__xludf.DUMMYFUNCTION("""COMPUTED_VALUE"""),"Belum disetujui")</f>
        <v>Belum disetujui</v>
      </c>
      <c r="D106" s="19"/>
      <c r="E106" s="40" t="s">
        <v>11429</v>
      </c>
      <c r="F106" s="40" t="s">
        <v>257</v>
      </c>
      <c r="G106" s="40" t="s">
        <v>11419</v>
      </c>
    </row>
    <row r="107">
      <c r="A107" s="53">
        <f>IFERROR(__xludf.DUMMYFUNCTION("""COMPUTED_VALUE"""),45994.71881302083)</f>
        <v>45994.71881</v>
      </c>
      <c r="B107" s="19" t="str">
        <f>IFERROR(__xludf.DUMMYFUNCTION("""COMPUTED_VALUE"""),"HERONIMUS NAMU WALI")</f>
        <v>HERONIMUS NAMU WALI</v>
      </c>
      <c r="C107" s="19" t="str">
        <f>IFERROR(__xludf.DUMMYFUNCTION("""COMPUTED_VALUE"""),"Belum disetujui")</f>
        <v>Belum disetujui</v>
      </c>
      <c r="D107" s="19"/>
      <c r="E107" s="40" t="s">
        <v>11452</v>
      </c>
      <c r="F107" s="40" t="s">
        <v>205</v>
      </c>
      <c r="G107" s="40" t="s">
        <v>11419</v>
      </c>
    </row>
    <row r="108">
      <c r="A108" s="53">
        <f>IFERROR(__xludf.DUMMYFUNCTION("""COMPUTED_VALUE"""),45994.72595172453)</f>
        <v>45994.72595</v>
      </c>
      <c r="B108" s="19" t="str">
        <f>IFERROR(__xludf.DUMMYFUNCTION("""COMPUTED_VALUE"""),"ARMINDA TEKU MANEK")</f>
        <v>ARMINDA TEKU MANEK</v>
      </c>
      <c r="C108" s="19" t="str">
        <f>IFERROR(__xludf.DUMMYFUNCTION("""COMPUTED_VALUE"""),"Belum disetujui")</f>
        <v>Belum disetujui</v>
      </c>
      <c r="D108" s="19"/>
      <c r="E108" s="40" t="s">
        <v>11474</v>
      </c>
      <c r="F108" s="40" t="s">
        <v>313</v>
      </c>
      <c r="G108" s="40" t="s">
        <v>11424</v>
      </c>
    </row>
    <row r="109">
      <c r="A109" s="53">
        <f>IFERROR(__xludf.DUMMYFUNCTION("""COMPUTED_VALUE"""),45994.727402557866)</f>
        <v>45994.7274</v>
      </c>
      <c r="B109" s="19" t="str">
        <f>IFERROR(__xludf.DUMMYFUNCTION("""COMPUTED_VALUE"""),"ARMINDA TEKU MANEK")</f>
        <v>ARMINDA TEKU MANEK</v>
      </c>
      <c r="C109" s="19" t="str">
        <f>IFERROR(__xludf.DUMMYFUNCTION("""COMPUTED_VALUE"""),"Belum disetujui")</f>
        <v>Belum disetujui</v>
      </c>
      <c r="D109" s="19"/>
      <c r="E109" s="40" t="s">
        <v>11474</v>
      </c>
      <c r="F109" s="40" t="s">
        <v>313</v>
      </c>
      <c r="G109" s="40" t="s">
        <v>11424</v>
      </c>
    </row>
    <row r="110">
      <c r="A110" s="53">
        <f>IFERROR(__xludf.DUMMYFUNCTION("""COMPUTED_VALUE"""),45994.74891674769)</f>
        <v>45994.74892</v>
      </c>
      <c r="B110" s="19" t="str">
        <f>IFERROR(__xludf.DUMMYFUNCTION("""COMPUTED_VALUE"""),"ASTUTI BELA WAWO")</f>
        <v>ASTUTI BELA WAWO</v>
      </c>
      <c r="C110" s="19" t="str">
        <f>IFERROR(__xludf.DUMMYFUNCTION("""COMPUTED_VALUE"""),"ACC")</f>
        <v>ACC</v>
      </c>
      <c r="D110" s="19" t="str">
        <f>IFERROR(__xludf.DUMMYFUNCTION("""COMPUTED_VALUE"""),"V60 Lite series")</f>
        <v>V60 Lite series</v>
      </c>
      <c r="E110" s="40" t="s">
        <v>11427</v>
      </c>
      <c r="F110" s="40" t="s">
        <v>257</v>
      </c>
      <c r="G110" s="40" t="s">
        <v>11419</v>
      </c>
    </row>
    <row r="111">
      <c r="A111" s="53">
        <f>IFERROR(__xludf.DUMMYFUNCTION("""COMPUTED_VALUE"""),45994.75395608796)</f>
        <v>45994.75396</v>
      </c>
      <c r="B111" s="19" t="str">
        <f>IFERROR(__xludf.DUMMYFUNCTION("""COMPUTED_VALUE"""),"ASTUTI BELA WAWO")</f>
        <v>ASTUTI BELA WAWO</v>
      </c>
      <c r="C111" s="19" t="str">
        <f>IFERROR(__xludf.DUMMYFUNCTION("""COMPUTED_VALUE"""),"ACC")</f>
        <v>ACC</v>
      </c>
      <c r="D111" s="19" t="str">
        <f>IFERROR(__xludf.DUMMYFUNCTION("""COMPUTED_VALUE"""),"V60 Lite series")</f>
        <v>V60 Lite series</v>
      </c>
      <c r="E111" s="40" t="s">
        <v>11427</v>
      </c>
      <c r="F111" s="40" t="s">
        <v>257</v>
      </c>
      <c r="G111" s="40" t="s">
        <v>11419</v>
      </c>
    </row>
    <row r="112">
      <c r="A112" s="53">
        <f>IFERROR(__xludf.DUMMYFUNCTION("""COMPUTED_VALUE"""),45994.78007144676)</f>
        <v>45994.78007</v>
      </c>
      <c r="B112" s="19" t="str">
        <f>IFERROR(__xludf.DUMMYFUNCTION("""COMPUTED_VALUE"""),"MERDA PUTRI BUNGSU KENAT")</f>
        <v>MERDA PUTRI BUNGSU KENAT</v>
      </c>
      <c r="C112" s="19" t="str">
        <f>IFERROR(__xludf.DUMMYFUNCTION("""COMPUTED_VALUE"""),"ACC")</f>
        <v>ACC</v>
      </c>
      <c r="D112" s="19" t="str">
        <f>IFERROR(__xludf.DUMMYFUNCTION("""COMPUTED_VALUE"""),"Y21d series")</f>
        <v>Y21d series</v>
      </c>
      <c r="E112" s="40" t="s">
        <v>11422</v>
      </c>
      <c r="F112" s="40" t="s">
        <v>215</v>
      </c>
      <c r="G112" s="40" t="s">
        <v>11424</v>
      </c>
    </row>
    <row r="113">
      <c r="A113" s="53">
        <f>IFERROR(__xludf.DUMMYFUNCTION("""COMPUTED_VALUE"""),45994.78623741898)</f>
        <v>45994.78624</v>
      </c>
      <c r="B113" s="19" t="str">
        <f>IFERROR(__xludf.DUMMYFUNCTION("""COMPUTED_VALUE"""),"ADRIANA")</f>
        <v>ADRIANA</v>
      </c>
      <c r="C113" s="19" t="str">
        <f>IFERROR(__xludf.DUMMYFUNCTION("""COMPUTED_VALUE"""),"Belum disetujui")</f>
        <v>Belum disetujui</v>
      </c>
      <c r="D113" s="19"/>
      <c r="E113" s="40" t="s">
        <v>11433</v>
      </c>
      <c r="F113" s="40" t="s">
        <v>313</v>
      </c>
      <c r="G113" s="40" t="s">
        <v>11424</v>
      </c>
    </row>
    <row r="114">
      <c r="A114" s="53">
        <f>IFERROR(__xludf.DUMMYFUNCTION("""COMPUTED_VALUE"""),45994.79397736111)</f>
        <v>45994.79398</v>
      </c>
      <c r="B114" s="19" t="str">
        <f>IFERROR(__xludf.DUMMYFUNCTION("""COMPUTED_VALUE"""),"YASINTHA MBU")</f>
        <v>YASINTHA MBU</v>
      </c>
      <c r="C114" s="19" t="str">
        <f>IFERROR(__xludf.DUMMYFUNCTION("""COMPUTED_VALUE"""),"Belum disetujui")</f>
        <v>Belum disetujui</v>
      </c>
      <c r="D114" s="19"/>
      <c r="E114" s="40" t="s">
        <v>11407</v>
      </c>
      <c r="F114" s="40" t="s">
        <v>220</v>
      </c>
      <c r="G114" s="40" t="s">
        <v>11399</v>
      </c>
    </row>
    <row r="115">
      <c r="A115" s="53">
        <f>IFERROR(__xludf.DUMMYFUNCTION("""COMPUTED_VALUE"""),45994.80653670139)</f>
        <v>45994.80654</v>
      </c>
      <c r="B115" s="19" t="str">
        <f>IFERROR(__xludf.DUMMYFUNCTION("""COMPUTED_VALUE"""),"BERGITHA NIA OLIN")</f>
        <v>BERGITHA NIA OLIN</v>
      </c>
      <c r="C115" s="19" t="str">
        <f>IFERROR(__xludf.DUMMYFUNCTION("""COMPUTED_VALUE"""),"ACC")</f>
        <v>ACC</v>
      </c>
      <c r="D115" s="19" t="str">
        <f>IFERROR(__xludf.DUMMYFUNCTION("""COMPUTED_VALUE"""),"Y400 series")</f>
        <v>Y400 series</v>
      </c>
      <c r="E115" s="40" t="s">
        <v>11431</v>
      </c>
      <c r="F115" s="40" t="s">
        <v>313</v>
      </c>
      <c r="G115" s="40" t="s">
        <v>11424</v>
      </c>
    </row>
    <row r="116">
      <c r="A116" s="53">
        <f>IFERROR(__xludf.DUMMYFUNCTION("""COMPUTED_VALUE"""),45994.81497853009)</f>
        <v>45994.81498</v>
      </c>
      <c r="B116" s="19" t="str">
        <f>IFERROR(__xludf.DUMMYFUNCTION("""COMPUTED_VALUE"""),"ANAK AGUNG SRI WULANTIWI")</f>
        <v>ANAK AGUNG SRI WULANTIWI</v>
      </c>
      <c r="C116" s="19" t="str">
        <f>IFERROR(__xludf.DUMMYFUNCTION("""COMPUTED_VALUE"""),"Belum disetujui")</f>
        <v>Belum disetujui</v>
      </c>
      <c r="D116" s="19"/>
      <c r="E116" s="40" t="s">
        <v>11492</v>
      </c>
      <c r="F116" s="40" t="s">
        <v>205</v>
      </c>
      <c r="G116" s="40" t="s">
        <v>11419</v>
      </c>
    </row>
    <row r="117">
      <c r="A117" s="53">
        <f>IFERROR(__xludf.DUMMYFUNCTION("""COMPUTED_VALUE"""),45994.85486556713)</f>
        <v>45994.85487</v>
      </c>
      <c r="B117" s="19" t="str">
        <f>IFERROR(__xludf.DUMMYFUNCTION("""COMPUTED_VALUE"""),"DWITNEY PRETY WANGGANDIMA")</f>
        <v>DWITNEY PRETY WANGGANDIMA</v>
      </c>
      <c r="C117" s="19" t="str">
        <f>IFERROR(__xludf.DUMMYFUNCTION("""COMPUTED_VALUE"""),"Belum disetujui")</f>
        <v>Belum disetujui</v>
      </c>
      <c r="D117" s="19"/>
      <c r="E117" s="40" t="s">
        <v>11443</v>
      </c>
      <c r="F117" s="40" t="s">
        <v>220</v>
      </c>
      <c r="G117" s="40" t="s">
        <v>11399</v>
      </c>
    </row>
    <row r="118">
      <c r="A118" s="53">
        <f>IFERROR(__xludf.DUMMYFUNCTION("""COMPUTED_VALUE"""),45994.85967427083)</f>
        <v>45994.85967</v>
      </c>
      <c r="B118" s="19" t="str">
        <f>IFERROR(__xludf.DUMMYFUNCTION("""COMPUTED_VALUE"""),"MEXY ALEXANDER HETMINA")</f>
        <v>MEXY ALEXANDER HETMINA</v>
      </c>
      <c r="C118" s="19" t="str">
        <f>IFERROR(__xludf.DUMMYFUNCTION("""COMPUTED_VALUE"""),"Belum disetujui")</f>
        <v>Belum disetujui</v>
      </c>
      <c r="D118" s="19"/>
      <c r="E118" s="40" t="s">
        <v>11413</v>
      </c>
      <c r="F118" s="40" t="s">
        <v>204</v>
      </c>
      <c r="G118" s="40" t="s">
        <v>11399</v>
      </c>
    </row>
    <row r="119">
      <c r="A119" s="53">
        <f>IFERROR(__xludf.DUMMYFUNCTION("""COMPUTED_VALUE"""),45994.86043517361)</f>
        <v>45994.86044</v>
      </c>
      <c r="B119" s="19" t="str">
        <f>IFERROR(__xludf.DUMMYFUNCTION("""COMPUTED_VALUE"""),"SELVINCE BAKO")</f>
        <v>SELVINCE BAKO</v>
      </c>
      <c r="C119" s="19" t="str">
        <f>IFERROR(__xludf.DUMMYFUNCTION("""COMPUTED_VALUE"""),"Belum disetujui")</f>
        <v>Belum disetujui</v>
      </c>
      <c r="D119" s="19"/>
      <c r="E119" s="40" t="s">
        <v>11413</v>
      </c>
      <c r="F119" s="40" t="s">
        <v>204</v>
      </c>
      <c r="G119" s="40" t="s">
        <v>11399</v>
      </c>
    </row>
    <row r="120">
      <c r="A120" s="53">
        <f>IFERROR(__xludf.DUMMYFUNCTION("""COMPUTED_VALUE"""),45994.86643046296)</f>
        <v>45994.86643</v>
      </c>
      <c r="B120" s="19" t="str">
        <f>IFERROR(__xludf.DUMMYFUNCTION("""COMPUTED_VALUE"""),"NOVLIANA BARBALINA MISA")</f>
        <v>NOVLIANA BARBALINA MISA</v>
      </c>
      <c r="C120" s="19" t="str">
        <f>IFERROR(__xludf.DUMMYFUNCTION("""COMPUTED_VALUE"""),"ACC")</f>
        <v>ACC</v>
      </c>
      <c r="D120" s="19" t="str">
        <f>IFERROR(__xludf.DUMMYFUNCTION("""COMPUTED_VALUE"""),"Y400 series")</f>
        <v>Y400 series</v>
      </c>
      <c r="E120" s="40" t="s">
        <v>11454</v>
      </c>
      <c r="F120" s="40" t="s">
        <v>205</v>
      </c>
      <c r="G120" s="40" t="s">
        <v>11419</v>
      </c>
    </row>
    <row r="121">
      <c r="A121" s="53">
        <f>IFERROR(__xludf.DUMMYFUNCTION("""COMPUTED_VALUE"""),45994.90085454861)</f>
        <v>45994.90085</v>
      </c>
      <c r="B121" s="19" t="str">
        <f>IFERROR(__xludf.DUMMYFUNCTION("""COMPUTED_VALUE"""),"RESTIANY MARIA LUAN KALI")</f>
        <v>RESTIANY MARIA LUAN KALI</v>
      </c>
      <c r="C121" s="19" t="str">
        <f>IFERROR(__xludf.DUMMYFUNCTION("""COMPUTED_VALUE"""),"ACC")</f>
        <v>ACC</v>
      </c>
      <c r="D121" s="19" t="str">
        <f>IFERROR(__xludf.DUMMYFUNCTION("""COMPUTED_VALUE"""),"Y400 series")</f>
        <v>Y400 series</v>
      </c>
      <c r="E121" s="40" t="s">
        <v>11400</v>
      </c>
      <c r="F121" s="40" t="s">
        <v>204</v>
      </c>
      <c r="G121" s="40" t="s">
        <v>11399</v>
      </c>
    </row>
    <row r="122">
      <c r="A122" s="53">
        <f>IFERROR(__xludf.DUMMYFUNCTION("""COMPUTED_VALUE"""),45995.42173383102)</f>
        <v>45995.42173</v>
      </c>
      <c r="B122" s="19" t="str">
        <f>IFERROR(__xludf.DUMMYFUNCTION("""COMPUTED_VALUE"""),"NUR FATIMAH MOLBANG")</f>
        <v>NUR FATIMAH MOLBANG</v>
      </c>
      <c r="C122" s="19" t="str">
        <f>IFERROR(__xludf.DUMMYFUNCTION("""COMPUTED_VALUE"""),"Belum disetujui")</f>
        <v>Belum disetujui</v>
      </c>
      <c r="D122" s="19"/>
      <c r="E122" s="40" t="s">
        <v>11439</v>
      </c>
      <c r="F122" s="40" t="s">
        <v>313</v>
      </c>
      <c r="G122" s="40" t="s">
        <v>11424</v>
      </c>
    </row>
    <row r="123">
      <c r="A123" s="53">
        <f>IFERROR(__xludf.DUMMYFUNCTION("""COMPUTED_VALUE"""),45995.42338434028)</f>
        <v>45995.42338</v>
      </c>
      <c r="B123" s="19" t="str">
        <f>IFERROR(__xludf.DUMMYFUNCTION("""COMPUTED_VALUE"""),"ANDHIKA ULLY")</f>
        <v>ANDHIKA ULLY</v>
      </c>
      <c r="C123" s="19" t="str">
        <f>IFERROR(__xludf.DUMMYFUNCTION("""COMPUTED_VALUE"""),"Belum disetujui")</f>
        <v>Belum disetujui</v>
      </c>
      <c r="D123" s="19"/>
      <c r="E123" s="40" t="s">
        <v>11482</v>
      </c>
      <c r="F123" s="40" t="s">
        <v>220</v>
      </c>
      <c r="G123" s="40" t="s">
        <v>11399</v>
      </c>
    </row>
    <row r="124">
      <c r="A124" s="53">
        <f>IFERROR(__xludf.DUMMYFUNCTION("""COMPUTED_VALUE"""),45995.42546540509)</f>
        <v>45995.42547</v>
      </c>
      <c r="B124" s="19" t="str">
        <f>IFERROR(__xludf.DUMMYFUNCTION("""COMPUTED_VALUE"""),"ANNA RAHMATIA JUFRI")</f>
        <v>ANNA RAHMATIA JUFRI</v>
      </c>
      <c r="C124" s="19" t="str">
        <f>IFERROR(__xludf.DUMMYFUNCTION("""COMPUTED_VALUE"""),"ACC")</f>
        <v>ACC</v>
      </c>
      <c r="D124" s="19" t="str">
        <f>IFERROR(__xludf.DUMMYFUNCTION("""COMPUTED_VALUE"""),"Y400 series")</f>
        <v>Y400 series</v>
      </c>
      <c r="E124" s="40" t="s">
        <v>11484</v>
      </c>
      <c r="F124" s="40" t="s">
        <v>11450</v>
      </c>
      <c r="G124" s="40" t="s">
        <v>11424</v>
      </c>
    </row>
    <row r="125">
      <c r="A125" s="53">
        <f>IFERROR(__xludf.DUMMYFUNCTION("""COMPUTED_VALUE"""),45995.4619746875)</f>
        <v>45995.46197</v>
      </c>
      <c r="B125" s="19" t="str">
        <f>IFERROR(__xludf.DUMMYFUNCTION("""COMPUTED_VALUE"""),"BERGITHA NIA OLIN")</f>
        <v>BERGITHA NIA OLIN</v>
      </c>
      <c r="C125" s="19" t="str">
        <f>IFERROR(__xludf.DUMMYFUNCTION("""COMPUTED_VALUE"""),"Belum disetujui")</f>
        <v>Belum disetujui</v>
      </c>
      <c r="D125" s="19"/>
      <c r="E125" s="40" t="s">
        <v>11431</v>
      </c>
      <c r="F125" s="40" t="s">
        <v>313</v>
      </c>
      <c r="G125" s="40" t="s">
        <v>11424</v>
      </c>
    </row>
    <row r="126">
      <c r="A126" s="53">
        <f>IFERROR(__xludf.DUMMYFUNCTION("""COMPUTED_VALUE"""),45995.46906707176)</f>
        <v>45995.46907</v>
      </c>
      <c r="B126" s="19" t="str">
        <f>IFERROR(__xludf.DUMMYFUNCTION("""COMPUTED_VALUE"""),"MARNITHA JUWIKE TIMORATI RUNESI")</f>
        <v>MARNITHA JUWIKE TIMORATI RUNESI</v>
      </c>
      <c r="C126" s="19" t="str">
        <f>IFERROR(__xludf.DUMMYFUNCTION("""COMPUTED_VALUE"""),"Dapat limit tapi belum diproses")</f>
        <v>Dapat limit tapi belum diproses</v>
      </c>
      <c r="D126" s="19" t="str">
        <f>IFERROR(__xludf.DUMMYFUNCTION("""COMPUTED_VALUE"""),"Y21d series")</f>
        <v>Y21d series</v>
      </c>
      <c r="E126" s="40" t="s">
        <v>11420</v>
      </c>
      <c r="F126" s="40" t="s">
        <v>204</v>
      </c>
      <c r="G126" s="40" t="s">
        <v>11399</v>
      </c>
    </row>
    <row r="127">
      <c r="A127" s="53">
        <f>IFERROR(__xludf.DUMMYFUNCTION("""COMPUTED_VALUE"""),45995.4792240625)</f>
        <v>45995.47922</v>
      </c>
      <c r="B127" s="19" t="str">
        <f>IFERROR(__xludf.DUMMYFUNCTION("""COMPUTED_VALUE"""),"IDMAL YUSDIRAN YUSUF")</f>
        <v>IDMAL YUSDIRAN YUSUF</v>
      </c>
      <c r="C127" s="19" t="str">
        <f>IFERROR(__xludf.DUMMYFUNCTION("""COMPUTED_VALUE"""),"Belum disetujui")</f>
        <v>Belum disetujui</v>
      </c>
      <c r="D127" s="19"/>
      <c r="E127" s="40" t="s">
        <v>11417</v>
      </c>
      <c r="F127" s="40" t="s">
        <v>257</v>
      </c>
      <c r="G127" s="40" t="s">
        <v>11419</v>
      </c>
    </row>
    <row r="128">
      <c r="A128" s="53">
        <f>IFERROR(__xludf.DUMMYFUNCTION("""COMPUTED_VALUE"""),45995.48243873842)</f>
        <v>45995.48244</v>
      </c>
      <c r="B128" s="19" t="str">
        <f>IFERROR(__xludf.DUMMYFUNCTION("""COMPUTED_VALUE"""),"ASRI NINGSI RAMBU ATA ENDI")</f>
        <v>ASRI NINGSI RAMBU ATA ENDI</v>
      </c>
      <c r="C128" s="19" t="str">
        <f>IFERROR(__xludf.DUMMYFUNCTION("""COMPUTED_VALUE"""),"Belum disetujui")</f>
        <v>Belum disetujui</v>
      </c>
      <c r="D128" s="19"/>
      <c r="E128" s="40" t="s">
        <v>11441</v>
      </c>
      <c r="F128" s="40" t="s">
        <v>205</v>
      </c>
      <c r="G128" s="40" t="s">
        <v>11419</v>
      </c>
    </row>
    <row r="129">
      <c r="A129" s="53">
        <f>IFERROR(__xludf.DUMMYFUNCTION("""COMPUTED_VALUE"""),45995.48673803241)</f>
        <v>45995.48674</v>
      </c>
      <c r="B129" s="19" t="str">
        <f>IFERROR(__xludf.DUMMYFUNCTION("""COMPUTED_VALUE"""),"YASINTHA MBU")</f>
        <v>YASINTHA MBU</v>
      </c>
      <c r="C129" s="19" t="str">
        <f>IFERROR(__xludf.DUMMYFUNCTION("""COMPUTED_VALUE"""),"Dapat limit tapi belum diproses")</f>
        <v>Dapat limit tapi belum diproses</v>
      </c>
      <c r="D129" s="19" t="str">
        <f>IFERROR(__xludf.DUMMYFUNCTION("""COMPUTED_VALUE"""),"Y400 series")</f>
        <v>Y400 series</v>
      </c>
      <c r="E129" s="40" t="s">
        <v>11407</v>
      </c>
      <c r="F129" s="40" t="s">
        <v>220</v>
      </c>
      <c r="G129" s="40" t="s">
        <v>11399</v>
      </c>
    </row>
    <row r="130">
      <c r="A130" s="39">
        <f>IFERROR(__xludf.DUMMYFUNCTION("""COMPUTED_VALUE"""),45995.49667166667)</f>
        <v>45995.49667</v>
      </c>
      <c r="B130" s="40" t="str">
        <f>IFERROR(__xludf.DUMMYFUNCTION("""COMPUTED_VALUE"""),"KESIA NATALIA I. BENU")</f>
        <v>KESIA NATALIA I. BENU</v>
      </c>
      <c r="C130" s="40" t="str">
        <f>IFERROR(__xludf.DUMMYFUNCTION("""COMPUTED_VALUE"""),"Belum disetujui")</f>
        <v>Belum disetujui</v>
      </c>
      <c r="D130" s="40"/>
      <c r="E130" s="40" t="s">
        <v>11417</v>
      </c>
      <c r="F130" s="40" t="s">
        <v>257</v>
      </c>
      <c r="G130" s="40" t="s">
        <v>11419</v>
      </c>
    </row>
    <row r="131">
      <c r="A131" s="39">
        <f>IFERROR(__xludf.DUMMYFUNCTION("""COMPUTED_VALUE"""),45995.52410055556)</f>
        <v>45995.5241</v>
      </c>
      <c r="B131" s="40" t="str">
        <f>IFERROR(__xludf.DUMMYFUNCTION("""COMPUTED_VALUE"""),"BERGITHA NIA OLIN")</f>
        <v>BERGITHA NIA OLIN</v>
      </c>
      <c r="C131" s="40" t="str">
        <f>IFERROR(__xludf.DUMMYFUNCTION("""COMPUTED_VALUE"""),"Belum disetujui")</f>
        <v>Belum disetujui</v>
      </c>
      <c r="D131" s="40"/>
      <c r="E131" s="40" t="s">
        <v>11431</v>
      </c>
      <c r="F131" s="40" t="s">
        <v>313</v>
      </c>
      <c r="G131" s="40" t="s">
        <v>11424</v>
      </c>
    </row>
    <row r="132">
      <c r="A132" s="39">
        <f>IFERROR(__xludf.DUMMYFUNCTION("""COMPUTED_VALUE"""),45995.52877949074)</f>
        <v>45995.52878</v>
      </c>
      <c r="B132" s="40" t="str">
        <f>IFERROR(__xludf.DUMMYFUNCTION("""COMPUTED_VALUE"""),"NOVLIANA BARBALINA MISA")</f>
        <v>NOVLIANA BARBALINA MISA</v>
      </c>
      <c r="C132" s="40" t="str">
        <f>IFERROR(__xludf.DUMMYFUNCTION("""COMPUTED_VALUE"""),"Belum disetujui")</f>
        <v>Belum disetujui</v>
      </c>
      <c r="D132" s="40"/>
      <c r="E132" s="40" t="s">
        <v>11454</v>
      </c>
      <c r="F132" s="40" t="s">
        <v>205</v>
      </c>
      <c r="G132" s="40" t="s">
        <v>11419</v>
      </c>
    </row>
    <row r="133">
      <c r="A133" s="39">
        <f>IFERROR(__xludf.DUMMYFUNCTION("""COMPUTED_VALUE"""),45995.54664217593)</f>
        <v>45995.54664</v>
      </c>
      <c r="B133" s="40" t="str">
        <f>IFERROR(__xludf.DUMMYFUNCTION("""COMPUTED_VALUE"""),"ESTER LUDJI")</f>
        <v>ESTER LUDJI</v>
      </c>
      <c r="C133" s="40" t="str">
        <f>IFERROR(__xludf.DUMMYFUNCTION("""COMPUTED_VALUE"""),"Belum disetujui")</f>
        <v>Belum disetujui</v>
      </c>
      <c r="D133" s="40"/>
      <c r="E133" s="40" t="s">
        <v>11441</v>
      </c>
      <c r="F133" s="40" t="s">
        <v>205</v>
      </c>
      <c r="G133" s="40" t="s">
        <v>11419</v>
      </c>
    </row>
    <row r="134">
      <c r="A134" s="39">
        <f>IFERROR(__xludf.DUMMYFUNCTION("""COMPUTED_VALUE"""),45995.551039282414)</f>
        <v>45995.55104</v>
      </c>
      <c r="B134" s="40" t="str">
        <f>IFERROR(__xludf.DUMMYFUNCTION("""COMPUTED_VALUE"""),"ANAK AGUNG SRI WULANTIWI")</f>
        <v>ANAK AGUNG SRI WULANTIWI</v>
      </c>
      <c r="C134" s="40" t="str">
        <f>IFERROR(__xludf.DUMMYFUNCTION("""COMPUTED_VALUE"""),"ACC")</f>
        <v>ACC</v>
      </c>
      <c r="D134" s="40" t="str">
        <f>IFERROR(__xludf.DUMMYFUNCTION("""COMPUTED_VALUE"""),"Y400 series")</f>
        <v>Y400 series</v>
      </c>
      <c r="E134" s="40" t="s">
        <v>11492</v>
      </c>
      <c r="F134" s="40" t="s">
        <v>205</v>
      </c>
      <c r="G134" s="40" t="s">
        <v>11419</v>
      </c>
    </row>
    <row r="135">
      <c r="A135" s="39">
        <f>IFERROR(__xludf.DUMMYFUNCTION("""COMPUTED_VALUE"""),45995.55121774306)</f>
        <v>45995.55122</v>
      </c>
      <c r="B135" s="40" t="str">
        <f>IFERROR(__xludf.DUMMYFUNCTION("""COMPUTED_VALUE"""),"AZ ZAHRA SITI ZAINAB")</f>
        <v>AZ ZAHRA SITI ZAINAB</v>
      </c>
      <c r="C135" s="40" t="str">
        <f>IFERROR(__xludf.DUMMYFUNCTION("""COMPUTED_VALUE"""),"ACC")</f>
        <v>ACC</v>
      </c>
      <c r="D135" s="40" t="str">
        <f>IFERROR(__xludf.DUMMYFUNCTION("""COMPUTED_VALUE"""),"Y400 series")</f>
        <v>Y400 series</v>
      </c>
      <c r="E135" s="40" t="s">
        <v>11462</v>
      </c>
      <c r="F135" s="40" t="s">
        <v>257</v>
      </c>
      <c r="G135" s="40" t="s">
        <v>11419</v>
      </c>
    </row>
    <row r="136">
      <c r="A136" s="39">
        <f>IFERROR(__xludf.DUMMYFUNCTION("""COMPUTED_VALUE"""),45995.55906042824)</f>
        <v>45995.55906</v>
      </c>
      <c r="B136" s="40" t="str">
        <f>IFERROR(__xludf.DUMMYFUNCTION("""COMPUTED_VALUE"""),"ANITA ANA AMAH")</f>
        <v>ANITA ANA AMAH</v>
      </c>
      <c r="C136" s="40" t="str">
        <f>IFERROR(__xludf.DUMMYFUNCTION("""COMPUTED_VALUE"""),"Belum disetujui")</f>
        <v>Belum disetujui</v>
      </c>
      <c r="D136" s="40"/>
      <c r="E136" s="40" t="s">
        <v>11425</v>
      </c>
      <c r="F136" s="40" t="s">
        <v>205</v>
      </c>
      <c r="G136" s="40" t="s">
        <v>11419</v>
      </c>
    </row>
    <row r="137">
      <c r="A137" s="39">
        <f>IFERROR(__xludf.DUMMYFUNCTION("""COMPUTED_VALUE"""),45995.57041645834)</f>
        <v>45995.57042</v>
      </c>
      <c r="B137" s="40" t="str">
        <f>IFERROR(__xludf.DUMMYFUNCTION("""COMPUTED_VALUE"""),"ROS YANE KANA LUDJI")</f>
        <v>ROS YANE KANA LUDJI</v>
      </c>
      <c r="C137" s="40" t="str">
        <f>IFERROR(__xludf.DUMMYFUNCTION("""COMPUTED_VALUE"""),"Dapat limit tapi belum diproses")</f>
        <v>Dapat limit tapi belum diproses</v>
      </c>
      <c r="D137" s="40" t="str">
        <f>IFERROR(__xludf.DUMMYFUNCTION("""COMPUTED_VALUE"""),"V60 Lite series")</f>
        <v>V60 Lite series</v>
      </c>
      <c r="E137" s="40" t="s">
        <v>11437</v>
      </c>
      <c r="F137" s="40" t="s">
        <v>204</v>
      </c>
      <c r="G137" s="40" t="s">
        <v>11399</v>
      </c>
    </row>
    <row r="138">
      <c r="A138" s="39">
        <f>IFERROR(__xludf.DUMMYFUNCTION("""COMPUTED_VALUE"""),45995.570850034725)</f>
        <v>45995.57085</v>
      </c>
      <c r="B138" s="40" t="str">
        <f>IFERROR(__xludf.DUMMYFUNCTION("""COMPUTED_VALUE"""),"KESIA NATALIA I. BENU")</f>
        <v>KESIA NATALIA I. BENU</v>
      </c>
      <c r="C138" s="40" t="str">
        <f>IFERROR(__xludf.DUMMYFUNCTION("""COMPUTED_VALUE"""),"Belum disetujui")</f>
        <v>Belum disetujui</v>
      </c>
      <c r="D138" s="40"/>
      <c r="E138" s="40" t="s">
        <v>11417</v>
      </c>
      <c r="F138" s="40" t="s">
        <v>257</v>
      </c>
      <c r="G138" s="40" t="s">
        <v>11419</v>
      </c>
    </row>
    <row r="139">
      <c r="A139" s="39">
        <f>IFERROR(__xludf.DUMMYFUNCTION("""COMPUTED_VALUE"""),45995.670584467596)</f>
        <v>45995.67058</v>
      </c>
      <c r="B139" s="40" t="str">
        <f>IFERROR(__xludf.DUMMYFUNCTION("""COMPUTED_VALUE"""),"LASTRIANA PALUS")</f>
        <v>LASTRIANA PALUS</v>
      </c>
      <c r="C139" s="40" t="str">
        <f>IFERROR(__xludf.DUMMYFUNCTION("""COMPUTED_VALUE"""),"ACC")</f>
        <v>ACC</v>
      </c>
      <c r="D139" s="40" t="str">
        <f>IFERROR(__xludf.DUMMYFUNCTION("""COMPUTED_VALUE"""),"Y400 series")</f>
        <v>Y400 series</v>
      </c>
      <c r="E139" s="40" t="s">
        <v>11468</v>
      </c>
      <c r="F139" s="40" t="s">
        <v>257</v>
      </c>
      <c r="G139" s="40" t="s">
        <v>11419</v>
      </c>
    </row>
    <row r="140">
      <c r="A140" s="39">
        <f>IFERROR(__xludf.DUMMYFUNCTION("""COMPUTED_VALUE"""),45995.677021828706)</f>
        <v>45995.67702</v>
      </c>
      <c r="B140" s="40" t="str">
        <f>IFERROR(__xludf.DUMMYFUNCTION("""COMPUTED_VALUE"""),"KESIA NATALIA I. BENU")</f>
        <v>KESIA NATALIA I. BENU</v>
      </c>
      <c r="C140" s="40" t="str">
        <f>IFERROR(__xludf.DUMMYFUNCTION("""COMPUTED_VALUE"""),"ACC")</f>
        <v>ACC</v>
      </c>
      <c r="D140" s="40" t="str">
        <f>IFERROR(__xludf.DUMMYFUNCTION("""COMPUTED_VALUE"""),"Y400 series")</f>
        <v>Y400 series</v>
      </c>
      <c r="E140" s="40" t="s">
        <v>11417</v>
      </c>
      <c r="F140" s="40" t="s">
        <v>257</v>
      </c>
      <c r="G140" s="40" t="s">
        <v>11419</v>
      </c>
    </row>
    <row r="141">
      <c r="A141" s="39">
        <f>IFERROR(__xludf.DUMMYFUNCTION("""COMPUTED_VALUE"""),45995.68611076389)</f>
        <v>45995.68611</v>
      </c>
      <c r="B141" s="40" t="str">
        <f>IFERROR(__xludf.DUMMYFUNCTION("""COMPUTED_VALUE"""),"PRETI SISILIA SILA")</f>
        <v>PRETI SISILIA SILA</v>
      </c>
      <c r="C141" s="40" t="str">
        <f>IFERROR(__xludf.DUMMYFUNCTION("""COMPUTED_VALUE"""),"Dapat limit tapi belum diproses")</f>
        <v>Dapat limit tapi belum diproses</v>
      </c>
      <c r="D141" s="40" t="str">
        <f>IFERROR(__xludf.DUMMYFUNCTION("""COMPUTED_VALUE"""),"V60 series")</f>
        <v>V60 series</v>
      </c>
      <c r="E141" s="40" t="s">
        <v>11456</v>
      </c>
      <c r="F141" s="40" t="s">
        <v>667</v>
      </c>
      <c r="G141" s="40" t="s">
        <v>11424</v>
      </c>
    </row>
    <row r="142">
      <c r="A142" s="39">
        <f>IFERROR(__xludf.DUMMYFUNCTION("""COMPUTED_VALUE"""),45995.713920995375)</f>
        <v>45995.71392</v>
      </c>
      <c r="B142" s="40" t="str">
        <f>IFERROR(__xludf.DUMMYFUNCTION("""COMPUTED_VALUE"""),"AMBU BAIQ JUMENAH")</f>
        <v>AMBU BAIQ JUMENAH</v>
      </c>
      <c r="C142" s="40" t="str">
        <f>IFERROR(__xludf.DUMMYFUNCTION("""COMPUTED_VALUE"""),"Belum disetujui")</f>
        <v>Belum disetujui</v>
      </c>
      <c r="D142" s="40"/>
      <c r="E142" s="40" t="s">
        <v>11458</v>
      </c>
      <c r="F142" s="40" t="s">
        <v>205</v>
      </c>
      <c r="G142" s="40" t="s">
        <v>11419</v>
      </c>
    </row>
    <row r="143">
      <c r="A143" s="39">
        <f>IFERROR(__xludf.DUMMYFUNCTION("""COMPUTED_VALUE"""),45995.72087060185)</f>
        <v>45995.72087</v>
      </c>
      <c r="B143" s="40" t="str">
        <f>IFERROR(__xludf.DUMMYFUNCTION("""COMPUTED_VALUE"""),"ARMINDA TEKU MANEK")</f>
        <v>ARMINDA TEKU MANEK</v>
      </c>
      <c r="C143" s="40" t="str">
        <f>IFERROR(__xludf.DUMMYFUNCTION("""COMPUTED_VALUE"""),"Dapat limit tapi belum diproses")</f>
        <v>Dapat limit tapi belum diproses</v>
      </c>
      <c r="D143" s="40" t="str">
        <f>IFERROR(__xludf.DUMMYFUNCTION("""COMPUTED_VALUE"""),"Y21d series")</f>
        <v>Y21d series</v>
      </c>
      <c r="E143" s="40" t="s">
        <v>11474</v>
      </c>
      <c r="F143" s="40" t="s">
        <v>313</v>
      </c>
      <c r="G143" s="40" t="s">
        <v>11424</v>
      </c>
    </row>
    <row r="144">
      <c r="A144" s="39">
        <f>IFERROR(__xludf.DUMMYFUNCTION("""COMPUTED_VALUE"""),45995.726824722224)</f>
        <v>45995.72682</v>
      </c>
      <c r="B144" s="40" t="str">
        <f>IFERROR(__xludf.DUMMYFUNCTION("""COMPUTED_VALUE"""),"BERGITHA NIA OLIN")</f>
        <v>BERGITHA NIA OLIN</v>
      </c>
      <c r="C144" s="40" t="str">
        <f>IFERROR(__xludf.DUMMYFUNCTION("""COMPUTED_VALUE"""),"Belum disetujui")</f>
        <v>Belum disetujui</v>
      </c>
      <c r="D144" s="40"/>
      <c r="E144" s="40" t="s">
        <v>11431</v>
      </c>
      <c r="F144" s="40" t="s">
        <v>313</v>
      </c>
      <c r="G144" s="40" t="s">
        <v>11424</v>
      </c>
    </row>
    <row r="145">
      <c r="A145" s="39">
        <f>IFERROR(__xludf.DUMMYFUNCTION("""COMPUTED_VALUE"""),45995.727202442125)</f>
        <v>45995.7272</v>
      </c>
      <c r="B145" s="40" t="str">
        <f>IFERROR(__xludf.DUMMYFUNCTION("""COMPUTED_VALUE"""),"DWITNEY PRETY WANGGANDIMA")</f>
        <v>DWITNEY PRETY WANGGANDIMA</v>
      </c>
      <c r="C145" s="40" t="str">
        <f>IFERROR(__xludf.DUMMYFUNCTION("""COMPUTED_VALUE"""),"Belum disetujui")</f>
        <v>Belum disetujui</v>
      </c>
      <c r="D145" s="40"/>
      <c r="E145" s="40" t="s">
        <v>11443</v>
      </c>
      <c r="F145" s="40" t="s">
        <v>220</v>
      </c>
      <c r="G145" s="40" t="s">
        <v>11399</v>
      </c>
    </row>
    <row r="146">
      <c r="A146" s="39">
        <f>IFERROR(__xludf.DUMMYFUNCTION("""COMPUTED_VALUE"""),45995.74778849538)</f>
        <v>45995.74779</v>
      </c>
      <c r="B146" s="40" t="str">
        <f>IFERROR(__xludf.DUMMYFUNCTION("""COMPUTED_VALUE"""),"MERDA PUTRI BUNGSU KENAT")</f>
        <v>MERDA PUTRI BUNGSU KENAT</v>
      </c>
      <c r="C146" s="40" t="str">
        <f>IFERROR(__xludf.DUMMYFUNCTION("""COMPUTED_VALUE"""),"Belum disetujui")</f>
        <v>Belum disetujui</v>
      </c>
      <c r="D146" s="40"/>
      <c r="E146" s="40" t="s">
        <v>11422</v>
      </c>
      <c r="F146" s="40" t="s">
        <v>215</v>
      </c>
      <c r="G146" s="40" t="s">
        <v>11424</v>
      </c>
    </row>
    <row r="147">
      <c r="A147" s="39">
        <f>IFERROR(__xludf.DUMMYFUNCTION("""COMPUTED_VALUE"""),45995.75298793981)</f>
        <v>45995.75299</v>
      </c>
      <c r="B147" s="40" t="str">
        <f>IFERROR(__xludf.DUMMYFUNCTION("""COMPUTED_VALUE"""),"MEXY ALEXANDER HETMINA")</f>
        <v>MEXY ALEXANDER HETMINA</v>
      </c>
      <c r="C147" s="40" t="str">
        <f>IFERROR(__xludf.DUMMYFUNCTION("""COMPUTED_VALUE"""),"Belum disetujui")</f>
        <v>Belum disetujui</v>
      </c>
      <c r="D147" s="40"/>
      <c r="E147" s="40" t="s">
        <v>11413</v>
      </c>
      <c r="F147" s="40" t="s">
        <v>204</v>
      </c>
      <c r="G147" s="40" t="s">
        <v>11399</v>
      </c>
    </row>
    <row r="148">
      <c r="A148" s="39">
        <f>IFERROR(__xludf.DUMMYFUNCTION("""COMPUTED_VALUE"""),45995.75777640047)</f>
        <v>45995.75778</v>
      </c>
      <c r="B148" s="40" t="str">
        <f>IFERROR(__xludf.DUMMYFUNCTION("""COMPUTED_VALUE"""),"FREDERIKA ALVONSIA LENGO")</f>
        <v>FREDERIKA ALVONSIA LENGO</v>
      </c>
      <c r="C148" s="40" t="str">
        <f>IFERROR(__xludf.DUMMYFUNCTION("""COMPUTED_VALUE"""),"Belum disetujui")</f>
        <v>Belum disetujui</v>
      </c>
      <c r="D148" s="40"/>
      <c r="E148" s="40" t="s">
        <v>11488</v>
      </c>
      <c r="F148" s="40" t="s">
        <v>204</v>
      </c>
      <c r="G148" s="40" t="s">
        <v>11399</v>
      </c>
    </row>
    <row r="149">
      <c r="A149" s="39">
        <f>IFERROR(__xludf.DUMMYFUNCTION("""COMPUTED_VALUE"""),45995.7676609375)</f>
        <v>45995.76766</v>
      </c>
      <c r="B149" s="40" t="str">
        <f>IFERROR(__xludf.DUMMYFUNCTION("""COMPUTED_VALUE"""),"MARNITHA JUWIKE TIMORATI RUNESI")</f>
        <v>MARNITHA JUWIKE TIMORATI RUNESI</v>
      </c>
      <c r="C149" s="40" t="str">
        <f>IFERROR(__xludf.DUMMYFUNCTION("""COMPUTED_VALUE"""),"ACC")</f>
        <v>ACC</v>
      </c>
      <c r="D149" s="40" t="str">
        <f>IFERROR(__xludf.DUMMYFUNCTION("""COMPUTED_VALUE"""),"Y400 series")</f>
        <v>Y400 series</v>
      </c>
      <c r="E149" s="40" t="s">
        <v>11420</v>
      </c>
      <c r="F149" s="40" t="s">
        <v>204</v>
      </c>
      <c r="G149" s="40" t="s">
        <v>11399</v>
      </c>
    </row>
    <row r="150">
      <c r="A150" s="39">
        <f>IFERROR(__xludf.DUMMYFUNCTION("""COMPUTED_VALUE"""),45995.77629425925)</f>
        <v>45995.77629</v>
      </c>
      <c r="B150" s="40" t="str">
        <f>IFERROR(__xludf.DUMMYFUNCTION("""COMPUTED_VALUE"""),"LASTRIANA PALUS")</f>
        <v>LASTRIANA PALUS</v>
      </c>
      <c r="C150" s="40" t="str">
        <f>IFERROR(__xludf.DUMMYFUNCTION("""COMPUTED_VALUE"""),"Belum disetujui")</f>
        <v>Belum disetujui</v>
      </c>
      <c r="D150" s="40"/>
      <c r="E150" s="40" t="s">
        <v>11468</v>
      </c>
      <c r="F150" s="40" t="s">
        <v>257</v>
      </c>
      <c r="G150" s="40" t="s">
        <v>11419</v>
      </c>
    </row>
    <row r="151">
      <c r="A151" s="39">
        <f>IFERROR(__xludf.DUMMYFUNCTION("""COMPUTED_VALUE"""),45995.781779432866)</f>
        <v>45995.78178</v>
      </c>
      <c r="B151" s="40" t="str">
        <f>IFERROR(__xludf.DUMMYFUNCTION("""COMPUTED_VALUE"""),"NENY MERLIANTI NA'U")</f>
        <v>NENY MERLIANTI NA'U</v>
      </c>
      <c r="C151" s="40" t="str">
        <f>IFERROR(__xludf.DUMMYFUNCTION("""COMPUTED_VALUE"""),"Belum disetujui")</f>
        <v>Belum disetujui</v>
      </c>
      <c r="D151" s="40"/>
      <c r="E151" s="40" t="s">
        <v>11476</v>
      </c>
      <c r="F151" s="40" t="s">
        <v>204</v>
      </c>
      <c r="G151" s="40" t="s">
        <v>11399</v>
      </c>
    </row>
    <row r="152">
      <c r="A152" s="39">
        <f>IFERROR(__xludf.DUMMYFUNCTION("""COMPUTED_VALUE"""),45995.78575862268)</f>
        <v>45995.78576</v>
      </c>
      <c r="B152" s="40" t="str">
        <f>IFERROR(__xludf.DUMMYFUNCTION("""COMPUTED_VALUE"""),"ESTER LUDJI")</f>
        <v>ESTER LUDJI</v>
      </c>
      <c r="C152" s="40" t="str">
        <f>IFERROR(__xludf.DUMMYFUNCTION("""COMPUTED_VALUE"""),"ACC")</f>
        <v>ACC</v>
      </c>
      <c r="D152" s="40" t="str">
        <f>IFERROR(__xludf.DUMMYFUNCTION("""COMPUTED_VALUE"""),"Y400 series")</f>
        <v>Y400 series</v>
      </c>
      <c r="E152" s="40" t="s">
        <v>11441</v>
      </c>
      <c r="F152" s="40" t="s">
        <v>205</v>
      </c>
      <c r="G152" s="40" t="s">
        <v>11419</v>
      </c>
    </row>
    <row r="153">
      <c r="A153" s="39">
        <f>IFERROR(__xludf.DUMMYFUNCTION("""COMPUTED_VALUE"""),45995.80474835648)</f>
        <v>45995.80475</v>
      </c>
      <c r="B153" s="40" t="str">
        <f>IFERROR(__xludf.DUMMYFUNCTION("""COMPUTED_VALUE"""),"NOVLIANA BARBALINA MISA")</f>
        <v>NOVLIANA BARBALINA MISA</v>
      </c>
      <c r="C153" s="40" t="str">
        <f>IFERROR(__xludf.DUMMYFUNCTION("""COMPUTED_VALUE"""),"ACC")</f>
        <v>ACC</v>
      </c>
      <c r="D153" s="40" t="str">
        <f>IFERROR(__xludf.DUMMYFUNCTION("""COMPUTED_VALUE"""),"V60 Lite series")</f>
        <v>V60 Lite series</v>
      </c>
      <c r="E153" s="40" t="s">
        <v>11454</v>
      </c>
      <c r="F153" s="40" t="s">
        <v>205</v>
      </c>
      <c r="G153" s="40" t="s">
        <v>11419</v>
      </c>
    </row>
    <row r="154">
      <c r="A154" s="39">
        <f>IFERROR(__xludf.DUMMYFUNCTION("""COMPUTED_VALUE"""),45995.818189328704)</f>
        <v>45995.81819</v>
      </c>
      <c r="B154" s="40" t="str">
        <f>IFERROR(__xludf.DUMMYFUNCTION("""COMPUTED_VALUE"""),"MARIA MELAN ANANCE BILI")</f>
        <v>MARIA MELAN ANANCE BILI</v>
      </c>
      <c r="C154" s="40" t="str">
        <f>IFERROR(__xludf.DUMMYFUNCTION("""COMPUTED_VALUE"""),"ACC")</f>
        <v>ACC</v>
      </c>
      <c r="D154" s="40" t="str">
        <f>IFERROR(__xludf.DUMMYFUNCTION("""COMPUTED_VALUE"""),"Y400 series")</f>
        <v>Y400 series</v>
      </c>
      <c r="E154" s="40" t="s">
        <v>11466</v>
      </c>
      <c r="F154" s="40" t="s">
        <v>257</v>
      </c>
      <c r="G154" s="40" t="s">
        <v>11419</v>
      </c>
    </row>
    <row r="155">
      <c r="A155" s="39">
        <f>IFERROR(__xludf.DUMMYFUNCTION("""COMPUTED_VALUE"""),45995.83189736111)</f>
        <v>45995.8319</v>
      </c>
      <c r="B155" s="40" t="str">
        <f>IFERROR(__xludf.DUMMYFUNCTION("""COMPUTED_VALUE"""),"ASRI NINGSI RAMBU ATA ENDI")</f>
        <v>ASRI NINGSI RAMBU ATA ENDI</v>
      </c>
      <c r="C155" s="40" t="str">
        <f>IFERROR(__xludf.DUMMYFUNCTION("""COMPUTED_VALUE"""),"Belum disetujui")</f>
        <v>Belum disetujui</v>
      </c>
      <c r="D155" s="40"/>
      <c r="E155" s="40" t="s">
        <v>11441</v>
      </c>
      <c r="F155" s="40" t="s">
        <v>205</v>
      </c>
      <c r="G155" s="40" t="s">
        <v>11419</v>
      </c>
    </row>
    <row r="156">
      <c r="A156" s="39">
        <f>IFERROR(__xludf.DUMMYFUNCTION("""COMPUTED_VALUE"""),45995.83743915509)</f>
        <v>45995.83744</v>
      </c>
      <c r="B156" s="40" t="str">
        <f>IFERROR(__xludf.DUMMYFUNCTION("""COMPUTED_VALUE"""),"ESTER LUDJI")</f>
        <v>ESTER LUDJI</v>
      </c>
      <c r="C156" s="40" t="str">
        <f>IFERROR(__xludf.DUMMYFUNCTION("""COMPUTED_VALUE"""),"Belum disetujui")</f>
        <v>Belum disetujui</v>
      </c>
      <c r="D156" s="40"/>
      <c r="E156" s="40" t="s">
        <v>11441</v>
      </c>
      <c r="F156" s="40" t="s">
        <v>205</v>
      </c>
      <c r="G156" s="40" t="s">
        <v>11419</v>
      </c>
    </row>
    <row r="157">
      <c r="A157" s="39">
        <f>IFERROR(__xludf.DUMMYFUNCTION("""COMPUTED_VALUE"""),45995.870348553246)</f>
        <v>45995.87035</v>
      </c>
      <c r="B157" s="40" t="str">
        <f>IFERROR(__xludf.DUMMYFUNCTION("""COMPUTED_VALUE"""),"DEWI RAHMAN")</f>
        <v>DEWI RAHMAN</v>
      </c>
      <c r="C157" s="40" t="str">
        <f>IFERROR(__xludf.DUMMYFUNCTION("""COMPUTED_VALUE"""),"Belum disetujui")</f>
        <v>Belum disetujui</v>
      </c>
      <c r="D157" s="40"/>
      <c r="E157" s="40" t="s">
        <v>11449</v>
      </c>
      <c r="F157" s="40" t="s">
        <v>11450</v>
      </c>
      <c r="G157" s="40" t="s">
        <v>11424</v>
      </c>
    </row>
    <row r="158">
      <c r="A158" s="39">
        <f>IFERROR(__xludf.DUMMYFUNCTION("""COMPUTED_VALUE"""),45995.87105149306)</f>
        <v>45995.87105</v>
      </c>
      <c r="B158" s="40" t="str">
        <f>IFERROR(__xludf.DUMMYFUNCTION("""COMPUTED_VALUE"""),"WARDIA")</f>
        <v>WARDIA</v>
      </c>
      <c r="C158" s="40" t="str">
        <f>IFERROR(__xludf.DUMMYFUNCTION("""COMPUTED_VALUE"""),"Belum disetujui")</f>
        <v>Belum disetujui</v>
      </c>
      <c r="D158" s="40"/>
      <c r="E158" s="40" t="s">
        <v>11409</v>
      </c>
      <c r="F158" s="40" t="s">
        <v>204</v>
      </c>
      <c r="G158" s="40" t="s">
        <v>11399</v>
      </c>
    </row>
    <row r="159">
      <c r="A159" s="39">
        <f>IFERROR(__xludf.DUMMYFUNCTION("""COMPUTED_VALUE"""),45995.88263393519)</f>
        <v>45995.88263</v>
      </c>
      <c r="B159" s="40" t="str">
        <f>IFERROR(__xludf.DUMMYFUNCTION("""COMPUTED_VALUE"""),"HERONIMUS NAMU WALI")</f>
        <v>HERONIMUS NAMU WALI</v>
      </c>
      <c r="C159" s="40" t="str">
        <f>IFERROR(__xludf.DUMMYFUNCTION("""COMPUTED_VALUE"""),"ACC")</f>
        <v>ACC</v>
      </c>
      <c r="D159" s="40" t="str">
        <f>IFERROR(__xludf.DUMMYFUNCTION("""COMPUTED_VALUE"""),"V60 Lite series")</f>
        <v>V60 Lite series</v>
      </c>
      <c r="E159" s="40" t="s">
        <v>11452</v>
      </c>
      <c r="F159" s="40" t="s">
        <v>205</v>
      </c>
      <c r="G159" s="40" t="s">
        <v>11419</v>
      </c>
    </row>
    <row r="160">
      <c r="A160" s="39">
        <f>IFERROR(__xludf.DUMMYFUNCTION("""COMPUTED_VALUE"""),45995.912959699075)</f>
        <v>45995.91296</v>
      </c>
      <c r="B160" s="40" t="str">
        <f>IFERROR(__xludf.DUMMYFUNCTION("""COMPUTED_VALUE"""),"WINDRI MANOE")</f>
        <v>WINDRI MANOE</v>
      </c>
      <c r="C160" s="40" t="str">
        <f>IFERROR(__xludf.DUMMYFUNCTION("""COMPUTED_VALUE"""),"Belum disetujui")</f>
        <v>Belum disetujui</v>
      </c>
      <c r="D160" s="40"/>
      <c r="E160" s="40" t="s">
        <v>11443</v>
      </c>
      <c r="F160" s="40" t="s">
        <v>220</v>
      </c>
      <c r="G160" s="40" t="s">
        <v>11399</v>
      </c>
    </row>
    <row r="161">
      <c r="A161" s="39">
        <f>IFERROR(__xludf.DUMMYFUNCTION("""COMPUTED_VALUE"""),45995.92299629629)</f>
        <v>45995.923</v>
      </c>
      <c r="B161" s="40" t="str">
        <f>IFERROR(__xludf.DUMMYFUNCTION("""COMPUTED_VALUE"""),"ROS YANE KANA LUDJI")</f>
        <v>ROS YANE KANA LUDJI</v>
      </c>
      <c r="C161" s="40" t="str">
        <f>IFERROR(__xludf.DUMMYFUNCTION("""COMPUTED_VALUE"""),"ACC")</f>
        <v>ACC</v>
      </c>
      <c r="D161" s="40" t="str">
        <f>IFERROR(__xludf.DUMMYFUNCTION("""COMPUTED_VALUE"""),"Y21d series")</f>
        <v>Y21d series</v>
      </c>
      <c r="E161" s="40" t="s">
        <v>11437</v>
      </c>
      <c r="F161" s="40" t="s">
        <v>204</v>
      </c>
      <c r="G161" s="40" t="s">
        <v>11399</v>
      </c>
    </row>
    <row r="162">
      <c r="A162" s="39">
        <f>IFERROR(__xludf.DUMMYFUNCTION("""COMPUTED_VALUE"""),45996.417226111116)</f>
        <v>45996.41723</v>
      </c>
      <c r="B162" s="40" t="str">
        <f>IFERROR(__xludf.DUMMYFUNCTION("""COMPUTED_VALUE"""),"PUSPA ANGGREINI")</f>
        <v>PUSPA ANGGREINI</v>
      </c>
      <c r="C162" s="40" t="str">
        <f>IFERROR(__xludf.DUMMYFUNCTION("""COMPUTED_VALUE"""),"Belum disetujui")</f>
        <v>Belum disetujui</v>
      </c>
      <c r="D162" s="40"/>
      <c r="E162" s="40" t="s">
        <v>11427</v>
      </c>
      <c r="F162" s="40" t="s">
        <v>257</v>
      </c>
      <c r="G162" s="40" t="s">
        <v>11419</v>
      </c>
    </row>
    <row r="163">
      <c r="A163" s="39">
        <f>IFERROR(__xludf.DUMMYFUNCTION("""COMPUTED_VALUE"""),45996.466726770836)</f>
        <v>45996.46673</v>
      </c>
      <c r="B163" s="40" t="str">
        <f>IFERROR(__xludf.DUMMYFUNCTION("""COMPUTED_VALUE"""),"EMPI FRANGKI LIEM")</f>
        <v>EMPI FRANGKI LIEM</v>
      </c>
      <c r="C163" s="40" t="str">
        <f>IFERROR(__xludf.DUMMYFUNCTION("""COMPUTED_VALUE"""),"Belum disetujui")</f>
        <v>Belum disetujui</v>
      </c>
      <c r="D163" s="40"/>
      <c r="E163" s="40" t="s">
        <v>11397</v>
      </c>
      <c r="F163" s="40" t="s">
        <v>220</v>
      </c>
      <c r="G163" s="40" t="s">
        <v>11399</v>
      </c>
    </row>
    <row r="164">
      <c r="A164" s="39">
        <f>IFERROR(__xludf.DUMMYFUNCTION("""COMPUTED_VALUE"""),45996.47080290509)</f>
        <v>45996.4708</v>
      </c>
      <c r="B164" s="40" t="str">
        <f>IFERROR(__xludf.DUMMYFUNCTION("""COMPUTED_VALUE"""),"MARNITHA JUWIKE TIMORATI RUNESI")</f>
        <v>MARNITHA JUWIKE TIMORATI RUNESI</v>
      </c>
      <c r="C164" s="40" t="str">
        <f>IFERROR(__xludf.DUMMYFUNCTION("""COMPUTED_VALUE"""),"Belum disetujui")</f>
        <v>Belum disetujui</v>
      </c>
      <c r="D164" s="40"/>
      <c r="E164" s="40" t="s">
        <v>11420</v>
      </c>
      <c r="F164" s="40" t="s">
        <v>204</v>
      </c>
      <c r="G164" s="40" t="s">
        <v>11399</v>
      </c>
    </row>
    <row r="165">
      <c r="A165" s="39">
        <f>IFERROR(__xludf.DUMMYFUNCTION("""COMPUTED_VALUE"""),45996.513632500006)</f>
        <v>45996.51363</v>
      </c>
      <c r="B165" s="40" t="str">
        <f>IFERROR(__xludf.DUMMYFUNCTION("""COMPUTED_VALUE"""),"MARATHA MARLINDA FANGGIDAE")</f>
        <v>MARATHA MARLINDA FANGGIDAE</v>
      </c>
      <c r="C165" s="40" t="str">
        <f>IFERROR(__xludf.DUMMYFUNCTION("""COMPUTED_VALUE"""),"ACC")</f>
        <v>ACC</v>
      </c>
      <c r="D165" s="40" t="str">
        <f>IFERROR(__xludf.DUMMYFUNCTION("""COMPUTED_VALUE"""),"Y21d series")</f>
        <v>Y21d series</v>
      </c>
      <c r="E165" s="40" t="s">
        <v>11435</v>
      </c>
      <c r="F165" s="40" t="s">
        <v>215</v>
      </c>
      <c r="G165" s="40" t="s">
        <v>11424</v>
      </c>
    </row>
    <row r="166">
      <c r="A166" s="39">
        <f>IFERROR(__xludf.DUMMYFUNCTION("""COMPUTED_VALUE"""),45996.52655850694)</f>
        <v>45996.52656</v>
      </c>
      <c r="B166" s="40" t="str">
        <f>IFERROR(__xludf.DUMMYFUNCTION("""COMPUTED_VALUE"""),"ANAK AGUNG SRI WULANTIWI")</f>
        <v>ANAK AGUNG SRI WULANTIWI</v>
      </c>
      <c r="C166" s="40" t="str">
        <f>IFERROR(__xludf.DUMMYFUNCTION("""COMPUTED_VALUE"""),"Belum disetujui")</f>
        <v>Belum disetujui</v>
      </c>
      <c r="D166" s="40"/>
      <c r="E166" s="40" t="s">
        <v>11492</v>
      </c>
      <c r="F166" s="40" t="s">
        <v>205</v>
      </c>
      <c r="G166" s="40" t="s">
        <v>11419</v>
      </c>
    </row>
    <row r="167">
      <c r="A167" s="39">
        <f>IFERROR(__xludf.DUMMYFUNCTION("""COMPUTED_VALUE"""),45996.527492546295)</f>
        <v>45996.52749</v>
      </c>
      <c r="B167" s="40" t="str">
        <f>IFERROR(__xludf.DUMMYFUNCTION("""COMPUTED_VALUE"""),"ALDIANA WELIA PANIE")</f>
        <v>ALDIANA WELIA PANIE</v>
      </c>
      <c r="C167" s="40" t="str">
        <f>IFERROR(__xludf.DUMMYFUNCTION("""COMPUTED_VALUE"""),"Belum disetujui")</f>
        <v>Belum disetujui</v>
      </c>
      <c r="D167" s="40"/>
      <c r="E167" s="40" t="s">
        <v>11422</v>
      </c>
      <c r="F167" s="40" t="s">
        <v>215</v>
      </c>
      <c r="G167" s="40" t="s">
        <v>11424</v>
      </c>
    </row>
    <row r="168">
      <c r="A168" s="39">
        <f>IFERROR(__xludf.DUMMYFUNCTION("""COMPUTED_VALUE"""),45996.53171766204)</f>
        <v>45996.53172</v>
      </c>
      <c r="B168" s="40" t="str">
        <f>IFERROR(__xludf.DUMMYFUNCTION("""COMPUTED_VALUE"""),"YUNITA TAMELAB")</f>
        <v>YUNITA TAMELAB</v>
      </c>
      <c r="C168" s="40" t="str">
        <f>IFERROR(__xludf.DUMMYFUNCTION("""COMPUTED_VALUE"""),"ACC")</f>
        <v>ACC</v>
      </c>
      <c r="D168" s="40" t="str">
        <f>IFERROR(__xludf.DUMMYFUNCTION("""COMPUTED_VALUE"""),"Y21d series")</f>
        <v>Y21d series</v>
      </c>
      <c r="E168" s="40" t="s">
        <v>11472</v>
      </c>
      <c r="F168" s="40" t="s">
        <v>667</v>
      </c>
      <c r="G168" s="40" t="s">
        <v>11424</v>
      </c>
    </row>
    <row r="169">
      <c r="A169" s="39">
        <f>IFERROR(__xludf.DUMMYFUNCTION("""COMPUTED_VALUE"""),45996.535503043975)</f>
        <v>45996.5355</v>
      </c>
      <c r="B169" s="40" t="str">
        <f>IFERROR(__xludf.DUMMYFUNCTION("""COMPUTED_VALUE"""),"NUR FATIMAH MOLBANG")</f>
        <v>NUR FATIMAH MOLBANG</v>
      </c>
      <c r="C169" s="40" t="str">
        <f>IFERROR(__xludf.DUMMYFUNCTION("""COMPUTED_VALUE"""),"Belum disetujui")</f>
        <v>Belum disetujui</v>
      </c>
      <c r="D169" s="40"/>
      <c r="E169" s="40" t="s">
        <v>11439</v>
      </c>
      <c r="F169" s="40" t="s">
        <v>313</v>
      </c>
      <c r="G169" s="40" t="s">
        <v>11424</v>
      </c>
    </row>
    <row r="170">
      <c r="A170" s="39">
        <f>IFERROR(__xludf.DUMMYFUNCTION("""COMPUTED_VALUE"""),45996.53705710648)</f>
        <v>45996.53706</v>
      </c>
      <c r="B170" s="40" t="str">
        <f>IFERROR(__xludf.DUMMYFUNCTION("""COMPUTED_VALUE"""),"NUR FATIMAH MOLBANG")</f>
        <v>NUR FATIMAH MOLBANG</v>
      </c>
      <c r="C170" s="40" t="str">
        <f>IFERROR(__xludf.DUMMYFUNCTION("""COMPUTED_VALUE"""),"Belum disetujui")</f>
        <v>Belum disetujui</v>
      </c>
      <c r="D170" s="40"/>
      <c r="E170" s="40" t="s">
        <v>11439</v>
      </c>
      <c r="F170" s="40" t="s">
        <v>313</v>
      </c>
      <c r="G170" s="40" t="s">
        <v>11424</v>
      </c>
    </row>
    <row r="171">
      <c r="A171" s="39">
        <f>IFERROR(__xludf.DUMMYFUNCTION("""COMPUTED_VALUE"""),45996.539250104164)</f>
        <v>45996.53925</v>
      </c>
      <c r="B171" s="40" t="str">
        <f>IFERROR(__xludf.DUMMYFUNCTION("""COMPUTED_VALUE"""),"ASRI NINGSI RAMBU ATA ENDI")</f>
        <v>ASRI NINGSI RAMBU ATA ENDI</v>
      </c>
      <c r="C171" s="40" t="str">
        <f>IFERROR(__xludf.DUMMYFUNCTION("""COMPUTED_VALUE"""),"ACC")</f>
        <v>ACC</v>
      </c>
      <c r="D171" s="40" t="str">
        <f>IFERROR(__xludf.DUMMYFUNCTION("""COMPUTED_VALUE"""),"Y400 series")</f>
        <v>Y400 series</v>
      </c>
      <c r="E171" s="40" t="s">
        <v>11441</v>
      </c>
      <c r="F171" s="40" t="s">
        <v>205</v>
      </c>
      <c r="G171" s="40" t="s">
        <v>11419</v>
      </c>
    </row>
    <row r="172">
      <c r="A172" s="39">
        <f>IFERROR(__xludf.DUMMYFUNCTION("""COMPUTED_VALUE"""),45996.54023824075)</f>
        <v>45996.54024</v>
      </c>
      <c r="B172" s="40" t="str">
        <f>IFERROR(__xludf.DUMMYFUNCTION("""COMPUTED_VALUE"""),"NUR FATIMAH MOLBANG")</f>
        <v>NUR FATIMAH MOLBANG</v>
      </c>
      <c r="C172" s="40" t="str">
        <f>IFERROR(__xludf.DUMMYFUNCTION("""COMPUTED_VALUE"""),"Belum disetujui")</f>
        <v>Belum disetujui</v>
      </c>
      <c r="D172" s="40"/>
      <c r="E172" s="40" t="s">
        <v>11439</v>
      </c>
      <c r="F172" s="40" t="s">
        <v>313</v>
      </c>
      <c r="G172" s="40" t="s">
        <v>11424</v>
      </c>
    </row>
    <row r="173">
      <c r="A173" s="39">
        <f>IFERROR(__xludf.DUMMYFUNCTION("""COMPUTED_VALUE"""),45996.54125711805)</f>
        <v>45996.54126</v>
      </c>
      <c r="B173" s="40" t="str">
        <f>IFERROR(__xludf.DUMMYFUNCTION("""COMPUTED_VALUE"""),"IDMAL YUSDIRAN YUSUF")</f>
        <v>IDMAL YUSDIRAN YUSUF</v>
      </c>
      <c r="C173" s="40" t="str">
        <f>IFERROR(__xludf.DUMMYFUNCTION("""COMPUTED_VALUE"""),"Belum disetujui")</f>
        <v>Belum disetujui</v>
      </c>
      <c r="D173" s="40"/>
      <c r="E173" s="40" t="s">
        <v>11417</v>
      </c>
      <c r="F173" s="40" t="s">
        <v>257</v>
      </c>
      <c r="G173" s="40" t="s">
        <v>11419</v>
      </c>
    </row>
    <row r="174">
      <c r="A174" s="39">
        <f>IFERROR(__xludf.DUMMYFUNCTION("""COMPUTED_VALUE"""),45996.541924386576)</f>
        <v>45996.54192</v>
      </c>
      <c r="B174" s="40" t="str">
        <f>IFERROR(__xludf.DUMMYFUNCTION("""COMPUTED_VALUE"""),"ESTER LUDJI")</f>
        <v>ESTER LUDJI</v>
      </c>
      <c r="C174" s="40" t="str">
        <f>IFERROR(__xludf.DUMMYFUNCTION("""COMPUTED_VALUE"""),"Belum disetujui")</f>
        <v>Belum disetujui</v>
      </c>
      <c r="D174" s="40"/>
      <c r="E174" s="40" t="s">
        <v>11441</v>
      </c>
      <c r="F174" s="40" t="s">
        <v>205</v>
      </c>
      <c r="G174" s="40" t="s">
        <v>11419</v>
      </c>
    </row>
    <row r="175">
      <c r="A175" s="39">
        <f>IFERROR(__xludf.DUMMYFUNCTION("""COMPUTED_VALUE"""),45996.54374988426)</f>
        <v>45996.54375</v>
      </c>
      <c r="B175" s="40" t="str">
        <f>IFERROR(__xludf.DUMMYFUNCTION("""COMPUTED_VALUE"""),"YUNITA TAMELAB")</f>
        <v>YUNITA TAMELAB</v>
      </c>
      <c r="C175" s="40" t="str">
        <f>IFERROR(__xludf.DUMMYFUNCTION("""COMPUTED_VALUE"""),"ACC")</f>
        <v>ACC</v>
      </c>
      <c r="D175" s="40" t="str">
        <f>IFERROR(__xludf.DUMMYFUNCTION("""COMPUTED_VALUE"""),"Y21d series")</f>
        <v>Y21d series</v>
      </c>
      <c r="E175" s="40" t="s">
        <v>11472</v>
      </c>
      <c r="F175" s="40" t="s">
        <v>667</v>
      </c>
      <c r="G175" s="40" t="s">
        <v>11424</v>
      </c>
    </row>
    <row r="176">
      <c r="A176" s="39">
        <f>IFERROR(__xludf.DUMMYFUNCTION("""COMPUTED_VALUE"""),45996.582601759255)</f>
        <v>45996.5826</v>
      </c>
      <c r="B176" s="40" t="str">
        <f>IFERROR(__xludf.DUMMYFUNCTION("""COMPUTED_VALUE"""),"ADRIANA")</f>
        <v>ADRIANA</v>
      </c>
      <c r="C176" s="40" t="str">
        <f>IFERROR(__xludf.DUMMYFUNCTION("""COMPUTED_VALUE"""),"Belum disetujui")</f>
        <v>Belum disetujui</v>
      </c>
      <c r="D176" s="40"/>
      <c r="E176" s="40" t="s">
        <v>11433</v>
      </c>
      <c r="F176" s="40" t="s">
        <v>313</v>
      </c>
      <c r="G176" s="40" t="s">
        <v>11424</v>
      </c>
    </row>
    <row r="177">
      <c r="A177" s="39">
        <f>IFERROR(__xludf.DUMMYFUNCTION("""COMPUTED_VALUE"""),45996.61163494213)</f>
        <v>45996.61163</v>
      </c>
      <c r="B177" s="40" t="str">
        <f>IFERROR(__xludf.DUMMYFUNCTION("""COMPUTED_VALUE"""),"LASTRIANA PALUS")</f>
        <v>LASTRIANA PALUS</v>
      </c>
      <c r="C177" s="40" t="str">
        <f>IFERROR(__xludf.DUMMYFUNCTION("""COMPUTED_VALUE"""),"Belum disetujui")</f>
        <v>Belum disetujui</v>
      </c>
      <c r="D177" s="40"/>
      <c r="E177" s="40" t="s">
        <v>11468</v>
      </c>
      <c r="F177" s="40" t="s">
        <v>257</v>
      </c>
      <c r="G177" s="40" t="s">
        <v>11419</v>
      </c>
    </row>
    <row r="178">
      <c r="A178" s="39">
        <f>IFERROR(__xludf.DUMMYFUNCTION("""COMPUTED_VALUE"""),45996.61397839121)</f>
        <v>45996.61398</v>
      </c>
      <c r="B178" s="40" t="str">
        <f>IFERROR(__xludf.DUMMYFUNCTION("""COMPUTED_VALUE"""),"LASTRIANA PALUS")</f>
        <v>LASTRIANA PALUS</v>
      </c>
      <c r="C178" s="40" t="str">
        <f>IFERROR(__xludf.DUMMYFUNCTION("""COMPUTED_VALUE"""),"Belum disetujui")</f>
        <v>Belum disetujui</v>
      </c>
      <c r="D178" s="40"/>
      <c r="E178" s="40" t="s">
        <v>11468</v>
      </c>
      <c r="F178" s="40" t="s">
        <v>257</v>
      </c>
      <c r="G178" s="40" t="s">
        <v>11419</v>
      </c>
    </row>
    <row r="179">
      <c r="A179" s="39">
        <f>IFERROR(__xludf.DUMMYFUNCTION("""COMPUTED_VALUE"""),45996.64542973379)</f>
        <v>45996.64543</v>
      </c>
      <c r="B179" s="40" t="str">
        <f>IFERROR(__xludf.DUMMYFUNCTION("""COMPUTED_VALUE"""),"WARDIA")</f>
        <v>WARDIA</v>
      </c>
      <c r="C179" s="40" t="str">
        <f>IFERROR(__xludf.DUMMYFUNCTION("""COMPUTED_VALUE"""),"Dapat limit tapi belum diproses")</f>
        <v>Dapat limit tapi belum diproses</v>
      </c>
      <c r="D179" s="40" t="str">
        <f>IFERROR(__xludf.DUMMYFUNCTION("""COMPUTED_VALUE"""),"Y21d series")</f>
        <v>Y21d series</v>
      </c>
      <c r="E179" s="40" t="s">
        <v>11409</v>
      </c>
      <c r="F179" s="40" t="s">
        <v>204</v>
      </c>
      <c r="G179" s="40" t="s">
        <v>11399</v>
      </c>
    </row>
    <row r="180">
      <c r="A180" s="39">
        <f>IFERROR(__xludf.DUMMYFUNCTION("""COMPUTED_VALUE"""),45996.65242027778)</f>
        <v>45996.65242</v>
      </c>
      <c r="B180" s="40" t="str">
        <f>IFERROR(__xludf.DUMMYFUNCTION("""COMPUTED_VALUE"""),"YOMELIANA MARIA MAGNO")</f>
        <v>YOMELIANA MARIA MAGNO</v>
      </c>
      <c r="C180" s="40" t="str">
        <f>IFERROR(__xludf.DUMMYFUNCTION("""COMPUTED_VALUE"""),"Belum disetujui")</f>
        <v>Belum disetujui</v>
      </c>
      <c r="D180" s="40"/>
      <c r="E180" s="40" t="s">
        <v>11460</v>
      </c>
      <c r="F180" s="40" t="s">
        <v>871</v>
      </c>
      <c r="G180" s="40" t="s">
        <v>11424</v>
      </c>
    </row>
    <row r="181">
      <c r="A181" s="39">
        <f>IFERROR(__xludf.DUMMYFUNCTION("""COMPUTED_VALUE"""),45996.661874583326)</f>
        <v>45996.66187</v>
      </c>
      <c r="B181" s="40" t="str">
        <f>IFERROR(__xludf.DUMMYFUNCTION("""COMPUTED_VALUE"""),"HERONIMUS NAMU WALI")</f>
        <v>HERONIMUS NAMU WALI</v>
      </c>
      <c r="C181" s="40" t="str">
        <f>IFERROR(__xludf.DUMMYFUNCTION("""COMPUTED_VALUE"""),"ACC")</f>
        <v>ACC</v>
      </c>
      <c r="D181" s="40" t="str">
        <f>IFERROR(__xludf.DUMMYFUNCTION("""COMPUTED_VALUE"""),"Y400 series")</f>
        <v>Y400 series</v>
      </c>
      <c r="E181" s="40" t="s">
        <v>11452</v>
      </c>
      <c r="F181" s="40" t="s">
        <v>205</v>
      </c>
      <c r="G181" s="40" t="s">
        <v>11419</v>
      </c>
    </row>
    <row r="182">
      <c r="A182" s="39">
        <f>IFERROR(__xludf.DUMMYFUNCTION("""COMPUTED_VALUE"""),45996.68831283565)</f>
        <v>45996.68831</v>
      </c>
      <c r="B182" s="40" t="str">
        <f>IFERROR(__xludf.DUMMYFUNCTION("""COMPUTED_VALUE"""),"SULIS NURAINI INSYATUN")</f>
        <v>SULIS NURAINI INSYATUN</v>
      </c>
      <c r="C182" s="40" t="str">
        <f>IFERROR(__xludf.DUMMYFUNCTION("""COMPUTED_VALUE"""),"Belum disetujui")</f>
        <v>Belum disetujui</v>
      </c>
      <c r="D182" s="40"/>
      <c r="E182" s="40" t="s">
        <v>11429</v>
      </c>
      <c r="F182" s="40" t="s">
        <v>257</v>
      </c>
      <c r="G182" s="40" t="s">
        <v>11419</v>
      </c>
    </row>
    <row r="183">
      <c r="A183" s="39">
        <f>IFERROR(__xludf.DUMMYFUNCTION("""COMPUTED_VALUE"""),45996.722003634255)</f>
        <v>45996.722</v>
      </c>
      <c r="B183" s="40" t="str">
        <f>IFERROR(__xludf.DUMMYFUNCTION("""COMPUTED_VALUE"""),"LASTRIANA PALUS")</f>
        <v>LASTRIANA PALUS</v>
      </c>
      <c r="C183" s="40" t="str">
        <f>IFERROR(__xludf.DUMMYFUNCTION("""COMPUTED_VALUE"""),"Belum disetujui")</f>
        <v>Belum disetujui</v>
      </c>
      <c r="D183" s="40"/>
      <c r="E183" s="40" t="s">
        <v>11468</v>
      </c>
      <c r="F183" s="40" t="s">
        <v>257</v>
      </c>
      <c r="G183" s="40" t="s">
        <v>11419</v>
      </c>
    </row>
    <row r="184">
      <c r="A184" s="39">
        <f>IFERROR(__xludf.DUMMYFUNCTION("""COMPUTED_VALUE"""),45996.7256158449)</f>
        <v>45996.72562</v>
      </c>
      <c r="B184" s="40" t="str">
        <f>IFERROR(__xludf.DUMMYFUNCTION("""COMPUTED_VALUE"""),"MARNITHA JUWIKE TIMORATI RUNESI")</f>
        <v>MARNITHA JUWIKE TIMORATI RUNESI</v>
      </c>
      <c r="C184" s="40" t="str">
        <f>IFERROR(__xludf.DUMMYFUNCTION("""COMPUTED_VALUE"""),"Belum disetujui")</f>
        <v>Belum disetujui</v>
      </c>
      <c r="D184" s="40"/>
      <c r="E184" s="40" t="s">
        <v>11420</v>
      </c>
      <c r="F184" s="40" t="s">
        <v>204</v>
      </c>
      <c r="G184" s="40" t="s">
        <v>11399</v>
      </c>
    </row>
    <row r="185">
      <c r="A185" s="39">
        <f>IFERROR(__xludf.DUMMYFUNCTION("""COMPUTED_VALUE"""),45996.739580625)</f>
        <v>45996.73958</v>
      </c>
      <c r="B185" s="40" t="str">
        <f>IFERROR(__xludf.DUMMYFUNCTION("""COMPUTED_VALUE"""),"MARNITHA JUWIKE TIMORATI RUNESI")</f>
        <v>MARNITHA JUWIKE TIMORATI RUNESI</v>
      </c>
      <c r="C185" s="40" t="str">
        <f>IFERROR(__xludf.DUMMYFUNCTION("""COMPUTED_VALUE"""),"Belum disetujui")</f>
        <v>Belum disetujui</v>
      </c>
      <c r="D185" s="40"/>
      <c r="E185" s="40" t="s">
        <v>11420</v>
      </c>
      <c r="F185" s="40" t="s">
        <v>204</v>
      </c>
      <c r="G185" s="40" t="s">
        <v>11399</v>
      </c>
    </row>
    <row r="186">
      <c r="A186" s="39">
        <f>IFERROR(__xludf.DUMMYFUNCTION("""COMPUTED_VALUE"""),45996.77892236111)</f>
        <v>45996.77892</v>
      </c>
      <c r="B186" s="40" t="str">
        <f>IFERROR(__xludf.DUMMYFUNCTION("""COMPUTED_VALUE"""),"NUR FATIMAH MOLBANG")</f>
        <v>NUR FATIMAH MOLBANG</v>
      </c>
      <c r="C186" s="40" t="str">
        <f>IFERROR(__xludf.DUMMYFUNCTION("""COMPUTED_VALUE"""),"Belum disetujui")</f>
        <v>Belum disetujui</v>
      </c>
      <c r="D186" s="40"/>
      <c r="E186" s="40" t="s">
        <v>11439</v>
      </c>
      <c r="F186" s="40" t="s">
        <v>313</v>
      </c>
      <c r="G186" s="40" t="s">
        <v>11424</v>
      </c>
    </row>
    <row r="187">
      <c r="A187" s="39">
        <f>IFERROR(__xludf.DUMMYFUNCTION("""COMPUTED_VALUE"""),45996.78195614583)</f>
        <v>45996.78196</v>
      </c>
      <c r="B187" s="40" t="str">
        <f>IFERROR(__xludf.DUMMYFUNCTION("""COMPUTED_VALUE"""),"BERGITHA NIA OLIN")</f>
        <v>BERGITHA NIA OLIN</v>
      </c>
      <c r="C187" s="40" t="str">
        <f>IFERROR(__xludf.DUMMYFUNCTION("""COMPUTED_VALUE"""),"Dapat limit tapi belum diproses")</f>
        <v>Dapat limit tapi belum diproses</v>
      </c>
      <c r="D187" s="40" t="str">
        <f>IFERROR(__xludf.DUMMYFUNCTION("""COMPUTED_VALUE"""),"Y21d series")</f>
        <v>Y21d series</v>
      </c>
      <c r="E187" s="40" t="s">
        <v>11431</v>
      </c>
      <c r="F187" s="40" t="s">
        <v>313</v>
      </c>
      <c r="G187" s="40" t="s">
        <v>11424</v>
      </c>
    </row>
    <row r="188">
      <c r="A188" s="39">
        <f>IFERROR(__xludf.DUMMYFUNCTION("""COMPUTED_VALUE"""),45996.78392248842)</f>
        <v>45996.78392</v>
      </c>
      <c r="B188" s="40" t="str">
        <f>IFERROR(__xludf.DUMMYFUNCTION("""COMPUTED_VALUE"""),"PATRIANI MENGI ULY")</f>
        <v>PATRIANI MENGI ULY</v>
      </c>
      <c r="C188" s="40" t="str">
        <f>IFERROR(__xludf.DUMMYFUNCTION("""COMPUTED_VALUE"""),"Belum disetujui")</f>
        <v>Belum disetujui</v>
      </c>
      <c r="D188" s="40"/>
      <c r="E188" s="40" t="s">
        <v>11402</v>
      </c>
      <c r="F188" s="40" t="s">
        <v>204</v>
      </c>
      <c r="G188" s="40" t="s">
        <v>11399</v>
      </c>
    </row>
    <row r="189">
      <c r="A189" s="39">
        <f>IFERROR(__xludf.DUMMYFUNCTION("""COMPUTED_VALUE"""),45996.80262891204)</f>
        <v>45996.80263</v>
      </c>
      <c r="B189" s="40" t="str">
        <f>IFERROR(__xludf.DUMMYFUNCTION("""COMPUTED_VALUE"""),"ESTER LUDJI")</f>
        <v>ESTER LUDJI</v>
      </c>
      <c r="C189" s="40" t="str">
        <f>IFERROR(__xludf.DUMMYFUNCTION("""COMPUTED_VALUE"""),"ACC")</f>
        <v>ACC</v>
      </c>
      <c r="D189" s="40" t="str">
        <f>IFERROR(__xludf.DUMMYFUNCTION("""COMPUTED_VALUE"""),"Y21d series")</f>
        <v>Y21d series</v>
      </c>
      <c r="E189" s="40" t="s">
        <v>11441</v>
      </c>
      <c r="F189" s="40" t="s">
        <v>205</v>
      </c>
      <c r="G189" s="40" t="s">
        <v>11419</v>
      </c>
    </row>
    <row r="190">
      <c r="A190" s="39">
        <f>IFERROR(__xludf.DUMMYFUNCTION("""COMPUTED_VALUE"""),45996.812503657406)</f>
        <v>45996.8125</v>
      </c>
      <c r="B190" s="40" t="str">
        <f>IFERROR(__xludf.DUMMYFUNCTION("""COMPUTED_VALUE"""),"DEWI RAHMAN")</f>
        <v>DEWI RAHMAN</v>
      </c>
      <c r="C190" s="40" t="str">
        <f>IFERROR(__xludf.DUMMYFUNCTION("""COMPUTED_VALUE"""),"ACC")</f>
        <v>ACC</v>
      </c>
      <c r="D190" s="40" t="str">
        <f>IFERROR(__xludf.DUMMYFUNCTION("""COMPUTED_VALUE"""),"Y400 series")</f>
        <v>Y400 series</v>
      </c>
      <c r="E190" s="40" t="s">
        <v>11449</v>
      </c>
      <c r="F190" s="40" t="s">
        <v>11450</v>
      </c>
      <c r="G190" s="40" t="s">
        <v>11424</v>
      </c>
    </row>
    <row r="191">
      <c r="A191" s="39">
        <f>IFERROR(__xludf.DUMMYFUNCTION("""COMPUTED_VALUE"""),45996.82035685185)</f>
        <v>45996.82036</v>
      </c>
      <c r="B191" s="40" t="str">
        <f>IFERROR(__xludf.DUMMYFUNCTION("""COMPUTED_VALUE"""),"MEXY ALEXANDER HETMINA")</f>
        <v>MEXY ALEXANDER HETMINA</v>
      </c>
      <c r="C191" s="40" t="str">
        <f>IFERROR(__xludf.DUMMYFUNCTION("""COMPUTED_VALUE"""),"Belum disetujui")</f>
        <v>Belum disetujui</v>
      </c>
      <c r="D191" s="40"/>
      <c r="E191" s="40" t="s">
        <v>11413</v>
      </c>
      <c r="F191" s="40" t="s">
        <v>204</v>
      </c>
      <c r="G191" s="40" t="s">
        <v>11399</v>
      </c>
    </row>
    <row r="192">
      <c r="A192" s="39">
        <f>IFERROR(__xludf.DUMMYFUNCTION("""COMPUTED_VALUE"""),45996.820818900465)</f>
        <v>45996.82082</v>
      </c>
      <c r="B192" s="40" t="str">
        <f>IFERROR(__xludf.DUMMYFUNCTION("""COMPUTED_VALUE"""),"ADRIANA")</f>
        <v>ADRIANA</v>
      </c>
      <c r="C192" s="40" t="str">
        <f>IFERROR(__xludf.DUMMYFUNCTION("""COMPUTED_VALUE"""),"Dapat limit tapi belum diproses")</f>
        <v>Dapat limit tapi belum diproses</v>
      </c>
      <c r="D192" s="40" t="str">
        <f>IFERROR(__xludf.DUMMYFUNCTION("""COMPUTED_VALUE"""),"V60 series")</f>
        <v>V60 series</v>
      </c>
      <c r="E192" s="40" t="s">
        <v>11433</v>
      </c>
      <c r="F192" s="40" t="s">
        <v>313</v>
      </c>
      <c r="G192" s="40" t="s">
        <v>11424</v>
      </c>
    </row>
    <row r="193">
      <c r="A193" s="39">
        <f>IFERROR(__xludf.DUMMYFUNCTION("""COMPUTED_VALUE"""),45996.82265112269)</f>
        <v>45996.82265</v>
      </c>
      <c r="B193" s="40" t="str">
        <f>IFERROR(__xludf.DUMMYFUNCTION("""COMPUTED_VALUE"""),"ADRIANA")</f>
        <v>ADRIANA</v>
      </c>
      <c r="C193" s="40" t="str">
        <f>IFERROR(__xludf.DUMMYFUNCTION("""COMPUTED_VALUE"""),"Dapat limit tapi belum diproses")</f>
        <v>Dapat limit tapi belum diproses</v>
      </c>
      <c r="D193" s="40" t="str">
        <f>IFERROR(__xludf.DUMMYFUNCTION("""COMPUTED_VALUE"""),"Y21d series")</f>
        <v>Y21d series</v>
      </c>
      <c r="E193" s="40" t="s">
        <v>11433</v>
      </c>
      <c r="F193" s="40" t="s">
        <v>313</v>
      </c>
      <c r="G193" s="40" t="s">
        <v>11424</v>
      </c>
    </row>
    <row r="194">
      <c r="A194" s="39">
        <f>IFERROR(__xludf.DUMMYFUNCTION("""COMPUTED_VALUE"""),45996.83367738426)</f>
        <v>45996.83368</v>
      </c>
      <c r="B194" s="40" t="str">
        <f>IFERROR(__xludf.DUMMYFUNCTION("""COMPUTED_VALUE"""),"ANITA ANA AMAH")</f>
        <v>ANITA ANA AMAH</v>
      </c>
      <c r="C194" s="40" t="str">
        <f>IFERROR(__xludf.DUMMYFUNCTION("""COMPUTED_VALUE"""),"Belum disetujui")</f>
        <v>Belum disetujui</v>
      </c>
      <c r="D194" s="40"/>
      <c r="E194" s="40" t="s">
        <v>11425</v>
      </c>
      <c r="F194" s="40" t="s">
        <v>205</v>
      </c>
      <c r="G194" s="40" t="s">
        <v>11419</v>
      </c>
    </row>
    <row r="195">
      <c r="A195" s="39">
        <f>IFERROR(__xludf.DUMMYFUNCTION("""COMPUTED_VALUE"""),45996.860518217596)</f>
        <v>45996.86052</v>
      </c>
      <c r="B195" s="40" t="str">
        <f>IFERROR(__xludf.DUMMYFUNCTION("""COMPUTED_VALUE"""),"EMPI FRANGKI LIEM")</f>
        <v>EMPI FRANGKI LIEM</v>
      </c>
      <c r="C195" s="40" t="str">
        <f>IFERROR(__xludf.DUMMYFUNCTION("""COMPUTED_VALUE"""),"ACC")</f>
        <v>ACC</v>
      </c>
      <c r="D195" s="40" t="str">
        <f>IFERROR(__xludf.DUMMYFUNCTION("""COMPUTED_VALUE"""),"Y400 series")</f>
        <v>Y400 series</v>
      </c>
      <c r="E195" s="40" t="s">
        <v>11397</v>
      </c>
      <c r="F195" s="40" t="s">
        <v>220</v>
      </c>
      <c r="G195" s="40" t="s">
        <v>11399</v>
      </c>
    </row>
    <row r="196">
      <c r="A196" s="39">
        <f>IFERROR(__xludf.DUMMYFUNCTION("""COMPUTED_VALUE"""),45996.86687740741)</f>
        <v>45996.86688</v>
      </c>
      <c r="B196" s="40" t="str">
        <f>IFERROR(__xludf.DUMMYFUNCTION("""COMPUTED_VALUE"""),"ANAK AGUNG SRI WULANTIWI")</f>
        <v>ANAK AGUNG SRI WULANTIWI</v>
      </c>
      <c r="C196" s="40" t="str">
        <f>IFERROR(__xludf.DUMMYFUNCTION("""COMPUTED_VALUE"""),"ACC")</f>
        <v>ACC</v>
      </c>
      <c r="D196" s="40" t="str">
        <f>IFERROR(__xludf.DUMMYFUNCTION("""COMPUTED_VALUE"""),"Y21d series")</f>
        <v>Y21d series</v>
      </c>
      <c r="E196" s="40" t="s">
        <v>11492</v>
      </c>
      <c r="F196" s="40" t="s">
        <v>205</v>
      </c>
      <c r="G196" s="40" t="s">
        <v>11419</v>
      </c>
    </row>
    <row r="197">
      <c r="A197" s="39">
        <f>IFERROR(__xludf.DUMMYFUNCTION("""COMPUTED_VALUE"""),45996.88487090277)</f>
        <v>45996.88487</v>
      </c>
      <c r="B197" s="40" t="str">
        <f>IFERROR(__xludf.DUMMYFUNCTION("""COMPUTED_VALUE"""),"AINI RAHMATINI NATALIA MOESTAKIM")</f>
        <v>AINI RAHMATINI NATALIA MOESTAKIM</v>
      </c>
      <c r="C197" s="40" t="str">
        <f>IFERROR(__xludf.DUMMYFUNCTION("""COMPUTED_VALUE"""),"Belum disetujui")</f>
        <v>Belum disetujui</v>
      </c>
      <c r="D197" s="40"/>
      <c r="E197" s="40" t="s">
        <v>11409</v>
      </c>
      <c r="F197" s="40" t="s">
        <v>204</v>
      </c>
      <c r="G197" s="40" t="s">
        <v>11399</v>
      </c>
    </row>
    <row r="198">
      <c r="A198" s="39">
        <f>IFERROR(__xludf.DUMMYFUNCTION("""COMPUTED_VALUE"""),45996.88855224537)</f>
        <v>45996.88855</v>
      </c>
      <c r="B198" s="40" t="str">
        <f>IFERROR(__xludf.DUMMYFUNCTION("""COMPUTED_VALUE"""),"AINI RAHMATINI NATALIA MOESTAKIM")</f>
        <v>AINI RAHMATINI NATALIA MOESTAKIM</v>
      </c>
      <c r="C198" s="40" t="str">
        <f>IFERROR(__xludf.DUMMYFUNCTION("""COMPUTED_VALUE"""),"Belum disetujui")</f>
        <v>Belum disetujui</v>
      </c>
      <c r="D198" s="40"/>
      <c r="E198" s="40" t="s">
        <v>11409</v>
      </c>
      <c r="F198" s="40" t="s">
        <v>204</v>
      </c>
      <c r="G198" s="40" t="s">
        <v>11399</v>
      </c>
    </row>
    <row r="199">
      <c r="A199" s="39">
        <f>IFERROR(__xludf.DUMMYFUNCTION("""COMPUTED_VALUE"""),45996.952081944444)</f>
        <v>45996.95208</v>
      </c>
      <c r="B199" s="40" t="str">
        <f>IFERROR(__xludf.DUMMYFUNCTION("""COMPUTED_VALUE"""),"ANYARMITHA SOPHIA SUEK")</f>
        <v>ANYARMITHA SOPHIA SUEK</v>
      </c>
      <c r="C199" s="40" t="str">
        <f>IFERROR(__xludf.DUMMYFUNCTION("""COMPUTED_VALUE"""),"Belum disetujui")</f>
        <v>Belum disetujui</v>
      </c>
      <c r="D199" s="40"/>
      <c r="E199" s="40" t="s">
        <v>11443</v>
      </c>
      <c r="F199" s="40" t="s">
        <v>220</v>
      </c>
      <c r="G199" s="40" t="s">
        <v>11399</v>
      </c>
    </row>
    <row r="200">
      <c r="A200" s="39">
        <f>IFERROR(__xludf.DUMMYFUNCTION("""COMPUTED_VALUE"""),45997.42670952546)</f>
        <v>45997.42671</v>
      </c>
      <c r="B200" s="40" t="str">
        <f>IFERROR(__xludf.DUMMYFUNCTION("""COMPUTED_VALUE"""),"DEWI RAHMAN")</f>
        <v>DEWI RAHMAN</v>
      </c>
      <c r="C200" s="40" t="str">
        <f>IFERROR(__xludf.DUMMYFUNCTION("""COMPUTED_VALUE"""),"ACC")</f>
        <v>ACC</v>
      </c>
      <c r="D200" s="40" t="str">
        <f>IFERROR(__xludf.DUMMYFUNCTION("""COMPUTED_VALUE"""),"Y21d series")</f>
        <v>Y21d series</v>
      </c>
      <c r="E200" s="40" t="s">
        <v>11449</v>
      </c>
      <c r="F200" s="40" t="s">
        <v>11450</v>
      </c>
      <c r="G200" s="40" t="s">
        <v>11424</v>
      </c>
    </row>
    <row r="201">
      <c r="A201" s="39">
        <f>IFERROR(__xludf.DUMMYFUNCTION("""COMPUTED_VALUE"""),45997.43634043981)</f>
        <v>45997.43634</v>
      </c>
      <c r="B201" s="40" t="str">
        <f>IFERROR(__xludf.DUMMYFUNCTION("""COMPUTED_VALUE"""),"ALDIANA WELIA PANIE")</f>
        <v>ALDIANA WELIA PANIE</v>
      </c>
      <c r="C201" s="40" t="str">
        <f>IFERROR(__xludf.DUMMYFUNCTION("""COMPUTED_VALUE"""),"Belum disetujui")</f>
        <v>Belum disetujui</v>
      </c>
      <c r="D201" s="40"/>
      <c r="E201" s="40" t="s">
        <v>11422</v>
      </c>
      <c r="F201" s="40" t="s">
        <v>215</v>
      </c>
      <c r="G201" s="40" t="s">
        <v>11424</v>
      </c>
    </row>
    <row r="202">
      <c r="A202" s="39">
        <f>IFERROR(__xludf.DUMMYFUNCTION("""COMPUTED_VALUE"""),45997.45388079861)</f>
        <v>45997.45388</v>
      </c>
      <c r="B202" s="40" t="str">
        <f>IFERROR(__xludf.DUMMYFUNCTION("""COMPUTED_VALUE"""),"NUR FATIMAH MOLBANG")</f>
        <v>NUR FATIMAH MOLBANG</v>
      </c>
      <c r="C202" s="40" t="str">
        <f>IFERROR(__xludf.DUMMYFUNCTION("""COMPUTED_VALUE"""),"Belum disetujui")</f>
        <v>Belum disetujui</v>
      </c>
      <c r="D202" s="40"/>
      <c r="E202" s="40" t="s">
        <v>11439</v>
      </c>
      <c r="F202" s="40" t="s">
        <v>313</v>
      </c>
      <c r="G202" s="40" t="s">
        <v>11424</v>
      </c>
    </row>
    <row r="203">
      <c r="A203" s="39">
        <f>IFERROR(__xludf.DUMMYFUNCTION("""COMPUTED_VALUE"""),45997.473387696766)</f>
        <v>45997.47339</v>
      </c>
      <c r="B203" s="40" t="str">
        <f>IFERROR(__xludf.DUMMYFUNCTION("""COMPUTED_VALUE"""),"AMBU BAIQ JUMENAH")</f>
        <v>AMBU BAIQ JUMENAH</v>
      </c>
      <c r="C203" s="40" t="str">
        <f>IFERROR(__xludf.DUMMYFUNCTION("""COMPUTED_VALUE"""),"Belum disetujui")</f>
        <v>Belum disetujui</v>
      </c>
      <c r="D203" s="40"/>
      <c r="E203" s="40" t="s">
        <v>11458</v>
      </c>
      <c r="F203" s="40" t="s">
        <v>205</v>
      </c>
      <c r="G203" s="40" t="s">
        <v>11419</v>
      </c>
    </row>
    <row r="204">
      <c r="A204" s="39">
        <f>IFERROR(__xludf.DUMMYFUNCTION("""COMPUTED_VALUE"""),45997.47649857639)</f>
        <v>45997.4765</v>
      </c>
      <c r="B204" s="40" t="str">
        <f>IFERROR(__xludf.DUMMYFUNCTION("""COMPUTED_VALUE"""),"MARIA MELAN ANANCE BILI")</f>
        <v>MARIA MELAN ANANCE BILI</v>
      </c>
      <c r="C204" s="40" t="str">
        <f>IFERROR(__xludf.DUMMYFUNCTION("""COMPUTED_VALUE"""),"Belum disetujui")</f>
        <v>Belum disetujui</v>
      </c>
      <c r="D204" s="40"/>
      <c r="E204" s="40" t="s">
        <v>11466</v>
      </c>
      <c r="F204" s="40" t="s">
        <v>257</v>
      </c>
      <c r="G204" s="40" t="s">
        <v>11419</v>
      </c>
    </row>
    <row r="205">
      <c r="A205" s="39">
        <f>IFERROR(__xludf.DUMMYFUNCTION("""COMPUTED_VALUE"""),45997.47819037037)</f>
        <v>45997.47819</v>
      </c>
      <c r="B205" s="40" t="str">
        <f>IFERROR(__xludf.DUMMYFUNCTION("""COMPUTED_VALUE"""),"YOVANDA KATRINA NAE")</f>
        <v>YOVANDA KATRINA NAE</v>
      </c>
      <c r="C205" s="40" t="str">
        <f>IFERROR(__xludf.DUMMYFUNCTION("""COMPUTED_VALUE"""),"Belum disetujui")</f>
        <v>Belum disetujui</v>
      </c>
      <c r="D205" s="40"/>
      <c r="E205" s="40" t="s">
        <v>11425</v>
      </c>
      <c r="F205" s="40" t="s">
        <v>205</v>
      </c>
      <c r="G205" s="40" t="s">
        <v>11419</v>
      </c>
    </row>
    <row r="206">
      <c r="A206" s="39">
        <f>IFERROR(__xludf.DUMMYFUNCTION("""COMPUTED_VALUE"""),45997.483259733795)</f>
        <v>45997.48326</v>
      </c>
      <c r="B206" s="40" t="str">
        <f>IFERROR(__xludf.DUMMYFUNCTION("""COMPUTED_VALUE"""),"EMPI FRANGKI LIEM")</f>
        <v>EMPI FRANGKI LIEM</v>
      </c>
      <c r="C206" s="40" t="str">
        <f>IFERROR(__xludf.DUMMYFUNCTION("""COMPUTED_VALUE"""),"Dapat limit tapi belum diproses")</f>
        <v>Dapat limit tapi belum diproses</v>
      </c>
      <c r="D206" s="40" t="str">
        <f>IFERROR(__xludf.DUMMYFUNCTION("""COMPUTED_VALUE"""),"Y21d series")</f>
        <v>Y21d series</v>
      </c>
      <c r="E206" s="40" t="s">
        <v>11397</v>
      </c>
      <c r="F206" s="40" t="s">
        <v>220</v>
      </c>
      <c r="G206" s="40" t="s">
        <v>11399</v>
      </c>
    </row>
    <row r="207">
      <c r="A207" s="39">
        <f>IFERROR(__xludf.DUMMYFUNCTION("""COMPUTED_VALUE"""),45997.48912034722)</f>
        <v>45997.48912</v>
      </c>
      <c r="B207" s="40" t="str">
        <f>IFERROR(__xludf.DUMMYFUNCTION("""COMPUTED_VALUE"""),"SANTI MARIA LUKMINI NAHAK")</f>
        <v>SANTI MARIA LUKMINI NAHAK</v>
      </c>
      <c r="C207" s="40" t="str">
        <f>IFERROR(__xludf.DUMMYFUNCTION("""COMPUTED_VALUE"""),"Belum disetujui")</f>
        <v>Belum disetujui</v>
      </c>
      <c r="D207" s="40"/>
      <c r="E207" s="40" t="s">
        <v>11460</v>
      </c>
      <c r="F207" s="40" t="s">
        <v>871</v>
      </c>
      <c r="G207" s="40" t="s">
        <v>11424</v>
      </c>
    </row>
    <row r="208">
      <c r="A208" s="39">
        <f>IFERROR(__xludf.DUMMYFUNCTION("""COMPUTED_VALUE"""),45997.52438074074)</f>
        <v>45997.52438</v>
      </c>
      <c r="B208" s="40" t="str">
        <f>IFERROR(__xludf.DUMMYFUNCTION("""COMPUTED_VALUE"""),"ASRI NINGSI RAMBU ATA ENDI")</f>
        <v>ASRI NINGSI RAMBU ATA ENDI</v>
      </c>
      <c r="C208" s="40" t="str">
        <f>IFERROR(__xludf.DUMMYFUNCTION("""COMPUTED_VALUE"""),"Belum disetujui")</f>
        <v>Belum disetujui</v>
      </c>
      <c r="D208" s="40"/>
      <c r="E208" s="40" t="s">
        <v>11441</v>
      </c>
      <c r="F208" s="40" t="s">
        <v>205</v>
      </c>
      <c r="G208" s="40" t="s">
        <v>11419</v>
      </c>
    </row>
    <row r="209">
      <c r="A209" s="39">
        <f>IFERROR(__xludf.DUMMYFUNCTION("""COMPUTED_VALUE"""),45997.53753247685)</f>
        <v>45997.53753</v>
      </c>
      <c r="B209" s="40" t="str">
        <f>IFERROR(__xludf.DUMMYFUNCTION("""COMPUTED_VALUE"""),"ARMINDA TEKU MANEK")</f>
        <v>ARMINDA TEKU MANEK</v>
      </c>
      <c r="C209" s="40" t="str">
        <f>IFERROR(__xludf.DUMMYFUNCTION("""COMPUTED_VALUE"""),"Belum disetujui")</f>
        <v>Belum disetujui</v>
      </c>
      <c r="D209" s="40"/>
      <c r="E209" s="40" t="s">
        <v>11474</v>
      </c>
      <c r="F209" s="40" t="s">
        <v>313</v>
      </c>
      <c r="G209" s="40" t="s">
        <v>11424</v>
      </c>
    </row>
    <row r="210">
      <c r="A210" s="39">
        <f>IFERROR(__xludf.DUMMYFUNCTION("""COMPUTED_VALUE"""),45997.538390127316)</f>
        <v>45997.53839</v>
      </c>
      <c r="B210" s="40" t="str">
        <f>IFERROR(__xludf.DUMMYFUNCTION("""COMPUTED_VALUE"""),"YUNITA TAMELAB")</f>
        <v>YUNITA TAMELAB</v>
      </c>
      <c r="C210" s="40" t="str">
        <f>IFERROR(__xludf.DUMMYFUNCTION("""COMPUTED_VALUE"""),"Belum disetujui")</f>
        <v>Belum disetujui</v>
      </c>
      <c r="D210" s="40"/>
      <c r="E210" s="40" t="s">
        <v>11472</v>
      </c>
      <c r="F210" s="40" t="s">
        <v>667</v>
      </c>
      <c r="G210" s="40" t="s">
        <v>11424</v>
      </c>
    </row>
    <row r="211">
      <c r="A211" s="39">
        <f>IFERROR(__xludf.DUMMYFUNCTION("""COMPUTED_VALUE"""),45997.54011241898)</f>
        <v>45997.54011</v>
      </c>
      <c r="B211" s="40" t="str">
        <f>IFERROR(__xludf.DUMMYFUNCTION("""COMPUTED_VALUE"""),"MARATHA MARLINDA FANGGIDAE")</f>
        <v>MARATHA MARLINDA FANGGIDAE</v>
      </c>
      <c r="C211" s="40" t="str">
        <f>IFERROR(__xludf.DUMMYFUNCTION("""COMPUTED_VALUE"""),"ACC")</f>
        <v>ACC</v>
      </c>
      <c r="D211" s="40" t="str">
        <f>IFERROR(__xludf.DUMMYFUNCTION("""COMPUTED_VALUE"""),"Y21d series")</f>
        <v>Y21d series</v>
      </c>
      <c r="E211" s="40" t="s">
        <v>11435</v>
      </c>
      <c r="F211" s="40" t="s">
        <v>215</v>
      </c>
      <c r="G211" s="40" t="s">
        <v>11424</v>
      </c>
    </row>
    <row r="212">
      <c r="A212" s="39">
        <f>IFERROR(__xludf.DUMMYFUNCTION("""COMPUTED_VALUE"""),45997.54388253473)</f>
        <v>45997.54388</v>
      </c>
      <c r="B212" s="40" t="str">
        <f>IFERROR(__xludf.DUMMYFUNCTION("""COMPUTED_VALUE"""),"ASRI NINGSI RAMBU ATA ENDI")</f>
        <v>ASRI NINGSI RAMBU ATA ENDI</v>
      </c>
      <c r="C212" s="40" t="str">
        <f>IFERROR(__xludf.DUMMYFUNCTION("""COMPUTED_VALUE"""),"Belum disetujui")</f>
        <v>Belum disetujui</v>
      </c>
      <c r="D212" s="40"/>
      <c r="E212" s="40" t="s">
        <v>11441</v>
      </c>
      <c r="F212" s="40" t="s">
        <v>205</v>
      </c>
      <c r="G212" s="40" t="s">
        <v>11419</v>
      </c>
    </row>
    <row r="213">
      <c r="A213" s="39">
        <f>IFERROR(__xludf.DUMMYFUNCTION("""COMPUTED_VALUE"""),45997.55861313658)</f>
        <v>45997.55861</v>
      </c>
      <c r="B213" s="40" t="str">
        <f>IFERROR(__xludf.DUMMYFUNCTION("""COMPUTED_VALUE"""),"YOVANDA KATRINA NAE")</f>
        <v>YOVANDA KATRINA NAE</v>
      </c>
      <c r="C213" s="40" t="str">
        <f>IFERROR(__xludf.DUMMYFUNCTION("""COMPUTED_VALUE"""),"ACC")</f>
        <v>ACC</v>
      </c>
      <c r="D213" s="40" t="str">
        <f>IFERROR(__xludf.DUMMYFUNCTION("""COMPUTED_VALUE"""),"Y400 series")</f>
        <v>Y400 series</v>
      </c>
      <c r="E213" s="40" t="s">
        <v>11425</v>
      </c>
      <c r="F213" s="40" t="s">
        <v>205</v>
      </c>
      <c r="G213" s="40" t="s">
        <v>11419</v>
      </c>
    </row>
    <row r="214">
      <c r="A214" s="39">
        <f>IFERROR(__xludf.DUMMYFUNCTION("""COMPUTED_VALUE"""),45997.56815574074)</f>
        <v>45997.56816</v>
      </c>
      <c r="B214" s="40" t="str">
        <f>IFERROR(__xludf.DUMMYFUNCTION("""COMPUTED_VALUE"""),"NUR FATIMAH MOLBANG")</f>
        <v>NUR FATIMAH MOLBANG</v>
      </c>
      <c r="C214" s="40" t="str">
        <f>IFERROR(__xludf.DUMMYFUNCTION("""COMPUTED_VALUE"""),"ACC")</f>
        <v>ACC</v>
      </c>
      <c r="D214" s="40" t="str">
        <f>IFERROR(__xludf.DUMMYFUNCTION("""COMPUTED_VALUE"""),"Y21d series")</f>
        <v>Y21d series</v>
      </c>
      <c r="E214" s="40" t="s">
        <v>11439</v>
      </c>
      <c r="F214" s="40" t="s">
        <v>313</v>
      </c>
      <c r="G214" s="40" t="s">
        <v>11424</v>
      </c>
    </row>
    <row r="215">
      <c r="A215" s="39">
        <f>IFERROR(__xludf.DUMMYFUNCTION("""COMPUTED_VALUE"""),45997.57805881944)</f>
        <v>45997.57806</v>
      </c>
      <c r="B215" s="40" t="str">
        <f>IFERROR(__xludf.DUMMYFUNCTION("""COMPUTED_VALUE"""),"KESIA NATALIA I. BENU")</f>
        <v>KESIA NATALIA I. BENU</v>
      </c>
      <c r="C215" s="40" t="str">
        <f>IFERROR(__xludf.DUMMYFUNCTION("""COMPUTED_VALUE"""),"ACC")</f>
        <v>ACC</v>
      </c>
      <c r="D215" s="40" t="str">
        <f>IFERROR(__xludf.DUMMYFUNCTION("""COMPUTED_VALUE"""),"Y21d series")</f>
        <v>Y21d series</v>
      </c>
      <c r="E215" s="40" t="s">
        <v>11417</v>
      </c>
      <c r="F215" s="40" t="s">
        <v>257</v>
      </c>
      <c r="G215" s="40" t="s">
        <v>11419</v>
      </c>
    </row>
    <row r="216">
      <c r="A216" s="39">
        <f>IFERROR(__xludf.DUMMYFUNCTION("""COMPUTED_VALUE"""),45997.587457407404)</f>
        <v>45997.58746</v>
      </c>
      <c r="B216" s="40" t="str">
        <f>IFERROR(__xludf.DUMMYFUNCTION("""COMPUTED_VALUE"""),"ANITA ANA AMAH")</f>
        <v>ANITA ANA AMAH</v>
      </c>
      <c r="C216" s="40" t="str">
        <f>IFERROR(__xludf.DUMMYFUNCTION("""COMPUTED_VALUE"""),"Belum disetujui")</f>
        <v>Belum disetujui</v>
      </c>
      <c r="D216" s="40"/>
      <c r="E216" s="40" t="s">
        <v>11425</v>
      </c>
      <c r="F216" s="40" t="s">
        <v>205</v>
      </c>
      <c r="G216" s="40" t="s">
        <v>11419</v>
      </c>
    </row>
    <row r="217">
      <c r="A217" s="39">
        <f>IFERROR(__xludf.DUMMYFUNCTION("""COMPUTED_VALUE"""),45997.60909131944)</f>
        <v>45997.60909</v>
      </c>
      <c r="B217" s="40" t="str">
        <f>IFERROR(__xludf.DUMMYFUNCTION("""COMPUTED_VALUE"""),"NABILA RAHMAWATI")</f>
        <v>NABILA RAHMAWATI</v>
      </c>
      <c r="C217" s="40" t="str">
        <f>IFERROR(__xludf.DUMMYFUNCTION("""COMPUTED_VALUE"""),"ACC")</f>
        <v>ACC</v>
      </c>
      <c r="D217" s="40" t="str">
        <f>IFERROR(__xludf.DUMMYFUNCTION("""COMPUTED_VALUE"""),"Y21d series")</f>
        <v>Y21d series</v>
      </c>
      <c r="E217" s="40" t="s">
        <v>11464</v>
      </c>
      <c r="F217" s="40" t="s">
        <v>257</v>
      </c>
      <c r="G217" s="40" t="s">
        <v>11419</v>
      </c>
    </row>
    <row r="218">
      <c r="A218" s="39">
        <f>IFERROR(__xludf.DUMMYFUNCTION("""COMPUTED_VALUE"""),45997.61122976852)</f>
        <v>45997.61123</v>
      </c>
      <c r="B218" s="40" t="str">
        <f>IFERROR(__xludf.DUMMYFUNCTION("""COMPUTED_VALUE"""),"NABILA RAHMAWATI")</f>
        <v>NABILA RAHMAWATI</v>
      </c>
      <c r="C218" s="40" t="str">
        <f>IFERROR(__xludf.DUMMYFUNCTION("""COMPUTED_VALUE"""),"Belum disetujui")</f>
        <v>Belum disetujui</v>
      </c>
      <c r="D218" s="40"/>
      <c r="E218" s="40" t="s">
        <v>11464</v>
      </c>
      <c r="F218" s="40" t="s">
        <v>257</v>
      </c>
      <c r="G218" s="40" t="s">
        <v>11419</v>
      </c>
    </row>
    <row r="219">
      <c r="A219" s="39">
        <f>IFERROR(__xludf.DUMMYFUNCTION("""COMPUTED_VALUE"""),45997.624714259255)</f>
        <v>45997.62471</v>
      </c>
      <c r="B219" s="40" t="str">
        <f>IFERROR(__xludf.DUMMYFUNCTION("""COMPUTED_VALUE"""),"AZ ZAHRA SITI ZAINAB")</f>
        <v>AZ ZAHRA SITI ZAINAB</v>
      </c>
      <c r="C219" s="40" t="str">
        <f>IFERROR(__xludf.DUMMYFUNCTION("""COMPUTED_VALUE"""),"ACC")</f>
        <v>ACC</v>
      </c>
      <c r="D219" s="40" t="str">
        <f>IFERROR(__xludf.DUMMYFUNCTION("""COMPUTED_VALUE"""),"Y400 series")</f>
        <v>Y400 series</v>
      </c>
      <c r="E219" s="40" t="s">
        <v>11462</v>
      </c>
      <c r="F219" s="40" t="s">
        <v>257</v>
      </c>
      <c r="G219" s="40" t="s">
        <v>11419</v>
      </c>
    </row>
    <row r="220">
      <c r="A220" s="39">
        <f>IFERROR(__xludf.DUMMYFUNCTION("""COMPUTED_VALUE"""),45997.633663043984)</f>
        <v>45997.63366</v>
      </c>
      <c r="B220" s="40" t="str">
        <f>IFERROR(__xludf.DUMMYFUNCTION("""COMPUTED_VALUE"""),"YUNITA TAMELAB")</f>
        <v>YUNITA TAMELAB</v>
      </c>
      <c r="C220" s="40" t="str">
        <f>IFERROR(__xludf.DUMMYFUNCTION("""COMPUTED_VALUE"""),"Belum disetujui")</f>
        <v>Belum disetujui</v>
      </c>
      <c r="D220" s="40"/>
      <c r="E220" s="40" t="s">
        <v>11472</v>
      </c>
      <c r="F220" s="40" t="s">
        <v>667</v>
      </c>
      <c r="G220" s="40" t="s">
        <v>11424</v>
      </c>
    </row>
    <row r="221">
      <c r="A221" s="39">
        <f>IFERROR(__xludf.DUMMYFUNCTION("""COMPUTED_VALUE"""),45997.64939474537)</f>
        <v>45997.64939</v>
      </c>
      <c r="B221" s="40" t="str">
        <f>IFERROR(__xludf.DUMMYFUNCTION("""COMPUTED_VALUE"""),"YOMELIANA MARIA MAGNO")</f>
        <v>YOMELIANA MARIA MAGNO</v>
      </c>
      <c r="C221" s="40" t="str">
        <f>IFERROR(__xludf.DUMMYFUNCTION("""COMPUTED_VALUE"""),"Dapat limit tapi belum diproses")</f>
        <v>Dapat limit tapi belum diproses</v>
      </c>
      <c r="D221" s="40" t="str">
        <f>IFERROR(__xludf.DUMMYFUNCTION("""COMPUTED_VALUE"""),"Y21d series")</f>
        <v>Y21d series</v>
      </c>
      <c r="E221" s="40" t="s">
        <v>11460</v>
      </c>
      <c r="F221" s="40" t="s">
        <v>871</v>
      </c>
      <c r="G221" s="40" t="s">
        <v>11424</v>
      </c>
    </row>
    <row r="222">
      <c r="A222" s="39">
        <f>IFERROR(__xludf.DUMMYFUNCTION("""COMPUTED_VALUE"""),45997.68860436343)</f>
        <v>45997.6886</v>
      </c>
      <c r="B222" s="40" t="str">
        <f>IFERROR(__xludf.DUMMYFUNCTION("""COMPUTED_VALUE"""),"NABILA RAHMAWATI")</f>
        <v>NABILA RAHMAWATI</v>
      </c>
      <c r="C222" s="40" t="str">
        <f>IFERROR(__xludf.DUMMYFUNCTION("""COMPUTED_VALUE"""),"Belum disetujui")</f>
        <v>Belum disetujui</v>
      </c>
      <c r="D222" s="40"/>
      <c r="E222" s="40" t="s">
        <v>11464</v>
      </c>
      <c r="F222" s="40" t="s">
        <v>257</v>
      </c>
      <c r="G222" s="40" t="s">
        <v>11419</v>
      </c>
    </row>
    <row r="223">
      <c r="A223" s="39">
        <f>IFERROR(__xludf.DUMMYFUNCTION("""COMPUTED_VALUE"""),45997.70555863426)</f>
        <v>45997.70556</v>
      </c>
      <c r="B223" s="40" t="str">
        <f>IFERROR(__xludf.DUMMYFUNCTION("""COMPUTED_VALUE"""),"MARIA MELAN ANANCE BILI")</f>
        <v>MARIA MELAN ANANCE BILI</v>
      </c>
      <c r="C223" s="40" t="str">
        <f>IFERROR(__xludf.DUMMYFUNCTION("""COMPUTED_VALUE"""),"Belum disetujui")</f>
        <v>Belum disetujui</v>
      </c>
      <c r="D223" s="40"/>
      <c r="E223" s="40" t="s">
        <v>11466</v>
      </c>
      <c r="F223" s="40" t="s">
        <v>257</v>
      </c>
      <c r="G223" s="40" t="s">
        <v>11419</v>
      </c>
    </row>
    <row r="224">
      <c r="A224" s="39">
        <f>IFERROR(__xludf.DUMMYFUNCTION("""COMPUTED_VALUE"""),45997.7084102662)</f>
        <v>45997.70841</v>
      </c>
      <c r="B224" s="40" t="str">
        <f>IFERROR(__xludf.DUMMYFUNCTION("""COMPUTED_VALUE"""),"DWITNEY PRETY WANGGANDIMA")</f>
        <v>DWITNEY PRETY WANGGANDIMA</v>
      </c>
      <c r="C224" s="40" t="str">
        <f>IFERROR(__xludf.DUMMYFUNCTION("""COMPUTED_VALUE"""),"Belum disetujui")</f>
        <v>Belum disetujui</v>
      </c>
      <c r="D224" s="40"/>
      <c r="E224" s="40" t="s">
        <v>11443</v>
      </c>
      <c r="F224" s="40" t="s">
        <v>220</v>
      </c>
      <c r="G224" s="40" t="s">
        <v>11399</v>
      </c>
    </row>
    <row r="225">
      <c r="A225" s="39">
        <f>IFERROR(__xludf.DUMMYFUNCTION("""COMPUTED_VALUE"""),45997.7203117824)</f>
        <v>45997.72031</v>
      </c>
      <c r="B225" s="40" t="str">
        <f>IFERROR(__xludf.DUMMYFUNCTION("""COMPUTED_VALUE"""),"ESTER LUDJI")</f>
        <v>ESTER LUDJI</v>
      </c>
      <c r="C225" s="40" t="str">
        <f>IFERROR(__xludf.DUMMYFUNCTION("""COMPUTED_VALUE"""),"ACC")</f>
        <v>ACC</v>
      </c>
      <c r="D225" s="40" t="str">
        <f>IFERROR(__xludf.DUMMYFUNCTION("""COMPUTED_VALUE"""),"Y400 series")</f>
        <v>Y400 series</v>
      </c>
      <c r="E225" s="40" t="s">
        <v>11441</v>
      </c>
      <c r="F225" s="40" t="s">
        <v>205</v>
      </c>
      <c r="G225" s="40" t="s">
        <v>11419</v>
      </c>
    </row>
    <row r="226">
      <c r="A226" s="39">
        <f>IFERROR(__xludf.DUMMYFUNCTION("""COMPUTED_VALUE"""),45997.72850596065)</f>
        <v>45997.72851</v>
      </c>
      <c r="B226" s="40" t="str">
        <f>IFERROR(__xludf.DUMMYFUNCTION("""COMPUTED_VALUE"""),"WARDIA")</f>
        <v>WARDIA</v>
      </c>
      <c r="C226" s="40" t="str">
        <f>IFERROR(__xludf.DUMMYFUNCTION("""COMPUTED_VALUE"""),"Belum disetujui")</f>
        <v>Belum disetujui</v>
      </c>
      <c r="D226" s="40"/>
      <c r="E226" s="40" t="s">
        <v>11409</v>
      </c>
      <c r="F226" s="40" t="s">
        <v>204</v>
      </c>
      <c r="G226" s="40" t="s">
        <v>11399</v>
      </c>
    </row>
    <row r="227">
      <c r="A227" s="39">
        <f>IFERROR(__xludf.DUMMYFUNCTION("""COMPUTED_VALUE"""),45997.734667870376)</f>
        <v>45997.73467</v>
      </c>
      <c r="B227" s="40" t="str">
        <f>IFERROR(__xludf.DUMMYFUNCTION("""COMPUTED_VALUE"""),"ROS YANE KANA LUDJI")</f>
        <v>ROS YANE KANA LUDJI</v>
      </c>
      <c r="C227" s="40" t="str">
        <f>IFERROR(__xludf.DUMMYFUNCTION("""COMPUTED_VALUE"""),"Belum disetujui")</f>
        <v>Belum disetujui</v>
      </c>
      <c r="D227" s="40"/>
      <c r="E227" s="40" t="s">
        <v>11437</v>
      </c>
      <c r="F227" s="40" t="s">
        <v>204</v>
      </c>
      <c r="G227" s="40" t="s">
        <v>11399</v>
      </c>
    </row>
    <row r="228">
      <c r="A228" s="39">
        <f>IFERROR(__xludf.DUMMYFUNCTION("""COMPUTED_VALUE"""),45997.74531574074)</f>
        <v>45997.74532</v>
      </c>
      <c r="B228" s="40" t="str">
        <f>IFERROR(__xludf.DUMMYFUNCTION("""COMPUTED_VALUE"""),"ROS YANE KANA LUDJI")</f>
        <v>ROS YANE KANA LUDJI</v>
      </c>
      <c r="C228" s="40" t="str">
        <f>IFERROR(__xludf.DUMMYFUNCTION("""COMPUTED_VALUE"""),"Belum disetujui")</f>
        <v>Belum disetujui</v>
      </c>
      <c r="D228" s="40"/>
      <c r="E228" s="40" t="s">
        <v>11437</v>
      </c>
      <c r="F228" s="40" t="s">
        <v>204</v>
      </c>
      <c r="G228" s="40" t="s">
        <v>11399</v>
      </c>
    </row>
    <row r="229">
      <c r="A229" s="39">
        <f>IFERROR(__xludf.DUMMYFUNCTION("""COMPUTED_VALUE"""),45997.77187863426)</f>
        <v>45997.77188</v>
      </c>
      <c r="B229" s="40" t="str">
        <f>IFERROR(__xludf.DUMMYFUNCTION("""COMPUTED_VALUE"""),"WINDRI MANOE")</f>
        <v>WINDRI MANOE</v>
      </c>
      <c r="C229" s="40" t="str">
        <f>IFERROR(__xludf.DUMMYFUNCTION("""COMPUTED_VALUE"""),"Belum disetujui")</f>
        <v>Belum disetujui</v>
      </c>
      <c r="D229" s="40"/>
      <c r="E229" s="40" t="s">
        <v>11443</v>
      </c>
      <c r="F229" s="40" t="s">
        <v>220</v>
      </c>
      <c r="G229" s="40" t="s">
        <v>11399</v>
      </c>
    </row>
    <row r="230">
      <c r="A230" s="39">
        <f>IFERROR(__xludf.DUMMYFUNCTION("""COMPUTED_VALUE"""),45997.77346552084)</f>
        <v>45997.77347</v>
      </c>
      <c r="B230" s="40" t="str">
        <f>IFERROR(__xludf.DUMMYFUNCTION("""COMPUTED_VALUE"""),"WINDRI MANOE")</f>
        <v>WINDRI MANOE</v>
      </c>
      <c r="C230" s="40" t="str">
        <f>IFERROR(__xludf.DUMMYFUNCTION("""COMPUTED_VALUE"""),"Belum disetujui")</f>
        <v>Belum disetujui</v>
      </c>
      <c r="D230" s="40"/>
      <c r="E230" s="40" t="s">
        <v>11443</v>
      </c>
      <c r="F230" s="40" t="s">
        <v>220</v>
      </c>
      <c r="G230" s="40" t="s">
        <v>11399</v>
      </c>
    </row>
    <row r="231">
      <c r="A231" s="39">
        <f>IFERROR(__xludf.DUMMYFUNCTION("""COMPUTED_VALUE"""),45997.77506987268)</f>
        <v>45997.77507</v>
      </c>
      <c r="B231" s="40" t="str">
        <f>IFERROR(__xludf.DUMMYFUNCTION("""COMPUTED_VALUE"""),"WINDRI MANOE")</f>
        <v>WINDRI MANOE</v>
      </c>
      <c r="C231" s="40" t="str">
        <f>IFERROR(__xludf.DUMMYFUNCTION("""COMPUTED_VALUE"""),"Belum disetujui")</f>
        <v>Belum disetujui</v>
      </c>
      <c r="D231" s="40"/>
      <c r="E231" s="40" t="s">
        <v>11443</v>
      </c>
      <c r="F231" s="40" t="s">
        <v>220</v>
      </c>
      <c r="G231" s="40" t="s">
        <v>11399</v>
      </c>
    </row>
    <row r="232">
      <c r="A232" s="39">
        <f>IFERROR(__xludf.DUMMYFUNCTION("""COMPUTED_VALUE"""),45997.77668077547)</f>
        <v>45997.77668</v>
      </c>
      <c r="B232" s="40" t="str">
        <f>IFERROR(__xludf.DUMMYFUNCTION("""COMPUTED_VALUE"""),"WINDRI MANOE")</f>
        <v>WINDRI MANOE</v>
      </c>
      <c r="C232" s="40" t="str">
        <f>IFERROR(__xludf.DUMMYFUNCTION("""COMPUTED_VALUE"""),"Belum disetujui")</f>
        <v>Belum disetujui</v>
      </c>
      <c r="D232" s="40"/>
      <c r="E232" s="40" t="s">
        <v>11443</v>
      </c>
      <c r="F232" s="40" t="s">
        <v>220</v>
      </c>
      <c r="G232" s="40" t="s">
        <v>11399</v>
      </c>
    </row>
    <row r="233">
      <c r="A233" s="39">
        <f>IFERROR(__xludf.DUMMYFUNCTION("""COMPUTED_VALUE"""),45997.780448564816)</f>
        <v>45997.78045</v>
      </c>
      <c r="B233" s="40" t="str">
        <f>IFERROR(__xludf.DUMMYFUNCTION("""COMPUTED_VALUE"""),"MARNITHA JUWIKE TIMORATI RUNESI")</f>
        <v>MARNITHA JUWIKE TIMORATI RUNESI</v>
      </c>
      <c r="C233" s="40" t="str">
        <f>IFERROR(__xludf.DUMMYFUNCTION("""COMPUTED_VALUE"""),"Belum disetujui")</f>
        <v>Belum disetujui</v>
      </c>
      <c r="D233" s="40"/>
      <c r="E233" s="40" t="s">
        <v>11420</v>
      </c>
      <c r="F233" s="40" t="s">
        <v>204</v>
      </c>
      <c r="G233" s="40" t="s">
        <v>11399</v>
      </c>
    </row>
    <row r="234">
      <c r="A234" s="39">
        <f>IFERROR(__xludf.DUMMYFUNCTION("""COMPUTED_VALUE"""),45997.79760498843)</f>
        <v>45997.7976</v>
      </c>
      <c r="B234" s="40" t="str">
        <f>IFERROR(__xludf.DUMMYFUNCTION("""COMPUTED_VALUE"""),"MEXY ALEXANDER HETMINA")</f>
        <v>MEXY ALEXANDER HETMINA</v>
      </c>
      <c r="C234" s="40" t="str">
        <f>IFERROR(__xludf.DUMMYFUNCTION("""COMPUTED_VALUE"""),"Belum disetujui")</f>
        <v>Belum disetujui</v>
      </c>
      <c r="D234" s="40"/>
      <c r="E234" s="40" t="s">
        <v>11413</v>
      </c>
      <c r="F234" s="40" t="s">
        <v>204</v>
      </c>
      <c r="G234" s="40" t="s">
        <v>11399</v>
      </c>
    </row>
    <row r="235">
      <c r="A235" s="39">
        <f>IFERROR(__xludf.DUMMYFUNCTION("""COMPUTED_VALUE"""),45997.80201585648)</f>
        <v>45997.80202</v>
      </c>
      <c r="B235" s="40" t="str">
        <f>IFERROR(__xludf.DUMMYFUNCTION("""COMPUTED_VALUE"""),"WINDRI MANOE")</f>
        <v>WINDRI MANOE</v>
      </c>
      <c r="C235" s="40" t="str">
        <f>IFERROR(__xludf.DUMMYFUNCTION("""COMPUTED_VALUE"""),"Belum disetujui")</f>
        <v>Belum disetujui</v>
      </c>
      <c r="D235" s="40"/>
      <c r="E235" s="40" t="s">
        <v>11443</v>
      </c>
      <c r="F235" s="40" t="s">
        <v>220</v>
      </c>
      <c r="G235" s="40" t="s">
        <v>11399</v>
      </c>
    </row>
    <row r="236">
      <c r="A236" s="39">
        <f>IFERROR(__xludf.DUMMYFUNCTION("""COMPUTED_VALUE"""),45997.81228100695)</f>
        <v>45997.81228</v>
      </c>
      <c r="B236" s="40" t="str">
        <f>IFERROR(__xludf.DUMMYFUNCTION("""COMPUTED_VALUE"""),"YOMELIANA MARIA MAGNO")</f>
        <v>YOMELIANA MARIA MAGNO</v>
      </c>
      <c r="C236" s="40" t="str">
        <f>IFERROR(__xludf.DUMMYFUNCTION("""COMPUTED_VALUE"""),"Dapat limit tapi belum diproses")</f>
        <v>Dapat limit tapi belum diproses</v>
      </c>
      <c r="D236" s="40" t="str">
        <f>IFERROR(__xludf.DUMMYFUNCTION("""COMPUTED_VALUE"""),"Y21d series")</f>
        <v>Y21d series</v>
      </c>
      <c r="E236" s="40" t="s">
        <v>11460</v>
      </c>
      <c r="F236" s="40" t="s">
        <v>871</v>
      </c>
      <c r="G236" s="40" t="s">
        <v>11424</v>
      </c>
    </row>
    <row r="237">
      <c r="A237" s="39">
        <f>IFERROR(__xludf.DUMMYFUNCTION("""COMPUTED_VALUE"""),45997.81609937499)</f>
        <v>45997.8161</v>
      </c>
      <c r="B237" s="40" t="str">
        <f>IFERROR(__xludf.DUMMYFUNCTION("""COMPUTED_VALUE"""),"YOVANDA KATRINA NAE")</f>
        <v>YOVANDA KATRINA NAE</v>
      </c>
      <c r="C237" s="40" t="str">
        <f>IFERROR(__xludf.DUMMYFUNCTION("""COMPUTED_VALUE"""),"ACC")</f>
        <v>ACC</v>
      </c>
      <c r="D237" s="40" t="str">
        <f>IFERROR(__xludf.DUMMYFUNCTION("""COMPUTED_VALUE"""),"Y21d series")</f>
        <v>Y21d series</v>
      </c>
      <c r="E237" s="40" t="s">
        <v>11425</v>
      </c>
      <c r="F237" s="40" t="s">
        <v>205</v>
      </c>
      <c r="G237" s="40" t="s">
        <v>11419</v>
      </c>
    </row>
    <row r="238">
      <c r="A238" s="39">
        <f>IFERROR(__xludf.DUMMYFUNCTION("""COMPUTED_VALUE"""),45997.821510393514)</f>
        <v>45997.82151</v>
      </c>
      <c r="B238" s="40" t="str">
        <f>IFERROR(__xludf.DUMMYFUNCTION("""COMPUTED_VALUE"""),"ADRIANA")</f>
        <v>ADRIANA</v>
      </c>
      <c r="C238" s="40" t="str">
        <f>IFERROR(__xludf.DUMMYFUNCTION("""COMPUTED_VALUE"""),"Belum disetujui")</f>
        <v>Belum disetujui</v>
      </c>
      <c r="D238" s="40"/>
      <c r="E238" s="40" t="s">
        <v>11433</v>
      </c>
      <c r="F238" s="40" t="s">
        <v>313</v>
      </c>
      <c r="G238" s="40" t="s">
        <v>11424</v>
      </c>
    </row>
    <row r="239">
      <c r="A239" s="39">
        <f>IFERROR(__xludf.DUMMYFUNCTION("""COMPUTED_VALUE"""),45997.828237002315)</f>
        <v>45997.82824</v>
      </c>
      <c r="B239" s="40" t="str">
        <f>IFERROR(__xludf.DUMMYFUNCTION("""COMPUTED_VALUE"""),"MARNITHA JUWIKE TIMORATI RUNESI")</f>
        <v>MARNITHA JUWIKE TIMORATI RUNESI</v>
      </c>
      <c r="C239" s="40" t="str">
        <f>IFERROR(__xludf.DUMMYFUNCTION("""COMPUTED_VALUE"""),"Belum disetujui")</f>
        <v>Belum disetujui</v>
      </c>
      <c r="D239" s="40"/>
      <c r="E239" s="40" t="s">
        <v>11420</v>
      </c>
      <c r="F239" s="40" t="s">
        <v>204</v>
      </c>
      <c r="G239" s="40" t="s">
        <v>11399</v>
      </c>
    </row>
    <row r="240">
      <c r="A240" s="39">
        <f>IFERROR(__xludf.DUMMYFUNCTION("""COMPUTED_VALUE"""),45997.83819278935)</f>
        <v>45997.83819</v>
      </c>
      <c r="B240" s="40" t="str">
        <f>IFERROR(__xludf.DUMMYFUNCTION("""COMPUTED_VALUE"""),"NENY MERLIANTI NA'U")</f>
        <v>NENY MERLIANTI NA'U</v>
      </c>
      <c r="C240" s="40" t="str">
        <f>IFERROR(__xludf.DUMMYFUNCTION("""COMPUTED_VALUE"""),"Belum disetujui")</f>
        <v>Belum disetujui</v>
      </c>
      <c r="D240" s="40"/>
      <c r="E240" s="40" t="s">
        <v>11476</v>
      </c>
      <c r="F240" s="40" t="s">
        <v>204</v>
      </c>
      <c r="G240" s="40" t="s">
        <v>11399</v>
      </c>
    </row>
    <row r="241">
      <c r="A241" s="39">
        <f>IFERROR(__xludf.DUMMYFUNCTION("""COMPUTED_VALUE"""),45997.846657291666)</f>
        <v>45997.84666</v>
      </c>
      <c r="B241" s="40" t="str">
        <f>IFERROR(__xludf.DUMMYFUNCTION("""COMPUTED_VALUE"""),"MERDA PUTRI BUNGSU KENAT")</f>
        <v>MERDA PUTRI BUNGSU KENAT</v>
      </c>
      <c r="C241" s="40" t="str">
        <f>IFERROR(__xludf.DUMMYFUNCTION("""COMPUTED_VALUE"""),"ACC")</f>
        <v>ACC</v>
      </c>
      <c r="D241" s="40" t="str">
        <f>IFERROR(__xludf.DUMMYFUNCTION("""COMPUTED_VALUE"""),"Y400 series")</f>
        <v>Y400 series</v>
      </c>
      <c r="E241" s="40" t="s">
        <v>11422</v>
      </c>
      <c r="F241" s="40" t="s">
        <v>215</v>
      </c>
      <c r="G241" s="40" t="s">
        <v>11424</v>
      </c>
    </row>
    <row r="242">
      <c r="A242" s="39">
        <f>IFERROR(__xludf.DUMMYFUNCTION("""COMPUTED_VALUE"""),45997.857422754634)</f>
        <v>45997.85742</v>
      </c>
      <c r="B242" s="40" t="str">
        <f>IFERROR(__xludf.DUMMYFUNCTION("""COMPUTED_VALUE"""),"YOHANIS TIPNONI")</f>
        <v>YOHANIS TIPNONI</v>
      </c>
      <c r="C242" s="40" t="str">
        <f>IFERROR(__xludf.DUMMYFUNCTION("""COMPUTED_VALUE"""),"Belum disetujui")</f>
        <v>Belum disetujui</v>
      </c>
      <c r="D242" s="40"/>
      <c r="E242" s="40" t="s">
        <v>11405</v>
      </c>
      <c r="F242" s="40" t="s">
        <v>220</v>
      </c>
      <c r="G242" s="40" t="s">
        <v>11399</v>
      </c>
    </row>
    <row r="243">
      <c r="A243" s="39">
        <f>IFERROR(__xludf.DUMMYFUNCTION("""COMPUTED_VALUE"""),45997.87732719907)</f>
        <v>45997.87733</v>
      </c>
      <c r="B243" s="40" t="str">
        <f>IFERROR(__xludf.DUMMYFUNCTION("""COMPUTED_VALUE"""),"TERSIANA KADJA PAU")</f>
        <v>TERSIANA KADJA PAU</v>
      </c>
      <c r="C243" s="40" t="str">
        <f>IFERROR(__xludf.DUMMYFUNCTION("""COMPUTED_VALUE"""),"Belum disetujui")</f>
        <v>Belum disetujui</v>
      </c>
      <c r="D243" s="40"/>
      <c r="E243" s="40" t="s">
        <v>11411</v>
      </c>
      <c r="F243" s="40" t="s">
        <v>220</v>
      </c>
      <c r="G243" s="40" t="s">
        <v>11399</v>
      </c>
    </row>
    <row r="244">
      <c r="A244" s="39">
        <f>IFERROR(__xludf.DUMMYFUNCTION("""COMPUTED_VALUE"""),45998.48102175926)</f>
        <v>45998.48102</v>
      </c>
      <c r="B244" s="40" t="str">
        <f>IFERROR(__xludf.DUMMYFUNCTION("""COMPUTED_VALUE"""),"AZ ZAHRA SITI ZAINAB")</f>
        <v>AZ ZAHRA SITI ZAINAB</v>
      </c>
      <c r="C244" s="40" t="str">
        <f>IFERROR(__xludf.DUMMYFUNCTION("""COMPUTED_VALUE"""),"ACC")</f>
        <v>ACC</v>
      </c>
      <c r="D244" s="40" t="str">
        <f>IFERROR(__xludf.DUMMYFUNCTION("""COMPUTED_VALUE"""),"Y21d series")</f>
        <v>Y21d series</v>
      </c>
      <c r="E244" s="40" t="s">
        <v>11462</v>
      </c>
      <c r="F244" s="40" t="s">
        <v>257</v>
      </c>
      <c r="G244" s="40" t="s">
        <v>11419</v>
      </c>
    </row>
    <row r="245">
      <c r="A245" s="39">
        <f>IFERROR(__xludf.DUMMYFUNCTION("""COMPUTED_VALUE"""),45998.48248009259)</f>
        <v>45998.48248</v>
      </c>
      <c r="B245" s="40" t="str">
        <f>IFERROR(__xludf.DUMMYFUNCTION("""COMPUTED_VALUE"""),"AZ ZAHRA SITI ZAINAB")</f>
        <v>AZ ZAHRA SITI ZAINAB</v>
      </c>
      <c r="C245" s="40" t="str">
        <f>IFERROR(__xludf.DUMMYFUNCTION("""COMPUTED_VALUE"""),"Belum disetujui")</f>
        <v>Belum disetujui</v>
      </c>
      <c r="D245" s="40"/>
      <c r="E245" s="40" t="s">
        <v>11462</v>
      </c>
      <c r="F245" s="40" t="s">
        <v>257</v>
      </c>
      <c r="G245" s="40" t="s">
        <v>11419</v>
      </c>
    </row>
    <row r="246">
      <c r="A246" s="39">
        <f>IFERROR(__xludf.DUMMYFUNCTION("""COMPUTED_VALUE"""),45998.64120935186)</f>
        <v>45998.64121</v>
      </c>
      <c r="B246" s="40" t="str">
        <f>IFERROR(__xludf.DUMMYFUNCTION("""COMPUTED_VALUE"""),"SULIS NURAINI INSYATUN")</f>
        <v>SULIS NURAINI INSYATUN</v>
      </c>
      <c r="C246" s="40" t="str">
        <f>IFERROR(__xludf.DUMMYFUNCTION("""COMPUTED_VALUE"""),"Belum disetujui")</f>
        <v>Belum disetujui</v>
      </c>
      <c r="D246" s="40"/>
      <c r="E246" s="40" t="s">
        <v>11429</v>
      </c>
      <c r="F246" s="40" t="s">
        <v>257</v>
      </c>
      <c r="G246" s="40" t="s">
        <v>11419</v>
      </c>
    </row>
    <row r="247">
      <c r="A247" s="39">
        <f>IFERROR(__xludf.DUMMYFUNCTION("""COMPUTED_VALUE"""),45998.702564803236)</f>
        <v>45998.70256</v>
      </c>
      <c r="B247" s="40" t="str">
        <f>IFERROR(__xludf.DUMMYFUNCTION("""COMPUTED_VALUE"""),"AZ ZAHRA SITI ZAINAB")</f>
        <v>AZ ZAHRA SITI ZAINAB</v>
      </c>
      <c r="C247" s="40" t="str">
        <f>IFERROR(__xludf.DUMMYFUNCTION("""COMPUTED_VALUE"""),"ACC")</f>
        <v>ACC</v>
      </c>
      <c r="D247" s="40" t="str">
        <f>IFERROR(__xludf.DUMMYFUNCTION("""COMPUTED_VALUE"""),"Y400 series")</f>
        <v>Y400 series</v>
      </c>
      <c r="E247" s="40" t="s">
        <v>11462</v>
      </c>
      <c r="F247" s="40" t="s">
        <v>257</v>
      </c>
      <c r="G247" s="40" t="s">
        <v>11419</v>
      </c>
    </row>
    <row r="248">
      <c r="A248" s="39">
        <f>IFERROR(__xludf.DUMMYFUNCTION("""COMPUTED_VALUE"""),45998.7091015625)</f>
        <v>45998.7091</v>
      </c>
      <c r="B248" s="40" t="str">
        <f>IFERROR(__xludf.DUMMYFUNCTION("""COMPUTED_VALUE"""),"ESTER LUDJI")</f>
        <v>ESTER LUDJI</v>
      </c>
      <c r="C248" s="40" t="str">
        <f>IFERROR(__xludf.DUMMYFUNCTION("""COMPUTED_VALUE"""),"Belum disetujui")</f>
        <v>Belum disetujui</v>
      </c>
      <c r="D248" s="40"/>
      <c r="E248" s="40" t="s">
        <v>11441</v>
      </c>
      <c r="F248" s="40" t="s">
        <v>205</v>
      </c>
      <c r="G248" s="40" t="s">
        <v>11419</v>
      </c>
    </row>
    <row r="249">
      <c r="A249" s="39">
        <f>IFERROR(__xludf.DUMMYFUNCTION("""COMPUTED_VALUE"""),45998.86980577547)</f>
        <v>45998.86981</v>
      </c>
      <c r="B249" s="40" t="str">
        <f>IFERROR(__xludf.DUMMYFUNCTION("""COMPUTED_VALUE"""),"HERONIMUS NAMU WALI")</f>
        <v>HERONIMUS NAMU WALI</v>
      </c>
      <c r="C249" s="40" t="str">
        <f>IFERROR(__xludf.DUMMYFUNCTION("""COMPUTED_VALUE"""),"Belum disetujui")</f>
        <v>Belum disetujui</v>
      </c>
      <c r="D249" s="40"/>
      <c r="E249" s="40" t="s">
        <v>11452</v>
      </c>
      <c r="F249" s="40" t="s">
        <v>205</v>
      </c>
      <c r="G249" s="40" t="s">
        <v>11419</v>
      </c>
    </row>
    <row r="250">
      <c r="A250" s="39">
        <f>IFERROR(__xludf.DUMMYFUNCTION("""COMPUTED_VALUE"""),45999.41123969907)</f>
        <v>45999.41124</v>
      </c>
      <c r="B250" s="40" t="str">
        <f>IFERROR(__xludf.DUMMYFUNCTION("""COMPUTED_VALUE"""),"PRETI SISILIA SILA")</f>
        <v>PRETI SISILIA SILA</v>
      </c>
      <c r="C250" s="40" t="str">
        <f>IFERROR(__xludf.DUMMYFUNCTION("""COMPUTED_VALUE"""),"Belum disetujui")</f>
        <v>Belum disetujui</v>
      </c>
      <c r="D250" s="40"/>
      <c r="E250" s="40" t="s">
        <v>11456</v>
      </c>
      <c r="F250" s="40" t="s">
        <v>667</v>
      </c>
      <c r="G250" s="40" t="s">
        <v>11424</v>
      </c>
    </row>
    <row r="251">
      <c r="A251" s="39">
        <f>IFERROR(__xludf.DUMMYFUNCTION("""COMPUTED_VALUE"""),45999.42533203703)</f>
        <v>45999.42533</v>
      </c>
      <c r="B251" s="40" t="str">
        <f>IFERROR(__xludf.DUMMYFUNCTION("""COMPUTED_VALUE"""),"NABILA RAHMAWATI")</f>
        <v>NABILA RAHMAWATI</v>
      </c>
      <c r="C251" s="40" t="str">
        <f>IFERROR(__xludf.DUMMYFUNCTION("""COMPUTED_VALUE"""),"Dapat limit tapi belum diproses")</f>
        <v>Dapat limit tapi belum diproses</v>
      </c>
      <c r="D251" s="40" t="str">
        <f>IFERROR(__xludf.DUMMYFUNCTION("""COMPUTED_VALUE"""),"Y21d series")</f>
        <v>Y21d series</v>
      </c>
      <c r="E251" s="40" t="s">
        <v>11464</v>
      </c>
      <c r="F251" s="40" t="s">
        <v>257</v>
      </c>
      <c r="G251" s="40" t="s">
        <v>11419</v>
      </c>
    </row>
    <row r="252">
      <c r="A252" s="39">
        <f>IFERROR(__xludf.DUMMYFUNCTION("""COMPUTED_VALUE"""),45999.426621481485)</f>
        <v>45999.42662</v>
      </c>
      <c r="B252" s="40" t="str">
        <f>IFERROR(__xludf.DUMMYFUNCTION("""COMPUTED_VALUE"""),"NABILA RAHMAWATI")</f>
        <v>NABILA RAHMAWATI</v>
      </c>
      <c r="C252" s="40" t="str">
        <f>IFERROR(__xludf.DUMMYFUNCTION("""COMPUTED_VALUE"""),"Belum disetujui")</f>
        <v>Belum disetujui</v>
      </c>
      <c r="D252" s="40"/>
      <c r="E252" s="40" t="s">
        <v>11464</v>
      </c>
      <c r="F252" s="40" t="s">
        <v>257</v>
      </c>
      <c r="G252" s="40" t="s">
        <v>11419</v>
      </c>
    </row>
    <row r="253">
      <c r="A253" s="39">
        <f>IFERROR(__xludf.DUMMYFUNCTION("""COMPUTED_VALUE"""),45999.45061134259)</f>
        <v>45999.45061</v>
      </c>
      <c r="B253" s="40" t="str">
        <f>IFERROR(__xludf.DUMMYFUNCTION("""COMPUTED_VALUE"""),"PRETI SISILIA SILA")</f>
        <v>PRETI SISILIA SILA</v>
      </c>
      <c r="C253" s="40" t="str">
        <f>IFERROR(__xludf.DUMMYFUNCTION("""COMPUTED_VALUE"""),"Belum disetujui")</f>
        <v>Belum disetujui</v>
      </c>
      <c r="D253" s="40"/>
      <c r="E253" s="40" t="s">
        <v>11456</v>
      </c>
      <c r="F253" s="40" t="s">
        <v>667</v>
      </c>
      <c r="G253" s="40" t="s">
        <v>11424</v>
      </c>
    </row>
    <row r="254">
      <c r="A254" s="39">
        <f>IFERROR(__xludf.DUMMYFUNCTION("""COMPUTED_VALUE"""),45999.46363702546)</f>
        <v>45999.46364</v>
      </c>
      <c r="B254" s="40" t="str">
        <f>IFERROR(__xludf.DUMMYFUNCTION("""COMPUTED_VALUE"""),"ARMINDA TEKU MANEK")</f>
        <v>ARMINDA TEKU MANEK</v>
      </c>
      <c r="C254" s="40" t="str">
        <f>IFERROR(__xludf.DUMMYFUNCTION("""COMPUTED_VALUE"""),"Belum disetujui")</f>
        <v>Belum disetujui</v>
      </c>
      <c r="D254" s="40"/>
      <c r="E254" s="40" t="s">
        <v>11474</v>
      </c>
      <c r="F254" s="40" t="s">
        <v>313</v>
      </c>
      <c r="G254" s="40" t="s">
        <v>11424</v>
      </c>
    </row>
    <row r="255">
      <c r="A255" s="39">
        <f>IFERROR(__xludf.DUMMYFUNCTION("""COMPUTED_VALUE"""),45999.46550579862)</f>
        <v>45999.46551</v>
      </c>
      <c r="B255" s="40" t="str">
        <f>IFERROR(__xludf.DUMMYFUNCTION("""COMPUTED_VALUE"""),"ARMINDA TEKU MANEK")</f>
        <v>ARMINDA TEKU MANEK</v>
      </c>
      <c r="C255" s="40" t="str">
        <f>IFERROR(__xludf.DUMMYFUNCTION("""COMPUTED_VALUE"""),"Belum disetujui")</f>
        <v>Belum disetujui</v>
      </c>
      <c r="D255" s="40"/>
      <c r="E255" s="40" t="s">
        <v>11474</v>
      </c>
      <c r="F255" s="40" t="s">
        <v>313</v>
      </c>
      <c r="G255" s="40" t="s">
        <v>11424</v>
      </c>
    </row>
    <row r="256">
      <c r="A256" s="39">
        <f>IFERROR(__xludf.DUMMYFUNCTION("""COMPUTED_VALUE"""),45999.46759760416)</f>
        <v>45999.4676</v>
      </c>
      <c r="B256" s="40" t="str">
        <f>IFERROR(__xludf.DUMMYFUNCTION("""COMPUTED_VALUE"""),"ARMINDA TEKU MANEK")</f>
        <v>ARMINDA TEKU MANEK</v>
      </c>
      <c r="C256" s="40" t="str">
        <f>IFERROR(__xludf.DUMMYFUNCTION("""COMPUTED_VALUE"""),"Belum disetujui")</f>
        <v>Belum disetujui</v>
      </c>
      <c r="D256" s="40"/>
      <c r="E256" s="40" t="s">
        <v>11474</v>
      </c>
      <c r="F256" s="40" t="s">
        <v>313</v>
      </c>
      <c r="G256" s="40" t="s">
        <v>11424</v>
      </c>
    </row>
    <row r="257">
      <c r="A257" s="39">
        <f>IFERROR(__xludf.DUMMYFUNCTION("""COMPUTED_VALUE"""),45999.48285512732)</f>
        <v>45999.48286</v>
      </c>
      <c r="B257" s="40" t="str">
        <f>IFERROR(__xludf.DUMMYFUNCTION("""COMPUTED_VALUE"""),"ALDIANA WELIA PANIE")</f>
        <v>ALDIANA WELIA PANIE</v>
      </c>
      <c r="C257" s="40" t="str">
        <f>IFERROR(__xludf.DUMMYFUNCTION("""COMPUTED_VALUE"""),"ACC")</f>
        <v>ACC</v>
      </c>
      <c r="D257" s="40" t="str">
        <f>IFERROR(__xludf.DUMMYFUNCTION("""COMPUTED_VALUE"""),"Y400 series")</f>
        <v>Y400 series</v>
      </c>
      <c r="E257" s="40" t="s">
        <v>11422</v>
      </c>
      <c r="F257" s="40" t="s">
        <v>215</v>
      </c>
      <c r="G257" s="40" t="s">
        <v>11424</v>
      </c>
    </row>
    <row r="258">
      <c r="A258" s="39">
        <f>IFERROR(__xludf.DUMMYFUNCTION("""COMPUTED_VALUE"""),45999.48578206018)</f>
        <v>45999.48578</v>
      </c>
      <c r="B258" s="40" t="str">
        <f>IFERROR(__xludf.DUMMYFUNCTION("""COMPUTED_VALUE"""),"AZ ZAHRA SITI ZAINAB")</f>
        <v>AZ ZAHRA SITI ZAINAB</v>
      </c>
      <c r="C258" s="40" t="str">
        <f>IFERROR(__xludf.DUMMYFUNCTION("""COMPUTED_VALUE"""),"Belum disetujui")</f>
        <v>Belum disetujui</v>
      </c>
      <c r="D258" s="40"/>
      <c r="E258" s="40" t="s">
        <v>11462</v>
      </c>
      <c r="F258" s="40" t="s">
        <v>257</v>
      </c>
      <c r="G258" s="40" t="s">
        <v>11419</v>
      </c>
    </row>
    <row r="259">
      <c r="A259" s="39">
        <f>IFERROR(__xludf.DUMMYFUNCTION("""COMPUTED_VALUE"""),45999.491246921294)</f>
        <v>45999.49125</v>
      </c>
      <c r="B259" s="40" t="str">
        <f>IFERROR(__xludf.DUMMYFUNCTION("""COMPUTED_VALUE"""),"MARATHA MARLINDA FANGGIDAE")</f>
        <v>MARATHA MARLINDA FANGGIDAE</v>
      </c>
      <c r="C259" s="40" t="str">
        <f>IFERROR(__xludf.DUMMYFUNCTION("""COMPUTED_VALUE"""),"Belum disetujui")</f>
        <v>Belum disetujui</v>
      </c>
      <c r="D259" s="40"/>
      <c r="E259" s="40" t="s">
        <v>11435</v>
      </c>
      <c r="F259" s="40" t="s">
        <v>215</v>
      </c>
      <c r="G259" s="40" t="s">
        <v>11424</v>
      </c>
    </row>
    <row r="260">
      <c r="A260" s="39">
        <f>IFERROR(__xludf.DUMMYFUNCTION("""COMPUTED_VALUE"""),45999.49874398149)</f>
        <v>45999.49874</v>
      </c>
      <c r="B260" s="40" t="str">
        <f>IFERROR(__xludf.DUMMYFUNCTION("""COMPUTED_VALUE"""),"MARIA MELAN ANANCE BILI")</f>
        <v>MARIA MELAN ANANCE BILI</v>
      </c>
      <c r="C260" s="40" t="str">
        <f>IFERROR(__xludf.DUMMYFUNCTION("""COMPUTED_VALUE"""),"Dapat limit tapi belum diproses")</f>
        <v>Dapat limit tapi belum diproses</v>
      </c>
      <c r="D260" s="40" t="str">
        <f>IFERROR(__xludf.DUMMYFUNCTION("""COMPUTED_VALUE"""),"Y400 series")</f>
        <v>Y400 series</v>
      </c>
      <c r="E260" s="40" t="s">
        <v>11466</v>
      </c>
      <c r="F260" s="40" t="s">
        <v>257</v>
      </c>
      <c r="G260" s="40" t="s">
        <v>11419</v>
      </c>
    </row>
    <row r="261">
      <c r="A261" s="39">
        <f>IFERROR(__xludf.DUMMYFUNCTION("""COMPUTED_VALUE"""),45999.50130832176)</f>
        <v>45999.50131</v>
      </c>
      <c r="B261" s="40" t="str">
        <f>IFERROR(__xludf.DUMMYFUNCTION("""COMPUTED_VALUE"""),"ANGELA BOUKA BERI")</f>
        <v>ANGELA BOUKA BERI</v>
      </c>
      <c r="C261" s="40" t="str">
        <f>IFERROR(__xludf.DUMMYFUNCTION("""COMPUTED_VALUE"""),"Belum disetujui")</f>
        <v>Belum disetujui</v>
      </c>
      <c r="D261" s="40"/>
      <c r="E261" s="40" t="s">
        <v>11486</v>
      </c>
      <c r="F261" s="40" t="s">
        <v>11450</v>
      </c>
      <c r="G261" s="40" t="s">
        <v>11424</v>
      </c>
    </row>
    <row r="262">
      <c r="A262" s="39">
        <f>IFERROR(__xludf.DUMMYFUNCTION("""COMPUTED_VALUE"""),45999.50403215277)</f>
        <v>45999.50403</v>
      </c>
      <c r="B262" s="40" t="str">
        <f>IFERROR(__xludf.DUMMYFUNCTION("""COMPUTED_VALUE"""),"ANGELA BOUKA BERI")</f>
        <v>ANGELA BOUKA BERI</v>
      </c>
      <c r="C262" s="40" t="str">
        <f>IFERROR(__xludf.DUMMYFUNCTION("""COMPUTED_VALUE"""),"Belum disetujui")</f>
        <v>Belum disetujui</v>
      </c>
      <c r="D262" s="40"/>
      <c r="E262" s="40" t="s">
        <v>11486</v>
      </c>
      <c r="F262" s="40" t="s">
        <v>11450</v>
      </c>
      <c r="G262" s="40" t="s">
        <v>11424</v>
      </c>
    </row>
    <row r="263">
      <c r="A263" s="39">
        <f>IFERROR(__xludf.DUMMYFUNCTION("""COMPUTED_VALUE"""),45999.52671439815)</f>
        <v>45999.52671</v>
      </c>
      <c r="B263" s="40" t="str">
        <f>IFERROR(__xludf.DUMMYFUNCTION("""COMPUTED_VALUE"""),"AZ ZAHRA SITI ZAINAB")</f>
        <v>AZ ZAHRA SITI ZAINAB</v>
      </c>
      <c r="C263" s="40" t="str">
        <f>IFERROR(__xludf.DUMMYFUNCTION("""COMPUTED_VALUE"""),"ACC")</f>
        <v>ACC</v>
      </c>
      <c r="D263" s="40" t="str">
        <f>IFERROR(__xludf.DUMMYFUNCTION("""COMPUTED_VALUE"""),"Y21d series")</f>
        <v>Y21d series</v>
      </c>
      <c r="E263" s="40" t="s">
        <v>11462</v>
      </c>
      <c r="F263" s="40" t="s">
        <v>257</v>
      </c>
      <c r="G263" s="40" t="s">
        <v>11419</v>
      </c>
    </row>
    <row r="264">
      <c r="A264" s="39">
        <f>IFERROR(__xludf.DUMMYFUNCTION("""COMPUTED_VALUE"""),45999.53493715278)</f>
        <v>45999.53494</v>
      </c>
      <c r="B264" s="40" t="str">
        <f>IFERROR(__xludf.DUMMYFUNCTION("""COMPUTED_VALUE"""),"PATRIANI MENGI ULY")</f>
        <v>PATRIANI MENGI ULY</v>
      </c>
      <c r="C264" s="40" t="str">
        <f>IFERROR(__xludf.DUMMYFUNCTION("""COMPUTED_VALUE"""),"Belum disetujui")</f>
        <v>Belum disetujui</v>
      </c>
      <c r="D264" s="40"/>
      <c r="E264" s="40" t="s">
        <v>11402</v>
      </c>
      <c r="F264" s="40" t="s">
        <v>204</v>
      </c>
      <c r="G264" s="40" t="s">
        <v>11399</v>
      </c>
    </row>
    <row r="265">
      <c r="A265" s="39">
        <f>IFERROR(__xludf.DUMMYFUNCTION("""COMPUTED_VALUE"""),45999.55191084491)</f>
        <v>45999.55191</v>
      </c>
      <c r="B265" s="40" t="str">
        <f>IFERROR(__xludf.DUMMYFUNCTION("""COMPUTED_VALUE"""),"AZ ZAHRA SITI ZAINAB")</f>
        <v>AZ ZAHRA SITI ZAINAB</v>
      </c>
      <c r="C265" s="40" t="str">
        <f>IFERROR(__xludf.DUMMYFUNCTION("""COMPUTED_VALUE"""),"Belum disetujui")</f>
        <v>Belum disetujui</v>
      </c>
      <c r="D265" s="40"/>
      <c r="E265" s="40" t="s">
        <v>11462</v>
      </c>
      <c r="F265" s="40" t="s">
        <v>257</v>
      </c>
      <c r="G265" s="40" t="s">
        <v>11419</v>
      </c>
    </row>
    <row r="266">
      <c r="A266" s="39">
        <f>IFERROR(__xludf.DUMMYFUNCTION("""COMPUTED_VALUE"""),45999.56019759259)</f>
        <v>45999.5602</v>
      </c>
      <c r="B266" s="40" t="str">
        <f>IFERROR(__xludf.DUMMYFUNCTION("""COMPUTED_VALUE"""),"AINI RAHMATINI NATALIA MOESTAKIM")</f>
        <v>AINI RAHMATINI NATALIA MOESTAKIM</v>
      </c>
      <c r="C266" s="40" t="str">
        <f>IFERROR(__xludf.DUMMYFUNCTION("""COMPUTED_VALUE"""),"Belum disetujui")</f>
        <v>Belum disetujui</v>
      </c>
      <c r="D266" s="40"/>
      <c r="E266" s="40" t="s">
        <v>11409</v>
      </c>
      <c r="F266" s="40" t="s">
        <v>204</v>
      </c>
      <c r="G266" s="40" t="s">
        <v>11399</v>
      </c>
    </row>
    <row r="267">
      <c r="A267" s="39">
        <f>IFERROR(__xludf.DUMMYFUNCTION("""COMPUTED_VALUE"""),45999.56130194444)</f>
        <v>45999.5613</v>
      </c>
      <c r="B267" s="40" t="str">
        <f>IFERROR(__xludf.DUMMYFUNCTION("""COMPUTED_VALUE"""),"SANDRA LAU")</f>
        <v>SANDRA LAU</v>
      </c>
      <c r="C267" s="40" t="str">
        <f>IFERROR(__xludf.DUMMYFUNCTION("""COMPUTED_VALUE"""),"Belum disetujui")</f>
        <v>Belum disetujui</v>
      </c>
      <c r="D267" s="40"/>
      <c r="E267" s="40" t="s">
        <v>11460</v>
      </c>
      <c r="F267" s="40" t="s">
        <v>871</v>
      </c>
      <c r="G267" s="40" t="s">
        <v>11424</v>
      </c>
    </row>
    <row r="268">
      <c r="A268" s="39">
        <f>IFERROR(__xludf.DUMMYFUNCTION("""COMPUTED_VALUE"""),45999.56226023148)</f>
        <v>45999.56226</v>
      </c>
      <c r="B268" s="40" t="str">
        <f>IFERROR(__xludf.DUMMYFUNCTION("""COMPUTED_VALUE"""),"SELVINCE BAKO")</f>
        <v>SELVINCE BAKO</v>
      </c>
      <c r="C268" s="40" t="str">
        <f>IFERROR(__xludf.DUMMYFUNCTION("""COMPUTED_VALUE"""),"Belum disetujui")</f>
        <v>Belum disetujui</v>
      </c>
      <c r="D268" s="40"/>
      <c r="E268" s="40" t="s">
        <v>11413</v>
      </c>
      <c r="F268" s="40" t="s">
        <v>204</v>
      </c>
      <c r="G268" s="40" t="s">
        <v>11399</v>
      </c>
    </row>
    <row r="269">
      <c r="A269" s="39">
        <f>IFERROR(__xludf.DUMMYFUNCTION("""COMPUTED_VALUE"""),45999.56291025463)</f>
        <v>45999.56291</v>
      </c>
      <c r="B269" s="40" t="str">
        <f>IFERROR(__xludf.DUMMYFUNCTION("""COMPUTED_VALUE"""),"YUNITA TAMELAB")</f>
        <v>YUNITA TAMELAB</v>
      </c>
      <c r="C269" s="40" t="str">
        <f>IFERROR(__xludf.DUMMYFUNCTION("""COMPUTED_VALUE"""),"ACC")</f>
        <v>ACC</v>
      </c>
      <c r="D269" s="40" t="str">
        <f>IFERROR(__xludf.DUMMYFUNCTION("""COMPUTED_VALUE"""),"Y21d series")</f>
        <v>Y21d series</v>
      </c>
      <c r="E269" s="40" t="s">
        <v>11472</v>
      </c>
      <c r="F269" s="40" t="s">
        <v>667</v>
      </c>
      <c r="G269" s="40" t="s">
        <v>11424</v>
      </c>
    </row>
    <row r="270">
      <c r="A270" s="39">
        <f>IFERROR(__xludf.DUMMYFUNCTION("""COMPUTED_VALUE"""),45999.56429894677)</f>
        <v>45999.5643</v>
      </c>
      <c r="B270" s="40" t="str">
        <f>IFERROR(__xludf.DUMMYFUNCTION("""COMPUTED_VALUE"""),"SANDRA LAU")</f>
        <v>SANDRA LAU</v>
      </c>
      <c r="C270" s="40" t="str">
        <f>IFERROR(__xludf.DUMMYFUNCTION("""COMPUTED_VALUE"""),"Belum disetujui")</f>
        <v>Belum disetujui</v>
      </c>
      <c r="D270" s="40"/>
      <c r="E270" s="40" t="s">
        <v>11460</v>
      </c>
      <c r="F270" s="40" t="s">
        <v>871</v>
      </c>
      <c r="G270" s="40" t="s">
        <v>11424</v>
      </c>
    </row>
    <row r="271">
      <c r="A271" s="39">
        <f>IFERROR(__xludf.DUMMYFUNCTION("""COMPUTED_VALUE"""),45999.57469612269)</f>
        <v>45999.5747</v>
      </c>
      <c r="B271" s="40" t="str">
        <f>IFERROR(__xludf.DUMMYFUNCTION("""COMPUTED_VALUE"""),"MERDA PUTRI BUNGSU KENAT")</f>
        <v>MERDA PUTRI BUNGSU KENAT</v>
      </c>
      <c r="C271" s="40" t="str">
        <f>IFERROR(__xludf.DUMMYFUNCTION("""COMPUTED_VALUE"""),"Belum disetujui")</f>
        <v>Belum disetujui</v>
      </c>
      <c r="D271" s="40"/>
      <c r="E271" s="40" t="s">
        <v>11422</v>
      </c>
      <c r="F271" s="40" t="s">
        <v>215</v>
      </c>
      <c r="G271" s="40" t="s">
        <v>11424</v>
      </c>
    </row>
    <row r="272">
      <c r="A272" s="39">
        <f>IFERROR(__xludf.DUMMYFUNCTION("""COMPUTED_VALUE"""),45999.577912395835)</f>
        <v>45999.57791</v>
      </c>
      <c r="B272" s="40" t="str">
        <f>IFERROR(__xludf.DUMMYFUNCTION("""COMPUTED_VALUE"""),"MERDA PUTRI BUNGSU KENAT")</f>
        <v>MERDA PUTRI BUNGSU KENAT</v>
      </c>
      <c r="C272" s="40" t="str">
        <f>IFERROR(__xludf.DUMMYFUNCTION("""COMPUTED_VALUE"""),"Belum disetujui")</f>
        <v>Belum disetujui</v>
      </c>
      <c r="D272" s="40"/>
      <c r="E272" s="40" t="s">
        <v>11422</v>
      </c>
      <c r="F272" s="40" t="s">
        <v>215</v>
      </c>
      <c r="G272" s="40" t="s">
        <v>11424</v>
      </c>
    </row>
    <row r="273">
      <c r="A273" s="39">
        <f>IFERROR(__xludf.DUMMYFUNCTION("""COMPUTED_VALUE"""),45999.59573090278)</f>
        <v>45999.59573</v>
      </c>
      <c r="B273" s="40" t="str">
        <f>IFERROR(__xludf.DUMMYFUNCTION("""COMPUTED_VALUE"""),"MARNITHA JUWIKE TIMORATI RUNESI")</f>
        <v>MARNITHA JUWIKE TIMORATI RUNESI</v>
      </c>
      <c r="C273" s="40" t="str">
        <f>IFERROR(__xludf.DUMMYFUNCTION("""COMPUTED_VALUE"""),"Belum disetujui")</f>
        <v>Belum disetujui</v>
      </c>
      <c r="D273" s="40"/>
      <c r="E273" s="40" t="s">
        <v>11420</v>
      </c>
      <c r="F273" s="40" t="s">
        <v>204</v>
      </c>
      <c r="G273" s="40" t="s">
        <v>11399</v>
      </c>
    </row>
    <row r="274">
      <c r="A274" s="39">
        <f>IFERROR(__xludf.DUMMYFUNCTION("""COMPUTED_VALUE"""),45999.636121261574)</f>
        <v>45999.63612</v>
      </c>
      <c r="B274" s="40" t="str">
        <f>IFERROR(__xludf.DUMMYFUNCTION("""COMPUTED_VALUE"""),"ANYARMITHA SOPHIA SUEK")</f>
        <v>ANYARMITHA SOPHIA SUEK</v>
      </c>
      <c r="C274" s="40" t="str">
        <f>IFERROR(__xludf.DUMMYFUNCTION("""COMPUTED_VALUE"""),"Belum disetujui")</f>
        <v>Belum disetujui</v>
      </c>
      <c r="D274" s="40"/>
      <c r="E274" s="40" t="s">
        <v>11443</v>
      </c>
      <c r="F274" s="40" t="s">
        <v>220</v>
      </c>
      <c r="G274" s="40" t="s">
        <v>11399</v>
      </c>
    </row>
    <row r="275">
      <c r="A275" s="39">
        <f>IFERROR(__xludf.DUMMYFUNCTION("""COMPUTED_VALUE"""),45999.66057663194)</f>
        <v>45999.66058</v>
      </c>
      <c r="B275" s="40" t="str">
        <f>IFERROR(__xludf.DUMMYFUNCTION("""COMPUTED_VALUE"""),"AZ ZAHRA SITI ZAINAB")</f>
        <v>AZ ZAHRA SITI ZAINAB</v>
      </c>
      <c r="C275" s="40" t="str">
        <f>IFERROR(__xludf.DUMMYFUNCTION("""COMPUTED_VALUE"""),"ACC")</f>
        <v>ACC</v>
      </c>
      <c r="D275" s="40" t="str">
        <f>IFERROR(__xludf.DUMMYFUNCTION("""COMPUTED_VALUE"""),"Y400 series")</f>
        <v>Y400 series</v>
      </c>
      <c r="E275" s="40" t="s">
        <v>11462</v>
      </c>
      <c r="F275" s="40" t="s">
        <v>257</v>
      </c>
      <c r="G275" s="40" t="s">
        <v>11419</v>
      </c>
    </row>
    <row r="276">
      <c r="A276" s="39">
        <f>IFERROR(__xludf.DUMMYFUNCTION("""COMPUTED_VALUE"""),45999.66705196759)</f>
        <v>45999.66705</v>
      </c>
      <c r="B276" s="40" t="str">
        <f>IFERROR(__xludf.DUMMYFUNCTION("""COMPUTED_VALUE"""),"ESTER LUDJI")</f>
        <v>ESTER LUDJI</v>
      </c>
      <c r="C276" s="40" t="str">
        <f>IFERROR(__xludf.DUMMYFUNCTION("""COMPUTED_VALUE"""),"Dapat limit tapi belum diproses")</f>
        <v>Dapat limit tapi belum diproses</v>
      </c>
      <c r="D276" s="40" t="str">
        <f>IFERROR(__xludf.DUMMYFUNCTION("""COMPUTED_VALUE"""),"Y400 series")</f>
        <v>Y400 series</v>
      </c>
      <c r="E276" s="40" t="s">
        <v>11441</v>
      </c>
      <c r="F276" s="40" t="s">
        <v>205</v>
      </c>
      <c r="G276" s="40" t="s">
        <v>11419</v>
      </c>
    </row>
    <row r="277">
      <c r="A277" s="39">
        <f>IFERROR(__xludf.DUMMYFUNCTION("""COMPUTED_VALUE"""),45999.705360266205)</f>
        <v>45999.70536</v>
      </c>
      <c r="B277" s="40" t="str">
        <f>IFERROR(__xludf.DUMMYFUNCTION("""COMPUTED_VALUE"""),"HERONIMUS NAMU WALI")</f>
        <v>HERONIMUS NAMU WALI</v>
      </c>
      <c r="C277" s="40" t="str">
        <f>IFERROR(__xludf.DUMMYFUNCTION("""COMPUTED_VALUE"""),"ACC")</f>
        <v>ACC</v>
      </c>
      <c r="D277" s="40" t="str">
        <f>IFERROR(__xludf.DUMMYFUNCTION("""COMPUTED_VALUE"""),"Y21d series")</f>
        <v>Y21d series</v>
      </c>
      <c r="E277" s="40" t="s">
        <v>11452</v>
      </c>
      <c r="F277" s="40" t="s">
        <v>205</v>
      </c>
      <c r="G277" s="40" t="s">
        <v>11419</v>
      </c>
    </row>
    <row r="278">
      <c r="A278" s="39">
        <f>IFERROR(__xludf.DUMMYFUNCTION("""COMPUTED_VALUE"""),45999.711757164354)</f>
        <v>45999.71176</v>
      </c>
      <c r="B278" s="40" t="str">
        <f>IFERROR(__xludf.DUMMYFUNCTION("""COMPUTED_VALUE"""),"SULIS NURAINI INSYATUN")</f>
        <v>SULIS NURAINI INSYATUN</v>
      </c>
      <c r="C278" s="40" t="str">
        <f>IFERROR(__xludf.DUMMYFUNCTION("""COMPUTED_VALUE"""),"ACC")</f>
        <v>ACC</v>
      </c>
      <c r="D278" s="40" t="str">
        <f>IFERROR(__xludf.DUMMYFUNCTION("""COMPUTED_VALUE"""),"Y21d series")</f>
        <v>Y21d series</v>
      </c>
      <c r="E278" s="40" t="s">
        <v>11429</v>
      </c>
      <c r="F278" s="40" t="s">
        <v>257</v>
      </c>
      <c r="G278" s="40" t="s">
        <v>11419</v>
      </c>
    </row>
    <row r="279">
      <c r="A279" s="39">
        <f>IFERROR(__xludf.DUMMYFUNCTION("""COMPUTED_VALUE"""),45999.73038637732)</f>
        <v>45999.73039</v>
      </c>
      <c r="B279" s="40" t="str">
        <f>IFERROR(__xludf.DUMMYFUNCTION("""COMPUTED_VALUE"""),"BERGITHA NIA OLIN")</f>
        <v>BERGITHA NIA OLIN</v>
      </c>
      <c r="C279" s="40" t="str">
        <f>IFERROR(__xludf.DUMMYFUNCTION("""COMPUTED_VALUE"""),"ACC")</f>
        <v>ACC</v>
      </c>
      <c r="D279" s="40" t="str">
        <f>IFERROR(__xludf.DUMMYFUNCTION("""COMPUTED_VALUE"""),"Y21d series")</f>
        <v>Y21d series</v>
      </c>
      <c r="E279" s="40" t="s">
        <v>11431</v>
      </c>
      <c r="F279" s="40" t="s">
        <v>313</v>
      </c>
      <c r="G279" s="40" t="s">
        <v>11424</v>
      </c>
    </row>
    <row r="280">
      <c r="A280" s="39">
        <f>IFERROR(__xludf.DUMMYFUNCTION("""COMPUTED_VALUE"""),45999.73374778935)</f>
        <v>45999.73375</v>
      </c>
      <c r="B280" s="40" t="str">
        <f>IFERROR(__xludf.DUMMYFUNCTION("""COMPUTED_VALUE"""),"MARNITHA JUWIKE TIMORATI RUNESI")</f>
        <v>MARNITHA JUWIKE TIMORATI RUNESI</v>
      </c>
      <c r="C280" s="40" t="str">
        <f>IFERROR(__xludf.DUMMYFUNCTION("""COMPUTED_VALUE"""),"ACC")</f>
        <v>ACC</v>
      </c>
      <c r="D280" s="40" t="str">
        <f>IFERROR(__xludf.DUMMYFUNCTION("""COMPUTED_VALUE"""),"Y21d series")</f>
        <v>Y21d series</v>
      </c>
      <c r="E280" s="40" t="s">
        <v>11420</v>
      </c>
      <c r="F280" s="40" t="s">
        <v>204</v>
      </c>
      <c r="G280" s="40" t="s">
        <v>11399</v>
      </c>
    </row>
    <row r="281">
      <c r="A281" s="39">
        <f>IFERROR(__xludf.DUMMYFUNCTION("""COMPUTED_VALUE"""),45999.76038194445)</f>
        <v>45999.76038</v>
      </c>
      <c r="B281" s="40" t="str">
        <f>IFERROR(__xludf.DUMMYFUNCTION("""COMPUTED_VALUE"""),"KESIA NATALIA I. BENU")</f>
        <v>KESIA NATALIA I. BENU</v>
      </c>
      <c r="C281" s="40" t="str">
        <f>IFERROR(__xludf.DUMMYFUNCTION("""COMPUTED_VALUE"""),"Belum disetujui")</f>
        <v>Belum disetujui</v>
      </c>
      <c r="D281" s="40"/>
      <c r="E281" s="40" t="s">
        <v>11417</v>
      </c>
      <c r="F281" s="40" t="s">
        <v>257</v>
      </c>
      <c r="G281" s="40" t="s">
        <v>11419</v>
      </c>
    </row>
    <row r="282">
      <c r="A282" s="39">
        <f>IFERROR(__xludf.DUMMYFUNCTION("""COMPUTED_VALUE"""),45999.76287840278)</f>
        <v>45999.76288</v>
      </c>
      <c r="B282" s="40" t="str">
        <f>IFERROR(__xludf.DUMMYFUNCTION("""COMPUTED_VALUE"""),"KESIA NATALIA I. BENU")</f>
        <v>KESIA NATALIA I. BENU</v>
      </c>
      <c r="C282" s="40" t="str">
        <f>IFERROR(__xludf.DUMMYFUNCTION("""COMPUTED_VALUE"""),"Belum disetujui")</f>
        <v>Belum disetujui</v>
      </c>
      <c r="D282" s="40"/>
      <c r="E282" s="40" t="s">
        <v>11417</v>
      </c>
      <c r="F282" s="40" t="s">
        <v>257</v>
      </c>
      <c r="G282" s="40" t="s">
        <v>11419</v>
      </c>
    </row>
    <row r="283">
      <c r="A283" s="39">
        <f>IFERROR(__xludf.DUMMYFUNCTION("""COMPUTED_VALUE"""),45999.76473495371)</f>
        <v>45999.76473</v>
      </c>
      <c r="B283" s="40" t="str">
        <f>IFERROR(__xludf.DUMMYFUNCTION("""COMPUTED_VALUE"""),"KESIA NATALIA I. BENU")</f>
        <v>KESIA NATALIA I. BENU</v>
      </c>
      <c r="C283" s="40" t="str">
        <f>IFERROR(__xludf.DUMMYFUNCTION("""COMPUTED_VALUE"""),"Belum disetujui")</f>
        <v>Belum disetujui</v>
      </c>
      <c r="D283" s="40"/>
      <c r="E283" s="40" t="s">
        <v>11417</v>
      </c>
      <c r="F283" s="40" t="s">
        <v>257</v>
      </c>
      <c r="G283" s="40" t="s">
        <v>11419</v>
      </c>
    </row>
    <row r="284">
      <c r="A284" s="39">
        <f>IFERROR(__xludf.DUMMYFUNCTION("""COMPUTED_VALUE"""),45999.76640030093)</f>
        <v>45999.7664</v>
      </c>
      <c r="B284" s="40" t="str">
        <f>IFERROR(__xludf.DUMMYFUNCTION("""COMPUTED_VALUE"""),"KESIA NATALIA I. BENU")</f>
        <v>KESIA NATALIA I. BENU</v>
      </c>
      <c r="C284" s="40" t="str">
        <f>IFERROR(__xludf.DUMMYFUNCTION("""COMPUTED_VALUE"""),"Belum disetujui")</f>
        <v>Belum disetujui</v>
      </c>
      <c r="D284" s="40"/>
      <c r="E284" s="40" t="s">
        <v>11417</v>
      </c>
      <c r="F284" s="40" t="s">
        <v>257</v>
      </c>
      <c r="G284" s="40" t="s">
        <v>11419</v>
      </c>
    </row>
    <row r="285">
      <c r="A285" s="39">
        <f>IFERROR(__xludf.DUMMYFUNCTION("""COMPUTED_VALUE"""),45999.76744921296)</f>
        <v>45999.76745</v>
      </c>
      <c r="B285" s="40" t="str">
        <f>IFERROR(__xludf.DUMMYFUNCTION("""COMPUTED_VALUE"""),"SANTI MARIA LUKMINI NAHAK")</f>
        <v>SANTI MARIA LUKMINI NAHAK</v>
      </c>
      <c r="C285" s="40" t="str">
        <f>IFERROR(__xludf.DUMMYFUNCTION("""COMPUTED_VALUE"""),"Dapat limit tapi belum diproses")</f>
        <v>Dapat limit tapi belum diproses</v>
      </c>
      <c r="D285" s="40" t="str">
        <f>IFERROR(__xludf.DUMMYFUNCTION("""COMPUTED_VALUE"""),"Y21d series")</f>
        <v>Y21d series</v>
      </c>
      <c r="E285" s="40" t="s">
        <v>11460</v>
      </c>
      <c r="F285" s="40" t="s">
        <v>871</v>
      </c>
      <c r="G285" s="40" t="s">
        <v>11424</v>
      </c>
    </row>
    <row r="286">
      <c r="A286" s="39">
        <f>IFERROR(__xludf.DUMMYFUNCTION("""COMPUTED_VALUE"""),45999.76871800926)</f>
        <v>45999.76872</v>
      </c>
      <c r="B286" s="40" t="str">
        <f>IFERROR(__xludf.DUMMYFUNCTION("""COMPUTED_VALUE"""),"NUR FATIMAH MOLBANG")</f>
        <v>NUR FATIMAH MOLBANG</v>
      </c>
      <c r="C286" s="40" t="str">
        <f>IFERROR(__xludf.DUMMYFUNCTION("""COMPUTED_VALUE"""),"Belum disetujui")</f>
        <v>Belum disetujui</v>
      </c>
      <c r="D286" s="40"/>
      <c r="E286" s="40" t="s">
        <v>11439</v>
      </c>
      <c r="F286" s="40" t="s">
        <v>313</v>
      </c>
      <c r="G286" s="40" t="s">
        <v>11424</v>
      </c>
    </row>
    <row r="287">
      <c r="A287" s="39">
        <f>IFERROR(__xludf.DUMMYFUNCTION("""COMPUTED_VALUE"""),45999.77039464121)</f>
        <v>45999.77039</v>
      </c>
      <c r="B287" s="40" t="str">
        <f>IFERROR(__xludf.DUMMYFUNCTION("""COMPUTED_VALUE"""),"NUR FATIMAH MOLBANG")</f>
        <v>NUR FATIMAH MOLBANG</v>
      </c>
      <c r="C287" s="40" t="str">
        <f>IFERROR(__xludf.DUMMYFUNCTION("""COMPUTED_VALUE"""),"ACC")</f>
        <v>ACC</v>
      </c>
      <c r="D287" s="40" t="str">
        <f>IFERROR(__xludf.DUMMYFUNCTION("""COMPUTED_VALUE"""),"Y400 series")</f>
        <v>Y400 series</v>
      </c>
      <c r="E287" s="40" t="s">
        <v>11439</v>
      </c>
      <c r="F287" s="40" t="s">
        <v>313</v>
      </c>
      <c r="G287" s="40" t="s">
        <v>11424</v>
      </c>
    </row>
    <row r="288">
      <c r="A288" s="39">
        <f>IFERROR(__xludf.DUMMYFUNCTION("""COMPUTED_VALUE"""),45999.77905489583)</f>
        <v>45999.77905</v>
      </c>
      <c r="B288" s="40" t="str">
        <f>IFERROR(__xludf.DUMMYFUNCTION("""COMPUTED_VALUE"""),"ASTUTI BELA WAWO")</f>
        <v>ASTUTI BELA WAWO</v>
      </c>
      <c r="C288" s="40" t="str">
        <f>IFERROR(__xludf.DUMMYFUNCTION("""COMPUTED_VALUE"""),"Belum disetujui")</f>
        <v>Belum disetujui</v>
      </c>
      <c r="D288" s="40"/>
      <c r="E288" s="40" t="s">
        <v>11427</v>
      </c>
      <c r="F288" s="40" t="s">
        <v>257</v>
      </c>
      <c r="G288" s="40" t="s">
        <v>11419</v>
      </c>
    </row>
    <row r="289">
      <c r="A289" s="39">
        <f>IFERROR(__xludf.DUMMYFUNCTION("""COMPUTED_VALUE"""),45999.781524224534)</f>
        <v>45999.78152</v>
      </c>
      <c r="B289" s="40" t="str">
        <f>IFERROR(__xludf.DUMMYFUNCTION("""COMPUTED_VALUE"""),"MERDA PUTRI BUNGSU KENAT")</f>
        <v>MERDA PUTRI BUNGSU KENAT</v>
      </c>
      <c r="C289" s="40" t="str">
        <f>IFERROR(__xludf.DUMMYFUNCTION("""COMPUTED_VALUE"""),"Dapat limit tapi belum diproses")</f>
        <v>Dapat limit tapi belum diproses</v>
      </c>
      <c r="D289" s="40" t="str">
        <f>IFERROR(__xludf.DUMMYFUNCTION("""COMPUTED_VALUE"""),"Y21d series")</f>
        <v>Y21d series</v>
      </c>
      <c r="E289" s="40" t="s">
        <v>11422</v>
      </c>
      <c r="F289" s="40" t="s">
        <v>215</v>
      </c>
      <c r="G289" s="40" t="s">
        <v>11424</v>
      </c>
    </row>
    <row r="290">
      <c r="A290" s="39">
        <f>IFERROR(__xludf.DUMMYFUNCTION("""COMPUTED_VALUE"""),45999.80253696759)</f>
        <v>45999.80254</v>
      </c>
      <c r="B290" s="40" t="str">
        <f>IFERROR(__xludf.DUMMYFUNCTION("""COMPUTED_VALUE"""),"AZ ZAHRA SITI ZAINAB")</f>
        <v>AZ ZAHRA SITI ZAINAB</v>
      </c>
      <c r="C290" s="40" t="str">
        <f>IFERROR(__xludf.DUMMYFUNCTION("""COMPUTED_VALUE"""),"ACC")</f>
        <v>ACC</v>
      </c>
      <c r="D290" s="40" t="str">
        <f>IFERROR(__xludf.DUMMYFUNCTION("""COMPUTED_VALUE"""),"Y21d series")</f>
        <v>Y21d series</v>
      </c>
      <c r="E290" s="40" t="s">
        <v>11462</v>
      </c>
      <c r="F290" s="40" t="s">
        <v>257</v>
      </c>
      <c r="G290" s="40" t="s">
        <v>11419</v>
      </c>
    </row>
    <row r="291">
      <c r="A291" s="39">
        <f>IFERROR(__xludf.DUMMYFUNCTION("""COMPUTED_VALUE"""),45999.81355423611)</f>
        <v>45999.81355</v>
      </c>
      <c r="B291" s="40" t="str">
        <f>IFERROR(__xludf.DUMMYFUNCTION("""COMPUTED_VALUE"""),"YOHANIS TIPNONI")</f>
        <v>YOHANIS TIPNONI</v>
      </c>
      <c r="C291" s="40" t="str">
        <f>IFERROR(__xludf.DUMMYFUNCTION("""COMPUTED_VALUE"""),"Belum disetujui")</f>
        <v>Belum disetujui</v>
      </c>
      <c r="D291" s="40"/>
      <c r="E291" s="40" t="s">
        <v>11405</v>
      </c>
      <c r="F291" s="40" t="s">
        <v>220</v>
      </c>
      <c r="G291" s="40" t="s">
        <v>11399</v>
      </c>
    </row>
    <row r="292">
      <c r="A292" s="39">
        <f>IFERROR(__xludf.DUMMYFUNCTION("""COMPUTED_VALUE"""),45999.81617603009)</f>
        <v>45999.81618</v>
      </c>
      <c r="B292" s="40" t="str">
        <f>IFERROR(__xludf.DUMMYFUNCTION("""COMPUTED_VALUE"""),"YOHANIS TIPNONI")</f>
        <v>YOHANIS TIPNONI</v>
      </c>
      <c r="C292" s="40" t="str">
        <f>IFERROR(__xludf.DUMMYFUNCTION("""COMPUTED_VALUE"""),"Belum disetujui")</f>
        <v>Belum disetujui</v>
      </c>
      <c r="D292" s="40"/>
      <c r="E292" s="40" t="s">
        <v>11405</v>
      </c>
      <c r="F292" s="40" t="s">
        <v>220</v>
      </c>
      <c r="G292" s="40" t="s">
        <v>11399</v>
      </c>
    </row>
    <row r="293">
      <c r="A293" s="39">
        <f>IFERROR(__xludf.DUMMYFUNCTION("""COMPUTED_VALUE"""),45999.82169460648)</f>
        <v>45999.82169</v>
      </c>
      <c r="B293" s="40" t="str">
        <f>IFERROR(__xludf.DUMMYFUNCTION("""COMPUTED_VALUE"""),"YOHANIS TIPNONI")</f>
        <v>YOHANIS TIPNONI</v>
      </c>
      <c r="C293" s="40" t="str">
        <f>IFERROR(__xludf.DUMMYFUNCTION("""COMPUTED_VALUE"""),"Belum disetujui")</f>
        <v>Belum disetujui</v>
      </c>
      <c r="D293" s="40"/>
      <c r="E293" s="40" t="s">
        <v>11405</v>
      </c>
      <c r="F293" s="40" t="s">
        <v>220</v>
      </c>
      <c r="G293" s="40" t="s">
        <v>11399</v>
      </c>
    </row>
    <row r="294">
      <c r="A294" s="39">
        <f>IFERROR(__xludf.DUMMYFUNCTION("""COMPUTED_VALUE"""),45999.84456253472)</f>
        <v>45999.84456</v>
      </c>
      <c r="B294" s="40" t="str">
        <f>IFERROR(__xludf.DUMMYFUNCTION("""COMPUTED_VALUE"""),"ESTER LUDJI")</f>
        <v>ESTER LUDJI</v>
      </c>
      <c r="C294" s="40" t="str">
        <f>IFERROR(__xludf.DUMMYFUNCTION("""COMPUTED_VALUE"""),"ACC")</f>
        <v>ACC</v>
      </c>
      <c r="D294" s="40" t="str">
        <f>IFERROR(__xludf.DUMMYFUNCTION("""COMPUTED_VALUE"""),"V60 series")</f>
        <v>V60 series</v>
      </c>
      <c r="E294" s="40" t="s">
        <v>11441</v>
      </c>
      <c r="F294" s="40" t="s">
        <v>205</v>
      </c>
      <c r="G294" s="40" t="s">
        <v>11419</v>
      </c>
    </row>
    <row r="295">
      <c r="A295" s="39">
        <f>IFERROR(__xludf.DUMMYFUNCTION("""COMPUTED_VALUE"""),45999.847876342596)</f>
        <v>45999.84788</v>
      </c>
      <c r="B295" s="40" t="str">
        <f>IFERROR(__xludf.DUMMYFUNCTION("""COMPUTED_VALUE"""),"ESTER LUDJI")</f>
        <v>ESTER LUDJI</v>
      </c>
      <c r="C295" s="40" t="str">
        <f>IFERROR(__xludf.DUMMYFUNCTION("""COMPUTED_VALUE"""),"ACC")</f>
        <v>ACC</v>
      </c>
      <c r="D295" s="40" t="str">
        <f>IFERROR(__xludf.DUMMYFUNCTION("""COMPUTED_VALUE"""),"V60 Lite series")</f>
        <v>V60 Lite series</v>
      </c>
      <c r="E295" s="40" t="s">
        <v>11441</v>
      </c>
      <c r="F295" s="40" t="s">
        <v>205</v>
      </c>
      <c r="G295" s="40" t="s">
        <v>11419</v>
      </c>
    </row>
    <row r="296">
      <c r="A296" s="39">
        <f>IFERROR(__xludf.DUMMYFUNCTION("""COMPUTED_VALUE"""),45999.850541493055)</f>
        <v>45999.85054</v>
      </c>
      <c r="B296" s="40" t="str">
        <f>IFERROR(__xludf.DUMMYFUNCTION("""COMPUTED_VALUE"""),"ESTER LUDJI")</f>
        <v>ESTER LUDJI</v>
      </c>
      <c r="C296" s="40" t="str">
        <f>IFERROR(__xludf.DUMMYFUNCTION("""COMPUTED_VALUE"""),"ACC")</f>
        <v>ACC</v>
      </c>
      <c r="D296" s="40" t="str">
        <f>IFERROR(__xludf.DUMMYFUNCTION("""COMPUTED_VALUE"""),"Y21d series")</f>
        <v>Y21d series</v>
      </c>
      <c r="E296" s="40" t="s">
        <v>11441</v>
      </c>
      <c r="F296" s="40" t="s">
        <v>205</v>
      </c>
      <c r="G296" s="40" t="s">
        <v>11419</v>
      </c>
    </row>
    <row r="297">
      <c r="A297" s="39">
        <f>IFERROR(__xludf.DUMMYFUNCTION("""COMPUTED_VALUE"""),45999.851136840276)</f>
        <v>45999.85114</v>
      </c>
      <c r="B297" s="40" t="str">
        <f>IFERROR(__xludf.DUMMYFUNCTION("""COMPUTED_VALUE"""),"DWITNEY PRETY WANGGANDIMA")</f>
        <v>DWITNEY PRETY WANGGANDIMA</v>
      </c>
      <c r="C297" s="40" t="str">
        <f>IFERROR(__xludf.DUMMYFUNCTION("""COMPUTED_VALUE"""),"Belum disetujui")</f>
        <v>Belum disetujui</v>
      </c>
      <c r="D297" s="40"/>
      <c r="E297" s="40" t="s">
        <v>11443</v>
      </c>
      <c r="F297" s="40" t="s">
        <v>220</v>
      </c>
      <c r="G297" s="40" t="s">
        <v>11399</v>
      </c>
    </row>
    <row r="298">
      <c r="A298" s="39">
        <f>IFERROR(__xludf.DUMMYFUNCTION("""COMPUTED_VALUE"""),45999.851389826385)</f>
        <v>45999.85139</v>
      </c>
      <c r="B298" s="40" t="str">
        <f>IFERROR(__xludf.DUMMYFUNCTION("""COMPUTED_VALUE"""),"YOVANDA KATRINA NAE")</f>
        <v>YOVANDA KATRINA NAE</v>
      </c>
      <c r="C298" s="40" t="str">
        <f>IFERROR(__xludf.DUMMYFUNCTION("""COMPUTED_VALUE"""),"ACC")</f>
        <v>ACC</v>
      </c>
      <c r="D298" s="40" t="str">
        <f>IFERROR(__xludf.DUMMYFUNCTION("""COMPUTED_VALUE"""),"Y21d series")</f>
        <v>Y21d series</v>
      </c>
      <c r="E298" s="40" t="s">
        <v>11425</v>
      </c>
      <c r="F298" s="40" t="s">
        <v>205</v>
      </c>
      <c r="G298" s="40" t="s">
        <v>11419</v>
      </c>
    </row>
    <row r="299">
      <c r="A299" s="39">
        <f>IFERROR(__xludf.DUMMYFUNCTION("""COMPUTED_VALUE"""),45999.853733692136)</f>
        <v>45999.85373</v>
      </c>
      <c r="B299" s="40" t="str">
        <f>IFERROR(__xludf.DUMMYFUNCTION("""COMPUTED_VALUE"""),"ESTER LUDJI")</f>
        <v>ESTER LUDJI</v>
      </c>
      <c r="C299" s="40" t="str">
        <f>IFERROR(__xludf.DUMMYFUNCTION("""COMPUTED_VALUE"""),"ACC")</f>
        <v>ACC</v>
      </c>
      <c r="D299" s="40" t="str">
        <f>IFERROR(__xludf.DUMMYFUNCTION("""COMPUTED_VALUE"""),"Y400 series")</f>
        <v>Y400 series</v>
      </c>
      <c r="E299" s="40" t="s">
        <v>11441</v>
      </c>
      <c r="F299" s="40" t="s">
        <v>205</v>
      </c>
      <c r="G299" s="40" t="s">
        <v>11419</v>
      </c>
    </row>
    <row r="300">
      <c r="A300" s="39">
        <f>IFERROR(__xludf.DUMMYFUNCTION("""COMPUTED_VALUE"""),45999.86493185186)</f>
        <v>45999.86493</v>
      </c>
      <c r="B300" s="40" t="str">
        <f>IFERROR(__xludf.DUMMYFUNCTION("""COMPUTED_VALUE"""),"DWITNEY PRETY WANGGANDIMA")</f>
        <v>DWITNEY PRETY WANGGANDIMA</v>
      </c>
      <c r="C300" s="40" t="str">
        <f>IFERROR(__xludf.DUMMYFUNCTION("""COMPUTED_VALUE"""),"Belum disetujui")</f>
        <v>Belum disetujui</v>
      </c>
      <c r="D300" s="40"/>
      <c r="E300" s="40" t="s">
        <v>11443</v>
      </c>
      <c r="F300" s="40" t="s">
        <v>220</v>
      </c>
      <c r="G300" s="40" t="s">
        <v>11399</v>
      </c>
    </row>
    <row r="301">
      <c r="A301" s="39">
        <f>IFERROR(__xludf.DUMMYFUNCTION("""COMPUTED_VALUE"""),45999.86971136574)</f>
        <v>45999.86971</v>
      </c>
      <c r="B301" s="40" t="str">
        <f>IFERROR(__xludf.DUMMYFUNCTION("""COMPUTED_VALUE"""),"ESTER LUDJI")</f>
        <v>ESTER LUDJI</v>
      </c>
      <c r="C301" s="40" t="str">
        <f>IFERROR(__xludf.DUMMYFUNCTION("""COMPUTED_VALUE"""),"Belum disetujui")</f>
        <v>Belum disetujui</v>
      </c>
      <c r="D301" s="40"/>
      <c r="E301" s="40" t="s">
        <v>11441</v>
      </c>
      <c r="F301" s="40" t="s">
        <v>205</v>
      </c>
      <c r="G301" s="40" t="s">
        <v>11419</v>
      </c>
    </row>
    <row r="302">
      <c r="A302" s="39">
        <f>IFERROR(__xludf.DUMMYFUNCTION("""COMPUTED_VALUE"""),45999.87781743055)</f>
        <v>45999.87782</v>
      </c>
      <c r="B302" s="40" t="str">
        <f>IFERROR(__xludf.DUMMYFUNCTION("""COMPUTED_VALUE"""),"ESTER LUDJI")</f>
        <v>ESTER LUDJI</v>
      </c>
      <c r="C302" s="40" t="str">
        <f>IFERROR(__xludf.DUMMYFUNCTION("""COMPUTED_VALUE"""),"Belum disetujui")</f>
        <v>Belum disetujui</v>
      </c>
      <c r="D302" s="40"/>
      <c r="E302" s="40" t="s">
        <v>11441</v>
      </c>
      <c r="F302" s="40" t="s">
        <v>205</v>
      </c>
      <c r="G302" s="40" t="s">
        <v>11419</v>
      </c>
    </row>
    <row r="303">
      <c r="A303" s="39">
        <f>IFERROR(__xludf.DUMMYFUNCTION("""COMPUTED_VALUE"""),45999.88932263889)</f>
        <v>45999.88932</v>
      </c>
      <c r="B303" s="40" t="str">
        <f>IFERROR(__xludf.DUMMYFUNCTION("""COMPUTED_VALUE"""),"HERONIMUS NAMU WALI")</f>
        <v>HERONIMUS NAMU WALI</v>
      </c>
      <c r="C303" s="40" t="str">
        <f>IFERROR(__xludf.DUMMYFUNCTION("""COMPUTED_VALUE"""),"ACC")</f>
        <v>ACC</v>
      </c>
      <c r="D303" s="40" t="str">
        <f>IFERROR(__xludf.DUMMYFUNCTION("""COMPUTED_VALUE"""),"Y21d series")</f>
        <v>Y21d series</v>
      </c>
      <c r="E303" s="40" t="s">
        <v>11452</v>
      </c>
      <c r="F303" s="40" t="s">
        <v>205</v>
      </c>
      <c r="G303" s="40" t="s">
        <v>11419</v>
      </c>
    </row>
    <row r="304">
      <c r="A304" s="39">
        <f>IFERROR(__xludf.DUMMYFUNCTION("""COMPUTED_VALUE"""),46000.350426481484)</f>
        <v>46000.35043</v>
      </c>
      <c r="B304" s="40" t="str">
        <f>IFERROR(__xludf.DUMMYFUNCTION("""COMPUTED_VALUE"""),"JULIA DESY CASANDRA DA SILVA FREITAS")</f>
        <v>JULIA DESY CASANDRA DA SILVA FREITAS</v>
      </c>
      <c r="C304" s="40" t="str">
        <f>IFERROR(__xludf.DUMMYFUNCTION("""COMPUTED_VALUE"""),"Belum disetujui")</f>
        <v>Belum disetujui</v>
      </c>
      <c r="D304" s="40"/>
      <c r="E304" s="40" t="s">
        <v>11480</v>
      </c>
      <c r="F304" s="40" t="s">
        <v>220</v>
      </c>
      <c r="G304" s="40" t="s">
        <v>11399</v>
      </c>
    </row>
    <row r="305">
      <c r="A305" s="39">
        <f>IFERROR(__xludf.DUMMYFUNCTION("""COMPUTED_VALUE"""),46000.410462025466)</f>
        <v>46000.41046</v>
      </c>
      <c r="B305" s="40" t="str">
        <f>IFERROR(__xludf.DUMMYFUNCTION("""COMPUTED_VALUE"""),"ARMINDA TEKU MANEK")</f>
        <v>ARMINDA TEKU MANEK</v>
      </c>
      <c r="C305" s="40" t="str">
        <f>IFERROR(__xludf.DUMMYFUNCTION("""COMPUTED_VALUE"""),"Belum disetujui")</f>
        <v>Belum disetujui</v>
      </c>
      <c r="D305" s="40"/>
      <c r="E305" s="40" t="s">
        <v>11474</v>
      </c>
      <c r="F305" s="40" t="s">
        <v>313</v>
      </c>
      <c r="G305" s="40" t="s">
        <v>11424</v>
      </c>
    </row>
    <row r="306">
      <c r="A306" s="39">
        <f>IFERROR(__xludf.DUMMYFUNCTION("""COMPUTED_VALUE"""),46000.41137392361)</f>
        <v>46000.41137</v>
      </c>
      <c r="B306" s="40" t="str">
        <f>IFERROR(__xludf.DUMMYFUNCTION("""COMPUTED_VALUE"""),"ALDIANA WELIA PANIE")</f>
        <v>ALDIANA WELIA PANIE</v>
      </c>
      <c r="C306" s="40" t="str">
        <f>IFERROR(__xludf.DUMMYFUNCTION("""COMPUTED_VALUE"""),"ACC")</f>
        <v>ACC</v>
      </c>
      <c r="D306" s="40" t="str">
        <f>IFERROR(__xludf.DUMMYFUNCTION("""COMPUTED_VALUE"""),"V60 series")</f>
        <v>V60 series</v>
      </c>
      <c r="E306" s="40" t="s">
        <v>11422</v>
      </c>
      <c r="F306" s="40" t="s">
        <v>215</v>
      </c>
      <c r="G306" s="40" t="s">
        <v>11424</v>
      </c>
    </row>
    <row r="307">
      <c r="A307" s="39">
        <f>IFERROR(__xludf.DUMMYFUNCTION("""COMPUTED_VALUE"""),46000.411498483794)</f>
        <v>46000.4115</v>
      </c>
      <c r="B307" s="40" t="str">
        <f>IFERROR(__xludf.DUMMYFUNCTION("""COMPUTED_VALUE"""),"ASTUTI BELA WAWO")</f>
        <v>ASTUTI BELA WAWO</v>
      </c>
      <c r="C307" s="40" t="str">
        <f>IFERROR(__xludf.DUMMYFUNCTION("""COMPUTED_VALUE"""),"Belum disetujui")</f>
        <v>Belum disetujui</v>
      </c>
      <c r="D307" s="40"/>
      <c r="E307" s="40" t="s">
        <v>11427</v>
      </c>
      <c r="F307" s="40" t="s">
        <v>257</v>
      </c>
      <c r="G307" s="40" t="s">
        <v>11419</v>
      </c>
    </row>
    <row r="308">
      <c r="A308" s="39">
        <f>IFERROR(__xludf.DUMMYFUNCTION("""COMPUTED_VALUE"""),46000.414873194444)</f>
        <v>46000.41487</v>
      </c>
      <c r="B308" s="40" t="str">
        <f>IFERROR(__xludf.DUMMYFUNCTION("""COMPUTED_VALUE"""),"ALDIANA WELIA PANIE")</f>
        <v>ALDIANA WELIA PANIE</v>
      </c>
      <c r="C308" s="40" t="str">
        <f>IFERROR(__xludf.DUMMYFUNCTION("""COMPUTED_VALUE"""),"Belum disetujui")</f>
        <v>Belum disetujui</v>
      </c>
      <c r="D308" s="40"/>
      <c r="E308" s="40" t="s">
        <v>11422</v>
      </c>
      <c r="F308" s="40" t="s">
        <v>215</v>
      </c>
      <c r="G308" s="40" t="s">
        <v>11424</v>
      </c>
    </row>
    <row r="309">
      <c r="A309" s="39">
        <f>IFERROR(__xludf.DUMMYFUNCTION("""COMPUTED_VALUE"""),46000.44316833333)</f>
        <v>46000.44317</v>
      </c>
      <c r="B309" s="40" t="str">
        <f>IFERROR(__xludf.DUMMYFUNCTION("""COMPUTED_VALUE"""),"JULIA DESY CASANDRA DA SILVA FREITAS")</f>
        <v>JULIA DESY CASANDRA DA SILVA FREITAS</v>
      </c>
      <c r="C309" s="40" t="str">
        <f>IFERROR(__xludf.DUMMYFUNCTION("""COMPUTED_VALUE"""),"Belum disetujui")</f>
        <v>Belum disetujui</v>
      </c>
      <c r="D309" s="40"/>
      <c r="E309" s="40" t="s">
        <v>11480</v>
      </c>
      <c r="F309" s="40" t="s">
        <v>220</v>
      </c>
      <c r="G309" s="40" t="s">
        <v>11399</v>
      </c>
    </row>
    <row r="310">
      <c r="A310" s="39">
        <f>IFERROR(__xludf.DUMMYFUNCTION("""COMPUTED_VALUE"""),46000.44424237269)</f>
        <v>46000.44424</v>
      </c>
      <c r="B310" s="40" t="str">
        <f>IFERROR(__xludf.DUMMYFUNCTION("""COMPUTED_VALUE"""),"JULIA DESY CASANDRA DA SILVA FREITAS")</f>
        <v>JULIA DESY CASANDRA DA SILVA FREITAS</v>
      </c>
      <c r="C310" s="40" t="str">
        <f>IFERROR(__xludf.DUMMYFUNCTION("""COMPUTED_VALUE"""),"Dapat limit tapi belum diproses")</f>
        <v>Dapat limit tapi belum diproses</v>
      </c>
      <c r="D310" s="40" t="str">
        <f>IFERROR(__xludf.DUMMYFUNCTION("""COMPUTED_VALUE"""),"Y21d series")</f>
        <v>Y21d series</v>
      </c>
      <c r="E310" s="40" t="s">
        <v>11480</v>
      </c>
      <c r="F310" s="40" t="s">
        <v>220</v>
      </c>
      <c r="G310" s="40" t="s">
        <v>11399</v>
      </c>
    </row>
    <row r="311">
      <c r="A311" s="39">
        <f>IFERROR(__xludf.DUMMYFUNCTION("""COMPUTED_VALUE"""),46000.446707835654)</f>
        <v>46000.44671</v>
      </c>
      <c r="B311" s="40" t="str">
        <f>IFERROR(__xludf.DUMMYFUNCTION("""COMPUTED_VALUE"""),"YUNITA TAMELAB")</f>
        <v>YUNITA TAMELAB</v>
      </c>
      <c r="C311" s="40" t="str">
        <f>IFERROR(__xludf.DUMMYFUNCTION("""COMPUTED_VALUE"""),"Belum disetujui")</f>
        <v>Belum disetujui</v>
      </c>
      <c r="D311" s="40"/>
      <c r="E311" s="40" t="s">
        <v>11472</v>
      </c>
      <c r="F311" s="40" t="s">
        <v>667</v>
      </c>
      <c r="G311" s="40" t="s">
        <v>11424</v>
      </c>
    </row>
    <row r="312">
      <c r="A312" s="39">
        <f>IFERROR(__xludf.DUMMYFUNCTION("""COMPUTED_VALUE"""),46000.47491965278)</f>
        <v>46000.47492</v>
      </c>
      <c r="B312" s="40" t="str">
        <f>IFERROR(__xludf.DUMMYFUNCTION("""COMPUTED_VALUE"""),"MARIA MELAN ANANCE BILI")</f>
        <v>MARIA MELAN ANANCE BILI</v>
      </c>
      <c r="C312" s="40" t="str">
        <f>IFERROR(__xludf.DUMMYFUNCTION("""COMPUTED_VALUE"""),"Belum disetujui")</f>
        <v>Belum disetujui</v>
      </c>
      <c r="D312" s="40"/>
      <c r="E312" s="40" t="s">
        <v>11466</v>
      </c>
      <c r="F312" s="40" t="s">
        <v>257</v>
      </c>
      <c r="G312" s="40" t="s">
        <v>11419</v>
      </c>
    </row>
    <row r="313">
      <c r="A313" s="39">
        <f>IFERROR(__xludf.DUMMYFUNCTION("""COMPUTED_VALUE"""),46000.48011670139)</f>
        <v>46000.48012</v>
      </c>
      <c r="B313" s="40" t="str">
        <f>IFERROR(__xludf.DUMMYFUNCTION("""COMPUTED_VALUE"""),"NABILA RAHMAWATI")</f>
        <v>NABILA RAHMAWATI</v>
      </c>
      <c r="C313" s="40" t="str">
        <f>IFERROR(__xludf.DUMMYFUNCTION("""COMPUTED_VALUE"""),"Belum disetujui")</f>
        <v>Belum disetujui</v>
      </c>
      <c r="D313" s="40"/>
      <c r="E313" s="40" t="s">
        <v>11464</v>
      </c>
      <c r="F313" s="40" t="s">
        <v>257</v>
      </c>
      <c r="G313" s="40" t="s">
        <v>11419</v>
      </c>
    </row>
    <row r="314">
      <c r="A314" s="39">
        <f>IFERROR(__xludf.DUMMYFUNCTION("""COMPUTED_VALUE"""),46000.50961607639)</f>
        <v>46000.50962</v>
      </c>
      <c r="B314" s="40" t="str">
        <f>IFERROR(__xludf.DUMMYFUNCTION("""COMPUTED_VALUE"""),"SANTI MARIA LUKMINI NAHAK")</f>
        <v>SANTI MARIA LUKMINI NAHAK</v>
      </c>
      <c r="C314" s="40" t="str">
        <f>IFERROR(__xludf.DUMMYFUNCTION("""COMPUTED_VALUE"""),"Dapat limit tapi belum diproses")</f>
        <v>Dapat limit tapi belum diproses</v>
      </c>
      <c r="D314" s="40" t="str">
        <f>IFERROR(__xludf.DUMMYFUNCTION("""COMPUTED_VALUE"""),"Y21d series")</f>
        <v>Y21d series</v>
      </c>
      <c r="E314" s="40" t="s">
        <v>11460</v>
      </c>
      <c r="F314" s="40" t="s">
        <v>871</v>
      </c>
      <c r="G314" s="40" t="s">
        <v>11424</v>
      </c>
    </row>
    <row r="315">
      <c r="A315" s="39">
        <f>IFERROR(__xludf.DUMMYFUNCTION("""COMPUTED_VALUE"""),46000.51197527778)</f>
        <v>46000.51198</v>
      </c>
      <c r="B315" s="40" t="str">
        <f>IFERROR(__xludf.DUMMYFUNCTION("""COMPUTED_VALUE"""),"AINI RAHMATINI NATALIA MOESTAKIM")</f>
        <v>AINI RAHMATINI NATALIA MOESTAKIM</v>
      </c>
      <c r="C315" s="40" t="str">
        <f>IFERROR(__xludf.DUMMYFUNCTION("""COMPUTED_VALUE"""),"Belum disetujui")</f>
        <v>Belum disetujui</v>
      </c>
      <c r="D315" s="40"/>
      <c r="E315" s="40" t="s">
        <v>11409</v>
      </c>
      <c r="F315" s="40" t="s">
        <v>204</v>
      </c>
      <c r="G315" s="40" t="s">
        <v>11399</v>
      </c>
    </row>
    <row r="316">
      <c r="A316" s="39">
        <f>IFERROR(__xludf.DUMMYFUNCTION("""COMPUTED_VALUE"""),46000.5127274537)</f>
        <v>46000.51273</v>
      </c>
      <c r="B316" s="40" t="str">
        <f>IFERROR(__xludf.DUMMYFUNCTION("""COMPUTED_VALUE"""),"ROS YANE KANA LUDJI")</f>
        <v>ROS YANE KANA LUDJI</v>
      </c>
      <c r="C316" s="40" t="str">
        <f>IFERROR(__xludf.DUMMYFUNCTION("""COMPUTED_VALUE"""),"Belum disetujui")</f>
        <v>Belum disetujui</v>
      </c>
      <c r="D316" s="40"/>
      <c r="E316" s="40" t="s">
        <v>11437</v>
      </c>
      <c r="F316" s="40" t="s">
        <v>204</v>
      </c>
      <c r="G316" s="40" t="s">
        <v>11399</v>
      </c>
    </row>
    <row r="317">
      <c r="A317" s="39">
        <f>IFERROR(__xludf.DUMMYFUNCTION("""COMPUTED_VALUE"""),46000.51791510417)</f>
        <v>46000.51792</v>
      </c>
      <c r="B317" s="40" t="str">
        <f>IFERROR(__xludf.DUMMYFUNCTION("""COMPUTED_VALUE"""),"MARNITHA JUWIKE TIMORATI RUNESI")</f>
        <v>MARNITHA JUWIKE TIMORATI RUNESI</v>
      </c>
      <c r="C317" s="40" t="str">
        <f>IFERROR(__xludf.DUMMYFUNCTION("""COMPUTED_VALUE"""),"Belum disetujui")</f>
        <v>Belum disetujui</v>
      </c>
      <c r="D317" s="40"/>
      <c r="E317" s="40" t="s">
        <v>11420</v>
      </c>
      <c r="F317" s="40" t="s">
        <v>204</v>
      </c>
      <c r="G317" s="40" t="s">
        <v>11399</v>
      </c>
    </row>
    <row r="318">
      <c r="A318" s="39">
        <f>IFERROR(__xludf.DUMMYFUNCTION("""COMPUTED_VALUE"""),46000.523833425934)</f>
        <v>46000.52383</v>
      </c>
      <c r="B318" s="40" t="str">
        <f>IFERROR(__xludf.DUMMYFUNCTION("""COMPUTED_VALUE"""),"FREDERIKA ALVONSIA LENGO")</f>
        <v>FREDERIKA ALVONSIA LENGO</v>
      </c>
      <c r="C318" s="40" t="str">
        <f>IFERROR(__xludf.DUMMYFUNCTION("""COMPUTED_VALUE"""),"Belum disetujui")</f>
        <v>Belum disetujui</v>
      </c>
      <c r="D318" s="40"/>
      <c r="E318" s="40" t="s">
        <v>11488</v>
      </c>
      <c r="F318" s="40" t="s">
        <v>204</v>
      </c>
      <c r="G318" s="40" t="s">
        <v>11399</v>
      </c>
    </row>
    <row r="319">
      <c r="A319" s="39">
        <f>IFERROR(__xludf.DUMMYFUNCTION("""COMPUTED_VALUE"""),46000.531493877315)</f>
        <v>46000.53149</v>
      </c>
      <c r="B319" s="40" t="str">
        <f>IFERROR(__xludf.DUMMYFUNCTION("""COMPUTED_VALUE"""),"YOHANA NOVIANA MARIANA GAA")</f>
        <v>YOHANA NOVIANA MARIANA GAA</v>
      </c>
      <c r="C319" s="40" t="str">
        <f>IFERROR(__xludf.DUMMYFUNCTION("""COMPUTED_VALUE"""),"Belum disetujui")</f>
        <v>Belum disetujui</v>
      </c>
      <c r="D319" s="40"/>
      <c r="E319" s="40" t="s">
        <v>11400</v>
      </c>
      <c r="F319" s="40" t="s">
        <v>204</v>
      </c>
      <c r="G319" s="40" t="s">
        <v>11399</v>
      </c>
    </row>
    <row r="320">
      <c r="A320" s="39">
        <f>IFERROR(__xludf.DUMMYFUNCTION("""COMPUTED_VALUE"""),46000.53325466435)</f>
        <v>46000.53325</v>
      </c>
      <c r="B320" s="40" t="str">
        <f>IFERROR(__xludf.DUMMYFUNCTION("""COMPUTED_VALUE"""),"YOHANA NOVIANA MARIANA GAA")</f>
        <v>YOHANA NOVIANA MARIANA GAA</v>
      </c>
      <c r="C320" s="40" t="str">
        <f>IFERROR(__xludf.DUMMYFUNCTION("""COMPUTED_VALUE"""),"Belum disetujui")</f>
        <v>Belum disetujui</v>
      </c>
      <c r="D320" s="40"/>
      <c r="E320" s="40" t="s">
        <v>11400</v>
      </c>
      <c r="F320" s="40" t="s">
        <v>204</v>
      </c>
      <c r="G320" s="40" t="s">
        <v>11399</v>
      </c>
    </row>
    <row r="321">
      <c r="A321" s="39">
        <f>IFERROR(__xludf.DUMMYFUNCTION("""COMPUTED_VALUE"""),46000.53451153935)</f>
        <v>46000.53451</v>
      </c>
      <c r="B321" s="40" t="str">
        <f>IFERROR(__xludf.DUMMYFUNCTION("""COMPUTED_VALUE"""),"YOHANA NOVIANA MARIANA GAA")</f>
        <v>YOHANA NOVIANA MARIANA GAA</v>
      </c>
      <c r="C321" s="40" t="str">
        <f>IFERROR(__xludf.DUMMYFUNCTION("""COMPUTED_VALUE"""),"Belum disetujui")</f>
        <v>Belum disetujui</v>
      </c>
      <c r="D321" s="40"/>
      <c r="E321" s="40" t="s">
        <v>11400</v>
      </c>
      <c r="F321" s="40" t="s">
        <v>204</v>
      </c>
      <c r="G321" s="40" t="s">
        <v>11399</v>
      </c>
    </row>
    <row r="322">
      <c r="A322" s="39">
        <f>IFERROR(__xludf.DUMMYFUNCTION("""COMPUTED_VALUE"""),46000.53643961806)</f>
        <v>46000.53644</v>
      </c>
      <c r="B322" s="40" t="str">
        <f>IFERROR(__xludf.DUMMYFUNCTION("""COMPUTED_VALUE"""),"YOHANA NOVIANA MARIANA GAA")</f>
        <v>YOHANA NOVIANA MARIANA GAA</v>
      </c>
      <c r="C322" s="40" t="str">
        <f>IFERROR(__xludf.DUMMYFUNCTION("""COMPUTED_VALUE"""),"Dapat limit tapi belum diproses")</f>
        <v>Dapat limit tapi belum diproses</v>
      </c>
      <c r="D322" s="40" t="str">
        <f>IFERROR(__xludf.DUMMYFUNCTION("""COMPUTED_VALUE"""),"Y400 series")</f>
        <v>Y400 series</v>
      </c>
      <c r="E322" s="40" t="s">
        <v>11400</v>
      </c>
      <c r="F322" s="40" t="s">
        <v>204</v>
      </c>
      <c r="G322" s="40" t="s">
        <v>11399</v>
      </c>
    </row>
    <row r="323">
      <c r="A323" s="39">
        <f>IFERROR(__xludf.DUMMYFUNCTION("""COMPUTED_VALUE"""),46000.53960334491)</f>
        <v>46000.5396</v>
      </c>
      <c r="B323" s="40" t="str">
        <f>IFERROR(__xludf.DUMMYFUNCTION("""COMPUTED_VALUE"""),"YOHANA NOVIANA MARIANA GAA")</f>
        <v>YOHANA NOVIANA MARIANA GAA</v>
      </c>
      <c r="C323" s="40" t="str">
        <f>IFERROR(__xludf.DUMMYFUNCTION("""COMPUTED_VALUE"""),"Belum disetujui")</f>
        <v>Belum disetujui</v>
      </c>
      <c r="D323" s="40"/>
      <c r="E323" s="40" t="s">
        <v>11400</v>
      </c>
      <c r="F323" s="40" t="s">
        <v>204</v>
      </c>
      <c r="G323" s="40" t="s">
        <v>11399</v>
      </c>
    </row>
    <row r="324">
      <c r="A324" s="39">
        <f>IFERROR(__xludf.DUMMYFUNCTION("""COMPUTED_VALUE"""),46000.54019989583)</f>
        <v>46000.5402</v>
      </c>
      <c r="B324" s="40" t="str">
        <f>IFERROR(__xludf.DUMMYFUNCTION("""COMPUTED_VALUE"""),"NUR FATIMAH MOLBANG")</f>
        <v>NUR FATIMAH MOLBANG</v>
      </c>
      <c r="C324" s="40" t="str">
        <f>IFERROR(__xludf.DUMMYFUNCTION("""COMPUTED_VALUE"""),"Belum disetujui")</f>
        <v>Belum disetujui</v>
      </c>
      <c r="D324" s="40"/>
      <c r="E324" s="40" t="s">
        <v>11439</v>
      </c>
      <c r="F324" s="40" t="s">
        <v>313</v>
      </c>
      <c r="G324" s="40" t="s">
        <v>11424</v>
      </c>
    </row>
    <row r="325">
      <c r="A325" s="39">
        <f>IFERROR(__xludf.DUMMYFUNCTION("""COMPUTED_VALUE"""),46000.54316631944)</f>
        <v>46000.54317</v>
      </c>
      <c r="B325" s="40" t="str">
        <f>IFERROR(__xludf.DUMMYFUNCTION("""COMPUTED_VALUE"""),"ASTUTI BELA WAWO")</f>
        <v>ASTUTI BELA WAWO</v>
      </c>
      <c r="C325" s="40" t="str">
        <f>IFERROR(__xludf.DUMMYFUNCTION("""COMPUTED_VALUE"""),"Belum disetujui")</f>
        <v>Belum disetujui</v>
      </c>
      <c r="D325" s="40"/>
      <c r="E325" s="40" t="s">
        <v>11427</v>
      </c>
      <c r="F325" s="40" t="s">
        <v>257</v>
      </c>
      <c r="G325" s="40" t="s">
        <v>11419</v>
      </c>
    </row>
    <row r="326">
      <c r="A326" s="39">
        <f>IFERROR(__xludf.DUMMYFUNCTION("""COMPUTED_VALUE"""),46000.549629085646)</f>
        <v>46000.54963</v>
      </c>
      <c r="B326" s="40" t="str">
        <f>IFERROR(__xludf.DUMMYFUNCTION("""COMPUTED_VALUE"""),"YUNITA TAMELAB")</f>
        <v>YUNITA TAMELAB</v>
      </c>
      <c r="C326" s="40" t="str">
        <f>IFERROR(__xludf.DUMMYFUNCTION("""COMPUTED_VALUE"""),"Belum disetujui")</f>
        <v>Belum disetujui</v>
      </c>
      <c r="D326" s="40"/>
      <c r="E326" s="40" t="s">
        <v>11472</v>
      </c>
      <c r="F326" s="40" t="s">
        <v>667</v>
      </c>
      <c r="G326" s="40" t="s">
        <v>11424</v>
      </c>
    </row>
    <row r="327">
      <c r="A327" s="39">
        <f>IFERROR(__xludf.DUMMYFUNCTION("""COMPUTED_VALUE"""),46000.55108972222)</f>
        <v>46000.55109</v>
      </c>
      <c r="B327" s="40" t="str">
        <f>IFERROR(__xludf.DUMMYFUNCTION("""COMPUTED_VALUE"""),"PRETI SISILIA SILA")</f>
        <v>PRETI SISILIA SILA</v>
      </c>
      <c r="C327" s="40" t="str">
        <f>IFERROR(__xludf.DUMMYFUNCTION("""COMPUTED_VALUE"""),"Belum disetujui")</f>
        <v>Belum disetujui</v>
      </c>
      <c r="D327" s="40"/>
      <c r="E327" s="40" t="s">
        <v>11456</v>
      </c>
      <c r="F327" s="40" t="s">
        <v>667</v>
      </c>
      <c r="G327" s="40" t="s">
        <v>11424</v>
      </c>
    </row>
    <row r="328">
      <c r="A328" s="39">
        <f>IFERROR(__xludf.DUMMYFUNCTION("""COMPUTED_VALUE"""),46000.55799458333)</f>
        <v>46000.55799</v>
      </c>
      <c r="B328" s="40" t="str">
        <f>IFERROR(__xludf.DUMMYFUNCTION("""COMPUTED_VALUE"""),"MARIA MELAN ANANCE BILI")</f>
        <v>MARIA MELAN ANANCE BILI</v>
      </c>
      <c r="C328" s="40" t="str">
        <f>IFERROR(__xludf.DUMMYFUNCTION("""COMPUTED_VALUE"""),"ACC")</f>
        <v>ACC</v>
      </c>
      <c r="D328" s="40" t="str">
        <f>IFERROR(__xludf.DUMMYFUNCTION("""COMPUTED_VALUE"""),"Y400 series")</f>
        <v>Y400 series</v>
      </c>
      <c r="E328" s="40" t="s">
        <v>11466</v>
      </c>
      <c r="F328" s="40" t="s">
        <v>257</v>
      </c>
      <c r="G328" s="40" t="s">
        <v>11419</v>
      </c>
    </row>
    <row r="329">
      <c r="A329" s="39">
        <f>IFERROR(__xludf.DUMMYFUNCTION("""COMPUTED_VALUE"""),46000.5953212963)</f>
        <v>46000.59532</v>
      </c>
      <c r="B329" s="40" t="str">
        <f>IFERROR(__xludf.DUMMYFUNCTION("""COMPUTED_VALUE"""),"MARIA MELAN ANANCE BILI")</f>
        <v>MARIA MELAN ANANCE BILI</v>
      </c>
      <c r="C329" s="40" t="str">
        <f>IFERROR(__xludf.DUMMYFUNCTION("""COMPUTED_VALUE"""),"Belum disetujui")</f>
        <v>Belum disetujui</v>
      </c>
      <c r="D329" s="40"/>
      <c r="E329" s="40" t="s">
        <v>11466</v>
      </c>
      <c r="F329" s="40" t="s">
        <v>257</v>
      </c>
      <c r="G329" s="40" t="s">
        <v>11419</v>
      </c>
    </row>
    <row r="330">
      <c r="A330" s="39">
        <f>IFERROR(__xludf.DUMMYFUNCTION("""COMPUTED_VALUE"""),46000.621483854164)</f>
        <v>46000.62148</v>
      </c>
      <c r="B330" s="40" t="str">
        <f>IFERROR(__xludf.DUMMYFUNCTION("""COMPUTED_VALUE"""),"ADRIANA")</f>
        <v>ADRIANA</v>
      </c>
      <c r="C330" s="40" t="str">
        <f>IFERROR(__xludf.DUMMYFUNCTION("""COMPUTED_VALUE"""),"ACC")</f>
        <v>ACC</v>
      </c>
      <c r="D330" s="40" t="str">
        <f>IFERROR(__xludf.DUMMYFUNCTION("""COMPUTED_VALUE"""),"V60 Lite series")</f>
        <v>V60 Lite series</v>
      </c>
      <c r="E330" s="40" t="s">
        <v>11433</v>
      </c>
      <c r="F330" s="40" t="s">
        <v>313</v>
      </c>
      <c r="G330" s="40" t="s">
        <v>11424</v>
      </c>
    </row>
    <row r="331">
      <c r="A331" s="39">
        <f>IFERROR(__xludf.DUMMYFUNCTION("""COMPUTED_VALUE"""),46000.623122048615)</f>
        <v>46000.62312</v>
      </c>
      <c r="B331" s="40" t="str">
        <f>IFERROR(__xludf.DUMMYFUNCTION("""COMPUTED_VALUE"""),"ADRIANA")</f>
        <v>ADRIANA</v>
      </c>
      <c r="C331" s="40" t="str">
        <f>IFERROR(__xludf.DUMMYFUNCTION("""COMPUTED_VALUE"""),"Belum disetujui")</f>
        <v>Belum disetujui</v>
      </c>
      <c r="D331" s="40"/>
      <c r="E331" s="40" t="s">
        <v>11433</v>
      </c>
      <c r="F331" s="40" t="s">
        <v>313</v>
      </c>
      <c r="G331" s="40" t="s">
        <v>11424</v>
      </c>
    </row>
    <row r="332">
      <c r="A332" s="39">
        <f>IFERROR(__xludf.DUMMYFUNCTION("""COMPUTED_VALUE"""),46000.63864711805)</f>
        <v>46000.63865</v>
      </c>
      <c r="B332" s="40" t="str">
        <f>IFERROR(__xludf.DUMMYFUNCTION("""COMPUTED_VALUE"""),"NOVLIANA BARBALINA MISA")</f>
        <v>NOVLIANA BARBALINA MISA</v>
      </c>
      <c r="C332" s="40" t="str">
        <f>IFERROR(__xludf.DUMMYFUNCTION("""COMPUTED_VALUE"""),"Dapat limit tapi belum diproses")</f>
        <v>Dapat limit tapi belum diproses</v>
      </c>
      <c r="D332" s="40" t="str">
        <f>IFERROR(__xludf.DUMMYFUNCTION("""COMPUTED_VALUE"""),"Y21d series")</f>
        <v>Y21d series</v>
      </c>
      <c r="E332" s="40" t="s">
        <v>11454</v>
      </c>
      <c r="F332" s="40" t="s">
        <v>205</v>
      </c>
      <c r="G332" s="40" t="s">
        <v>11419</v>
      </c>
    </row>
    <row r="333">
      <c r="A333" s="39">
        <f>IFERROR(__xludf.DUMMYFUNCTION("""COMPUTED_VALUE"""),46000.65089099537)</f>
        <v>46000.65089</v>
      </c>
      <c r="B333" s="40" t="str">
        <f>IFERROR(__xludf.DUMMYFUNCTION("""COMPUTED_VALUE"""),"YOMELIANA MARIA MAGNO")</f>
        <v>YOMELIANA MARIA MAGNO</v>
      </c>
      <c r="C333" s="40" t="str">
        <f>IFERROR(__xludf.DUMMYFUNCTION("""COMPUTED_VALUE"""),"Belum disetujui")</f>
        <v>Belum disetujui</v>
      </c>
      <c r="D333" s="40"/>
      <c r="E333" s="40" t="s">
        <v>11460</v>
      </c>
      <c r="F333" s="40" t="s">
        <v>871</v>
      </c>
      <c r="G333" s="40" t="s">
        <v>11424</v>
      </c>
    </row>
    <row r="334">
      <c r="A334" s="39">
        <f>IFERROR(__xludf.DUMMYFUNCTION("""COMPUTED_VALUE"""),46000.65877443287)</f>
        <v>46000.65877</v>
      </c>
      <c r="B334" s="40" t="str">
        <f>IFERROR(__xludf.DUMMYFUNCTION("""COMPUTED_VALUE"""),"PRETI SISILIA SILA")</f>
        <v>PRETI SISILIA SILA</v>
      </c>
      <c r="C334" s="40" t="str">
        <f>IFERROR(__xludf.DUMMYFUNCTION("""COMPUTED_VALUE"""),"Belum disetujui")</f>
        <v>Belum disetujui</v>
      </c>
      <c r="D334" s="40"/>
      <c r="E334" s="40" t="s">
        <v>11456</v>
      </c>
      <c r="F334" s="40" t="s">
        <v>667</v>
      </c>
      <c r="G334" s="40" t="s">
        <v>11424</v>
      </c>
    </row>
    <row r="335">
      <c r="A335" s="39">
        <f>IFERROR(__xludf.DUMMYFUNCTION("""COMPUTED_VALUE"""),46000.70382956019)</f>
        <v>46000.70383</v>
      </c>
      <c r="B335" s="40" t="str">
        <f>IFERROR(__xludf.DUMMYFUNCTION("""COMPUTED_VALUE"""),"HERONIMUS NAMU WALI")</f>
        <v>HERONIMUS NAMU WALI</v>
      </c>
      <c r="C335" s="40" t="str">
        <f>IFERROR(__xludf.DUMMYFUNCTION("""COMPUTED_VALUE"""),"Belum disetujui")</f>
        <v>Belum disetujui</v>
      </c>
      <c r="D335" s="40"/>
      <c r="E335" s="40" t="s">
        <v>11452</v>
      </c>
      <c r="F335" s="40" t="s">
        <v>205</v>
      </c>
      <c r="G335" s="40" t="s">
        <v>11419</v>
      </c>
    </row>
    <row r="336">
      <c r="A336" s="39">
        <f>IFERROR(__xludf.DUMMYFUNCTION("""COMPUTED_VALUE"""),46000.707464722225)</f>
        <v>46000.70746</v>
      </c>
      <c r="B336" s="40" t="str">
        <f>IFERROR(__xludf.DUMMYFUNCTION("""COMPUTED_VALUE"""),"MARIA MELAN ANANCE BILI")</f>
        <v>MARIA MELAN ANANCE BILI</v>
      </c>
      <c r="C336" s="40" t="str">
        <f>IFERROR(__xludf.DUMMYFUNCTION("""COMPUTED_VALUE"""),"ACC")</f>
        <v>ACC</v>
      </c>
      <c r="D336" s="40" t="str">
        <f>IFERROR(__xludf.DUMMYFUNCTION("""COMPUTED_VALUE"""),"Y400 series")</f>
        <v>Y400 series</v>
      </c>
      <c r="E336" s="40" t="s">
        <v>11466</v>
      </c>
      <c r="F336" s="40" t="s">
        <v>257</v>
      </c>
      <c r="G336" s="40" t="s">
        <v>11419</v>
      </c>
    </row>
    <row r="337">
      <c r="A337" s="39">
        <f>IFERROR(__xludf.DUMMYFUNCTION("""COMPUTED_VALUE"""),46000.72466763889)</f>
        <v>46000.72467</v>
      </c>
      <c r="B337" s="40" t="str">
        <f>IFERROR(__xludf.DUMMYFUNCTION("""COMPUTED_VALUE"""),"WARDIA")</f>
        <v>WARDIA</v>
      </c>
      <c r="C337" s="40" t="str">
        <f>IFERROR(__xludf.DUMMYFUNCTION("""COMPUTED_VALUE"""),"ACC")</f>
        <v>ACC</v>
      </c>
      <c r="D337" s="40" t="str">
        <f>IFERROR(__xludf.DUMMYFUNCTION("""COMPUTED_VALUE"""),"Y21d series")</f>
        <v>Y21d series</v>
      </c>
      <c r="E337" s="40" t="s">
        <v>11409</v>
      </c>
      <c r="F337" s="40" t="s">
        <v>204</v>
      </c>
      <c r="G337" s="40" t="s">
        <v>11399</v>
      </c>
    </row>
    <row r="338">
      <c r="A338" s="39">
        <f>IFERROR(__xludf.DUMMYFUNCTION("""COMPUTED_VALUE"""),46000.73178601852)</f>
        <v>46000.73179</v>
      </c>
      <c r="B338" s="40" t="str">
        <f>IFERROR(__xludf.DUMMYFUNCTION("""COMPUTED_VALUE"""),"MARIA MELAN ANANCE BILI")</f>
        <v>MARIA MELAN ANANCE BILI</v>
      </c>
      <c r="C338" s="40" t="str">
        <f>IFERROR(__xludf.DUMMYFUNCTION("""COMPUTED_VALUE"""),"Belum disetujui")</f>
        <v>Belum disetujui</v>
      </c>
      <c r="D338" s="40"/>
      <c r="E338" s="40" t="s">
        <v>11466</v>
      </c>
      <c r="F338" s="40" t="s">
        <v>257</v>
      </c>
      <c r="G338" s="40" t="s">
        <v>11419</v>
      </c>
    </row>
    <row r="339">
      <c r="A339" s="39">
        <f>IFERROR(__xludf.DUMMYFUNCTION("""COMPUTED_VALUE"""),46000.750495381944)</f>
        <v>46000.7505</v>
      </c>
      <c r="B339" s="40" t="str">
        <f>IFERROR(__xludf.DUMMYFUNCTION("""COMPUTED_VALUE"""),"BERGITHA NIA OLIN")</f>
        <v>BERGITHA NIA OLIN</v>
      </c>
      <c r="C339" s="40" t="str">
        <f>IFERROR(__xludf.DUMMYFUNCTION("""COMPUTED_VALUE"""),"Belum disetujui")</f>
        <v>Belum disetujui</v>
      </c>
      <c r="D339" s="40"/>
      <c r="E339" s="40" t="s">
        <v>11431</v>
      </c>
      <c r="F339" s="40" t="s">
        <v>313</v>
      </c>
      <c r="G339" s="40" t="s">
        <v>11424</v>
      </c>
    </row>
    <row r="340">
      <c r="A340" s="39">
        <f>IFERROR(__xludf.DUMMYFUNCTION("""COMPUTED_VALUE"""),46000.75258936342)</f>
        <v>46000.75259</v>
      </c>
      <c r="B340" s="40" t="str">
        <f>IFERROR(__xludf.DUMMYFUNCTION("""COMPUTED_VALUE"""),"BERGITHA NIA OLIN")</f>
        <v>BERGITHA NIA OLIN</v>
      </c>
      <c r="C340" s="40" t="str">
        <f>IFERROR(__xludf.DUMMYFUNCTION("""COMPUTED_VALUE"""),"Belum disetujui")</f>
        <v>Belum disetujui</v>
      </c>
      <c r="D340" s="40"/>
      <c r="E340" s="40" t="s">
        <v>11431</v>
      </c>
      <c r="F340" s="40" t="s">
        <v>313</v>
      </c>
      <c r="G340" s="40" t="s">
        <v>11424</v>
      </c>
    </row>
    <row r="341">
      <c r="A341" s="39">
        <f>IFERROR(__xludf.DUMMYFUNCTION("""COMPUTED_VALUE"""),46000.75535398148)</f>
        <v>46000.75535</v>
      </c>
      <c r="B341" s="40" t="str">
        <f>IFERROR(__xludf.DUMMYFUNCTION("""COMPUTED_VALUE"""),"BERGITHA NIA OLIN")</f>
        <v>BERGITHA NIA OLIN</v>
      </c>
      <c r="C341" s="40" t="str">
        <f>IFERROR(__xludf.DUMMYFUNCTION("""COMPUTED_VALUE"""),"Dapat limit tapi belum diproses")</f>
        <v>Dapat limit tapi belum diproses</v>
      </c>
      <c r="D341" s="40" t="str">
        <f>IFERROR(__xludf.DUMMYFUNCTION("""COMPUTED_VALUE"""),"Y21d series")</f>
        <v>Y21d series</v>
      </c>
      <c r="E341" s="40" t="s">
        <v>11431</v>
      </c>
      <c r="F341" s="40" t="s">
        <v>313</v>
      </c>
      <c r="G341" s="40" t="s">
        <v>11424</v>
      </c>
    </row>
    <row r="342">
      <c r="A342" s="39">
        <f>IFERROR(__xludf.DUMMYFUNCTION("""COMPUTED_VALUE"""),46000.75678689815)</f>
        <v>46000.75679</v>
      </c>
      <c r="B342" s="40" t="str">
        <f>IFERROR(__xludf.DUMMYFUNCTION("""COMPUTED_VALUE"""),"SANTI MARIA LUKMINI NAHAK")</f>
        <v>SANTI MARIA LUKMINI NAHAK</v>
      </c>
      <c r="C342" s="40" t="str">
        <f>IFERROR(__xludf.DUMMYFUNCTION("""COMPUTED_VALUE"""),"Dapat limit tapi belum diproses")</f>
        <v>Dapat limit tapi belum diproses</v>
      </c>
      <c r="D342" s="40" t="str">
        <f>IFERROR(__xludf.DUMMYFUNCTION("""COMPUTED_VALUE"""),"Y21d series")</f>
        <v>Y21d series</v>
      </c>
      <c r="E342" s="40" t="s">
        <v>11460</v>
      </c>
      <c r="F342" s="40" t="s">
        <v>871</v>
      </c>
      <c r="G342" s="40" t="s">
        <v>11424</v>
      </c>
    </row>
    <row r="343">
      <c r="A343" s="39">
        <f>IFERROR(__xludf.DUMMYFUNCTION("""COMPUTED_VALUE"""),46000.760363912035)</f>
        <v>46000.76036</v>
      </c>
      <c r="B343" s="40" t="str">
        <f>IFERROR(__xludf.DUMMYFUNCTION("""COMPUTED_VALUE"""),"YUNITA TAMELAB")</f>
        <v>YUNITA TAMELAB</v>
      </c>
      <c r="C343" s="40" t="str">
        <f>IFERROR(__xludf.DUMMYFUNCTION("""COMPUTED_VALUE"""),"Dapat limit tapi belum diproses")</f>
        <v>Dapat limit tapi belum diproses</v>
      </c>
      <c r="D343" s="40" t="str">
        <f>IFERROR(__xludf.DUMMYFUNCTION("""COMPUTED_VALUE"""),"Y400 series")</f>
        <v>Y400 series</v>
      </c>
      <c r="E343" s="40" t="s">
        <v>11472</v>
      </c>
      <c r="F343" s="40" t="s">
        <v>667</v>
      </c>
      <c r="G343" s="40" t="s">
        <v>11424</v>
      </c>
    </row>
    <row r="344">
      <c r="A344" s="39">
        <f>IFERROR(__xludf.DUMMYFUNCTION("""COMPUTED_VALUE"""),46000.78075741898)</f>
        <v>46000.78076</v>
      </c>
      <c r="B344" s="40" t="str">
        <f>IFERROR(__xludf.DUMMYFUNCTION("""COMPUTED_VALUE"""),"AINI RAHMATINI NATALIA MOESTAKIM")</f>
        <v>AINI RAHMATINI NATALIA MOESTAKIM</v>
      </c>
      <c r="C344" s="40" t="str">
        <f>IFERROR(__xludf.DUMMYFUNCTION("""COMPUTED_VALUE"""),"Dapat limit tapi belum diproses")</f>
        <v>Dapat limit tapi belum diproses</v>
      </c>
      <c r="D344" s="40" t="str">
        <f>IFERROR(__xludf.DUMMYFUNCTION("""COMPUTED_VALUE"""),"Y21d series")</f>
        <v>Y21d series</v>
      </c>
      <c r="E344" s="40" t="s">
        <v>11409</v>
      </c>
      <c r="F344" s="40" t="s">
        <v>204</v>
      </c>
      <c r="G344" s="40" t="s">
        <v>11399</v>
      </c>
    </row>
    <row r="345">
      <c r="A345" s="39">
        <f>IFERROR(__xludf.DUMMYFUNCTION("""COMPUTED_VALUE"""),46000.80313597222)</f>
        <v>46000.80314</v>
      </c>
      <c r="B345" s="40" t="str">
        <f>IFERROR(__xludf.DUMMYFUNCTION("""COMPUTED_VALUE"""),"NENY MERLIANTI NA'U")</f>
        <v>NENY MERLIANTI NA'U</v>
      </c>
      <c r="C345" s="40" t="str">
        <f>IFERROR(__xludf.DUMMYFUNCTION("""COMPUTED_VALUE"""),"Belum disetujui")</f>
        <v>Belum disetujui</v>
      </c>
      <c r="D345" s="40"/>
      <c r="E345" s="40" t="s">
        <v>11476</v>
      </c>
      <c r="F345" s="40" t="s">
        <v>204</v>
      </c>
      <c r="G345" s="40" t="s">
        <v>11399</v>
      </c>
    </row>
    <row r="346">
      <c r="A346" s="39">
        <f>IFERROR(__xludf.DUMMYFUNCTION("""COMPUTED_VALUE"""),46000.80488174769)</f>
        <v>46000.80488</v>
      </c>
      <c r="B346" s="40" t="str">
        <f>IFERROR(__xludf.DUMMYFUNCTION("""COMPUTED_VALUE"""),"NENY MERLIANTI NA'U")</f>
        <v>NENY MERLIANTI NA'U</v>
      </c>
      <c r="C346" s="40" t="str">
        <f>IFERROR(__xludf.DUMMYFUNCTION("""COMPUTED_VALUE"""),"Belum disetujui")</f>
        <v>Belum disetujui</v>
      </c>
      <c r="D346" s="40"/>
      <c r="E346" s="40" t="s">
        <v>11476</v>
      </c>
      <c r="F346" s="40" t="s">
        <v>204</v>
      </c>
      <c r="G346" s="40" t="s">
        <v>11399</v>
      </c>
    </row>
    <row r="347">
      <c r="A347" s="39">
        <f>IFERROR(__xludf.DUMMYFUNCTION("""COMPUTED_VALUE"""),46000.808070914354)</f>
        <v>46000.80807</v>
      </c>
      <c r="B347" s="40" t="str">
        <f>IFERROR(__xludf.DUMMYFUNCTION("""COMPUTED_VALUE"""),"KESIA NATALIA I. BENU")</f>
        <v>KESIA NATALIA I. BENU</v>
      </c>
      <c r="C347" s="40" t="str">
        <f>IFERROR(__xludf.DUMMYFUNCTION("""COMPUTED_VALUE"""),"Belum disetujui")</f>
        <v>Belum disetujui</v>
      </c>
      <c r="D347" s="40"/>
      <c r="E347" s="40" t="s">
        <v>11417</v>
      </c>
      <c r="F347" s="40" t="s">
        <v>257</v>
      </c>
      <c r="G347" s="40" t="s">
        <v>11419</v>
      </c>
    </row>
    <row r="348">
      <c r="A348" s="39">
        <f>IFERROR(__xludf.DUMMYFUNCTION("""COMPUTED_VALUE"""),46000.810912534726)</f>
        <v>46000.81091</v>
      </c>
      <c r="B348" s="40" t="str">
        <f>IFERROR(__xludf.DUMMYFUNCTION("""COMPUTED_VALUE"""),"KESIA NATALIA I. BENU")</f>
        <v>KESIA NATALIA I. BENU</v>
      </c>
      <c r="C348" s="40" t="str">
        <f>IFERROR(__xludf.DUMMYFUNCTION("""COMPUTED_VALUE"""),"Belum disetujui")</f>
        <v>Belum disetujui</v>
      </c>
      <c r="D348" s="40"/>
      <c r="E348" s="40" t="s">
        <v>11417</v>
      </c>
      <c r="F348" s="40" t="s">
        <v>257</v>
      </c>
      <c r="G348" s="40" t="s">
        <v>11419</v>
      </c>
    </row>
    <row r="349">
      <c r="A349" s="39">
        <f>IFERROR(__xludf.DUMMYFUNCTION("""COMPUTED_VALUE"""),46000.811353969904)</f>
        <v>46000.81135</v>
      </c>
      <c r="B349" s="40" t="str">
        <f>IFERROR(__xludf.DUMMYFUNCTION("""COMPUTED_VALUE"""),"EMPI FRANGKI LIEM")</f>
        <v>EMPI FRANGKI LIEM</v>
      </c>
      <c r="C349" s="40" t="str">
        <f>IFERROR(__xludf.DUMMYFUNCTION("""COMPUTED_VALUE"""),"ACC")</f>
        <v>ACC</v>
      </c>
      <c r="D349" s="40" t="str">
        <f>IFERROR(__xludf.DUMMYFUNCTION("""COMPUTED_VALUE"""),"Y400 series")</f>
        <v>Y400 series</v>
      </c>
      <c r="E349" s="40" t="s">
        <v>11397</v>
      </c>
      <c r="F349" s="40" t="s">
        <v>220</v>
      </c>
      <c r="G349" s="40" t="s">
        <v>11399</v>
      </c>
    </row>
    <row r="350">
      <c r="A350" s="39">
        <f>IFERROR(__xludf.DUMMYFUNCTION("""COMPUTED_VALUE"""),46000.81366552084)</f>
        <v>46000.81367</v>
      </c>
      <c r="B350" s="40" t="str">
        <f>IFERROR(__xludf.DUMMYFUNCTION("""COMPUTED_VALUE"""),"KESIA NATALIA I. BENU")</f>
        <v>KESIA NATALIA I. BENU</v>
      </c>
      <c r="C350" s="40" t="str">
        <f>IFERROR(__xludf.DUMMYFUNCTION("""COMPUTED_VALUE"""),"Belum disetujui")</f>
        <v>Belum disetujui</v>
      </c>
      <c r="D350" s="40"/>
      <c r="E350" s="40" t="s">
        <v>11417</v>
      </c>
      <c r="F350" s="40" t="s">
        <v>257</v>
      </c>
      <c r="G350" s="40" t="s">
        <v>11419</v>
      </c>
    </row>
    <row r="351">
      <c r="A351" s="39">
        <f>IFERROR(__xludf.DUMMYFUNCTION("""COMPUTED_VALUE"""),46000.830876099535)</f>
        <v>46000.83088</v>
      </c>
      <c r="B351" s="40" t="str">
        <f>IFERROR(__xludf.DUMMYFUNCTION("""COMPUTED_VALUE"""),"NENY MERLIANTI NA'U")</f>
        <v>NENY MERLIANTI NA'U</v>
      </c>
      <c r="C351" s="40" t="str">
        <f>IFERROR(__xludf.DUMMYFUNCTION("""COMPUTED_VALUE"""),"Belum disetujui")</f>
        <v>Belum disetujui</v>
      </c>
      <c r="D351" s="40"/>
      <c r="E351" s="40" t="s">
        <v>11476</v>
      </c>
      <c r="F351" s="40" t="s">
        <v>204</v>
      </c>
      <c r="G351" s="40" t="s">
        <v>11399</v>
      </c>
    </row>
    <row r="352">
      <c r="A352" s="39">
        <f>IFERROR(__xludf.DUMMYFUNCTION("""COMPUTED_VALUE"""),46000.83226365741)</f>
        <v>46000.83226</v>
      </c>
      <c r="B352" s="40" t="str">
        <f>IFERROR(__xludf.DUMMYFUNCTION("""COMPUTED_VALUE"""),"YOHANIS TIPNONI")</f>
        <v>YOHANIS TIPNONI</v>
      </c>
      <c r="C352" s="40" t="str">
        <f>IFERROR(__xludf.DUMMYFUNCTION("""COMPUTED_VALUE"""),"ACC")</f>
        <v>ACC</v>
      </c>
      <c r="D352" s="40" t="str">
        <f>IFERROR(__xludf.DUMMYFUNCTION("""COMPUTED_VALUE"""),"Y21d series")</f>
        <v>Y21d series</v>
      </c>
      <c r="E352" s="40" t="s">
        <v>11405</v>
      </c>
      <c r="F352" s="40" t="s">
        <v>220</v>
      </c>
      <c r="G352" s="40" t="s">
        <v>11399</v>
      </c>
    </row>
    <row r="353">
      <c r="A353" s="39">
        <f>IFERROR(__xludf.DUMMYFUNCTION("""COMPUTED_VALUE"""),46000.8532628588)</f>
        <v>46000.85326</v>
      </c>
      <c r="B353" s="40" t="str">
        <f>IFERROR(__xludf.DUMMYFUNCTION("""COMPUTED_VALUE"""),"AINI RAHMATINI NATALIA MOESTAKIM")</f>
        <v>AINI RAHMATINI NATALIA MOESTAKIM</v>
      </c>
      <c r="C353" s="40" t="str">
        <f>IFERROR(__xludf.DUMMYFUNCTION("""COMPUTED_VALUE"""),"Belum disetujui")</f>
        <v>Belum disetujui</v>
      </c>
      <c r="D353" s="40"/>
      <c r="E353" s="40" t="s">
        <v>11409</v>
      </c>
      <c r="F353" s="40" t="s">
        <v>204</v>
      </c>
      <c r="G353" s="40" t="s">
        <v>11399</v>
      </c>
    </row>
    <row r="354">
      <c r="A354" s="39">
        <f>IFERROR(__xludf.DUMMYFUNCTION("""COMPUTED_VALUE"""),46000.8609235301)</f>
        <v>46000.86092</v>
      </c>
      <c r="B354" s="40" t="str">
        <f>IFERROR(__xludf.DUMMYFUNCTION("""COMPUTED_VALUE"""),"AZ ZAHRA SITI ZAINAB")</f>
        <v>AZ ZAHRA SITI ZAINAB</v>
      </c>
      <c r="C354" s="40" t="str">
        <f>IFERROR(__xludf.DUMMYFUNCTION("""COMPUTED_VALUE"""),"ACC")</f>
        <v>ACC</v>
      </c>
      <c r="D354" s="40" t="str">
        <f>IFERROR(__xludf.DUMMYFUNCTION("""COMPUTED_VALUE"""),"Y21d series")</f>
        <v>Y21d series</v>
      </c>
      <c r="E354" s="40" t="s">
        <v>11462</v>
      </c>
      <c r="F354" s="40" t="s">
        <v>257</v>
      </c>
      <c r="G354" s="40" t="s">
        <v>11419</v>
      </c>
    </row>
    <row r="355">
      <c r="A355" s="39">
        <f>IFERROR(__xludf.DUMMYFUNCTION("""COMPUTED_VALUE"""),46000.882109143524)</f>
        <v>46000.88211</v>
      </c>
      <c r="B355" s="40" t="str">
        <f>IFERROR(__xludf.DUMMYFUNCTION("""COMPUTED_VALUE"""),"DWITNEY PRETY WANGGANDIMA")</f>
        <v>DWITNEY PRETY WANGGANDIMA</v>
      </c>
      <c r="C355" s="40" t="str">
        <f>IFERROR(__xludf.DUMMYFUNCTION("""COMPUTED_VALUE"""),"Belum disetujui")</f>
        <v>Belum disetujui</v>
      </c>
      <c r="D355" s="40"/>
      <c r="E355" s="40" t="s">
        <v>11443</v>
      </c>
      <c r="F355" s="40" t="s">
        <v>220</v>
      </c>
      <c r="G355" s="40" t="s">
        <v>11399</v>
      </c>
    </row>
    <row r="356">
      <c r="A356" s="39">
        <f>IFERROR(__xludf.DUMMYFUNCTION("""COMPUTED_VALUE"""),46000.88409054398)</f>
        <v>46000.88409</v>
      </c>
      <c r="B356" s="40" t="str">
        <f>IFERROR(__xludf.DUMMYFUNCTION("""COMPUTED_VALUE"""),"WINDRI MANOE")</f>
        <v>WINDRI MANOE</v>
      </c>
      <c r="C356" s="40" t="str">
        <f>IFERROR(__xludf.DUMMYFUNCTION("""COMPUTED_VALUE"""),"Belum disetujui")</f>
        <v>Belum disetujui</v>
      </c>
      <c r="D356" s="40"/>
      <c r="E356" s="40" t="s">
        <v>11443</v>
      </c>
      <c r="F356" s="40" t="s">
        <v>220</v>
      </c>
      <c r="G356" s="40" t="s">
        <v>11399</v>
      </c>
    </row>
    <row r="357">
      <c r="A357" s="39">
        <f>IFERROR(__xludf.DUMMYFUNCTION("""COMPUTED_VALUE"""),46000.885283194446)</f>
        <v>46000.88528</v>
      </c>
      <c r="B357" s="40" t="str">
        <f>IFERROR(__xludf.DUMMYFUNCTION("""COMPUTED_VALUE"""),"WINDRI MANOE")</f>
        <v>WINDRI MANOE</v>
      </c>
      <c r="C357" s="40" t="str">
        <f>IFERROR(__xludf.DUMMYFUNCTION("""COMPUTED_VALUE"""),"Belum disetujui")</f>
        <v>Belum disetujui</v>
      </c>
      <c r="D357" s="40"/>
      <c r="E357" s="40" t="s">
        <v>11443</v>
      </c>
      <c r="F357" s="40" t="s">
        <v>220</v>
      </c>
      <c r="G357" s="40" t="s">
        <v>11399</v>
      </c>
    </row>
    <row r="358">
      <c r="A358" s="39">
        <f>IFERROR(__xludf.DUMMYFUNCTION("""COMPUTED_VALUE"""),46000.88634104167)</f>
        <v>46000.88634</v>
      </c>
      <c r="B358" s="40" t="str">
        <f>IFERROR(__xludf.DUMMYFUNCTION("""COMPUTED_VALUE"""),"IRENE NOVALIA KADJU")</f>
        <v>IRENE NOVALIA KADJU</v>
      </c>
      <c r="C358" s="40" t="str">
        <f>IFERROR(__xludf.DUMMYFUNCTION("""COMPUTED_VALUE"""),"Belum disetujui")</f>
        <v>Belum disetujui</v>
      </c>
      <c r="D358" s="40"/>
      <c r="E358" s="40" t="s">
        <v>11445</v>
      </c>
      <c r="F358" s="40" t="s">
        <v>204</v>
      </c>
      <c r="G358" s="40" t="s">
        <v>11399</v>
      </c>
    </row>
    <row r="359">
      <c r="A359" s="39">
        <f>IFERROR(__xludf.DUMMYFUNCTION("""COMPUTED_VALUE"""),46000.8953318287)</f>
        <v>46000.89533</v>
      </c>
      <c r="B359" s="40" t="str">
        <f>IFERROR(__xludf.DUMMYFUNCTION("""COMPUTED_VALUE"""),"RESTIANY MARIA LUAN KALI")</f>
        <v>RESTIANY MARIA LUAN KALI</v>
      </c>
      <c r="C359" s="40" t="str">
        <f>IFERROR(__xludf.DUMMYFUNCTION("""COMPUTED_VALUE"""),"ACC")</f>
        <v>ACC</v>
      </c>
      <c r="D359" s="40" t="str">
        <f>IFERROR(__xludf.DUMMYFUNCTION("""COMPUTED_VALUE"""),"Y21d series")</f>
        <v>Y21d series</v>
      </c>
      <c r="E359" s="40" t="s">
        <v>11400</v>
      </c>
      <c r="F359" s="40" t="s">
        <v>204</v>
      </c>
      <c r="G359" s="40" t="s">
        <v>11399</v>
      </c>
    </row>
    <row r="360">
      <c r="A360" s="39">
        <f>IFERROR(__xludf.DUMMYFUNCTION("""COMPUTED_VALUE"""),46000.910010254636)</f>
        <v>46000.91001</v>
      </c>
      <c r="B360" s="40" t="str">
        <f>IFERROR(__xludf.DUMMYFUNCTION("""COMPUTED_VALUE"""),"DEWI RAHMAN")</f>
        <v>DEWI RAHMAN</v>
      </c>
      <c r="C360" s="40" t="str">
        <f>IFERROR(__xludf.DUMMYFUNCTION("""COMPUTED_VALUE"""),"Belum disetujui")</f>
        <v>Belum disetujui</v>
      </c>
      <c r="D360" s="40"/>
      <c r="E360" s="40" t="s">
        <v>11449</v>
      </c>
      <c r="F360" s="40" t="s">
        <v>11450</v>
      </c>
      <c r="G360" s="40" t="s">
        <v>11424</v>
      </c>
    </row>
    <row r="361">
      <c r="A361" s="39">
        <f>IFERROR(__xludf.DUMMYFUNCTION("""COMPUTED_VALUE"""),46001.43890453703)</f>
        <v>46001.4389</v>
      </c>
      <c r="B361" s="40" t="str">
        <f>IFERROR(__xludf.DUMMYFUNCTION("""COMPUTED_VALUE"""),"YUNITA TAMELAB")</f>
        <v>YUNITA TAMELAB</v>
      </c>
      <c r="C361" s="40" t="str">
        <f>IFERROR(__xludf.DUMMYFUNCTION("""COMPUTED_VALUE"""),"Belum disetujui")</f>
        <v>Belum disetujui</v>
      </c>
      <c r="D361" s="40"/>
      <c r="E361" s="40" t="s">
        <v>11472</v>
      </c>
      <c r="F361" s="40" t="s">
        <v>667</v>
      </c>
      <c r="G361" s="40" t="s">
        <v>11424</v>
      </c>
    </row>
    <row r="362">
      <c r="A362" s="39">
        <f>IFERROR(__xludf.DUMMYFUNCTION("""COMPUTED_VALUE"""),46001.46832240741)</f>
        <v>46001.46832</v>
      </c>
      <c r="B362" s="40" t="str">
        <f>IFERROR(__xludf.DUMMYFUNCTION("""COMPUTED_VALUE"""),"NUR FATIMAH MOLBANG")</f>
        <v>NUR FATIMAH MOLBANG</v>
      </c>
      <c r="C362" s="40" t="str">
        <f>IFERROR(__xludf.DUMMYFUNCTION("""COMPUTED_VALUE"""),"Belum disetujui")</f>
        <v>Belum disetujui</v>
      </c>
      <c r="D362" s="40"/>
      <c r="E362" s="40" t="s">
        <v>11439</v>
      </c>
      <c r="F362" s="40" t="s">
        <v>313</v>
      </c>
      <c r="G362" s="40" t="s">
        <v>11424</v>
      </c>
    </row>
    <row r="363">
      <c r="A363" s="39">
        <f>IFERROR(__xludf.DUMMYFUNCTION("""COMPUTED_VALUE"""),46001.47021475694)</f>
        <v>46001.47021</v>
      </c>
      <c r="B363" s="40" t="str">
        <f>IFERROR(__xludf.DUMMYFUNCTION("""COMPUTED_VALUE"""),"NUR FATIMAH MOLBANG")</f>
        <v>NUR FATIMAH MOLBANG</v>
      </c>
      <c r="C363" s="40" t="str">
        <f>IFERROR(__xludf.DUMMYFUNCTION("""COMPUTED_VALUE"""),"Belum disetujui")</f>
        <v>Belum disetujui</v>
      </c>
      <c r="D363" s="40"/>
      <c r="E363" s="40" t="s">
        <v>11439</v>
      </c>
      <c r="F363" s="40" t="s">
        <v>313</v>
      </c>
      <c r="G363" s="40" t="s">
        <v>11424</v>
      </c>
    </row>
    <row r="364">
      <c r="A364" s="39">
        <f>IFERROR(__xludf.DUMMYFUNCTION("""COMPUTED_VALUE"""),46001.50271864583)</f>
        <v>46001.50272</v>
      </c>
      <c r="B364" s="40" t="str">
        <f>IFERROR(__xludf.DUMMYFUNCTION("""COMPUTED_VALUE"""),"MARNITHA JUWIKE TIMORATI RUNESI")</f>
        <v>MARNITHA JUWIKE TIMORATI RUNESI</v>
      </c>
      <c r="C364" s="40" t="str">
        <f>IFERROR(__xludf.DUMMYFUNCTION("""COMPUTED_VALUE"""),"Dapat limit tapi belum diproses")</f>
        <v>Dapat limit tapi belum diproses</v>
      </c>
      <c r="D364" s="40" t="str">
        <f>IFERROR(__xludf.DUMMYFUNCTION("""COMPUTED_VALUE"""),"Y400 series")</f>
        <v>Y400 series</v>
      </c>
      <c r="E364" s="40" t="s">
        <v>11420</v>
      </c>
      <c r="F364" s="40" t="s">
        <v>204</v>
      </c>
      <c r="G364" s="40" t="s">
        <v>11399</v>
      </c>
    </row>
    <row r="365">
      <c r="A365" s="39">
        <f>IFERROR(__xludf.DUMMYFUNCTION("""COMPUTED_VALUE"""),46001.503755115744)</f>
        <v>46001.50376</v>
      </c>
      <c r="B365" s="40" t="str">
        <f>IFERROR(__xludf.DUMMYFUNCTION("""COMPUTED_VALUE"""),"MARNITHA JUWIKE TIMORATI RUNESI")</f>
        <v>MARNITHA JUWIKE TIMORATI RUNESI</v>
      </c>
      <c r="C365" s="40" t="str">
        <f>IFERROR(__xludf.DUMMYFUNCTION("""COMPUTED_VALUE"""),"Dapat limit tapi belum diproses")</f>
        <v>Dapat limit tapi belum diproses</v>
      </c>
      <c r="D365" s="40" t="str">
        <f>IFERROR(__xludf.DUMMYFUNCTION("""COMPUTED_VALUE"""),"Y400 series")</f>
        <v>Y400 series</v>
      </c>
      <c r="E365" s="40" t="s">
        <v>11420</v>
      </c>
      <c r="F365" s="40" t="s">
        <v>204</v>
      </c>
      <c r="G365" s="40" t="s">
        <v>11399</v>
      </c>
    </row>
    <row r="366">
      <c r="A366" s="39">
        <f>IFERROR(__xludf.DUMMYFUNCTION("""COMPUTED_VALUE"""),46001.509934016205)</f>
        <v>46001.50993</v>
      </c>
      <c r="B366" s="40" t="str">
        <f>IFERROR(__xludf.DUMMYFUNCTION("""COMPUTED_VALUE"""),"WARDIA")</f>
        <v>WARDIA</v>
      </c>
      <c r="C366" s="40" t="str">
        <f>IFERROR(__xludf.DUMMYFUNCTION("""COMPUTED_VALUE"""),"ACC")</f>
        <v>ACC</v>
      </c>
      <c r="D366" s="40" t="str">
        <f>IFERROR(__xludf.DUMMYFUNCTION("""COMPUTED_VALUE"""),"Y21d series")</f>
        <v>Y21d series</v>
      </c>
      <c r="E366" s="40" t="s">
        <v>11409</v>
      </c>
      <c r="F366" s="40" t="s">
        <v>204</v>
      </c>
      <c r="G366" s="40" t="s">
        <v>11399</v>
      </c>
    </row>
    <row r="367">
      <c r="A367" s="39">
        <f>IFERROR(__xludf.DUMMYFUNCTION("""COMPUTED_VALUE"""),46001.513858715276)</f>
        <v>46001.51386</v>
      </c>
      <c r="B367" s="40" t="str">
        <f>IFERROR(__xludf.DUMMYFUNCTION("""COMPUTED_VALUE"""),"MARATHA MARLINDA FANGGIDAE")</f>
        <v>MARATHA MARLINDA FANGGIDAE</v>
      </c>
      <c r="C367" s="40" t="str">
        <f>IFERROR(__xludf.DUMMYFUNCTION("""COMPUTED_VALUE"""),"Belum disetujui")</f>
        <v>Belum disetujui</v>
      </c>
      <c r="D367" s="40"/>
      <c r="E367" s="40" t="s">
        <v>11435</v>
      </c>
      <c r="F367" s="40" t="s">
        <v>215</v>
      </c>
      <c r="G367" s="40" t="s">
        <v>11424</v>
      </c>
    </row>
    <row r="368">
      <c r="A368" s="39">
        <f>IFERROR(__xludf.DUMMYFUNCTION("""COMPUTED_VALUE"""),46001.524462361114)</f>
        <v>46001.52446</v>
      </c>
      <c r="B368" s="40" t="str">
        <f>IFERROR(__xludf.DUMMYFUNCTION("""COMPUTED_VALUE"""),"ANGELA BOUKA BERI")</f>
        <v>ANGELA BOUKA BERI</v>
      </c>
      <c r="C368" s="40" t="str">
        <f>IFERROR(__xludf.DUMMYFUNCTION("""COMPUTED_VALUE"""),"ACC")</f>
        <v>ACC</v>
      </c>
      <c r="D368" s="40" t="str">
        <f>IFERROR(__xludf.DUMMYFUNCTION("""COMPUTED_VALUE"""),"Y21d series")</f>
        <v>Y21d series</v>
      </c>
      <c r="E368" s="40" t="s">
        <v>11486</v>
      </c>
      <c r="F368" s="40" t="s">
        <v>11450</v>
      </c>
      <c r="G368" s="40" t="s">
        <v>11424</v>
      </c>
    </row>
    <row r="369">
      <c r="A369" s="39">
        <f>IFERROR(__xludf.DUMMYFUNCTION("""COMPUTED_VALUE"""),46001.533587962964)</f>
        <v>46001.53359</v>
      </c>
      <c r="B369" s="40" t="str">
        <f>IFERROR(__xludf.DUMMYFUNCTION("""COMPUTED_VALUE"""),"AZ ZAHRA SITI ZAINAB")</f>
        <v>AZ ZAHRA SITI ZAINAB</v>
      </c>
      <c r="C369" s="40" t="str">
        <f>IFERROR(__xludf.DUMMYFUNCTION("""COMPUTED_VALUE"""),"ACC")</f>
        <v>ACC</v>
      </c>
      <c r="D369" s="40" t="str">
        <f>IFERROR(__xludf.DUMMYFUNCTION("""COMPUTED_VALUE"""),"Y400 series")</f>
        <v>Y400 series</v>
      </c>
      <c r="E369" s="40" t="s">
        <v>11462</v>
      </c>
      <c r="F369" s="40" t="s">
        <v>257</v>
      </c>
      <c r="G369" s="40" t="s">
        <v>11419</v>
      </c>
    </row>
    <row r="370">
      <c r="A370" s="39">
        <f>IFERROR(__xludf.DUMMYFUNCTION("""COMPUTED_VALUE"""),46001.55564747685)</f>
        <v>46001.55565</v>
      </c>
      <c r="B370" s="40" t="str">
        <f>IFERROR(__xludf.DUMMYFUNCTION("""COMPUTED_VALUE"""),"PUSPA ANGGREINI")</f>
        <v>PUSPA ANGGREINI</v>
      </c>
      <c r="C370" s="40" t="str">
        <f>IFERROR(__xludf.DUMMYFUNCTION("""COMPUTED_VALUE"""),"ACC")</f>
        <v>ACC</v>
      </c>
      <c r="D370" s="40" t="str">
        <f>IFERROR(__xludf.DUMMYFUNCTION("""COMPUTED_VALUE"""),"Y21d series")</f>
        <v>Y21d series</v>
      </c>
      <c r="E370" s="40" t="s">
        <v>11427</v>
      </c>
      <c r="F370" s="40" t="s">
        <v>257</v>
      </c>
      <c r="G370" s="40" t="s">
        <v>11419</v>
      </c>
    </row>
    <row r="371">
      <c r="A371" s="39">
        <f>IFERROR(__xludf.DUMMYFUNCTION("""COMPUTED_VALUE"""),46001.55845498842)</f>
        <v>46001.55845</v>
      </c>
      <c r="B371" s="40" t="str">
        <f>IFERROR(__xludf.DUMMYFUNCTION("""COMPUTED_VALUE"""),"PUSPA ANGGREINI")</f>
        <v>PUSPA ANGGREINI</v>
      </c>
      <c r="C371" s="40" t="str">
        <f>IFERROR(__xludf.DUMMYFUNCTION("""COMPUTED_VALUE"""),"Belum disetujui")</f>
        <v>Belum disetujui</v>
      </c>
      <c r="D371" s="40"/>
      <c r="E371" s="40" t="s">
        <v>11427</v>
      </c>
      <c r="F371" s="40" t="s">
        <v>257</v>
      </c>
      <c r="G371" s="40" t="s">
        <v>11419</v>
      </c>
    </row>
    <row r="372">
      <c r="A372" s="39">
        <f>IFERROR(__xludf.DUMMYFUNCTION("""COMPUTED_VALUE"""),46001.56659895833)</f>
        <v>46001.5666</v>
      </c>
      <c r="B372" s="40" t="str">
        <f>IFERROR(__xludf.DUMMYFUNCTION("""COMPUTED_VALUE"""),"IDMAL YUSDIRAN YUSUF")</f>
        <v>IDMAL YUSDIRAN YUSUF</v>
      </c>
      <c r="C372" s="40" t="str">
        <f>IFERROR(__xludf.DUMMYFUNCTION("""COMPUTED_VALUE"""),"ACC")</f>
        <v>ACC</v>
      </c>
      <c r="D372" s="40" t="str">
        <f>IFERROR(__xludf.DUMMYFUNCTION("""COMPUTED_VALUE"""),"V60 Lite series")</f>
        <v>V60 Lite series</v>
      </c>
      <c r="E372" s="40" t="s">
        <v>11417</v>
      </c>
      <c r="F372" s="40" t="s">
        <v>257</v>
      </c>
      <c r="G372" s="40" t="s">
        <v>11419</v>
      </c>
    </row>
    <row r="373">
      <c r="A373" s="39">
        <f>IFERROR(__xludf.DUMMYFUNCTION("""COMPUTED_VALUE"""),46001.57286260417)</f>
        <v>46001.57286</v>
      </c>
      <c r="B373" s="40" t="str">
        <f>IFERROR(__xludf.DUMMYFUNCTION("""COMPUTED_VALUE"""),"NUR FATIMAH MOLBANG")</f>
        <v>NUR FATIMAH MOLBANG</v>
      </c>
      <c r="C373" s="40" t="str">
        <f>IFERROR(__xludf.DUMMYFUNCTION("""COMPUTED_VALUE"""),"Belum disetujui")</f>
        <v>Belum disetujui</v>
      </c>
      <c r="D373" s="40"/>
      <c r="E373" s="40" t="s">
        <v>11439</v>
      </c>
      <c r="F373" s="40" t="s">
        <v>313</v>
      </c>
      <c r="G373" s="40" t="s">
        <v>11424</v>
      </c>
    </row>
    <row r="374">
      <c r="A374" s="39">
        <f>IFERROR(__xludf.DUMMYFUNCTION("""COMPUTED_VALUE"""),46001.57659895833)</f>
        <v>46001.5766</v>
      </c>
      <c r="B374" s="40" t="str">
        <f>IFERROR(__xludf.DUMMYFUNCTION("""COMPUTED_VALUE"""),"SELVINCE BAKO")</f>
        <v>SELVINCE BAKO</v>
      </c>
      <c r="C374" s="40" t="str">
        <f>IFERROR(__xludf.DUMMYFUNCTION("""COMPUTED_VALUE"""),"Belum disetujui")</f>
        <v>Belum disetujui</v>
      </c>
      <c r="D374" s="40"/>
      <c r="E374" s="40" t="s">
        <v>11413</v>
      </c>
      <c r="F374" s="40" t="s">
        <v>204</v>
      </c>
      <c r="G374" s="40" t="s">
        <v>11399</v>
      </c>
    </row>
    <row r="375">
      <c r="A375" s="39">
        <f>IFERROR(__xludf.DUMMYFUNCTION("""COMPUTED_VALUE"""),46001.57990256944)</f>
        <v>46001.5799</v>
      </c>
      <c r="B375" s="40" t="str">
        <f>IFERROR(__xludf.DUMMYFUNCTION("""COMPUTED_VALUE"""),"SKOLASTIKA B TAUNAES")</f>
        <v>SKOLASTIKA B TAUNAES</v>
      </c>
      <c r="C375" s="40" t="str">
        <f>IFERROR(__xludf.DUMMYFUNCTION("""COMPUTED_VALUE"""),"Belum disetujui")</f>
        <v>Belum disetujui</v>
      </c>
      <c r="D375" s="40"/>
      <c r="E375" s="40" t="s">
        <v>11413</v>
      </c>
      <c r="F375" s="40" t="s">
        <v>204</v>
      </c>
      <c r="G375" s="40" t="s">
        <v>11399</v>
      </c>
    </row>
    <row r="376">
      <c r="A376" s="39">
        <f>IFERROR(__xludf.DUMMYFUNCTION("""COMPUTED_VALUE"""),46001.58038310185)</f>
        <v>46001.58038</v>
      </c>
      <c r="B376" s="40" t="str">
        <f>IFERROR(__xludf.DUMMYFUNCTION("""COMPUTED_VALUE"""),"SELVINCE BAKO")</f>
        <v>SELVINCE BAKO</v>
      </c>
      <c r="C376" s="40" t="str">
        <f>IFERROR(__xludf.DUMMYFUNCTION("""COMPUTED_VALUE"""),"Belum disetujui")</f>
        <v>Belum disetujui</v>
      </c>
      <c r="D376" s="40"/>
      <c r="E376" s="40" t="s">
        <v>11413</v>
      </c>
      <c r="F376" s="40" t="s">
        <v>204</v>
      </c>
      <c r="G376" s="40" t="s">
        <v>11399</v>
      </c>
    </row>
    <row r="377">
      <c r="A377" s="39">
        <f>IFERROR(__xludf.DUMMYFUNCTION("""COMPUTED_VALUE"""),46001.58171578703)</f>
        <v>46001.58172</v>
      </c>
      <c r="B377" s="40" t="str">
        <f>IFERROR(__xludf.DUMMYFUNCTION("""COMPUTED_VALUE"""),"NOVLIANA BARBALINA MISA")</f>
        <v>NOVLIANA BARBALINA MISA</v>
      </c>
      <c r="C377" s="40" t="str">
        <f>IFERROR(__xludf.DUMMYFUNCTION("""COMPUTED_VALUE"""),"Dapat limit tapi belum diproses")</f>
        <v>Dapat limit tapi belum diproses</v>
      </c>
      <c r="D377" s="40" t="str">
        <f>IFERROR(__xludf.DUMMYFUNCTION("""COMPUTED_VALUE"""),"Y21d series")</f>
        <v>Y21d series</v>
      </c>
      <c r="E377" s="40" t="s">
        <v>11454</v>
      </c>
      <c r="F377" s="40" t="s">
        <v>205</v>
      </c>
      <c r="G377" s="40" t="s">
        <v>11419</v>
      </c>
    </row>
    <row r="378">
      <c r="A378" s="39">
        <f>IFERROR(__xludf.DUMMYFUNCTION("""COMPUTED_VALUE"""),46001.58259274305)</f>
        <v>46001.58259</v>
      </c>
      <c r="B378" s="40" t="str">
        <f>IFERROR(__xludf.DUMMYFUNCTION("""COMPUTED_VALUE"""),"SKOLASTIKA B TAUNAES")</f>
        <v>SKOLASTIKA B TAUNAES</v>
      </c>
      <c r="C378" s="40" t="str">
        <f>IFERROR(__xludf.DUMMYFUNCTION("""COMPUTED_VALUE"""),"Dapat limit tapi belum diproses")</f>
        <v>Dapat limit tapi belum diproses</v>
      </c>
      <c r="D378" s="40" t="str">
        <f>IFERROR(__xludf.DUMMYFUNCTION("""COMPUTED_VALUE"""),"V60 Lite series")</f>
        <v>V60 Lite series</v>
      </c>
      <c r="E378" s="40" t="s">
        <v>11413</v>
      </c>
      <c r="F378" s="40" t="s">
        <v>204</v>
      </c>
      <c r="G378" s="40" t="s">
        <v>11399</v>
      </c>
    </row>
    <row r="379">
      <c r="A379" s="39">
        <f>IFERROR(__xludf.DUMMYFUNCTION("""COMPUTED_VALUE"""),46001.58377547453)</f>
        <v>46001.58378</v>
      </c>
      <c r="B379" s="40" t="str">
        <f>IFERROR(__xludf.DUMMYFUNCTION("""COMPUTED_VALUE"""),"SELVINCE BAKO")</f>
        <v>SELVINCE BAKO</v>
      </c>
      <c r="C379" s="40" t="str">
        <f>IFERROR(__xludf.DUMMYFUNCTION("""COMPUTED_VALUE"""),"Belum disetujui")</f>
        <v>Belum disetujui</v>
      </c>
      <c r="D379" s="40"/>
      <c r="E379" s="40" t="s">
        <v>11413</v>
      </c>
      <c r="F379" s="40" t="s">
        <v>204</v>
      </c>
      <c r="G379" s="40" t="s">
        <v>11399</v>
      </c>
    </row>
    <row r="380">
      <c r="A380" s="39">
        <f>IFERROR(__xludf.DUMMYFUNCTION("""COMPUTED_VALUE"""),46001.58425108796)</f>
        <v>46001.58425</v>
      </c>
      <c r="B380" s="40" t="str">
        <f>IFERROR(__xludf.DUMMYFUNCTION("""COMPUTED_VALUE"""),"SKOLASTIKA B TAUNAES")</f>
        <v>SKOLASTIKA B TAUNAES</v>
      </c>
      <c r="C380" s="40" t="str">
        <f>IFERROR(__xludf.DUMMYFUNCTION("""COMPUTED_VALUE"""),"Dapat limit tapi belum diproses")</f>
        <v>Dapat limit tapi belum diproses</v>
      </c>
      <c r="D380" s="40" t="str">
        <f>IFERROR(__xludf.DUMMYFUNCTION("""COMPUTED_VALUE"""),"Y21d series")</f>
        <v>Y21d series</v>
      </c>
      <c r="E380" s="40" t="s">
        <v>11413</v>
      </c>
      <c r="F380" s="40" t="s">
        <v>204</v>
      </c>
      <c r="G380" s="40" t="s">
        <v>11399</v>
      </c>
    </row>
    <row r="381">
      <c r="A381" s="39">
        <f>IFERROR(__xludf.DUMMYFUNCTION("""COMPUTED_VALUE"""),46001.585894166674)</f>
        <v>46001.58589</v>
      </c>
      <c r="B381" s="40" t="str">
        <f>IFERROR(__xludf.DUMMYFUNCTION("""COMPUTED_VALUE"""),"SELVINCE BAKO")</f>
        <v>SELVINCE BAKO</v>
      </c>
      <c r="C381" s="40" t="str">
        <f>IFERROR(__xludf.DUMMYFUNCTION("""COMPUTED_VALUE"""),"Belum disetujui")</f>
        <v>Belum disetujui</v>
      </c>
      <c r="D381" s="40"/>
      <c r="E381" s="40" t="s">
        <v>11413</v>
      </c>
      <c r="F381" s="40" t="s">
        <v>204</v>
      </c>
      <c r="G381" s="40" t="s">
        <v>11399</v>
      </c>
    </row>
    <row r="382">
      <c r="A382" s="39">
        <f>IFERROR(__xludf.DUMMYFUNCTION("""COMPUTED_VALUE"""),46001.58946076389)</f>
        <v>46001.58946</v>
      </c>
      <c r="B382" s="40" t="str">
        <f>IFERROR(__xludf.DUMMYFUNCTION("""COMPUTED_VALUE"""),"SELVINCE BAKO")</f>
        <v>SELVINCE BAKO</v>
      </c>
      <c r="C382" s="40" t="str">
        <f>IFERROR(__xludf.DUMMYFUNCTION("""COMPUTED_VALUE"""),"Belum disetujui")</f>
        <v>Belum disetujui</v>
      </c>
      <c r="D382" s="40"/>
      <c r="E382" s="40" t="s">
        <v>11413</v>
      </c>
      <c r="F382" s="40" t="s">
        <v>204</v>
      </c>
      <c r="G382" s="40" t="s">
        <v>11399</v>
      </c>
    </row>
    <row r="383">
      <c r="A383" s="39">
        <f>IFERROR(__xludf.DUMMYFUNCTION("""COMPUTED_VALUE"""),46001.58970175926)</f>
        <v>46001.5897</v>
      </c>
      <c r="B383" s="40" t="str">
        <f>IFERROR(__xludf.DUMMYFUNCTION("""COMPUTED_VALUE"""),"SKOLASTIKA B TAUNAES")</f>
        <v>SKOLASTIKA B TAUNAES</v>
      </c>
      <c r="C383" s="40" t="str">
        <f>IFERROR(__xludf.DUMMYFUNCTION("""COMPUTED_VALUE"""),"Belum disetujui")</f>
        <v>Belum disetujui</v>
      </c>
      <c r="D383" s="40"/>
      <c r="E383" s="40" t="s">
        <v>11413</v>
      </c>
      <c r="F383" s="40" t="s">
        <v>204</v>
      </c>
      <c r="G383" s="40" t="s">
        <v>11399</v>
      </c>
    </row>
    <row r="384">
      <c r="A384" s="39">
        <f>IFERROR(__xludf.DUMMYFUNCTION("""COMPUTED_VALUE"""),46001.59178783565)</f>
        <v>46001.59179</v>
      </c>
      <c r="B384" s="40" t="str">
        <f>IFERROR(__xludf.DUMMYFUNCTION("""COMPUTED_VALUE"""),"SELVINCE BAKO")</f>
        <v>SELVINCE BAKO</v>
      </c>
      <c r="C384" s="40" t="str">
        <f>IFERROR(__xludf.DUMMYFUNCTION("""COMPUTED_VALUE"""),"Belum disetujui")</f>
        <v>Belum disetujui</v>
      </c>
      <c r="D384" s="40"/>
      <c r="E384" s="40" t="s">
        <v>11413</v>
      </c>
      <c r="F384" s="40" t="s">
        <v>204</v>
      </c>
      <c r="G384" s="40" t="s">
        <v>11399</v>
      </c>
    </row>
    <row r="385">
      <c r="A385" s="39">
        <f>IFERROR(__xludf.DUMMYFUNCTION("""COMPUTED_VALUE"""),46001.59253184028)</f>
        <v>46001.59253</v>
      </c>
      <c r="B385" s="40" t="str">
        <f>IFERROR(__xludf.DUMMYFUNCTION("""COMPUTED_VALUE"""),"MEXY ALEXANDER HETMINA")</f>
        <v>MEXY ALEXANDER HETMINA</v>
      </c>
      <c r="C385" s="40" t="str">
        <f>IFERROR(__xludf.DUMMYFUNCTION("""COMPUTED_VALUE"""),"ACC")</f>
        <v>ACC</v>
      </c>
      <c r="D385" s="40" t="str">
        <f>IFERROR(__xludf.DUMMYFUNCTION("""COMPUTED_VALUE"""),"Y400 series")</f>
        <v>Y400 series</v>
      </c>
      <c r="E385" s="40" t="s">
        <v>11413</v>
      </c>
      <c r="F385" s="40" t="s">
        <v>204</v>
      </c>
      <c r="G385" s="40" t="s">
        <v>11399</v>
      </c>
    </row>
    <row r="386">
      <c r="A386" s="39">
        <f>IFERROR(__xludf.DUMMYFUNCTION("""COMPUTED_VALUE"""),46001.59442559027)</f>
        <v>46001.59443</v>
      </c>
      <c r="B386" s="40" t="str">
        <f>IFERROR(__xludf.DUMMYFUNCTION("""COMPUTED_VALUE"""),"SELVINCE BAKO")</f>
        <v>SELVINCE BAKO</v>
      </c>
      <c r="C386" s="40" t="str">
        <f>IFERROR(__xludf.DUMMYFUNCTION("""COMPUTED_VALUE"""),"Belum disetujui")</f>
        <v>Belum disetujui</v>
      </c>
      <c r="D386" s="40"/>
      <c r="E386" s="40" t="s">
        <v>11413</v>
      </c>
      <c r="F386" s="40" t="s">
        <v>204</v>
      </c>
      <c r="G386" s="40" t="s">
        <v>11399</v>
      </c>
    </row>
    <row r="387">
      <c r="A387" s="39">
        <f>IFERROR(__xludf.DUMMYFUNCTION("""COMPUTED_VALUE"""),46001.59894275464)</f>
        <v>46001.59894</v>
      </c>
      <c r="B387" s="40" t="str">
        <f>IFERROR(__xludf.DUMMYFUNCTION("""COMPUTED_VALUE"""),"YUNITA TAMELAB")</f>
        <v>YUNITA TAMELAB</v>
      </c>
      <c r="C387" s="40" t="str">
        <f>IFERROR(__xludf.DUMMYFUNCTION("""COMPUTED_VALUE"""),"Belum disetujui")</f>
        <v>Belum disetujui</v>
      </c>
      <c r="D387" s="40"/>
      <c r="E387" s="40" t="s">
        <v>11472</v>
      </c>
      <c r="F387" s="40" t="s">
        <v>667</v>
      </c>
      <c r="G387" s="40" t="s">
        <v>11424</v>
      </c>
    </row>
    <row r="388">
      <c r="A388" s="39">
        <f>IFERROR(__xludf.DUMMYFUNCTION("""COMPUTED_VALUE"""),46001.599078252315)</f>
        <v>46001.59908</v>
      </c>
      <c r="B388" s="40" t="str">
        <f>IFERROR(__xludf.DUMMYFUNCTION("""COMPUTED_VALUE"""),"SELVINCE BAKO")</f>
        <v>SELVINCE BAKO</v>
      </c>
      <c r="C388" s="40" t="str">
        <f>IFERROR(__xludf.DUMMYFUNCTION("""COMPUTED_VALUE"""),"Belum disetujui")</f>
        <v>Belum disetujui</v>
      </c>
      <c r="D388" s="40"/>
      <c r="E388" s="40" t="s">
        <v>11413</v>
      </c>
      <c r="F388" s="40" t="s">
        <v>204</v>
      </c>
      <c r="G388" s="40" t="s">
        <v>11399</v>
      </c>
    </row>
    <row r="389">
      <c r="A389" s="39">
        <f>IFERROR(__xludf.DUMMYFUNCTION("""COMPUTED_VALUE"""),46001.60041758102)</f>
        <v>46001.60042</v>
      </c>
      <c r="B389" s="40" t="str">
        <f>IFERROR(__xludf.DUMMYFUNCTION("""COMPUTED_VALUE"""),"PUSPA ANGGREINI")</f>
        <v>PUSPA ANGGREINI</v>
      </c>
      <c r="C389" s="40" t="str">
        <f>IFERROR(__xludf.DUMMYFUNCTION("""COMPUTED_VALUE"""),"ACC")</f>
        <v>ACC</v>
      </c>
      <c r="D389" s="40" t="str">
        <f>IFERROR(__xludf.DUMMYFUNCTION("""COMPUTED_VALUE"""),"V60 Lite series")</f>
        <v>V60 Lite series</v>
      </c>
      <c r="E389" s="40" t="s">
        <v>11427</v>
      </c>
      <c r="F389" s="40" t="s">
        <v>257</v>
      </c>
      <c r="G389" s="40" t="s">
        <v>11419</v>
      </c>
    </row>
    <row r="390">
      <c r="A390" s="39">
        <f>IFERROR(__xludf.DUMMYFUNCTION("""COMPUTED_VALUE"""),46001.60427585648)</f>
        <v>46001.60428</v>
      </c>
      <c r="B390" s="40" t="str">
        <f>IFERROR(__xludf.DUMMYFUNCTION("""COMPUTED_VALUE"""),"SULIS NURAINI INSYATUN")</f>
        <v>SULIS NURAINI INSYATUN</v>
      </c>
      <c r="C390" s="40" t="str">
        <f>IFERROR(__xludf.DUMMYFUNCTION("""COMPUTED_VALUE"""),"ACC")</f>
        <v>ACC</v>
      </c>
      <c r="D390" s="40" t="str">
        <f>IFERROR(__xludf.DUMMYFUNCTION("""COMPUTED_VALUE"""),"Y21d series")</f>
        <v>Y21d series</v>
      </c>
      <c r="E390" s="40" t="s">
        <v>11429</v>
      </c>
      <c r="F390" s="40" t="s">
        <v>257</v>
      </c>
      <c r="G390" s="40" t="s">
        <v>11419</v>
      </c>
    </row>
    <row r="391">
      <c r="A391" s="39">
        <f>IFERROR(__xludf.DUMMYFUNCTION("""COMPUTED_VALUE"""),46001.63414819444)</f>
        <v>46001.63415</v>
      </c>
      <c r="B391" s="40" t="str">
        <f>IFERROR(__xludf.DUMMYFUNCTION("""COMPUTED_VALUE"""),"ALDIANA WELIA PANIE")</f>
        <v>ALDIANA WELIA PANIE</v>
      </c>
      <c r="C391" s="40" t="str">
        <f>IFERROR(__xludf.DUMMYFUNCTION("""COMPUTED_VALUE"""),"ACC")</f>
        <v>ACC</v>
      </c>
      <c r="D391" s="40" t="str">
        <f>IFERROR(__xludf.DUMMYFUNCTION("""COMPUTED_VALUE"""),"V60 series")</f>
        <v>V60 series</v>
      </c>
      <c r="E391" s="40" t="s">
        <v>11422</v>
      </c>
      <c r="F391" s="40" t="s">
        <v>215</v>
      </c>
      <c r="G391" s="40" t="s">
        <v>11424</v>
      </c>
    </row>
    <row r="392">
      <c r="A392" s="39">
        <f>IFERROR(__xludf.DUMMYFUNCTION("""COMPUTED_VALUE"""),46001.637511678244)</f>
        <v>46001.63751</v>
      </c>
      <c r="B392" s="40" t="str">
        <f>IFERROR(__xludf.DUMMYFUNCTION("""COMPUTED_VALUE"""),"NOVLIANA BARBALINA MISA")</f>
        <v>NOVLIANA BARBALINA MISA</v>
      </c>
      <c r="C392" s="40" t="str">
        <f>IFERROR(__xludf.DUMMYFUNCTION("""COMPUTED_VALUE"""),"Belum disetujui")</f>
        <v>Belum disetujui</v>
      </c>
      <c r="D392" s="40"/>
      <c r="E392" s="40" t="s">
        <v>11454</v>
      </c>
      <c r="F392" s="40" t="s">
        <v>205</v>
      </c>
      <c r="G392" s="40" t="s">
        <v>11419</v>
      </c>
    </row>
    <row r="393">
      <c r="A393" s="39">
        <f>IFERROR(__xludf.DUMMYFUNCTION("""COMPUTED_VALUE"""),46001.65869833333)</f>
        <v>46001.6587</v>
      </c>
      <c r="B393" s="40" t="str">
        <f>IFERROR(__xludf.DUMMYFUNCTION("""COMPUTED_VALUE"""),"YUNITA TAMELAB")</f>
        <v>YUNITA TAMELAB</v>
      </c>
      <c r="C393" s="40" t="str">
        <f>IFERROR(__xludf.DUMMYFUNCTION("""COMPUTED_VALUE"""),"Belum disetujui")</f>
        <v>Belum disetujui</v>
      </c>
      <c r="D393" s="40"/>
      <c r="E393" s="40" t="s">
        <v>11472</v>
      </c>
      <c r="F393" s="40" t="s">
        <v>667</v>
      </c>
      <c r="G393" s="40" t="s">
        <v>11424</v>
      </c>
    </row>
    <row r="394">
      <c r="A394" s="39">
        <f>IFERROR(__xludf.DUMMYFUNCTION("""COMPUTED_VALUE"""),46001.6656702662)</f>
        <v>46001.66567</v>
      </c>
      <c r="B394" s="40" t="str">
        <f>IFERROR(__xludf.DUMMYFUNCTION("""COMPUTED_VALUE"""),"MARIA MELAN ANANCE BILI")</f>
        <v>MARIA MELAN ANANCE BILI</v>
      </c>
      <c r="C394" s="40" t="str">
        <f>IFERROR(__xludf.DUMMYFUNCTION("""COMPUTED_VALUE"""),"Belum disetujui")</f>
        <v>Belum disetujui</v>
      </c>
      <c r="D394" s="40"/>
      <c r="E394" s="40" t="s">
        <v>11466</v>
      </c>
      <c r="F394" s="40" t="s">
        <v>257</v>
      </c>
      <c r="G394" s="40" t="s">
        <v>11419</v>
      </c>
    </row>
    <row r="395">
      <c r="A395" s="39">
        <f>IFERROR(__xludf.DUMMYFUNCTION("""COMPUTED_VALUE"""),46001.666603923615)</f>
        <v>46001.6666</v>
      </c>
      <c r="B395" s="40" t="str">
        <f>IFERROR(__xludf.DUMMYFUNCTION("""COMPUTED_VALUE"""),"ANYARMITHA SOPHIA SUEK")</f>
        <v>ANYARMITHA SOPHIA SUEK</v>
      </c>
      <c r="C395" s="40" t="str">
        <f>IFERROR(__xludf.DUMMYFUNCTION("""COMPUTED_VALUE"""),"Belum disetujui")</f>
        <v>Belum disetujui</v>
      </c>
      <c r="D395" s="40"/>
      <c r="E395" s="40" t="s">
        <v>11443</v>
      </c>
      <c r="F395" s="40" t="s">
        <v>220</v>
      </c>
      <c r="G395" s="40" t="s">
        <v>11399</v>
      </c>
    </row>
    <row r="396">
      <c r="A396" s="39">
        <f>IFERROR(__xludf.DUMMYFUNCTION("""COMPUTED_VALUE"""),46001.70597082176)</f>
        <v>46001.70597</v>
      </c>
      <c r="B396" s="40" t="str">
        <f>IFERROR(__xludf.DUMMYFUNCTION("""COMPUTED_VALUE"""),"ARMINDA TEKU MANEK")</f>
        <v>ARMINDA TEKU MANEK</v>
      </c>
      <c r="C396" s="40" t="str">
        <f>IFERROR(__xludf.DUMMYFUNCTION("""COMPUTED_VALUE"""),"Belum disetujui")</f>
        <v>Belum disetujui</v>
      </c>
      <c r="D396" s="40"/>
      <c r="E396" s="40" t="s">
        <v>11474</v>
      </c>
      <c r="F396" s="40" t="s">
        <v>313</v>
      </c>
      <c r="G396" s="40" t="s">
        <v>11424</v>
      </c>
    </row>
    <row r="397">
      <c r="A397" s="39">
        <f>IFERROR(__xludf.DUMMYFUNCTION("""COMPUTED_VALUE"""),46001.711582916665)</f>
        <v>46001.71158</v>
      </c>
      <c r="B397" s="40" t="str">
        <f>IFERROR(__xludf.DUMMYFUNCTION("""COMPUTED_VALUE"""),"MEXY ALEXANDER HETMINA")</f>
        <v>MEXY ALEXANDER HETMINA</v>
      </c>
      <c r="C397" s="40" t="str">
        <f>IFERROR(__xludf.DUMMYFUNCTION("""COMPUTED_VALUE"""),"Dapat limit tapi belum diproses")</f>
        <v>Dapat limit tapi belum diproses</v>
      </c>
      <c r="D397" s="40" t="str">
        <f>IFERROR(__xludf.DUMMYFUNCTION("""COMPUTED_VALUE"""),"V60 series")</f>
        <v>V60 series</v>
      </c>
      <c r="E397" s="40" t="s">
        <v>11413</v>
      </c>
      <c r="F397" s="40" t="s">
        <v>204</v>
      </c>
      <c r="G397" s="40" t="s">
        <v>11399</v>
      </c>
    </row>
    <row r="398">
      <c r="A398" s="39">
        <f>IFERROR(__xludf.DUMMYFUNCTION("""COMPUTED_VALUE"""),46001.71494355325)</f>
        <v>46001.71494</v>
      </c>
      <c r="B398" s="40" t="str">
        <f>IFERROR(__xludf.DUMMYFUNCTION("""COMPUTED_VALUE"""),"MERDA PUTRI BUNGSU KENAT")</f>
        <v>MERDA PUTRI BUNGSU KENAT</v>
      </c>
      <c r="C398" s="40" t="str">
        <f>IFERROR(__xludf.DUMMYFUNCTION("""COMPUTED_VALUE"""),"ACC")</f>
        <v>ACC</v>
      </c>
      <c r="D398" s="40" t="str">
        <f>IFERROR(__xludf.DUMMYFUNCTION("""COMPUTED_VALUE"""),"V60 series")</f>
        <v>V60 series</v>
      </c>
      <c r="E398" s="40" t="s">
        <v>11422</v>
      </c>
      <c r="F398" s="40" t="s">
        <v>215</v>
      </c>
      <c r="G398" s="40" t="s">
        <v>11424</v>
      </c>
    </row>
    <row r="399">
      <c r="A399" s="39"/>
      <c r="E399" s="40" t="s">
        <v>11404</v>
      </c>
      <c r="F399" s="40"/>
      <c r="G399" s="40" t="s">
        <v>11404</v>
      </c>
    </row>
    <row r="400">
      <c r="A400" s="39"/>
      <c r="E400" s="40" t="s">
        <v>11404</v>
      </c>
      <c r="F400" s="40"/>
      <c r="G400" s="40" t="s">
        <v>11404</v>
      </c>
    </row>
    <row r="401">
      <c r="A401" s="39"/>
      <c r="E401" s="40" t="s">
        <v>11404</v>
      </c>
      <c r="F401" s="40"/>
      <c r="G401" s="40" t="s">
        <v>11404</v>
      </c>
    </row>
    <row r="402">
      <c r="A402" s="39"/>
      <c r="E402" s="40" t="s">
        <v>11404</v>
      </c>
      <c r="F402" s="40"/>
      <c r="G402" s="40" t="s">
        <v>11404</v>
      </c>
    </row>
    <row r="403">
      <c r="A403" s="39"/>
      <c r="E403" s="40" t="s">
        <v>11404</v>
      </c>
      <c r="F403" s="40"/>
      <c r="G403" s="40" t="s">
        <v>11404</v>
      </c>
    </row>
    <row r="404">
      <c r="A404" s="39"/>
      <c r="E404" s="40" t="s">
        <v>11404</v>
      </c>
      <c r="F404" s="40"/>
      <c r="G404" s="40" t="s">
        <v>11404</v>
      </c>
    </row>
    <row r="405">
      <c r="A405" s="39"/>
      <c r="E405" s="40" t="s">
        <v>11404</v>
      </c>
      <c r="F405" s="40"/>
      <c r="G405" s="40" t="s">
        <v>11404</v>
      </c>
    </row>
    <row r="406">
      <c r="A406" s="39"/>
      <c r="E406" s="40" t="s">
        <v>11404</v>
      </c>
      <c r="F406" s="40"/>
      <c r="G406" s="40" t="s">
        <v>11404</v>
      </c>
    </row>
    <row r="407">
      <c r="A407" s="39"/>
      <c r="E407" s="40" t="s">
        <v>11404</v>
      </c>
      <c r="F407" s="40"/>
      <c r="G407" s="40" t="s">
        <v>11404</v>
      </c>
    </row>
    <row r="408">
      <c r="A408" s="39"/>
      <c r="E408" s="40" t="s">
        <v>11404</v>
      </c>
      <c r="F408" s="40"/>
      <c r="G408" s="40" t="s">
        <v>11404</v>
      </c>
    </row>
    <row r="409">
      <c r="A409" s="39"/>
      <c r="E409" s="40" t="s">
        <v>11404</v>
      </c>
      <c r="F409" s="40"/>
      <c r="G409" s="40" t="s">
        <v>11404</v>
      </c>
    </row>
    <row r="410">
      <c r="A410" s="39"/>
      <c r="E410" s="40" t="s">
        <v>11404</v>
      </c>
      <c r="F410" s="40"/>
      <c r="G410" s="40" t="s">
        <v>11404</v>
      </c>
    </row>
    <row r="411">
      <c r="A411" s="39"/>
      <c r="E411" s="40" t="s">
        <v>11404</v>
      </c>
      <c r="F411" s="40"/>
      <c r="G411" s="40" t="s">
        <v>11404</v>
      </c>
    </row>
    <row r="412">
      <c r="A412" s="39"/>
      <c r="E412" s="40" t="s">
        <v>11404</v>
      </c>
      <c r="F412" s="40"/>
      <c r="G412" s="40" t="s">
        <v>11404</v>
      </c>
    </row>
    <row r="413">
      <c r="A413" s="39"/>
      <c r="E413" s="40" t="s">
        <v>11404</v>
      </c>
      <c r="F413" s="40"/>
      <c r="G413" s="40" t="s">
        <v>11404</v>
      </c>
    </row>
    <row r="414">
      <c r="A414" s="39"/>
      <c r="E414" s="40" t="s">
        <v>11404</v>
      </c>
      <c r="F414" s="40"/>
      <c r="G414" s="40" t="s">
        <v>11404</v>
      </c>
    </row>
    <row r="415">
      <c r="A415" s="39"/>
      <c r="E415" s="40" t="s">
        <v>11404</v>
      </c>
      <c r="F415" s="40"/>
      <c r="G415" s="40" t="s">
        <v>11404</v>
      </c>
    </row>
    <row r="416">
      <c r="A416" s="39"/>
      <c r="E416" s="40" t="s">
        <v>11404</v>
      </c>
      <c r="F416" s="40"/>
      <c r="G416" s="40" t="s">
        <v>11404</v>
      </c>
    </row>
    <row r="417">
      <c r="A417" s="39"/>
      <c r="E417" s="40" t="s">
        <v>11404</v>
      </c>
      <c r="F417" s="40"/>
      <c r="G417" s="40" t="s">
        <v>11404</v>
      </c>
    </row>
    <row r="418">
      <c r="A418" s="39"/>
      <c r="E418" s="40" t="s">
        <v>11404</v>
      </c>
      <c r="F418" s="40"/>
      <c r="G418" s="40" t="s">
        <v>11404</v>
      </c>
    </row>
    <row r="419">
      <c r="A419" s="39"/>
      <c r="E419" s="40" t="s">
        <v>11404</v>
      </c>
      <c r="F419" s="40"/>
      <c r="G419" s="40" t="s">
        <v>11404</v>
      </c>
    </row>
    <row r="420">
      <c r="A420" s="39"/>
      <c r="E420" s="40" t="s">
        <v>11404</v>
      </c>
      <c r="F420" s="40"/>
      <c r="G420" s="40" t="s">
        <v>11404</v>
      </c>
    </row>
    <row r="421">
      <c r="A421" s="39"/>
      <c r="E421" s="40" t="s">
        <v>11404</v>
      </c>
      <c r="F421" s="40"/>
      <c r="G421" s="40" t="s">
        <v>11404</v>
      </c>
    </row>
    <row r="422">
      <c r="A422" s="39"/>
      <c r="E422" s="40" t="s">
        <v>11404</v>
      </c>
      <c r="F422" s="40"/>
      <c r="G422" s="40" t="s">
        <v>11404</v>
      </c>
    </row>
    <row r="423">
      <c r="A423" s="39"/>
      <c r="E423" s="40" t="s">
        <v>11404</v>
      </c>
      <c r="F423" s="40"/>
      <c r="G423" s="40" t="s">
        <v>11404</v>
      </c>
    </row>
    <row r="424">
      <c r="A424" s="39"/>
      <c r="E424" s="40" t="s">
        <v>11404</v>
      </c>
      <c r="F424" s="40"/>
      <c r="G424" s="40" t="s">
        <v>11404</v>
      </c>
    </row>
    <row r="425">
      <c r="A425" s="39"/>
      <c r="E425" s="40" t="s">
        <v>11404</v>
      </c>
      <c r="F425" s="40"/>
      <c r="G425" s="40" t="s">
        <v>11404</v>
      </c>
    </row>
    <row r="426">
      <c r="A426" s="39"/>
      <c r="E426" s="40" t="s">
        <v>11404</v>
      </c>
      <c r="F426" s="40"/>
      <c r="G426" s="40" t="s">
        <v>11404</v>
      </c>
    </row>
    <row r="427">
      <c r="A427" s="39"/>
      <c r="E427" s="40" t="s">
        <v>11404</v>
      </c>
      <c r="F427" s="40"/>
      <c r="G427" s="40" t="s">
        <v>11404</v>
      </c>
    </row>
    <row r="428">
      <c r="A428" s="39"/>
      <c r="E428" s="40" t="s">
        <v>11404</v>
      </c>
      <c r="F428" s="40"/>
      <c r="G428" s="40" t="s">
        <v>11404</v>
      </c>
    </row>
    <row r="429">
      <c r="A429" s="39"/>
      <c r="E429" s="40" t="s">
        <v>11404</v>
      </c>
      <c r="F429" s="40"/>
      <c r="G429" s="40" t="s">
        <v>11404</v>
      </c>
    </row>
    <row r="430">
      <c r="A430" s="39"/>
      <c r="E430" s="40" t="s">
        <v>11404</v>
      </c>
      <c r="F430" s="40"/>
      <c r="G430" s="40" t="s">
        <v>11404</v>
      </c>
    </row>
    <row r="431">
      <c r="A431" s="39"/>
      <c r="E431" s="40" t="s">
        <v>11404</v>
      </c>
      <c r="F431" s="40"/>
      <c r="G431" s="40" t="s">
        <v>11404</v>
      </c>
    </row>
    <row r="432">
      <c r="A432" s="39"/>
      <c r="E432" s="40" t="s">
        <v>11404</v>
      </c>
      <c r="F432" s="40"/>
      <c r="G432" s="40" t="s">
        <v>11404</v>
      </c>
    </row>
    <row r="433">
      <c r="A433" s="39"/>
      <c r="E433" s="40" t="s">
        <v>11404</v>
      </c>
      <c r="F433" s="40"/>
      <c r="G433" s="40" t="s">
        <v>11404</v>
      </c>
    </row>
    <row r="434">
      <c r="A434" s="39"/>
      <c r="E434" s="40" t="s">
        <v>11404</v>
      </c>
      <c r="F434" s="40"/>
      <c r="G434" s="40" t="s">
        <v>11404</v>
      </c>
    </row>
    <row r="435">
      <c r="A435" s="39"/>
      <c r="E435" s="40" t="s">
        <v>11404</v>
      </c>
      <c r="F435" s="40"/>
      <c r="G435" s="40" t="s">
        <v>11404</v>
      </c>
    </row>
    <row r="436">
      <c r="A436" s="39"/>
      <c r="E436" s="40" t="s">
        <v>11404</v>
      </c>
      <c r="F436" s="40"/>
      <c r="G436" s="40" t="s">
        <v>11404</v>
      </c>
    </row>
    <row r="437">
      <c r="A437" s="39"/>
      <c r="E437" s="40" t="s">
        <v>11404</v>
      </c>
      <c r="F437" s="40"/>
      <c r="G437" s="40" t="s">
        <v>11404</v>
      </c>
    </row>
    <row r="438">
      <c r="A438" s="39"/>
      <c r="E438" s="40" t="s">
        <v>11404</v>
      </c>
      <c r="F438" s="40"/>
      <c r="G438" s="40" t="s">
        <v>11404</v>
      </c>
    </row>
    <row r="439">
      <c r="A439" s="39"/>
      <c r="E439" s="40" t="s">
        <v>11404</v>
      </c>
      <c r="F439" s="40"/>
      <c r="G439" s="40" t="s">
        <v>11404</v>
      </c>
    </row>
    <row r="440">
      <c r="A440" s="39"/>
      <c r="E440" s="40" t="s">
        <v>11404</v>
      </c>
      <c r="F440" s="40"/>
      <c r="G440" s="40" t="s">
        <v>11404</v>
      </c>
    </row>
    <row r="441">
      <c r="A441" s="39"/>
      <c r="E441" s="40" t="s">
        <v>11404</v>
      </c>
      <c r="F441" s="40"/>
      <c r="G441" s="40" t="s">
        <v>11404</v>
      </c>
    </row>
    <row r="442">
      <c r="A442" s="39"/>
      <c r="E442" s="40" t="s">
        <v>11404</v>
      </c>
      <c r="F442" s="40"/>
      <c r="G442" s="40" t="s">
        <v>11404</v>
      </c>
    </row>
    <row r="443">
      <c r="A443" s="39"/>
      <c r="E443" s="40" t="s">
        <v>11404</v>
      </c>
      <c r="F443" s="40"/>
      <c r="G443" s="40" t="s">
        <v>11404</v>
      </c>
    </row>
    <row r="444">
      <c r="A444" s="39"/>
      <c r="E444" s="40" t="s">
        <v>11404</v>
      </c>
      <c r="F444" s="40"/>
      <c r="G444" s="40" t="s">
        <v>11404</v>
      </c>
    </row>
    <row r="445">
      <c r="A445" s="39"/>
      <c r="E445" s="40" t="s">
        <v>11404</v>
      </c>
      <c r="F445" s="40"/>
      <c r="G445" s="40" t="s">
        <v>11404</v>
      </c>
    </row>
    <row r="446">
      <c r="A446" s="39"/>
      <c r="E446" s="40" t="s">
        <v>11404</v>
      </c>
      <c r="F446" s="40"/>
      <c r="G446" s="40" t="s">
        <v>11404</v>
      </c>
    </row>
    <row r="447">
      <c r="A447" s="39"/>
      <c r="E447" s="40" t="s">
        <v>11404</v>
      </c>
      <c r="F447" s="40"/>
      <c r="G447" s="40" t="s">
        <v>11404</v>
      </c>
    </row>
    <row r="448">
      <c r="A448" s="39"/>
      <c r="E448" s="40" t="s">
        <v>11404</v>
      </c>
      <c r="F448" s="40"/>
      <c r="G448" s="40" t="s">
        <v>11404</v>
      </c>
    </row>
    <row r="449">
      <c r="A449" s="39"/>
      <c r="E449" s="40" t="s">
        <v>11404</v>
      </c>
      <c r="F449" s="40"/>
      <c r="G449" s="40" t="s">
        <v>11404</v>
      </c>
    </row>
    <row r="450">
      <c r="A450" s="39"/>
      <c r="E450" s="40" t="s">
        <v>11404</v>
      </c>
      <c r="F450" s="40"/>
      <c r="G450" s="40" t="s">
        <v>11404</v>
      </c>
    </row>
    <row r="451">
      <c r="A451" s="39"/>
      <c r="E451" s="40" t="s">
        <v>11404</v>
      </c>
      <c r="F451" s="40"/>
      <c r="G451" s="40" t="s">
        <v>11404</v>
      </c>
    </row>
    <row r="452">
      <c r="A452" s="39"/>
      <c r="E452" s="40" t="s">
        <v>11404</v>
      </c>
      <c r="F452" s="40"/>
      <c r="G452" s="40" t="s">
        <v>11404</v>
      </c>
    </row>
    <row r="453">
      <c r="A453" s="39"/>
      <c r="E453" s="40" t="s">
        <v>11404</v>
      </c>
      <c r="F453" s="40"/>
      <c r="G453" s="40" t="s">
        <v>11404</v>
      </c>
    </row>
    <row r="454">
      <c r="A454" s="39"/>
      <c r="E454" s="40" t="s">
        <v>11404</v>
      </c>
      <c r="F454" s="40"/>
      <c r="G454" s="40" t="s">
        <v>11404</v>
      </c>
    </row>
    <row r="455">
      <c r="A455" s="39"/>
      <c r="E455" s="40" t="s">
        <v>11404</v>
      </c>
      <c r="F455" s="40"/>
      <c r="G455" s="40" t="s">
        <v>11404</v>
      </c>
    </row>
    <row r="456">
      <c r="A456" s="39"/>
      <c r="E456" s="40" t="s">
        <v>11404</v>
      </c>
      <c r="F456" s="40"/>
      <c r="G456" s="40" t="s">
        <v>11404</v>
      </c>
    </row>
    <row r="457">
      <c r="A457" s="39"/>
      <c r="E457" s="40" t="s">
        <v>11404</v>
      </c>
      <c r="F457" s="40"/>
      <c r="G457" s="40" t="s">
        <v>11404</v>
      </c>
    </row>
    <row r="458">
      <c r="A458" s="39"/>
      <c r="E458" s="40" t="s">
        <v>11404</v>
      </c>
      <c r="F458" s="40"/>
      <c r="G458" s="40" t="s">
        <v>11404</v>
      </c>
    </row>
    <row r="459">
      <c r="A459" s="39"/>
      <c r="E459" s="40" t="s">
        <v>11404</v>
      </c>
      <c r="F459" s="40"/>
      <c r="G459" s="40" t="s">
        <v>11404</v>
      </c>
    </row>
    <row r="460">
      <c r="A460" s="39"/>
      <c r="E460" s="40" t="s">
        <v>11404</v>
      </c>
      <c r="F460" s="40"/>
      <c r="G460" s="40" t="s">
        <v>11404</v>
      </c>
    </row>
    <row r="461">
      <c r="A461" s="39"/>
      <c r="E461" s="40" t="s">
        <v>11404</v>
      </c>
      <c r="F461" s="40"/>
      <c r="G461" s="40" t="s">
        <v>11404</v>
      </c>
    </row>
    <row r="462">
      <c r="A462" s="39"/>
      <c r="E462" s="40" t="s">
        <v>11404</v>
      </c>
      <c r="F462" s="40"/>
      <c r="G462" s="40" t="s">
        <v>11404</v>
      </c>
    </row>
    <row r="463">
      <c r="A463" s="39"/>
      <c r="E463" s="40" t="s">
        <v>11404</v>
      </c>
      <c r="F463" s="40"/>
      <c r="G463" s="40" t="s">
        <v>11404</v>
      </c>
    </row>
    <row r="464">
      <c r="A464" s="39"/>
      <c r="E464" s="40" t="s">
        <v>11404</v>
      </c>
      <c r="F464" s="40"/>
      <c r="G464" s="40" t="s">
        <v>11404</v>
      </c>
    </row>
    <row r="465">
      <c r="A465" s="39"/>
      <c r="E465" s="40" t="s">
        <v>11404</v>
      </c>
      <c r="F465" s="40"/>
      <c r="G465" s="40" t="s">
        <v>11404</v>
      </c>
    </row>
    <row r="466">
      <c r="A466" s="39"/>
      <c r="E466" s="40" t="s">
        <v>11404</v>
      </c>
      <c r="F466" s="40"/>
      <c r="G466" s="40" t="s">
        <v>11404</v>
      </c>
    </row>
    <row r="467">
      <c r="A467" s="39"/>
      <c r="E467" s="40" t="s">
        <v>11404</v>
      </c>
      <c r="F467" s="40"/>
      <c r="G467" s="40" t="s">
        <v>11404</v>
      </c>
    </row>
    <row r="468">
      <c r="A468" s="39"/>
      <c r="E468" s="40" t="s">
        <v>11404</v>
      </c>
      <c r="F468" s="40"/>
      <c r="G468" s="40" t="s">
        <v>11404</v>
      </c>
    </row>
    <row r="469">
      <c r="A469" s="39"/>
      <c r="E469" s="40" t="s">
        <v>11404</v>
      </c>
      <c r="F469" s="40"/>
      <c r="G469" s="40" t="s">
        <v>11404</v>
      </c>
    </row>
    <row r="470">
      <c r="A470" s="39"/>
      <c r="E470" s="40" t="s">
        <v>11404</v>
      </c>
      <c r="F470" s="40"/>
      <c r="G470" s="40" t="s">
        <v>11404</v>
      </c>
    </row>
    <row r="471">
      <c r="A471" s="39"/>
      <c r="E471" s="40" t="s">
        <v>11404</v>
      </c>
      <c r="F471" s="40"/>
      <c r="G471" s="40" t="s">
        <v>11404</v>
      </c>
    </row>
    <row r="472">
      <c r="A472" s="39"/>
      <c r="E472" s="40" t="s">
        <v>11404</v>
      </c>
      <c r="F472" s="40"/>
      <c r="G472" s="40" t="s">
        <v>11404</v>
      </c>
    </row>
    <row r="473">
      <c r="A473" s="39"/>
      <c r="E473" s="40" t="s">
        <v>11404</v>
      </c>
      <c r="F473" s="40"/>
      <c r="G473" s="40" t="s">
        <v>11404</v>
      </c>
    </row>
    <row r="474">
      <c r="A474" s="39"/>
      <c r="E474" s="40" t="s">
        <v>11404</v>
      </c>
      <c r="F474" s="40"/>
      <c r="G474" s="40" t="s">
        <v>11404</v>
      </c>
    </row>
    <row r="475">
      <c r="A475" s="39"/>
      <c r="E475" s="40" t="s">
        <v>11404</v>
      </c>
      <c r="F475" s="40"/>
      <c r="G475" s="40" t="s">
        <v>11404</v>
      </c>
    </row>
    <row r="476">
      <c r="A476" s="39"/>
      <c r="E476" s="40" t="s">
        <v>11404</v>
      </c>
      <c r="F476" s="40"/>
      <c r="G476" s="40" t="s">
        <v>11404</v>
      </c>
    </row>
    <row r="477">
      <c r="A477" s="39"/>
      <c r="E477" s="40" t="s">
        <v>11404</v>
      </c>
      <c r="F477" s="40"/>
      <c r="G477" s="40" t="s">
        <v>11404</v>
      </c>
    </row>
    <row r="478">
      <c r="A478" s="39"/>
      <c r="E478" s="40" t="s">
        <v>11404</v>
      </c>
      <c r="F478" s="40"/>
      <c r="G478" s="40" t="s">
        <v>11404</v>
      </c>
    </row>
    <row r="479">
      <c r="A479" s="39"/>
      <c r="E479" s="40" t="s">
        <v>11404</v>
      </c>
      <c r="F479" s="40"/>
      <c r="G479" s="40" t="s">
        <v>11404</v>
      </c>
    </row>
    <row r="480">
      <c r="A480" s="39"/>
      <c r="E480" s="40" t="s">
        <v>11404</v>
      </c>
      <c r="F480" s="40"/>
      <c r="G480" s="40" t="s">
        <v>11404</v>
      </c>
    </row>
    <row r="481">
      <c r="A481" s="39"/>
      <c r="E481" s="40" t="s">
        <v>11404</v>
      </c>
      <c r="F481" s="40"/>
      <c r="G481" s="40" t="s">
        <v>11404</v>
      </c>
    </row>
    <row r="482">
      <c r="A482" s="39"/>
      <c r="E482" s="40" t="s">
        <v>11404</v>
      </c>
      <c r="F482" s="40"/>
      <c r="G482" s="40" t="s">
        <v>11404</v>
      </c>
    </row>
    <row r="483">
      <c r="A483" s="39"/>
      <c r="E483" s="40" t="s">
        <v>11404</v>
      </c>
      <c r="F483" s="40"/>
      <c r="G483" s="40" t="s">
        <v>11404</v>
      </c>
    </row>
    <row r="484">
      <c r="A484" s="39"/>
      <c r="E484" s="40" t="s">
        <v>11404</v>
      </c>
      <c r="F484" s="40"/>
      <c r="G484" s="40" t="s">
        <v>11404</v>
      </c>
    </row>
    <row r="485">
      <c r="A485" s="39"/>
      <c r="E485" s="40" t="s">
        <v>11404</v>
      </c>
      <c r="F485" s="40"/>
      <c r="G485" s="40" t="s">
        <v>11404</v>
      </c>
    </row>
    <row r="486">
      <c r="A486" s="39"/>
      <c r="E486" s="40" t="s">
        <v>11404</v>
      </c>
      <c r="F486" s="40"/>
      <c r="G486" s="40" t="s">
        <v>11404</v>
      </c>
    </row>
    <row r="487">
      <c r="A487" s="39"/>
      <c r="E487" s="40" t="s">
        <v>11404</v>
      </c>
      <c r="F487" s="40"/>
      <c r="G487" s="40" t="s">
        <v>11404</v>
      </c>
    </row>
    <row r="488">
      <c r="A488" s="39"/>
      <c r="E488" s="40" t="s">
        <v>11404</v>
      </c>
      <c r="F488" s="40"/>
      <c r="G488" s="40" t="s">
        <v>11404</v>
      </c>
    </row>
    <row r="489">
      <c r="A489" s="39"/>
      <c r="E489" s="40" t="s">
        <v>11404</v>
      </c>
      <c r="F489" s="40"/>
      <c r="G489" s="40" t="s">
        <v>11404</v>
      </c>
    </row>
    <row r="490">
      <c r="A490" s="39"/>
      <c r="E490" s="40" t="s">
        <v>11404</v>
      </c>
      <c r="F490" s="40"/>
      <c r="G490" s="40" t="s">
        <v>11404</v>
      </c>
    </row>
    <row r="491">
      <c r="A491" s="39"/>
      <c r="E491" s="40" t="s">
        <v>11404</v>
      </c>
      <c r="F491" s="40"/>
      <c r="G491" s="40" t="s">
        <v>11404</v>
      </c>
    </row>
    <row r="492">
      <c r="A492" s="39"/>
      <c r="E492" s="40" t="s">
        <v>11404</v>
      </c>
      <c r="F492" s="40"/>
      <c r="G492" s="40" t="s">
        <v>11404</v>
      </c>
    </row>
    <row r="493">
      <c r="A493" s="39"/>
      <c r="E493" s="40" t="s">
        <v>11404</v>
      </c>
      <c r="F493" s="40"/>
      <c r="G493" s="40" t="s">
        <v>11404</v>
      </c>
    </row>
    <row r="494">
      <c r="A494" s="39"/>
      <c r="E494" s="40" t="s">
        <v>11404</v>
      </c>
      <c r="F494" s="40"/>
      <c r="G494" s="40" t="s">
        <v>11404</v>
      </c>
    </row>
    <row r="495">
      <c r="A495" s="39"/>
      <c r="E495" s="40" t="s">
        <v>11404</v>
      </c>
      <c r="F495" s="40"/>
      <c r="G495" s="40" t="s">
        <v>11404</v>
      </c>
    </row>
    <row r="496">
      <c r="A496" s="39"/>
      <c r="E496" s="40" t="s">
        <v>11404</v>
      </c>
      <c r="F496" s="40"/>
      <c r="G496" s="40" t="s">
        <v>11404</v>
      </c>
    </row>
    <row r="497">
      <c r="A497" s="39"/>
      <c r="E497" s="40" t="s">
        <v>11404</v>
      </c>
      <c r="F497" s="40"/>
      <c r="G497" s="40" t="s">
        <v>11404</v>
      </c>
    </row>
    <row r="498">
      <c r="A498" s="39"/>
      <c r="E498" s="40" t="s">
        <v>11404</v>
      </c>
      <c r="F498" s="40"/>
      <c r="G498" s="40" t="s">
        <v>11404</v>
      </c>
    </row>
    <row r="499">
      <c r="A499" s="39"/>
      <c r="E499" s="40" t="s">
        <v>11404</v>
      </c>
      <c r="F499" s="40"/>
      <c r="G499" s="40" t="s">
        <v>11404</v>
      </c>
    </row>
    <row r="500">
      <c r="A500" s="39"/>
      <c r="E500" s="40" t="s">
        <v>11404</v>
      </c>
      <c r="F500" s="40"/>
      <c r="G500" s="40" t="s">
        <v>11404</v>
      </c>
    </row>
    <row r="501">
      <c r="A501" s="39"/>
      <c r="E501" s="40" t="s">
        <v>11404</v>
      </c>
      <c r="F501" s="40"/>
      <c r="G501" s="40" t="s">
        <v>11404</v>
      </c>
    </row>
    <row r="502">
      <c r="A502" s="39"/>
      <c r="E502" s="40" t="s">
        <v>11404</v>
      </c>
      <c r="F502" s="40"/>
      <c r="G502" s="40" t="s">
        <v>11404</v>
      </c>
    </row>
    <row r="503">
      <c r="A503" s="39"/>
      <c r="E503" s="40" t="s">
        <v>11404</v>
      </c>
      <c r="F503" s="40"/>
      <c r="G503" s="40" t="s">
        <v>11404</v>
      </c>
    </row>
    <row r="504">
      <c r="A504" s="39"/>
      <c r="E504" s="40" t="s">
        <v>11404</v>
      </c>
      <c r="F504" s="40"/>
      <c r="G504" s="40" t="s">
        <v>11404</v>
      </c>
    </row>
    <row r="505">
      <c r="A505" s="39"/>
      <c r="E505" s="40" t="s">
        <v>11404</v>
      </c>
      <c r="F505" s="40"/>
      <c r="G505" s="40" t="s">
        <v>11404</v>
      </c>
    </row>
    <row r="506">
      <c r="A506" s="39"/>
      <c r="E506" s="40" t="s">
        <v>11404</v>
      </c>
      <c r="F506" s="40"/>
      <c r="G506" s="40" t="s">
        <v>11404</v>
      </c>
    </row>
    <row r="507">
      <c r="A507" s="39"/>
      <c r="E507" s="40" t="s">
        <v>11404</v>
      </c>
      <c r="F507" s="40"/>
      <c r="G507" s="40" t="s">
        <v>11404</v>
      </c>
    </row>
    <row r="508">
      <c r="A508" s="39"/>
      <c r="E508" s="40" t="s">
        <v>11404</v>
      </c>
      <c r="F508" s="40"/>
      <c r="G508" s="40" t="s">
        <v>11404</v>
      </c>
    </row>
    <row r="509">
      <c r="A509" s="39"/>
      <c r="E509" s="40" t="s">
        <v>11404</v>
      </c>
      <c r="F509" s="40"/>
      <c r="G509" s="40" t="s">
        <v>11404</v>
      </c>
    </row>
    <row r="510">
      <c r="A510" s="39"/>
      <c r="E510" s="40" t="s">
        <v>11404</v>
      </c>
      <c r="F510" s="40"/>
      <c r="G510" s="40" t="s">
        <v>11404</v>
      </c>
    </row>
    <row r="511">
      <c r="A511" s="39"/>
      <c r="E511" s="40" t="s">
        <v>11404</v>
      </c>
      <c r="F511" s="40"/>
      <c r="G511" s="40" t="s">
        <v>11404</v>
      </c>
    </row>
    <row r="512">
      <c r="A512" s="39"/>
      <c r="E512" s="40" t="s">
        <v>11404</v>
      </c>
      <c r="F512" s="40"/>
      <c r="G512" s="40" t="s">
        <v>11404</v>
      </c>
    </row>
    <row r="513">
      <c r="A513" s="39"/>
      <c r="E513" s="40" t="s">
        <v>11404</v>
      </c>
      <c r="F513" s="40"/>
      <c r="G513" s="40" t="s">
        <v>11404</v>
      </c>
    </row>
    <row r="514">
      <c r="A514" s="39"/>
      <c r="E514" s="40" t="s">
        <v>11404</v>
      </c>
      <c r="F514" s="40"/>
      <c r="G514" s="40" t="s">
        <v>11404</v>
      </c>
    </row>
    <row r="515">
      <c r="A515" s="39"/>
      <c r="E515" s="40" t="s">
        <v>11404</v>
      </c>
      <c r="F515" s="40"/>
      <c r="G515" s="40" t="s">
        <v>11404</v>
      </c>
    </row>
    <row r="516">
      <c r="A516" s="39"/>
      <c r="E516" s="40" t="s">
        <v>11404</v>
      </c>
      <c r="F516" s="40"/>
      <c r="G516" s="40" t="s">
        <v>11404</v>
      </c>
    </row>
    <row r="517">
      <c r="A517" s="39"/>
      <c r="E517" s="40" t="s">
        <v>11404</v>
      </c>
      <c r="F517" s="40"/>
      <c r="G517" s="40" t="s">
        <v>11404</v>
      </c>
    </row>
    <row r="518">
      <c r="A518" s="39"/>
      <c r="E518" s="40" t="s">
        <v>11404</v>
      </c>
      <c r="F518" s="40"/>
      <c r="G518" s="40" t="s">
        <v>11404</v>
      </c>
    </row>
    <row r="519">
      <c r="A519" s="39"/>
      <c r="E519" s="40" t="s">
        <v>11404</v>
      </c>
      <c r="F519" s="40"/>
      <c r="G519" s="40" t="s">
        <v>11404</v>
      </c>
    </row>
    <row r="520">
      <c r="A520" s="39"/>
      <c r="E520" s="40" t="s">
        <v>11404</v>
      </c>
      <c r="F520" s="40"/>
      <c r="G520" s="40" t="s">
        <v>11404</v>
      </c>
    </row>
    <row r="521">
      <c r="A521" s="39"/>
      <c r="E521" s="40" t="s">
        <v>11404</v>
      </c>
      <c r="F521" s="40"/>
      <c r="G521" s="40" t="s">
        <v>11404</v>
      </c>
    </row>
    <row r="522">
      <c r="A522" s="39"/>
      <c r="E522" s="40" t="s">
        <v>11404</v>
      </c>
      <c r="F522" s="40"/>
      <c r="G522" s="40" t="s">
        <v>11404</v>
      </c>
    </row>
    <row r="523">
      <c r="A523" s="39"/>
      <c r="E523" s="40" t="s">
        <v>11404</v>
      </c>
      <c r="F523" s="40"/>
      <c r="G523" s="40" t="s">
        <v>11404</v>
      </c>
    </row>
    <row r="524">
      <c r="A524" s="39"/>
      <c r="E524" s="40" t="s">
        <v>11404</v>
      </c>
      <c r="F524" s="40"/>
      <c r="G524" s="40" t="s">
        <v>11404</v>
      </c>
    </row>
    <row r="525">
      <c r="A525" s="39"/>
      <c r="E525" s="40" t="s">
        <v>11404</v>
      </c>
      <c r="F525" s="40"/>
      <c r="G525" s="40" t="s">
        <v>11404</v>
      </c>
    </row>
    <row r="526">
      <c r="A526" s="39"/>
      <c r="E526" s="40" t="s">
        <v>11404</v>
      </c>
      <c r="F526" s="40"/>
      <c r="G526" s="40" t="s">
        <v>11404</v>
      </c>
    </row>
    <row r="527">
      <c r="A527" s="39"/>
      <c r="E527" s="40" t="s">
        <v>11404</v>
      </c>
      <c r="F527" s="40"/>
      <c r="G527" s="40" t="s">
        <v>11404</v>
      </c>
    </row>
    <row r="528">
      <c r="A528" s="39"/>
      <c r="E528" s="40" t="s">
        <v>11404</v>
      </c>
      <c r="F528" s="40"/>
      <c r="G528" s="40" t="s">
        <v>11404</v>
      </c>
    </row>
    <row r="529">
      <c r="A529" s="39"/>
      <c r="E529" s="40" t="s">
        <v>11404</v>
      </c>
      <c r="F529" s="40"/>
      <c r="G529" s="40" t="s">
        <v>11404</v>
      </c>
    </row>
    <row r="530">
      <c r="A530" s="39"/>
      <c r="E530" s="40" t="s">
        <v>11404</v>
      </c>
      <c r="F530" s="40"/>
      <c r="G530" s="40" t="s">
        <v>11404</v>
      </c>
    </row>
    <row r="531">
      <c r="A531" s="39"/>
      <c r="E531" s="40" t="s">
        <v>11404</v>
      </c>
      <c r="F531" s="40"/>
      <c r="G531" s="40" t="s">
        <v>11404</v>
      </c>
    </row>
    <row r="532">
      <c r="A532" s="39"/>
      <c r="E532" s="40" t="s">
        <v>11404</v>
      </c>
      <c r="F532" s="40"/>
      <c r="G532" s="40" t="s">
        <v>11404</v>
      </c>
    </row>
    <row r="533">
      <c r="A533" s="39"/>
      <c r="E533" s="40" t="s">
        <v>11404</v>
      </c>
      <c r="F533" s="40"/>
      <c r="G533" s="40" t="s">
        <v>11404</v>
      </c>
    </row>
    <row r="534">
      <c r="A534" s="39"/>
      <c r="E534" s="40" t="s">
        <v>11404</v>
      </c>
      <c r="F534" s="40"/>
      <c r="G534" s="40" t="s">
        <v>11404</v>
      </c>
    </row>
    <row r="535">
      <c r="A535" s="39"/>
      <c r="E535" s="40" t="s">
        <v>11404</v>
      </c>
      <c r="F535" s="40"/>
      <c r="G535" s="40" t="s">
        <v>11404</v>
      </c>
    </row>
    <row r="536">
      <c r="A536" s="39"/>
      <c r="E536" s="40" t="s">
        <v>11404</v>
      </c>
      <c r="F536" s="40"/>
      <c r="G536" s="40" t="s">
        <v>11404</v>
      </c>
    </row>
    <row r="537">
      <c r="A537" s="39"/>
      <c r="E537" s="40" t="s">
        <v>11404</v>
      </c>
      <c r="F537" s="40"/>
      <c r="G537" s="40" t="s">
        <v>11404</v>
      </c>
    </row>
    <row r="538">
      <c r="A538" s="39"/>
      <c r="E538" s="40" t="s">
        <v>11404</v>
      </c>
      <c r="F538" s="40"/>
      <c r="G538" s="40" t="s">
        <v>11404</v>
      </c>
    </row>
    <row r="539">
      <c r="A539" s="39"/>
      <c r="E539" s="40" t="s">
        <v>11404</v>
      </c>
      <c r="F539" s="40"/>
      <c r="G539" s="40" t="s">
        <v>11404</v>
      </c>
    </row>
    <row r="540">
      <c r="A540" s="39"/>
      <c r="E540" s="40" t="s">
        <v>11404</v>
      </c>
      <c r="F540" s="40"/>
      <c r="G540" s="40" t="s">
        <v>11404</v>
      </c>
    </row>
    <row r="541">
      <c r="A541" s="39"/>
      <c r="E541" s="40" t="s">
        <v>11404</v>
      </c>
      <c r="F541" s="40"/>
      <c r="G541" s="40" t="s">
        <v>11404</v>
      </c>
    </row>
    <row r="542">
      <c r="A542" s="39"/>
      <c r="E542" s="40" t="s">
        <v>11404</v>
      </c>
      <c r="F542" s="40"/>
      <c r="G542" s="40" t="s">
        <v>11404</v>
      </c>
    </row>
    <row r="543">
      <c r="A543" s="39"/>
      <c r="E543" s="40" t="s">
        <v>11404</v>
      </c>
      <c r="F543" s="40"/>
      <c r="G543" s="40" t="s">
        <v>11404</v>
      </c>
    </row>
    <row r="544">
      <c r="A544" s="39"/>
      <c r="E544" s="40" t="s">
        <v>11404</v>
      </c>
      <c r="F544" s="40"/>
      <c r="G544" s="40" t="s">
        <v>11404</v>
      </c>
    </row>
    <row r="545">
      <c r="A545" s="39"/>
      <c r="E545" s="40" t="s">
        <v>11404</v>
      </c>
      <c r="F545" s="40"/>
      <c r="G545" s="40" t="s">
        <v>11404</v>
      </c>
    </row>
    <row r="546">
      <c r="A546" s="39"/>
      <c r="E546" s="40" t="s">
        <v>11404</v>
      </c>
      <c r="F546" s="40"/>
      <c r="G546" s="40" t="s">
        <v>11404</v>
      </c>
    </row>
    <row r="547">
      <c r="A547" s="39"/>
      <c r="E547" s="40" t="s">
        <v>11404</v>
      </c>
      <c r="F547" s="40"/>
      <c r="G547" s="40" t="s">
        <v>11404</v>
      </c>
    </row>
    <row r="548">
      <c r="A548" s="39"/>
      <c r="E548" s="40" t="s">
        <v>11404</v>
      </c>
      <c r="F548" s="40"/>
      <c r="G548" s="40" t="s">
        <v>11404</v>
      </c>
    </row>
    <row r="549">
      <c r="A549" s="39"/>
      <c r="E549" s="40" t="s">
        <v>11404</v>
      </c>
      <c r="F549" s="40"/>
      <c r="G549" s="40" t="s">
        <v>11404</v>
      </c>
    </row>
    <row r="550">
      <c r="A550" s="39"/>
      <c r="E550" s="40" t="s">
        <v>11404</v>
      </c>
      <c r="F550" s="40"/>
      <c r="G550" s="40" t="s">
        <v>11404</v>
      </c>
    </row>
    <row r="551">
      <c r="A551" s="39"/>
      <c r="E551" s="40" t="s">
        <v>11404</v>
      </c>
      <c r="F551" s="40"/>
      <c r="G551" s="40" t="s">
        <v>11404</v>
      </c>
    </row>
    <row r="552">
      <c r="A552" s="39"/>
      <c r="E552" s="40" t="s">
        <v>11404</v>
      </c>
      <c r="F552" s="40"/>
      <c r="G552" s="40" t="s">
        <v>11404</v>
      </c>
    </row>
    <row r="553">
      <c r="A553" s="39"/>
      <c r="E553" s="40" t="s">
        <v>11404</v>
      </c>
      <c r="F553" s="40"/>
      <c r="G553" s="40" t="s">
        <v>11404</v>
      </c>
    </row>
    <row r="554">
      <c r="A554" s="39"/>
      <c r="E554" s="40" t="s">
        <v>11404</v>
      </c>
      <c r="F554" s="40"/>
      <c r="G554" s="40" t="s">
        <v>11404</v>
      </c>
    </row>
    <row r="555">
      <c r="A555" s="39"/>
      <c r="E555" s="40" t="s">
        <v>11404</v>
      </c>
      <c r="F555" s="40"/>
      <c r="G555" s="40" t="s">
        <v>11404</v>
      </c>
    </row>
    <row r="556">
      <c r="A556" s="39"/>
      <c r="E556" s="40" t="s">
        <v>11404</v>
      </c>
      <c r="F556" s="40"/>
      <c r="G556" s="40" t="s">
        <v>11404</v>
      </c>
    </row>
    <row r="557">
      <c r="A557" s="39"/>
      <c r="E557" s="40" t="s">
        <v>11404</v>
      </c>
      <c r="F557" s="40"/>
      <c r="G557" s="40" t="s">
        <v>11404</v>
      </c>
    </row>
    <row r="558">
      <c r="A558" s="39"/>
      <c r="E558" s="40" t="s">
        <v>11404</v>
      </c>
      <c r="F558" s="40"/>
      <c r="G558" s="40" t="s">
        <v>11404</v>
      </c>
    </row>
    <row r="559">
      <c r="A559" s="39"/>
      <c r="E559" s="40" t="s">
        <v>11404</v>
      </c>
      <c r="F559" s="40"/>
      <c r="G559" s="40" t="s">
        <v>11404</v>
      </c>
    </row>
    <row r="560">
      <c r="A560" s="39"/>
      <c r="E560" s="40" t="s">
        <v>11404</v>
      </c>
      <c r="F560" s="40"/>
      <c r="G560" s="40" t="s">
        <v>11404</v>
      </c>
    </row>
    <row r="561">
      <c r="A561" s="39"/>
      <c r="E561" s="40" t="s">
        <v>11404</v>
      </c>
      <c r="F561" s="40"/>
      <c r="G561" s="40" t="s">
        <v>11404</v>
      </c>
    </row>
    <row r="562">
      <c r="A562" s="39"/>
      <c r="E562" s="40" t="s">
        <v>11404</v>
      </c>
      <c r="F562" s="40"/>
      <c r="G562" s="40" t="s">
        <v>11404</v>
      </c>
    </row>
    <row r="563">
      <c r="A563" s="39"/>
      <c r="E563" s="40" t="s">
        <v>11404</v>
      </c>
      <c r="F563" s="40"/>
      <c r="G563" s="40" t="s">
        <v>11404</v>
      </c>
    </row>
    <row r="564">
      <c r="A564" s="39"/>
      <c r="E564" s="40" t="s">
        <v>11404</v>
      </c>
      <c r="F564" s="40"/>
      <c r="G564" s="40" t="s">
        <v>11404</v>
      </c>
    </row>
    <row r="565">
      <c r="A565" s="39"/>
      <c r="E565" s="40" t="s">
        <v>11404</v>
      </c>
      <c r="F565" s="40"/>
      <c r="G565" s="40" t="s">
        <v>11404</v>
      </c>
    </row>
    <row r="566">
      <c r="A566" s="39"/>
      <c r="E566" s="40" t="s">
        <v>11404</v>
      </c>
      <c r="F566" s="40"/>
      <c r="G566" s="40" t="s">
        <v>11404</v>
      </c>
    </row>
    <row r="567">
      <c r="A567" s="39"/>
      <c r="E567" s="40" t="s">
        <v>11404</v>
      </c>
      <c r="F567" s="40"/>
      <c r="G567" s="40" t="s">
        <v>11404</v>
      </c>
    </row>
    <row r="568">
      <c r="A568" s="39"/>
      <c r="E568" s="40" t="s">
        <v>11404</v>
      </c>
      <c r="F568" s="40"/>
      <c r="G568" s="40" t="s">
        <v>11404</v>
      </c>
    </row>
    <row r="569">
      <c r="A569" s="39"/>
      <c r="E569" s="40" t="s">
        <v>11404</v>
      </c>
      <c r="F569" s="40"/>
      <c r="G569" s="40" t="s">
        <v>11404</v>
      </c>
    </row>
    <row r="570">
      <c r="A570" s="39"/>
      <c r="E570" s="40" t="s">
        <v>11404</v>
      </c>
      <c r="F570" s="40"/>
      <c r="G570" s="40" t="s">
        <v>11404</v>
      </c>
    </row>
    <row r="571">
      <c r="A571" s="39"/>
      <c r="E571" s="40" t="s">
        <v>11404</v>
      </c>
      <c r="F571" s="40"/>
      <c r="G571" s="40" t="s">
        <v>11404</v>
      </c>
    </row>
    <row r="572">
      <c r="A572" s="39"/>
      <c r="E572" s="40" t="s">
        <v>11404</v>
      </c>
      <c r="F572" s="40"/>
      <c r="G572" s="40" t="s">
        <v>11404</v>
      </c>
    </row>
    <row r="573">
      <c r="A573" s="39"/>
      <c r="E573" s="40" t="s">
        <v>11404</v>
      </c>
      <c r="F573" s="40"/>
      <c r="G573" s="40" t="s">
        <v>11404</v>
      </c>
    </row>
    <row r="574">
      <c r="A574" s="39"/>
      <c r="E574" s="40" t="s">
        <v>11404</v>
      </c>
      <c r="F574" s="40"/>
      <c r="G574" s="40" t="s">
        <v>11404</v>
      </c>
    </row>
    <row r="575">
      <c r="A575" s="39"/>
      <c r="E575" s="40" t="s">
        <v>11404</v>
      </c>
      <c r="F575" s="40"/>
      <c r="G575" s="40" t="s">
        <v>11404</v>
      </c>
    </row>
    <row r="576">
      <c r="A576" s="39"/>
      <c r="E576" s="40" t="s">
        <v>11404</v>
      </c>
      <c r="F576" s="40"/>
      <c r="G576" s="40" t="s">
        <v>11404</v>
      </c>
    </row>
    <row r="577">
      <c r="A577" s="39"/>
      <c r="E577" s="40" t="s">
        <v>11404</v>
      </c>
      <c r="F577" s="40"/>
      <c r="G577" s="40" t="s">
        <v>11404</v>
      </c>
    </row>
    <row r="578">
      <c r="A578" s="39"/>
      <c r="E578" s="40" t="s">
        <v>11404</v>
      </c>
      <c r="F578" s="40"/>
      <c r="G578" s="40" t="s">
        <v>11404</v>
      </c>
    </row>
    <row r="579">
      <c r="A579" s="39"/>
      <c r="E579" s="40" t="s">
        <v>11404</v>
      </c>
      <c r="F579" s="40"/>
      <c r="G579" s="40" t="s">
        <v>11404</v>
      </c>
    </row>
    <row r="580">
      <c r="A580" s="39"/>
      <c r="E580" s="40" t="s">
        <v>11404</v>
      </c>
      <c r="F580" s="40"/>
      <c r="G580" s="40" t="s">
        <v>11404</v>
      </c>
    </row>
    <row r="581">
      <c r="A581" s="39"/>
      <c r="E581" s="40" t="s">
        <v>11404</v>
      </c>
      <c r="F581" s="40"/>
      <c r="G581" s="40" t="s">
        <v>11404</v>
      </c>
    </row>
    <row r="582">
      <c r="A582" s="39"/>
      <c r="E582" s="40" t="s">
        <v>11404</v>
      </c>
      <c r="F582" s="40"/>
      <c r="G582" s="40" t="s">
        <v>11404</v>
      </c>
    </row>
    <row r="583">
      <c r="A583" s="39"/>
      <c r="E583" s="40" t="s">
        <v>11404</v>
      </c>
      <c r="F583" s="40"/>
      <c r="G583" s="40" t="s">
        <v>11404</v>
      </c>
    </row>
    <row r="584">
      <c r="A584" s="39"/>
      <c r="E584" s="40" t="s">
        <v>11404</v>
      </c>
      <c r="F584" s="40"/>
      <c r="G584" s="40" t="s">
        <v>11404</v>
      </c>
    </row>
    <row r="585">
      <c r="A585" s="39"/>
      <c r="E585" s="40" t="s">
        <v>11404</v>
      </c>
      <c r="F585" s="40"/>
      <c r="G585" s="40" t="s">
        <v>11404</v>
      </c>
    </row>
    <row r="586">
      <c r="A586" s="39"/>
      <c r="E586" s="40" t="s">
        <v>11404</v>
      </c>
      <c r="F586" s="40"/>
      <c r="G586" s="40" t="s">
        <v>11404</v>
      </c>
    </row>
    <row r="587">
      <c r="A587" s="39"/>
      <c r="E587" s="40" t="s">
        <v>11404</v>
      </c>
      <c r="F587" s="40"/>
      <c r="G587" s="40" t="s">
        <v>11404</v>
      </c>
    </row>
    <row r="588">
      <c r="A588" s="39"/>
      <c r="E588" s="40" t="s">
        <v>11404</v>
      </c>
      <c r="F588" s="40"/>
      <c r="G588" s="40" t="s">
        <v>11404</v>
      </c>
    </row>
    <row r="589">
      <c r="A589" s="39"/>
      <c r="E589" s="40" t="s">
        <v>11404</v>
      </c>
      <c r="F589" s="40"/>
      <c r="G589" s="40" t="s">
        <v>11404</v>
      </c>
    </row>
    <row r="590">
      <c r="A590" s="39"/>
      <c r="E590" s="40" t="s">
        <v>11404</v>
      </c>
      <c r="F590" s="40"/>
      <c r="G590" s="40" t="s">
        <v>11404</v>
      </c>
    </row>
    <row r="591">
      <c r="A591" s="39"/>
      <c r="E591" s="40" t="s">
        <v>11404</v>
      </c>
      <c r="F591" s="40"/>
      <c r="G591" s="40" t="s">
        <v>11404</v>
      </c>
    </row>
    <row r="592">
      <c r="A592" s="39"/>
      <c r="E592" s="40" t="s">
        <v>11404</v>
      </c>
      <c r="F592" s="40"/>
      <c r="G592" s="40" t="s">
        <v>11404</v>
      </c>
    </row>
    <row r="593">
      <c r="A593" s="39"/>
      <c r="E593" s="40" t="s">
        <v>11404</v>
      </c>
      <c r="F593" s="40"/>
      <c r="G593" s="40" t="s">
        <v>11404</v>
      </c>
    </row>
    <row r="594">
      <c r="A594" s="39"/>
      <c r="E594" s="40" t="s">
        <v>11404</v>
      </c>
      <c r="F594" s="40"/>
      <c r="G594" s="40" t="s">
        <v>11404</v>
      </c>
    </row>
    <row r="595">
      <c r="A595" s="39"/>
      <c r="E595" s="40" t="s">
        <v>11404</v>
      </c>
      <c r="F595" s="40"/>
      <c r="G595" s="40" t="s">
        <v>11404</v>
      </c>
    </row>
    <row r="596">
      <c r="A596" s="39"/>
      <c r="E596" s="40" t="s">
        <v>11404</v>
      </c>
      <c r="F596" s="40"/>
      <c r="G596" s="40" t="s">
        <v>11404</v>
      </c>
    </row>
    <row r="597">
      <c r="A597" s="39"/>
      <c r="E597" s="40" t="s">
        <v>11404</v>
      </c>
      <c r="F597" s="40"/>
      <c r="G597" s="40" t="s">
        <v>11404</v>
      </c>
    </row>
    <row r="598">
      <c r="A598" s="39"/>
      <c r="E598" s="40" t="s">
        <v>11404</v>
      </c>
      <c r="F598" s="40"/>
      <c r="G598" s="40" t="s">
        <v>11404</v>
      </c>
    </row>
    <row r="599">
      <c r="A599" s="39"/>
      <c r="E599" s="40" t="s">
        <v>11404</v>
      </c>
      <c r="F599" s="40"/>
      <c r="G599" s="40" t="s">
        <v>11404</v>
      </c>
    </row>
    <row r="600">
      <c r="A600" s="39"/>
      <c r="E600" s="40" t="s">
        <v>11404</v>
      </c>
      <c r="F600" s="40"/>
      <c r="G600" s="40" t="s">
        <v>11404</v>
      </c>
    </row>
    <row r="601">
      <c r="A601" s="39"/>
      <c r="E601" s="40" t="s">
        <v>11404</v>
      </c>
      <c r="F601" s="40"/>
      <c r="G601" s="40" t="s">
        <v>11404</v>
      </c>
    </row>
    <row r="602">
      <c r="A602" s="39"/>
      <c r="E602" s="40" t="s">
        <v>11404</v>
      </c>
      <c r="F602" s="40"/>
      <c r="G602" s="40" t="s">
        <v>11404</v>
      </c>
    </row>
    <row r="603">
      <c r="A603" s="39"/>
      <c r="E603" s="40" t="s">
        <v>11404</v>
      </c>
      <c r="F603" s="40"/>
      <c r="G603" s="40" t="s">
        <v>11404</v>
      </c>
    </row>
    <row r="604">
      <c r="A604" s="39"/>
      <c r="E604" s="40" t="s">
        <v>11404</v>
      </c>
      <c r="F604" s="40"/>
      <c r="G604" s="40" t="s">
        <v>11404</v>
      </c>
    </row>
    <row r="605">
      <c r="A605" s="39"/>
      <c r="E605" s="40" t="s">
        <v>11404</v>
      </c>
      <c r="F605" s="40"/>
      <c r="G605" s="40" t="s">
        <v>11404</v>
      </c>
    </row>
    <row r="606">
      <c r="A606" s="39"/>
      <c r="E606" s="40" t="s">
        <v>11404</v>
      </c>
      <c r="F606" s="40"/>
      <c r="G606" s="40" t="s">
        <v>11404</v>
      </c>
    </row>
    <row r="607">
      <c r="A607" s="39"/>
      <c r="E607" s="40" t="s">
        <v>11404</v>
      </c>
      <c r="F607" s="40"/>
      <c r="G607" s="40" t="s">
        <v>11404</v>
      </c>
    </row>
    <row r="608">
      <c r="A608" s="39"/>
      <c r="E608" s="40" t="s">
        <v>11404</v>
      </c>
      <c r="F608" s="40"/>
      <c r="G608" s="40" t="s">
        <v>11404</v>
      </c>
    </row>
    <row r="609">
      <c r="A609" s="39"/>
      <c r="E609" s="40" t="s">
        <v>11404</v>
      </c>
      <c r="F609" s="40"/>
      <c r="G609" s="40" t="s">
        <v>11404</v>
      </c>
    </row>
    <row r="610">
      <c r="A610" s="39"/>
      <c r="E610" s="40" t="s">
        <v>11404</v>
      </c>
      <c r="F610" s="40"/>
      <c r="G610" s="40" t="s">
        <v>11404</v>
      </c>
    </row>
    <row r="611">
      <c r="A611" s="39"/>
      <c r="E611" s="40" t="s">
        <v>11404</v>
      </c>
      <c r="F611" s="40"/>
      <c r="G611" s="40" t="s">
        <v>11404</v>
      </c>
    </row>
    <row r="612">
      <c r="A612" s="39"/>
      <c r="E612" s="40" t="s">
        <v>11404</v>
      </c>
      <c r="F612" s="40"/>
      <c r="G612" s="40" t="s">
        <v>11404</v>
      </c>
    </row>
    <row r="613">
      <c r="A613" s="39"/>
      <c r="E613" s="40" t="s">
        <v>11404</v>
      </c>
      <c r="F613" s="40"/>
      <c r="G613" s="40" t="s">
        <v>11404</v>
      </c>
    </row>
    <row r="614">
      <c r="A614" s="39"/>
      <c r="E614" s="40" t="s">
        <v>11404</v>
      </c>
      <c r="F614" s="40"/>
      <c r="G614" s="40" t="s">
        <v>11404</v>
      </c>
    </row>
    <row r="615">
      <c r="A615" s="39"/>
      <c r="E615" s="40" t="s">
        <v>11404</v>
      </c>
      <c r="F615" s="40"/>
      <c r="G615" s="40" t="s">
        <v>11404</v>
      </c>
    </row>
    <row r="616">
      <c r="A616" s="39"/>
      <c r="E616" s="40" t="s">
        <v>11404</v>
      </c>
      <c r="F616" s="40"/>
      <c r="G616" s="40" t="s">
        <v>11404</v>
      </c>
    </row>
    <row r="617">
      <c r="A617" s="39"/>
      <c r="E617" s="40" t="s">
        <v>11404</v>
      </c>
      <c r="F617" s="40"/>
      <c r="G617" s="40" t="s">
        <v>11404</v>
      </c>
    </row>
    <row r="618">
      <c r="A618" s="39"/>
      <c r="E618" s="40" t="s">
        <v>11404</v>
      </c>
      <c r="F618" s="40"/>
      <c r="G618" s="40" t="s">
        <v>11404</v>
      </c>
    </row>
    <row r="619">
      <c r="A619" s="39"/>
      <c r="E619" s="40" t="s">
        <v>11404</v>
      </c>
      <c r="F619" s="40"/>
      <c r="G619" s="40" t="s">
        <v>11404</v>
      </c>
    </row>
    <row r="620">
      <c r="A620" s="39"/>
      <c r="E620" s="40" t="s">
        <v>11404</v>
      </c>
      <c r="F620" s="40"/>
      <c r="G620" s="40" t="s">
        <v>11404</v>
      </c>
    </row>
    <row r="621">
      <c r="A621" s="39"/>
      <c r="E621" s="40" t="s">
        <v>11404</v>
      </c>
      <c r="F621" s="40"/>
      <c r="G621" s="40" t="s">
        <v>11404</v>
      </c>
    </row>
    <row r="622">
      <c r="A622" s="39"/>
      <c r="E622" s="40" t="s">
        <v>11404</v>
      </c>
      <c r="F622" s="40"/>
      <c r="G622" s="40" t="s">
        <v>11404</v>
      </c>
    </row>
    <row r="623">
      <c r="A623" s="39"/>
      <c r="E623" s="40" t="s">
        <v>11404</v>
      </c>
      <c r="F623" s="40"/>
      <c r="G623" s="40" t="s">
        <v>11404</v>
      </c>
    </row>
    <row r="624">
      <c r="A624" s="39"/>
      <c r="E624" s="40" t="s">
        <v>11404</v>
      </c>
      <c r="F624" s="40"/>
      <c r="G624" s="40" t="s">
        <v>11404</v>
      </c>
    </row>
    <row r="625">
      <c r="A625" s="39"/>
      <c r="E625" s="40" t="s">
        <v>11404</v>
      </c>
      <c r="F625" s="40"/>
      <c r="G625" s="40" t="s">
        <v>11404</v>
      </c>
    </row>
    <row r="626">
      <c r="A626" s="39"/>
      <c r="E626" s="40" t="s">
        <v>11404</v>
      </c>
      <c r="F626" s="40"/>
      <c r="G626" s="40" t="s">
        <v>11404</v>
      </c>
    </row>
    <row r="627">
      <c r="A627" s="39"/>
      <c r="E627" s="40" t="s">
        <v>11404</v>
      </c>
      <c r="F627" s="40"/>
      <c r="G627" s="40" t="s">
        <v>11404</v>
      </c>
    </row>
    <row r="628">
      <c r="A628" s="39"/>
      <c r="E628" s="40" t="s">
        <v>11404</v>
      </c>
      <c r="F628" s="40"/>
      <c r="G628" s="40" t="s">
        <v>11404</v>
      </c>
    </row>
    <row r="629">
      <c r="A629" s="39"/>
      <c r="E629" s="40" t="s">
        <v>11404</v>
      </c>
      <c r="F629" s="40"/>
      <c r="G629" s="40" t="s">
        <v>11404</v>
      </c>
    </row>
    <row r="630">
      <c r="A630" s="39"/>
      <c r="E630" s="40" t="s">
        <v>11404</v>
      </c>
      <c r="F630" s="40"/>
      <c r="G630" s="40" t="s">
        <v>11404</v>
      </c>
    </row>
    <row r="631">
      <c r="A631" s="39"/>
      <c r="E631" s="40" t="s">
        <v>11404</v>
      </c>
      <c r="F631" s="40"/>
      <c r="G631" s="40" t="s">
        <v>11404</v>
      </c>
    </row>
    <row r="632">
      <c r="A632" s="39"/>
      <c r="E632" s="40" t="s">
        <v>11404</v>
      </c>
      <c r="F632" s="40"/>
      <c r="G632" s="40" t="s">
        <v>11404</v>
      </c>
    </row>
    <row r="633">
      <c r="A633" s="39"/>
      <c r="E633" s="40" t="s">
        <v>11404</v>
      </c>
      <c r="F633" s="40"/>
      <c r="G633" s="40" t="s">
        <v>11404</v>
      </c>
    </row>
    <row r="634">
      <c r="A634" s="39"/>
      <c r="E634" s="40" t="s">
        <v>11404</v>
      </c>
      <c r="F634" s="40"/>
      <c r="G634" s="40" t="s">
        <v>11404</v>
      </c>
    </row>
    <row r="635">
      <c r="A635" s="39"/>
      <c r="E635" s="40" t="s">
        <v>11404</v>
      </c>
      <c r="F635" s="40"/>
      <c r="G635" s="40" t="s">
        <v>11404</v>
      </c>
    </row>
    <row r="636">
      <c r="A636" s="39"/>
      <c r="E636" s="40" t="s">
        <v>11404</v>
      </c>
      <c r="F636" s="40"/>
      <c r="G636" s="40" t="s">
        <v>11404</v>
      </c>
    </row>
    <row r="637">
      <c r="A637" s="39"/>
      <c r="E637" s="40" t="s">
        <v>11404</v>
      </c>
      <c r="F637" s="40"/>
      <c r="G637" s="40" t="s">
        <v>11404</v>
      </c>
    </row>
    <row r="638">
      <c r="A638" s="39"/>
      <c r="E638" s="40" t="s">
        <v>11404</v>
      </c>
      <c r="F638" s="40"/>
      <c r="G638" s="40" t="s">
        <v>11404</v>
      </c>
    </row>
    <row r="639">
      <c r="A639" s="39"/>
      <c r="E639" s="40" t="s">
        <v>11404</v>
      </c>
      <c r="F639" s="40"/>
      <c r="G639" s="40" t="s">
        <v>11404</v>
      </c>
    </row>
    <row r="640">
      <c r="A640" s="39"/>
      <c r="E640" s="40" t="s">
        <v>11404</v>
      </c>
      <c r="F640" s="40"/>
      <c r="G640" s="40" t="s">
        <v>11404</v>
      </c>
    </row>
    <row r="641">
      <c r="A641" s="39"/>
      <c r="E641" s="40" t="s">
        <v>11404</v>
      </c>
      <c r="F641" s="40"/>
      <c r="G641" s="40" t="s">
        <v>11404</v>
      </c>
    </row>
    <row r="642">
      <c r="A642" s="39"/>
      <c r="E642" s="40" t="s">
        <v>11404</v>
      </c>
      <c r="F642" s="40"/>
      <c r="G642" s="40" t="s">
        <v>11404</v>
      </c>
    </row>
    <row r="643">
      <c r="A643" s="39"/>
      <c r="E643" s="40" t="s">
        <v>11404</v>
      </c>
      <c r="F643" s="40"/>
      <c r="G643" s="40" t="s">
        <v>11404</v>
      </c>
    </row>
    <row r="644">
      <c r="A644" s="39"/>
      <c r="E644" s="40" t="s">
        <v>11404</v>
      </c>
      <c r="F644" s="40"/>
      <c r="G644" s="40" t="s">
        <v>11404</v>
      </c>
    </row>
    <row r="645">
      <c r="A645" s="39"/>
      <c r="E645" s="40" t="s">
        <v>11404</v>
      </c>
      <c r="F645" s="40"/>
      <c r="G645" s="40" t="s">
        <v>11404</v>
      </c>
    </row>
    <row r="646">
      <c r="A646" s="39"/>
      <c r="E646" s="40" t="s">
        <v>11404</v>
      </c>
      <c r="F646" s="40"/>
      <c r="G646" s="40" t="s">
        <v>11404</v>
      </c>
    </row>
    <row r="647">
      <c r="A647" s="39"/>
      <c r="E647" s="40" t="s">
        <v>11404</v>
      </c>
      <c r="F647" s="40"/>
      <c r="G647" s="40" t="s">
        <v>11404</v>
      </c>
    </row>
    <row r="648">
      <c r="A648" s="39"/>
      <c r="E648" s="40" t="s">
        <v>11404</v>
      </c>
      <c r="F648" s="40"/>
      <c r="G648" s="40" t="s">
        <v>11404</v>
      </c>
    </row>
    <row r="649">
      <c r="A649" s="39"/>
      <c r="E649" s="40" t="s">
        <v>11404</v>
      </c>
      <c r="F649" s="40"/>
      <c r="G649" s="40" t="s">
        <v>11404</v>
      </c>
    </row>
    <row r="650">
      <c r="A650" s="39"/>
      <c r="E650" s="40" t="s">
        <v>11404</v>
      </c>
      <c r="F650" s="40"/>
      <c r="G650" s="40" t="s">
        <v>11404</v>
      </c>
    </row>
    <row r="651">
      <c r="A651" s="39"/>
      <c r="E651" s="40" t="s">
        <v>11404</v>
      </c>
      <c r="F651" s="40"/>
      <c r="G651" s="40" t="s">
        <v>11404</v>
      </c>
    </row>
    <row r="652">
      <c r="A652" s="39"/>
      <c r="E652" s="40" t="s">
        <v>11404</v>
      </c>
      <c r="F652" s="40"/>
      <c r="G652" s="40" t="s">
        <v>11404</v>
      </c>
    </row>
    <row r="653">
      <c r="A653" s="39"/>
      <c r="E653" s="40" t="s">
        <v>11404</v>
      </c>
      <c r="F653" s="40"/>
      <c r="G653" s="40" t="s">
        <v>11404</v>
      </c>
    </row>
    <row r="654">
      <c r="A654" s="39"/>
      <c r="E654" s="40" t="s">
        <v>11404</v>
      </c>
      <c r="F654" s="40"/>
      <c r="G654" s="40" t="s">
        <v>11404</v>
      </c>
    </row>
    <row r="655">
      <c r="A655" s="39"/>
      <c r="E655" s="40" t="s">
        <v>11404</v>
      </c>
      <c r="F655" s="40"/>
      <c r="G655" s="40" t="s">
        <v>11404</v>
      </c>
    </row>
    <row r="656">
      <c r="A656" s="39"/>
      <c r="E656" s="40" t="s">
        <v>11404</v>
      </c>
      <c r="F656" s="40"/>
      <c r="G656" s="40" t="s">
        <v>11404</v>
      </c>
    </row>
    <row r="657">
      <c r="A657" s="39"/>
      <c r="E657" s="40" t="s">
        <v>11404</v>
      </c>
      <c r="F657" s="40"/>
      <c r="G657" s="40" t="s">
        <v>11404</v>
      </c>
    </row>
    <row r="658">
      <c r="A658" s="39"/>
      <c r="E658" s="40" t="s">
        <v>11404</v>
      </c>
      <c r="F658" s="40"/>
      <c r="G658" s="40" t="s">
        <v>11404</v>
      </c>
    </row>
    <row r="659">
      <c r="A659" s="39"/>
      <c r="E659" s="40" t="s">
        <v>11404</v>
      </c>
      <c r="F659" s="40"/>
      <c r="G659" s="40" t="s">
        <v>11404</v>
      </c>
    </row>
    <row r="660">
      <c r="A660" s="39"/>
      <c r="E660" s="40" t="s">
        <v>11404</v>
      </c>
      <c r="F660" s="40"/>
      <c r="G660" s="40" t="s">
        <v>11404</v>
      </c>
    </row>
    <row r="661">
      <c r="A661" s="39"/>
      <c r="E661" s="40" t="s">
        <v>11404</v>
      </c>
      <c r="F661" s="40"/>
      <c r="G661" s="40" t="s">
        <v>11404</v>
      </c>
    </row>
    <row r="662">
      <c r="A662" s="39"/>
      <c r="E662" s="40" t="s">
        <v>11404</v>
      </c>
      <c r="F662" s="40"/>
      <c r="G662" s="40" t="s">
        <v>11404</v>
      </c>
    </row>
    <row r="663">
      <c r="A663" s="39"/>
      <c r="E663" s="40" t="s">
        <v>11404</v>
      </c>
      <c r="F663" s="40"/>
      <c r="G663" s="40" t="s">
        <v>11404</v>
      </c>
    </row>
    <row r="664">
      <c r="A664" s="39"/>
      <c r="E664" s="40" t="s">
        <v>11404</v>
      </c>
      <c r="F664" s="40"/>
      <c r="G664" s="40" t="s">
        <v>11404</v>
      </c>
    </row>
    <row r="665">
      <c r="A665" s="39"/>
      <c r="E665" s="40" t="s">
        <v>11404</v>
      </c>
      <c r="F665" s="40"/>
      <c r="G665" s="40" t="s">
        <v>11404</v>
      </c>
    </row>
    <row r="666">
      <c r="A666" s="39"/>
      <c r="E666" s="40" t="s">
        <v>11404</v>
      </c>
      <c r="F666" s="40"/>
      <c r="G666" s="40" t="s">
        <v>11404</v>
      </c>
    </row>
    <row r="667">
      <c r="A667" s="39"/>
      <c r="E667" s="40" t="s">
        <v>11404</v>
      </c>
      <c r="F667" s="40"/>
      <c r="G667" s="40" t="s">
        <v>11404</v>
      </c>
    </row>
    <row r="668">
      <c r="A668" s="39"/>
      <c r="E668" s="40" t="s">
        <v>11404</v>
      </c>
      <c r="F668" s="40"/>
      <c r="G668" s="40" t="s">
        <v>11404</v>
      </c>
    </row>
    <row r="669">
      <c r="A669" s="39"/>
      <c r="E669" s="40" t="s">
        <v>11404</v>
      </c>
      <c r="F669" s="40"/>
      <c r="G669" s="40" t="s">
        <v>11404</v>
      </c>
    </row>
    <row r="670">
      <c r="A670" s="39"/>
      <c r="E670" s="40" t="s">
        <v>11404</v>
      </c>
      <c r="F670" s="40"/>
      <c r="G670" s="40" t="s">
        <v>11404</v>
      </c>
    </row>
    <row r="671">
      <c r="A671" s="39"/>
      <c r="E671" s="40" t="s">
        <v>11404</v>
      </c>
      <c r="F671" s="40"/>
      <c r="G671" s="40" t="s">
        <v>11404</v>
      </c>
    </row>
    <row r="672">
      <c r="A672" s="39"/>
      <c r="E672" s="40" t="s">
        <v>11404</v>
      </c>
      <c r="F672" s="40"/>
      <c r="G672" s="40" t="s">
        <v>11404</v>
      </c>
    </row>
    <row r="673">
      <c r="A673" s="39"/>
      <c r="E673" s="40" t="s">
        <v>11404</v>
      </c>
      <c r="F673" s="40"/>
      <c r="G673" s="40" t="s">
        <v>11404</v>
      </c>
    </row>
    <row r="674">
      <c r="A674" s="39"/>
      <c r="E674" s="40" t="s">
        <v>11404</v>
      </c>
      <c r="F674" s="40"/>
      <c r="G674" s="40" t="s">
        <v>11404</v>
      </c>
    </row>
    <row r="675">
      <c r="A675" s="39"/>
      <c r="E675" s="40" t="s">
        <v>11404</v>
      </c>
      <c r="F675" s="40"/>
      <c r="G675" s="40" t="s">
        <v>11404</v>
      </c>
    </row>
    <row r="676">
      <c r="A676" s="39"/>
      <c r="E676" s="40" t="s">
        <v>11404</v>
      </c>
      <c r="F676" s="40"/>
      <c r="G676" s="40" t="s">
        <v>11404</v>
      </c>
    </row>
    <row r="677">
      <c r="A677" s="39"/>
      <c r="E677" s="40" t="s">
        <v>11404</v>
      </c>
      <c r="F677" s="40"/>
      <c r="G677" s="40" t="s">
        <v>11404</v>
      </c>
    </row>
    <row r="678">
      <c r="A678" s="39"/>
      <c r="E678" s="40" t="s">
        <v>11404</v>
      </c>
      <c r="F678" s="40"/>
      <c r="G678" s="40" t="s">
        <v>11404</v>
      </c>
    </row>
    <row r="679">
      <c r="A679" s="39"/>
      <c r="E679" s="40" t="s">
        <v>11404</v>
      </c>
      <c r="F679" s="40"/>
      <c r="G679" s="40" t="s">
        <v>11404</v>
      </c>
    </row>
    <row r="680">
      <c r="A680" s="39"/>
      <c r="E680" s="40" t="s">
        <v>11404</v>
      </c>
      <c r="F680" s="40"/>
      <c r="G680" s="40" t="s">
        <v>11404</v>
      </c>
    </row>
    <row r="681">
      <c r="A681" s="39"/>
      <c r="E681" s="40" t="s">
        <v>11404</v>
      </c>
      <c r="F681" s="40"/>
      <c r="G681" s="40" t="s">
        <v>11404</v>
      </c>
    </row>
    <row r="682">
      <c r="A682" s="39"/>
      <c r="E682" s="40" t="s">
        <v>11404</v>
      </c>
      <c r="F682" s="40"/>
      <c r="G682" s="40" t="s">
        <v>11404</v>
      </c>
    </row>
    <row r="683">
      <c r="A683" s="39"/>
      <c r="E683" s="40" t="s">
        <v>11404</v>
      </c>
      <c r="F683" s="40"/>
      <c r="G683" s="40" t="s">
        <v>11404</v>
      </c>
    </row>
    <row r="684">
      <c r="A684" s="39"/>
      <c r="E684" s="40" t="s">
        <v>11404</v>
      </c>
      <c r="F684" s="40"/>
      <c r="G684" s="40" t="s">
        <v>11404</v>
      </c>
    </row>
    <row r="685">
      <c r="A685" s="39"/>
      <c r="E685" s="40" t="s">
        <v>11404</v>
      </c>
      <c r="F685" s="40"/>
      <c r="G685" s="40" t="s">
        <v>11404</v>
      </c>
    </row>
    <row r="686">
      <c r="A686" s="39"/>
      <c r="E686" s="40" t="s">
        <v>11404</v>
      </c>
      <c r="F686" s="40"/>
      <c r="G686" s="40" t="s">
        <v>11404</v>
      </c>
    </row>
    <row r="687">
      <c r="A687" s="39"/>
      <c r="E687" s="40" t="s">
        <v>11404</v>
      </c>
      <c r="F687" s="40"/>
      <c r="G687" s="40" t="s">
        <v>11404</v>
      </c>
    </row>
    <row r="688">
      <c r="A688" s="39"/>
      <c r="E688" s="40" t="s">
        <v>11404</v>
      </c>
      <c r="F688" s="40"/>
      <c r="G688" s="40" t="s">
        <v>11404</v>
      </c>
    </row>
    <row r="689">
      <c r="A689" s="39"/>
      <c r="E689" s="40" t="s">
        <v>11404</v>
      </c>
      <c r="F689" s="40"/>
      <c r="G689" s="40" t="s">
        <v>11404</v>
      </c>
    </row>
    <row r="690">
      <c r="A690" s="39"/>
      <c r="E690" s="40" t="s">
        <v>11404</v>
      </c>
      <c r="F690" s="40"/>
      <c r="G690" s="40" t="s">
        <v>11404</v>
      </c>
    </row>
    <row r="691">
      <c r="A691" s="39"/>
      <c r="E691" s="40" t="s">
        <v>11404</v>
      </c>
      <c r="F691" s="40"/>
      <c r="G691" s="40" t="s">
        <v>11404</v>
      </c>
    </row>
    <row r="692">
      <c r="A692" s="39"/>
      <c r="E692" s="40" t="s">
        <v>11404</v>
      </c>
      <c r="F692" s="40"/>
      <c r="G692" s="40" t="s">
        <v>11404</v>
      </c>
    </row>
    <row r="693">
      <c r="A693" s="39"/>
      <c r="E693" s="40" t="s">
        <v>11404</v>
      </c>
      <c r="F693" s="40"/>
      <c r="G693" s="40" t="s">
        <v>11404</v>
      </c>
    </row>
    <row r="694">
      <c r="A694" s="39"/>
      <c r="E694" s="40" t="s">
        <v>11404</v>
      </c>
      <c r="F694" s="40"/>
      <c r="G694" s="40" t="s">
        <v>11404</v>
      </c>
    </row>
    <row r="695">
      <c r="A695" s="39"/>
      <c r="E695" s="40" t="s">
        <v>11404</v>
      </c>
      <c r="F695" s="40"/>
      <c r="G695" s="40" t="s">
        <v>11404</v>
      </c>
    </row>
    <row r="696">
      <c r="A696" s="39"/>
      <c r="E696" s="40" t="s">
        <v>11404</v>
      </c>
      <c r="F696" s="40"/>
      <c r="G696" s="40" t="s">
        <v>11404</v>
      </c>
    </row>
    <row r="697">
      <c r="A697" s="39"/>
      <c r="E697" s="40" t="s">
        <v>11404</v>
      </c>
      <c r="F697" s="40"/>
      <c r="G697" s="40" t="s">
        <v>11404</v>
      </c>
    </row>
    <row r="698">
      <c r="A698" s="39"/>
      <c r="E698" s="40" t="s">
        <v>11404</v>
      </c>
      <c r="F698" s="40"/>
      <c r="G698" s="40" t="s">
        <v>11404</v>
      </c>
    </row>
    <row r="699">
      <c r="A699" s="39"/>
      <c r="E699" s="40" t="s">
        <v>11404</v>
      </c>
      <c r="F699" s="40"/>
      <c r="G699" s="40" t="s">
        <v>11404</v>
      </c>
    </row>
    <row r="700">
      <c r="A700" s="39"/>
      <c r="E700" s="40" t="s">
        <v>11404</v>
      </c>
      <c r="F700" s="40"/>
      <c r="G700" s="40" t="s">
        <v>11404</v>
      </c>
    </row>
    <row r="701">
      <c r="A701" s="39"/>
      <c r="E701" s="40" t="s">
        <v>11404</v>
      </c>
      <c r="F701" s="40"/>
      <c r="G701" s="40" t="s">
        <v>11404</v>
      </c>
    </row>
    <row r="702">
      <c r="A702" s="39"/>
      <c r="E702" s="40" t="s">
        <v>11404</v>
      </c>
      <c r="F702" s="40"/>
      <c r="G702" s="40" t="s">
        <v>11404</v>
      </c>
    </row>
    <row r="703">
      <c r="A703" s="39"/>
      <c r="E703" s="40" t="s">
        <v>11404</v>
      </c>
      <c r="F703" s="40"/>
      <c r="G703" s="40" t="s">
        <v>11404</v>
      </c>
    </row>
    <row r="704">
      <c r="A704" s="39"/>
      <c r="E704" s="40" t="s">
        <v>11404</v>
      </c>
      <c r="F704" s="40"/>
      <c r="G704" s="40" t="s">
        <v>11404</v>
      </c>
    </row>
    <row r="705">
      <c r="A705" s="39"/>
      <c r="E705" s="40" t="s">
        <v>11404</v>
      </c>
      <c r="F705" s="40"/>
      <c r="G705" s="40" t="s">
        <v>11404</v>
      </c>
    </row>
    <row r="706">
      <c r="A706" s="39"/>
      <c r="E706" s="40" t="s">
        <v>11404</v>
      </c>
      <c r="F706" s="40"/>
      <c r="G706" s="40" t="s">
        <v>11404</v>
      </c>
    </row>
    <row r="707">
      <c r="A707" s="39"/>
      <c r="E707" s="40" t="s">
        <v>11404</v>
      </c>
      <c r="F707" s="40"/>
      <c r="G707" s="40" t="s">
        <v>11404</v>
      </c>
    </row>
    <row r="708">
      <c r="A708" s="39"/>
      <c r="E708" s="40" t="s">
        <v>11404</v>
      </c>
      <c r="F708" s="40"/>
      <c r="G708" s="40" t="s">
        <v>11404</v>
      </c>
    </row>
    <row r="709">
      <c r="A709" s="39"/>
      <c r="E709" s="40" t="s">
        <v>11404</v>
      </c>
      <c r="F709" s="40"/>
      <c r="G709" s="40" t="s">
        <v>11404</v>
      </c>
    </row>
    <row r="710">
      <c r="A710" s="39"/>
      <c r="E710" s="40" t="s">
        <v>11404</v>
      </c>
      <c r="F710" s="40"/>
      <c r="G710" s="40" t="s">
        <v>11404</v>
      </c>
    </row>
    <row r="711">
      <c r="A711" s="39"/>
      <c r="E711" s="40" t="s">
        <v>11404</v>
      </c>
      <c r="F711" s="40"/>
      <c r="G711" s="40" t="s">
        <v>11404</v>
      </c>
    </row>
    <row r="712">
      <c r="A712" s="39"/>
      <c r="E712" s="40" t="s">
        <v>11404</v>
      </c>
      <c r="F712" s="40"/>
      <c r="G712" s="40" t="s">
        <v>11404</v>
      </c>
    </row>
    <row r="713">
      <c r="A713" s="39"/>
      <c r="E713" s="40" t="s">
        <v>11404</v>
      </c>
      <c r="F713" s="40"/>
      <c r="G713" s="40" t="s">
        <v>11404</v>
      </c>
    </row>
    <row r="714">
      <c r="A714" s="39"/>
      <c r="E714" s="40" t="s">
        <v>11404</v>
      </c>
      <c r="F714" s="40"/>
      <c r="G714" s="40" t="s">
        <v>11404</v>
      </c>
    </row>
    <row r="715">
      <c r="A715" s="39"/>
      <c r="E715" s="40" t="s">
        <v>11404</v>
      </c>
      <c r="F715" s="40"/>
      <c r="G715" s="40" t="s">
        <v>11404</v>
      </c>
    </row>
    <row r="716">
      <c r="A716" s="39"/>
      <c r="E716" s="40" t="s">
        <v>11404</v>
      </c>
      <c r="F716" s="40"/>
      <c r="G716" s="40" t="s">
        <v>11404</v>
      </c>
    </row>
    <row r="717">
      <c r="A717" s="39"/>
      <c r="E717" s="40" t="s">
        <v>11404</v>
      </c>
      <c r="F717" s="40"/>
      <c r="G717" s="40" t="s">
        <v>11404</v>
      </c>
    </row>
    <row r="718">
      <c r="A718" s="39"/>
      <c r="E718" s="40" t="s">
        <v>11404</v>
      </c>
      <c r="F718" s="40"/>
      <c r="G718" s="40" t="s">
        <v>11404</v>
      </c>
    </row>
    <row r="719">
      <c r="A719" s="39"/>
      <c r="E719" s="40" t="s">
        <v>11404</v>
      </c>
      <c r="F719" s="40"/>
      <c r="G719" s="40" t="s">
        <v>11404</v>
      </c>
    </row>
    <row r="720">
      <c r="A720" s="39"/>
      <c r="E720" s="40" t="s">
        <v>11404</v>
      </c>
      <c r="F720" s="40"/>
      <c r="G720" s="40" t="s">
        <v>11404</v>
      </c>
    </row>
    <row r="721">
      <c r="A721" s="39"/>
      <c r="E721" s="40" t="s">
        <v>11404</v>
      </c>
      <c r="F721" s="40"/>
      <c r="G721" s="40" t="s">
        <v>11404</v>
      </c>
    </row>
    <row r="722">
      <c r="A722" s="39"/>
      <c r="E722" s="40" t="s">
        <v>11404</v>
      </c>
      <c r="F722" s="40"/>
      <c r="G722" s="40" t="s">
        <v>11404</v>
      </c>
    </row>
    <row r="723">
      <c r="A723" s="39"/>
      <c r="E723" s="40" t="s">
        <v>11404</v>
      </c>
      <c r="F723" s="40"/>
      <c r="G723" s="40" t="s">
        <v>11404</v>
      </c>
    </row>
    <row r="724">
      <c r="A724" s="39"/>
      <c r="E724" s="40" t="s">
        <v>11404</v>
      </c>
      <c r="F724" s="40"/>
      <c r="G724" s="40" t="s">
        <v>11404</v>
      </c>
    </row>
    <row r="725">
      <c r="A725" s="39"/>
      <c r="E725" s="40" t="s">
        <v>11404</v>
      </c>
      <c r="F725" s="40"/>
      <c r="G725" s="40" t="s">
        <v>11404</v>
      </c>
    </row>
    <row r="726">
      <c r="A726" s="39"/>
      <c r="E726" s="40" t="s">
        <v>11404</v>
      </c>
      <c r="F726" s="40"/>
      <c r="G726" s="40" t="s">
        <v>11404</v>
      </c>
    </row>
    <row r="727">
      <c r="A727" s="39"/>
      <c r="E727" s="40" t="s">
        <v>11404</v>
      </c>
      <c r="F727" s="40"/>
      <c r="G727" s="40" t="s">
        <v>11404</v>
      </c>
    </row>
    <row r="728">
      <c r="A728" s="39"/>
      <c r="E728" s="40" t="s">
        <v>11404</v>
      </c>
      <c r="F728" s="40"/>
      <c r="G728" s="40" t="s">
        <v>11404</v>
      </c>
    </row>
    <row r="729">
      <c r="A729" s="39"/>
      <c r="E729" s="40" t="s">
        <v>11404</v>
      </c>
      <c r="F729" s="40"/>
      <c r="G729" s="40" t="s">
        <v>11404</v>
      </c>
    </row>
    <row r="730">
      <c r="A730" s="39"/>
      <c r="E730" s="40" t="s">
        <v>11404</v>
      </c>
      <c r="F730" s="40"/>
      <c r="G730" s="40" t="s">
        <v>11404</v>
      </c>
    </row>
    <row r="731">
      <c r="A731" s="39"/>
      <c r="E731" s="40" t="s">
        <v>11404</v>
      </c>
      <c r="F731" s="40"/>
      <c r="G731" s="40" t="s">
        <v>11404</v>
      </c>
    </row>
    <row r="732">
      <c r="A732" s="39"/>
      <c r="E732" s="40" t="s">
        <v>11404</v>
      </c>
      <c r="F732" s="40"/>
      <c r="G732" s="40" t="s">
        <v>11404</v>
      </c>
    </row>
    <row r="733">
      <c r="A733" s="39"/>
      <c r="E733" s="40" t="s">
        <v>11404</v>
      </c>
      <c r="F733" s="40"/>
      <c r="G733" s="40" t="s">
        <v>11404</v>
      </c>
    </row>
    <row r="734">
      <c r="A734" s="39"/>
      <c r="E734" s="40" t="s">
        <v>11404</v>
      </c>
      <c r="F734" s="40"/>
      <c r="G734" s="40" t="s">
        <v>11404</v>
      </c>
    </row>
    <row r="735">
      <c r="A735" s="39"/>
      <c r="E735" s="40" t="s">
        <v>11404</v>
      </c>
      <c r="F735" s="40"/>
      <c r="G735" s="40" t="s">
        <v>11404</v>
      </c>
    </row>
    <row r="736">
      <c r="A736" s="39"/>
      <c r="E736" s="40" t="s">
        <v>11404</v>
      </c>
      <c r="F736" s="40"/>
      <c r="G736" s="40" t="s">
        <v>11404</v>
      </c>
    </row>
    <row r="737">
      <c r="A737" s="39"/>
      <c r="E737" s="40" t="s">
        <v>11404</v>
      </c>
      <c r="F737" s="40"/>
      <c r="G737" s="40" t="s">
        <v>11404</v>
      </c>
    </row>
    <row r="738">
      <c r="A738" s="39"/>
      <c r="E738" s="40" t="s">
        <v>11404</v>
      </c>
      <c r="F738" s="40"/>
      <c r="G738" s="40" t="s">
        <v>11404</v>
      </c>
    </row>
    <row r="739">
      <c r="A739" s="39"/>
      <c r="E739" s="40" t="s">
        <v>11404</v>
      </c>
      <c r="F739" s="40"/>
      <c r="G739" s="40" t="s">
        <v>11404</v>
      </c>
    </row>
    <row r="740">
      <c r="A740" s="39"/>
      <c r="E740" s="40" t="s">
        <v>11404</v>
      </c>
      <c r="F740" s="40"/>
      <c r="G740" s="40" t="s">
        <v>11404</v>
      </c>
    </row>
    <row r="741">
      <c r="A741" s="39"/>
      <c r="E741" s="40" t="s">
        <v>11404</v>
      </c>
      <c r="F741" s="40"/>
      <c r="G741" s="40" t="s">
        <v>11404</v>
      </c>
    </row>
    <row r="742">
      <c r="A742" s="39"/>
      <c r="E742" s="40" t="s">
        <v>11404</v>
      </c>
      <c r="F742" s="40"/>
      <c r="G742" s="40" t="s">
        <v>11404</v>
      </c>
    </row>
    <row r="743">
      <c r="A743" s="39"/>
      <c r="E743" s="40" t="s">
        <v>11404</v>
      </c>
      <c r="F743" s="40"/>
      <c r="G743" s="40" t="s">
        <v>11404</v>
      </c>
    </row>
    <row r="744">
      <c r="A744" s="39"/>
      <c r="E744" s="40" t="s">
        <v>11404</v>
      </c>
      <c r="F744" s="40"/>
      <c r="G744" s="40" t="s">
        <v>11404</v>
      </c>
    </row>
    <row r="745">
      <c r="A745" s="39"/>
      <c r="E745" s="40" t="s">
        <v>11404</v>
      </c>
      <c r="F745" s="40"/>
      <c r="G745" s="40" t="s">
        <v>11404</v>
      </c>
    </row>
    <row r="746">
      <c r="A746" s="39"/>
      <c r="E746" s="40" t="s">
        <v>11404</v>
      </c>
      <c r="F746" s="40"/>
      <c r="G746" s="40" t="s">
        <v>11404</v>
      </c>
    </row>
    <row r="747">
      <c r="A747" s="39"/>
      <c r="E747" s="40" t="s">
        <v>11404</v>
      </c>
      <c r="F747" s="40"/>
      <c r="G747" s="40" t="s">
        <v>11404</v>
      </c>
    </row>
    <row r="748">
      <c r="A748" s="39"/>
      <c r="E748" s="40" t="s">
        <v>11404</v>
      </c>
      <c r="F748" s="40"/>
      <c r="G748" s="40" t="s">
        <v>11404</v>
      </c>
    </row>
    <row r="749">
      <c r="A749" s="39"/>
      <c r="E749" s="40" t="s">
        <v>11404</v>
      </c>
      <c r="F749" s="40"/>
      <c r="G749" s="40" t="s">
        <v>11404</v>
      </c>
    </row>
    <row r="750">
      <c r="A750" s="39"/>
      <c r="E750" s="40" t="s">
        <v>11404</v>
      </c>
      <c r="F750" s="40"/>
      <c r="G750" s="40" t="s">
        <v>11404</v>
      </c>
    </row>
    <row r="751">
      <c r="A751" s="39"/>
      <c r="E751" s="40" t="s">
        <v>11404</v>
      </c>
      <c r="F751" s="40"/>
      <c r="G751" s="40" t="s">
        <v>11404</v>
      </c>
    </row>
    <row r="752">
      <c r="A752" s="39"/>
      <c r="E752" s="40" t="s">
        <v>11404</v>
      </c>
      <c r="F752" s="40"/>
      <c r="G752" s="40" t="s">
        <v>11404</v>
      </c>
    </row>
    <row r="753">
      <c r="A753" s="39"/>
      <c r="E753" s="40" t="s">
        <v>11404</v>
      </c>
      <c r="F753" s="40"/>
      <c r="G753" s="40" t="s">
        <v>11404</v>
      </c>
    </row>
    <row r="754">
      <c r="A754" s="39"/>
      <c r="E754" s="40" t="s">
        <v>11404</v>
      </c>
      <c r="F754" s="40"/>
      <c r="G754" s="40" t="s">
        <v>11404</v>
      </c>
    </row>
    <row r="755">
      <c r="A755" s="39"/>
      <c r="E755" s="40" t="s">
        <v>11404</v>
      </c>
      <c r="F755" s="40"/>
      <c r="G755" s="40" t="s">
        <v>11404</v>
      </c>
    </row>
    <row r="756">
      <c r="A756" s="39"/>
      <c r="E756" s="40" t="s">
        <v>11404</v>
      </c>
      <c r="F756" s="40"/>
      <c r="G756" s="40" t="s">
        <v>11404</v>
      </c>
    </row>
    <row r="757">
      <c r="A757" s="39"/>
      <c r="E757" s="40" t="s">
        <v>11404</v>
      </c>
      <c r="F757" s="40"/>
      <c r="G757" s="40" t="s">
        <v>11404</v>
      </c>
    </row>
    <row r="758">
      <c r="A758" s="39"/>
      <c r="E758" s="40" t="s">
        <v>11404</v>
      </c>
      <c r="F758" s="40"/>
      <c r="G758" s="40" t="s">
        <v>11404</v>
      </c>
    </row>
    <row r="759">
      <c r="A759" s="39"/>
      <c r="E759" s="40" t="s">
        <v>11404</v>
      </c>
      <c r="F759" s="40"/>
      <c r="G759" s="40" t="s">
        <v>11404</v>
      </c>
    </row>
    <row r="760">
      <c r="A760" s="39"/>
      <c r="E760" s="40" t="s">
        <v>11404</v>
      </c>
      <c r="F760" s="40"/>
      <c r="G760" s="40" t="s">
        <v>11404</v>
      </c>
    </row>
    <row r="761">
      <c r="A761" s="39"/>
      <c r="E761" s="40" t="s">
        <v>11404</v>
      </c>
      <c r="F761" s="40"/>
      <c r="G761" s="40" t="s">
        <v>11404</v>
      </c>
    </row>
    <row r="762">
      <c r="A762" s="39"/>
      <c r="E762" s="40" t="s">
        <v>11404</v>
      </c>
      <c r="F762" s="40"/>
      <c r="G762" s="40" t="s">
        <v>11404</v>
      </c>
    </row>
    <row r="763">
      <c r="A763" s="39"/>
      <c r="E763" s="40" t="s">
        <v>11404</v>
      </c>
      <c r="F763" s="40"/>
      <c r="G763" s="40" t="s">
        <v>11404</v>
      </c>
    </row>
    <row r="764">
      <c r="A764" s="39"/>
      <c r="E764" s="40" t="s">
        <v>11404</v>
      </c>
      <c r="F764" s="40"/>
      <c r="G764" s="40" t="s">
        <v>11404</v>
      </c>
    </row>
    <row r="765">
      <c r="A765" s="39"/>
      <c r="E765" s="40" t="s">
        <v>11404</v>
      </c>
      <c r="F765" s="40"/>
      <c r="G765" s="40" t="s">
        <v>11404</v>
      </c>
    </row>
    <row r="766">
      <c r="A766" s="39"/>
      <c r="E766" s="40" t="s">
        <v>11404</v>
      </c>
      <c r="F766" s="40"/>
      <c r="G766" s="40" t="s">
        <v>11404</v>
      </c>
    </row>
    <row r="767">
      <c r="A767" s="39"/>
      <c r="E767" s="40" t="s">
        <v>11404</v>
      </c>
      <c r="F767" s="40"/>
      <c r="G767" s="40" t="s">
        <v>11404</v>
      </c>
    </row>
    <row r="768">
      <c r="A768" s="39"/>
      <c r="E768" s="40" t="s">
        <v>11404</v>
      </c>
      <c r="F768" s="40"/>
      <c r="G768" s="40" t="s">
        <v>11404</v>
      </c>
    </row>
    <row r="769">
      <c r="A769" s="39"/>
      <c r="E769" s="40" t="s">
        <v>11404</v>
      </c>
      <c r="F769" s="40"/>
      <c r="G769" s="40" t="s">
        <v>11404</v>
      </c>
    </row>
    <row r="770">
      <c r="A770" s="39"/>
      <c r="E770" s="40" t="s">
        <v>11404</v>
      </c>
      <c r="F770" s="40"/>
      <c r="G770" s="40" t="s">
        <v>11404</v>
      </c>
    </row>
    <row r="771">
      <c r="A771" s="39"/>
      <c r="E771" s="40" t="s">
        <v>11404</v>
      </c>
      <c r="F771" s="40"/>
      <c r="G771" s="40" t="s">
        <v>11404</v>
      </c>
    </row>
    <row r="772">
      <c r="A772" s="39"/>
      <c r="E772" s="40" t="s">
        <v>11404</v>
      </c>
      <c r="F772" s="40"/>
      <c r="G772" s="40" t="s">
        <v>11404</v>
      </c>
    </row>
    <row r="773">
      <c r="A773" s="39"/>
      <c r="E773" s="40" t="s">
        <v>11404</v>
      </c>
      <c r="F773" s="40"/>
      <c r="G773" s="40" t="s">
        <v>11404</v>
      </c>
    </row>
    <row r="774">
      <c r="A774" s="39"/>
      <c r="E774" s="40" t="s">
        <v>11404</v>
      </c>
      <c r="F774" s="40"/>
      <c r="G774" s="40" t="s">
        <v>11404</v>
      </c>
    </row>
    <row r="775">
      <c r="A775" s="39"/>
      <c r="E775" s="40" t="s">
        <v>11404</v>
      </c>
      <c r="F775" s="40"/>
      <c r="G775" s="40" t="s">
        <v>11404</v>
      </c>
    </row>
    <row r="776">
      <c r="A776" s="39"/>
      <c r="E776" s="40" t="s">
        <v>11404</v>
      </c>
      <c r="F776" s="40"/>
      <c r="G776" s="40" t="s">
        <v>11404</v>
      </c>
    </row>
    <row r="777">
      <c r="A777" s="39"/>
      <c r="E777" s="40" t="s">
        <v>11404</v>
      </c>
      <c r="F777" s="40"/>
      <c r="G777" s="40" t="s">
        <v>11404</v>
      </c>
    </row>
    <row r="778">
      <c r="A778" s="39"/>
      <c r="E778" s="40" t="s">
        <v>11404</v>
      </c>
      <c r="F778" s="40"/>
      <c r="G778" s="40" t="s">
        <v>11404</v>
      </c>
    </row>
    <row r="779">
      <c r="A779" s="39"/>
      <c r="E779" s="40" t="s">
        <v>11404</v>
      </c>
      <c r="F779" s="40"/>
      <c r="G779" s="40" t="s">
        <v>11404</v>
      </c>
    </row>
    <row r="780">
      <c r="A780" s="39"/>
      <c r="E780" s="40" t="s">
        <v>11404</v>
      </c>
      <c r="F780" s="40"/>
      <c r="G780" s="40" t="s">
        <v>11404</v>
      </c>
    </row>
    <row r="781">
      <c r="A781" s="39"/>
      <c r="E781" s="40" t="s">
        <v>11404</v>
      </c>
      <c r="F781" s="40"/>
      <c r="G781" s="40" t="s">
        <v>11404</v>
      </c>
    </row>
    <row r="782">
      <c r="A782" s="39"/>
      <c r="E782" s="40" t="s">
        <v>11404</v>
      </c>
      <c r="F782" s="40"/>
      <c r="G782" s="40" t="s">
        <v>11404</v>
      </c>
    </row>
    <row r="783">
      <c r="A783" s="39"/>
      <c r="E783" s="40" t="s">
        <v>11404</v>
      </c>
      <c r="F783" s="40"/>
      <c r="G783" s="40" t="s">
        <v>11404</v>
      </c>
    </row>
    <row r="784">
      <c r="A784" s="39"/>
      <c r="E784" s="40" t="s">
        <v>11404</v>
      </c>
      <c r="F784" s="40"/>
      <c r="G784" s="40" t="s">
        <v>11404</v>
      </c>
    </row>
    <row r="785">
      <c r="A785" s="39"/>
      <c r="E785" s="40" t="s">
        <v>11404</v>
      </c>
      <c r="F785" s="40"/>
      <c r="G785" s="40" t="s">
        <v>11404</v>
      </c>
    </row>
    <row r="786">
      <c r="A786" s="39"/>
      <c r="E786" s="40" t="s">
        <v>11404</v>
      </c>
      <c r="F786" s="40"/>
      <c r="G786" s="40" t="s">
        <v>11404</v>
      </c>
    </row>
    <row r="787">
      <c r="A787" s="39"/>
      <c r="E787" s="40" t="s">
        <v>11404</v>
      </c>
      <c r="F787" s="40"/>
      <c r="G787" s="40" t="s">
        <v>11404</v>
      </c>
    </row>
    <row r="788">
      <c r="A788" s="39"/>
      <c r="E788" s="40" t="s">
        <v>11404</v>
      </c>
      <c r="F788" s="40"/>
      <c r="G788" s="40" t="s">
        <v>11404</v>
      </c>
    </row>
    <row r="789">
      <c r="A789" s="39"/>
      <c r="E789" s="40" t="s">
        <v>11404</v>
      </c>
      <c r="F789" s="40"/>
      <c r="G789" s="40" t="s">
        <v>11404</v>
      </c>
    </row>
    <row r="790">
      <c r="A790" s="39"/>
      <c r="E790" s="40" t="s">
        <v>11404</v>
      </c>
      <c r="F790" s="40"/>
      <c r="G790" s="40" t="s">
        <v>11404</v>
      </c>
    </row>
    <row r="791">
      <c r="A791" s="39"/>
      <c r="E791" s="40" t="s">
        <v>11404</v>
      </c>
      <c r="F791" s="40"/>
      <c r="G791" s="40" t="s">
        <v>11404</v>
      </c>
    </row>
    <row r="792">
      <c r="A792" s="39"/>
      <c r="E792" s="40" t="s">
        <v>11404</v>
      </c>
      <c r="F792" s="40"/>
      <c r="G792" s="40" t="s">
        <v>11404</v>
      </c>
    </row>
    <row r="793">
      <c r="A793" s="39"/>
      <c r="E793" s="40" t="s">
        <v>11404</v>
      </c>
      <c r="F793" s="40"/>
      <c r="G793" s="40" t="s">
        <v>11404</v>
      </c>
    </row>
    <row r="794">
      <c r="A794" s="39"/>
      <c r="E794" s="40" t="s">
        <v>11404</v>
      </c>
      <c r="F794" s="40"/>
      <c r="G794" s="40" t="s">
        <v>11404</v>
      </c>
    </row>
    <row r="795">
      <c r="A795" s="39"/>
      <c r="E795" s="40" t="s">
        <v>11404</v>
      </c>
      <c r="F795" s="40"/>
      <c r="G795" s="40" t="s">
        <v>11404</v>
      </c>
    </row>
    <row r="796">
      <c r="A796" s="39"/>
      <c r="E796" s="40" t="s">
        <v>11404</v>
      </c>
      <c r="F796" s="40"/>
      <c r="G796" s="40" t="s">
        <v>11404</v>
      </c>
    </row>
    <row r="797">
      <c r="A797" s="39"/>
      <c r="E797" s="40" t="s">
        <v>11404</v>
      </c>
      <c r="F797" s="40"/>
      <c r="G797" s="40" t="s">
        <v>11404</v>
      </c>
    </row>
    <row r="798">
      <c r="A798" s="39"/>
      <c r="E798" s="40" t="s">
        <v>11404</v>
      </c>
      <c r="F798" s="40"/>
      <c r="G798" s="40" t="s">
        <v>11404</v>
      </c>
    </row>
    <row r="799">
      <c r="A799" s="39"/>
      <c r="E799" s="40" t="s">
        <v>11404</v>
      </c>
      <c r="F799" s="40"/>
      <c r="G799" s="40" t="s">
        <v>11404</v>
      </c>
    </row>
    <row r="800">
      <c r="A800" s="39"/>
      <c r="E800" s="40" t="s">
        <v>11404</v>
      </c>
      <c r="F800" s="40"/>
      <c r="G800" s="40" t="s">
        <v>11404</v>
      </c>
    </row>
    <row r="801">
      <c r="A801" s="39"/>
      <c r="E801" s="40" t="s">
        <v>11404</v>
      </c>
      <c r="F801" s="40"/>
      <c r="G801" s="40" t="s">
        <v>11404</v>
      </c>
    </row>
    <row r="802">
      <c r="A802" s="39"/>
      <c r="E802" s="40" t="s">
        <v>11404</v>
      </c>
      <c r="F802" s="40"/>
      <c r="G802" s="40" t="s">
        <v>11404</v>
      </c>
    </row>
    <row r="803">
      <c r="A803" s="39"/>
      <c r="E803" s="40" t="s">
        <v>11404</v>
      </c>
      <c r="F803" s="40"/>
      <c r="G803" s="40" t="s">
        <v>11404</v>
      </c>
    </row>
    <row r="804">
      <c r="A804" s="39"/>
      <c r="E804" s="40" t="s">
        <v>11404</v>
      </c>
      <c r="F804" s="40"/>
      <c r="G804" s="40" t="s">
        <v>11404</v>
      </c>
    </row>
    <row r="805">
      <c r="A805" s="39"/>
      <c r="E805" s="40" t="s">
        <v>11404</v>
      </c>
      <c r="F805" s="40"/>
      <c r="G805" s="40" t="s">
        <v>11404</v>
      </c>
    </row>
    <row r="806">
      <c r="A806" s="39"/>
      <c r="E806" s="40" t="s">
        <v>11404</v>
      </c>
      <c r="F806" s="40"/>
      <c r="G806" s="40" t="s">
        <v>11404</v>
      </c>
    </row>
    <row r="807">
      <c r="A807" s="39"/>
      <c r="E807" s="40" t="s">
        <v>11404</v>
      </c>
      <c r="F807" s="40"/>
      <c r="G807" s="40" t="s">
        <v>11404</v>
      </c>
    </row>
    <row r="808">
      <c r="A808" s="39"/>
      <c r="E808" s="40" t="s">
        <v>11404</v>
      </c>
      <c r="F808" s="40"/>
      <c r="G808" s="40" t="s">
        <v>11404</v>
      </c>
    </row>
    <row r="809">
      <c r="A809" s="39"/>
      <c r="E809" s="40" t="s">
        <v>11404</v>
      </c>
      <c r="F809" s="40"/>
      <c r="G809" s="40" t="s">
        <v>11404</v>
      </c>
    </row>
    <row r="810">
      <c r="A810" s="39"/>
      <c r="E810" s="40" t="s">
        <v>11404</v>
      </c>
      <c r="F810" s="40"/>
      <c r="G810" s="40" t="s">
        <v>11404</v>
      </c>
    </row>
    <row r="811">
      <c r="A811" s="39"/>
      <c r="E811" s="40" t="s">
        <v>11404</v>
      </c>
      <c r="F811" s="40"/>
      <c r="G811" s="40" t="s">
        <v>11404</v>
      </c>
    </row>
    <row r="812">
      <c r="A812" s="39"/>
      <c r="E812" s="40" t="s">
        <v>11404</v>
      </c>
      <c r="F812" s="40"/>
      <c r="G812" s="40" t="s">
        <v>11404</v>
      </c>
    </row>
    <row r="813">
      <c r="A813" s="39"/>
      <c r="E813" s="40" t="s">
        <v>11404</v>
      </c>
      <c r="F813" s="40"/>
      <c r="G813" s="40" t="s">
        <v>11404</v>
      </c>
    </row>
    <row r="814">
      <c r="A814" s="39"/>
      <c r="E814" s="40" t="s">
        <v>11404</v>
      </c>
      <c r="F814" s="40"/>
      <c r="G814" s="40" t="s">
        <v>11404</v>
      </c>
    </row>
    <row r="815">
      <c r="A815" s="39"/>
      <c r="E815" s="40" t="s">
        <v>11404</v>
      </c>
      <c r="F815" s="40"/>
      <c r="G815" s="40" t="s">
        <v>11404</v>
      </c>
    </row>
    <row r="816">
      <c r="A816" s="39"/>
      <c r="E816" s="40" t="s">
        <v>11404</v>
      </c>
      <c r="F816" s="40"/>
      <c r="G816" s="40" t="s">
        <v>11404</v>
      </c>
    </row>
    <row r="817">
      <c r="A817" s="39"/>
      <c r="E817" s="40" t="s">
        <v>11404</v>
      </c>
      <c r="F817" s="40"/>
      <c r="G817" s="40" t="s">
        <v>11404</v>
      </c>
    </row>
    <row r="818">
      <c r="A818" s="39"/>
      <c r="E818" s="40" t="s">
        <v>11404</v>
      </c>
      <c r="F818" s="40"/>
      <c r="G818" s="40" t="s">
        <v>11404</v>
      </c>
    </row>
    <row r="819">
      <c r="A819" s="39"/>
      <c r="E819" s="40" t="s">
        <v>11404</v>
      </c>
      <c r="F819" s="40"/>
      <c r="G819" s="40" t="s">
        <v>11404</v>
      </c>
    </row>
    <row r="820">
      <c r="A820" s="39"/>
      <c r="E820" s="40" t="s">
        <v>11404</v>
      </c>
      <c r="F820" s="40"/>
      <c r="G820" s="40" t="s">
        <v>11404</v>
      </c>
    </row>
    <row r="821">
      <c r="A821" s="39"/>
      <c r="E821" s="40" t="s">
        <v>11404</v>
      </c>
      <c r="F821" s="40"/>
      <c r="G821" s="40" t="s">
        <v>11404</v>
      </c>
    </row>
    <row r="822">
      <c r="A822" s="39"/>
      <c r="E822" s="40" t="s">
        <v>11404</v>
      </c>
      <c r="F822" s="40"/>
      <c r="G822" s="40" t="s">
        <v>11404</v>
      </c>
    </row>
    <row r="823">
      <c r="A823" s="39"/>
      <c r="E823" s="40" t="s">
        <v>11404</v>
      </c>
      <c r="F823" s="40"/>
      <c r="G823" s="40" t="s">
        <v>11404</v>
      </c>
    </row>
    <row r="824">
      <c r="A824" s="39"/>
      <c r="E824" s="40" t="s">
        <v>11404</v>
      </c>
      <c r="F824" s="40"/>
      <c r="G824" s="40" t="s">
        <v>11404</v>
      </c>
    </row>
    <row r="825">
      <c r="A825" s="39"/>
      <c r="E825" s="40" t="s">
        <v>11404</v>
      </c>
      <c r="F825" s="40"/>
      <c r="G825" s="40" t="s">
        <v>11404</v>
      </c>
    </row>
    <row r="826">
      <c r="A826" s="39"/>
      <c r="E826" s="40" t="s">
        <v>11404</v>
      </c>
      <c r="F826" s="40"/>
      <c r="G826" s="40" t="s">
        <v>11404</v>
      </c>
    </row>
    <row r="827">
      <c r="A827" s="39"/>
      <c r="E827" s="40" t="s">
        <v>11404</v>
      </c>
      <c r="F827" s="40"/>
      <c r="G827" s="40" t="s">
        <v>11404</v>
      </c>
    </row>
    <row r="828">
      <c r="A828" s="39"/>
      <c r="E828" s="40" t="s">
        <v>11404</v>
      </c>
      <c r="F828" s="40"/>
      <c r="G828" s="40" t="s">
        <v>11404</v>
      </c>
    </row>
    <row r="829">
      <c r="A829" s="39"/>
      <c r="E829" s="40" t="s">
        <v>11404</v>
      </c>
      <c r="F829" s="40"/>
      <c r="G829" s="40" t="s">
        <v>11404</v>
      </c>
    </row>
    <row r="830">
      <c r="A830" s="39"/>
      <c r="E830" s="40" t="s">
        <v>11404</v>
      </c>
      <c r="F830" s="40"/>
      <c r="G830" s="40" t="s">
        <v>11404</v>
      </c>
    </row>
    <row r="831">
      <c r="A831" s="39"/>
      <c r="E831" s="40" t="s">
        <v>11404</v>
      </c>
      <c r="F831" s="40"/>
      <c r="G831" s="40" t="s">
        <v>11404</v>
      </c>
    </row>
    <row r="832">
      <c r="A832" s="39"/>
      <c r="E832" s="40" t="s">
        <v>11404</v>
      </c>
      <c r="F832" s="40"/>
      <c r="G832" s="40" t="s">
        <v>11404</v>
      </c>
    </row>
    <row r="833">
      <c r="A833" s="39"/>
      <c r="E833" s="40" t="s">
        <v>11404</v>
      </c>
      <c r="F833" s="40"/>
      <c r="G833" s="40" t="s">
        <v>11404</v>
      </c>
    </row>
    <row r="834">
      <c r="A834" s="39"/>
      <c r="E834" s="40" t="s">
        <v>11404</v>
      </c>
      <c r="F834" s="40"/>
      <c r="G834" s="40" t="s">
        <v>11404</v>
      </c>
    </row>
    <row r="835">
      <c r="A835" s="39"/>
      <c r="E835" s="40" t="s">
        <v>11404</v>
      </c>
      <c r="F835" s="40"/>
      <c r="G835" s="40" t="s">
        <v>11404</v>
      </c>
    </row>
    <row r="836">
      <c r="A836" s="39"/>
      <c r="E836" s="40" t="s">
        <v>11404</v>
      </c>
      <c r="F836" s="40"/>
      <c r="G836" s="40" t="s">
        <v>11404</v>
      </c>
    </row>
    <row r="837">
      <c r="A837" s="39"/>
      <c r="E837" s="40" t="s">
        <v>11404</v>
      </c>
      <c r="F837" s="40"/>
      <c r="G837" s="40" t="s">
        <v>11404</v>
      </c>
    </row>
    <row r="838">
      <c r="A838" s="39"/>
      <c r="E838" s="40" t="s">
        <v>11404</v>
      </c>
      <c r="F838" s="40"/>
      <c r="G838" s="40" t="s">
        <v>11404</v>
      </c>
    </row>
    <row r="839">
      <c r="A839" s="39"/>
      <c r="E839" s="40" t="s">
        <v>11404</v>
      </c>
      <c r="F839" s="40"/>
      <c r="G839" s="40" t="s">
        <v>11404</v>
      </c>
    </row>
    <row r="840">
      <c r="A840" s="39"/>
      <c r="E840" s="40" t="s">
        <v>11404</v>
      </c>
      <c r="F840" s="40"/>
      <c r="G840" s="40" t="s">
        <v>11404</v>
      </c>
    </row>
    <row r="841">
      <c r="A841" s="39"/>
      <c r="E841" s="40" t="s">
        <v>11404</v>
      </c>
      <c r="F841" s="40"/>
      <c r="G841" s="40" t="s">
        <v>11404</v>
      </c>
    </row>
    <row r="842">
      <c r="A842" s="39"/>
      <c r="E842" s="40" t="s">
        <v>11404</v>
      </c>
      <c r="F842" s="40"/>
      <c r="G842" s="40" t="s">
        <v>11404</v>
      </c>
    </row>
    <row r="843">
      <c r="A843" s="39"/>
      <c r="E843" s="40" t="s">
        <v>11404</v>
      </c>
      <c r="F843" s="40"/>
      <c r="G843" s="40" t="s">
        <v>11404</v>
      </c>
    </row>
    <row r="844">
      <c r="A844" s="39"/>
      <c r="E844" s="40" t="s">
        <v>11404</v>
      </c>
      <c r="F844" s="40"/>
      <c r="G844" s="40" t="s">
        <v>11404</v>
      </c>
    </row>
    <row r="845">
      <c r="A845" s="39"/>
      <c r="E845" s="40" t="s">
        <v>11404</v>
      </c>
      <c r="F845" s="40"/>
      <c r="G845" s="40" t="s">
        <v>11404</v>
      </c>
    </row>
    <row r="846">
      <c r="A846" s="39"/>
      <c r="E846" s="40" t="s">
        <v>11404</v>
      </c>
      <c r="F846" s="40"/>
      <c r="G846" s="40" t="s">
        <v>11404</v>
      </c>
    </row>
    <row r="847">
      <c r="A847" s="39"/>
      <c r="E847" s="40" t="s">
        <v>11404</v>
      </c>
      <c r="F847" s="40"/>
      <c r="G847" s="40" t="s">
        <v>11404</v>
      </c>
    </row>
    <row r="848">
      <c r="A848" s="39"/>
      <c r="E848" s="40" t="s">
        <v>11404</v>
      </c>
      <c r="F848" s="40"/>
      <c r="G848" s="40" t="s">
        <v>11404</v>
      </c>
    </row>
    <row r="849">
      <c r="A849" s="39"/>
      <c r="E849" s="40" t="s">
        <v>11404</v>
      </c>
      <c r="F849" s="40"/>
      <c r="G849" s="40" t="s">
        <v>11404</v>
      </c>
    </row>
    <row r="850">
      <c r="A850" s="39"/>
      <c r="E850" s="40" t="s">
        <v>11404</v>
      </c>
      <c r="F850" s="40"/>
      <c r="G850" s="40" t="s">
        <v>11404</v>
      </c>
    </row>
    <row r="851">
      <c r="A851" s="39"/>
      <c r="E851" s="40" t="s">
        <v>11404</v>
      </c>
      <c r="F851" s="40"/>
      <c r="G851" s="40" t="s">
        <v>11404</v>
      </c>
    </row>
    <row r="852">
      <c r="A852" s="39"/>
      <c r="E852" s="40" t="s">
        <v>11404</v>
      </c>
      <c r="F852" s="40"/>
      <c r="G852" s="40" t="s">
        <v>11404</v>
      </c>
    </row>
    <row r="853">
      <c r="A853" s="39"/>
      <c r="E853" s="40" t="s">
        <v>11404</v>
      </c>
      <c r="F853" s="40"/>
      <c r="G853" s="40" t="s">
        <v>11404</v>
      </c>
    </row>
    <row r="854">
      <c r="A854" s="39"/>
      <c r="E854" s="40" t="s">
        <v>11404</v>
      </c>
      <c r="F854" s="40"/>
      <c r="G854" s="40" t="s">
        <v>11404</v>
      </c>
    </row>
    <row r="855">
      <c r="A855" s="39"/>
      <c r="E855" s="40" t="s">
        <v>11404</v>
      </c>
      <c r="F855" s="40"/>
      <c r="G855" s="40" t="s">
        <v>11404</v>
      </c>
    </row>
    <row r="856">
      <c r="A856" s="39"/>
      <c r="E856" s="40" t="s">
        <v>11404</v>
      </c>
      <c r="F856" s="40"/>
      <c r="G856" s="40" t="s">
        <v>11404</v>
      </c>
    </row>
    <row r="857">
      <c r="A857" s="39"/>
      <c r="E857" s="40" t="s">
        <v>11404</v>
      </c>
      <c r="F857" s="40"/>
      <c r="G857" s="40" t="s">
        <v>11404</v>
      </c>
    </row>
    <row r="858">
      <c r="A858" s="39"/>
      <c r="E858" s="40" t="s">
        <v>11404</v>
      </c>
      <c r="F858" s="40"/>
      <c r="G858" s="40" t="s">
        <v>11404</v>
      </c>
    </row>
    <row r="859">
      <c r="A859" s="39"/>
      <c r="E859" s="40" t="s">
        <v>11404</v>
      </c>
      <c r="F859" s="40"/>
      <c r="G859" s="40" t="s">
        <v>11404</v>
      </c>
    </row>
    <row r="860">
      <c r="A860" s="39"/>
      <c r="E860" s="40" t="s">
        <v>11404</v>
      </c>
      <c r="F860" s="40"/>
      <c r="G860" s="40" t="s">
        <v>11404</v>
      </c>
    </row>
    <row r="861">
      <c r="A861" s="39"/>
      <c r="E861" s="40" t="s">
        <v>11404</v>
      </c>
      <c r="F861" s="40"/>
      <c r="G861" s="40" t="s">
        <v>11404</v>
      </c>
    </row>
    <row r="862">
      <c r="A862" s="39"/>
      <c r="E862" s="40" t="s">
        <v>11404</v>
      </c>
      <c r="F862" s="40"/>
      <c r="G862" s="40" t="s">
        <v>11404</v>
      </c>
    </row>
    <row r="863">
      <c r="A863" s="39"/>
      <c r="E863" s="40" t="s">
        <v>11404</v>
      </c>
      <c r="F863" s="40"/>
      <c r="G863" s="40" t="s">
        <v>11404</v>
      </c>
    </row>
    <row r="864">
      <c r="A864" s="39"/>
      <c r="E864" s="40" t="s">
        <v>11404</v>
      </c>
      <c r="F864" s="40"/>
      <c r="G864" s="40" t="s">
        <v>11404</v>
      </c>
    </row>
    <row r="865">
      <c r="A865" s="39"/>
      <c r="E865" s="40" t="s">
        <v>11404</v>
      </c>
      <c r="F865" s="40"/>
      <c r="G865" s="40" t="s">
        <v>11404</v>
      </c>
    </row>
    <row r="866">
      <c r="A866" s="39"/>
      <c r="E866" s="40" t="s">
        <v>11404</v>
      </c>
      <c r="F866" s="40"/>
      <c r="G866" s="40" t="s">
        <v>11404</v>
      </c>
    </row>
    <row r="867">
      <c r="A867" s="39"/>
      <c r="E867" s="40" t="s">
        <v>11404</v>
      </c>
      <c r="F867" s="40"/>
      <c r="G867" s="40" t="s">
        <v>11404</v>
      </c>
    </row>
    <row r="868">
      <c r="A868" s="39"/>
      <c r="E868" s="40" t="s">
        <v>11404</v>
      </c>
      <c r="F868" s="40"/>
      <c r="G868" s="40" t="s">
        <v>11404</v>
      </c>
    </row>
    <row r="869">
      <c r="A869" s="39"/>
      <c r="E869" s="40" t="s">
        <v>11404</v>
      </c>
      <c r="F869" s="40"/>
      <c r="G869" s="40" t="s">
        <v>11404</v>
      </c>
    </row>
    <row r="870">
      <c r="A870" s="39"/>
      <c r="E870" s="40" t="s">
        <v>11404</v>
      </c>
      <c r="F870" s="40"/>
      <c r="G870" s="40" t="s">
        <v>11404</v>
      </c>
    </row>
    <row r="871">
      <c r="A871" s="39"/>
      <c r="E871" s="40" t="s">
        <v>11404</v>
      </c>
      <c r="F871" s="40"/>
      <c r="G871" s="40" t="s">
        <v>11404</v>
      </c>
    </row>
    <row r="872">
      <c r="A872" s="39"/>
      <c r="E872" s="40" t="s">
        <v>11404</v>
      </c>
      <c r="F872" s="40"/>
      <c r="G872" s="40" t="s">
        <v>11404</v>
      </c>
    </row>
    <row r="873">
      <c r="A873" s="39"/>
      <c r="E873" s="40" t="s">
        <v>11404</v>
      </c>
      <c r="F873" s="40"/>
      <c r="G873" s="40" t="s">
        <v>11404</v>
      </c>
    </row>
    <row r="874">
      <c r="A874" s="39"/>
      <c r="E874" s="40" t="s">
        <v>11404</v>
      </c>
      <c r="F874" s="40"/>
      <c r="G874" s="40" t="s">
        <v>11404</v>
      </c>
    </row>
    <row r="875">
      <c r="A875" s="39"/>
      <c r="E875" s="40" t="s">
        <v>11404</v>
      </c>
      <c r="F875" s="40"/>
      <c r="G875" s="40" t="s">
        <v>11404</v>
      </c>
    </row>
    <row r="876">
      <c r="A876" s="39"/>
      <c r="E876" s="40" t="s">
        <v>11404</v>
      </c>
      <c r="F876" s="40"/>
      <c r="G876" s="40" t="s">
        <v>11404</v>
      </c>
    </row>
    <row r="877">
      <c r="A877" s="39"/>
      <c r="E877" s="40" t="s">
        <v>11404</v>
      </c>
      <c r="F877" s="40"/>
      <c r="G877" s="40" t="s">
        <v>11404</v>
      </c>
    </row>
    <row r="878">
      <c r="A878" s="39"/>
      <c r="E878" s="40" t="s">
        <v>11404</v>
      </c>
      <c r="F878" s="40"/>
      <c r="G878" s="40" t="s">
        <v>11404</v>
      </c>
    </row>
    <row r="879">
      <c r="A879" s="39"/>
      <c r="E879" s="40" t="s">
        <v>11404</v>
      </c>
      <c r="F879" s="40"/>
      <c r="G879" s="40" t="s">
        <v>11404</v>
      </c>
    </row>
    <row r="880">
      <c r="A880" s="39"/>
      <c r="E880" s="40" t="s">
        <v>11404</v>
      </c>
      <c r="F880" s="40"/>
      <c r="G880" s="40" t="s">
        <v>11404</v>
      </c>
    </row>
    <row r="881">
      <c r="A881" s="39"/>
      <c r="E881" s="40" t="s">
        <v>11404</v>
      </c>
      <c r="F881" s="40"/>
      <c r="G881" s="40" t="s">
        <v>11404</v>
      </c>
    </row>
    <row r="882">
      <c r="A882" s="39"/>
      <c r="E882" s="40" t="s">
        <v>11404</v>
      </c>
      <c r="F882" s="40"/>
      <c r="G882" s="40" t="s">
        <v>11404</v>
      </c>
    </row>
    <row r="883">
      <c r="A883" s="39"/>
      <c r="E883" s="40" t="s">
        <v>11404</v>
      </c>
      <c r="F883" s="40"/>
      <c r="G883" s="40" t="s">
        <v>11404</v>
      </c>
    </row>
    <row r="884">
      <c r="A884" s="39"/>
      <c r="E884" s="40" t="s">
        <v>11404</v>
      </c>
      <c r="F884" s="40"/>
      <c r="G884" s="40" t="s">
        <v>11404</v>
      </c>
    </row>
    <row r="885">
      <c r="A885" s="39"/>
      <c r="E885" s="40" t="s">
        <v>11404</v>
      </c>
      <c r="F885" s="40"/>
      <c r="G885" s="40" t="s">
        <v>11404</v>
      </c>
    </row>
    <row r="886">
      <c r="A886" s="39"/>
      <c r="E886" s="40" t="s">
        <v>11404</v>
      </c>
      <c r="F886" s="40"/>
      <c r="G886" s="40" t="s">
        <v>11404</v>
      </c>
    </row>
    <row r="887">
      <c r="A887" s="39"/>
      <c r="E887" s="40" t="s">
        <v>11404</v>
      </c>
      <c r="F887" s="40"/>
      <c r="G887" s="40" t="s">
        <v>11404</v>
      </c>
    </row>
    <row r="888">
      <c r="A888" s="39"/>
      <c r="E888" s="40" t="s">
        <v>11404</v>
      </c>
      <c r="F888" s="40"/>
      <c r="G888" s="40" t="s">
        <v>11404</v>
      </c>
    </row>
    <row r="889">
      <c r="A889" s="39"/>
      <c r="E889" s="40" t="s">
        <v>11404</v>
      </c>
      <c r="F889" s="40"/>
      <c r="G889" s="40" t="s">
        <v>11404</v>
      </c>
    </row>
    <row r="890">
      <c r="A890" s="39"/>
      <c r="E890" s="40" t="s">
        <v>11404</v>
      </c>
      <c r="F890" s="40"/>
      <c r="G890" s="40" t="s">
        <v>11404</v>
      </c>
    </row>
    <row r="891">
      <c r="A891" s="39"/>
      <c r="E891" s="40" t="s">
        <v>11404</v>
      </c>
      <c r="F891" s="40"/>
      <c r="G891" s="40" t="s">
        <v>11404</v>
      </c>
    </row>
    <row r="892">
      <c r="A892" s="39"/>
      <c r="E892" s="40" t="s">
        <v>11404</v>
      </c>
      <c r="F892" s="40"/>
      <c r="G892" s="40" t="s">
        <v>11404</v>
      </c>
    </row>
    <row r="893">
      <c r="A893" s="39"/>
      <c r="E893" s="40" t="s">
        <v>11404</v>
      </c>
      <c r="F893" s="40"/>
      <c r="G893" s="40" t="s">
        <v>11404</v>
      </c>
    </row>
    <row r="894">
      <c r="A894" s="39"/>
      <c r="E894" s="40" t="s">
        <v>11404</v>
      </c>
      <c r="F894" s="40"/>
      <c r="G894" s="40" t="s">
        <v>11404</v>
      </c>
    </row>
    <row r="895">
      <c r="A895" s="39"/>
      <c r="E895" s="40" t="s">
        <v>11404</v>
      </c>
      <c r="F895" s="40"/>
      <c r="G895" s="40" t="s">
        <v>11404</v>
      </c>
    </row>
    <row r="896">
      <c r="A896" s="39"/>
      <c r="E896" s="40" t="s">
        <v>11404</v>
      </c>
      <c r="F896" s="40"/>
      <c r="G896" s="40" t="s">
        <v>11404</v>
      </c>
    </row>
    <row r="897">
      <c r="A897" s="39"/>
      <c r="E897" s="40" t="s">
        <v>11404</v>
      </c>
      <c r="F897" s="40"/>
      <c r="G897" s="40" t="s">
        <v>11404</v>
      </c>
    </row>
    <row r="898">
      <c r="A898" s="39"/>
      <c r="E898" s="40" t="s">
        <v>11404</v>
      </c>
      <c r="F898" s="40"/>
      <c r="G898" s="40" t="s">
        <v>11404</v>
      </c>
    </row>
    <row r="899">
      <c r="A899" s="39"/>
      <c r="E899" s="40" t="s">
        <v>11404</v>
      </c>
      <c r="F899" s="40"/>
      <c r="G899" s="40" t="s">
        <v>11404</v>
      </c>
    </row>
    <row r="900">
      <c r="A900" s="39"/>
      <c r="E900" s="40" t="s">
        <v>11404</v>
      </c>
      <c r="F900" s="40"/>
      <c r="G900" s="40" t="s">
        <v>11404</v>
      </c>
    </row>
    <row r="901">
      <c r="A901" s="39"/>
      <c r="E901" s="40" t="s">
        <v>11404</v>
      </c>
      <c r="F901" s="40"/>
      <c r="G901" s="40" t="s">
        <v>11404</v>
      </c>
    </row>
    <row r="902">
      <c r="A902" s="39"/>
      <c r="E902" s="40" t="s">
        <v>11404</v>
      </c>
      <c r="F902" s="40"/>
      <c r="G902" s="40" t="s">
        <v>11404</v>
      </c>
    </row>
    <row r="903">
      <c r="A903" s="39"/>
      <c r="E903" s="40" t="s">
        <v>11404</v>
      </c>
      <c r="F903" s="40"/>
      <c r="G903" s="40" t="s">
        <v>11404</v>
      </c>
    </row>
    <row r="904">
      <c r="A904" s="39"/>
      <c r="E904" s="40" t="s">
        <v>11404</v>
      </c>
      <c r="F904" s="40"/>
      <c r="G904" s="40" t="s">
        <v>11404</v>
      </c>
    </row>
    <row r="905">
      <c r="A905" s="39"/>
      <c r="E905" s="40" t="s">
        <v>11404</v>
      </c>
      <c r="F905" s="40"/>
      <c r="G905" s="40" t="s">
        <v>11404</v>
      </c>
    </row>
    <row r="906">
      <c r="A906" s="39"/>
      <c r="E906" s="40" t="s">
        <v>11404</v>
      </c>
      <c r="F906" s="40"/>
      <c r="G906" s="40" t="s">
        <v>11404</v>
      </c>
    </row>
    <row r="907">
      <c r="A907" s="39"/>
      <c r="E907" s="40" t="s">
        <v>11404</v>
      </c>
      <c r="F907" s="40"/>
      <c r="G907" s="40" t="s">
        <v>11404</v>
      </c>
    </row>
    <row r="908">
      <c r="A908" s="39"/>
      <c r="E908" s="40" t="s">
        <v>11404</v>
      </c>
      <c r="F908" s="40"/>
      <c r="G908" s="40" t="s">
        <v>11404</v>
      </c>
    </row>
    <row r="909">
      <c r="A909" s="39"/>
      <c r="E909" s="40" t="s">
        <v>11404</v>
      </c>
      <c r="F909" s="40"/>
      <c r="G909" s="40" t="s">
        <v>11404</v>
      </c>
    </row>
    <row r="910">
      <c r="A910" s="39"/>
      <c r="E910" s="40" t="s">
        <v>11404</v>
      </c>
      <c r="F910" s="40"/>
      <c r="G910" s="40" t="s">
        <v>11404</v>
      </c>
    </row>
    <row r="911">
      <c r="A911" s="39"/>
      <c r="E911" s="40" t="s">
        <v>11404</v>
      </c>
      <c r="F911" s="40"/>
      <c r="G911" s="40" t="s">
        <v>11404</v>
      </c>
    </row>
    <row r="912">
      <c r="A912" s="39"/>
      <c r="E912" s="40" t="s">
        <v>11404</v>
      </c>
      <c r="F912" s="40"/>
      <c r="G912" s="40" t="s">
        <v>11404</v>
      </c>
    </row>
    <row r="913">
      <c r="A913" s="39"/>
      <c r="E913" s="40" t="s">
        <v>11404</v>
      </c>
      <c r="F913" s="40"/>
      <c r="G913" s="40" t="s">
        <v>11404</v>
      </c>
    </row>
    <row r="914">
      <c r="A914" s="39"/>
      <c r="E914" s="40" t="s">
        <v>11404</v>
      </c>
      <c r="F914" s="40"/>
      <c r="G914" s="40" t="s">
        <v>11404</v>
      </c>
    </row>
    <row r="915">
      <c r="A915" s="39"/>
      <c r="E915" s="40" t="s">
        <v>11404</v>
      </c>
      <c r="F915" s="40"/>
      <c r="G915" s="40" t="s">
        <v>11404</v>
      </c>
    </row>
    <row r="916">
      <c r="A916" s="39"/>
      <c r="E916" s="40" t="s">
        <v>11404</v>
      </c>
      <c r="F916" s="40"/>
      <c r="G916" s="40" t="s">
        <v>11404</v>
      </c>
    </row>
    <row r="917">
      <c r="A917" s="39"/>
      <c r="E917" s="40" t="s">
        <v>11404</v>
      </c>
      <c r="F917" s="40"/>
      <c r="G917" s="40" t="s">
        <v>11404</v>
      </c>
    </row>
    <row r="918">
      <c r="A918" s="39"/>
      <c r="E918" s="40" t="s">
        <v>11404</v>
      </c>
      <c r="F918" s="40"/>
      <c r="G918" s="40" t="s">
        <v>11404</v>
      </c>
    </row>
    <row r="919">
      <c r="A919" s="39"/>
      <c r="E919" s="40" t="s">
        <v>11404</v>
      </c>
      <c r="F919" s="40"/>
      <c r="G919" s="40" t="s">
        <v>11404</v>
      </c>
    </row>
    <row r="920">
      <c r="A920" s="39"/>
      <c r="E920" s="40" t="s">
        <v>11404</v>
      </c>
      <c r="F920" s="40"/>
      <c r="G920" s="40" t="s">
        <v>11404</v>
      </c>
    </row>
    <row r="921">
      <c r="A921" s="39"/>
      <c r="E921" s="40" t="s">
        <v>11404</v>
      </c>
      <c r="F921" s="40"/>
      <c r="G921" s="40" t="s">
        <v>11404</v>
      </c>
    </row>
    <row r="922">
      <c r="A922" s="39"/>
      <c r="E922" s="40" t="s">
        <v>11404</v>
      </c>
      <c r="F922" s="40"/>
      <c r="G922" s="40" t="s">
        <v>11404</v>
      </c>
    </row>
    <row r="923">
      <c r="A923" s="39"/>
      <c r="E923" s="40" t="s">
        <v>11404</v>
      </c>
      <c r="F923" s="40"/>
      <c r="G923" s="40" t="s">
        <v>11404</v>
      </c>
    </row>
    <row r="924">
      <c r="A924" s="39"/>
      <c r="E924" s="40" t="s">
        <v>11404</v>
      </c>
      <c r="F924" s="40"/>
      <c r="G924" s="40" t="s">
        <v>11404</v>
      </c>
    </row>
    <row r="925">
      <c r="A925" s="39"/>
      <c r="E925" s="40" t="s">
        <v>11404</v>
      </c>
      <c r="F925" s="40"/>
      <c r="G925" s="40" t="s">
        <v>11404</v>
      </c>
    </row>
    <row r="926">
      <c r="A926" s="39"/>
      <c r="E926" s="40" t="s">
        <v>11404</v>
      </c>
      <c r="F926" s="40"/>
      <c r="G926" s="40" t="s">
        <v>11404</v>
      </c>
    </row>
    <row r="927">
      <c r="A927" s="39"/>
      <c r="E927" s="40" t="s">
        <v>11404</v>
      </c>
      <c r="F927" s="40"/>
      <c r="G927" s="40" t="s">
        <v>11404</v>
      </c>
    </row>
    <row r="928">
      <c r="A928" s="39"/>
      <c r="E928" s="40" t="s">
        <v>11404</v>
      </c>
      <c r="F928" s="40"/>
      <c r="G928" s="40" t="s">
        <v>11404</v>
      </c>
    </row>
    <row r="929">
      <c r="A929" s="39"/>
      <c r="E929" s="40" t="s">
        <v>11404</v>
      </c>
      <c r="F929" s="40"/>
      <c r="G929" s="40" t="s">
        <v>11404</v>
      </c>
    </row>
    <row r="930">
      <c r="A930" s="39"/>
      <c r="E930" s="40" t="s">
        <v>11404</v>
      </c>
      <c r="F930" s="40"/>
      <c r="G930" s="40" t="s">
        <v>11404</v>
      </c>
    </row>
    <row r="931">
      <c r="A931" s="39"/>
      <c r="E931" s="40" t="s">
        <v>11404</v>
      </c>
      <c r="F931" s="40"/>
      <c r="G931" s="40" t="s">
        <v>11404</v>
      </c>
    </row>
    <row r="932">
      <c r="A932" s="39"/>
      <c r="E932" s="40" t="s">
        <v>11404</v>
      </c>
      <c r="F932" s="40"/>
      <c r="G932" s="40" t="s">
        <v>11404</v>
      </c>
    </row>
    <row r="933">
      <c r="A933" s="39"/>
      <c r="E933" s="40" t="s">
        <v>11404</v>
      </c>
      <c r="F933" s="40"/>
      <c r="G933" s="40" t="s">
        <v>11404</v>
      </c>
    </row>
    <row r="934">
      <c r="A934" s="39"/>
      <c r="E934" s="40" t="s">
        <v>11404</v>
      </c>
      <c r="F934" s="40"/>
      <c r="G934" s="40" t="s">
        <v>11404</v>
      </c>
    </row>
    <row r="935">
      <c r="A935" s="39"/>
      <c r="E935" s="40" t="s">
        <v>11404</v>
      </c>
      <c r="F935" s="40"/>
      <c r="G935" s="40" t="s">
        <v>11404</v>
      </c>
    </row>
    <row r="936">
      <c r="A936" s="39"/>
      <c r="E936" s="40" t="s">
        <v>11404</v>
      </c>
      <c r="F936" s="40"/>
      <c r="G936" s="40" t="s">
        <v>11404</v>
      </c>
    </row>
    <row r="937">
      <c r="A937" s="39"/>
      <c r="E937" s="40" t="s">
        <v>11404</v>
      </c>
      <c r="F937" s="40"/>
      <c r="G937" s="40" t="s">
        <v>11404</v>
      </c>
    </row>
    <row r="938">
      <c r="A938" s="39"/>
      <c r="E938" s="40" t="s">
        <v>11404</v>
      </c>
      <c r="F938" s="40"/>
      <c r="G938" s="40" t="s">
        <v>11404</v>
      </c>
    </row>
    <row r="939">
      <c r="A939" s="39"/>
      <c r="E939" s="40" t="s">
        <v>11404</v>
      </c>
      <c r="F939" s="40"/>
      <c r="G939" s="40" t="s">
        <v>11404</v>
      </c>
    </row>
    <row r="940">
      <c r="A940" s="39"/>
      <c r="E940" s="40" t="s">
        <v>11404</v>
      </c>
      <c r="F940" s="40"/>
      <c r="G940" s="40" t="s">
        <v>11404</v>
      </c>
    </row>
    <row r="941">
      <c r="A941" s="39"/>
      <c r="E941" s="40" t="s">
        <v>11404</v>
      </c>
      <c r="F941" s="40"/>
      <c r="G941" s="40" t="s">
        <v>11404</v>
      </c>
    </row>
    <row r="942">
      <c r="A942" s="39"/>
      <c r="E942" s="40" t="s">
        <v>11404</v>
      </c>
      <c r="F942" s="40"/>
      <c r="G942" s="40" t="s">
        <v>11404</v>
      </c>
    </row>
    <row r="943">
      <c r="A943" s="39"/>
      <c r="E943" s="40" t="s">
        <v>11404</v>
      </c>
      <c r="F943" s="40"/>
      <c r="G943" s="40" t="s">
        <v>11404</v>
      </c>
    </row>
    <row r="944">
      <c r="A944" s="39"/>
      <c r="E944" s="40" t="s">
        <v>11404</v>
      </c>
      <c r="F944" s="40"/>
      <c r="G944" s="40" t="s">
        <v>11404</v>
      </c>
    </row>
    <row r="945">
      <c r="A945" s="39"/>
      <c r="E945" s="40" t="s">
        <v>11404</v>
      </c>
      <c r="F945" s="40"/>
      <c r="G945" s="40" t="s">
        <v>11404</v>
      </c>
    </row>
    <row r="946">
      <c r="A946" s="39"/>
      <c r="E946" s="40" t="s">
        <v>11404</v>
      </c>
      <c r="F946" s="40"/>
      <c r="G946" s="40" t="s">
        <v>11404</v>
      </c>
    </row>
    <row r="947">
      <c r="A947" s="39"/>
      <c r="E947" s="40" t="s">
        <v>11404</v>
      </c>
      <c r="F947" s="40"/>
      <c r="G947" s="40" t="s">
        <v>11404</v>
      </c>
    </row>
    <row r="948">
      <c r="A948" s="39"/>
      <c r="E948" s="40" t="s">
        <v>11404</v>
      </c>
      <c r="F948" s="40"/>
      <c r="G948" s="40" t="s">
        <v>11404</v>
      </c>
    </row>
    <row r="949">
      <c r="A949" s="39"/>
      <c r="E949" s="40" t="s">
        <v>11404</v>
      </c>
      <c r="F949" s="40"/>
      <c r="G949" s="40" t="s">
        <v>11404</v>
      </c>
    </row>
    <row r="950">
      <c r="A950" s="39"/>
      <c r="E950" s="40" t="s">
        <v>11404</v>
      </c>
      <c r="F950" s="40"/>
      <c r="G950" s="40" t="s">
        <v>11404</v>
      </c>
    </row>
    <row r="951">
      <c r="A951" s="39"/>
      <c r="E951" s="40" t="s">
        <v>11404</v>
      </c>
      <c r="F951" s="40"/>
      <c r="G951" s="40" t="s">
        <v>11404</v>
      </c>
    </row>
    <row r="952">
      <c r="A952" s="39"/>
      <c r="E952" s="40" t="s">
        <v>11404</v>
      </c>
      <c r="F952" s="40"/>
      <c r="G952" s="40" t="s">
        <v>11404</v>
      </c>
    </row>
    <row r="953">
      <c r="A953" s="39"/>
      <c r="E953" s="40" t="s">
        <v>11404</v>
      </c>
      <c r="F953" s="40"/>
      <c r="G953" s="40" t="s">
        <v>11404</v>
      </c>
    </row>
    <row r="954">
      <c r="A954" s="39"/>
      <c r="E954" s="40" t="s">
        <v>11404</v>
      </c>
      <c r="F954" s="40"/>
      <c r="G954" s="40" t="s">
        <v>11404</v>
      </c>
    </row>
    <row r="955">
      <c r="A955" s="39"/>
      <c r="E955" s="40" t="s">
        <v>11404</v>
      </c>
      <c r="F955" s="40"/>
      <c r="G955" s="40" t="s">
        <v>11404</v>
      </c>
    </row>
    <row r="956">
      <c r="A956" s="39"/>
      <c r="E956" s="40" t="s">
        <v>11404</v>
      </c>
      <c r="F956" s="40"/>
      <c r="G956" s="40" t="s">
        <v>11404</v>
      </c>
    </row>
    <row r="957">
      <c r="A957" s="39"/>
      <c r="E957" s="40" t="s">
        <v>11404</v>
      </c>
      <c r="F957" s="40"/>
      <c r="G957" s="40" t="s">
        <v>11404</v>
      </c>
    </row>
    <row r="958">
      <c r="A958" s="39"/>
      <c r="E958" s="40" t="s">
        <v>11404</v>
      </c>
      <c r="F958" s="40"/>
      <c r="G958" s="40" t="s">
        <v>11404</v>
      </c>
    </row>
    <row r="959">
      <c r="A959" s="39"/>
      <c r="E959" s="40" t="s">
        <v>11404</v>
      </c>
      <c r="F959" s="40"/>
      <c r="G959" s="40" t="s">
        <v>11404</v>
      </c>
    </row>
    <row r="960">
      <c r="A960" s="39"/>
      <c r="E960" s="40" t="s">
        <v>11404</v>
      </c>
      <c r="F960" s="40"/>
      <c r="G960" s="40" t="s">
        <v>11404</v>
      </c>
    </row>
    <row r="961">
      <c r="A961" s="39"/>
      <c r="E961" s="40" t="s">
        <v>11404</v>
      </c>
      <c r="F961" s="40"/>
      <c r="G961" s="40" t="s">
        <v>11404</v>
      </c>
    </row>
    <row r="962">
      <c r="A962" s="39"/>
      <c r="E962" s="40" t="s">
        <v>11404</v>
      </c>
      <c r="F962" s="40"/>
      <c r="G962" s="40" t="s">
        <v>11404</v>
      </c>
    </row>
    <row r="963">
      <c r="A963" s="39"/>
      <c r="E963" s="40" t="s">
        <v>11404</v>
      </c>
      <c r="F963" s="40"/>
      <c r="G963" s="40" t="s">
        <v>11404</v>
      </c>
    </row>
    <row r="964">
      <c r="A964" s="39"/>
      <c r="E964" s="40" t="s">
        <v>11404</v>
      </c>
      <c r="F964" s="40"/>
      <c r="G964" s="40" t="s">
        <v>11404</v>
      </c>
    </row>
    <row r="965">
      <c r="A965" s="39"/>
      <c r="E965" s="40" t="s">
        <v>11404</v>
      </c>
      <c r="F965" s="40"/>
      <c r="G965" s="40" t="s">
        <v>11404</v>
      </c>
    </row>
    <row r="966">
      <c r="A966" s="39"/>
      <c r="E966" s="40" t="s">
        <v>11404</v>
      </c>
      <c r="F966" s="40"/>
      <c r="G966" s="40" t="s">
        <v>11404</v>
      </c>
    </row>
    <row r="967">
      <c r="A967" s="39"/>
      <c r="E967" s="40" t="s">
        <v>11404</v>
      </c>
      <c r="F967" s="40"/>
      <c r="G967" s="40" t="s">
        <v>11404</v>
      </c>
    </row>
    <row r="968">
      <c r="A968" s="39"/>
      <c r="E968" s="40" t="s">
        <v>11404</v>
      </c>
      <c r="F968" s="40"/>
      <c r="G968" s="40" t="s">
        <v>11404</v>
      </c>
    </row>
    <row r="969">
      <c r="A969" s="39"/>
      <c r="E969" s="40" t="s">
        <v>11404</v>
      </c>
      <c r="F969" s="40"/>
      <c r="G969" s="40" t="s">
        <v>11404</v>
      </c>
    </row>
    <row r="970">
      <c r="A970" s="39"/>
      <c r="E970" s="40" t="s">
        <v>11404</v>
      </c>
      <c r="F970" s="40"/>
      <c r="G970" s="40" t="s">
        <v>11404</v>
      </c>
    </row>
    <row r="971">
      <c r="A971" s="39"/>
      <c r="E971" s="40" t="s">
        <v>11404</v>
      </c>
      <c r="F971" s="40"/>
      <c r="G971" s="40" t="s">
        <v>11404</v>
      </c>
    </row>
    <row r="972">
      <c r="A972" s="39"/>
      <c r="E972" s="40" t="s">
        <v>11404</v>
      </c>
      <c r="F972" s="40"/>
      <c r="G972" s="40" t="s">
        <v>11404</v>
      </c>
    </row>
    <row r="973">
      <c r="A973" s="39"/>
      <c r="E973" s="40" t="s">
        <v>11404</v>
      </c>
      <c r="F973" s="40"/>
      <c r="G973" s="40" t="s">
        <v>11404</v>
      </c>
    </row>
    <row r="974">
      <c r="A974" s="39"/>
      <c r="E974" s="40" t="s">
        <v>11404</v>
      </c>
      <c r="F974" s="40"/>
      <c r="G974" s="40" t="s">
        <v>11404</v>
      </c>
    </row>
    <row r="975">
      <c r="A975" s="39"/>
      <c r="E975" s="40" t="s">
        <v>11404</v>
      </c>
      <c r="F975" s="40"/>
      <c r="G975" s="40" t="s">
        <v>11404</v>
      </c>
    </row>
    <row r="976">
      <c r="A976" s="39"/>
      <c r="E976" s="40" t="s">
        <v>11404</v>
      </c>
      <c r="F976" s="40"/>
      <c r="G976" s="40" t="s">
        <v>11404</v>
      </c>
    </row>
    <row r="977">
      <c r="A977" s="39"/>
      <c r="E977" s="40" t="s">
        <v>11404</v>
      </c>
      <c r="F977" s="40"/>
      <c r="G977" s="40" t="s">
        <v>11404</v>
      </c>
    </row>
    <row r="978">
      <c r="A978" s="39"/>
      <c r="E978" s="40" t="s">
        <v>11404</v>
      </c>
      <c r="F978" s="40"/>
      <c r="G978" s="40" t="s">
        <v>11404</v>
      </c>
    </row>
    <row r="979">
      <c r="A979" s="39"/>
      <c r="E979" s="40" t="s">
        <v>11404</v>
      </c>
      <c r="F979" s="40"/>
      <c r="G979" s="40" t="s">
        <v>11404</v>
      </c>
    </row>
    <row r="980">
      <c r="A980" s="39"/>
      <c r="E980" s="40" t="s">
        <v>11404</v>
      </c>
      <c r="F980" s="40"/>
      <c r="G980" s="40" t="s">
        <v>11404</v>
      </c>
    </row>
    <row r="981">
      <c r="A981" s="39"/>
      <c r="E981" s="40" t="s">
        <v>11404</v>
      </c>
      <c r="F981" s="40"/>
      <c r="G981" s="40" t="s">
        <v>11404</v>
      </c>
    </row>
    <row r="982">
      <c r="A982" s="39"/>
      <c r="E982" s="40" t="s">
        <v>11404</v>
      </c>
      <c r="F982" s="40"/>
      <c r="G982" s="40" t="s">
        <v>11404</v>
      </c>
    </row>
    <row r="983">
      <c r="A983" s="39"/>
      <c r="E983" s="40" t="s">
        <v>11404</v>
      </c>
      <c r="F983" s="40"/>
      <c r="G983" s="40" t="s">
        <v>11404</v>
      </c>
    </row>
    <row r="984">
      <c r="A984" s="39"/>
      <c r="E984" s="40" t="s">
        <v>11404</v>
      </c>
      <c r="F984" s="40"/>
      <c r="G984" s="40" t="s">
        <v>11404</v>
      </c>
    </row>
    <row r="985">
      <c r="A985" s="39"/>
      <c r="E985" s="40" t="s">
        <v>11404</v>
      </c>
      <c r="F985" s="40"/>
      <c r="G985" s="40" t="s">
        <v>11404</v>
      </c>
    </row>
    <row r="986">
      <c r="A986" s="39"/>
      <c r="E986" s="40" t="s">
        <v>11404</v>
      </c>
      <c r="F986" s="40"/>
      <c r="G986" s="40" t="s">
        <v>11404</v>
      </c>
    </row>
    <row r="987">
      <c r="A987" s="39"/>
      <c r="E987" s="40" t="s">
        <v>11404</v>
      </c>
      <c r="F987" s="40"/>
      <c r="G987" s="40" t="s">
        <v>11404</v>
      </c>
    </row>
    <row r="988">
      <c r="A988" s="39"/>
      <c r="E988" s="40" t="s">
        <v>11404</v>
      </c>
      <c r="F988" s="40"/>
      <c r="G988" s="40" t="s">
        <v>11404</v>
      </c>
    </row>
    <row r="989">
      <c r="A989" s="39"/>
      <c r="E989" s="40" t="s">
        <v>11404</v>
      </c>
      <c r="F989" s="40"/>
      <c r="G989" s="40" t="s">
        <v>11404</v>
      </c>
    </row>
    <row r="990">
      <c r="A990" s="39"/>
      <c r="E990" s="40" t="s">
        <v>11404</v>
      </c>
      <c r="F990" s="40"/>
      <c r="G990" s="40" t="s">
        <v>11404</v>
      </c>
    </row>
    <row r="991">
      <c r="A991" s="39"/>
      <c r="E991" s="40" t="s">
        <v>11404</v>
      </c>
      <c r="F991" s="40"/>
      <c r="G991" s="40" t="s">
        <v>11404</v>
      </c>
    </row>
    <row r="992">
      <c r="A992" s="39"/>
      <c r="E992" s="40" t="s">
        <v>11404</v>
      </c>
      <c r="F992" s="40"/>
      <c r="G992" s="40" t="s">
        <v>11404</v>
      </c>
    </row>
    <row r="993">
      <c r="A993" s="39"/>
      <c r="E993" s="40" t="s">
        <v>11404</v>
      </c>
      <c r="F993" s="40"/>
      <c r="G993" s="40" t="s">
        <v>11404</v>
      </c>
    </row>
    <row r="994">
      <c r="A994" s="39"/>
      <c r="E994" s="40" t="s">
        <v>11404</v>
      </c>
      <c r="F994" s="40"/>
      <c r="G994" s="40" t="s">
        <v>11404</v>
      </c>
    </row>
    <row r="995">
      <c r="A995" s="39"/>
      <c r="E995" s="40" t="s">
        <v>11404</v>
      </c>
      <c r="F995" s="40"/>
      <c r="G995" s="40" t="s">
        <v>11404</v>
      </c>
    </row>
    <row r="996">
      <c r="A996" s="39"/>
      <c r="E996" s="40" t="s">
        <v>11404</v>
      </c>
      <c r="F996" s="40"/>
      <c r="G996" s="40" t="s">
        <v>11404</v>
      </c>
    </row>
    <row r="997">
      <c r="A997" s="39"/>
      <c r="E997" s="40" t="s">
        <v>11404</v>
      </c>
      <c r="F997" s="40"/>
      <c r="G997" s="40" t="s">
        <v>11404</v>
      </c>
    </row>
    <row r="998">
      <c r="A998" s="39"/>
      <c r="E998" s="40" t="s">
        <v>11404</v>
      </c>
      <c r="F998" s="40"/>
      <c r="G998" s="40" t="s">
        <v>11404</v>
      </c>
    </row>
    <row r="999">
      <c r="A999" s="39"/>
      <c r="E999" s="40" t="s">
        <v>11404</v>
      </c>
      <c r="F999" s="40"/>
      <c r="G999" s="40" t="s">
        <v>11404</v>
      </c>
    </row>
    <row r="1000">
      <c r="A1000" s="39"/>
      <c r="E1000" s="40" t="s">
        <v>11404</v>
      </c>
      <c r="F1000" s="40"/>
      <c r="G1000" s="40" t="s">
        <v>11404</v>
      </c>
    </row>
    <row r="1001">
      <c r="A1001" s="39"/>
      <c r="E1001" s="40" t="s">
        <v>11404</v>
      </c>
      <c r="F1001" s="40"/>
      <c r="G1001" s="40" t="s">
        <v>11404</v>
      </c>
    </row>
    <row r="1002">
      <c r="A1002" s="39"/>
      <c r="E1002" s="40" t="s">
        <v>11404</v>
      </c>
      <c r="F1002" s="40"/>
      <c r="G1002" s="40" t="s">
        <v>11404</v>
      </c>
    </row>
    <row r="1003">
      <c r="A1003" s="39"/>
      <c r="E1003" s="40" t="s">
        <v>11404</v>
      </c>
      <c r="F1003" s="40"/>
      <c r="G1003" s="40" t="s">
        <v>11404</v>
      </c>
    </row>
    <row r="1004">
      <c r="A1004" s="39"/>
      <c r="E1004" s="40" t="s">
        <v>11404</v>
      </c>
      <c r="F1004" s="40"/>
      <c r="G1004" s="40" t="s">
        <v>11404</v>
      </c>
    </row>
    <row r="1005">
      <c r="A1005" s="39"/>
      <c r="E1005" s="40" t="s">
        <v>11404</v>
      </c>
      <c r="F1005" s="40"/>
      <c r="G1005" s="40" t="s">
        <v>11404</v>
      </c>
    </row>
    <row r="1006">
      <c r="A1006" s="39"/>
      <c r="E1006" s="40" t="s">
        <v>11404</v>
      </c>
      <c r="F1006" s="40"/>
      <c r="G1006" s="40" t="s">
        <v>11404</v>
      </c>
    </row>
    <row r="1007">
      <c r="A1007" s="39"/>
      <c r="E1007" s="40" t="s">
        <v>11404</v>
      </c>
      <c r="F1007" s="40"/>
      <c r="G1007" s="40" t="s">
        <v>11404</v>
      </c>
    </row>
    <row r="1008">
      <c r="A1008" s="39"/>
      <c r="E1008" s="40" t="s">
        <v>11404</v>
      </c>
      <c r="F1008" s="40"/>
      <c r="G1008" s="40" t="s">
        <v>11404</v>
      </c>
    </row>
    <row r="1009">
      <c r="A1009" s="39"/>
      <c r="E1009" s="40" t="s">
        <v>11404</v>
      </c>
      <c r="F1009" s="40"/>
      <c r="G1009" s="40" t="s">
        <v>11404</v>
      </c>
    </row>
    <row r="1010">
      <c r="A1010" s="39"/>
      <c r="E1010" s="40" t="s">
        <v>11404</v>
      </c>
      <c r="F1010" s="40"/>
      <c r="G1010" s="40" t="s">
        <v>11404</v>
      </c>
    </row>
    <row r="1011">
      <c r="A1011" s="39"/>
      <c r="E1011" s="40" t="s">
        <v>11404</v>
      </c>
      <c r="F1011" s="40"/>
      <c r="G1011" s="40" t="s">
        <v>11404</v>
      </c>
    </row>
    <row r="1012">
      <c r="A1012" s="39"/>
      <c r="E1012" s="40" t="s">
        <v>11404</v>
      </c>
      <c r="F1012" s="40"/>
      <c r="G1012" s="40" t="s">
        <v>11404</v>
      </c>
    </row>
    <row r="1013">
      <c r="A1013" s="39"/>
      <c r="E1013" s="40" t="s">
        <v>11404</v>
      </c>
      <c r="F1013" s="40"/>
      <c r="G1013" s="40" t="s">
        <v>11404</v>
      </c>
    </row>
    <row r="1014">
      <c r="A1014" s="39"/>
      <c r="E1014" s="40" t="s">
        <v>11404</v>
      </c>
      <c r="F1014" s="40"/>
      <c r="G1014" s="40" t="s">
        <v>11404</v>
      </c>
    </row>
    <row r="1015">
      <c r="A1015" s="39"/>
      <c r="E1015" s="40" t="s">
        <v>11404</v>
      </c>
      <c r="F1015" s="40"/>
      <c r="G1015" s="40" t="s">
        <v>11404</v>
      </c>
    </row>
    <row r="1016">
      <c r="A1016" s="39"/>
      <c r="E1016" s="40" t="s">
        <v>11404</v>
      </c>
      <c r="F1016" s="40"/>
      <c r="G1016" s="40" t="s">
        <v>11404</v>
      </c>
    </row>
    <row r="1017">
      <c r="A1017" s="39"/>
      <c r="E1017" s="40" t="s">
        <v>11404</v>
      </c>
      <c r="F1017" s="40"/>
      <c r="G1017" s="40" t="s">
        <v>11404</v>
      </c>
    </row>
    <row r="1018">
      <c r="A1018" s="39"/>
      <c r="E1018" s="40" t="s">
        <v>11404</v>
      </c>
      <c r="F1018" s="40"/>
      <c r="G1018" s="40" t="s">
        <v>11404</v>
      </c>
    </row>
    <row r="1019">
      <c r="A1019" s="39"/>
      <c r="E1019" s="40" t="s">
        <v>11404</v>
      </c>
      <c r="F1019" s="40"/>
      <c r="G1019" s="40" t="s">
        <v>11404</v>
      </c>
    </row>
    <row r="1020">
      <c r="A1020" s="39"/>
      <c r="E1020" s="40" t="s">
        <v>11404</v>
      </c>
      <c r="F1020" s="40"/>
      <c r="G1020" s="40" t="s">
        <v>11404</v>
      </c>
    </row>
    <row r="1021">
      <c r="A1021" s="39"/>
      <c r="E1021" s="40" t="s">
        <v>11404</v>
      </c>
      <c r="F1021" s="40"/>
      <c r="G1021" s="40" t="s">
        <v>11404</v>
      </c>
    </row>
    <row r="1022">
      <c r="A1022" s="39"/>
      <c r="E1022" s="40" t="s">
        <v>11404</v>
      </c>
      <c r="F1022" s="40"/>
      <c r="G1022" s="40" t="s">
        <v>11404</v>
      </c>
    </row>
    <row r="1023">
      <c r="A1023" s="39"/>
      <c r="E1023" s="40" t="s">
        <v>11404</v>
      </c>
      <c r="F1023" s="40"/>
      <c r="G1023" s="40" t="s">
        <v>11404</v>
      </c>
    </row>
    <row r="1024">
      <c r="A1024" s="39"/>
      <c r="E1024" s="40" t="s">
        <v>11404</v>
      </c>
      <c r="F1024" s="40"/>
      <c r="G1024" s="40" t="s">
        <v>11404</v>
      </c>
    </row>
    <row r="1025">
      <c r="A1025" s="39"/>
      <c r="E1025" s="40" t="s">
        <v>11404</v>
      </c>
      <c r="F1025" s="40"/>
      <c r="G1025" s="40" t="s">
        <v>11404</v>
      </c>
    </row>
    <row r="1026">
      <c r="A1026" s="39"/>
      <c r="E1026" s="40" t="s">
        <v>11404</v>
      </c>
      <c r="F1026" s="40"/>
      <c r="G1026" s="40" t="s">
        <v>11404</v>
      </c>
    </row>
    <row r="1027">
      <c r="A1027" s="39"/>
      <c r="E1027" s="40" t="s">
        <v>11404</v>
      </c>
      <c r="F1027" s="40"/>
      <c r="G1027" s="40" t="s">
        <v>11404</v>
      </c>
    </row>
    <row r="1028">
      <c r="A1028" s="39"/>
      <c r="E1028" s="40" t="s">
        <v>11404</v>
      </c>
      <c r="F1028" s="40"/>
      <c r="G1028" s="40" t="s">
        <v>11404</v>
      </c>
    </row>
    <row r="1029">
      <c r="A1029" s="39"/>
      <c r="E1029" s="40" t="s">
        <v>11404</v>
      </c>
      <c r="F1029" s="40"/>
      <c r="G1029" s="40" t="s">
        <v>11404</v>
      </c>
    </row>
    <row r="1030">
      <c r="A1030" s="39"/>
      <c r="E1030" s="40" t="s">
        <v>11404</v>
      </c>
      <c r="F1030" s="40"/>
      <c r="G1030" s="40" t="s">
        <v>11404</v>
      </c>
    </row>
    <row r="1031">
      <c r="A1031" s="39"/>
      <c r="E1031" s="40" t="s">
        <v>11404</v>
      </c>
      <c r="F1031" s="40"/>
      <c r="G1031" s="40" t="s">
        <v>11404</v>
      </c>
    </row>
    <row r="1032">
      <c r="A1032" s="39"/>
      <c r="E1032" s="40" t="s">
        <v>11404</v>
      </c>
      <c r="F1032" s="40"/>
      <c r="G1032" s="40" t="s">
        <v>11404</v>
      </c>
    </row>
    <row r="1033">
      <c r="A1033" s="39"/>
      <c r="E1033" s="40" t="s">
        <v>11404</v>
      </c>
      <c r="F1033" s="40"/>
      <c r="G1033" s="40" t="s">
        <v>11404</v>
      </c>
    </row>
    <row r="1034">
      <c r="A1034" s="39"/>
      <c r="E1034" s="40" t="s">
        <v>11404</v>
      </c>
      <c r="F1034" s="40"/>
      <c r="G1034" s="40" t="s">
        <v>11404</v>
      </c>
    </row>
    <row r="1035">
      <c r="A1035" s="39"/>
      <c r="E1035" s="40" t="s">
        <v>11404</v>
      </c>
      <c r="F1035" s="40"/>
      <c r="G1035" s="40" t="s">
        <v>11404</v>
      </c>
    </row>
    <row r="1036">
      <c r="A1036" s="39"/>
      <c r="E1036" s="40" t="s">
        <v>11404</v>
      </c>
      <c r="F1036" s="40"/>
      <c r="G1036" s="40" t="s">
        <v>11404</v>
      </c>
    </row>
    <row r="1037">
      <c r="A1037" s="39"/>
      <c r="E1037" s="40" t="s">
        <v>11404</v>
      </c>
      <c r="F1037" s="40"/>
      <c r="G1037" s="40" t="s">
        <v>11404</v>
      </c>
    </row>
    <row r="1038">
      <c r="A1038" s="39"/>
      <c r="E1038" s="40" t="s">
        <v>11404</v>
      </c>
      <c r="F1038" s="40"/>
      <c r="G1038" s="40" t="s">
        <v>11404</v>
      </c>
    </row>
    <row r="1039">
      <c r="A1039" s="39"/>
      <c r="E1039" s="40" t="s">
        <v>11404</v>
      </c>
      <c r="F1039" s="40"/>
      <c r="G1039" s="40" t="s">
        <v>11404</v>
      </c>
    </row>
    <row r="1040">
      <c r="A1040" s="39"/>
      <c r="E1040" s="40" t="s">
        <v>11404</v>
      </c>
      <c r="F1040" s="40"/>
      <c r="G1040" s="40" t="s">
        <v>11404</v>
      </c>
    </row>
    <row r="1041">
      <c r="A1041" s="39"/>
      <c r="E1041" s="40" t="s">
        <v>11404</v>
      </c>
      <c r="F1041" s="40"/>
      <c r="G1041" s="40" t="s">
        <v>11404</v>
      </c>
    </row>
    <row r="1042">
      <c r="A1042" s="39"/>
      <c r="E1042" s="40" t="s">
        <v>11404</v>
      </c>
      <c r="F1042" s="40"/>
      <c r="G1042" s="40" t="s">
        <v>11404</v>
      </c>
    </row>
    <row r="1043">
      <c r="A1043" s="39"/>
      <c r="E1043" s="40" t="s">
        <v>11404</v>
      </c>
      <c r="F1043" s="40"/>
      <c r="G1043" s="40" t="s">
        <v>11404</v>
      </c>
    </row>
    <row r="1044">
      <c r="A1044" s="39"/>
      <c r="E1044" s="40" t="s">
        <v>11404</v>
      </c>
      <c r="F1044" s="40"/>
      <c r="G1044" s="40" t="s">
        <v>11404</v>
      </c>
    </row>
    <row r="1045">
      <c r="A1045" s="39"/>
      <c r="E1045" s="40" t="s">
        <v>11404</v>
      </c>
      <c r="F1045" s="40"/>
      <c r="G1045" s="40" t="s">
        <v>11404</v>
      </c>
    </row>
    <row r="1046">
      <c r="A1046" s="39"/>
      <c r="E1046" s="40" t="s">
        <v>11404</v>
      </c>
      <c r="F1046" s="40"/>
      <c r="G1046" s="40" t="s">
        <v>11404</v>
      </c>
    </row>
    <row r="1047">
      <c r="A1047" s="39"/>
      <c r="E1047" s="40" t="s">
        <v>11404</v>
      </c>
      <c r="F1047" s="40"/>
      <c r="G1047" s="40" t="s">
        <v>11404</v>
      </c>
    </row>
    <row r="1048">
      <c r="A1048" s="39"/>
      <c r="E1048" s="40" t="s">
        <v>11404</v>
      </c>
      <c r="F1048" s="40"/>
      <c r="G1048" s="40" t="s">
        <v>11404</v>
      </c>
    </row>
    <row r="1049">
      <c r="A1049" s="39"/>
      <c r="E1049" s="40" t="s">
        <v>11404</v>
      </c>
      <c r="F1049" s="40"/>
      <c r="G1049" s="40" t="s">
        <v>11404</v>
      </c>
    </row>
    <row r="1050">
      <c r="A1050" s="39"/>
      <c r="E1050" s="40" t="s">
        <v>11404</v>
      </c>
      <c r="F1050" s="40"/>
      <c r="G1050" s="40" t="s">
        <v>11404</v>
      </c>
    </row>
    <row r="1051">
      <c r="A1051" s="39"/>
      <c r="E1051" s="40" t="s">
        <v>11404</v>
      </c>
      <c r="F1051" s="40"/>
      <c r="G1051" s="40" t="s">
        <v>11404</v>
      </c>
    </row>
    <row r="1052">
      <c r="A1052" s="39"/>
      <c r="E1052" s="40" t="s">
        <v>11404</v>
      </c>
      <c r="F1052" s="40"/>
      <c r="G1052" s="40" t="s">
        <v>11404</v>
      </c>
    </row>
    <row r="1053">
      <c r="A1053" s="39"/>
      <c r="E1053" s="40" t="s">
        <v>11404</v>
      </c>
      <c r="F1053" s="40"/>
      <c r="G1053" s="40" t="s">
        <v>11404</v>
      </c>
    </row>
    <row r="1054">
      <c r="A1054" s="39"/>
      <c r="E1054" s="40" t="s">
        <v>11404</v>
      </c>
      <c r="F1054" s="40"/>
      <c r="G1054" s="40" t="s">
        <v>11404</v>
      </c>
    </row>
    <row r="1055">
      <c r="A1055" s="39"/>
      <c r="E1055" s="40" t="s">
        <v>11404</v>
      </c>
      <c r="F1055" s="40"/>
      <c r="G1055" s="40" t="s">
        <v>11404</v>
      </c>
    </row>
    <row r="1056">
      <c r="A1056" s="39"/>
      <c r="E1056" s="40" t="s">
        <v>11404</v>
      </c>
      <c r="F1056" s="40"/>
      <c r="G1056" s="40" t="s">
        <v>11404</v>
      </c>
    </row>
    <row r="1057">
      <c r="A1057" s="39"/>
      <c r="E1057" s="40" t="s">
        <v>11404</v>
      </c>
      <c r="F1057" s="40"/>
      <c r="G1057" s="40" t="s">
        <v>11404</v>
      </c>
    </row>
    <row r="1058">
      <c r="A1058" s="39"/>
      <c r="E1058" s="40" t="s">
        <v>11404</v>
      </c>
      <c r="F1058" s="40"/>
      <c r="G1058" s="40" t="s">
        <v>11404</v>
      </c>
    </row>
    <row r="1059">
      <c r="A1059" s="39"/>
      <c r="E1059" s="40" t="s">
        <v>11404</v>
      </c>
      <c r="F1059" s="40"/>
      <c r="G1059" s="40" t="s">
        <v>11404</v>
      </c>
    </row>
    <row r="1060">
      <c r="A1060" s="39"/>
      <c r="E1060" s="40" t="s">
        <v>11404</v>
      </c>
      <c r="F1060" s="40"/>
      <c r="G1060" s="40" t="s">
        <v>11404</v>
      </c>
    </row>
    <row r="1061">
      <c r="A1061" s="39"/>
      <c r="E1061" s="40" t="s">
        <v>11404</v>
      </c>
      <c r="F1061" s="40"/>
      <c r="G1061" s="40" t="s">
        <v>11404</v>
      </c>
    </row>
    <row r="1062">
      <c r="A1062" s="39"/>
      <c r="E1062" s="40" t="s">
        <v>11404</v>
      </c>
      <c r="F1062" s="40"/>
      <c r="G1062" s="40" t="s">
        <v>11404</v>
      </c>
    </row>
    <row r="1063">
      <c r="A1063" s="39"/>
      <c r="E1063" s="40" t="s">
        <v>11404</v>
      </c>
      <c r="F1063" s="40"/>
      <c r="G1063" s="40" t="s">
        <v>11404</v>
      </c>
    </row>
    <row r="1064">
      <c r="A1064" s="39"/>
      <c r="E1064" s="40" t="s">
        <v>11404</v>
      </c>
      <c r="F1064" s="40"/>
      <c r="G1064" s="40" t="s">
        <v>11404</v>
      </c>
    </row>
    <row r="1065">
      <c r="A1065" s="39"/>
      <c r="E1065" s="40" t="s">
        <v>11404</v>
      </c>
      <c r="F1065" s="40"/>
      <c r="G1065" s="40" t="s">
        <v>11404</v>
      </c>
    </row>
    <row r="1066">
      <c r="A1066" s="39"/>
      <c r="E1066" s="40" t="s">
        <v>11404</v>
      </c>
      <c r="F1066" s="40"/>
      <c r="G1066" s="40" t="s">
        <v>11404</v>
      </c>
    </row>
    <row r="1067">
      <c r="A1067" s="39"/>
      <c r="E1067" s="40" t="s">
        <v>11404</v>
      </c>
      <c r="F1067" s="40"/>
      <c r="G1067" s="40" t="s">
        <v>11404</v>
      </c>
    </row>
    <row r="1068">
      <c r="A1068" s="39"/>
      <c r="E1068" s="40" t="s">
        <v>11404</v>
      </c>
      <c r="F1068" s="40"/>
      <c r="G1068" s="40" t="s">
        <v>11404</v>
      </c>
    </row>
    <row r="1069">
      <c r="A1069" s="39"/>
      <c r="E1069" s="40" t="s">
        <v>11404</v>
      </c>
      <c r="F1069" s="40"/>
      <c r="G1069" s="40" t="s">
        <v>11404</v>
      </c>
    </row>
    <row r="1070">
      <c r="A1070" s="39"/>
      <c r="E1070" s="40" t="s">
        <v>11404</v>
      </c>
      <c r="F1070" s="40"/>
      <c r="G1070" s="40" t="s">
        <v>11404</v>
      </c>
    </row>
    <row r="1071">
      <c r="A1071" s="39"/>
      <c r="E1071" s="40" t="s">
        <v>11404</v>
      </c>
      <c r="F1071" s="40"/>
      <c r="G1071" s="40" t="s">
        <v>11404</v>
      </c>
    </row>
    <row r="1072">
      <c r="A1072" s="39"/>
      <c r="E1072" s="40" t="s">
        <v>11404</v>
      </c>
      <c r="F1072" s="40"/>
      <c r="G1072" s="40" t="s">
        <v>11404</v>
      </c>
    </row>
    <row r="1073">
      <c r="A1073" s="39"/>
      <c r="E1073" s="40" t="s">
        <v>11404</v>
      </c>
      <c r="F1073" s="40"/>
      <c r="G1073" s="40" t="s">
        <v>11404</v>
      </c>
    </row>
    <row r="1074">
      <c r="A1074" s="39"/>
      <c r="E1074" s="40" t="s">
        <v>11404</v>
      </c>
      <c r="F1074" s="40"/>
      <c r="G1074" s="40" t="s">
        <v>11404</v>
      </c>
    </row>
    <row r="1075">
      <c r="A1075" s="39"/>
      <c r="E1075" s="40" t="s">
        <v>11404</v>
      </c>
      <c r="F1075" s="40"/>
      <c r="G1075" s="40" t="s">
        <v>11404</v>
      </c>
    </row>
    <row r="1076">
      <c r="A1076" s="39"/>
      <c r="E1076" s="40" t="s">
        <v>11404</v>
      </c>
      <c r="F1076" s="40"/>
      <c r="G1076" s="40" t="s">
        <v>11404</v>
      </c>
    </row>
    <row r="1077">
      <c r="A1077" s="39"/>
      <c r="E1077" s="40" t="s">
        <v>11404</v>
      </c>
      <c r="F1077" s="40"/>
      <c r="G1077" s="40" t="s">
        <v>11404</v>
      </c>
    </row>
    <row r="1078">
      <c r="A1078" s="39"/>
      <c r="E1078" s="40" t="s">
        <v>11404</v>
      </c>
      <c r="F1078" s="40"/>
      <c r="G1078" s="40" t="s">
        <v>11404</v>
      </c>
    </row>
    <row r="1079">
      <c r="A1079" s="39"/>
      <c r="E1079" s="40" t="s">
        <v>11404</v>
      </c>
      <c r="F1079" s="40"/>
      <c r="G1079" s="40" t="s">
        <v>11404</v>
      </c>
    </row>
    <row r="1080">
      <c r="A1080" s="39"/>
      <c r="E1080" s="40" t="s">
        <v>11404</v>
      </c>
      <c r="F1080" s="40"/>
      <c r="G1080" s="40" t="s">
        <v>11404</v>
      </c>
    </row>
    <row r="1081">
      <c r="A1081" s="39"/>
      <c r="E1081" s="40" t="s">
        <v>11404</v>
      </c>
      <c r="F1081" s="40"/>
      <c r="G1081" s="40" t="s">
        <v>11404</v>
      </c>
    </row>
    <row r="1082">
      <c r="A1082" s="39"/>
      <c r="E1082" s="40" t="s">
        <v>11404</v>
      </c>
      <c r="F1082" s="40"/>
      <c r="G1082" s="40" t="s">
        <v>11404</v>
      </c>
    </row>
    <row r="1083">
      <c r="A1083" s="39"/>
      <c r="E1083" s="40" t="s">
        <v>11404</v>
      </c>
      <c r="F1083" s="40"/>
      <c r="G1083" s="40" t="s">
        <v>11404</v>
      </c>
    </row>
    <row r="1084">
      <c r="A1084" s="39"/>
      <c r="E1084" s="40" t="s">
        <v>11404</v>
      </c>
      <c r="F1084" s="40"/>
      <c r="G1084" s="40" t="s">
        <v>11404</v>
      </c>
    </row>
    <row r="1085">
      <c r="A1085" s="39"/>
      <c r="E1085" s="40" t="s">
        <v>11404</v>
      </c>
      <c r="F1085" s="40"/>
      <c r="G1085" s="40" t="s">
        <v>11404</v>
      </c>
    </row>
    <row r="1086">
      <c r="A1086" s="39"/>
      <c r="E1086" s="40" t="s">
        <v>11404</v>
      </c>
      <c r="F1086" s="40"/>
      <c r="G1086" s="40" t="s">
        <v>11404</v>
      </c>
    </row>
    <row r="1087">
      <c r="A1087" s="39"/>
      <c r="E1087" s="40" t="s">
        <v>11404</v>
      </c>
      <c r="F1087" s="40"/>
      <c r="G1087" s="40" t="s">
        <v>11404</v>
      </c>
    </row>
    <row r="1088">
      <c r="A1088" s="39"/>
      <c r="E1088" s="40" t="s">
        <v>11404</v>
      </c>
      <c r="F1088" s="40"/>
      <c r="G1088" s="40" t="s">
        <v>11404</v>
      </c>
    </row>
    <row r="1089">
      <c r="A1089" s="39"/>
      <c r="E1089" s="40" t="s">
        <v>11404</v>
      </c>
      <c r="F1089" s="40"/>
      <c r="G1089" s="40" t="s">
        <v>11404</v>
      </c>
    </row>
    <row r="1090">
      <c r="A1090" s="39"/>
      <c r="E1090" s="40" t="s">
        <v>11404</v>
      </c>
      <c r="F1090" s="40"/>
      <c r="G1090" s="40" t="s">
        <v>11404</v>
      </c>
    </row>
    <row r="1091">
      <c r="A1091" s="39"/>
      <c r="E1091" s="40" t="s">
        <v>11404</v>
      </c>
      <c r="F1091" s="40"/>
      <c r="G1091" s="40" t="s">
        <v>11404</v>
      </c>
    </row>
    <row r="1092">
      <c r="A1092" s="39"/>
      <c r="E1092" s="40" t="s">
        <v>11404</v>
      </c>
      <c r="F1092" s="40"/>
      <c r="G1092" s="40" t="s">
        <v>11404</v>
      </c>
    </row>
    <row r="1093">
      <c r="A1093" s="39"/>
      <c r="E1093" s="40" t="s">
        <v>11404</v>
      </c>
      <c r="F1093" s="40"/>
      <c r="G1093" s="40" t="s">
        <v>11404</v>
      </c>
    </row>
    <row r="1094">
      <c r="A1094" s="39"/>
      <c r="E1094" s="40" t="s">
        <v>11404</v>
      </c>
      <c r="F1094" s="40"/>
      <c r="G1094" s="40" t="s">
        <v>11404</v>
      </c>
    </row>
    <row r="1095">
      <c r="A1095" s="39"/>
      <c r="E1095" s="40" t="s">
        <v>11404</v>
      </c>
      <c r="F1095" s="40"/>
      <c r="G1095" s="40" t="s">
        <v>11404</v>
      </c>
    </row>
    <row r="1096">
      <c r="A1096" s="39"/>
      <c r="E1096" s="40" t="s">
        <v>11404</v>
      </c>
      <c r="F1096" s="40"/>
      <c r="G1096" s="40" t="s">
        <v>11404</v>
      </c>
    </row>
    <row r="1097">
      <c r="A1097" s="39"/>
      <c r="E1097" s="40" t="s">
        <v>11404</v>
      </c>
      <c r="F1097" s="40"/>
      <c r="G1097" s="40" t="s">
        <v>11404</v>
      </c>
    </row>
    <row r="1098">
      <c r="A1098" s="39"/>
      <c r="E1098" s="40" t="s">
        <v>11404</v>
      </c>
      <c r="F1098" s="40"/>
      <c r="G1098" s="40" t="s">
        <v>11404</v>
      </c>
    </row>
    <row r="1099">
      <c r="A1099" s="39"/>
      <c r="E1099" s="40" t="s">
        <v>11404</v>
      </c>
      <c r="F1099" s="40"/>
      <c r="G1099" s="40" t="s">
        <v>11404</v>
      </c>
    </row>
    <row r="1100">
      <c r="A1100" s="39"/>
      <c r="E1100" s="40" t="s">
        <v>11404</v>
      </c>
      <c r="F1100" s="40"/>
      <c r="G1100" s="40" t="s">
        <v>11404</v>
      </c>
    </row>
    <row r="1101">
      <c r="A1101" s="39"/>
      <c r="E1101" s="40" t="s">
        <v>11404</v>
      </c>
      <c r="F1101" s="40"/>
      <c r="G1101" s="40" t="s">
        <v>11404</v>
      </c>
    </row>
    <row r="1102">
      <c r="A1102" s="39"/>
      <c r="E1102" s="40" t="s">
        <v>11404</v>
      </c>
      <c r="F1102" s="40"/>
      <c r="G1102" s="40" t="s">
        <v>11404</v>
      </c>
    </row>
    <row r="1103">
      <c r="A1103" s="39"/>
      <c r="E1103" s="40" t="s">
        <v>11404</v>
      </c>
      <c r="F1103" s="40"/>
      <c r="G1103" s="40" t="s">
        <v>11404</v>
      </c>
    </row>
    <row r="1104">
      <c r="A1104" s="39"/>
      <c r="E1104" s="40" t="s">
        <v>11404</v>
      </c>
      <c r="F1104" s="40"/>
      <c r="G1104" s="40" t="s">
        <v>11404</v>
      </c>
    </row>
    <row r="1105">
      <c r="A1105" s="39"/>
      <c r="E1105" s="40" t="s">
        <v>11404</v>
      </c>
      <c r="F1105" s="40"/>
      <c r="G1105" s="40" t="s">
        <v>11404</v>
      </c>
    </row>
    <row r="1106">
      <c r="A1106" s="39"/>
      <c r="E1106" s="40" t="s">
        <v>11404</v>
      </c>
      <c r="F1106" s="40"/>
      <c r="G1106" s="40" t="s">
        <v>11404</v>
      </c>
    </row>
    <row r="1107">
      <c r="A1107" s="39"/>
      <c r="E1107" s="40" t="s">
        <v>11404</v>
      </c>
      <c r="F1107" s="40"/>
      <c r="G1107" s="40" t="s">
        <v>11404</v>
      </c>
    </row>
    <row r="1108">
      <c r="A1108" s="39"/>
      <c r="E1108" s="40" t="s">
        <v>11404</v>
      </c>
      <c r="F1108" s="40"/>
      <c r="G1108" s="40" t="s">
        <v>11404</v>
      </c>
    </row>
    <row r="1109">
      <c r="A1109" s="39"/>
      <c r="E1109" s="40" t="s">
        <v>11404</v>
      </c>
      <c r="F1109" s="40"/>
      <c r="G1109" s="40" t="s">
        <v>11404</v>
      </c>
    </row>
    <row r="1110">
      <c r="A1110" s="39"/>
      <c r="E1110" s="40" t="s">
        <v>11404</v>
      </c>
      <c r="F1110" s="40"/>
      <c r="G1110" s="40" t="s">
        <v>11404</v>
      </c>
    </row>
    <row r="1111">
      <c r="A1111" s="39"/>
      <c r="E1111" s="40" t="s">
        <v>11404</v>
      </c>
      <c r="F1111" s="40"/>
      <c r="G1111" s="40" t="s">
        <v>11404</v>
      </c>
    </row>
    <row r="1112">
      <c r="A1112" s="39"/>
      <c r="E1112" s="40" t="s">
        <v>11404</v>
      </c>
      <c r="F1112" s="40"/>
      <c r="G1112" s="40" t="s">
        <v>11404</v>
      </c>
    </row>
    <row r="1113">
      <c r="A1113" s="39"/>
      <c r="E1113" s="40" t="s">
        <v>11404</v>
      </c>
      <c r="F1113" s="40"/>
      <c r="G1113" s="40" t="s">
        <v>11404</v>
      </c>
    </row>
    <row r="1114">
      <c r="A1114" s="39"/>
      <c r="E1114" s="40" t="s">
        <v>11404</v>
      </c>
      <c r="F1114" s="40"/>
      <c r="G1114" s="40" t="s">
        <v>11404</v>
      </c>
    </row>
    <row r="1115">
      <c r="A1115" s="39"/>
      <c r="E1115" s="40" t="s">
        <v>11404</v>
      </c>
      <c r="F1115" s="40"/>
      <c r="G1115" s="40" t="s">
        <v>11404</v>
      </c>
    </row>
    <row r="1116">
      <c r="A1116" s="39"/>
      <c r="E1116" s="40" t="s">
        <v>11404</v>
      </c>
      <c r="F1116" s="40"/>
      <c r="G1116" s="40" t="s">
        <v>11404</v>
      </c>
    </row>
    <row r="1117">
      <c r="A1117" s="39"/>
      <c r="E1117" s="40" t="s">
        <v>11404</v>
      </c>
      <c r="F1117" s="40"/>
      <c r="G1117" s="40" t="s">
        <v>11404</v>
      </c>
    </row>
    <row r="1118">
      <c r="A1118" s="39"/>
      <c r="E1118" s="40" t="s">
        <v>11404</v>
      </c>
      <c r="F1118" s="40"/>
      <c r="G1118" s="40" t="s">
        <v>11404</v>
      </c>
    </row>
    <row r="1119">
      <c r="A1119" s="39"/>
      <c r="E1119" s="40" t="s">
        <v>11404</v>
      </c>
      <c r="F1119" s="40"/>
      <c r="G1119" s="40" t="s">
        <v>11404</v>
      </c>
    </row>
    <row r="1120">
      <c r="A1120" s="39"/>
      <c r="E1120" s="40" t="s">
        <v>11404</v>
      </c>
      <c r="F1120" s="40"/>
      <c r="G1120" s="40" t="s">
        <v>11404</v>
      </c>
    </row>
    <row r="1121">
      <c r="A1121" s="39"/>
      <c r="E1121" s="40" t="s">
        <v>11404</v>
      </c>
      <c r="F1121" s="40"/>
      <c r="G1121" s="40" t="s">
        <v>11404</v>
      </c>
    </row>
    <row r="1122">
      <c r="A1122" s="39"/>
      <c r="E1122" s="40" t="s">
        <v>11404</v>
      </c>
      <c r="F1122" s="40"/>
      <c r="G1122" s="40" t="s">
        <v>11404</v>
      </c>
    </row>
    <row r="1123">
      <c r="A1123" s="39"/>
      <c r="E1123" s="40" t="s">
        <v>11404</v>
      </c>
      <c r="F1123" s="40"/>
      <c r="G1123" s="40" t="s">
        <v>11404</v>
      </c>
    </row>
    <row r="1124">
      <c r="A1124" s="39"/>
      <c r="E1124" s="40" t="s">
        <v>11404</v>
      </c>
      <c r="F1124" s="40"/>
      <c r="G1124" s="40" t="s">
        <v>11404</v>
      </c>
    </row>
    <row r="1125">
      <c r="A1125" s="39"/>
      <c r="E1125" s="40" t="s">
        <v>11404</v>
      </c>
      <c r="F1125" s="40"/>
      <c r="G1125" s="40" t="s">
        <v>11404</v>
      </c>
    </row>
    <row r="1126">
      <c r="A1126" s="39"/>
      <c r="E1126" s="40" t="s">
        <v>11404</v>
      </c>
      <c r="F1126" s="40"/>
      <c r="G1126" s="40" t="s">
        <v>11404</v>
      </c>
    </row>
    <row r="1127">
      <c r="A1127" s="39"/>
      <c r="E1127" s="40" t="s">
        <v>11404</v>
      </c>
      <c r="F1127" s="40"/>
      <c r="G1127" s="40" t="s">
        <v>11404</v>
      </c>
    </row>
    <row r="1128">
      <c r="A1128" s="39"/>
      <c r="E1128" s="40" t="s">
        <v>11404</v>
      </c>
      <c r="F1128" s="40"/>
      <c r="G1128" s="40" t="s">
        <v>11404</v>
      </c>
    </row>
    <row r="1129">
      <c r="A1129" s="39"/>
      <c r="E1129" s="40" t="s">
        <v>11404</v>
      </c>
      <c r="F1129" s="40"/>
      <c r="G1129" s="40" t="s">
        <v>11404</v>
      </c>
    </row>
    <row r="1130">
      <c r="A1130" s="39"/>
      <c r="E1130" s="40" t="s">
        <v>11404</v>
      </c>
      <c r="F1130" s="40"/>
      <c r="G1130" s="40" t="s">
        <v>11404</v>
      </c>
    </row>
    <row r="1131">
      <c r="A1131" s="39"/>
      <c r="E1131" s="40" t="s">
        <v>11404</v>
      </c>
      <c r="F1131" s="40"/>
      <c r="G1131" s="40" t="s">
        <v>11404</v>
      </c>
    </row>
    <row r="1132">
      <c r="A1132" s="39"/>
      <c r="E1132" s="40" t="s">
        <v>11404</v>
      </c>
      <c r="F1132" s="40"/>
      <c r="G1132" s="40" t="s">
        <v>11404</v>
      </c>
    </row>
    <row r="1133">
      <c r="A1133" s="39"/>
      <c r="E1133" s="40" t="s">
        <v>11404</v>
      </c>
      <c r="F1133" s="40"/>
      <c r="G1133" s="40" t="s">
        <v>11404</v>
      </c>
    </row>
    <row r="1134">
      <c r="A1134" s="39"/>
      <c r="E1134" s="40" t="s">
        <v>11404</v>
      </c>
      <c r="F1134" s="40"/>
      <c r="G1134" s="40" t="s">
        <v>11404</v>
      </c>
    </row>
    <row r="1135">
      <c r="A1135" s="39"/>
      <c r="E1135" s="40" t="s">
        <v>11404</v>
      </c>
      <c r="F1135" s="40"/>
      <c r="G1135" s="40" t="s">
        <v>11404</v>
      </c>
    </row>
    <row r="1136">
      <c r="A1136" s="39"/>
      <c r="E1136" s="40" t="s">
        <v>11404</v>
      </c>
      <c r="F1136" s="40"/>
      <c r="G1136" s="40" t="s">
        <v>11404</v>
      </c>
    </row>
    <row r="1137">
      <c r="A1137" s="39"/>
      <c r="E1137" s="40" t="s">
        <v>11404</v>
      </c>
      <c r="F1137" s="40"/>
      <c r="G1137" s="40" t="s">
        <v>11404</v>
      </c>
    </row>
    <row r="1138">
      <c r="A1138" s="39"/>
      <c r="E1138" s="40" t="s">
        <v>11404</v>
      </c>
      <c r="F1138" s="40"/>
      <c r="G1138" s="40" t="s">
        <v>11404</v>
      </c>
    </row>
    <row r="1139">
      <c r="A1139" s="39"/>
      <c r="E1139" s="40" t="s">
        <v>11404</v>
      </c>
      <c r="F1139" s="40"/>
      <c r="G1139" s="40" t="s">
        <v>11404</v>
      </c>
    </row>
    <row r="1140">
      <c r="A1140" s="39"/>
      <c r="E1140" s="40" t="s">
        <v>11404</v>
      </c>
      <c r="F1140" s="40"/>
      <c r="G1140" s="40" t="s">
        <v>11404</v>
      </c>
    </row>
    <row r="1141">
      <c r="A1141" s="39"/>
      <c r="E1141" s="40" t="s">
        <v>11404</v>
      </c>
      <c r="F1141" s="40"/>
      <c r="G1141" s="40" t="s">
        <v>11404</v>
      </c>
    </row>
    <row r="1142">
      <c r="A1142" s="39"/>
      <c r="E1142" s="40" t="s">
        <v>11404</v>
      </c>
      <c r="F1142" s="40"/>
      <c r="G1142" s="40" t="s">
        <v>11404</v>
      </c>
    </row>
    <row r="1143">
      <c r="A1143" s="39"/>
      <c r="E1143" s="40" t="s">
        <v>11404</v>
      </c>
      <c r="F1143" s="40"/>
      <c r="G1143" s="40" t="s">
        <v>11404</v>
      </c>
    </row>
    <row r="1144">
      <c r="A1144" s="39"/>
      <c r="E1144" s="40" t="s">
        <v>11404</v>
      </c>
      <c r="F1144" s="40"/>
      <c r="G1144" s="40" t="s">
        <v>11404</v>
      </c>
    </row>
    <row r="1145">
      <c r="A1145" s="39"/>
      <c r="E1145" s="40" t="s">
        <v>11404</v>
      </c>
      <c r="F1145" s="40"/>
      <c r="G1145" s="40" t="s">
        <v>11404</v>
      </c>
    </row>
    <row r="1146">
      <c r="A1146" s="39"/>
      <c r="E1146" s="40" t="s">
        <v>11404</v>
      </c>
      <c r="F1146" s="40"/>
      <c r="G1146" s="40" t="s">
        <v>11404</v>
      </c>
    </row>
    <row r="1147">
      <c r="A1147" s="39"/>
      <c r="E1147" s="40" t="s">
        <v>11404</v>
      </c>
      <c r="F1147" s="40"/>
      <c r="G1147" s="40" t="s">
        <v>11404</v>
      </c>
    </row>
    <row r="1148">
      <c r="A1148" s="39"/>
      <c r="E1148" s="40" t="s">
        <v>11404</v>
      </c>
      <c r="F1148" s="40"/>
      <c r="G1148" s="40" t="s">
        <v>11404</v>
      </c>
    </row>
    <row r="1149">
      <c r="A1149" s="39"/>
      <c r="E1149" s="40" t="s">
        <v>11404</v>
      </c>
      <c r="F1149" s="40"/>
      <c r="G1149" s="40" t="s">
        <v>11404</v>
      </c>
    </row>
    <row r="1150">
      <c r="A1150" s="39"/>
      <c r="E1150" s="40" t="s">
        <v>11404</v>
      </c>
      <c r="F1150" s="40"/>
      <c r="G1150" s="40" t="s">
        <v>11404</v>
      </c>
    </row>
    <row r="1151">
      <c r="A1151" s="39"/>
      <c r="E1151" s="40" t="s">
        <v>11404</v>
      </c>
      <c r="F1151" s="40"/>
      <c r="G1151" s="40" t="s">
        <v>11404</v>
      </c>
    </row>
    <row r="1152">
      <c r="A1152" s="39"/>
      <c r="E1152" s="40" t="s">
        <v>11404</v>
      </c>
      <c r="F1152" s="40"/>
      <c r="G1152" s="40" t="s">
        <v>11404</v>
      </c>
    </row>
    <row r="1153">
      <c r="A1153" s="39"/>
      <c r="E1153" s="40" t="s">
        <v>11404</v>
      </c>
      <c r="F1153" s="40"/>
      <c r="G1153" s="40" t="s">
        <v>11404</v>
      </c>
    </row>
    <row r="1154">
      <c r="A1154" s="39"/>
      <c r="E1154" s="40" t="s">
        <v>11404</v>
      </c>
      <c r="F1154" s="40"/>
      <c r="G1154" s="40" t="s">
        <v>11404</v>
      </c>
    </row>
    <row r="1155">
      <c r="A1155" s="39"/>
      <c r="E1155" s="40" t="s">
        <v>11404</v>
      </c>
      <c r="F1155" s="40"/>
      <c r="G1155" s="40" t="s">
        <v>11404</v>
      </c>
    </row>
    <row r="1156">
      <c r="A1156" s="39"/>
      <c r="E1156" s="40" t="s">
        <v>11404</v>
      </c>
      <c r="F1156" s="40"/>
      <c r="G1156" s="40" t="s">
        <v>11404</v>
      </c>
    </row>
    <row r="1157">
      <c r="A1157" s="39"/>
      <c r="E1157" s="40" t="s">
        <v>11404</v>
      </c>
      <c r="F1157" s="40"/>
      <c r="G1157" s="40" t="s">
        <v>11404</v>
      </c>
    </row>
    <row r="1158">
      <c r="A1158" s="39"/>
      <c r="E1158" s="40" t="s">
        <v>11404</v>
      </c>
      <c r="F1158" s="40"/>
      <c r="G1158" s="40" t="s">
        <v>11404</v>
      </c>
    </row>
    <row r="1159">
      <c r="A1159" s="39"/>
      <c r="E1159" s="40" t="s">
        <v>11404</v>
      </c>
      <c r="F1159" s="40"/>
      <c r="G1159" s="40" t="s">
        <v>11404</v>
      </c>
    </row>
    <row r="1160">
      <c r="A1160" s="39"/>
      <c r="E1160" s="40" t="s">
        <v>11404</v>
      </c>
      <c r="F1160" s="40"/>
      <c r="G1160" s="40" t="s">
        <v>11404</v>
      </c>
    </row>
    <row r="1161">
      <c r="A1161" s="39"/>
      <c r="E1161" s="40" t="s">
        <v>11404</v>
      </c>
      <c r="F1161" s="40"/>
      <c r="G1161" s="40" t="s">
        <v>11404</v>
      </c>
    </row>
    <row r="1162">
      <c r="A1162" s="39"/>
      <c r="E1162" s="40" t="s">
        <v>11404</v>
      </c>
      <c r="F1162" s="40"/>
      <c r="G1162" s="40" t="s">
        <v>11404</v>
      </c>
    </row>
    <row r="1163">
      <c r="A1163" s="39"/>
      <c r="E1163" s="40" t="s">
        <v>11404</v>
      </c>
      <c r="F1163" s="40"/>
      <c r="G1163" s="40" t="s">
        <v>11404</v>
      </c>
    </row>
    <row r="1164">
      <c r="A1164" s="39"/>
      <c r="E1164" s="40" t="s">
        <v>11404</v>
      </c>
      <c r="F1164" s="40"/>
      <c r="G1164" s="40" t="s">
        <v>11404</v>
      </c>
    </row>
    <row r="1165">
      <c r="A1165" s="39"/>
      <c r="E1165" s="40" t="s">
        <v>11404</v>
      </c>
      <c r="F1165" s="40"/>
      <c r="G1165" s="40" t="s">
        <v>11404</v>
      </c>
    </row>
    <row r="1166">
      <c r="A1166" s="39"/>
      <c r="E1166" s="40" t="s">
        <v>11404</v>
      </c>
      <c r="F1166" s="40"/>
      <c r="G1166" s="40" t="s">
        <v>11404</v>
      </c>
    </row>
    <row r="1167">
      <c r="A1167" s="39"/>
      <c r="E1167" s="40" t="s">
        <v>11404</v>
      </c>
      <c r="F1167" s="40"/>
      <c r="G1167" s="40" t="s">
        <v>11404</v>
      </c>
    </row>
    <row r="1168">
      <c r="A1168" s="39"/>
      <c r="E1168" s="40" t="s">
        <v>11404</v>
      </c>
      <c r="F1168" s="40"/>
      <c r="G1168" s="40" t="s">
        <v>11404</v>
      </c>
    </row>
    <row r="1169">
      <c r="A1169" s="39"/>
      <c r="E1169" s="40" t="s">
        <v>11404</v>
      </c>
      <c r="F1169" s="40"/>
      <c r="G1169" s="40" t="s">
        <v>11404</v>
      </c>
    </row>
    <row r="1170">
      <c r="A1170" s="39"/>
      <c r="E1170" s="40" t="s">
        <v>11404</v>
      </c>
      <c r="F1170" s="40"/>
      <c r="G1170" s="40" t="s">
        <v>11404</v>
      </c>
    </row>
    <row r="1171">
      <c r="A1171" s="39"/>
      <c r="E1171" s="40" t="s">
        <v>11404</v>
      </c>
      <c r="F1171" s="40"/>
      <c r="G1171" s="40" t="s">
        <v>11404</v>
      </c>
    </row>
    <row r="1172">
      <c r="A1172" s="39"/>
      <c r="E1172" s="40" t="s">
        <v>11404</v>
      </c>
      <c r="F1172" s="40"/>
      <c r="G1172" s="40" t="s">
        <v>11404</v>
      </c>
    </row>
    <row r="1173">
      <c r="A1173" s="39"/>
      <c r="E1173" s="40" t="s">
        <v>11404</v>
      </c>
      <c r="F1173" s="40"/>
      <c r="G1173" s="40" t="s">
        <v>11404</v>
      </c>
    </row>
    <row r="1174">
      <c r="A1174" s="39"/>
      <c r="E1174" s="40" t="s">
        <v>11404</v>
      </c>
      <c r="F1174" s="40"/>
      <c r="G1174" s="40" t="s">
        <v>11404</v>
      </c>
    </row>
    <row r="1175">
      <c r="A1175" s="39"/>
      <c r="E1175" s="40" t="s">
        <v>11404</v>
      </c>
      <c r="F1175" s="40"/>
      <c r="G1175" s="40" t="s">
        <v>11404</v>
      </c>
    </row>
    <row r="1176">
      <c r="A1176" s="39"/>
      <c r="E1176" s="40" t="s">
        <v>11404</v>
      </c>
      <c r="F1176" s="40"/>
      <c r="G1176" s="40" t="s">
        <v>11404</v>
      </c>
    </row>
    <row r="1177">
      <c r="A1177" s="39"/>
      <c r="E1177" s="40" t="s">
        <v>11404</v>
      </c>
      <c r="F1177" s="40"/>
      <c r="G1177" s="40" t="s">
        <v>11404</v>
      </c>
    </row>
    <row r="1178">
      <c r="A1178" s="39"/>
      <c r="E1178" s="40" t="s">
        <v>11404</v>
      </c>
      <c r="F1178" s="40"/>
      <c r="G1178" s="40" t="s">
        <v>11404</v>
      </c>
    </row>
    <row r="1179">
      <c r="A1179" s="39"/>
      <c r="E1179" s="40" t="s">
        <v>11404</v>
      </c>
      <c r="F1179" s="40"/>
      <c r="G1179" s="40" t="s">
        <v>11404</v>
      </c>
    </row>
    <row r="1180">
      <c r="A1180" s="39"/>
      <c r="E1180" s="40" t="s">
        <v>11404</v>
      </c>
      <c r="F1180" s="40"/>
      <c r="G1180" s="40" t="s">
        <v>11404</v>
      </c>
    </row>
    <row r="1181">
      <c r="A1181" s="39"/>
      <c r="E1181" s="40" t="s">
        <v>11404</v>
      </c>
      <c r="F1181" s="40"/>
      <c r="G1181" s="40" t="s">
        <v>11404</v>
      </c>
    </row>
    <row r="1182">
      <c r="A1182" s="39"/>
      <c r="E1182" s="40" t="s">
        <v>11404</v>
      </c>
      <c r="F1182" s="40"/>
      <c r="G1182" s="40" t="s">
        <v>11404</v>
      </c>
    </row>
    <row r="1183">
      <c r="A1183" s="39"/>
      <c r="E1183" s="40" t="s">
        <v>11404</v>
      </c>
      <c r="F1183" s="40"/>
      <c r="G1183" s="40" t="s">
        <v>11404</v>
      </c>
    </row>
    <row r="1184">
      <c r="A1184" s="39"/>
      <c r="E1184" s="40" t="s">
        <v>11404</v>
      </c>
      <c r="F1184" s="40"/>
      <c r="G1184" s="40" t="s">
        <v>11404</v>
      </c>
    </row>
    <row r="1185">
      <c r="A1185" s="39"/>
      <c r="E1185" s="40" t="s">
        <v>11404</v>
      </c>
      <c r="F1185" s="40"/>
      <c r="G1185" s="40" t="s">
        <v>11404</v>
      </c>
    </row>
    <row r="1186">
      <c r="A1186" s="39"/>
      <c r="E1186" s="40" t="s">
        <v>11404</v>
      </c>
      <c r="F1186" s="40"/>
      <c r="G1186" s="40" t="s">
        <v>11404</v>
      </c>
    </row>
    <row r="1187">
      <c r="A1187" s="39"/>
      <c r="E1187" s="40" t="s">
        <v>11404</v>
      </c>
      <c r="F1187" s="40"/>
      <c r="G1187" s="40" t="s">
        <v>11404</v>
      </c>
    </row>
    <row r="1188">
      <c r="A1188" s="39"/>
      <c r="E1188" s="40" t="s">
        <v>11404</v>
      </c>
      <c r="F1188" s="40"/>
      <c r="G1188" s="40" t="s">
        <v>11404</v>
      </c>
    </row>
    <row r="1189">
      <c r="A1189" s="39"/>
      <c r="E1189" s="40" t="s">
        <v>11404</v>
      </c>
      <c r="F1189" s="40"/>
      <c r="G1189" s="40" t="s">
        <v>11404</v>
      </c>
    </row>
    <row r="1190">
      <c r="A1190" s="39"/>
      <c r="E1190" s="40" t="s">
        <v>11404</v>
      </c>
      <c r="F1190" s="40"/>
      <c r="G1190" s="40" t="s">
        <v>11404</v>
      </c>
    </row>
    <row r="1191">
      <c r="A1191" s="39"/>
      <c r="E1191" s="40" t="s">
        <v>11404</v>
      </c>
      <c r="F1191" s="40"/>
      <c r="G1191" s="40" t="s">
        <v>11404</v>
      </c>
    </row>
    <row r="1192">
      <c r="A1192" s="39"/>
      <c r="E1192" s="40" t="s">
        <v>11404</v>
      </c>
      <c r="F1192" s="40"/>
      <c r="G1192" s="40" t="s">
        <v>11404</v>
      </c>
    </row>
    <row r="1193">
      <c r="A1193" s="39"/>
      <c r="E1193" s="40" t="s">
        <v>11404</v>
      </c>
      <c r="F1193" s="40"/>
      <c r="G1193" s="40" t="s">
        <v>11404</v>
      </c>
    </row>
    <row r="1194">
      <c r="A1194" s="39"/>
      <c r="E1194" s="40" t="s">
        <v>11404</v>
      </c>
      <c r="F1194" s="40"/>
      <c r="G1194" s="40" t="s">
        <v>11404</v>
      </c>
    </row>
    <row r="1195">
      <c r="A1195" s="39"/>
      <c r="E1195" s="40" t="s">
        <v>11404</v>
      </c>
      <c r="F1195" s="40"/>
      <c r="G1195" s="40" t="s">
        <v>11404</v>
      </c>
    </row>
    <row r="1196">
      <c r="A1196" s="39"/>
      <c r="E1196" s="40" t="s">
        <v>11404</v>
      </c>
      <c r="F1196" s="40"/>
      <c r="G1196" s="40" t="s">
        <v>11404</v>
      </c>
    </row>
    <row r="1197">
      <c r="A1197" s="39"/>
      <c r="E1197" s="40" t="s">
        <v>11404</v>
      </c>
      <c r="F1197" s="40"/>
      <c r="G1197" s="40" t="s">
        <v>11404</v>
      </c>
    </row>
    <row r="1198">
      <c r="A1198" s="39"/>
      <c r="E1198" s="40" t="s">
        <v>11404</v>
      </c>
      <c r="F1198" s="40"/>
      <c r="G1198" s="40" t="s">
        <v>11404</v>
      </c>
    </row>
    <row r="1199">
      <c r="A1199" s="39"/>
      <c r="E1199" s="40" t="s">
        <v>11404</v>
      </c>
      <c r="F1199" s="40"/>
      <c r="G1199" s="40" t="s">
        <v>11404</v>
      </c>
    </row>
    <row r="1200">
      <c r="A1200" s="39"/>
      <c r="E1200" s="40" t="s">
        <v>11404</v>
      </c>
      <c r="F1200" s="40"/>
      <c r="G1200" s="40" t="s">
        <v>11404</v>
      </c>
    </row>
    <row r="1201">
      <c r="A1201" s="39"/>
      <c r="E1201" s="40" t="s">
        <v>11404</v>
      </c>
      <c r="F1201" s="40"/>
      <c r="G1201" s="40" t="s">
        <v>11404</v>
      </c>
    </row>
    <row r="1202">
      <c r="A1202" s="39"/>
      <c r="E1202" s="40" t="s">
        <v>11404</v>
      </c>
      <c r="F1202" s="40"/>
      <c r="G1202" s="40" t="s">
        <v>11404</v>
      </c>
    </row>
    <row r="1203">
      <c r="A1203" s="39"/>
      <c r="E1203" s="40" t="s">
        <v>11404</v>
      </c>
      <c r="F1203" s="40"/>
      <c r="G1203" s="40" t="s">
        <v>11404</v>
      </c>
    </row>
    <row r="1204">
      <c r="A1204" s="39"/>
      <c r="E1204" s="40" t="s">
        <v>11404</v>
      </c>
      <c r="F1204" s="40"/>
      <c r="G1204" s="40" t="s">
        <v>11404</v>
      </c>
    </row>
    <row r="1205">
      <c r="A1205" s="39"/>
      <c r="E1205" s="40" t="s">
        <v>11404</v>
      </c>
      <c r="F1205" s="40"/>
      <c r="G1205" s="40" t="s">
        <v>11404</v>
      </c>
    </row>
    <row r="1206">
      <c r="A1206" s="39"/>
      <c r="E1206" s="40" t="s">
        <v>11404</v>
      </c>
      <c r="F1206" s="40"/>
      <c r="G1206" s="40" t="s">
        <v>11404</v>
      </c>
    </row>
    <row r="1207">
      <c r="A1207" s="39"/>
      <c r="E1207" s="40" t="s">
        <v>11404</v>
      </c>
      <c r="F1207" s="40"/>
      <c r="G1207" s="40" t="s">
        <v>11404</v>
      </c>
    </row>
    <row r="1208">
      <c r="A1208" s="39"/>
      <c r="E1208" s="40" t="s">
        <v>11404</v>
      </c>
      <c r="F1208" s="40"/>
      <c r="G1208" s="40" t="s">
        <v>11404</v>
      </c>
    </row>
    <row r="1209">
      <c r="A1209" s="39"/>
      <c r="E1209" s="40" t="s">
        <v>11404</v>
      </c>
      <c r="F1209" s="40"/>
      <c r="G1209" s="40" t="s">
        <v>11404</v>
      </c>
    </row>
    <row r="1210">
      <c r="A1210" s="39"/>
      <c r="E1210" s="40" t="s">
        <v>11404</v>
      </c>
      <c r="F1210" s="40"/>
      <c r="G1210" s="40" t="s">
        <v>11404</v>
      </c>
    </row>
    <row r="1211">
      <c r="A1211" s="39"/>
      <c r="E1211" s="40" t="s">
        <v>11404</v>
      </c>
      <c r="F1211" s="40"/>
      <c r="G1211" s="40" t="s">
        <v>11404</v>
      </c>
    </row>
    <row r="1212">
      <c r="A1212" s="39"/>
      <c r="E1212" s="40" t="s">
        <v>11404</v>
      </c>
      <c r="F1212" s="40"/>
      <c r="G1212" s="40" t="s">
        <v>11404</v>
      </c>
    </row>
    <row r="1213">
      <c r="A1213" s="39"/>
      <c r="E1213" s="40" t="s">
        <v>11404</v>
      </c>
      <c r="F1213" s="40"/>
      <c r="G1213" s="40" t="s">
        <v>11404</v>
      </c>
    </row>
    <row r="1214">
      <c r="A1214" s="39"/>
      <c r="E1214" s="40" t="s">
        <v>11404</v>
      </c>
      <c r="F1214" s="40"/>
      <c r="G1214" s="40" t="s">
        <v>11404</v>
      </c>
    </row>
    <row r="1215">
      <c r="A1215" s="39"/>
      <c r="E1215" s="40" t="s">
        <v>11404</v>
      </c>
      <c r="F1215" s="40"/>
      <c r="G1215" s="40" t="s">
        <v>11404</v>
      </c>
    </row>
    <row r="1216">
      <c r="A1216" s="39"/>
      <c r="E1216" s="40" t="s">
        <v>11404</v>
      </c>
      <c r="F1216" s="40"/>
      <c r="G1216" s="40" t="s">
        <v>11404</v>
      </c>
    </row>
    <row r="1217">
      <c r="A1217" s="39"/>
      <c r="E1217" s="40" t="s">
        <v>11404</v>
      </c>
      <c r="F1217" s="40"/>
      <c r="G1217" s="40" t="s">
        <v>11404</v>
      </c>
    </row>
    <row r="1218">
      <c r="A1218" s="39"/>
      <c r="E1218" s="40" t="s">
        <v>11404</v>
      </c>
      <c r="F1218" s="40"/>
      <c r="G1218" s="40" t="s">
        <v>11404</v>
      </c>
    </row>
    <row r="1219">
      <c r="A1219" s="39"/>
      <c r="E1219" s="40" t="s">
        <v>11404</v>
      </c>
      <c r="F1219" s="40"/>
      <c r="G1219" s="40" t="s">
        <v>11404</v>
      </c>
    </row>
    <row r="1220">
      <c r="A1220" s="39"/>
      <c r="E1220" s="40" t="s">
        <v>11404</v>
      </c>
      <c r="F1220" s="40"/>
      <c r="G1220" s="40" t="s">
        <v>11404</v>
      </c>
    </row>
    <row r="1221">
      <c r="A1221" s="39"/>
      <c r="E1221" s="40" t="s">
        <v>11404</v>
      </c>
      <c r="F1221" s="40"/>
      <c r="G1221" s="40" t="s">
        <v>11404</v>
      </c>
    </row>
    <row r="1222">
      <c r="A1222" s="39"/>
      <c r="E1222" s="40" t="s">
        <v>11404</v>
      </c>
      <c r="F1222" s="40"/>
      <c r="G1222" s="40" t="s">
        <v>11404</v>
      </c>
    </row>
    <row r="1223">
      <c r="A1223" s="39"/>
      <c r="E1223" s="40" t="s">
        <v>11404</v>
      </c>
      <c r="F1223" s="40"/>
      <c r="G1223" s="40" t="s">
        <v>11404</v>
      </c>
    </row>
    <row r="1224">
      <c r="A1224" s="39"/>
      <c r="E1224" s="40" t="s">
        <v>11404</v>
      </c>
      <c r="F1224" s="40"/>
      <c r="G1224" s="40" t="s">
        <v>11404</v>
      </c>
    </row>
    <row r="1225">
      <c r="A1225" s="39"/>
      <c r="E1225" s="40" t="s">
        <v>11404</v>
      </c>
      <c r="F1225" s="40"/>
      <c r="G1225" s="40" t="s">
        <v>11404</v>
      </c>
    </row>
    <row r="1226">
      <c r="A1226" s="39"/>
      <c r="E1226" s="40" t="s">
        <v>11404</v>
      </c>
      <c r="F1226" s="40"/>
      <c r="G1226" s="40" t="s">
        <v>11404</v>
      </c>
    </row>
    <row r="1227">
      <c r="A1227" s="39"/>
      <c r="E1227" s="40" t="s">
        <v>11404</v>
      </c>
      <c r="F1227" s="40"/>
      <c r="G1227" s="40" t="s">
        <v>11404</v>
      </c>
    </row>
    <row r="1228">
      <c r="A1228" s="39"/>
      <c r="E1228" s="40" t="s">
        <v>11404</v>
      </c>
      <c r="F1228" s="40"/>
      <c r="G1228" s="40" t="s">
        <v>11404</v>
      </c>
    </row>
    <row r="1229">
      <c r="A1229" s="39"/>
      <c r="E1229" s="40" t="s">
        <v>11404</v>
      </c>
      <c r="F1229" s="40"/>
      <c r="G1229" s="40" t="s">
        <v>11404</v>
      </c>
    </row>
    <row r="1230">
      <c r="A1230" s="39"/>
      <c r="E1230" s="40" t="s">
        <v>11404</v>
      </c>
      <c r="F1230" s="40"/>
      <c r="G1230" s="40" t="s">
        <v>11404</v>
      </c>
    </row>
    <row r="1231">
      <c r="A1231" s="39"/>
      <c r="E1231" s="40" t="s">
        <v>11404</v>
      </c>
      <c r="F1231" s="40"/>
      <c r="G1231" s="40" t="s">
        <v>11404</v>
      </c>
    </row>
    <row r="1232">
      <c r="A1232" s="39"/>
      <c r="E1232" s="40" t="s">
        <v>11404</v>
      </c>
      <c r="F1232" s="40"/>
      <c r="G1232" s="40" t="s">
        <v>11404</v>
      </c>
    </row>
    <row r="1233">
      <c r="A1233" s="39"/>
      <c r="E1233" s="40" t="s">
        <v>11404</v>
      </c>
      <c r="F1233" s="40"/>
      <c r="G1233" s="40" t="s">
        <v>11404</v>
      </c>
    </row>
    <row r="1234">
      <c r="A1234" s="39"/>
      <c r="E1234" s="40" t="s">
        <v>11404</v>
      </c>
      <c r="F1234" s="40"/>
      <c r="G1234" s="40" t="s">
        <v>11404</v>
      </c>
    </row>
    <row r="1235">
      <c r="A1235" s="39"/>
      <c r="E1235" s="40" t="s">
        <v>11404</v>
      </c>
      <c r="F1235" s="40"/>
      <c r="G1235" s="40" t="s">
        <v>11404</v>
      </c>
    </row>
    <row r="1236">
      <c r="A1236" s="39"/>
      <c r="E1236" s="40" t="s">
        <v>11404</v>
      </c>
      <c r="F1236" s="40"/>
      <c r="G1236" s="40" t="s">
        <v>11404</v>
      </c>
    </row>
    <row r="1237">
      <c r="A1237" s="39"/>
      <c r="E1237" s="40" t="s">
        <v>11404</v>
      </c>
      <c r="F1237" s="40"/>
      <c r="G1237" s="40" t="s">
        <v>11404</v>
      </c>
    </row>
    <row r="1238">
      <c r="A1238" s="39"/>
      <c r="E1238" s="40" t="s">
        <v>11404</v>
      </c>
      <c r="F1238" s="40"/>
      <c r="G1238" s="40" t="s">
        <v>11404</v>
      </c>
    </row>
    <row r="1239">
      <c r="A1239" s="39"/>
      <c r="E1239" s="40" t="s">
        <v>11404</v>
      </c>
      <c r="F1239" s="40"/>
      <c r="G1239" s="40" t="s">
        <v>11404</v>
      </c>
    </row>
    <row r="1240">
      <c r="A1240" s="39"/>
      <c r="E1240" s="40" t="s">
        <v>11404</v>
      </c>
      <c r="F1240" s="40"/>
      <c r="G1240" s="40" t="s">
        <v>11404</v>
      </c>
    </row>
    <row r="1241">
      <c r="A1241" s="39"/>
      <c r="E1241" s="40" t="s">
        <v>11404</v>
      </c>
      <c r="F1241" s="40"/>
      <c r="G1241" s="40" t="s">
        <v>11404</v>
      </c>
    </row>
    <row r="1242">
      <c r="A1242" s="39"/>
      <c r="E1242" s="40" t="s">
        <v>11404</v>
      </c>
      <c r="F1242" s="40"/>
      <c r="G1242" s="40" t="s">
        <v>11404</v>
      </c>
    </row>
    <row r="1243">
      <c r="A1243" s="39"/>
      <c r="E1243" s="40" t="s">
        <v>11404</v>
      </c>
      <c r="F1243" s="40"/>
      <c r="G1243" s="40" t="s">
        <v>11404</v>
      </c>
    </row>
    <row r="1244">
      <c r="A1244" s="39"/>
      <c r="E1244" s="40" t="s">
        <v>11404</v>
      </c>
      <c r="F1244" s="40"/>
      <c r="G1244" s="40" t="s">
        <v>11404</v>
      </c>
    </row>
    <row r="1245">
      <c r="A1245" s="39"/>
      <c r="E1245" s="40" t="s">
        <v>11404</v>
      </c>
      <c r="F1245" s="40"/>
      <c r="G1245" s="40" t="s">
        <v>11404</v>
      </c>
    </row>
    <row r="1246">
      <c r="A1246" s="39"/>
      <c r="E1246" s="40" t="s">
        <v>11404</v>
      </c>
      <c r="F1246" s="40"/>
      <c r="G1246" s="40" t="s">
        <v>11404</v>
      </c>
    </row>
    <row r="1247">
      <c r="A1247" s="39"/>
      <c r="E1247" s="40" t="s">
        <v>11404</v>
      </c>
      <c r="F1247" s="40"/>
      <c r="G1247" s="40" t="s">
        <v>11404</v>
      </c>
    </row>
    <row r="1248">
      <c r="A1248" s="39"/>
      <c r="E1248" s="40" t="s">
        <v>11404</v>
      </c>
      <c r="F1248" s="40"/>
      <c r="G1248" s="40" t="s">
        <v>11404</v>
      </c>
    </row>
    <row r="1249">
      <c r="A1249" s="39"/>
      <c r="E1249" s="40" t="s">
        <v>11404</v>
      </c>
      <c r="F1249" s="40"/>
      <c r="G1249" s="40" t="s">
        <v>11404</v>
      </c>
    </row>
    <row r="1250">
      <c r="A1250" s="39"/>
      <c r="E1250" s="40" t="s">
        <v>11404</v>
      </c>
      <c r="F1250" s="40"/>
      <c r="G1250" s="40" t="s">
        <v>11404</v>
      </c>
    </row>
    <row r="1251">
      <c r="A1251" s="39"/>
      <c r="E1251" s="40" t="s">
        <v>11404</v>
      </c>
      <c r="F1251" s="40"/>
      <c r="G1251" s="40" t="s">
        <v>11404</v>
      </c>
    </row>
    <row r="1252">
      <c r="A1252" s="39"/>
      <c r="E1252" s="40" t="s">
        <v>11404</v>
      </c>
      <c r="F1252" s="40"/>
      <c r="G1252" s="40" t="s">
        <v>11404</v>
      </c>
    </row>
    <row r="1253">
      <c r="A1253" s="39"/>
      <c r="E1253" s="40" t="s">
        <v>11404</v>
      </c>
      <c r="F1253" s="40"/>
      <c r="G1253" s="40" t="s">
        <v>11404</v>
      </c>
    </row>
    <row r="1254">
      <c r="A1254" s="39"/>
      <c r="E1254" s="40" t="s">
        <v>11404</v>
      </c>
      <c r="F1254" s="40"/>
      <c r="G1254" s="40" t="s">
        <v>11404</v>
      </c>
    </row>
    <row r="1255">
      <c r="A1255" s="39"/>
      <c r="E1255" s="40" t="s">
        <v>11404</v>
      </c>
      <c r="F1255" s="40"/>
      <c r="G1255" s="40" t="s">
        <v>11404</v>
      </c>
    </row>
    <row r="1256">
      <c r="A1256" s="39"/>
      <c r="E1256" s="40" t="s">
        <v>11404</v>
      </c>
      <c r="F1256" s="40"/>
      <c r="G1256" s="40" t="s">
        <v>11404</v>
      </c>
    </row>
    <row r="1257">
      <c r="A1257" s="39"/>
      <c r="E1257" s="40" t="s">
        <v>11404</v>
      </c>
      <c r="F1257" s="40"/>
      <c r="G1257" s="40" t="s">
        <v>11404</v>
      </c>
    </row>
    <row r="1258">
      <c r="A1258" s="39"/>
      <c r="E1258" s="40" t="s">
        <v>11404</v>
      </c>
      <c r="F1258" s="40"/>
      <c r="G1258" s="40" t="s">
        <v>11404</v>
      </c>
    </row>
    <row r="1259">
      <c r="A1259" s="39"/>
      <c r="E1259" s="40" t="s">
        <v>11404</v>
      </c>
      <c r="F1259" s="40"/>
      <c r="G1259" s="40" t="s">
        <v>11404</v>
      </c>
    </row>
    <row r="1260">
      <c r="A1260" s="39"/>
      <c r="E1260" s="40" t="s">
        <v>11404</v>
      </c>
      <c r="F1260" s="40"/>
      <c r="G1260" s="40" t="s">
        <v>11404</v>
      </c>
    </row>
    <row r="1261">
      <c r="A1261" s="39"/>
      <c r="E1261" s="40" t="s">
        <v>11404</v>
      </c>
      <c r="F1261" s="40"/>
      <c r="G1261" s="40" t="s">
        <v>11404</v>
      </c>
    </row>
    <row r="1262">
      <c r="A1262" s="39"/>
      <c r="E1262" s="40" t="s">
        <v>11404</v>
      </c>
      <c r="F1262" s="40"/>
      <c r="G1262" s="40" t="s">
        <v>11404</v>
      </c>
    </row>
    <row r="1263">
      <c r="A1263" s="39"/>
      <c r="E1263" s="40" t="s">
        <v>11404</v>
      </c>
      <c r="F1263" s="40"/>
      <c r="G1263" s="40" t="s">
        <v>11404</v>
      </c>
    </row>
    <row r="1264">
      <c r="A1264" s="39"/>
      <c r="E1264" s="40" t="s">
        <v>11404</v>
      </c>
      <c r="F1264" s="40"/>
      <c r="G1264" s="40" t="s">
        <v>11404</v>
      </c>
    </row>
    <row r="1265">
      <c r="A1265" s="39"/>
      <c r="E1265" s="40" t="s">
        <v>11404</v>
      </c>
      <c r="F1265" s="40"/>
      <c r="G1265" s="40" t="s">
        <v>11404</v>
      </c>
    </row>
    <row r="1266">
      <c r="A1266" s="39"/>
      <c r="E1266" s="40" t="s">
        <v>11404</v>
      </c>
      <c r="F1266" s="40"/>
      <c r="G1266" s="40" t="s">
        <v>11404</v>
      </c>
    </row>
    <row r="1267">
      <c r="A1267" s="39"/>
      <c r="E1267" s="40" t="s">
        <v>11404</v>
      </c>
      <c r="F1267" s="40"/>
      <c r="G1267" s="40" t="s">
        <v>11404</v>
      </c>
    </row>
    <row r="1268">
      <c r="A1268" s="39"/>
      <c r="E1268" s="40" t="s">
        <v>11404</v>
      </c>
      <c r="F1268" s="40"/>
      <c r="G1268" s="40" t="s">
        <v>11404</v>
      </c>
    </row>
    <row r="1269">
      <c r="A1269" s="39"/>
      <c r="E1269" s="40" t="s">
        <v>11404</v>
      </c>
      <c r="F1269" s="40"/>
      <c r="G1269" s="40" t="s">
        <v>11404</v>
      </c>
    </row>
    <row r="1270">
      <c r="A1270" s="39"/>
      <c r="E1270" s="40" t="s">
        <v>11404</v>
      </c>
      <c r="F1270" s="40"/>
      <c r="G1270" s="40" t="s">
        <v>11404</v>
      </c>
    </row>
    <row r="1271">
      <c r="A1271" s="39"/>
      <c r="E1271" s="40" t="s">
        <v>11404</v>
      </c>
      <c r="F1271" s="40"/>
      <c r="G1271" s="40" t="s">
        <v>11404</v>
      </c>
    </row>
    <row r="1272">
      <c r="A1272" s="39"/>
      <c r="E1272" s="40" t="s">
        <v>11404</v>
      </c>
      <c r="F1272" s="40"/>
      <c r="G1272" s="40" t="s">
        <v>11404</v>
      </c>
    </row>
    <row r="1273">
      <c r="A1273" s="39"/>
      <c r="E1273" s="40" t="s">
        <v>11404</v>
      </c>
      <c r="F1273" s="40"/>
      <c r="G1273" s="40" t="s">
        <v>11404</v>
      </c>
    </row>
    <row r="1274">
      <c r="A1274" s="39"/>
      <c r="E1274" s="40" t="s">
        <v>11404</v>
      </c>
      <c r="F1274" s="40"/>
      <c r="G1274" s="40" t="s">
        <v>11404</v>
      </c>
    </row>
    <row r="1275">
      <c r="A1275" s="39"/>
      <c r="E1275" s="40" t="s">
        <v>11404</v>
      </c>
      <c r="F1275" s="40"/>
      <c r="G1275" s="40" t="s">
        <v>11404</v>
      </c>
    </row>
    <row r="1276">
      <c r="A1276" s="39"/>
      <c r="E1276" s="40" t="s">
        <v>11404</v>
      </c>
      <c r="F1276" s="40"/>
      <c r="G1276" s="40" t="s">
        <v>11404</v>
      </c>
    </row>
    <row r="1277">
      <c r="A1277" s="39"/>
      <c r="E1277" s="40" t="s">
        <v>11404</v>
      </c>
      <c r="F1277" s="40"/>
      <c r="G1277" s="40" t="s">
        <v>11404</v>
      </c>
    </row>
    <row r="1278">
      <c r="A1278" s="39"/>
      <c r="E1278" s="40" t="s">
        <v>11404</v>
      </c>
      <c r="F1278" s="40"/>
      <c r="G1278" s="40" t="s">
        <v>11404</v>
      </c>
    </row>
    <row r="1279">
      <c r="A1279" s="39"/>
      <c r="E1279" s="40" t="s">
        <v>11404</v>
      </c>
      <c r="F1279" s="40"/>
      <c r="G1279" s="40" t="s">
        <v>11404</v>
      </c>
    </row>
    <row r="1280">
      <c r="A1280" s="39"/>
      <c r="E1280" s="40" t="s">
        <v>11404</v>
      </c>
      <c r="F1280" s="40"/>
      <c r="G1280" s="40" t="s">
        <v>11404</v>
      </c>
    </row>
    <row r="1281">
      <c r="A1281" s="39"/>
      <c r="E1281" s="40" t="s">
        <v>11404</v>
      </c>
      <c r="F1281" s="40"/>
      <c r="G1281" s="40" t="s">
        <v>11404</v>
      </c>
    </row>
    <row r="1282">
      <c r="A1282" s="39"/>
      <c r="E1282" s="40" t="s">
        <v>11404</v>
      </c>
      <c r="F1282" s="40"/>
      <c r="G1282" s="40" t="s">
        <v>11404</v>
      </c>
    </row>
    <row r="1283">
      <c r="A1283" s="39"/>
      <c r="E1283" s="40" t="s">
        <v>11404</v>
      </c>
      <c r="F1283" s="40"/>
      <c r="G1283" s="40" t="s">
        <v>11404</v>
      </c>
    </row>
    <row r="1284">
      <c r="A1284" s="39"/>
      <c r="E1284" s="40" t="s">
        <v>11404</v>
      </c>
      <c r="F1284" s="40"/>
      <c r="G1284" s="40" t="s">
        <v>11404</v>
      </c>
    </row>
    <row r="1285">
      <c r="A1285" s="39"/>
      <c r="E1285" s="40" t="s">
        <v>11404</v>
      </c>
      <c r="F1285" s="40"/>
      <c r="G1285" s="40" t="s">
        <v>11404</v>
      </c>
    </row>
    <row r="1286">
      <c r="A1286" s="39"/>
      <c r="E1286" s="40" t="s">
        <v>11404</v>
      </c>
      <c r="F1286" s="40"/>
      <c r="G1286" s="40" t="s">
        <v>11404</v>
      </c>
    </row>
    <row r="1287">
      <c r="A1287" s="39"/>
      <c r="E1287" s="40" t="s">
        <v>11404</v>
      </c>
      <c r="F1287" s="40"/>
      <c r="G1287" s="40" t="s">
        <v>11404</v>
      </c>
    </row>
    <row r="1288">
      <c r="A1288" s="39"/>
      <c r="E1288" s="40" t="s">
        <v>11404</v>
      </c>
      <c r="F1288" s="40"/>
      <c r="G1288" s="40" t="s">
        <v>11404</v>
      </c>
    </row>
    <row r="1289">
      <c r="A1289" s="39"/>
      <c r="E1289" s="40" t="s">
        <v>11404</v>
      </c>
      <c r="F1289" s="40"/>
      <c r="G1289" s="40" t="s">
        <v>11404</v>
      </c>
    </row>
    <row r="1290">
      <c r="A1290" s="39"/>
      <c r="E1290" s="40" t="s">
        <v>11404</v>
      </c>
      <c r="F1290" s="40"/>
      <c r="G1290" s="40" t="s">
        <v>11404</v>
      </c>
    </row>
    <row r="1291">
      <c r="A1291" s="39"/>
      <c r="E1291" s="40" t="s">
        <v>11404</v>
      </c>
      <c r="F1291" s="40"/>
      <c r="G1291" s="40" t="s">
        <v>11404</v>
      </c>
    </row>
    <row r="1292">
      <c r="A1292" s="39"/>
      <c r="E1292" s="40" t="s">
        <v>11404</v>
      </c>
      <c r="F1292" s="40"/>
      <c r="G1292" s="40" t="s">
        <v>11404</v>
      </c>
    </row>
    <row r="1293">
      <c r="A1293" s="39"/>
      <c r="E1293" s="40" t="s">
        <v>11404</v>
      </c>
      <c r="F1293" s="40"/>
      <c r="G1293" s="40" t="s">
        <v>11404</v>
      </c>
    </row>
    <row r="1294">
      <c r="A1294" s="39"/>
      <c r="E1294" s="40" t="s">
        <v>11404</v>
      </c>
      <c r="F1294" s="40"/>
      <c r="G1294" s="40" t="s">
        <v>11404</v>
      </c>
    </row>
    <row r="1295">
      <c r="A1295" s="39"/>
      <c r="E1295" s="40" t="s">
        <v>11404</v>
      </c>
      <c r="F1295" s="40"/>
      <c r="G1295" s="40" t="s">
        <v>11404</v>
      </c>
    </row>
    <row r="1296">
      <c r="A1296" s="39"/>
      <c r="E1296" s="40" t="s">
        <v>11404</v>
      </c>
      <c r="F1296" s="40"/>
      <c r="G1296" s="40" t="s">
        <v>11404</v>
      </c>
    </row>
    <row r="1297">
      <c r="A1297" s="39"/>
      <c r="E1297" s="40" t="s">
        <v>11404</v>
      </c>
      <c r="F1297" s="40"/>
      <c r="G1297" s="40" t="s">
        <v>11404</v>
      </c>
    </row>
    <row r="1298">
      <c r="A1298" s="39"/>
      <c r="E1298" s="40" t="s">
        <v>11404</v>
      </c>
      <c r="F1298" s="40"/>
      <c r="G1298" s="40" t="s">
        <v>11404</v>
      </c>
    </row>
    <row r="1299">
      <c r="A1299" s="39"/>
      <c r="E1299" s="40" t="s">
        <v>11404</v>
      </c>
      <c r="F1299" s="40"/>
      <c r="G1299" s="40" t="s">
        <v>11404</v>
      </c>
    </row>
    <row r="1300">
      <c r="A1300" s="39"/>
      <c r="E1300" s="40" t="s">
        <v>11404</v>
      </c>
      <c r="F1300" s="40"/>
      <c r="G1300" s="40" t="s">
        <v>11404</v>
      </c>
    </row>
    <row r="1301">
      <c r="A1301" s="39"/>
      <c r="E1301" s="40" t="s">
        <v>11404</v>
      </c>
      <c r="F1301" s="40"/>
      <c r="G1301" s="40" t="s">
        <v>11404</v>
      </c>
    </row>
    <row r="1302">
      <c r="A1302" s="39"/>
      <c r="E1302" s="40" t="s">
        <v>11404</v>
      </c>
      <c r="F1302" s="40"/>
      <c r="G1302" s="40" t="s">
        <v>11404</v>
      </c>
    </row>
    <row r="1303">
      <c r="A1303" s="39"/>
      <c r="E1303" s="40" t="s">
        <v>11404</v>
      </c>
      <c r="F1303" s="40"/>
      <c r="G1303" s="40" t="s">
        <v>11404</v>
      </c>
    </row>
    <row r="1304">
      <c r="A1304" s="39"/>
      <c r="E1304" s="40" t="s">
        <v>11404</v>
      </c>
      <c r="F1304" s="40"/>
      <c r="G1304" s="40" t="s">
        <v>11404</v>
      </c>
    </row>
    <row r="1305">
      <c r="A1305" s="39"/>
      <c r="E1305" s="40" t="s">
        <v>11404</v>
      </c>
      <c r="F1305" s="40"/>
      <c r="G1305" s="40" t="s">
        <v>11404</v>
      </c>
    </row>
    <row r="1306">
      <c r="A1306" s="39"/>
      <c r="E1306" s="40" t="s">
        <v>11404</v>
      </c>
      <c r="F1306" s="40"/>
      <c r="G1306" s="40" t="s">
        <v>11404</v>
      </c>
    </row>
    <row r="1307">
      <c r="A1307" s="39"/>
      <c r="E1307" s="40" t="s">
        <v>11404</v>
      </c>
      <c r="F1307" s="40"/>
      <c r="G1307" s="40" t="s">
        <v>11404</v>
      </c>
    </row>
    <row r="1308">
      <c r="A1308" s="39"/>
      <c r="E1308" s="40" t="s">
        <v>11404</v>
      </c>
      <c r="F1308" s="40"/>
      <c r="G1308" s="40" t="s">
        <v>11404</v>
      </c>
    </row>
    <row r="1309">
      <c r="A1309" s="39"/>
      <c r="E1309" s="40" t="s">
        <v>11404</v>
      </c>
      <c r="F1309" s="40"/>
      <c r="G1309" s="40" t="s">
        <v>11404</v>
      </c>
    </row>
    <row r="1310">
      <c r="A1310" s="39"/>
      <c r="E1310" s="40" t="s">
        <v>11404</v>
      </c>
      <c r="F1310" s="40"/>
      <c r="G1310" s="40" t="s">
        <v>11404</v>
      </c>
    </row>
    <row r="1311">
      <c r="A1311" s="39"/>
      <c r="E1311" s="40" t="s">
        <v>11404</v>
      </c>
      <c r="F1311" s="40"/>
      <c r="G1311" s="40" t="s">
        <v>11404</v>
      </c>
    </row>
    <row r="1312">
      <c r="A1312" s="39"/>
      <c r="E1312" s="40" t="s">
        <v>11404</v>
      </c>
      <c r="F1312" s="40"/>
      <c r="G1312" s="40" t="s">
        <v>11404</v>
      </c>
    </row>
    <row r="1313">
      <c r="A1313" s="39"/>
      <c r="E1313" s="40" t="s">
        <v>11404</v>
      </c>
      <c r="F1313" s="40"/>
      <c r="G1313" s="40" t="s">
        <v>11404</v>
      </c>
    </row>
    <row r="1314">
      <c r="A1314" s="39"/>
      <c r="E1314" s="40" t="s">
        <v>11404</v>
      </c>
      <c r="F1314" s="40"/>
      <c r="G1314" s="40" t="s">
        <v>11404</v>
      </c>
    </row>
    <row r="1315">
      <c r="A1315" s="39"/>
      <c r="E1315" s="40" t="s">
        <v>11404</v>
      </c>
      <c r="F1315" s="40"/>
      <c r="G1315" s="40" t="s">
        <v>11404</v>
      </c>
    </row>
    <row r="1316">
      <c r="A1316" s="39"/>
      <c r="E1316" s="40" t="s">
        <v>11404</v>
      </c>
      <c r="F1316" s="40"/>
      <c r="G1316" s="40" t="s">
        <v>11404</v>
      </c>
    </row>
    <row r="1317">
      <c r="A1317" s="39"/>
      <c r="E1317" s="40" t="s">
        <v>11404</v>
      </c>
      <c r="F1317" s="40"/>
      <c r="G1317" s="40" t="s">
        <v>11404</v>
      </c>
    </row>
    <row r="1318">
      <c r="A1318" s="39"/>
      <c r="E1318" s="40" t="s">
        <v>11404</v>
      </c>
      <c r="F1318" s="40"/>
      <c r="G1318" s="40" t="s">
        <v>11404</v>
      </c>
    </row>
    <row r="1319">
      <c r="A1319" s="39"/>
      <c r="E1319" s="40" t="s">
        <v>11404</v>
      </c>
      <c r="F1319" s="40"/>
      <c r="G1319" s="40" t="s">
        <v>11404</v>
      </c>
    </row>
    <row r="1320">
      <c r="A1320" s="39"/>
      <c r="E1320" s="40" t="s">
        <v>11404</v>
      </c>
      <c r="F1320" s="40"/>
      <c r="G1320" s="40" t="s">
        <v>11404</v>
      </c>
    </row>
    <row r="1321">
      <c r="A1321" s="39"/>
      <c r="E1321" s="40" t="s">
        <v>11404</v>
      </c>
      <c r="F1321" s="40"/>
      <c r="G1321" s="40" t="s">
        <v>11404</v>
      </c>
    </row>
    <row r="1322">
      <c r="A1322" s="39"/>
      <c r="E1322" s="40" t="s">
        <v>11404</v>
      </c>
      <c r="F1322" s="40"/>
      <c r="G1322" s="40" t="s">
        <v>11404</v>
      </c>
    </row>
    <row r="1323">
      <c r="A1323" s="39"/>
      <c r="E1323" s="40" t="s">
        <v>11404</v>
      </c>
      <c r="F1323" s="40"/>
      <c r="G1323" s="40" t="s">
        <v>11404</v>
      </c>
    </row>
    <row r="1324">
      <c r="A1324" s="39"/>
      <c r="E1324" s="40" t="s">
        <v>11404</v>
      </c>
      <c r="F1324" s="40"/>
      <c r="G1324" s="40" t="s">
        <v>11404</v>
      </c>
    </row>
    <row r="1325">
      <c r="A1325" s="39"/>
      <c r="E1325" s="40" t="s">
        <v>11404</v>
      </c>
      <c r="F1325" s="40"/>
      <c r="G1325" s="40" t="s">
        <v>11404</v>
      </c>
    </row>
    <row r="1326">
      <c r="A1326" s="39"/>
      <c r="E1326" s="40" t="s">
        <v>11404</v>
      </c>
      <c r="F1326" s="40"/>
      <c r="G1326" s="40" t="s">
        <v>11404</v>
      </c>
    </row>
    <row r="1327">
      <c r="A1327" s="39"/>
      <c r="E1327" s="40" t="s">
        <v>11404</v>
      </c>
      <c r="F1327" s="40"/>
      <c r="G1327" s="40" t="s">
        <v>11404</v>
      </c>
    </row>
    <row r="1328">
      <c r="A1328" s="39"/>
      <c r="E1328" s="40" t="s">
        <v>11404</v>
      </c>
      <c r="F1328" s="40"/>
      <c r="G1328" s="40" t="s">
        <v>11404</v>
      </c>
    </row>
    <row r="1329">
      <c r="A1329" s="39"/>
      <c r="E1329" s="40" t="s">
        <v>11404</v>
      </c>
      <c r="F1329" s="40"/>
      <c r="G1329" s="40" t="s">
        <v>11404</v>
      </c>
    </row>
    <row r="1330">
      <c r="A1330" s="39"/>
      <c r="E1330" s="40" t="s">
        <v>11404</v>
      </c>
      <c r="F1330" s="40"/>
      <c r="G1330" s="40" t="s">
        <v>11404</v>
      </c>
    </row>
    <row r="1331">
      <c r="A1331" s="39"/>
      <c r="E1331" s="40" t="s">
        <v>11404</v>
      </c>
      <c r="F1331" s="40"/>
      <c r="G1331" s="40" t="s">
        <v>11404</v>
      </c>
    </row>
    <row r="1332">
      <c r="A1332" s="39"/>
      <c r="E1332" s="40" t="s">
        <v>11404</v>
      </c>
      <c r="F1332" s="40"/>
      <c r="G1332" s="40" t="s">
        <v>11404</v>
      </c>
    </row>
    <row r="1333">
      <c r="A1333" s="39"/>
      <c r="E1333" s="40" t="s">
        <v>11404</v>
      </c>
      <c r="F1333" s="40"/>
      <c r="G1333" s="40" t="s">
        <v>11404</v>
      </c>
    </row>
    <row r="1334">
      <c r="A1334" s="39"/>
      <c r="E1334" s="40" t="s">
        <v>11404</v>
      </c>
      <c r="F1334" s="40"/>
      <c r="G1334" s="40" t="s">
        <v>11404</v>
      </c>
    </row>
    <row r="1335">
      <c r="A1335" s="39"/>
      <c r="E1335" s="40" t="s">
        <v>11404</v>
      </c>
      <c r="F1335" s="40"/>
      <c r="G1335" s="40" t="s">
        <v>11404</v>
      </c>
    </row>
    <row r="1336">
      <c r="A1336" s="39"/>
      <c r="E1336" s="40" t="s">
        <v>11404</v>
      </c>
      <c r="F1336" s="40"/>
      <c r="G1336" s="40" t="s">
        <v>11404</v>
      </c>
    </row>
    <row r="1337">
      <c r="A1337" s="39"/>
      <c r="E1337" s="40" t="s">
        <v>11404</v>
      </c>
      <c r="F1337" s="40"/>
      <c r="G1337" s="40" t="s">
        <v>11404</v>
      </c>
    </row>
    <row r="1338">
      <c r="A1338" s="39"/>
      <c r="E1338" s="40" t="s">
        <v>11404</v>
      </c>
      <c r="F1338" s="40"/>
      <c r="G1338" s="40" t="s">
        <v>11404</v>
      </c>
    </row>
    <row r="1339">
      <c r="A1339" s="39"/>
      <c r="E1339" s="40" t="s">
        <v>11404</v>
      </c>
      <c r="F1339" s="40"/>
      <c r="G1339" s="40" t="s">
        <v>11404</v>
      </c>
    </row>
    <row r="1340">
      <c r="A1340" s="39"/>
      <c r="E1340" s="40" t="s">
        <v>11404</v>
      </c>
      <c r="F1340" s="40"/>
      <c r="G1340" s="40" t="s">
        <v>11404</v>
      </c>
    </row>
    <row r="1341">
      <c r="A1341" s="39"/>
      <c r="E1341" s="40" t="s">
        <v>11404</v>
      </c>
      <c r="F1341" s="40"/>
      <c r="G1341" s="40" t="s">
        <v>11404</v>
      </c>
    </row>
    <row r="1342">
      <c r="A1342" s="39"/>
      <c r="E1342" s="40" t="s">
        <v>11404</v>
      </c>
      <c r="F1342" s="40"/>
      <c r="G1342" s="40" t="s">
        <v>11404</v>
      </c>
    </row>
    <row r="1343">
      <c r="A1343" s="39"/>
      <c r="E1343" s="40" t="s">
        <v>11404</v>
      </c>
      <c r="F1343" s="40"/>
      <c r="G1343" s="40" t="s">
        <v>11404</v>
      </c>
    </row>
    <row r="1344">
      <c r="A1344" s="39"/>
      <c r="E1344" s="40" t="s">
        <v>11404</v>
      </c>
      <c r="F1344" s="40"/>
      <c r="G1344" s="40" t="s">
        <v>11404</v>
      </c>
    </row>
    <row r="1345">
      <c r="A1345" s="39"/>
      <c r="E1345" s="40" t="s">
        <v>11404</v>
      </c>
      <c r="F1345" s="40"/>
      <c r="G1345" s="40" t="s">
        <v>11404</v>
      </c>
    </row>
    <row r="1346">
      <c r="A1346" s="39"/>
      <c r="E1346" s="40" t="s">
        <v>11404</v>
      </c>
      <c r="F1346" s="40"/>
      <c r="G1346" s="40" t="s">
        <v>11404</v>
      </c>
    </row>
    <row r="1347">
      <c r="A1347" s="39"/>
      <c r="E1347" s="40" t="s">
        <v>11404</v>
      </c>
      <c r="F1347" s="40"/>
      <c r="G1347" s="40" t="s">
        <v>11404</v>
      </c>
    </row>
    <row r="1348">
      <c r="A1348" s="39"/>
      <c r="E1348" s="40" t="s">
        <v>11404</v>
      </c>
      <c r="F1348" s="40"/>
      <c r="G1348" s="40" t="s">
        <v>11404</v>
      </c>
    </row>
    <row r="1349">
      <c r="A1349" s="39"/>
      <c r="E1349" s="40" t="s">
        <v>11404</v>
      </c>
      <c r="F1349" s="40"/>
      <c r="G1349" s="40" t="s">
        <v>11404</v>
      </c>
    </row>
    <row r="1350">
      <c r="A1350" s="39"/>
      <c r="E1350" s="40" t="s">
        <v>11404</v>
      </c>
      <c r="F1350" s="40"/>
      <c r="G1350" s="40" t="s">
        <v>11404</v>
      </c>
    </row>
    <row r="1351">
      <c r="A1351" s="39"/>
      <c r="E1351" s="40" t="s">
        <v>11404</v>
      </c>
      <c r="F1351" s="40"/>
      <c r="G1351" s="40" t="s">
        <v>11404</v>
      </c>
    </row>
    <row r="1352">
      <c r="A1352" s="39"/>
      <c r="E1352" s="40" t="s">
        <v>11404</v>
      </c>
      <c r="F1352" s="40"/>
      <c r="G1352" s="40" t="s">
        <v>11404</v>
      </c>
    </row>
    <row r="1353">
      <c r="A1353" s="39"/>
      <c r="E1353" s="40" t="s">
        <v>11404</v>
      </c>
      <c r="F1353" s="40"/>
      <c r="G1353" s="40" t="s">
        <v>11404</v>
      </c>
    </row>
    <row r="1354">
      <c r="A1354" s="39"/>
      <c r="E1354" s="40" t="s">
        <v>11404</v>
      </c>
      <c r="F1354" s="40"/>
      <c r="G1354" s="40" t="s">
        <v>11404</v>
      </c>
    </row>
    <row r="1355">
      <c r="A1355" s="39"/>
      <c r="E1355" s="40" t="s">
        <v>11404</v>
      </c>
      <c r="F1355" s="40"/>
      <c r="G1355" s="40" t="s">
        <v>11404</v>
      </c>
    </row>
    <row r="1356">
      <c r="A1356" s="39"/>
      <c r="E1356" s="40" t="s">
        <v>11404</v>
      </c>
      <c r="F1356" s="40"/>
      <c r="G1356" s="40" t="s">
        <v>11404</v>
      </c>
    </row>
    <row r="1357">
      <c r="A1357" s="39"/>
      <c r="E1357" s="40" t="s">
        <v>11404</v>
      </c>
      <c r="F1357" s="40"/>
      <c r="G1357" s="40" t="s">
        <v>11404</v>
      </c>
    </row>
    <row r="1358">
      <c r="A1358" s="39"/>
      <c r="E1358" s="40" t="s">
        <v>11404</v>
      </c>
      <c r="F1358" s="40"/>
      <c r="G1358" s="40" t="s">
        <v>11404</v>
      </c>
    </row>
    <row r="1359">
      <c r="A1359" s="39"/>
      <c r="E1359" s="40" t="s">
        <v>11404</v>
      </c>
      <c r="F1359" s="40"/>
      <c r="G1359" s="40" t="s">
        <v>11404</v>
      </c>
    </row>
    <row r="1360">
      <c r="A1360" s="39"/>
      <c r="E1360" s="40" t="s">
        <v>11404</v>
      </c>
      <c r="F1360" s="40"/>
      <c r="G1360" s="40" t="s">
        <v>11404</v>
      </c>
    </row>
    <row r="1361">
      <c r="A1361" s="39"/>
      <c r="E1361" s="40" t="s">
        <v>11404</v>
      </c>
      <c r="F1361" s="40"/>
      <c r="G1361" s="40" t="s">
        <v>11404</v>
      </c>
    </row>
    <row r="1362">
      <c r="A1362" s="39"/>
      <c r="E1362" s="40" t="s">
        <v>11404</v>
      </c>
      <c r="F1362" s="40"/>
      <c r="G1362" s="40" t="s">
        <v>11404</v>
      </c>
    </row>
    <row r="1363">
      <c r="A1363" s="39"/>
      <c r="E1363" s="40" t="s">
        <v>11404</v>
      </c>
      <c r="F1363" s="40"/>
      <c r="G1363" s="40" t="s">
        <v>11404</v>
      </c>
    </row>
    <row r="1364">
      <c r="A1364" s="39"/>
      <c r="E1364" s="40" t="s">
        <v>11404</v>
      </c>
      <c r="F1364" s="40"/>
      <c r="G1364" s="40" t="s">
        <v>11404</v>
      </c>
    </row>
    <row r="1365">
      <c r="A1365" s="39"/>
      <c r="E1365" s="40" t="s">
        <v>11404</v>
      </c>
      <c r="F1365" s="40"/>
      <c r="G1365" s="40" t="s">
        <v>11404</v>
      </c>
    </row>
    <row r="1366">
      <c r="A1366" s="39"/>
      <c r="E1366" s="40" t="s">
        <v>11404</v>
      </c>
      <c r="F1366" s="40"/>
      <c r="G1366" s="40" t="s">
        <v>11404</v>
      </c>
    </row>
    <row r="1367">
      <c r="A1367" s="39"/>
      <c r="E1367" s="40" t="s">
        <v>11404</v>
      </c>
      <c r="F1367" s="40"/>
      <c r="G1367" s="40" t="s">
        <v>11404</v>
      </c>
    </row>
    <row r="1368">
      <c r="A1368" s="39"/>
      <c r="E1368" s="40" t="s">
        <v>11404</v>
      </c>
      <c r="F1368" s="40"/>
      <c r="G1368" s="40" t="s">
        <v>11404</v>
      </c>
    </row>
    <row r="1369">
      <c r="A1369" s="39"/>
      <c r="E1369" s="40" t="s">
        <v>11404</v>
      </c>
      <c r="F1369" s="40"/>
      <c r="G1369" s="40" t="s">
        <v>11404</v>
      </c>
    </row>
    <row r="1370">
      <c r="A1370" s="39"/>
      <c r="E1370" s="40" t="s">
        <v>11404</v>
      </c>
      <c r="F1370" s="40"/>
      <c r="G1370" s="40" t="s">
        <v>11404</v>
      </c>
    </row>
    <row r="1371">
      <c r="A1371" s="39"/>
      <c r="E1371" s="40" t="s">
        <v>11404</v>
      </c>
      <c r="F1371" s="40"/>
      <c r="G1371" s="40" t="s">
        <v>11404</v>
      </c>
    </row>
    <row r="1372">
      <c r="A1372" s="39"/>
      <c r="E1372" s="40" t="s">
        <v>11404</v>
      </c>
      <c r="F1372" s="40"/>
      <c r="G1372" s="40" t="s">
        <v>11404</v>
      </c>
    </row>
    <row r="1373">
      <c r="A1373" s="39"/>
      <c r="E1373" s="40" t="s">
        <v>11404</v>
      </c>
      <c r="F1373" s="40"/>
      <c r="G1373" s="40" t="s">
        <v>11404</v>
      </c>
    </row>
    <row r="1374">
      <c r="A1374" s="39"/>
      <c r="E1374" s="40" t="s">
        <v>11404</v>
      </c>
      <c r="F1374" s="40"/>
      <c r="G1374" s="40" t="s">
        <v>11404</v>
      </c>
    </row>
    <row r="1375">
      <c r="A1375" s="39"/>
      <c r="E1375" s="40" t="s">
        <v>11404</v>
      </c>
      <c r="F1375" s="40"/>
      <c r="G1375" s="40" t="s">
        <v>11404</v>
      </c>
    </row>
    <row r="1376">
      <c r="A1376" s="39"/>
      <c r="E1376" s="40" t="s">
        <v>11404</v>
      </c>
      <c r="F1376" s="40"/>
      <c r="G1376" s="40" t="s">
        <v>11404</v>
      </c>
    </row>
    <row r="1377">
      <c r="A1377" s="39"/>
      <c r="E1377" s="40" t="s">
        <v>11404</v>
      </c>
      <c r="F1377" s="40"/>
      <c r="G1377" s="40" t="s">
        <v>11404</v>
      </c>
    </row>
    <row r="1378">
      <c r="A1378" s="39"/>
      <c r="E1378" s="40" t="s">
        <v>11404</v>
      </c>
      <c r="F1378" s="40"/>
      <c r="G1378" s="40" t="s">
        <v>11404</v>
      </c>
    </row>
    <row r="1379">
      <c r="A1379" s="39"/>
      <c r="E1379" s="40" t="s">
        <v>11404</v>
      </c>
      <c r="F1379" s="40"/>
      <c r="G1379" s="40" t="s">
        <v>11404</v>
      </c>
    </row>
    <row r="1380">
      <c r="A1380" s="39"/>
      <c r="E1380" s="40" t="s">
        <v>11404</v>
      </c>
      <c r="F1380" s="40"/>
      <c r="G1380" s="40" t="s">
        <v>11404</v>
      </c>
    </row>
    <row r="1381">
      <c r="A1381" s="39"/>
      <c r="E1381" s="40" t="s">
        <v>11404</v>
      </c>
      <c r="F1381" s="40"/>
      <c r="G1381" s="40" t="s">
        <v>11404</v>
      </c>
    </row>
    <row r="1382">
      <c r="A1382" s="39"/>
      <c r="E1382" s="40" t="s">
        <v>11404</v>
      </c>
      <c r="F1382" s="40"/>
      <c r="G1382" s="40" t="s">
        <v>11404</v>
      </c>
    </row>
    <row r="1383">
      <c r="A1383" s="39"/>
      <c r="E1383" s="40" t="s">
        <v>11404</v>
      </c>
      <c r="F1383" s="40"/>
      <c r="G1383" s="40" t="s">
        <v>11404</v>
      </c>
    </row>
    <row r="1384">
      <c r="A1384" s="39"/>
      <c r="E1384" s="40" t="s">
        <v>11404</v>
      </c>
      <c r="F1384" s="40"/>
      <c r="G1384" s="40" t="s">
        <v>11404</v>
      </c>
    </row>
    <row r="1385">
      <c r="A1385" s="39"/>
      <c r="E1385" s="40" t="s">
        <v>11404</v>
      </c>
      <c r="F1385" s="40"/>
      <c r="G1385" s="40" t="s">
        <v>11404</v>
      </c>
    </row>
    <row r="1386">
      <c r="A1386" s="39"/>
      <c r="E1386" s="40" t="s">
        <v>11404</v>
      </c>
      <c r="F1386" s="40"/>
      <c r="G1386" s="40" t="s">
        <v>11404</v>
      </c>
    </row>
    <row r="1387">
      <c r="A1387" s="39"/>
      <c r="E1387" s="40" t="s">
        <v>11404</v>
      </c>
      <c r="F1387" s="40"/>
      <c r="G1387" s="40" t="s">
        <v>11404</v>
      </c>
    </row>
    <row r="1388">
      <c r="A1388" s="39"/>
      <c r="E1388" s="40" t="s">
        <v>11404</v>
      </c>
      <c r="F1388" s="40"/>
      <c r="G1388" s="40" t="s">
        <v>11404</v>
      </c>
    </row>
    <row r="1389">
      <c r="A1389" s="39"/>
      <c r="E1389" s="40" t="s">
        <v>11404</v>
      </c>
      <c r="F1389" s="40"/>
      <c r="G1389" s="40" t="s">
        <v>11404</v>
      </c>
    </row>
    <row r="1390">
      <c r="A1390" s="39"/>
      <c r="E1390" s="40" t="s">
        <v>11404</v>
      </c>
      <c r="F1390" s="40"/>
      <c r="G1390" s="40" t="s">
        <v>11404</v>
      </c>
    </row>
    <row r="1391">
      <c r="A1391" s="39"/>
      <c r="E1391" s="40" t="s">
        <v>11404</v>
      </c>
      <c r="F1391" s="40"/>
      <c r="G1391" s="40" t="s">
        <v>11404</v>
      </c>
    </row>
    <row r="1392">
      <c r="A1392" s="39"/>
      <c r="E1392" s="40" t="s">
        <v>11404</v>
      </c>
      <c r="F1392" s="40"/>
      <c r="G1392" s="40" t="s">
        <v>11404</v>
      </c>
    </row>
    <row r="1393">
      <c r="A1393" s="39"/>
      <c r="E1393" s="40" t="s">
        <v>11404</v>
      </c>
      <c r="F1393" s="40"/>
      <c r="G1393" s="40" t="s">
        <v>11404</v>
      </c>
    </row>
    <row r="1394">
      <c r="A1394" s="39"/>
      <c r="E1394" s="40" t="s">
        <v>11404</v>
      </c>
      <c r="F1394" s="40"/>
      <c r="G1394" s="40" t="s">
        <v>11404</v>
      </c>
    </row>
    <row r="1395">
      <c r="A1395" s="39"/>
      <c r="E1395" s="40" t="s">
        <v>11404</v>
      </c>
      <c r="F1395" s="40"/>
      <c r="G1395" s="40" t="s">
        <v>11404</v>
      </c>
    </row>
    <row r="1396">
      <c r="A1396" s="39"/>
      <c r="E1396" s="40" t="s">
        <v>11404</v>
      </c>
      <c r="F1396" s="40"/>
      <c r="G1396" s="40" t="s">
        <v>11404</v>
      </c>
    </row>
    <row r="1397">
      <c r="A1397" s="39"/>
      <c r="E1397" s="40" t="s">
        <v>11404</v>
      </c>
      <c r="F1397" s="40"/>
      <c r="G1397" s="40" t="s">
        <v>11404</v>
      </c>
    </row>
    <row r="1398">
      <c r="A1398" s="39"/>
      <c r="E1398" s="40" t="s">
        <v>11404</v>
      </c>
      <c r="F1398" s="40"/>
      <c r="G1398" s="40" t="s">
        <v>11404</v>
      </c>
    </row>
    <row r="1399">
      <c r="A1399" s="39"/>
      <c r="E1399" s="40" t="s">
        <v>11404</v>
      </c>
      <c r="F1399" s="40"/>
      <c r="G1399" s="40" t="s">
        <v>11404</v>
      </c>
    </row>
    <row r="1400">
      <c r="A1400" s="39"/>
      <c r="E1400" s="40" t="s">
        <v>11404</v>
      </c>
      <c r="F1400" s="40"/>
      <c r="G1400" s="40" t="s">
        <v>11404</v>
      </c>
    </row>
    <row r="1401">
      <c r="A1401" s="39"/>
      <c r="E1401" s="40" t="s">
        <v>11404</v>
      </c>
      <c r="F1401" s="40"/>
      <c r="G1401" s="40" t="s">
        <v>11404</v>
      </c>
    </row>
    <row r="1402">
      <c r="A1402" s="39"/>
      <c r="E1402" s="40" t="s">
        <v>11404</v>
      </c>
      <c r="F1402" s="40"/>
      <c r="G1402" s="40" t="s">
        <v>11404</v>
      </c>
    </row>
    <row r="1403">
      <c r="A1403" s="39"/>
      <c r="E1403" s="40" t="s">
        <v>11404</v>
      </c>
      <c r="F1403" s="40"/>
      <c r="G1403" s="40" t="s">
        <v>11404</v>
      </c>
    </row>
    <row r="1404">
      <c r="A1404" s="39"/>
      <c r="E1404" s="40" t="s">
        <v>11404</v>
      </c>
      <c r="F1404" s="40"/>
      <c r="G1404" s="40" t="s">
        <v>11404</v>
      </c>
    </row>
    <row r="1405">
      <c r="A1405" s="39"/>
      <c r="E1405" s="40" t="s">
        <v>11404</v>
      </c>
      <c r="F1405" s="40"/>
      <c r="G1405" s="40" t="s">
        <v>11404</v>
      </c>
    </row>
    <row r="1406">
      <c r="A1406" s="39"/>
      <c r="E1406" s="40" t="s">
        <v>11404</v>
      </c>
      <c r="F1406" s="40"/>
      <c r="G1406" s="40" t="s">
        <v>11404</v>
      </c>
    </row>
    <row r="1407">
      <c r="A1407" s="39"/>
      <c r="E1407" s="40" t="s">
        <v>11404</v>
      </c>
      <c r="F1407" s="40"/>
      <c r="G1407" s="40" t="s">
        <v>11404</v>
      </c>
    </row>
    <row r="1408">
      <c r="A1408" s="39"/>
      <c r="E1408" s="40" t="s">
        <v>11404</v>
      </c>
      <c r="F1408" s="40"/>
      <c r="G1408" s="40" t="s">
        <v>11404</v>
      </c>
    </row>
    <row r="1409">
      <c r="A1409" s="39"/>
      <c r="E1409" s="40" t="s">
        <v>11404</v>
      </c>
      <c r="F1409" s="40"/>
      <c r="G1409" s="40" t="s">
        <v>11404</v>
      </c>
    </row>
    <row r="1410">
      <c r="A1410" s="39"/>
      <c r="E1410" s="40" t="s">
        <v>11404</v>
      </c>
      <c r="F1410" s="40"/>
      <c r="G1410" s="40" t="s">
        <v>11404</v>
      </c>
    </row>
    <row r="1411">
      <c r="A1411" s="39"/>
      <c r="E1411" s="40" t="s">
        <v>11404</v>
      </c>
      <c r="F1411" s="40"/>
      <c r="G1411" s="40" t="s">
        <v>11404</v>
      </c>
    </row>
    <row r="1412">
      <c r="A1412" s="39"/>
      <c r="E1412" s="40" t="s">
        <v>11404</v>
      </c>
      <c r="F1412" s="40"/>
      <c r="G1412" s="40" t="s">
        <v>11404</v>
      </c>
    </row>
    <row r="1413">
      <c r="A1413" s="39"/>
      <c r="E1413" s="40" t="s">
        <v>11404</v>
      </c>
      <c r="F1413" s="40"/>
      <c r="G1413" s="40" t="s">
        <v>11404</v>
      </c>
    </row>
    <row r="1414">
      <c r="A1414" s="39"/>
      <c r="E1414" s="40" t="s">
        <v>11404</v>
      </c>
      <c r="F1414" s="40"/>
      <c r="G1414" s="40" t="s">
        <v>11404</v>
      </c>
    </row>
    <row r="1415">
      <c r="A1415" s="39"/>
      <c r="E1415" s="40" t="s">
        <v>11404</v>
      </c>
      <c r="F1415" s="40"/>
      <c r="G1415" s="40" t="s">
        <v>11404</v>
      </c>
    </row>
    <row r="1416">
      <c r="A1416" s="39"/>
      <c r="E1416" s="40" t="s">
        <v>11404</v>
      </c>
      <c r="F1416" s="40"/>
      <c r="G1416" s="40" t="s">
        <v>11404</v>
      </c>
    </row>
    <row r="1417">
      <c r="A1417" s="39"/>
      <c r="E1417" s="40" t="s">
        <v>11404</v>
      </c>
      <c r="F1417" s="40"/>
      <c r="G1417" s="40" t="s">
        <v>11404</v>
      </c>
    </row>
    <row r="1418">
      <c r="A1418" s="39"/>
      <c r="E1418" s="40" t="s">
        <v>11404</v>
      </c>
      <c r="F1418" s="40"/>
      <c r="G1418" s="40" t="s">
        <v>11404</v>
      </c>
    </row>
    <row r="1419">
      <c r="A1419" s="39"/>
      <c r="E1419" s="40" t="s">
        <v>11404</v>
      </c>
      <c r="F1419" s="40"/>
      <c r="G1419" s="40" t="s">
        <v>11404</v>
      </c>
    </row>
    <row r="1420">
      <c r="A1420" s="39"/>
      <c r="E1420" s="40" t="s">
        <v>11404</v>
      </c>
      <c r="F1420" s="40"/>
      <c r="G1420" s="40" t="s">
        <v>11404</v>
      </c>
    </row>
    <row r="1421">
      <c r="A1421" s="39"/>
      <c r="E1421" s="40" t="s">
        <v>11404</v>
      </c>
      <c r="F1421" s="40"/>
      <c r="G1421" s="40" t="s">
        <v>11404</v>
      </c>
    </row>
    <row r="1422">
      <c r="A1422" s="39"/>
      <c r="E1422" s="40" t="s">
        <v>11404</v>
      </c>
      <c r="F1422" s="40"/>
      <c r="G1422" s="40" t="s">
        <v>11404</v>
      </c>
    </row>
    <row r="1423">
      <c r="A1423" s="39"/>
      <c r="E1423" s="40" t="s">
        <v>11404</v>
      </c>
      <c r="F1423" s="40"/>
      <c r="G1423" s="40" t="s">
        <v>11404</v>
      </c>
    </row>
    <row r="1424">
      <c r="A1424" s="39"/>
      <c r="E1424" s="40" t="s">
        <v>11404</v>
      </c>
      <c r="F1424" s="40"/>
      <c r="G1424" s="40" t="s">
        <v>11404</v>
      </c>
    </row>
    <row r="1425">
      <c r="A1425" s="39"/>
      <c r="E1425" s="40" t="s">
        <v>11404</v>
      </c>
      <c r="F1425" s="40"/>
      <c r="G1425" s="40" t="s">
        <v>11404</v>
      </c>
    </row>
    <row r="1426">
      <c r="A1426" s="39"/>
      <c r="E1426" s="40" t="s">
        <v>11404</v>
      </c>
      <c r="F1426" s="40"/>
      <c r="G1426" s="40" t="s">
        <v>11404</v>
      </c>
    </row>
    <row r="1427">
      <c r="A1427" s="39"/>
      <c r="E1427" s="40" t="s">
        <v>11404</v>
      </c>
      <c r="F1427" s="40"/>
      <c r="G1427" s="40" t="s">
        <v>11404</v>
      </c>
    </row>
    <row r="1428">
      <c r="A1428" s="39"/>
      <c r="E1428" s="40" t="s">
        <v>11404</v>
      </c>
      <c r="F1428" s="40"/>
      <c r="G1428" s="40" t="s">
        <v>11404</v>
      </c>
    </row>
    <row r="1429">
      <c r="A1429" s="39"/>
      <c r="E1429" s="40" t="s">
        <v>11404</v>
      </c>
      <c r="F1429" s="40"/>
      <c r="G1429" s="40" t="s">
        <v>11404</v>
      </c>
    </row>
    <row r="1430">
      <c r="A1430" s="39"/>
      <c r="E1430" s="40" t="s">
        <v>11404</v>
      </c>
      <c r="F1430" s="40"/>
      <c r="G1430" s="40" t="s">
        <v>11404</v>
      </c>
    </row>
    <row r="1431">
      <c r="A1431" s="39"/>
      <c r="E1431" s="40" t="s">
        <v>11404</v>
      </c>
      <c r="F1431" s="40"/>
      <c r="G1431" s="40" t="s">
        <v>11404</v>
      </c>
    </row>
    <row r="1432">
      <c r="A1432" s="39"/>
      <c r="E1432" s="40" t="s">
        <v>11404</v>
      </c>
      <c r="F1432" s="40"/>
      <c r="G1432" s="40" t="s">
        <v>11404</v>
      </c>
    </row>
    <row r="1433">
      <c r="A1433" s="39"/>
      <c r="E1433" s="40" t="s">
        <v>11404</v>
      </c>
      <c r="F1433" s="40"/>
      <c r="G1433" s="40" t="s">
        <v>11404</v>
      </c>
    </row>
    <row r="1434">
      <c r="A1434" s="39"/>
      <c r="E1434" s="40" t="s">
        <v>11404</v>
      </c>
      <c r="F1434" s="40"/>
      <c r="G1434" s="40" t="s">
        <v>11404</v>
      </c>
    </row>
    <row r="1435">
      <c r="A1435" s="39"/>
      <c r="E1435" s="40" t="s">
        <v>11404</v>
      </c>
      <c r="F1435" s="40"/>
      <c r="G1435" s="40" t="s">
        <v>11404</v>
      </c>
    </row>
    <row r="1436">
      <c r="A1436" s="39"/>
      <c r="E1436" s="40" t="s">
        <v>11404</v>
      </c>
      <c r="F1436" s="40"/>
      <c r="G1436" s="40" t="s">
        <v>11404</v>
      </c>
    </row>
    <row r="1437">
      <c r="A1437" s="39"/>
      <c r="E1437" s="40" t="s">
        <v>11404</v>
      </c>
      <c r="F1437" s="40"/>
      <c r="G1437" s="40" t="s">
        <v>11404</v>
      </c>
    </row>
    <row r="1438">
      <c r="A1438" s="39"/>
      <c r="E1438" s="40" t="s">
        <v>11404</v>
      </c>
      <c r="F1438" s="40"/>
      <c r="G1438" s="40" t="s">
        <v>11404</v>
      </c>
    </row>
    <row r="1439">
      <c r="A1439" s="39"/>
      <c r="E1439" s="40" t="s">
        <v>11404</v>
      </c>
      <c r="F1439" s="40"/>
      <c r="G1439" s="40" t="s">
        <v>11404</v>
      </c>
    </row>
    <row r="1440">
      <c r="A1440" s="39"/>
      <c r="E1440" s="40" t="s">
        <v>11404</v>
      </c>
      <c r="F1440" s="40"/>
      <c r="G1440" s="40" t="s">
        <v>11404</v>
      </c>
    </row>
    <row r="1441">
      <c r="A1441" s="39"/>
      <c r="E1441" s="40" t="s">
        <v>11404</v>
      </c>
      <c r="F1441" s="40"/>
      <c r="G1441" s="40" t="s">
        <v>11404</v>
      </c>
    </row>
    <row r="1442">
      <c r="A1442" s="39"/>
      <c r="E1442" s="40" t="s">
        <v>11404</v>
      </c>
      <c r="F1442" s="40"/>
      <c r="G1442" s="40" t="s">
        <v>11404</v>
      </c>
    </row>
    <row r="1443">
      <c r="A1443" s="39"/>
      <c r="E1443" s="40" t="s">
        <v>11404</v>
      </c>
      <c r="F1443" s="40"/>
      <c r="G1443" s="40" t="s">
        <v>11404</v>
      </c>
    </row>
    <row r="1444">
      <c r="A1444" s="39"/>
      <c r="E1444" s="40" t="s">
        <v>11404</v>
      </c>
      <c r="F1444" s="40"/>
      <c r="G1444" s="40" t="s">
        <v>11404</v>
      </c>
    </row>
    <row r="1445">
      <c r="A1445" s="39"/>
      <c r="E1445" s="40" t="s">
        <v>11404</v>
      </c>
      <c r="F1445" s="40"/>
      <c r="G1445" s="40" t="s">
        <v>11404</v>
      </c>
    </row>
    <row r="1446">
      <c r="A1446" s="39"/>
      <c r="E1446" s="40" t="s">
        <v>11404</v>
      </c>
      <c r="F1446" s="40"/>
      <c r="G1446" s="40" t="s">
        <v>11404</v>
      </c>
    </row>
    <row r="1447">
      <c r="A1447" s="39"/>
      <c r="E1447" s="40" t="s">
        <v>11404</v>
      </c>
      <c r="F1447" s="40"/>
      <c r="G1447" s="40" t="s">
        <v>11404</v>
      </c>
    </row>
    <row r="1448">
      <c r="A1448" s="39"/>
      <c r="E1448" s="40" t="s">
        <v>11404</v>
      </c>
      <c r="F1448" s="40"/>
      <c r="G1448" s="40" t="s">
        <v>11404</v>
      </c>
    </row>
    <row r="1449">
      <c r="A1449" s="39"/>
      <c r="E1449" s="40" t="s">
        <v>11404</v>
      </c>
      <c r="F1449" s="40"/>
      <c r="G1449" s="40" t="s">
        <v>11404</v>
      </c>
    </row>
    <row r="1450">
      <c r="A1450" s="39"/>
      <c r="E1450" s="40" t="s">
        <v>11404</v>
      </c>
      <c r="F1450" s="40"/>
      <c r="G1450" s="40" t="s">
        <v>11404</v>
      </c>
    </row>
    <row r="1451">
      <c r="A1451" s="39"/>
      <c r="E1451" s="40" t="s">
        <v>11404</v>
      </c>
      <c r="F1451" s="40"/>
      <c r="G1451" s="40" t="s">
        <v>11404</v>
      </c>
    </row>
    <row r="1452">
      <c r="A1452" s="39"/>
      <c r="E1452" s="40" t="s">
        <v>11404</v>
      </c>
      <c r="F1452" s="40"/>
      <c r="G1452" s="40" t="s">
        <v>11404</v>
      </c>
    </row>
    <row r="1453">
      <c r="A1453" s="39"/>
      <c r="E1453" s="40" t="s">
        <v>11404</v>
      </c>
      <c r="F1453" s="40"/>
      <c r="G1453" s="40" t="s">
        <v>11404</v>
      </c>
    </row>
    <row r="1454">
      <c r="A1454" s="39"/>
      <c r="E1454" s="40" t="s">
        <v>11404</v>
      </c>
      <c r="F1454" s="40"/>
      <c r="G1454" s="40" t="s">
        <v>11404</v>
      </c>
    </row>
    <row r="1455">
      <c r="A1455" s="39"/>
      <c r="E1455" s="40" t="s">
        <v>11404</v>
      </c>
      <c r="F1455" s="40"/>
      <c r="G1455" s="40" t="s">
        <v>11404</v>
      </c>
    </row>
    <row r="1456">
      <c r="A1456" s="39"/>
      <c r="E1456" s="40" t="s">
        <v>11404</v>
      </c>
      <c r="F1456" s="40"/>
      <c r="G1456" s="40" t="s">
        <v>11404</v>
      </c>
    </row>
    <row r="1457">
      <c r="A1457" s="39"/>
      <c r="E1457" s="40" t="s">
        <v>11404</v>
      </c>
      <c r="F1457" s="40"/>
      <c r="G1457" s="40" t="s">
        <v>11404</v>
      </c>
    </row>
    <row r="1458">
      <c r="A1458" s="39"/>
      <c r="E1458" s="40" t="s">
        <v>11404</v>
      </c>
      <c r="F1458" s="40"/>
      <c r="G1458" s="40" t="s">
        <v>11404</v>
      </c>
    </row>
    <row r="1459">
      <c r="A1459" s="39"/>
      <c r="E1459" s="40" t="s">
        <v>11404</v>
      </c>
      <c r="F1459" s="40"/>
      <c r="G1459" s="40" t="s">
        <v>11404</v>
      </c>
    </row>
    <row r="1460">
      <c r="A1460" s="39"/>
      <c r="E1460" s="40" t="s">
        <v>11404</v>
      </c>
      <c r="F1460" s="40"/>
      <c r="G1460" s="40" t="s">
        <v>11404</v>
      </c>
    </row>
    <row r="1461">
      <c r="A1461" s="39"/>
      <c r="E1461" s="40" t="s">
        <v>11404</v>
      </c>
      <c r="F1461" s="40"/>
      <c r="G1461" s="40" t="s">
        <v>11404</v>
      </c>
    </row>
    <row r="1462">
      <c r="A1462" s="39"/>
      <c r="E1462" s="40" t="s">
        <v>11404</v>
      </c>
      <c r="F1462" s="40"/>
      <c r="G1462" s="40" t="s">
        <v>11404</v>
      </c>
    </row>
    <row r="1463">
      <c r="A1463" s="39"/>
      <c r="E1463" s="40" t="s">
        <v>11404</v>
      </c>
      <c r="F1463" s="40"/>
      <c r="G1463" s="40" t="s">
        <v>11404</v>
      </c>
    </row>
    <row r="1464">
      <c r="A1464" s="39"/>
      <c r="E1464" s="40" t="s">
        <v>11404</v>
      </c>
      <c r="F1464" s="40"/>
      <c r="G1464" s="40" t="s">
        <v>11404</v>
      </c>
    </row>
    <row r="1465">
      <c r="A1465" s="39"/>
      <c r="E1465" s="40" t="s">
        <v>11404</v>
      </c>
      <c r="F1465" s="40"/>
      <c r="G1465" s="40" t="s">
        <v>11404</v>
      </c>
    </row>
    <row r="1466">
      <c r="A1466" s="39"/>
      <c r="E1466" s="40" t="s">
        <v>11404</v>
      </c>
      <c r="F1466" s="40"/>
      <c r="G1466" s="40" t="s">
        <v>11404</v>
      </c>
    </row>
    <row r="1467">
      <c r="A1467" s="39"/>
      <c r="E1467" s="40" t="s">
        <v>11404</v>
      </c>
      <c r="F1467" s="40"/>
      <c r="G1467" s="40" t="s">
        <v>11404</v>
      </c>
    </row>
    <row r="1468">
      <c r="A1468" s="39"/>
      <c r="E1468" s="40" t="s">
        <v>11404</v>
      </c>
      <c r="F1468" s="40"/>
      <c r="G1468" s="40" t="s">
        <v>11404</v>
      </c>
    </row>
    <row r="1469">
      <c r="A1469" s="39"/>
      <c r="E1469" s="40" t="s">
        <v>11404</v>
      </c>
      <c r="F1469" s="40"/>
      <c r="G1469" s="40" t="s">
        <v>11404</v>
      </c>
    </row>
    <row r="1470">
      <c r="A1470" s="39"/>
      <c r="E1470" s="40" t="s">
        <v>11404</v>
      </c>
      <c r="F1470" s="40"/>
      <c r="G1470" s="40" t="s">
        <v>11404</v>
      </c>
    </row>
    <row r="1471">
      <c r="A1471" s="39"/>
      <c r="E1471" s="40" t="s">
        <v>11404</v>
      </c>
      <c r="F1471" s="40"/>
      <c r="G1471" s="40" t="s">
        <v>11404</v>
      </c>
    </row>
    <row r="1472">
      <c r="A1472" s="39"/>
      <c r="E1472" s="40" t="s">
        <v>11404</v>
      </c>
      <c r="F1472" s="40"/>
      <c r="G1472" s="40" t="s">
        <v>11404</v>
      </c>
    </row>
    <row r="1473">
      <c r="A1473" s="39"/>
      <c r="E1473" s="40" t="s">
        <v>11404</v>
      </c>
      <c r="F1473" s="40"/>
      <c r="G1473" s="40" t="s">
        <v>11404</v>
      </c>
    </row>
    <row r="1474">
      <c r="A1474" s="39"/>
      <c r="E1474" s="40" t="s">
        <v>11404</v>
      </c>
      <c r="F1474" s="40"/>
      <c r="G1474" s="40" t="s">
        <v>11404</v>
      </c>
    </row>
    <row r="1475">
      <c r="A1475" s="39"/>
      <c r="E1475" s="40" t="s">
        <v>11404</v>
      </c>
      <c r="F1475" s="40"/>
      <c r="G1475" s="40" t="s">
        <v>11404</v>
      </c>
    </row>
    <row r="1476">
      <c r="A1476" s="39"/>
      <c r="E1476" s="40" t="s">
        <v>11404</v>
      </c>
      <c r="F1476" s="40"/>
      <c r="G1476" s="40" t="s">
        <v>11404</v>
      </c>
    </row>
    <row r="1477">
      <c r="A1477" s="39"/>
      <c r="E1477" s="40" t="s">
        <v>11404</v>
      </c>
      <c r="F1477" s="40"/>
      <c r="G1477" s="40" t="s">
        <v>11404</v>
      </c>
    </row>
    <row r="1478">
      <c r="A1478" s="39"/>
      <c r="E1478" s="40" t="s">
        <v>11404</v>
      </c>
      <c r="F1478" s="40"/>
      <c r="G1478" s="40" t="s">
        <v>11404</v>
      </c>
    </row>
    <row r="1479">
      <c r="A1479" s="39"/>
      <c r="E1479" s="40" t="s">
        <v>11404</v>
      </c>
      <c r="F1479" s="40"/>
      <c r="G1479" s="40" t="s">
        <v>11404</v>
      </c>
    </row>
    <row r="1480">
      <c r="A1480" s="39"/>
      <c r="E1480" s="40" t="s">
        <v>11404</v>
      </c>
      <c r="F1480" s="40"/>
      <c r="G1480" s="40" t="s">
        <v>11404</v>
      </c>
    </row>
    <row r="1481">
      <c r="A1481" s="39"/>
      <c r="E1481" s="40" t="s">
        <v>11404</v>
      </c>
      <c r="F1481" s="40"/>
      <c r="G1481" s="40" t="s">
        <v>11404</v>
      </c>
    </row>
    <row r="1482">
      <c r="A1482" s="39"/>
      <c r="E1482" s="40" t="s">
        <v>11404</v>
      </c>
      <c r="F1482" s="40"/>
      <c r="G1482" s="40" t="s">
        <v>11404</v>
      </c>
    </row>
    <row r="1483">
      <c r="A1483" s="39"/>
      <c r="E1483" s="40" t="s">
        <v>11404</v>
      </c>
      <c r="F1483" s="40"/>
      <c r="G1483" s="40" t="s">
        <v>11404</v>
      </c>
    </row>
    <row r="1484">
      <c r="A1484" s="39"/>
      <c r="E1484" s="40" t="s">
        <v>11404</v>
      </c>
      <c r="F1484" s="40"/>
      <c r="G1484" s="40" t="s">
        <v>11404</v>
      </c>
    </row>
    <row r="1485">
      <c r="A1485" s="39"/>
      <c r="E1485" s="40" t="s">
        <v>11404</v>
      </c>
      <c r="F1485" s="40"/>
      <c r="G1485" s="40" t="s">
        <v>11404</v>
      </c>
    </row>
    <row r="1486">
      <c r="A1486" s="39"/>
      <c r="E1486" s="40" t="s">
        <v>11404</v>
      </c>
      <c r="F1486" s="40"/>
      <c r="G1486" s="40" t="s">
        <v>11404</v>
      </c>
    </row>
    <row r="1487">
      <c r="A1487" s="39"/>
      <c r="E1487" s="40" t="s">
        <v>11404</v>
      </c>
      <c r="F1487" s="40"/>
      <c r="G1487" s="40" t="s">
        <v>11404</v>
      </c>
    </row>
    <row r="1488">
      <c r="A1488" s="39"/>
      <c r="E1488" s="40" t="s">
        <v>11404</v>
      </c>
      <c r="F1488" s="40"/>
      <c r="G1488" s="40" t="s">
        <v>11404</v>
      </c>
    </row>
    <row r="1489">
      <c r="A1489" s="39"/>
      <c r="E1489" s="40" t="s">
        <v>11404</v>
      </c>
      <c r="F1489" s="40"/>
      <c r="G1489" s="40" t="s">
        <v>11404</v>
      </c>
    </row>
    <row r="1490">
      <c r="A1490" s="39"/>
      <c r="E1490" s="40" t="s">
        <v>11404</v>
      </c>
      <c r="F1490" s="40"/>
      <c r="G1490" s="40" t="s">
        <v>11404</v>
      </c>
    </row>
    <row r="1491">
      <c r="A1491" s="39"/>
      <c r="E1491" s="40" t="s">
        <v>11404</v>
      </c>
      <c r="F1491" s="40"/>
      <c r="G1491" s="40" t="s">
        <v>11404</v>
      </c>
    </row>
    <row r="1492">
      <c r="A1492" s="39"/>
      <c r="E1492" s="40" t="s">
        <v>11404</v>
      </c>
      <c r="F1492" s="40"/>
      <c r="G1492" s="40" t="s">
        <v>11404</v>
      </c>
    </row>
    <row r="1493">
      <c r="A1493" s="39"/>
      <c r="E1493" s="40" t="s">
        <v>11404</v>
      </c>
      <c r="F1493" s="40"/>
      <c r="G1493" s="40" t="s">
        <v>11404</v>
      </c>
    </row>
    <row r="1494">
      <c r="A1494" s="39"/>
      <c r="E1494" s="40" t="s">
        <v>11404</v>
      </c>
      <c r="F1494" s="40"/>
      <c r="G1494" s="40" t="s">
        <v>11404</v>
      </c>
    </row>
    <row r="1495">
      <c r="A1495" s="39"/>
      <c r="E1495" s="40" t="s">
        <v>11404</v>
      </c>
      <c r="F1495" s="40"/>
      <c r="G1495" s="40" t="s">
        <v>11404</v>
      </c>
    </row>
    <row r="1496">
      <c r="A1496" s="39"/>
      <c r="E1496" s="40" t="s">
        <v>11404</v>
      </c>
      <c r="F1496" s="40"/>
      <c r="G1496" s="40" t="s">
        <v>11404</v>
      </c>
    </row>
    <row r="1497">
      <c r="A1497" s="39"/>
      <c r="E1497" s="40" t="s">
        <v>11404</v>
      </c>
      <c r="F1497" s="40"/>
      <c r="G1497" s="40" t="s">
        <v>11404</v>
      </c>
    </row>
    <row r="1498">
      <c r="A1498" s="39"/>
      <c r="E1498" s="40" t="s">
        <v>11404</v>
      </c>
      <c r="F1498" s="40"/>
      <c r="G1498" s="40" t="s">
        <v>11404</v>
      </c>
    </row>
    <row r="1499">
      <c r="A1499" s="39"/>
      <c r="E1499" s="40" t="s">
        <v>11404</v>
      </c>
      <c r="F1499" s="40"/>
      <c r="G1499" s="40" t="s">
        <v>11404</v>
      </c>
    </row>
  </sheetData>
  <autoFilter ref="$A$1:$A$998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1.5"/>
    <col customWidth="1" min="3" max="3" width="23.75"/>
  </cols>
  <sheetData>
    <row r="1">
      <c r="A1" s="51" t="s">
        <v>0</v>
      </c>
      <c r="B1" s="52" t="s">
        <v>15</v>
      </c>
      <c r="C1" s="52" t="s">
        <v>11601</v>
      </c>
      <c r="D1" s="52" t="s">
        <v>11602</v>
      </c>
    </row>
    <row r="2">
      <c r="A2" s="53">
        <f>IFERROR(__xludf.DUMMYFUNCTION("LET(
  data_range, 'Master Data All'!A2:X1501,
  first_day, EOMONTH(TODAY(),-1)+1,
  stack, {
    IFERROR(QUERY(data_range, ""SELECT A, P, I, M WHERE P IS NOT NULL AND A IS NOT NULL""));
    IFERROR(QUERY(data_range, ""SELECT A, Q, I, M WHERE Q IS NOT NU"&amp;"LL AND A IS NOT NULL""));
    IFERROR(QUERY(data_range, ""SELECT A, R, I, M WHERE R IS NOT NULL AND A IS NOT NULL""));
    IFERROR(QUERY(data_range, ""SELECT A, S, I, M WHERE S IS NOT NULL AND A IS NOT NULL""));
    IFERROR(QUERY(data_range, ""SELECT A, T"&amp;", I, M WHERE T IS NOT NULL AND A IS NOT NULL""));
    IFERROR(QUERY(data_range, ""SELECT A, U, I, M WHERE U IS NOT NULL AND A IS NOT NULL""));
    IFERROR(QUERY(data_range, ""SELECT A, V, I, M WHERE V IS NOT NULL AND A IS NOT NULL""));
    IFERROR(QUERY(d"&amp;"ata_range, ""SELECT A, W, I, M WHERE W IS NOT NULL AND A IS NOT NULL""));
    IFERROR(QUERY(data_range, ""SELECT A, X, I, M WHERE X IS NOT NULL AND A IS NOT NULL""))
  },
  SORT(
    FILTER(
      stack,
      INDEX(stack, 0, 1) &gt;= first_day
    ),
  1, "&amp;"TRUE)
)"),45992.000220925926)</f>
        <v>45992.00022</v>
      </c>
      <c r="B2" s="19" t="str">
        <f>IFERROR(__xludf.DUMMYFUNCTION("""COMPUTED_VALUE"""),"ROS YANE KANA LUDJI")</f>
        <v>ROS YANE KANA LUDJI</v>
      </c>
      <c r="C2" s="19" t="str">
        <f>IFERROR(__xludf.DUMMYFUNCTION("""COMPUTED_VALUE"""),"Belum disetujui")</f>
        <v>Belum disetujui</v>
      </c>
      <c r="D2" s="19"/>
    </row>
    <row r="3">
      <c r="A3" s="53">
        <f>IFERROR(__xludf.DUMMYFUNCTION("""COMPUTED_VALUE"""),45992.39247590278)</f>
        <v>45992.39248</v>
      </c>
      <c r="B3" s="19" t="str">
        <f>IFERROR(__xludf.DUMMYFUNCTION("""COMPUTED_VALUE"""),"MARNITHA JUWIKE TIMORATI RUNESI")</f>
        <v>MARNITHA JUWIKE TIMORATI RUNESI</v>
      </c>
      <c r="C3" s="19" t="str">
        <f>IFERROR(__xludf.DUMMYFUNCTION("""COMPUTED_VALUE"""),"Belum disetujui")</f>
        <v>Belum disetujui</v>
      </c>
      <c r="D3" s="19"/>
    </row>
    <row r="4">
      <c r="A4" s="53">
        <f>IFERROR(__xludf.DUMMYFUNCTION("""COMPUTED_VALUE"""),45992.41216761574)</f>
        <v>45992.41217</v>
      </c>
      <c r="B4" s="19" t="str">
        <f>IFERROR(__xludf.DUMMYFUNCTION("""COMPUTED_VALUE"""),"ROS YANE KANA LUDJI")</f>
        <v>ROS YANE KANA LUDJI</v>
      </c>
      <c r="C4" s="19" t="str">
        <f>IFERROR(__xludf.DUMMYFUNCTION("""COMPUTED_VALUE"""),"Belum disetujui")</f>
        <v>Belum disetujui</v>
      </c>
      <c r="D4" s="19"/>
    </row>
    <row r="5">
      <c r="A5" s="53">
        <f>IFERROR(__xludf.DUMMYFUNCTION("""COMPUTED_VALUE"""),45992.42242364584)</f>
        <v>45992.42242</v>
      </c>
      <c r="B5" s="19" t="str">
        <f>IFERROR(__xludf.DUMMYFUNCTION("""COMPUTED_VALUE"""),"ANDHIKA ULLY")</f>
        <v>ANDHIKA ULLY</v>
      </c>
      <c r="C5" s="19" t="str">
        <f>IFERROR(__xludf.DUMMYFUNCTION("""COMPUTED_VALUE"""),"Belum disetujui")</f>
        <v>Belum disetujui</v>
      </c>
      <c r="D5" s="19"/>
    </row>
    <row r="6">
      <c r="A6" s="53">
        <f>IFERROR(__xludf.DUMMYFUNCTION("""COMPUTED_VALUE"""),45992.42366331018)</f>
        <v>45992.42366</v>
      </c>
      <c r="B6" s="19" t="str">
        <f>IFERROR(__xludf.DUMMYFUNCTION("""COMPUTED_VALUE"""),"MARNITHA JUWIKE TIMORATI RUNESI")</f>
        <v>MARNITHA JUWIKE TIMORATI RUNESI</v>
      </c>
      <c r="C6" s="19" t="str">
        <f>IFERROR(__xludf.DUMMYFUNCTION("""COMPUTED_VALUE"""),"Belum disetujui")</f>
        <v>Belum disetujui</v>
      </c>
      <c r="D6" s="19"/>
    </row>
    <row r="7">
      <c r="A7" s="53">
        <f>IFERROR(__xludf.DUMMYFUNCTION("""COMPUTED_VALUE"""),45992.43756385417)</f>
        <v>45992.43756</v>
      </c>
      <c r="B7" s="19" t="str">
        <f>IFERROR(__xludf.DUMMYFUNCTION("""COMPUTED_VALUE"""),"AINI RAHMATINI NATALIA MOESTAKIM")</f>
        <v>AINI RAHMATINI NATALIA MOESTAKIM</v>
      </c>
      <c r="C7" s="19" t="str">
        <f>IFERROR(__xludf.DUMMYFUNCTION("""COMPUTED_VALUE"""),"Dapat limit tapi belum diproses")</f>
        <v>Dapat limit tapi belum diproses</v>
      </c>
      <c r="D7" s="19" t="str">
        <f>IFERROR(__xludf.DUMMYFUNCTION("""COMPUTED_VALUE"""),"Y21d series")</f>
        <v>Y21d series</v>
      </c>
    </row>
    <row r="8">
      <c r="A8" s="53">
        <f>IFERROR(__xludf.DUMMYFUNCTION("""COMPUTED_VALUE"""),45992.46769275463)</f>
        <v>45992.46769</v>
      </c>
      <c r="B8" s="19" t="str">
        <f>IFERROR(__xludf.DUMMYFUNCTION("""COMPUTED_VALUE"""),"EMPI FRANGKI LIEM")</f>
        <v>EMPI FRANGKI LIEM</v>
      </c>
      <c r="C8" s="19" t="str">
        <f>IFERROR(__xludf.DUMMYFUNCTION("""COMPUTED_VALUE"""),"Belum disetujui")</f>
        <v>Belum disetujui</v>
      </c>
      <c r="D8" s="19"/>
    </row>
    <row r="9">
      <c r="A9" s="53">
        <f>IFERROR(__xludf.DUMMYFUNCTION("""COMPUTED_VALUE"""),45992.50544042824)</f>
        <v>45992.50544</v>
      </c>
      <c r="B9" s="19" t="str">
        <f>IFERROR(__xludf.DUMMYFUNCTION("""COMPUTED_VALUE"""),"YENDRI ELISHABET BERELOE")</f>
        <v>YENDRI ELISHABET BERELOE</v>
      </c>
      <c r="C9" s="19" t="str">
        <f>IFERROR(__xludf.DUMMYFUNCTION("""COMPUTED_VALUE"""),"Belum disetujui")</f>
        <v>Belum disetujui</v>
      </c>
      <c r="D9" s="19"/>
    </row>
    <row r="10">
      <c r="A10" s="53">
        <f>IFERROR(__xludf.DUMMYFUNCTION("""COMPUTED_VALUE"""),45992.564250324074)</f>
        <v>45992.56425</v>
      </c>
      <c r="B10" s="19" t="str">
        <f>IFERROR(__xludf.DUMMYFUNCTION("""COMPUTED_VALUE"""),"ANNA RAHMATIA JUFRI")</f>
        <v>ANNA RAHMATIA JUFRI</v>
      </c>
      <c r="C10" s="19" t="str">
        <f>IFERROR(__xludf.DUMMYFUNCTION("""COMPUTED_VALUE"""),"Belum disetujui")</f>
        <v>Belum disetujui</v>
      </c>
      <c r="D10" s="19"/>
    </row>
    <row r="11">
      <c r="A11" s="53">
        <f>IFERROR(__xludf.DUMMYFUNCTION("""COMPUTED_VALUE"""),45992.568997662034)</f>
        <v>45992.569</v>
      </c>
      <c r="B11" s="19" t="str">
        <f>IFERROR(__xludf.DUMMYFUNCTION("""COMPUTED_VALUE"""),"SANTI MARIA LUKMINI NAHAK")</f>
        <v>SANTI MARIA LUKMINI NAHAK</v>
      </c>
      <c r="C11" s="19" t="str">
        <f>IFERROR(__xludf.DUMMYFUNCTION("""COMPUTED_VALUE"""),"Belum disetujui")</f>
        <v>Belum disetujui</v>
      </c>
      <c r="D11" s="19"/>
    </row>
    <row r="12">
      <c r="A12" s="53">
        <f>IFERROR(__xludf.DUMMYFUNCTION("""COMPUTED_VALUE"""),45992.56975221065)</f>
        <v>45992.56975</v>
      </c>
      <c r="B12" s="19" t="str">
        <f>IFERROR(__xludf.DUMMYFUNCTION("""COMPUTED_VALUE"""),"RESTIANY MARIA LUAN KALI")</f>
        <v>RESTIANY MARIA LUAN KALI</v>
      </c>
      <c r="C12" s="19" t="str">
        <f>IFERROR(__xludf.DUMMYFUNCTION("""COMPUTED_VALUE"""),"Belum disetujui")</f>
        <v>Belum disetujui</v>
      </c>
      <c r="D12" s="19"/>
    </row>
    <row r="13">
      <c r="A13" s="53">
        <f>IFERROR(__xludf.DUMMYFUNCTION("""COMPUTED_VALUE"""),45992.575315960654)</f>
        <v>45992.57532</v>
      </c>
      <c r="B13" s="19" t="str">
        <f>IFERROR(__xludf.DUMMYFUNCTION("""COMPUTED_VALUE"""),"NUR FATIMAH MOLBANG")</f>
        <v>NUR FATIMAH MOLBANG</v>
      </c>
      <c r="C13" s="19" t="str">
        <f>IFERROR(__xludf.DUMMYFUNCTION("""COMPUTED_VALUE"""),"Belum disetujui")</f>
        <v>Belum disetujui</v>
      </c>
      <c r="D13" s="19"/>
    </row>
    <row r="14">
      <c r="A14" s="53">
        <f>IFERROR(__xludf.DUMMYFUNCTION("""COMPUTED_VALUE"""),45992.5792065162)</f>
        <v>45992.57921</v>
      </c>
      <c r="B14" s="19" t="str">
        <f>IFERROR(__xludf.DUMMYFUNCTION("""COMPUTED_VALUE"""),"NUR FATIMAH MOLBANG")</f>
        <v>NUR FATIMAH MOLBANG</v>
      </c>
      <c r="C14" s="19" t="str">
        <f>IFERROR(__xludf.DUMMYFUNCTION("""COMPUTED_VALUE"""),"Belum disetujui")</f>
        <v>Belum disetujui</v>
      </c>
      <c r="D14" s="19"/>
    </row>
    <row r="15">
      <c r="A15" s="53">
        <f>IFERROR(__xludf.DUMMYFUNCTION("""COMPUTED_VALUE"""),45992.583182372684)</f>
        <v>45992.58318</v>
      </c>
      <c r="B15" s="19" t="str">
        <f>IFERROR(__xludf.DUMMYFUNCTION("""COMPUTED_VALUE"""),"PATRIANI MENGI ULY")</f>
        <v>PATRIANI MENGI ULY</v>
      </c>
      <c r="C15" s="19" t="str">
        <f>IFERROR(__xludf.DUMMYFUNCTION("""COMPUTED_VALUE"""),"Belum disetujui")</f>
        <v>Belum disetujui</v>
      </c>
      <c r="D15" s="19"/>
    </row>
    <row r="16">
      <c r="A16" s="53">
        <f>IFERROR(__xludf.DUMMYFUNCTION("""COMPUTED_VALUE"""),45992.60638649306)</f>
        <v>45992.60639</v>
      </c>
      <c r="B16" s="19" t="str">
        <f>IFERROR(__xludf.DUMMYFUNCTION("""COMPUTED_VALUE"""),"BERGITHA NIA OLIN")</f>
        <v>BERGITHA NIA OLIN</v>
      </c>
      <c r="C16" s="19" t="str">
        <f>IFERROR(__xludf.DUMMYFUNCTION("""COMPUTED_VALUE"""),"Belum disetujui")</f>
        <v>Belum disetujui</v>
      </c>
      <c r="D16" s="19"/>
    </row>
    <row r="17">
      <c r="A17" s="53">
        <f>IFERROR(__xludf.DUMMYFUNCTION("""COMPUTED_VALUE"""),45992.61478524306)</f>
        <v>45992.61479</v>
      </c>
      <c r="B17" s="19" t="str">
        <f>IFERROR(__xludf.DUMMYFUNCTION("""COMPUTED_VALUE"""),"YENDRI ELISHABET BERELOE")</f>
        <v>YENDRI ELISHABET BERELOE</v>
      </c>
      <c r="C17" s="19" t="str">
        <f>IFERROR(__xludf.DUMMYFUNCTION("""COMPUTED_VALUE"""),"Dapat limit tapi belum diproses")</f>
        <v>Dapat limit tapi belum diproses</v>
      </c>
      <c r="D17" s="19" t="str">
        <f>IFERROR(__xludf.DUMMYFUNCTION("""COMPUTED_VALUE"""),"Y21d series")</f>
        <v>Y21d series</v>
      </c>
    </row>
    <row r="18">
      <c r="A18" s="53">
        <f>IFERROR(__xludf.DUMMYFUNCTION("""COMPUTED_VALUE"""),45992.67328905092)</f>
        <v>45992.67329</v>
      </c>
      <c r="B18" s="19" t="str">
        <f>IFERROR(__xludf.DUMMYFUNCTION("""COMPUTED_VALUE"""),"NABILA RAHMAWATI")</f>
        <v>NABILA RAHMAWATI</v>
      </c>
      <c r="C18" s="19" t="str">
        <f>IFERROR(__xludf.DUMMYFUNCTION("""COMPUTED_VALUE"""),"Belum disetujui")</f>
        <v>Belum disetujui</v>
      </c>
      <c r="D18" s="19"/>
    </row>
    <row r="19">
      <c r="A19" s="53">
        <f>IFERROR(__xludf.DUMMYFUNCTION("""COMPUTED_VALUE"""),45992.728126319445)</f>
        <v>45992.72813</v>
      </c>
      <c r="B19" s="19" t="str">
        <f>IFERROR(__xludf.DUMMYFUNCTION("""COMPUTED_VALUE"""),"WARDIA")</f>
        <v>WARDIA</v>
      </c>
      <c r="C19" s="19" t="str">
        <f>IFERROR(__xludf.DUMMYFUNCTION("""COMPUTED_VALUE"""),"Belum disetujui")</f>
        <v>Belum disetujui</v>
      </c>
      <c r="D19" s="19"/>
    </row>
    <row r="20">
      <c r="A20" s="53">
        <f>IFERROR(__xludf.DUMMYFUNCTION("""COMPUTED_VALUE"""),45992.74368403935)</f>
        <v>45992.74368</v>
      </c>
      <c r="B20" s="19" t="str">
        <f>IFERROR(__xludf.DUMMYFUNCTION("""COMPUTED_VALUE"""),"ESTER LUDJI")</f>
        <v>ESTER LUDJI</v>
      </c>
      <c r="C20" s="19" t="str">
        <f>IFERROR(__xludf.DUMMYFUNCTION("""COMPUTED_VALUE"""),"ACC")</f>
        <v>ACC</v>
      </c>
      <c r="D20" s="19" t="str">
        <f>IFERROR(__xludf.DUMMYFUNCTION("""COMPUTED_VALUE"""),"Y21d series")</f>
        <v>Y21d series</v>
      </c>
    </row>
    <row r="21">
      <c r="A21" s="53">
        <f>IFERROR(__xludf.DUMMYFUNCTION("""COMPUTED_VALUE"""),45992.767859479165)</f>
        <v>45992.76786</v>
      </c>
      <c r="B21" s="19" t="str">
        <f>IFERROR(__xludf.DUMMYFUNCTION("""COMPUTED_VALUE"""),"ESTER LUDJI")</f>
        <v>ESTER LUDJI</v>
      </c>
      <c r="C21" s="19" t="str">
        <f>IFERROR(__xludf.DUMMYFUNCTION("""COMPUTED_VALUE"""),"Belum disetujui")</f>
        <v>Belum disetujui</v>
      </c>
      <c r="D21" s="19"/>
    </row>
    <row r="22">
      <c r="A22" s="53">
        <f>IFERROR(__xludf.DUMMYFUNCTION("""COMPUTED_VALUE"""),45992.77763405093)</f>
        <v>45992.77763</v>
      </c>
      <c r="B22" s="19" t="str">
        <f>IFERROR(__xludf.DUMMYFUNCTION("""COMPUTED_VALUE"""),"ASRI NINGSI RAMBU ATA ENDI")</f>
        <v>ASRI NINGSI RAMBU ATA ENDI</v>
      </c>
      <c r="C22" s="19" t="str">
        <f>IFERROR(__xludf.DUMMYFUNCTION("""COMPUTED_VALUE"""),"Dapat limit tapi belum diproses")</f>
        <v>Dapat limit tapi belum diproses</v>
      </c>
      <c r="D22" s="19" t="str">
        <f>IFERROR(__xludf.DUMMYFUNCTION("""COMPUTED_VALUE"""),"Y400 series")</f>
        <v>Y400 series</v>
      </c>
    </row>
    <row r="23">
      <c r="A23" s="53">
        <f>IFERROR(__xludf.DUMMYFUNCTION("""COMPUTED_VALUE"""),45992.77939128473)</f>
        <v>45992.77939</v>
      </c>
      <c r="B23" s="19" t="str">
        <f>IFERROR(__xludf.DUMMYFUNCTION("""COMPUTED_VALUE"""),"ROS YANE KANA LUDJI")</f>
        <v>ROS YANE KANA LUDJI</v>
      </c>
      <c r="C23" s="19" t="str">
        <f>IFERROR(__xludf.DUMMYFUNCTION("""COMPUTED_VALUE"""),"Belum disetujui")</f>
        <v>Belum disetujui</v>
      </c>
      <c r="D23" s="19"/>
    </row>
    <row r="24">
      <c r="A24" s="53">
        <f>IFERROR(__xludf.DUMMYFUNCTION("""COMPUTED_VALUE"""),45992.78130732638)</f>
        <v>45992.78131</v>
      </c>
      <c r="B24" s="19" t="str">
        <f>IFERROR(__xludf.DUMMYFUNCTION("""COMPUTED_VALUE"""),"BERGITHA NIA OLIN")</f>
        <v>BERGITHA NIA OLIN</v>
      </c>
      <c r="C24" s="19" t="str">
        <f>IFERROR(__xludf.DUMMYFUNCTION("""COMPUTED_VALUE"""),"ACC")</f>
        <v>ACC</v>
      </c>
      <c r="D24" s="19" t="str">
        <f>IFERROR(__xludf.DUMMYFUNCTION("""COMPUTED_VALUE"""),"V60 Lite series")</f>
        <v>V60 Lite series</v>
      </c>
    </row>
    <row r="25">
      <c r="A25" s="53">
        <f>IFERROR(__xludf.DUMMYFUNCTION("""COMPUTED_VALUE"""),45992.796267280086)</f>
        <v>45992.79627</v>
      </c>
      <c r="B25" s="19" t="str">
        <f>IFERROR(__xludf.DUMMYFUNCTION("""COMPUTED_VALUE"""),"SANTI MARIA LUKMINI NAHAK")</f>
        <v>SANTI MARIA LUKMINI NAHAK</v>
      </c>
      <c r="C25" s="19" t="str">
        <f>IFERROR(__xludf.DUMMYFUNCTION("""COMPUTED_VALUE"""),"Belum disetujui")</f>
        <v>Belum disetujui</v>
      </c>
      <c r="D25" s="19"/>
    </row>
    <row r="26">
      <c r="A26" s="53">
        <f>IFERROR(__xludf.DUMMYFUNCTION("""COMPUTED_VALUE"""),45992.819738726845)</f>
        <v>45992.81974</v>
      </c>
      <c r="B26" s="19" t="str">
        <f>IFERROR(__xludf.DUMMYFUNCTION("""COMPUTED_VALUE"""),"YOVANDA KATRINA NAE")</f>
        <v>YOVANDA KATRINA NAE</v>
      </c>
      <c r="C26" s="19" t="str">
        <f>IFERROR(__xludf.DUMMYFUNCTION("""COMPUTED_VALUE"""),"Belum disetujui")</f>
        <v>Belum disetujui</v>
      </c>
      <c r="D26" s="19"/>
    </row>
    <row r="27">
      <c r="A27" s="53">
        <f>IFERROR(__xludf.DUMMYFUNCTION("""COMPUTED_VALUE"""),45992.83968498843)</f>
        <v>45992.83968</v>
      </c>
      <c r="B27" s="19" t="str">
        <f>IFERROR(__xludf.DUMMYFUNCTION("""COMPUTED_VALUE"""),"WINDRI MANOE")</f>
        <v>WINDRI MANOE</v>
      </c>
      <c r="C27" s="19" t="str">
        <f>IFERROR(__xludf.DUMMYFUNCTION("""COMPUTED_VALUE"""),"Belum disetujui")</f>
        <v>Belum disetujui</v>
      </c>
      <c r="D27" s="19"/>
    </row>
    <row r="28">
      <c r="A28" s="53">
        <f>IFERROR(__xludf.DUMMYFUNCTION("""COMPUTED_VALUE"""),45992.840489166665)</f>
        <v>45992.84049</v>
      </c>
      <c r="B28" s="19" t="str">
        <f>IFERROR(__xludf.DUMMYFUNCTION("""COMPUTED_VALUE"""),"WINDRI MANOE")</f>
        <v>WINDRI MANOE</v>
      </c>
      <c r="C28" s="19" t="str">
        <f>IFERROR(__xludf.DUMMYFUNCTION("""COMPUTED_VALUE"""),"Belum disetujui")</f>
        <v>Belum disetujui</v>
      </c>
      <c r="D28" s="19"/>
    </row>
    <row r="29">
      <c r="A29" s="53">
        <f>IFERROR(__xludf.DUMMYFUNCTION("""COMPUTED_VALUE"""),45992.85128471065)</f>
        <v>45992.85128</v>
      </c>
      <c r="B29" s="19" t="str">
        <f>IFERROR(__xludf.DUMMYFUNCTION("""COMPUTED_VALUE"""),"DWITNEY PRETY WANGGANDIMA")</f>
        <v>DWITNEY PRETY WANGGANDIMA</v>
      </c>
      <c r="C29" s="19" t="str">
        <f>IFERROR(__xludf.DUMMYFUNCTION("""COMPUTED_VALUE"""),"Belum disetujui")</f>
        <v>Belum disetujui</v>
      </c>
      <c r="D29" s="19"/>
    </row>
    <row r="30">
      <c r="A30" s="53">
        <f>IFERROR(__xludf.DUMMYFUNCTION("""COMPUTED_VALUE"""),45992.85280275463)</f>
        <v>45992.8528</v>
      </c>
      <c r="B30" s="19" t="str">
        <f>IFERROR(__xludf.DUMMYFUNCTION("""COMPUTED_VALUE"""),"DWITNEY PRETY WANGGANDIMA")</f>
        <v>DWITNEY PRETY WANGGANDIMA</v>
      </c>
      <c r="C30" s="19" t="str">
        <f>IFERROR(__xludf.DUMMYFUNCTION("""COMPUTED_VALUE"""),"Belum disetujui")</f>
        <v>Belum disetujui</v>
      </c>
      <c r="D30" s="19"/>
    </row>
    <row r="31">
      <c r="A31" s="53">
        <f>IFERROR(__xludf.DUMMYFUNCTION("""COMPUTED_VALUE"""),45992.866584537034)</f>
        <v>45992.86658</v>
      </c>
      <c r="B31" s="19" t="str">
        <f>IFERROR(__xludf.DUMMYFUNCTION("""COMPUTED_VALUE"""),"YOVANDA KATRINA NAE")</f>
        <v>YOVANDA KATRINA NAE</v>
      </c>
      <c r="C31" s="19" t="str">
        <f>IFERROR(__xludf.DUMMYFUNCTION("""COMPUTED_VALUE"""),"ACC")</f>
        <v>ACC</v>
      </c>
      <c r="D31" s="19" t="str">
        <f>IFERROR(__xludf.DUMMYFUNCTION("""COMPUTED_VALUE"""),"Y21d series")</f>
        <v>Y21d series</v>
      </c>
    </row>
    <row r="32">
      <c r="A32" s="53">
        <f>IFERROR(__xludf.DUMMYFUNCTION("""COMPUTED_VALUE"""),45992.90303767362)</f>
        <v>45992.90304</v>
      </c>
      <c r="B32" s="19" t="str">
        <f>IFERROR(__xludf.DUMMYFUNCTION("""COMPUTED_VALUE"""),"HERONIMUS NAMU WALI")</f>
        <v>HERONIMUS NAMU WALI</v>
      </c>
      <c r="C32" s="19" t="str">
        <f>IFERROR(__xludf.DUMMYFUNCTION("""COMPUTED_VALUE"""),"ACC")</f>
        <v>ACC</v>
      </c>
      <c r="D32" s="19" t="str">
        <f>IFERROR(__xludf.DUMMYFUNCTION("""COMPUTED_VALUE"""),"Y21d series")</f>
        <v>Y21d series</v>
      </c>
    </row>
    <row r="33">
      <c r="A33" s="53">
        <f>IFERROR(__xludf.DUMMYFUNCTION("""COMPUTED_VALUE"""),45992.90552940972)</f>
        <v>45992.90553</v>
      </c>
      <c r="B33" s="19" t="str">
        <f>IFERROR(__xludf.DUMMYFUNCTION("""COMPUTED_VALUE"""),"HERONIMUS NAMU WALI")</f>
        <v>HERONIMUS NAMU WALI</v>
      </c>
      <c r="C33" s="19" t="str">
        <f>IFERROR(__xludf.DUMMYFUNCTION("""COMPUTED_VALUE"""),"Belum disetujui")</f>
        <v>Belum disetujui</v>
      </c>
      <c r="D33" s="19"/>
    </row>
    <row r="34">
      <c r="A34" s="53">
        <f>IFERROR(__xludf.DUMMYFUNCTION("""COMPUTED_VALUE"""),45993.40507277778)</f>
        <v>45993.40507</v>
      </c>
      <c r="B34" s="19" t="str">
        <f>IFERROR(__xludf.DUMMYFUNCTION("""COMPUTED_VALUE"""),"AZ ZAHRA SITI ZAINAB")</f>
        <v>AZ ZAHRA SITI ZAINAB</v>
      </c>
      <c r="C34" s="19" t="str">
        <f>IFERROR(__xludf.DUMMYFUNCTION("""COMPUTED_VALUE"""),"Belum disetujui")</f>
        <v>Belum disetujui</v>
      </c>
      <c r="D34" s="19"/>
    </row>
    <row r="35">
      <c r="A35" s="53">
        <f>IFERROR(__xludf.DUMMYFUNCTION("""COMPUTED_VALUE"""),45993.41075219907)</f>
        <v>45993.41075</v>
      </c>
      <c r="B35" s="19" t="str">
        <f>IFERROR(__xludf.DUMMYFUNCTION("""COMPUTED_VALUE"""),"YUNITA TAMELAB")</f>
        <v>YUNITA TAMELAB</v>
      </c>
      <c r="C35" s="19" t="str">
        <f>IFERROR(__xludf.DUMMYFUNCTION("""COMPUTED_VALUE"""),"Belum disetujui")</f>
        <v>Belum disetujui</v>
      </c>
      <c r="D35" s="19"/>
    </row>
    <row r="36">
      <c r="A36" s="53">
        <f>IFERROR(__xludf.DUMMYFUNCTION("""COMPUTED_VALUE"""),45993.416915821756)</f>
        <v>45993.41692</v>
      </c>
      <c r="B36" s="19" t="str">
        <f>IFERROR(__xludf.DUMMYFUNCTION("""COMPUTED_VALUE"""),"PUSPA ANGGREINI")</f>
        <v>PUSPA ANGGREINI</v>
      </c>
      <c r="C36" s="19" t="str">
        <f>IFERROR(__xludf.DUMMYFUNCTION("""COMPUTED_VALUE"""),"Dapat limit tapi belum diproses")</f>
        <v>Dapat limit tapi belum diproses</v>
      </c>
      <c r="D36" s="19" t="str">
        <f>IFERROR(__xludf.DUMMYFUNCTION("""COMPUTED_VALUE"""),"Y21d series")</f>
        <v>Y21d series</v>
      </c>
    </row>
    <row r="37">
      <c r="A37" s="53">
        <f>IFERROR(__xludf.DUMMYFUNCTION("""COMPUTED_VALUE"""),45993.43785559028)</f>
        <v>45993.43786</v>
      </c>
      <c r="B37" s="19" t="str">
        <f>IFERROR(__xludf.DUMMYFUNCTION("""COMPUTED_VALUE"""),"ASTUTI BELA WAWO")</f>
        <v>ASTUTI BELA WAWO</v>
      </c>
      <c r="C37" s="19" t="str">
        <f>IFERROR(__xludf.DUMMYFUNCTION("""COMPUTED_VALUE"""),"Belum disetujui")</f>
        <v>Belum disetujui</v>
      </c>
      <c r="D37" s="19"/>
    </row>
    <row r="38">
      <c r="A38" s="53">
        <f>IFERROR(__xludf.DUMMYFUNCTION("""COMPUTED_VALUE"""),45993.43924400463)</f>
        <v>45993.43924</v>
      </c>
      <c r="B38" s="19" t="str">
        <f>IFERROR(__xludf.DUMMYFUNCTION("""COMPUTED_VALUE"""),"ASTUTI BELA WAWO")</f>
        <v>ASTUTI BELA WAWO</v>
      </c>
      <c r="C38" s="19" t="str">
        <f>IFERROR(__xludf.DUMMYFUNCTION("""COMPUTED_VALUE"""),"Belum disetujui")</f>
        <v>Belum disetujui</v>
      </c>
      <c r="D38" s="19"/>
    </row>
    <row r="39">
      <c r="A39" s="53">
        <f>IFERROR(__xludf.DUMMYFUNCTION("""COMPUTED_VALUE"""),45993.440446458335)</f>
        <v>45993.44045</v>
      </c>
      <c r="B39" s="19" t="str">
        <f>IFERROR(__xludf.DUMMYFUNCTION("""COMPUTED_VALUE"""),"ASTUTI BELA WAWO")</f>
        <v>ASTUTI BELA WAWO</v>
      </c>
      <c r="C39" s="19" t="str">
        <f>IFERROR(__xludf.DUMMYFUNCTION("""COMPUTED_VALUE"""),"Belum disetujui")</f>
        <v>Belum disetujui</v>
      </c>
      <c r="D39" s="19"/>
    </row>
    <row r="40">
      <c r="A40" s="53">
        <f>IFERROR(__xludf.DUMMYFUNCTION("""COMPUTED_VALUE"""),45993.47803436343)</f>
        <v>45993.47803</v>
      </c>
      <c r="B40" s="19" t="str">
        <f>IFERROR(__xludf.DUMMYFUNCTION("""COMPUTED_VALUE"""),"PRETI SISILIA SILA")</f>
        <v>PRETI SISILIA SILA</v>
      </c>
      <c r="C40" s="19" t="str">
        <f>IFERROR(__xludf.DUMMYFUNCTION("""COMPUTED_VALUE"""),"Dapat limit tapi belum diproses")</f>
        <v>Dapat limit tapi belum diproses</v>
      </c>
      <c r="D40" s="19" t="str">
        <f>IFERROR(__xludf.DUMMYFUNCTION("""COMPUTED_VALUE"""),"Y21d series")</f>
        <v>Y21d series</v>
      </c>
    </row>
    <row r="41">
      <c r="A41" s="53">
        <f>IFERROR(__xludf.DUMMYFUNCTION("""COMPUTED_VALUE"""),45993.49545135416)</f>
        <v>45993.49545</v>
      </c>
      <c r="B41" s="19" t="str">
        <f>IFERROR(__xludf.DUMMYFUNCTION("""COMPUTED_VALUE"""),"MARATHA MARLINDA FANGGIDAE")</f>
        <v>MARATHA MARLINDA FANGGIDAE</v>
      </c>
      <c r="C41" s="19" t="str">
        <f>IFERROR(__xludf.DUMMYFUNCTION("""COMPUTED_VALUE"""),"Dapat limit tapi belum diproses")</f>
        <v>Dapat limit tapi belum diproses</v>
      </c>
      <c r="D41" s="19" t="str">
        <f>IFERROR(__xludf.DUMMYFUNCTION("""COMPUTED_VALUE"""),"Y21d series")</f>
        <v>Y21d series</v>
      </c>
    </row>
    <row r="42">
      <c r="A42" s="53">
        <f>IFERROR(__xludf.DUMMYFUNCTION("""COMPUTED_VALUE"""),45993.49679296297)</f>
        <v>45993.49679</v>
      </c>
      <c r="B42" s="19" t="str">
        <f>IFERROR(__xludf.DUMMYFUNCTION("""COMPUTED_VALUE"""),"NOVLIANA BARBALINA MISA")</f>
        <v>NOVLIANA BARBALINA MISA</v>
      </c>
      <c r="C42" s="19" t="str">
        <f>IFERROR(__xludf.DUMMYFUNCTION("""COMPUTED_VALUE"""),"Belum disetujui")</f>
        <v>Belum disetujui</v>
      </c>
      <c r="D42" s="19"/>
    </row>
    <row r="43">
      <c r="A43" s="53">
        <f>IFERROR(__xludf.DUMMYFUNCTION("""COMPUTED_VALUE"""),45993.50505728009)</f>
        <v>45993.50506</v>
      </c>
      <c r="B43" s="19" t="str">
        <f>IFERROR(__xludf.DUMMYFUNCTION("""COMPUTED_VALUE"""),"MARIA MELAN ANANCE BILI")</f>
        <v>MARIA MELAN ANANCE BILI</v>
      </c>
      <c r="C43" s="19" t="str">
        <f>IFERROR(__xludf.DUMMYFUNCTION("""COMPUTED_VALUE"""),"Belum disetujui")</f>
        <v>Belum disetujui</v>
      </c>
      <c r="D43" s="19"/>
    </row>
    <row r="44">
      <c r="A44" s="53">
        <f>IFERROR(__xludf.DUMMYFUNCTION("""COMPUTED_VALUE"""),45993.522510324074)</f>
        <v>45993.52251</v>
      </c>
      <c r="B44" s="19" t="str">
        <f>IFERROR(__xludf.DUMMYFUNCTION("""COMPUTED_VALUE"""),"ANDHIKA ULLY")</f>
        <v>ANDHIKA ULLY</v>
      </c>
      <c r="C44" s="19" t="str">
        <f>IFERROR(__xludf.DUMMYFUNCTION("""COMPUTED_VALUE"""),"Belum disetujui")</f>
        <v>Belum disetujui</v>
      </c>
      <c r="D44" s="19"/>
    </row>
    <row r="45">
      <c r="A45" s="53">
        <f>IFERROR(__xludf.DUMMYFUNCTION("""COMPUTED_VALUE"""),45993.53238291667)</f>
        <v>45993.53238</v>
      </c>
      <c r="B45" s="19" t="str">
        <f>IFERROR(__xludf.DUMMYFUNCTION("""COMPUTED_VALUE"""),"NOVLIANA BARBALINA MISA")</f>
        <v>NOVLIANA BARBALINA MISA</v>
      </c>
      <c r="C45" s="19" t="str">
        <f>IFERROR(__xludf.DUMMYFUNCTION("""COMPUTED_VALUE"""),"Dapat limit tapi belum diproses")</f>
        <v>Dapat limit tapi belum diproses</v>
      </c>
      <c r="D45" s="19" t="str">
        <f>IFERROR(__xludf.DUMMYFUNCTION("""COMPUTED_VALUE"""),"Y21d series")</f>
        <v>Y21d series</v>
      </c>
    </row>
    <row r="46">
      <c r="A46" s="53">
        <f>IFERROR(__xludf.DUMMYFUNCTION("""COMPUTED_VALUE"""),45993.53481921297)</f>
        <v>45993.53482</v>
      </c>
      <c r="B46" s="19" t="str">
        <f>IFERROR(__xludf.DUMMYFUNCTION("""COMPUTED_VALUE"""),"IDMAL YUSDIRAN YUSUF")</f>
        <v>IDMAL YUSDIRAN YUSUF</v>
      </c>
      <c r="C46" s="19" t="str">
        <f>IFERROR(__xludf.DUMMYFUNCTION("""COMPUTED_VALUE"""),"Belum disetujui")</f>
        <v>Belum disetujui</v>
      </c>
      <c r="D46" s="19"/>
    </row>
    <row r="47">
      <c r="A47" s="53">
        <f>IFERROR(__xludf.DUMMYFUNCTION("""COMPUTED_VALUE"""),45993.544780335644)</f>
        <v>45993.54478</v>
      </c>
      <c r="B47" s="19" t="str">
        <f>IFERROR(__xludf.DUMMYFUNCTION("""COMPUTED_VALUE"""),"ROS YANE KANA LUDJI")</f>
        <v>ROS YANE KANA LUDJI</v>
      </c>
      <c r="C47" s="19" t="str">
        <f>IFERROR(__xludf.DUMMYFUNCTION("""COMPUTED_VALUE"""),"Belum disetujui")</f>
        <v>Belum disetujui</v>
      </c>
      <c r="D47" s="19"/>
    </row>
    <row r="48">
      <c r="A48" s="53">
        <f>IFERROR(__xludf.DUMMYFUNCTION("""COMPUTED_VALUE"""),45993.54682649305)</f>
        <v>45993.54683</v>
      </c>
      <c r="B48" s="19" t="str">
        <f>IFERROR(__xludf.DUMMYFUNCTION("""COMPUTED_VALUE"""),"SANTI MARIA LUKMINI NAHAK")</f>
        <v>SANTI MARIA LUKMINI NAHAK</v>
      </c>
      <c r="C48" s="19" t="str">
        <f>IFERROR(__xludf.DUMMYFUNCTION("""COMPUTED_VALUE"""),"Belum disetujui")</f>
        <v>Belum disetujui</v>
      </c>
      <c r="D48" s="19"/>
    </row>
    <row r="49">
      <c r="A49" s="53">
        <f>IFERROR(__xludf.DUMMYFUNCTION("""COMPUTED_VALUE"""),45993.54807872685)</f>
        <v>45993.54808</v>
      </c>
      <c r="B49" s="19" t="str">
        <f>IFERROR(__xludf.DUMMYFUNCTION("""COMPUTED_VALUE"""),"ROS YANE KANA LUDJI")</f>
        <v>ROS YANE KANA LUDJI</v>
      </c>
      <c r="C49" s="19" t="str">
        <f>IFERROR(__xludf.DUMMYFUNCTION("""COMPUTED_VALUE"""),"Belum disetujui")</f>
        <v>Belum disetujui</v>
      </c>
      <c r="D49" s="19"/>
    </row>
    <row r="50">
      <c r="A50" s="53">
        <f>IFERROR(__xludf.DUMMYFUNCTION("""COMPUTED_VALUE"""),45993.55046239583)</f>
        <v>45993.55046</v>
      </c>
      <c r="B50" s="19" t="str">
        <f>IFERROR(__xludf.DUMMYFUNCTION("""COMPUTED_VALUE"""),"MARNITHA JUWIKE TIMORATI RUNESI")</f>
        <v>MARNITHA JUWIKE TIMORATI RUNESI</v>
      </c>
      <c r="C50" s="19" t="str">
        <f>IFERROR(__xludf.DUMMYFUNCTION("""COMPUTED_VALUE"""),"Belum disetujui")</f>
        <v>Belum disetujui</v>
      </c>
      <c r="D50" s="19"/>
    </row>
    <row r="51">
      <c r="A51" s="53">
        <f>IFERROR(__xludf.DUMMYFUNCTION("""COMPUTED_VALUE"""),45993.554693541664)</f>
        <v>45993.55469</v>
      </c>
      <c r="B51" s="19" t="str">
        <f>IFERROR(__xludf.DUMMYFUNCTION("""COMPUTED_VALUE"""),"ASRI NINGSI RAMBU ATA ENDI")</f>
        <v>ASRI NINGSI RAMBU ATA ENDI</v>
      </c>
      <c r="C51" s="19" t="str">
        <f>IFERROR(__xludf.DUMMYFUNCTION("""COMPUTED_VALUE"""),"Belum disetujui")</f>
        <v>Belum disetujui</v>
      </c>
      <c r="D51" s="19"/>
    </row>
    <row r="52">
      <c r="A52" s="53">
        <f>IFERROR(__xludf.DUMMYFUNCTION("""COMPUTED_VALUE"""),45993.65028991898)</f>
        <v>45993.65029</v>
      </c>
      <c r="B52" s="19" t="str">
        <f>IFERROR(__xludf.DUMMYFUNCTION("""COMPUTED_VALUE"""),"NOVLIANA BARBALINA MISA")</f>
        <v>NOVLIANA BARBALINA MISA</v>
      </c>
      <c r="C52" s="19" t="str">
        <f>IFERROR(__xludf.DUMMYFUNCTION("""COMPUTED_VALUE"""),"ACC")</f>
        <v>ACC</v>
      </c>
      <c r="D52" s="19" t="str">
        <f>IFERROR(__xludf.DUMMYFUNCTION("""COMPUTED_VALUE"""),"Y21d series")</f>
        <v>Y21d series</v>
      </c>
    </row>
    <row r="53">
      <c r="A53" s="53">
        <f>IFERROR(__xludf.DUMMYFUNCTION("""COMPUTED_VALUE"""),45993.66795928241)</f>
        <v>45993.66796</v>
      </c>
      <c r="B53" s="19" t="str">
        <f>IFERROR(__xludf.DUMMYFUNCTION("""COMPUTED_VALUE"""),"ASRI NINGSI RAMBU ATA ENDI")</f>
        <v>ASRI NINGSI RAMBU ATA ENDI</v>
      </c>
      <c r="C53" s="19" t="str">
        <f>IFERROR(__xludf.DUMMYFUNCTION("""COMPUTED_VALUE"""),"Belum disetujui")</f>
        <v>Belum disetujui</v>
      </c>
      <c r="D53" s="19"/>
    </row>
    <row r="54">
      <c r="A54" s="53">
        <f>IFERROR(__xludf.DUMMYFUNCTION("""COMPUTED_VALUE"""),45993.69571012732)</f>
        <v>45993.69571</v>
      </c>
      <c r="B54" s="19" t="str">
        <f>IFERROR(__xludf.DUMMYFUNCTION("""COMPUTED_VALUE"""),"NUR FATIMAH MOLBANG")</f>
        <v>NUR FATIMAH MOLBANG</v>
      </c>
      <c r="C54" s="19" t="str">
        <f>IFERROR(__xludf.DUMMYFUNCTION("""COMPUTED_VALUE"""),"ACC")</f>
        <v>ACC</v>
      </c>
      <c r="D54" s="19" t="str">
        <f>IFERROR(__xludf.DUMMYFUNCTION("""COMPUTED_VALUE"""),"Y21d series")</f>
        <v>Y21d series</v>
      </c>
    </row>
    <row r="55">
      <c r="A55" s="53">
        <f>IFERROR(__xludf.DUMMYFUNCTION("""COMPUTED_VALUE"""),45993.69793998842)</f>
        <v>45993.69794</v>
      </c>
      <c r="B55" s="19" t="str">
        <f>IFERROR(__xludf.DUMMYFUNCTION("""COMPUTED_VALUE"""),"NUR FATIMAH MOLBANG")</f>
        <v>NUR FATIMAH MOLBANG</v>
      </c>
      <c r="C55" s="19" t="str">
        <f>IFERROR(__xludf.DUMMYFUNCTION("""COMPUTED_VALUE"""),"ACC")</f>
        <v>ACC</v>
      </c>
      <c r="D55" s="19" t="str">
        <f>IFERROR(__xludf.DUMMYFUNCTION("""COMPUTED_VALUE"""),"Y21d series")</f>
        <v>Y21d series</v>
      </c>
    </row>
    <row r="56">
      <c r="A56" s="53">
        <f>IFERROR(__xludf.DUMMYFUNCTION("""COMPUTED_VALUE"""),45993.69931180555)</f>
        <v>45993.69931</v>
      </c>
      <c r="B56" s="19" t="str">
        <f>IFERROR(__xludf.DUMMYFUNCTION("""COMPUTED_VALUE"""),"WINDRI MANOE")</f>
        <v>WINDRI MANOE</v>
      </c>
      <c r="C56" s="19" t="str">
        <f>IFERROR(__xludf.DUMMYFUNCTION("""COMPUTED_VALUE"""),"Belum disetujui")</f>
        <v>Belum disetujui</v>
      </c>
      <c r="D56" s="19"/>
    </row>
    <row r="57">
      <c r="A57" s="53">
        <f>IFERROR(__xludf.DUMMYFUNCTION("""COMPUTED_VALUE"""),45993.70677390046)</f>
        <v>45993.70677</v>
      </c>
      <c r="B57" s="19" t="str">
        <f>IFERROR(__xludf.DUMMYFUNCTION("""COMPUTED_VALUE"""),"SULIS NURAINI INSYATUN")</f>
        <v>SULIS NURAINI INSYATUN</v>
      </c>
      <c r="C57" s="19" t="str">
        <f>IFERROR(__xludf.DUMMYFUNCTION("""COMPUTED_VALUE"""),"Belum disetujui")</f>
        <v>Belum disetujui</v>
      </c>
      <c r="D57" s="19"/>
    </row>
    <row r="58">
      <c r="A58" s="53">
        <f>IFERROR(__xludf.DUMMYFUNCTION("""COMPUTED_VALUE"""),45993.724381273154)</f>
        <v>45993.72438</v>
      </c>
      <c r="B58" s="19" t="str">
        <f>IFERROR(__xludf.DUMMYFUNCTION("""COMPUTED_VALUE"""),"ASRI NINGSI RAMBU ATA ENDI")</f>
        <v>ASRI NINGSI RAMBU ATA ENDI</v>
      </c>
      <c r="C58" s="19" t="str">
        <f>IFERROR(__xludf.DUMMYFUNCTION("""COMPUTED_VALUE"""),"Belum disetujui")</f>
        <v>Belum disetujui</v>
      </c>
      <c r="D58" s="19"/>
    </row>
    <row r="59">
      <c r="A59" s="53">
        <f>IFERROR(__xludf.DUMMYFUNCTION("""COMPUTED_VALUE"""),45993.728520543984)</f>
        <v>45993.72852</v>
      </c>
      <c r="B59" s="19" t="str">
        <f>IFERROR(__xludf.DUMMYFUNCTION("""COMPUTED_VALUE"""),"ESTER LUDJI")</f>
        <v>ESTER LUDJI</v>
      </c>
      <c r="C59" s="19" t="str">
        <f>IFERROR(__xludf.DUMMYFUNCTION("""COMPUTED_VALUE"""),"Belum disetujui")</f>
        <v>Belum disetujui</v>
      </c>
      <c r="D59" s="19"/>
    </row>
    <row r="60">
      <c r="A60" s="53">
        <f>IFERROR(__xludf.DUMMYFUNCTION("""COMPUTED_VALUE"""),45993.73269866898)</f>
        <v>45993.7327</v>
      </c>
      <c r="B60" s="19" t="str">
        <f>IFERROR(__xludf.DUMMYFUNCTION("""COMPUTED_VALUE"""),"NOVLIANA BARBALINA MISA")</f>
        <v>NOVLIANA BARBALINA MISA</v>
      </c>
      <c r="C60" s="19" t="str">
        <f>IFERROR(__xludf.DUMMYFUNCTION("""COMPUTED_VALUE"""),"ACC")</f>
        <v>ACC</v>
      </c>
      <c r="D60" s="19" t="str">
        <f>IFERROR(__xludf.DUMMYFUNCTION("""COMPUTED_VALUE"""),"Y21d series")</f>
        <v>Y21d series</v>
      </c>
    </row>
    <row r="61">
      <c r="A61" s="53">
        <f>IFERROR(__xludf.DUMMYFUNCTION("""COMPUTED_VALUE"""),45993.741195787035)</f>
        <v>45993.7412</v>
      </c>
      <c r="B61" s="19" t="str">
        <f>IFERROR(__xludf.DUMMYFUNCTION("""COMPUTED_VALUE"""),"WARDIA")</f>
        <v>WARDIA</v>
      </c>
      <c r="C61" s="19" t="str">
        <f>IFERROR(__xludf.DUMMYFUNCTION("""COMPUTED_VALUE"""),"Belum disetujui")</f>
        <v>Belum disetujui</v>
      </c>
      <c r="D61" s="19"/>
    </row>
    <row r="62">
      <c r="A62" s="53">
        <f>IFERROR(__xludf.DUMMYFUNCTION("""COMPUTED_VALUE"""),45993.7423109375)</f>
        <v>45993.74231</v>
      </c>
      <c r="B62" s="19" t="str">
        <f>IFERROR(__xludf.DUMMYFUNCTION("""COMPUTED_VALUE"""),"MARNITHA JUWIKE TIMORATI RUNESI")</f>
        <v>MARNITHA JUWIKE TIMORATI RUNESI</v>
      </c>
      <c r="C62" s="19" t="str">
        <f>IFERROR(__xludf.DUMMYFUNCTION("""COMPUTED_VALUE"""),"ACC")</f>
        <v>ACC</v>
      </c>
      <c r="D62" s="19" t="str">
        <f>IFERROR(__xludf.DUMMYFUNCTION("""COMPUTED_VALUE"""),"Y21d series")</f>
        <v>Y21d series</v>
      </c>
    </row>
    <row r="63">
      <c r="A63" s="53">
        <f>IFERROR(__xludf.DUMMYFUNCTION("""COMPUTED_VALUE"""),45993.75063717592)</f>
        <v>45993.75064</v>
      </c>
      <c r="B63" s="19" t="str">
        <f>IFERROR(__xludf.DUMMYFUNCTION("""COMPUTED_VALUE"""),"NENY MERLIANTI NA'U")</f>
        <v>NENY MERLIANTI NA'U</v>
      </c>
      <c r="C63" s="19" t="str">
        <f>IFERROR(__xludf.DUMMYFUNCTION("""COMPUTED_VALUE"""),"Dapat limit tapi belum diproses")</f>
        <v>Dapat limit tapi belum diproses</v>
      </c>
      <c r="D63" s="19" t="str">
        <f>IFERROR(__xludf.DUMMYFUNCTION("""COMPUTED_VALUE"""),"Y21d series")</f>
        <v>Y21d series</v>
      </c>
    </row>
    <row r="64">
      <c r="A64" s="53">
        <f>IFERROR(__xludf.DUMMYFUNCTION("""COMPUTED_VALUE"""),45993.770085069445)</f>
        <v>45993.77009</v>
      </c>
      <c r="B64" s="19" t="str">
        <f>IFERROR(__xludf.DUMMYFUNCTION("""COMPUTED_VALUE"""),"YOVANDA KATRINA NAE")</f>
        <v>YOVANDA KATRINA NAE</v>
      </c>
      <c r="C64" s="19" t="str">
        <f>IFERROR(__xludf.DUMMYFUNCTION("""COMPUTED_VALUE"""),"Belum disetujui")</f>
        <v>Belum disetujui</v>
      </c>
      <c r="D64" s="19"/>
    </row>
    <row r="65">
      <c r="A65" s="53">
        <f>IFERROR(__xludf.DUMMYFUNCTION("""COMPUTED_VALUE"""),45993.77797498842)</f>
        <v>45993.77797</v>
      </c>
      <c r="B65" s="19" t="str">
        <f>IFERROR(__xludf.DUMMYFUNCTION("""COMPUTED_VALUE"""),"YOVANDA KATRINA NAE")</f>
        <v>YOVANDA KATRINA NAE</v>
      </c>
      <c r="C65" s="19" t="str">
        <f>IFERROR(__xludf.DUMMYFUNCTION("""COMPUTED_VALUE"""),"Belum disetujui")</f>
        <v>Belum disetujui</v>
      </c>
      <c r="D65" s="19"/>
    </row>
    <row r="66">
      <c r="A66" s="53">
        <f>IFERROR(__xludf.DUMMYFUNCTION("""COMPUTED_VALUE"""),45993.78051347222)</f>
        <v>45993.78051</v>
      </c>
      <c r="B66" s="19" t="str">
        <f>IFERROR(__xludf.DUMMYFUNCTION("""COMPUTED_VALUE"""),"ANYARMITHA SOPHIA SUEK")</f>
        <v>ANYARMITHA SOPHIA SUEK</v>
      </c>
      <c r="C66" s="19" t="str">
        <f>IFERROR(__xludf.DUMMYFUNCTION("""COMPUTED_VALUE"""),"Belum disetujui")</f>
        <v>Belum disetujui</v>
      </c>
      <c r="D66" s="19"/>
    </row>
    <row r="67">
      <c r="A67" s="53">
        <f>IFERROR(__xludf.DUMMYFUNCTION("""COMPUTED_VALUE"""),45993.78811693287)</f>
        <v>45993.78812</v>
      </c>
      <c r="B67" s="19" t="str">
        <f>IFERROR(__xludf.DUMMYFUNCTION("""COMPUTED_VALUE"""),"ASTUTI BELA WAWO")</f>
        <v>ASTUTI BELA WAWO</v>
      </c>
      <c r="C67" s="19" t="str">
        <f>IFERROR(__xludf.DUMMYFUNCTION("""COMPUTED_VALUE"""),"Dapat limit tapi belum diproses")</f>
        <v>Dapat limit tapi belum diproses</v>
      </c>
      <c r="D67" s="19" t="str">
        <f>IFERROR(__xludf.DUMMYFUNCTION("""COMPUTED_VALUE"""),"Y21d series")</f>
        <v>Y21d series</v>
      </c>
    </row>
    <row r="68">
      <c r="A68" s="53">
        <f>IFERROR(__xludf.DUMMYFUNCTION("""COMPUTED_VALUE"""),45993.80144224537)</f>
        <v>45993.80144</v>
      </c>
      <c r="B68" s="19" t="str">
        <f>IFERROR(__xludf.DUMMYFUNCTION("""COMPUTED_VALUE"""),"AZ ZAHRA SITI ZAINAB")</f>
        <v>AZ ZAHRA SITI ZAINAB</v>
      </c>
      <c r="C68" s="19" t="str">
        <f>IFERROR(__xludf.DUMMYFUNCTION("""COMPUTED_VALUE"""),"Belum disetujui")</f>
        <v>Belum disetujui</v>
      </c>
      <c r="D68" s="19"/>
    </row>
    <row r="69">
      <c r="A69" s="53">
        <f>IFERROR(__xludf.DUMMYFUNCTION("""COMPUTED_VALUE"""),45993.812384212964)</f>
        <v>45993.81238</v>
      </c>
      <c r="B69" s="19" t="str">
        <f>IFERROR(__xludf.DUMMYFUNCTION("""COMPUTED_VALUE"""),"IRENE NOVALIA KADJU")</f>
        <v>IRENE NOVALIA KADJU</v>
      </c>
      <c r="C69" s="19" t="str">
        <f>IFERROR(__xludf.DUMMYFUNCTION("""COMPUTED_VALUE"""),"Belum disetujui")</f>
        <v>Belum disetujui</v>
      </c>
      <c r="D69" s="19"/>
    </row>
    <row r="70">
      <c r="A70" s="53">
        <f>IFERROR(__xludf.DUMMYFUNCTION("""COMPUTED_VALUE"""),45993.814452673614)</f>
        <v>45993.81445</v>
      </c>
      <c r="B70" s="19" t="str">
        <f>IFERROR(__xludf.DUMMYFUNCTION("""COMPUTED_VALUE"""),"PRETI SISILIA SILA")</f>
        <v>PRETI SISILIA SILA</v>
      </c>
      <c r="C70" s="19" t="str">
        <f>IFERROR(__xludf.DUMMYFUNCTION("""COMPUTED_VALUE"""),"Dapat limit tapi belum diproses")</f>
        <v>Dapat limit tapi belum diproses</v>
      </c>
      <c r="D70" s="19" t="str">
        <f>IFERROR(__xludf.DUMMYFUNCTION("""COMPUTED_VALUE"""),"V60 series")</f>
        <v>V60 series</v>
      </c>
    </row>
    <row r="71">
      <c r="A71" s="53">
        <f>IFERROR(__xludf.DUMMYFUNCTION("""COMPUTED_VALUE"""),45993.837161180556)</f>
        <v>45993.83716</v>
      </c>
      <c r="B71" s="19" t="str">
        <f>IFERROR(__xludf.DUMMYFUNCTION("""COMPUTED_VALUE"""),"ADRIANA")</f>
        <v>ADRIANA</v>
      </c>
      <c r="C71" s="19" t="str">
        <f>IFERROR(__xludf.DUMMYFUNCTION("""COMPUTED_VALUE"""),"Dapat limit tapi belum diproses")</f>
        <v>Dapat limit tapi belum diproses</v>
      </c>
      <c r="D71" s="19" t="str">
        <f>IFERROR(__xludf.DUMMYFUNCTION("""COMPUTED_VALUE"""),"Y21d series")</f>
        <v>Y21d series</v>
      </c>
    </row>
    <row r="72">
      <c r="A72" s="53">
        <f>IFERROR(__xludf.DUMMYFUNCTION("""COMPUTED_VALUE"""),45993.845966863424)</f>
        <v>45993.84597</v>
      </c>
      <c r="B72" s="19" t="str">
        <f>IFERROR(__xludf.DUMMYFUNCTION("""COMPUTED_VALUE"""),"MARIA MELAN ANANCE BILI")</f>
        <v>MARIA MELAN ANANCE BILI</v>
      </c>
      <c r="C72" s="19" t="str">
        <f>IFERROR(__xludf.DUMMYFUNCTION("""COMPUTED_VALUE"""),"ACC")</f>
        <v>ACC</v>
      </c>
      <c r="D72" s="19" t="str">
        <f>IFERROR(__xludf.DUMMYFUNCTION("""COMPUTED_VALUE"""),"V60 Lite series")</f>
        <v>V60 Lite series</v>
      </c>
    </row>
    <row r="73">
      <c r="A73" s="53">
        <f>IFERROR(__xludf.DUMMYFUNCTION("""COMPUTED_VALUE"""),45993.8541271412)</f>
        <v>45993.85413</v>
      </c>
      <c r="B73" s="19" t="str">
        <f>IFERROR(__xludf.DUMMYFUNCTION("""COMPUTED_VALUE"""),"NUR FATIMAH MOLBANG")</f>
        <v>NUR FATIMAH MOLBANG</v>
      </c>
      <c r="C73" s="19" t="str">
        <f>IFERROR(__xludf.DUMMYFUNCTION("""COMPUTED_VALUE"""),"Belum disetujui")</f>
        <v>Belum disetujui</v>
      </c>
      <c r="D73" s="19"/>
    </row>
    <row r="74">
      <c r="A74" s="53">
        <f>IFERROR(__xludf.DUMMYFUNCTION("""COMPUTED_VALUE"""),45993.91202762732)</f>
        <v>45993.91203</v>
      </c>
      <c r="B74" s="19" t="str">
        <f>IFERROR(__xludf.DUMMYFUNCTION("""COMPUTED_VALUE"""),"ESTER LUDJI")</f>
        <v>ESTER LUDJI</v>
      </c>
      <c r="C74" s="19" t="str">
        <f>IFERROR(__xludf.DUMMYFUNCTION("""COMPUTED_VALUE"""),"ACC")</f>
        <v>ACC</v>
      </c>
      <c r="D74" s="19" t="str">
        <f>IFERROR(__xludf.DUMMYFUNCTION("""COMPUTED_VALUE"""),"Y400 series")</f>
        <v>Y400 series</v>
      </c>
    </row>
    <row r="75">
      <c r="A75" s="53">
        <f>IFERROR(__xludf.DUMMYFUNCTION("""COMPUTED_VALUE"""),45993.94131409722)</f>
        <v>45993.94131</v>
      </c>
      <c r="B75" s="19" t="str">
        <f>IFERROR(__xludf.DUMMYFUNCTION("""COMPUTED_VALUE"""),"SANTI MARIA LUKMINI NAHAK")</f>
        <v>SANTI MARIA LUKMINI NAHAK</v>
      </c>
      <c r="C75" s="19" t="str">
        <f>IFERROR(__xludf.DUMMYFUNCTION("""COMPUTED_VALUE"""),"Belum disetujui")</f>
        <v>Belum disetujui</v>
      </c>
      <c r="D75" s="19"/>
    </row>
    <row r="76">
      <c r="A76" s="53">
        <f>IFERROR(__xludf.DUMMYFUNCTION("""COMPUTED_VALUE"""),45994.42721375)</f>
        <v>45994.42721</v>
      </c>
      <c r="B76" s="19" t="str">
        <f>IFERROR(__xludf.DUMMYFUNCTION("""COMPUTED_VALUE"""),"MARIA MELAN ANANCE BILI")</f>
        <v>MARIA MELAN ANANCE BILI</v>
      </c>
      <c r="C76" s="19" t="str">
        <f>IFERROR(__xludf.DUMMYFUNCTION("""COMPUTED_VALUE"""),"Belum disetujui")</f>
        <v>Belum disetujui</v>
      </c>
      <c r="D76" s="19"/>
    </row>
    <row r="77">
      <c r="A77" s="53">
        <f>IFERROR(__xludf.DUMMYFUNCTION("""COMPUTED_VALUE"""),45994.428609675924)</f>
        <v>45994.42861</v>
      </c>
      <c r="B77" s="19" t="str">
        <f>IFERROR(__xludf.DUMMYFUNCTION("""COMPUTED_VALUE"""),"MARIA MELAN ANANCE BILI")</f>
        <v>MARIA MELAN ANANCE BILI</v>
      </c>
      <c r="C77" s="19" t="str">
        <f>IFERROR(__xludf.DUMMYFUNCTION("""COMPUTED_VALUE"""),"Belum disetujui")</f>
        <v>Belum disetujui</v>
      </c>
      <c r="D77" s="19"/>
    </row>
    <row r="78">
      <c r="A78" s="53">
        <f>IFERROR(__xludf.DUMMYFUNCTION("""COMPUTED_VALUE"""),45994.42870438657)</f>
        <v>45994.4287</v>
      </c>
      <c r="B78" s="19" t="str">
        <f>IFERROR(__xludf.DUMMYFUNCTION("""COMPUTED_VALUE"""),"PRETI SISILIA SILA")</f>
        <v>PRETI SISILIA SILA</v>
      </c>
      <c r="C78" s="19" t="str">
        <f>IFERROR(__xludf.DUMMYFUNCTION("""COMPUTED_VALUE"""),"Belum disetujui")</f>
        <v>Belum disetujui</v>
      </c>
      <c r="D78" s="19"/>
    </row>
    <row r="79">
      <c r="A79" s="53">
        <f>IFERROR(__xludf.DUMMYFUNCTION("""COMPUTED_VALUE"""),45994.43426706018)</f>
        <v>45994.43427</v>
      </c>
      <c r="B79" s="19" t="str">
        <f>IFERROR(__xludf.DUMMYFUNCTION("""COMPUTED_VALUE"""),"YUNITA TAMELAB")</f>
        <v>YUNITA TAMELAB</v>
      </c>
      <c r="C79" s="19" t="str">
        <f>IFERROR(__xludf.DUMMYFUNCTION("""COMPUTED_VALUE"""),"Belum disetujui")</f>
        <v>Belum disetujui</v>
      </c>
      <c r="D79" s="19"/>
    </row>
    <row r="80">
      <c r="A80" s="53">
        <f>IFERROR(__xludf.DUMMYFUNCTION("""COMPUTED_VALUE"""),45994.46554200232)</f>
        <v>45994.46554</v>
      </c>
      <c r="B80" s="19" t="str">
        <f>IFERROR(__xludf.DUMMYFUNCTION("""COMPUTED_VALUE"""),"NOVANTRY RUTHANIA NAFFIE")</f>
        <v>NOVANTRY RUTHANIA NAFFIE</v>
      </c>
      <c r="C80" s="19" t="str">
        <f>IFERROR(__xludf.DUMMYFUNCTION("""COMPUTED_VALUE"""),"Belum disetujui")</f>
        <v>Belum disetujui</v>
      </c>
      <c r="D80" s="19"/>
    </row>
    <row r="81">
      <c r="A81" s="53">
        <f>IFERROR(__xludf.DUMMYFUNCTION("""COMPUTED_VALUE"""),45994.46812059028)</f>
        <v>45994.46812</v>
      </c>
      <c r="B81" s="19" t="str">
        <f>IFERROR(__xludf.DUMMYFUNCTION("""COMPUTED_VALUE"""),"FEBRIANTHY ELISABET NA'U")</f>
        <v>FEBRIANTHY ELISABET NA'U</v>
      </c>
      <c r="C81" s="19" t="str">
        <f>IFERROR(__xludf.DUMMYFUNCTION("""COMPUTED_VALUE"""),"Belum disetujui")</f>
        <v>Belum disetujui</v>
      </c>
      <c r="D81" s="19"/>
    </row>
    <row r="82">
      <c r="A82" s="53">
        <f>IFERROR(__xludf.DUMMYFUNCTION("""COMPUTED_VALUE"""),45994.48669936343)</f>
        <v>45994.4867</v>
      </c>
      <c r="B82" s="19" t="str">
        <f>IFERROR(__xludf.DUMMYFUNCTION("""COMPUTED_VALUE"""),"AZ ZAHRA SITI ZAINAB")</f>
        <v>AZ ZAHRA SITI ZAINAB</v>
      </c>
      <c r="C82" s="19" t="str">
        <f>IFERROR(__xludf.DUMMYFUNCTION("""COMPUTED_VALUE"""),"ACC")</f>
        <v>ACC</v>
      </c>
      <c r="D82" s="19" t="str">
        <f>IFERROR(__xludf.DUMMYFUNCTION("""COMPUTED_VALUE"""),"Y400 series")</f>
        <v>Y400 series</v>
      </c>
    </row>
    <row r="83">
      <c r="A83" s="53">
        <f>IFERROR(__xludf.DUMMYFUNCTION("""COMPUTED_VALUE"""),45994.48809438658)</f>
        <v>45994.48809</v>
      </c>
      <c r="B83" s="19" t="str">
        <f>IFERROR(__xludf.DUMMYFUNCTION("""COMPUTED_VALUE"""),"ROS YANE KANA LUDJI")</f>
        <v>ROS YANE KANA LUDJI</v>
      </c>
      <c r="C83" s="19" t="str">
        <f>IFERROR(__xludf.DUMMYFUNCTION("""COMPUTED_VALUE"""),"Belum disetujui")</f>
        <v>Belum disetujui</v>
      </c>
      <c r="D83" s="19"/>
    </row>
    <row r="84">
      <c r="A84" s="53">
        <f>IFERROR(__xludf.DUMMYFUNCTION("""COMPUTED_VALUE"""),45994.497347476856)</f>
        <v>45994.49735</v>
      </c>
      <c r="B84" s="19" t="str">
        <f>IFERROR(__xludf.DUMMYFUNCTION("""COMPUTED_VALUE"""),"KESIA NATALIA I. BENU")</f>
        <v>KESIA NATALIA I. BENU</v>
      </c>
      <c r="C84" s="19" t="str">
        <f>IFERROR(__xludf.DUMMYFUNCTION("""COMPUTED_VALUE"""),"ACC")</f>
        <v>ACC</v>
      </c>
      <c r="D84" s="19" t="str">
        <f>IFERROR(__xludf.DUMMYFUNCTION("""COMPUTED_VALUE"""),"Y400 series")</f>
        <v>Y400 series</v>
      </c>
    </row>
    <row r="85">
      <c r="A85" s="53">
        <f>IFERROR(__xludf.DUMMYFUNCTION("""COMPUTED_VALUE"""),45994.50929259259)</f>
        <v>45994.50929</v>
      </c>
      <c r="B85" s="19" t="str">
        <f>IFERROR(__xludf.DUMMYFUNCTION("""COMPUTED_VALUE"""),"NABILA RAHMAWATI")</f>
        <v>NABILA RAHMAWATI</v>
      </c>
      <c r="C85" s="19" t="str">
        <f>IFERROR(__xludf.DUMMYFUNCTION("""COMPUTED_VALUE"""),"Belum disetujui")</f>
        <v>Belum disetujui</v>
      </c>
      <c r="D85" s="19"/>
    </row>
    <row r="86">
      <c r="A86" s="53">
        <f>IFERROR(__xludf.DUMMYFUNCTION("""COMPUTED_VALUE"""),45994.51020031251)</f>
        <v>45994.5102</v>
      </c>
      <c r="B86" s="19" t="str">
        <f>IFERROR(__xludf.DUMMYFUNCTION("""COMPUTED_VALUE"""),"ASTUTI BELA WAWO")</f>
        <v>ASTUTI BELA WAWO</v>
      </c>
      <c r="C86" s="19" t="str">
        <f>IFERROR(__xludf.DUMMYFUNCTION("""COMPUTED_VALUE"""),"Dapat limit tapi belum diproses")</f>
        <v>Dapat limit tapi belum diproses</v>
      </c>
      <c r="D86" s="19" t="str">
        <f>IFERROR(__xludf.DUMMYFUNCTION("""COMPUTED_VALUE"""),"Y21d series")</f>
        <v>Y21d series</v>
      </c>
    </row>
    <row r="87">
      <c r="A87" s="53">
        <f>IFERROR(__xludf.DUMMYFUNCTION("""COMPUTED_VALUE"""),45994.513593692136)</f>
        <v>45994.51359</v>
      </c>
      <c r="B87" s="19" t="str">
        <f>IFERROR(__xludf.DUMMYFUNCTION("""COMPUTED_VALUE"""),"ALDIANA WELIA PANIE")</f>
        <v>ALDIANA WELIA PANIE</v>
      </c>
      <c r="C87" s="19" t="str">
        <f>IFERROR(__xludf.DUMMYFUNCTION("""COMPUTED_VALUE"""),"Belum disetujui")</f>
        <v>Belum disetujui</v>
      </c>
      <c r="D87" s="19"/>
    </row>
    <row r="88">
      <c r="A88" s="53">
        <f>IFERROR(__xludf.DUMMYFUNCTION("""COMPUTED_VALUE"""),45994.51465967592)</f>
        <v>45994.51466</v>
      </c>
      <c r="B88" s="19" t="str">
        <f>IFERROR(__xludf.DUMMYFUNCTION("""COMPUTED_VALUE"""),"RESTIANY MARIA LUAN KALI")</f>
        <v>RESTIANY MARIA LUAN KALI</v>
      </c>
      <c r="C88" s="19" t="str">
        <f>IFERROR(__xludf.DUMMYFUNCTION("""COMPUTED_VALUE"""),"Belum disetujui")</f>
        <v>Belum disetujui</v>
      </c>
      <c r="D88" s="19"/>
    </row>
    <row r="89">
      <c r="A89" s="53">
        <f>IFERROR(__xludf.DUMMYFUNCTION("""COMPUTED_VALUE"""),45994.51734414352)</f>
        <v>45994.51734</v>
      </c>
      <c r="B89" s="19" t="str">
        <f>IFERROR(__xludf.DUMMYFUNCTION("""COMPUTED_VALUE"""),"BERGITHA NIA OLIN")</f>
        <v>BERGITHA NIA OLIN</v>
      </c>
      <c r="C89" s="19" t="str">
        <f>IFERROR(__xludf.DUMMYFUNCTION("""COMPUTED_VALUE"""),"Belum disetujui")</f>
        <v>Belum disetujui</v>
      </c>
      <c r="D89" s="19"/>
    </row>
    <row r="90">
      <c r="A90" s="53">
        <f>IFERROR(__xludf.DUMMYFUNCTION("""COMPUTED_VALUE"""),45994.53813782408)</f>
        <v>45994.53814</v>
      </c>
      <c r="B90" s="19" t="str">
        <f>IFERROR(__xludf.DUMMYFUNCTION("""COMPUTED_VALUE"""),"ANYARMITHA SOPHIA SUEK")</f>
        <v>ANYARMITHA SOPHIA SUEK</v>
      </c>
      <c r="C90" s="19" t="str">
        <f>IFERROR(__xludf.DUMMYFUNCTION("""COMPUTED_VALUE"""),"Belum disetujui")</f>
        <v>Belum disetujui</v>
      </c>
      <c r="D90" s="19"/>
    </row>
    <row r="91">
      <c r="A91" s="53">
        <f>IFERROR(__xludf.DUMMYFUNCTION("""COMPUTED_VALUE"""),45994.54844388889)</f>
        <v>45994.54844</v>
      </c>
      <c r="B91" s="19" t="str">
        <f>IFERROR(__xludf.DUMMYFUNCTION("""COMPUTED_VALUE"""),"YASINTHA MBU")</f>
        <v>YASINTHA MBU</v>
      </c>
      <c r="C91" s="19" t="str">
        <f>IFERROR(__xludf.DUMMYFUNCTION("""COMPUTED_VALUE"""),"Belum disetujui")</f>
        <v>Belum disetujui</v>
      </c>
      <c r="D91" s="19"/>
    </row>
    <row r="92">
      <c r="A92" s="53">
        <f>IFERROR(__xludf.DUMMYFUNCTION("""COMPUTED_VALUE"""),45994.577952210646)</f>
        <v>45994.57795</v>
      </c>
      <c r="B92" s="19" t="str">
        <f>IFERROR(__xludf.DUMMYFUNCTION("""COMPUTED_VALUE"""),"ASTUTI BELA WAWO")</f>
        <v>ASTUTI BELA WAWO</v>
      </c>
      <c r="C92" s="19" t="str">
        <f>IFERROR(__xludf.DUMMYFUNCTION("""COMPUTED_VALUE"""),"Belum disetujui")</f>
        <v>Belum disetujui</v>
      </c>
      <c r="D92" s="19"/>
    </row>
    <row r="93">
      <c r="A93" s="53">
        <f>IFERROR(__xludf.DUMMYFUNCTION("""COMPUTED_VALUE"""),45994.58770231482)</f>
        <v>45994.5877</v>
      </c>
      <c r="B93" s="19" t="str">
        <f>IFERROR(__xludf.DUMMYFUNCTION("""COMPUTED_VALUE"""),"YUNITA TAMELAB")</f>
        <v>YUNITA TAMELAB</v>
      </c>
      <c r="C93" s="19" t="str">
        <f>IFERROR(__xludf.DUMMYFUNCTION("""COMPUTED_VALUE"""),"Belum disetujui")</f>
        <v>Belum disetujui</v>
      </c>
      <c r="D93" s="19"/>
    </row>
    <row r="94">
      <c r="A94" s="53">
        <f>IFERROR(__xludf.DUMMYFUNCTION("""COMPUTED_VALUE"""),45994.59161390046)</f>
        <v>45994.59161</v>
      </c>
      <c r="B94" s="19" t="str">
        <f>IFERROR(__xludf.DUMMYFUNCTION("""COMPUTED_VALUE"""),"ANYARMITHA SOPHIA SUEK")</f>
        <v>ANYARMITHA SOPHIA SUEK</v>
      </c>
      <c r="C94" s="19" t="str">
        <f>IFERROR(__xludf.DUMMYFUNCTION("""COMPUTED_VALUE"""),"Belum disetujui")</f>
        <v>Belum disetujui</v>
      </c>
      <c r="D94" s="19"/>
    </row>
    <row r="95">
      <c r="A95" s="53">
        <f>IFERROR(__xludf.DUMMYFUNCTION("""COMPUTED_VALUE"""),45994.60704673611)</f>
        <v>45994.60705</v>
      </c>
      <c r="B95" s="19" t="str">
        <f>IFERROR(__xludf.DUMMYFUNCTION("""COMPUTED_VALUE"""),"ADRIANA")</f>
        <v>ADRIANA</v>
      </c>
      <c r="C95" s="19" t="str">
        <f>IFERROR(__xludf.DUMMYFUNCTION("""COMPUTED_VALUE"""),"Belum disetujui")</f>
        <v>Belum disetujui</v>
      </c>
      <c r="D95" s="19"/>
    </row>
    <row r="96">
      <c r="A96" s="53">
        <f>IFERROR(__xludf.DUMMYFUNCTION("""COMPUTED_VALUE"""),45994.60910775463)</f>
        <v>45994.60911</v>
      </c>
      <c r="B96" s="19" t="str">
        <f>IFERROR(__xludf.DUMMYFUNCTION("""COMPUTED_VALUE"""),"ADRIANA")</f>
        <v>ADRIANA</v>
      </c>
      <c r="C96" s="19" t="str">
        <f>IFERROR(__xludf.DUMMYFUNCTION("""COMPUTED_VALUE"""),"Belum disetujui")</f>
        <v>Belum disetujui</v>
      </c>
      <c r="D96" s="19"/>
    </row>
    <row r="97">
      <c r="A97" s="53">
        <f>IFERROR(__xludf.DUMMYFUNCTION("""COMPUTED_VALUE"""),45994.61069847223)</f>
        <v>45994.6107</v>
      </c>
      <c r="B97" s="19" t="str">
        <f>IFERROR(__xludf.DUMMYFUNCTION("""COMPUTED_VALUE"""),"ADRIANA")</f>
        <v>ADRIANA</v>
      </c>
      <c r="C97" s="19" t="str">
        <f>IFERROR(__xludf.DUMMYFUNCTION("""COMPUTED_VALUE"""),"Dapat limit tapi belum diproses")</f>
        <v>Dapat limit tapi belum diproses</v>
      </c>
      <c r="D97" s="19" t="str">
        <f>IFERROR(__xludf.DUMMYFUNCTION("""COMPUTED_VALUE"""),"Y21d series")</f>
        <v>Y21d series</v>
      </c>
    </row>
    <row r="98">
      <c r="A98" s="53">
        <f>IFERROR(__xludf.DUMMYFUNCTION("""COMPUTED_VALUE"""),45994.61302736111)</f>
        <v>45994.61303</v>
      </c>
      <c r="B98" s="19" t="str">
        <f>IFERROR(__xludf.DUMMYFUNCTION("""COMPUTED_VALUE"""),"ASRI NINGSI RAMBU ATA ENDI")</f>
        <v>ASRI NINGSI RAMBU ATA ENDI</v>
      </c>
      <c r="C98" s="19" t="str">
        <f>IFERROR(__xludf.DUMMYFUNCTION("""COMPUTED_VALUE"""),"ACC")</f>
        <v>ACC</v>
      </c>
      <c r="D98" s="19" t="str">
        <f>IFERROR(__xludf.DUMMYFUNCTION("""COMPUTED_VALUE"""),"Y21d series")</f>
        <v>Y21d series</v>
      </c>
    </row>
    <row r="99">
      <c r="A99" s="53">
        <f>IFERROR(__xludf.DUMMYFUNCTION("""COMPUTED_VALUE"""),45994.62247973379)</f>
        <v>45994.62248</v>
      </c>
      <c r="B99" s="19" t="str">
        <f>IFERROR(__xludf.DUMMYFUNCTION("""COMPUTED_VALUE"""),"SANTI MARIA LUKMINI NAHAK")</f>
        <v>SANTI MARIA LUKMINI NAHAK</v>
      </c>
      <c r="C99" s="19" t="str">
        <f>IFERROR(__xludf.DUMMYFUNCTION("""COMPUTED_VALUE"""),"Dapat limit tapi belum diproses")</f>
        <v>Dapat limit tapi belum diproses</v>
      </c>
      <c r="D99" s="19" t="str">
        <f>IFERROR(__xludf.DUMMYFUNCTION("""COMPUTED_VALUE"""),"Y400 series")</f>
        <v>Y400 series</v>
      </c>
    </row>
    <row r="100">
      <c r="A100" s="53">
        <f>IFERROR(__xludf.DUMMYFUNCTION("""COMPUTED_VALUE"""),45994.625472280095)</f>
        <v>45994.62547</v>
      </c>
      <c r="B100" s="19" t="str">
        <f>IFERROR(__xludf.DUMMYFUNCTION("""COMPUTED_VALUE"""),"NABILA RAHMAWATI")</f>
        <v>NABILA RAHMAWATI</v>
      </c>
      <c r="C100" s="19" t="str">
        <f>IFERROR(__xludf.DUMMYFUNCTION("""COMPUTED_VALUE"""),"Dapat limit tapi belum diproses")</f>
        <v>Dapat limit tapi belum diproses</v>
      </c>
      <c r="D100" s="19" t="str">
        <f>IFERROR(__xludf.DUMMYFUNCTION("""COMPUTED_VALUE"""),"Y21d series")</f>
        <v>Y21d series</v>
      </c>
    </row>
    <row r="101">
      <c r="A101" s="53">
        <f>IFERROR(__xludf.DUMMYFUNCTION("""COMPUTED_VALUE"""),45994.625763414355)</f>
        <v>45994.62576</v>
      </c>
      <c r="B101" s="19" t="str">
        <f>IFERROR(__xludf.DUMMYFUNCTION("""COMPUTED_VALUE"""),"AZ ZAHRA SITI ZAINAB")</f>
        <v>AZ ZAHRA SITI ZAINAB</v>
      </c>
      <c r="C101" s="19" t="str">
        <f>IFERROR(__xludf.DUMMYFUNCTION("""COMPUTED_VALUE"""),"ACC")</f>
        <v>ACC</v>
      </c>
      <c r="D101" s="19" t="str">
        <f>IFERROR(__xludf.DUMMYFUNCTION("""COMPUTED_VALUE"""),"Y21d series")</f>
        <v>Y21d series</v>
      </c>
    </row>
    <row r="102">
      <c r="A102" s="53">
        <f>IFERROR(__xludf.DUMMYFUNCTION("""COMPUTED_VALUE"""),45994.638187083336)</f>
        <v>45994.63819</v>
      </c>
      <c r="B102" s="19" t="str">
        <f>IFERROR(__xludf.DUMMYFUNCTION("""COMPUTED_VALUE"""),"MARNITHA JUWIKE TIMORATI RUNESI")</f>
        <v>MARNITHA JUWIKE TIMORATI RUNESI</v>
      </c>
      <c r="C102" s="19" t="str">
        <f>IFERROR(__xludf.DUMMYFUNCTION("""COMPUTED_VALUE"""),"ACC")</f>
        <v>ACC</v>
      </c>
      <c r="D102" s="19" t="str">
        <f>IFERROR(__xludf.DUMMYFUNCTION("""COMPUTED_VALUE"""),"Y21d series")</f>
        <v>Y21d series</v>
      </c>
    </row>
    <row r="103">
      <c r="A103" s="53">
        <f>IFERROR(__xludf.DUMMYFUNCTION("""COMPUTED_VALUE"""),45994.64643987269)</f>
        <v>45994.64644</v>
      </c>
      <c r="B103" s="19" t="str">
        <f>IFERROR(__xludf.DUMMYFUNCTION("""COMPUTED_VALUE"""),"YUNITA TAMELAB")</f>
        <v>YUNITA TAMELAB</v>
      </c>
      <c r="C103" s="19" t="str">
        <f>IFERROR(__xludf.DUMMYFUNCTION("""COMPUTED_VALUE"""),"Belum disetujui")</f>
        <v>Belum disetujui</v>
      </c>
      <c r="D103" s="19"/>
    </row>
    <row r="104">
      <c r="A104" s="53">
        <f>IFERROR(__xludf.DUMMYFUNCTION("""COMPUTED_VALUE"""),45994.647694074076)</f>
        <v>45994.64769</v>
      </c>
      <c r="B104" s="19" t="str">
        <f>IFERROR(__xludf.DUMMYFUNCTION("""COMPUTED_VALUE"""),"MARNITHA JUWIKE TIMORATI RUNESI")</f>
        <v>MARNITHA JUWIKE TIMORATI RUNESI</v>
      </c>
      <c r="C104" s="19" t="str">
        <f>IFERROR(__xludf.DUMMYFUNCTION("""COMPUTED_VALUE"""),"Belum disetujui")</f>
        <v>Belum disetujui</v>
      </c>
      <c r="D104" s="19"/>
    </row>
    <row r="105">
      <c r="A105" s="53">
        <f>IFERROR(__xludf.DUMMYFUNCTION("""COMPUTED_VALUE"""),45994.68137020833)</f>
        <v>45994.68137</v>
      </c>
      <c r="B105" s="19" t="str">
        <f>IFERROR(__xludf.DUMMYFUNCTION("""COMPUTED_VALUE"""),"ANITA ANA AMAH")</f>
        <v>ANITA ANA AMAH</v>
      </c>
      <c r="C105" s="19" t="str">
        <f>IFERROR(__xludf.DUMMYFUNCTION("""COMPUTED_VALUE"""),"Belum disetujui")</f>
        <v>Belum disetujui</v>
      </c>
      <c r="D105" s="19"/>
    </row>
    <row r="106">
      <c r="A106" s="53">
        <f>IFERROR(__xludf.DUMMYFUNCTION("""COMPUTED_VALUE"""),45994.686726493055)</f>
        <v>45994.68673</v>
      </c>
      <c r="B106" s="19" t="str">
        <f>IFERROR(__xludf.DUMMYFUNCTION("""COMPUTED_VALUE"""),"SULIS NURAINI INSYATUN")</f>
        <v>SULIS NURAINI INSYATUN</v>
      </c>
      <c r="C106" s="19" t="str">
        <f>IFERROR(__xludf.DUMMYFUNCTION("""COMPUTED_VALUE"""),"Belum disetujui")</f>
        <v>Belum disetujui</v>
      </c>
      <c r="D106" s="19"/>
    </row>
    <row r="107">
      <c r="A107" s="53">
        <f>IFERROR(__xludf.DUMMYFUNCTION("""COMPUTED_VALUE"""),45994.71881302083)</f>
        <v>45994.71881</v>
      </c>
      <c r="B107" s="19" t="str">
        <f>IFERROR(__xludf.DUMMYFUNCTION("""COMPUTED_VALUE"""),"HERONIMUS NAMU WALI")</f>
        <v>HERONIMUS NAMU WALI</v>
      </c>
      <c r="C107" s="19" t="str">
        <f>IFERROR(__xludf.DUMMYFUNCTION("""COMPUTED_VALUE"""),"Belum disetujui")</f>
        <v>Belum disetujui</v>
      </c>
      <c r="D107" s="19"/>
    </row>
    <row r="108">
      <c r="A108" s="53">
        <f>IFERROR(__xludf.DUMMYFUNCTION("""COMPUTED_VALUE"""),45994.72595172453)</f>
        <v>45994.72595</v>
      </c>
      <c r="B108" s="19" t="str">
        <f>IFERROR(__xludf.DUMMYFUNCTION("""COMPUTED_VALUE"""),"ARMINDA TEKU MANEK")</f>
        <v>ARMINDA TEKU MANEK</v>
      </c>
      <c r="C108" s="19" t="str">
        <f>IFERROR(__xludf.DUMMYFUNCTION("""COMPUTED_VALUE"""),"Belum disetujui")</f>
        <v>Belum disetujui</v>
      </c>
      <c r="D108" s="19"/>
    </row>
    <row r="109">
      <c r="A109" s="53">
        <f>IFERROR(__xludf.DUMMYFUNCTION("""COMPUTED_VALUE"""),45994.727402557866)</f>
        <v>45994.7274</v>
      </c>
      <c r="B109" s="19" t="str">
        <f>IFERROR(__xludf.DUMMYFUNCTION("""COMPUTED_VALUE"""),"ARMINDA TEKU MANEK")</f>
        <v>ARMINDA TEKU MANEK</v>
      </c>
      <c r="C109" s="19" t="str">
        <f>IFERROR(__xludf.DUMMYFUNCTION("""COMPUTED_VALUE"""),"Belum disetujui")</f>
        <v>Belum disetujui</v>
      </c>
      <c r="D109" s="19"/>
    </row>
    <row r="110">
      <c r="A110" s="53">
        <f>IFERROR(__xludf.DUMMYFUNCTION("""COMPUTED_VALUE"""),45994.74891674769)</f>
        <v>45994.74892</v>
      </c>
      <c r="B110" s="19" t="str">
        <f>IFERROR(__xludf.DUMMYFUNCTION("""COMPUTED_VALUE"""),"ASTUTI BELA WAWO")</f>
        <v>ASTUTI BELA WAWO</v>
      </c>
      <c r="C110" s="19" t="str">
        <f>IFERROR(__xludf.DUMMYFUNCTION("""COMPUTED_VALUE"""),"ACC")</f>
        <v>ACC</v>
      </c>
      <c r="D110" s="19" t="str">
        <f>IFERROR(__xludf.DUMMYFUNCTION("""COMPUTED_VALUE"""),"V60 Lite series")</f>
        <v>V60 Lite series</v>
      </c>
    </row>
    <row r="111">
      <c r="A111" s="53">
        <f>IFERROR(__xludf.DUMMYFUNCTION("""COMPUTED_VALUE"""),45994.75395608796)</f>
        <v>45994.75396</v>
      </c>
      <c r="B111" s="19" t="str">
        <f>IFERROR(__xludf.DUMMYFUNCTION("""COMPUTED_VALUE"""),"ASTUTI BELA WAWO")</f>
        <v>ASTUTI BELA WAWO</v>
      </c>
      <c r="C111" s="19" t="str">
        <f>IFERROR(__xludf.DUMMYFUNCTION("""COMPUTED_VALUE"""),"ACC")</f>
        <v>ACC</v>
      </c>
      <c r="D111" s="19" t="str">
        <f>IFERROR(__xludf.DUMMYFUNCTION("""COMPUTED_VALUE"""),"V60 Lite series")</f>
        <v>V60 Lite series</v>
      </c>
    </row>
    <row r="112">
      <c r="A112" s="53">
        <f>IFERROR(__xludf.DUMMYFUNCTION("""COMPUTED_VALUE"""),45994.78007144676)</f>
        <v>45994.78007</v>
      </c>
      <c r="B112" s="19" t="str">
        <f>IFERROR(__xludf.DUMMYFUNCTION("""COMPUTED_VALUE"""),"MERDA PUTRI BUNGSU KENAT")</f>
        <v>MERDA PUTRI BUNGSU KENAT</v>
      </c>
      <c r="C112" s="19" t="str">
        <f>IFERROR(__xludf.DUMMYFUNCTION("""COMPUTED_VALUE"""),"ACC")</f>
        <v>ACC</v>
      </c>
      <c r="D112" s="19" t="str">
        <f>IFERROR(__xludf.DUMMYFUNCTION("""COMPUTED_VALUE"""),"Y21d series")</f>
        <v>Y21d series</v>
      </c>
    </row>
    <row r="113">
      <c r="A113" s="53">
        <f>IFERROR(__xludf.DUMMYFUNCTION("""COMPUTED_VALUE"""),45994.78623741898)</f>
        <v>45994.78624</v>
      </c>
      <c r="B113" s="19" t="str">
        <f>IFERROR(__xludf.DUMMYFUNCTION("""COMPUTED_VALUE"""),"ADRIANA")</f>
        <v>ADRIANA</v>
      </c>
      <c r="C113" s="19" t="str">
        <f>IFERROR(__xludf.DUMMYFUNCTION("""COMPUTED_VALUE"""),"Belum disetujui")</f>
        <v>Belum disetujui</v>
      </c>
      <c r="D113" s="19"/>
    </row>
    <row r="114">
      <c r="A114" s="53">
        <f>IFERROR(__xludf.DUMMYFUNCTION("""COMPUTED_VALUE"""),45994.79397736111)</f>
        <v>45994.79398</v>
      </c>
      <c r="B114" s="19" t="str">
        <f>IFERROR(__xludf.DUMMYFUNCTION("""COMPUTED_VALUE"""),"YASINTHA MBU")</f>
        <v>YASINTHA MBU</v>
      </c>
      <c r="C114" s="19" t="str">
        <f>IFERROR(__xludf.DUMMYFUNCTION("""COMPUTED_VALUE"""),"Belum disetujui")</f>
        <v>Belum disetujui</v>
      </c>
      <c r="D114" s="19"/>
    </row>
    <row r="115">
      <c r="A115" s="53">
        <f>IFERROR(__xludf.DUMMYFUNCTION("""COMPUTED_VALUE"""),45994.80653670139)</f>
        <v>45994.80654</v>
      </c>
      <c r="B115" s="19" t="str">
        <f>IFERROR(__xludf.DUMMYFUNCTION("""COMPUTED_VALUE"""),"BERGITHA NIA OLIN")</f>
        <v>BERGITHA NIA OLIN</v>
      </c>
      <c r="C115" s="19" t="str">
        <f>IFERROR(__xludf.DUMMYFUNCTION("""COMPUTED_VALUE"""),"ACC")</f>
        <v>ACC</v>
      </c>
      <c r="D115" s="19" t="str">
        <f>IFERROR(__xludf.DUMMYFUNCTION("""COMPUTED_VALUE"""),"Y400 series")</f>
        <v>Y400 series</v>
      </c>
    </row>
    <row r="116">
      <c r="A116" s="53">
        <f>IFERROR(__xludf.DUMMYFUNCTION("""COMPUTED_VALUE"""),45994.81497853009)</f>
        <v>45994.81498</v>
      </c>
      <c r="B116" s="19" t="str">
        <f>IFERROR(__xludf.DUMMYFUNCTION("""COMPUTED_VALUE"""),"ANAK AGUNG SRI WULANTIWI")</f>
        <v>ANAK AGUNG SRI WULANTIWI</v>
      </c>
      <c r="C116" s="19" t="str">
        <f>IFERROR(__xludf.DUMMYFUNCTION("""COMPUTED_VALUE"""),"Belum disetujui")</f>
        <v>Belum disetujui</v>
      </c>
      <c r="D116" s="19"/>
    </row>
    <row r="117">
      <c r="A117" s="53">
        <f>IFERROR(__xludf.DUMMYFUNCTION("""COMPUTED_VALUE"""),45994.85486556713)</f>
        <v>45994.85487</v>
      </c>
      <c r="B117" s="19" t="str">
        <f>IFERROR(__xludf.DUMMYFUNCTION("""COMPUTED_VALUE"""),"DWITNEY PRETY WANGGANDIMA")</f>
        <v>DWITNEY PRETY WANGGANDIMA</v>
      </c>
      <c r="C117" s="19" t="str">
        <f>IFERROR(__xludf.DUMMYFUNCTION("""COMPUTED_VALUE"""),"Belum disetujui")</f>
        <v>Belum disetujui</v>
      </c>
      <c r="D117" s="19"/>
    </row>
    <row r="118">
      <c r="A118" s="53">
        <f>IFERROR(__xludf.DUMMYFUNCTION("""COMPUTED_VALUE"""),45994.85967427083)</f>
        <v>45994.85967</v>
      </c>
      <c r="B118" s="19" t="str">
        <f>IFERROR(__xludf.DUMMYFUNCTION("""COMPUTED_VALUE"""),"MEXY ALEXANDER HETMINA")</f>
        <v>MEXY ALEXANDER HETMINA</v>
      </c>
      <c r="C118" s="19" t="str">
        <f>IFERROR(__xludf.DUMMYFUNCTION("""COMPUTED_VALUE"""),"Belum disetujui")</f>
        <v>Belum disetujui</v>
      </c>
      <c r="D118" s="19"/>
    </row>
    <row r="119">
      <c r="A119" s="53">
        <f>IFERROR(__xludf.DUMMYFUNCTION("""COMPUTED_VALUE"""),45994.86043517361)</f>
        <v>45994.86044</v>
      </c>
      <c r="B119" s="19" t="str">
        <f>IFERROR(__xludf.DUMMYFUNCTION("""COMPUTED_VALUE"""),"SELVINCE BAKO")</f>
        <v>SELVINCE BAKO</v>
      </c>
      <c r="C119" s="19" t="str">
        <f>IFERROR(__xludf.DUMMYFUNCTION("""COMPUTED_VALUE"""),"Belum disetujui")</f>
        <v>Belum disetujui</v>
      </c>
      <c r="D119" s="19"/>
    </row>
    <row r="120">
      <c r="A120" s="53">
        <f>IFERROR(__xludf.DUMMYFUNCTION("""COMPUTED_VALUE"""),45994.86643046296)</f>
        <v>45994.86643</v>
      </c>
      <c r="B120" s="19" t="str">
        <f>IFERROR(__xludf.DUMMYFUNCTION("""COMPUTED_VALUE"""),"NOVLIANA BARBALINA MISA")</f>
        <v>NOVLIANA BARBALINA MISA</v>
      </c>
      <c r="C120" s="19" t="str">
        <f>IFERROR(__xludf.DUMMYFUNCTION("""COMPUTED_VALUE"""),"ACC")</f>
        <v>ACC</v>
      </c>
      <c r="D120" s="19" t="str">
        <f>IFERROR(__xludf.DUMMYFUNCTION("""COMPUTED_VALUE"""),"Y400 series")</f>
        <v>Y400 series</v>
      </c>
    </row>
    <row r="121">
      <c r="A121" s="53">
        <f>IFERROR(__xludf.DUMMYFUNCTION("""COMPUTED_VALUE"""),45994.90085454861)</f>
        <v>45994.90085</v>
      </c>
      <c r="B121" s="19" t="str">
        <f>IFERROR(__xludf.DUMMYFUNCTION("""COMPUTED_VALUE"""),"RESTIANY MARIA LUAN KALI")</f>
        <v>RESTIANY MARIA LUAN KALI</v>
      </c>
      <c r="C121" s="19" t="str">
        <f>IFERROR(__xludf.DUMMYFUNCTION("""COMPUTED_VALUE"""),"ACC")</f>
        <v>ACC</v>
      </c>
      <c r="D121" s="19" t="str">
        <f>IFERROR(__xludf.DUMMYFUNCTION("""COMPUTED_VALUE"""),"Y400 series")</f>
        <v>Y400 series</v>
      </c>
    </row>
    <row r="122">
      <c r="A122" s="53">
        <f>IFERROR(__xludf.DUMMYFUNCTION("""COMPUTED_VALUE"""),45995.42173383102)</f>
        <v>45995.42173</v>
      </c>
      <c r="B122" s="19" t="str">
        <f>IFERROR(__xludf.DUMMYFUNCTION("""COMPUTED_VALUE"""),"NUR FATIMAH MOLBANG")</f>
        <v>NUR FATIMAH MOLBANG</v>
      </c>
      <c r="C122" s="19" t="str">
        <f>IFERROR(__xludf.DUMMYFUNCTION("""COMPUTED_VALUE"""),"Belum disetujui")</f>
        <v>Belum disetujui</v>
      </c>
      <c r="D122" s="19"/>
    </row>
    <row r="123">
      <c r="A123" s="53">
        <f>IFERROR(__xludf.DUMMYFUNCTION("""COMPUTED_VALUE"""),45995.42338434028)</f>
        <v>45995.42338</v>
      </c>
      <c r="B123" s="19" t="str">
        <f>IFERROR(__xludf.DUMMYFUNCTION("""COMPUTED_VALUE"""),"ANDHIKA ULLY")</f>
        <v>ANDHIKA ULLY</v>
      </c>
      <c r="C123" s="19" t="str">
        <f>IFERROR(__xludf.DUMMYFUNCTION("""COMPUTED_VALUE"""),"Belum disetujui")</f>
        <v>Belum disetujui</v>
      </c>
      <c r="D123" s="19"/>
    </row>
    <row r="124">
      <c r="A124" s="53">
        <f>IFERROR(__xludf.DUMMYFUNCTION("""COMPUTED_VALUE"""),45995.42546540509)</f>
        <v>45995.42547</v>
      </c>
      <c r="B124" s="19" t="str">
        <f>IFERROR(__xludf.DUMMYFUNCTION("""COMPUTED_VALUE"""),"ANNA RAHMATIA JUFRI")</f>
        <v>ANNA RAHMATIA JUFRI</v>
      </c>
      <c r="C124" s="19" t="str">
        <f>IFERROR(__xludf.DUMMYFUNCTION("""COMPUTED_VALUE"""),"ACC")</f>
        <v>ACC</v>
      </c>
      <c r="D124" s="19" t="str">
        <f>IFERROR(__xludf.DUMMYFUNCTION("""COMPUTED_VALUE"""),"Y400 series")</f>
        <v>Y400 series</v>
      </c>
    </row>
    <row r="125">
      <c r="A125" s="53">
        <f>IFERROR(__xludf.DUMMYFUNCTION("""COMPUTED_VALUE"""),45995.4619746875)</f>
        <v>45995.46197</v>
      </c>
      <c r="B125" s="19" t="str">
        <f>IFERROR(__xludf.DUMMYFUNCTION("""COMPUTED_VALUE"""),"BERGITHA NIA OLIN")</f>
        <v>BERGITHA NIA OLIN</v>
      </c>
      <c r="C125" s="19" t="str">
        <f>IFERROR(__xludf.DUMMYFUNCTION("""COMPUTED_VALUE"""),"Belum disetujui")</f>
        <v>Belum disetujui</v>
      </c>
      <c r="D125" s="19"/>
    </row>
    <row r="126">
      <c r="A126" s="53">
        <f>IFERROR(__xludf.DUMMYFUNCTION("""COMPUTED_VALUE"""),45995.46906707176)</f>
        <v>45995.46907</v>
      </c>
      <c r="B126" s="19" t="str">
        <f>IFERROR(__xludf.DUMMYFUNCTION("""COMPUTED_VALUE"""),"MARNITHA JUWIKE TIMORATI RUNESI")</f>
        <v>MARNITHA JUWIKE TIMORATI RUNESI</v>
      </c>
      <c r="C126" s="19" t="str">
        <f>IFERROR(__xludf.DUMMYFUNCTION("""COMPUTED_VALUE"""),"Dapat limit tapi belum diproses")</f>
        <v>Dapat limit tapi belum diproses</v>
      </c>
      <c r="D126" s="19" t="str">
        <f>IFERROR(__xludf.DUMMYFUNCTION("""COMPUTED_VALUE"""),"Y21d series")</f>
        <v>Y21d series</v>
      </c>
    </row>
    <row r="127">
      <c r="A127" s="53">
        <f>IFERROR(__xludf.DUMMYFUNCTION("""COMPUTED_VALUE"""),45995.4792240625)</f>
        <v>45995.47922</v>
      </c>
      <c r="B127" s="19" t="str">
        <f>IFERROR(__xludf.DUMMYFUNCTION("""COMPUTED_VALUE"""),"IDMAL YUSDIRAN YUSUF")</f>
        <v>IDMAL YUSDIRAN YUSUF</v>
      </c>
      <c r="C127" s="19" t="str">
        <f>IFERROR(__xludf.DUMMYFUNCTION("""COMPUTED_VALUE"""),"Belum disetujui")</f>
        <v>Belum disetujui</v>
      </c>
      <c r="D127" s="19"/>
    </row>
    <row r="128">
      <c r="A128" s="53">
        <f>IFERROR(__xludf.DUMMYFUNCTION("""COMPUTED_VALUE"""),45995.48243873842)</f>
        <v>45995.48244</v>
      </c>
      <c r="B128" s="19" t="str">
        <f>IFERROR(__xludf.DUMMYFUNCTION("""COMPUTED_VALUE"""),"ASRI NINGSI RAMBU ATA ENDI")</f>
        <v>ASRI NINGSI RAMBU ATA ENDI</v>
      </c>
      <c r="C128" s="19" t="str">
        <f>IFERROR(__xludf.DUMMYFUNCTION("""COMPUTED_VALUE"""),"Belum disetujui")</f>
        <v>Belum disetujui</v>
      </c>
      <c r="D128" s="19"/>
    </row>
    <row r="129">
      <c r="A129" s="53">
        <f>IFERROR(__xludf.DUMMYFUNCTION("""COMPUTED_VALUE"""),45995.48673803241)</f>
        <v>45995.48674</v>
      </c>
      <c r="B129" s="19" t="str">
        <f>IFERROR(__xludf.DUMMYFUNCTION("""COMPUTED_VALUE"""),"YASINTHA MBU")</f>
        <v>YASINTHA MBU</v>
      </c>
      <c r="C129" s="19" t="str">
        <f>IFERROR(__xludf.DUMMYFUNCTION("""COMPUTED_VALUE"""),"Dapat limit tapi belum diproses")</f>
        <v>Dapat limit tapi belum diproses</v>
      </c>
      <c r="D129" s="19" t="str">
        <f>IFERROR(__xludf.DUMMYFUNCTION("""COMPUTED_VALUE"""),"Y400 series")</f>
        <v>Y400 series</v>
      </c>
    </row>
    <row r="130">
      <c r="A130" s="39">
        <f>IFERROR(__xludf.DUMMYFUNCTION("""COMPUTED_VALUE"""),45995.49667166667)</f>
        <v>45995.49667</v>
      </c>
      <c r="B130" s="40" t="str">
        <f>IFERROR(__xludf.DUMMYFUNCTION("""COMPUTED_VALUE"""),"KESIA NATALIA I. BENU")</f>
        <v>KESIA NATALIA I. BENU</v>
      </c>
      <c r="C130" s="40" t="str">
        <f>IFERROR(__xludf.DUMMYFUNCTION("""COMPUTED_VALUE"""),"Belum disetujui")</f>
        <v>Belum disetujui</v>
      </c>
      <c r="D130" s="40"/>
    </row>
    <row r="131">
      <c r="A131" s="39">
        <f>IFERROR(__xludf.DUMMYFUNCTION("""COMPUTED_VALUE"""),45995.52410055556)</f>
        <v>45995.5241</v>
      </c>
      <c r="B131" s="40" t="str">
        <f>IFERROR(__xludf.DUMMYFUNCTION("""COMPUTED_VALUE"""),"BERGITHA NIA OLIN")</f>
        <v>BERGITHA NIA OLIN</v>
      </c>
      <c r="C131" s="40" t="str">
        <f>IFERROR(__xludf.DUMMYFUNCTION("""COMPUTED_VALUE"""),"Belum disetujui")</f>
        <v>Belum disetujui</v>
      </c>
      <c r="D131" s="40"/>
    </row>
    <row r="132">
      <c r="A132" s="39">
        <f>IFERROR(__xludf.DUMMYFUNCTION("""COMPUTED_VALUE"""),45995.52877949074)</f>
        <v>45995.52878</v>
      </c>
      <c r="B132" s="40" t="str">
        <f>IFERROR(__xludf.DUMMYFUNCTION("""COMPUTED_VALUE"""),"NOVLIANA BARBALINA MISA")</f>
        <v>NOVLIANA BARBALINA MISA</v>
      </c>
      <c r="C132" s="40" t="str">
        <f>IFERROR(__xludf.DUMMYFUNCTION("""COMPUTED_VALUE"""),"Belum disetujui")</f>
        <v>Belum disetujui</v>
      </c>
      <c r="D132" s="40"/>
    </row>
    <row r="133">
      <c r="A133" s="39">
        <f>IFERROR(__xludf.DUMMYFUNCTION("""COMPUTED_VALUE"""),45995.54664217593)</f>
        <v>45995.54664</v>
      </c>
      <c r="B133" s="40" t="str">
        <f>IFERROR(__xludf.DUMMYFUNCTION("""COMPUTED_VALUE"""),"ESTER LUDJI")</f>
        <v>ESTER LUDJI</v>
      </c>
      <c r="C133" s="40" t="str">
        <f>IFERROR(__xludf.DUMMYFUNCTION("""COMPUTED_VALUE"""),"Belum disetujui")</f>
        <v>Belum disetujui</v>
      </c>
      <c r="D133" s="40"/>
    </row>
    <row r="134">
      <c r="A134" s="39">
        <f>IFERROR(__xludf.DUMMYFUNCTION("""COMPUTED_VALUE"""),45995.551039282414)</f>
        <v>45995.55104</v>
      </c>
      <c r="B134" s="40" t="str">
        <f>IFERROR(__xludf.DUMMYFUNCTION("""COMPUTED_VALUE"""),"ANAK AGUNG SRI WULANTIWI")</f>
        <v>ANAK AGUNG SRI WULANTIWI</v>
      </c>
      <c r="C134" s="40" t="str">
        <f>IFERROR(__xludf.DUMMYFUNCTION("""COMPUTED_VALUE"""),"ACC")</f>
        <v>ACC</v>
      </c>
      <c r="D134" s="40" t="str">
        <f>IFERROR(__xludf.DUMMYFUNCTION("""COMPUTED_VALUE"""),"Y400 series")</f>
        <v>Y400 series</v>
      </c>
    </row>
    <row r="135">
      <c r="A135" s="39">
        <f>IFERROR(__xludf.DUMMYFUNCTION("""COMPUTED_VALUE"""),45995.55121774306)</f>
        <v>45995.55122</v>
      </c>
      <c r="B135" s="40" t="str">
        <f>IFERROR(__xludf.DUMMYFUNCTION("""COMPUTED_VALUE"""),"AZ ZAHRA SITI ZAINAB")</f>
        <v>AZ ZAHRA SITI ZAINAB</v>
      </c>
      <c r="C135" s="40" t="str">
        <f>IFERROR(__xludf.DUMMYFUNCTION("""COMPUTED_VALUE"""),"ACC")</f>
        <v>ACC</v>
      </c>
      <c r="D135" s="40" t="str">
        <f>IFERROR(__xludf.DUMMYFUNCTION("""COMPUTED_VALUE"""),"Y400 series")</f>
        <v>Y400 series</v>
      </c>
    </row>
    <row r="136">
      <c r="A136" s="39">
        <f>IFERROR(__xludf.DUMMYFUNCTION("""COMPUTED_VALUE"""),45995.55906042824)</f>
        <v>45995.55906</v>
      </c>
      <c r="B136" s="40" t="str">
        <f>IFERROR(__xludf.DUMMYFUNCTION("""COMPUTED_VALUE"""),"ANITA ANA AMAH")</f>
        <v>ANITA ANA AMAH</v>
      </c>
      <c r="C136" s="40" t="str">
        <f>IFERROR(__xludf.DUMMYFUNCTION("""COMPUTED_VALUE"""),"Belum disetujui")</f>
        <v>Belum disetujui</v>
      </c>
      <c r="D136" s="40"/>
    </row>
    <row r="137">
      <c r="A137" s="39">
        <f>IFERROR(__xludf.DUMMYFUNCTION("""COMPUTED_VALUE"""),45995.57041645834)</f>
        <v>45995.57042</v>
      </c>
      <c r="B137" s="40" t="str">
        <f>IFERROR(__xludf.DUMMYFUNCTION("""COMPUTED_VALUE"""),"ROS YANE KANA LUDJI")</f>
        <v>ROS YANE KANA LUDJI</v>
      </c>
      <c r="C137" s="40" t="str">
        <f>IFERROR(__xludf.DUMMYFUNCTION("""COMPUTED_VALUE"""),"Dapat limit tapi belum diproses")</f>
        <v>Dapat limit tapi belum diproses</v>
      </c>
      <c r="D137" s="40" t="str">
        <f>IFERROR(__xludf.DUMMYFUNCTION("""COMPUTED_VALUE"""),"V60 Lite series")</f>
        <v>V60 Lite series</v>
      </c>
    </row>
    <row r="138">
      <c r="A138" s="39">
        <f>IFERROR(__xludf.DUMMYFUNCTION("""COMPUTED_VALUE"""),45995.570850034725)</f>
        <v>45995.57085</v>
      </c>
      <c r="B138" s="40" t="str">
        <f>IFERROR(__xludf.DUMMYFUNCTION("""COMPUTED_VALUE"""),"KESIA NATALIA I. BENU")</f>
        <v>KESIA NATALIA I. BENU</v>
      </c>
      <c r="C138" s="40" t="str">
        <f>IFERROR(__xludf.DUMMYFUNCTION("""COMPUTED_VALUE"""),"Belum disetujui")</f>
        <v>Belum disetujui</v>
      </c>
      <c r="D138" s="40"/>
    </row>
    <row r="139">
      <c r="A139" s="39">
        <f>IFERROR(__xludf.DUMMYFUNCTION("""COMPUTED_VALUE"""),45995.670584467596)</f>
        <v>45995.67058</v>
      </c>
      <c r="B139" s="40" t="str">
        <f>IFERROR(__xludf.DUMMYFUNCTION("""COMPUTED_VALUE"""),"LASTRIANA PALUS")</f>
        <v>LASTRIANA PALUS</v>
      </c>
      <c r="C139" s="40" t="str">
        <f>IFERROR(__xludf.DUMMYFUNCTION("""COMPUTED_VALUE"""),"ACC")</f>
        <v>ACC</v>
      </c>
      <c r="D139" s="40" t="str">
        <f>IFERROR(__xludf.DUMMYFUNCTION("""COMPUTED_VALUE"""),"Y400 series")</f>
        <v>Y400 series</v>
      </c>
    </row>
    <row r="140">
      <c r="A140" s="39">
        <f>IFERROR(__xludf.DUMMYFUNCTION("""COMPUTED_VALUE"""),45995.677021828706)</f>
        <v>45995.67702</v>
      </c>
      <c r="B140" s="40" t="str">
        <f>IFERROR(__xludf.DUMMYFUNCTION("""COMPUTED_VALUE"""),"KESIA NATALIA I. BENU")</f>
        <v>KESIA NATALIA I. BENU</v>
      </c>
      <c r="C140" s="40" t="str">
        <f>IFERROR(__xludf.DUMMYFUNCTION("""COMPUTED_VALUE"""),"ACC")</f>
        <v>ACC</v>
      </c>
      <c r="D140" s="40" t="str">
        <f>IFERROR(__xludf.DUMMYFUNCTION("""COMPUTED_VALUE"""),"Y400 series")</f>
        <v>Y400 series</v>
      </c>
    </row>
    <row r="141">
      <c r="A141" s="39">
        <f>IFERROR(__xludf.DUMMYFUNCTION("""COMPUTED_VALUE"""),45995.68611076389)</f>
        <v>45995.68611</v>
      </c>
      <c r="B141" s="40" t="str">
        <f>IFERROR(__xludf.DUMMYFUNCTION("""COMPUTED_VALUE"""),"PRETI SISILIA SILA")</f>
        <v>PRETI SISILIA SILA</v>
      </c>
      <c r="C141" s="40" t="str">
        <f>IFERROR(__xludf.DUMMYFUNCTION("""COMPUTED_VALUE"""),"Dapat limit tapi belum diproses")</f>
        <v>Dapat limit tapi belum diproses</v>
      </c>
      <c r="D141" s="40" t="str">
        <f>IFERROR(__xludf.DUMMYFUNCTION("""COMPUTED_VALUE"""),"V60 series")</f>
        <v>V60 series</v>
      </c>
    </row>
    <row r="142">
      <c r="A142" s="39">
        <f>IFERROR(__xludf.DUMMYFUNCTION("""COMPUTED_VALUE"""),45995.713920995375)</f>
        <v>45995.71392</v>
      </c>
      <c r="B142" s="40" t="str">
        <f>IFERROR(__xludf.DUMMYFUNCTION("""COMPUTED_VALUE"""),"AMBU BAIQ JUMENAH")</f>
        <v>AMBU BAIQ JUMENAH</v>
      </c>
      <c r="C142" s="40" t="str">
        <f>IFERROR(__xludf.DUMMYFUNCTION("""COMPUTED_VALUE"""),"Belum disetujui")</f>
        <v>Belum disetujui</v>
      </c>
      <c r="D142" s="40"/>
    </row>
    <row r="143">
      <c r="A143" s="39">
        <f>IFERROR(__xludf.DUMMYFUNCTION("""COMPUTED_VALUE"""),45995.72087060185)</f>
        <v>45995.72087</v>
      </c>
      <c r="B143" s="40" t="str">
        <f>IFERROR(__xludf.DUMMYFUNCTION("""COMPUTED_VALUE"""),"ARMINDA TEKU MANEK")</f>
        <v>ARMINDA TEKU MANEK</v>
      </c>
      <c r="C143" s="40" t="str">
        <f>IFERROR(__xludf.DUMMYFUNCTION("""COMPUTED_VALUE"""),"Dapat limit tapi belum diproses")</f>
        <v>Dapat limit tapi belum diproses</v>
      </c>
      <c r="D143" s="40" t="str">
        <f>IFERROR(__xludf.DUMMYFUNCTION("""COMPUTED_VALUE"""),"Y21d series")</f>
        <v>Y21d series</v>
      </c>
    </row>
    <row r="144">
      <c r="A144" s="39">
        <f>IFERROR(__xludf.DUMMYFUNCTION("""COMPUTED_VALUE"""),45995.726824722224)</f>
        <v>45995.72682</v>
      </c>
      <c r="B144" s="40" t="str">
        <f>IFERROR(__xludf.DUMMYFUNCTION("""COMPUTED_VALUE"""),"BERGITHA NIA OLIN")</f>
        <v>BERGITHA NIA OLIN</v>
      </c>
      <c r="C144" s="40" t="str">
        <f>IFERROR(__xludf.DUMMYFUNCTION("""COMPUTED_VALUE"""),"Belum disetujui")</f>
        <v>Belum disetujui</v>
      </c>
      <c r="D144" s="40"/>
    </row>
    <row r="145">
      <c r="A145" s="39">
        <f>IFERROR(__xludf.DUMMYFUNCTION("""COMPUTED_VALUE"""),45995.727202442125)</f>
        <v>45995.7272</v>
      </c>
      <c r="B145" s="40" t="str">
        <f>IFERROR(__xludf.DUMMYFUNCTION("""COMPUTED_VALUE"""),"DWITNEY PRETY WANGGANDIMA")</f>
        <v>DWITNEY PRETY WANGGANDIMA</v>
      </c>
      <c r="C145" s="40" t="str">
        <f>IFERROR(__xludf.DUMMYFUNCTION("""COMPUTED_VALUE"""),"Belum disetujui")</f>
        <v>Belum disetujui</v>
      </c>
      <c r="D145" s="40"/>
    </row>
    <row r="146">
      <c r="A146" s="39">
        <f>IFERROR(__xludf.DUMMYFUNCTION("""COMPUTED_VALUE"""),45995.74778849538)</f>
        <v>45995.74779</v>
      </c>
      <c r="B146" s="40" t="str">
        <f>IFERROR(__xludf.DUMMYFUNCTION("""COMPUTED_VALUE"""),"MERDA PUTRI BUNGSU KENAT")</f>
        <v>MERDA PUTRI BUNGSU KENAT</v>
      </c>
      <c r="C146" s="40" t="str">
        <f>IFERROR(__xludf.DUMMYFUNCTION("""COMPUTED_VALUE"""),"Belum disetujui")</f>
        <v>Belum disetujui</v>
      </c>
      <c r="D146" s="40"/>
    </row>
    <row r="147">
      <c r="A147" s="39">
        <f>IFERROR(__xludf.DUMMYFUNCTION("""COMPUTED_VALUE"""),45995.75298793981)</f>
        <v>45995.75299</v>
      </c>
      <c r="B147" s="40" t="str">
        <f>IFERROR(__xludf.DUMMYFUNCTION("""COMPUTED_VALUE"""),"MEXY ALEXANDER HETMINA")</f>
        <v>MEXY ALEXANDER HETMINA</v>
      </c>
      <c r="C147" s="40" t="str">
        <f>IFERROR(__xludf.DUMMYFUNCTION("""COMPUTED_VALUE"""),"Belum disetujui")</f>
        <v>Belum disetujui</v>
      </c>
      <c r="D147" s="40"/>
    </row>
    <row r="148">
      <c r="A148" s="39">
        <f>IFERROR(__xludf.DUMMYFUNCTION("""COMPUTED_VALUE"""),45995.75777640047)</f>
        <v>45995.75778</v>
      </c>
      <c r="B148" s="40" t="str">
        <f>IFERROR(__xludf.DUMMYFUNCTION("""COMPUTED_VALUE"""),"FREDERIKA ALVONSIA LENGO")</f>
        <v>FREDERIKA ALVONSIA LENGO</v>
      </c>
      <c r="C148" s="40" t="str">
        <f>IFERROR(__xludf.DUMMYFUNCTION("""COMPUTED_VALUE"""),"Belum disetujui")</f>
        <v>Belum disetujui</v>
      </c>
      <c r="D148" s="40"/>
    </row>
    <row r="149">
      <c r="A149" s="39">
        <f>IFERROR(__xludf.DUMMYFUNCTION("""COMPUTED_VALUE"""),45995.7676609375)</f>
        <v>45995.76766</v>
      </c>
      <c r="B149" s="40" t="str">
        <f>IFERROR(__xludf.DUMMYFUNCTION("""COMPUTED_VALUE"""),"MARNITHA JUWIKE TIMORATI RUNESI")</f>
        <v>MARNITHA JUWIKE TIMORATI RUNESI</v>
      </c>
      <c r="C149" s="40" t="str">
        <f>IFERROR(__xludf.DUMMYFUNCTION("""COMPUTED_VALUE"""),"ACC")</f>
        <v>ACC</v>
      </c>
      <c r="D149" s="40" t="str">
        <f>IFERROR(__xludf.DUMMYFUNCTION("""COMPUTED_VALUE"""),"Y400 series")</f>
        <v>Y400 series</v>
      </c>
    </row>
    <row r="150">
      <c r="A150" s="39">
        <f>IFERROR(__xludf.DUMMYFUNCTION("""COMPUTED_VALUE"""),45995.77629425925)</f>
        <v>45995.77629</v>
      </c>
      <c r="B150" s="40" t="str">
        <f>IFERROR(__xludf.DUMMYFUNCTION("""COMPUTED_VALUE"""),"LASTRIANA PALUS")</f>
        <v>LASTRIANA PALUS</v>
      </c>
      <c r="C150" s="40" t="str">
        <f>IFERROR(__xludf.DUMMYFUNCTION("""COMPUTED_VALUE"""),"Belum disetujui")</f>
        <v>Belum disetujui</v>
      </c>
      <c r="D150" s="40"/>
    </row>
    <row r="151">
      <c r="A151" s="39">
        <f>IFERROR(__xludf.DUMMYFUNCTION("""COMPUTED_VALUE"""),45995.781779432866)</f>
        <v>45995.78178</v>
      </c>
      <c r="B151" s="40" t="str">
        <f>IFERROR(__xludf.DUMMYFUNCTION("""COMPUTED_VALUE"""),"NENY MERLIANTI NA'U")</f>
        <v>NENY MERLIANTI NA'U</v>
      </c>
      <c r="C151" s="40" t="str">
        <f>IFERROR(__xludf.DUMMYFUNCTION("""COMPUTED_VALUE"""),"Belum disetujui")</f>
        <v>Belum disetujui</v>
      </c>
      <c r="D151" s="40"/>
    </row>
    <row r="152">
      <c r="A152" s="39">
        <f>IFERROR(__xludf.DUMMYFUNCTION("""COMPUTED_VALUE"""),45995.78575862268)</f>
        <v>45995.78576</v>
      </c>
      <c r="B152" s="40" t="str">
        <f>IFERROR(__xludf.DUMMYFUNCTION("""COMPUTED_VALUE"""),"ESTER LUDJI")</f>
        <v>ESTER LUDJI</v>
      </c>
      <c r="C152" s="40" t="str">
        <f>IFERROR(__xludf.DUMMYFUNCTION("""COMPUTED_VALUE"""),"ACC")</f>
        <v>ACC</v>
      </c>
      <c r="D152" s="40" t="str">
        <f>IFERROR(__xludf.DUMMYFUNCTION("""COMPUTED_VALUE"""),"Y400 series")</f>
        <v>Y400 series</v>
      </c>
    </row>
    <row r="153">
      <c r="A153" s="39">
        <f>IFERROR(__xludf.DUMMYFUNCTION("""COMPUTED_VALUE"""),45995.80474835648)</f>
        <v>45995.80475</v>
      </c>
      <c r="B153" s="40" t="str">
        <f>IFERROR(__xludf.DUMMYFUNCTION("""COMPUTED_VALUE"""),"NOVLIANA BARBALINA MISA")</f>
        <v>NOVLIANA BARBALINA MISA</v>
      </c>
      <c r="C153" s="40" t="str">
        <f>IFERROR(__xludf.DUMMYFUNCTION("""COMPUTED_VALUE"""),"ACC")</f>
        <v>ACC</v>
      </c>
      <c r="D153" s="40" t="str">
        <f>IFERROR(__xludf.DUMMYFUNCTION("""COMPUTED_VALUE"""),"V60 Lite series")</f>
        <v>V60 Lite series</v>
      </c>
    </row>
    <row r="154">
      <c r="A154" s="39">
        <f>IFERROR(__xludf.DUMMYFUNCTION("""COMPUTED_VALUE"""),45995.818189328704)</f>
        <v>45995.81819</v>
      </c>
      <c r="B154" s="40" t="str">
        <f>IFERROR(__xludf.DUMMYFUNCTION("""COMPUTED_VALUE"""),"MARIA MELAN ANANCE BILI")</f>
        <v>MARIA MELAN ANANCE BILI</v>
      </c>
      <c r="C154" s="40" t="str">
        <f>IFERROR(__xludf.DUMMYFUNCTION("""COMPUTED_VALUE"""),"ACC")</f>
        <v>ACC</v>
      </c>
      <c r="D154" s="40" t="str">
        <f>IFERROR(__xludf.DUMMYFUNCTION("""COMPUTED_VALUE"""),"Y400 series")</f>
        <v>Y400 series</v>
      </c>
    </row>
    <row r="155">
      <c r="A155" s="39">
        <f>IFERROR(__xludf.DUMMYFUNCTION("""COMPUTED_VALUE"""),45995.83189736111)</f>
        <v>45995.8319</v>
      </c>
      <c r="B155" s="40" t="str">
        <f>IFERROR(__xludf.DUMMYFUNCTION("""COMPUTED_VALUE"""),"ASRI NINGSI RAMBU ATA ENDI")</f>
        <v>ASRI NINGSI RAMBU ATA ENDI</v>
      </c>
      <c r="C155" s="40" t="str">
        <f>IFERROR(__xludf.DUMMYFUNCTION("""COMPUTED_VALUE"""),"Belum disetujui")</f>
        <v>Belum disetujui</v>
      </c>
      <c r="D155" s="40"/>
    </row>
    <row r="156">
      <c r="A156" s="39">
        <f>IFERROR(__xludf.DUMMYFUNCTION("""COMPUTED_VALUE"""),45995.83743915509)</f>
        <v>45995.83744</v>
      </c>
      <c r="B156" s="40" t="str">
        <f>IFERROR(__xludf.DUMMYFUNCTION("""COMPUTED_VALUE"""),"ESTER LUDJI")</f>
        <v>ESTER LUDJI</v>
      </c>
      <c r="C156" s="40" t="str">
        <f>IFERROR(__xludf.DUMMYFUNCTION("""COMPUTED_VALUE"""),"Belum disetujui")</f>
        <v>Belum disetujui</v>
      </c>
      <c r="D156" s="40"/>
    </row>
    <row r="157">
      <c r="A157" s="39">
        <f>IFERROR(__xludf.DUMMYFUNCTION("""COMPUTED_VALUE"""),45995.870348553246)</f>
        <v>45995.87035</v>
      </c>
      <c r="B157" s="40" t="str">
        <f>IFERROR(__xludf.DUMMYFUNCTION("""COMPUTED_VALUE"""),"DEWI RAHMAN")</f>
        <v>DEWI RAHMAN</v>
      </c>
      <c r="C157" s="40" t="str">
        <f>IFERROR(__xludf.DUMMYFUNCTION("""COMPUTED_VALUE"""),"Belum disetujui")</f>
        <v>Belum disetujui</v>
      </c>
      <c r="D157" s="40"/>
    </row>
    <row r="158">
      <c r="A158" s="39">
        <f>IFERROR(__xludf.DUMMYFUNCTION("""COMPUTED_VALUE"""),45995.87105149306)</f>
        <v>45995.87105</v>
      </c>
      <c r="B158" s="40" t="str">
        <f>IFERROR(__xludf.DUMMYFUNCTION("""COMPUTED_VALUE"""),"WARDIA")</f>
        <v>WARDIA</v>
      </c>
      <c r="C158" s="40" t="str">
        <f>IFERROR(__xludf.DUMMYFUNCTION("""COMPUTED_VALUE"""),"Belum disetujui")</f>
        <v>Belum disetujui</v>
      </c>
      <c r="D158" s="40"/>
    </row>
    <row r="159">
      <c r="A159" s="39">
        <f>IFERROR(__xludf.DUMMYFUNCTION("""COMPUTED_VALUE"""),45995.88263393519)</f>
        <v>45995.88263</v>
      </c>
      <c r="B159" s="40" t="str">
        <f>IFERROR(__xludf.DUMMYFUNCTION("""COMPUTED_VALUE"""),"HERONIMUS NAMU WALI")</f>
        <v>HERONIMUS NAMU WALI</v>
      </c>
      <c r="C159" s="40" t="str">
        <f>IFERROR(__xludf.DUMMYFUNCTION("""COMPUTED_VALUE"""),"ACC")</f>
        <v>ACC</v>
      </c>
      <c r="D159" s="40" t="str">
        <f>IFERROR(__xludf.DUMMYFUNCTION("""COMPUTED_VALUE"""),"V60 Lite series")</f>
        <v>V60 Lite series</v>
      </c>
    </row>
    <row r="160">
      <c r="A160" s="39">
        <f>IFERROR(__xludf.DUMMYFUNCTION("""COMPUTED_VALUE"""),45995.912959699075)</f>
        <v>45995.91296</v>
      </c>
      <c r="B160" s="40" t="str">
        <f>IFERROR(__xludf.DUMMYFUNCTION("""COMPUTED_VALUE"""),"WINDRI MANOE")</f>
        <v>WINDRI MANOE</v>
      </c>
      <c r="C160" s="40" t="str">
        <f>IFERROR(__xludf.DUMMYFUNCTION("""COMPUTED_VALUE"""),"Belum disetujui")</f>
        <v>Belum disetujui</v>
      </c>
      <c r="D160" s="40"/>
    </row>
    <row r="161">
      <c r="A161" s="39">
        <f>IFERROR(__xludf.DUMMYFUNCTION("""COMPUTED_VALUE"""),45995.92299629629)</f>
        <v>45995.923</v>
      </c>
      <c r="B161" s="40" t="str">
        <f>IFERROR(__xludf.DUMMYFUNCTION("""COMPUTED_VALUE"""),"ROS YANE KANA LUDJI")</f>
        <v>ROS YANE KANA LUDJI</v>
      </c>
      <c r="C161" s="40" t="str">
        <f>IFERROR(__xludf.DUMMYFUNCTION("""COMPUTED_VALUE"""),"ACC")</f>
        <v>ACC</v>
      </c>
      <c r="D161" s="40" t="str">
        <f>IFERROR(__xludf.DUMMYFUNCTION("""COMPUTED_VALUE"""),"Y21d series")</f>
        <v>Y21d series</v>
      </c>
    </row>
    <row r="162">
      <c r="A162" s="39">
        <f>IFERROR(__xludf.DUMMYFUNCTION("""COMPUTED_VALUE"""),45996.417226111116)</f>
        <v>45996.41723</v>
      </c>
      <c r="B162" s="40" t="str">
        <f>IFERROR(__xludf.DUMMYFUNCTION("""COMPUTED_VALUE"""),"PUSPA ANGGREINI")</f>
        <v>PUSPA ANGGREINI</v>
      </c>
      <c r="C162" s="40" t="str">
        <f>IFERROR(__xludf.DUMMYFUNCTION("""COMPUTED_VALUE"""),"Belum disetujui")</f>
        <v>Belum disetujui</v>
      </c>
      <c r="D162" s="40"/>
    </row>
    <row r="163">
      <c r="A163" s="39">
        <f>IFERROR(__xludf.DUMMYFUNCTION("""COMPUTED_VALUE"""),45996.466726770836)</f>
        <v>45996.46673</v>
      </c>
      <c r="B163" s="40" t="str">
        <f>IFERROR(__xludf.DUMMYFUNCTION("""COMPUTED_VALUE"""),"EMPI FRANGKI LIEM")</f>
        <v>EMPI FRANGKI LIEM</v>
      </c>
      <c r="C163" s="40" t="str">
        <f>IFERROR(__xludf.DUMMYFUNCTION("""COMPUTED_VALUE"""),"Belum disetujui")</f>
        <v>Belum disetujui</v>
      </c>
      <c r="D163" s="40"/>
    </row>
    <row r="164">
      <c r="A164" s="39">
        <f>IFERROR(__xludf.DUMMYFUNCTION("""COMPUTED_VALUE"""),45996.47080290509)</f>
        <v>45996.4708</v>
      </c>
      <c r="B164" s="40" t="str">
        <f>IFERROR(__xludf.DUMMYFUNCTION("""COMPUTED_VALUE"""),"MARNITHA JUWIKE TIMORATI RUNESI")</f>
        <v>MARNITHA JUWIKE TIMORATI RUNESI</v>
      </c>
      <c r="C164" s="40" t="str">
        <f>IFERROR(__xludf.DUMMYFUNCTION("""COMPUTED_VALUE"""),"Belum disetujui")</f>
        <v>Belum disetujui</v>
      </c>
      <c r="D164" s="40"/>
    </row>
    <row r="165">
      <c r="A165" s="39">
        <f>IFERROR(__xludf.DUMMYFUNCTION("""COMPUTED_VALUE"""),45996.513632500006)</f>
        <v>45996.51363</v>
      </c>
      <c r="B165" s="40" t="str">
        <f>IFERROR(__xludf.DUMMYFUNCTION("""COMPUTED_VALUE"""),"MARATHA MARLINDA FANGGIDAE")</f>
        <v>MARATHA MARLINDA FANGGIDAE</v>
      </c>
      <c r="C165" s="40" t="str">
        <f>IFERROR(__xludf.DUMMYFUNCTION("""COMPUTED_VALUE"""),"ACC")</f>
        <v>ACC</v>
      </c>
      <c r="D165" s="40" t="str">
        <f>IFERROR(__xludf.DUMMYFUNCTION("""COMPUTED_VALUE"""),"Y21d series")</f>
        <v>Y21d series</v>
      </c>
    </row>
    <row r="166">
      <c r="A166" s="39">
        <f>IFERROR(__xludf.DUMMYFUNCTION("""COMPUTED_VALUE"""),45996.52655850694)</f>
        <v>45996.52656</v>
      </c>
      <c r="B166" s="40" t="str">
        <f>IFERROR(__xludf.DUMMYFUNCTION("""COMPUTED_VALUE"""),"ANAK AGUNG SRI WULANTIWI")</f>
        <v>ANAK AGUNG SRI WULANTIWI</v>
      </c>
      <c r="C166" s="40" t="str">
        <f>IFERROR(__xludf.DUMMYFUNCTION("""COMPUTED_VALUE"""),"Belum disetujui")</f>
        <v>Belum disetujui</v>
      </c>
      <c r="D166" s="40"/>
    </row>
    <row r="167">
      <c r="A167" s="39">
        <f>IFERROR(__xludf.DUMMYFUNCTION("""COMPUTED_VALUE"""),45996.527492546295)</f>
        <v>45996.52749</v>
      </c>
      <c r="B167" s="40" t="str">
        <f>IFERROR(__xludf.DUMMYFUNCTION("""COMPUTED_VALUE"""),"ALDIANA WELIA PANIE")</f>
        <v>ALDIANA WELIA PANIE</v>
      </c>
      <c r="C167" s="40" t="str">
        <f>IFERROR(__xludf.DUMMYFUNCTION("""COMPUTED_VALUE"""),"Belum disetujui")</f>
        <v>Belum disetujui</v>
      </c>
      <c r="D167" s="40"/>
    </row>
    <row r="168">
      <c r="A168" s="39">
        <f>IFERROR(__xludf.DUMMYFUNCTION("""COMPUTED_VALUE"""),45996.53171766204)</f>
        <v>45996.53172</v>
      </c>
      <c r="B168" s="40" t="str">
        <f>IFERROR(__xludf.DUMMYFUNCTION("""COMPUTED_VALUE"""),"YUNITA TAMELAB")</f>
        <v>YUNITA TAMELAB</v>
      </c>
      <c r="C168" s="40" t="str">
        <f>IFERROR(__xludf.DUMMYFUNCTION("""COMPUTED_VALUE"""),"ACC")</f>
        <v>ACC</v>
      </c>
      <c r="D168" s="40" t="str">
        <f>IFERROR(__xludf.DUMMYFUNCTION("""COMPUTED_VALUE"""),"Y21d series")</f>
        <v>Y21d series</v>
      </c>
    </row>
    <row r="169">
      <c r="A169" s="39">
        <f>IFERROR(__xludf.DUMMYFUNCTION("""COMPUTED_VALUE"""),45996.535503043975)</f>
        <v>45996.5355</v>
      </c>
      <c r="B169" s="40" t="str">
        <f>IFERROR(__xludf.DUMMYFUNCTION("""COMPUTED_VALUE"""),"NUR FATIMAH MOLBANG")</f>
        <v>NUR FATIMAH MOLBANG</v>
      </c>
      <c r="C169" s="40" t="str">
        <f>IFERROR(__xludf.DUMMYFUNCTION("""COMPUTED_VALUE"""),"Belum disetujui")</f>
        <v>Belum disetujui</v>
      </c>
      <c r="D169" s="40"/>
    </row>
    <row r="170">
      <c r="A170" s="39">
        <f>IFERROR(__xludf.DUMMYFUNCTION("""COMPUTED_VALUE"""),45996.53705710648)</f>
        <v>45996.53706</v>
      </c>
      <c r="B170" s="40" t="str">
        <f>IFERROR(__xludf.DUMMYFUNCTION("""COMPUTED_VALUE"""),"NUR FATIMAH MOLBANG")</f>
        <v>NUR FATIMAH MOLBANG</v>
      </c>
      <c r="C170" s="40" t="str">
        <f>IFERROR(__xludf.DUMMYFUNCTION("""COMPUTED_VALUE"""),"Belum disetujui")</f>
        <v>Belum disetujui</v>
      </c>
      <c r="D170" s="40"/>
    </row>
    <row r="171">
      <c r="A171" s="39">
        <f>IFERROR(__xludf.DUMMYFUNCTION("""COMPUTED_VALUE"""),45996.539250104164)</f>
        <v>45996.53925</v>
      </c>
      <c r="B171" s="40" t="str">
        <f>IFERROR(__xludf.DUMMYFUNCTION("""COMPUTED_VALUE"""),"ASRI NINGSI RAMBU ATA ENDI")</f>
        <v>ASRI NINGSI RAMBU ATA ENDI</v>
      </c>
      <c r="C171" s="40" t="str">
        <f>IFERROR(__xludf.DUMMYFUNCTION("""COMPUTED_VALUE"""),"ACC")</f>
        <v>ACC</v>
      </c>
      <c r="D171" s="40" t="str">
        <f>IFERROR(__xludf.DUMMYFUNCTION("""COMPUTED_VALUE"""),"Y400 series")</f>
        <v>Y400 series</v>
      </c>
    </row>
    <row r="172">
      <c r="A172" s="39">
        <f>IFERROR(__xludf.DUMMYFUNCTION("""COMPUTED_VALUE"""),45996.54023824075)</f>
        <v>45996.54024</v>
      </c>
      <c r="B172" s="40" t="str">
        <f>IFERROR(__xludf.DUMMYFUNCTION("""COMPUTED_VALUE"""),"NUR FATIMAH MOLBANG")</f>
        <v>NUR FATIMAH MOLBANG</v>
      </c>
      <c r="C172" s="40" t="str">
        <f>IFERROR(__xludf.DUMMYFUNCTION("""COMPUTED_VALUE"""),"Belum disetujui")</f>
        <v>Belum disetujui</v>
      </c>
      <c r="D172" s="40"/>
    </row>
    <row r="173">
      <c r="A173" s="39">
        <f>IFERROR(__xludf.DUMMYFUNCTION("""COMPUTED_VALUE"""),45996.54125711805)</f>
        <v>45996.54126</v>
      </c>
      <c r="B173" s="40" t="str">
        <f>IFERROR(__xludf.DUMMYFUNCTION("""COMPUTED_VALUE"""),"IDMAL YUSDIRAN YUSUF")</f>
        <v>IDMAL YUSDIRAN YUSUF</v>
      </c>
      <c r="C173" s="40" t="str">
        <f>IFERROR(__xludf.DUMMYFUNCTION("""COMPUTED_VALUE"""),"Belum disetujui")</f>
        <v>Belum disetujui</v>
      </c>
      <c r="D173" s="40"/>
    </row>
    <row r="174">
      <c r="A174" s="39">
        <f>IFERROR(__xludf.DUMMYFUNCTION("""COMPUTED_VALUE"""),45996.541924386576)</f>
        <v>45996.54192</v>
      </c>
      <c r="B174" s="40" t="str">
        <f>IFERROR(__xludf.DUMMYFUNCTION("""COMPUTED_VALUE"""),"ESTER LUDJI")</f>
        <v>ESTER LUDJI</v>
      </c>
      <c r="C174" s="40" t="str">
        <f>IFERROR(__xludf.DUMMYFUNCTION("""COMPUTED_VALUE"""),"Belum disetujui")</f>
        <v>Belum disetujui</v>
      </c>
      <c r="D174" s="40"/>
    </row>
    <row r="175">
      <c r="A175" s="39">
        <f>IFERROR(__xludf.DUMMYFUNCTION("""COMPUTED_VALUE"""),45996.54374988426)</f>
        <v>45996.54375</v>
      </c>
      <c r="B175" s="40" t="str">
        <f>IFERROR(__xludf.DUMMYFUNCTION("""COMPUTED_VALUE"""),"YUNITA TAMELAB")</f>
        <v>YUNITA TAMELAB</v>
      </c>
      <c r="C175" s="40" t="str">
        <f>IFERROR(__xludf.DUMMYFUNCTION("""COMPUTED_VALUE"""),"ACC")</f>
        <v>ACC</v>
      </c>
      <c r="D175" s="40" t="str">
        <f>IFERROR(__xludf.DUMMYFUNCTION("""COMPUTED_VALUE"""),"Y21d series")</f>
        <v>Y21d series</v>
      </c>
    </row>
    <row r="176">
      <c r="A176" s="39">
        <f>IFERROR(__xludf.DUMMYFUNCTION("""COMPUTED_VALUE"""),45996.582601759255)</f>
        <v>45996.5826</v>
      </c>
      <c r="B176" s="40" t="str">
        <f>IFERROR(__xludf.DUMMYFUNCTION("""COMPUTED_VALUE"""),"ADRIANA")</f>
        <v>ADRIANA</v>
      </c>
      <c r="C176" s="40" t="str">
        <f>IFERROR(__xludf.DUMMYFUNCTION("""COMPUTED_VALUE"""),"Belum disetujui")</f>
        <v>Belum disetujui</v>
      </c>
      <c r="D176" s="40"/>
    </row>
    <row r="177">
      <c r="A177" s="39">
        <f>IFERROR(__xludf.DUMMYFUNCTION("""COMPUTED_VALUE"""),45996.61163494213)</f>
        <v>45996.61163</v>
      </c>
      <c r="B177" s="40" t="str">
        <f>IFERROR(__xludf.DUMMYFUNCTION("""COMPUTED_VALUE"""),"LASTRIANA PALUS")</f>
        <v>LASTRIANA PALUS</v>
      </c>
      <c r="C177" s="40" t="str">
        <f>IFERROR(__xludf.DUMMYFUNCTION("""COMPUTED_VALUE"""),"Belum disetujui")</f>
        <v>Belum disetujui</v>
      </c>
      <c r="D177" s="40"/>
    </row>
    <row r="178">
      <c r="A178" s="39">
        <f>IFERROR(__xludf.DUMMYFUNCTION("""COMPUTED_VALUE"""),45996.61397839121)</f>
        <v>45996.61398</v>
      </c>
      <c r="B178" s="40" t="str">
        <f>IFERROR(__xludf.DUMMYFUNCTION("""COMPUTED_VALUE"""),"LASTRIANA PALUS")</f>
        <v>LASTRIANA PALUS</v>
      </c>
      <c r="C178" s="40" t="str">
        <f>IFERROR(__xludf.DUMMYFUNCTION("""COMPUTED_VALUE"""),"Belum disetujui")</f>
        <v>Belum disetujui</v>
      </c>
      <c r="D178" s="40"/>
    </row>
    <row r="179">
      <c r="A179" s="39">
        <f>IFERROR(__xludf.DUMMYFUNCTION("""COMPUTED_VALUE"""),45996.64542973379)</f>
        <v>45996.64543</v>
      </c>
      <c r="B179" s="40" t="str">
        <f>IFERROR(__xludf.DUMMYFUNCTION("""COMPUTED_VALUE"""),"WARDIA")</f>
        <v>WARDIA</v>
      </c>
      <c r="C179" s="40" t="str">
        <f>IFERROR(__xludf.DUMMYFUNCTION("""COMPUTED_VALUE"""),"Dapat limit tapi belum diproses")</f>
        <v>Dapat limit tapi belum diproses</v>
      </c>
      <c r="D179" s="40" t="str">
        <f>IFERROR(__xludf.DUMMYFUNCTION("""COMPUTED_VALUE"""),"Y21d series")</f>
        <v>Y21d series</v>
      </c>
    </row>
    <row r="180">
      <c r="A180" s="39">
        <f>IFERROR(__xludf.DUMMYFUNCTION("""COMPUTED_VALUE"""),45996.65242027778)</f>
        <v>45996.65242</v>
      </c>
      <c r="B180" s="40" t="str">
        <f>IFERROR(__xludf.DUMMYFUNCTION("""COMPUTED_VALUE"""),"YOMELIANA MARIA MAGNO")</f>
        <v>YOMELIANA MARIA MAGNO</v>
      </c>
      <c r="C180" s="40" t="str">
        <f>IFERROR(__xludf.DUMMYFUNCTION("""COMPUTED_VALUE"""),"Belum disetujui")</f>
        <v>Belum disetujui</v>
      </c>
      <c r="D180" s="40"/>
    </row>
    <row r="181">
      <c r="A181" s="39">
        <f>IFERROR(__xludf.DUMMYFUNCTION("""COMPUTED_VALUE"""),45996.661874583326)</f>
        <v>45996.66187</v>
      </c>
      <c r="B181" s="40" t="str">
        <f>IFERROR(__xludf.DUMMYFUNCTION("""COMPUTED_VALUE"""),"HERONIMUS NAMU WALI")</f>
        <v>HERONIMUS NAMU WALI</v>
      </c>
      <c r="C181" s="40" t="str">
        <f>IFERROR(__xludf.DUMMYFUNCTION("""COMPUTED_VALUE"""),"ACC")</f>
        <v>ACC</v>
      </c>
      <c r="D181" s="40" t="str">
        <f>IFERROR(__xludf.DUMMYFUNCTION("""COMPUTED_VALUE"""),"Y400 series")</f>
        <v>Y400 series</v>
      </c>
    </row>
    <row r="182">
      <c r="A182" s="39">
        <f>IFERROR(__xludf.DUMMYFUNCTION("""COMPUTED_VALUE"""),45996.68831283565)</f>
        <v>45996.68831</v>
      </c>
      <c r="B182" s="40" t="str">
        <f>IFERROR(__xludf.DUMMYFUNCTION("""COMPUTED_VALUE"""),"SULIS NURAINI INSYATUN")</f>
        <v>SULIS NURAINI INSYATUN</v>
      </c>
      <c r="C182" s="40" t="str">
        <f>IFERROR(__xludf.DUMMYFUNCTION("""COMPUTED_VALUE"""),"Belum disetujui")</f>
        <v>Belum disetujui</v>
      </c>
      <c r="D182" s="40"/>
    </row>
    <row r="183">
      <c r="A183" s="39">
        <f>IFERROR(__xludf.DUMMYFUNCTION("""COMPUTED_VALUE"""),45996.722003634255)</f>
        <v>45996.722</v>
      </c>
      <c r="B183" s="40" t="str">
        <f>IFERROR(__xludf.DUMMYFUNCTION("""COMPUTED_VALUE"""),"LASTRIANA PALUS")</f>
        <v>LASTRIANA PALUS</v>
      </c>
      <c r="C183" s="40" t="str">
        <f>IFERROR(__xludf.DUMMYFUNCTION("""COMPUTED_VALUE"""),"Belum disetujui")</f>
        <v>Belum disetujui</v>
      </c>
      <c r="D183" s="40"/>
    </row>
    <row r="184">
      <c r="A184" s="39">
        <f>IFERROR(__xludf.DUMMYFUNCTION("""COMPUTED_VALUE"""),45996.7256158449)</f>
        <v>45996.72562</v>
      </c>
      <c r="B184" s="40" t="str">
        <f>IFERROR(__xludf.DUMMYFUNCTION("""COMPUTED_VALUE"""),"MARNITHA JUWIKE TIMORATI RUNESI")</f>
        <v>MARNITHA JUWIKE TIMORATI RUNESI</v>
      </c>
      <c r="C184" s="40" t="str">
        <f>IFERROR(__xludf.DUMMYFUNCTION("""COMPUTED_VALUE"""),"Belum disetujui")</f>
        <v>Belum disetujui</v>
      </c>
      <c r="D184" s="40"/>
    </row>
    <row r="185">
      <c r="A185" s="39">
        <f>IFERROR(__xludf.DUMMYFUNCTION("""COMPUTED_VALUE"""),45996.739580625)</f>
        <v>45996.73958</v>
      </c>
      <c r="B185" s="40" t="str">
        <f>IFERROR(__xludf.DUMMYFUNCTION("""COMPUTED_VALUE"""),"MARNITHA JUWIKE TIMORATI RUNESI")</f>
        <v>MARNITHA JUWIKE TIMORATI RUNESI</v>
      </c>
      <c r="C185" s="40" t="str">
        <f>IFERROR(__xludf.DUMMYFUNCTION("""COMPUTED_VALUE"""),"Belum disetujui")</f>
        <v>Belum disetujui</v>
      </c>
      <c r="D185" s="40"/>
    </row>
    <row r="186">
      <c r="A186" s="39">
        <f>IFERROR(__xludf.DUMMYFUNCTION("""COMPUTED_VALUE"""),45996.77892236111)</f>
        <v>45996.77892</v>
      </c>
      <c r="B186" s="40" t="str">
        <f>IFERROR(__xludf.DUMMYFUNCTION("""COMPUTED_VALUE"""),"NUR FATIMAH MOLBANG")</f>
        <v>NUR FATIMAH MOLBANG</v>
      </c>
      <c r="C186" s="40" t="str">
        <f>IFERROR(__xludf.DUMMYFUNCTION("""COMPUTED_VALUE"""),"Belum disetujui")</f>
        <v>Belum disetujui</v>
      </c>
      <c r="D186" s="40"/>
    </row>
    <row r="187">
      <c r="A187" s="39">
        <f>IFERROR(__xludf.DUMMYFUNCTION("""COMPUTED_VALUE"""),45996.78195614583)</f>
        <v>45996.78196</v>
      </c>
      <c r="B187" s="40" t="str">
        <f>IFERROR(__xludf.DUMMYFUNCTION("""COMPUTED_VALUE"""),"BERGITHA NIA OLIN")</f>
        <v>BERGITHA NIA OLIN</v>
      </c>
      <c r="C187" s="40" t="str">
        <f>IFERROR(__xludf.DUMMYFUNCTION("""COMPUTED_VALUE"""),"Dapat limit tapi belum diproses")</f>
        <v>Dapat limit tapi belum diproses</v>
      </c>
      <c r="D187" s="40" t="str">
        <f>IFERROR(__xludf.DUMMYFUNCTION("""COMPUTED_VALUE"""),"Y21d series")</f>
        <v>Y21d series</v>
      </c>
    </row>
    <row r="188">
      <c r="A188" s="39">
        <f>IFERROR(__xludf.DUMMYFUNCTION("""COMPUTED_VALUE"""),45996.78392248842)</f>
        <v>45996.78392</v>
      </c>
      <c r="B188" s="40" t="str">
        <f>IFERROR(__xludf.DUMMYFUNCTION("""COMPUTED_VALUE"""),"PATRIANI MENGI ULY")</f>
        <v>PATRIANI MENGI ULY</v>
      </c>
      <c r="C188" s="40" t="str">
        <f>IFERROR(__xludf.DUMMYFUNCTION("""COMPUTED_VALUE"""),"Belum disetujui")</f>
        <v>Belum disetujui</v>
      </c>
      <c r="D188" s="40"/>
    </row>
    <row r="189">
      <c r="A189" s="39">
        <f>IFERROR(__xludf.DUMMYFUNCTION("""COMPUTED_VALUE"""),45996.80262891204)</f>
        <v>45996.80263</v>
      </c>
      <c r="B189" s="40" t="str">
        <f>IFERROR(__xludf.DUMMYFUNCTION("""COMPUTED_VALUE"""),"ESTER LUDJI")</f>
        <v>ESTER LUDJI</v>
      </c>
      <c r="C189" s="40" t="str">
        <f>IFERROR(__xludf.DUMMYFUNCTION("""COMPUTED_VALUE"""),"ACC")</f>
        <v>ACC</v>
      </c>
      <c r="D189" s="40" t="str">
        <f>IFERROR(__xludf.DUMMYFUNCTION("""COMPUTED_VALUE"""),"Y21d series")</f>
        <v>Y21d series</v>
      </c>
    </row>
    <row r="190">
      <c r="A190" s="39">
        <f>IFERROR(__xludf.DUMMYFUNCTION("""COMPUTED_VALUE"""),45996.812503657406)</f>
        <v>45996.8125</v>
      </c>
      <c r="B190" s="40" t="str">
        <f>IFERROR(__xludf.DUMMYFUNCTION("""COMPUTED_VALUE"""),"DEWI RAHMAN")</f>
        <v>DEWI RAHMAN</v>
      </c>
      <c r="C190" s="40" t="str">
        <f>IFERROR(__xludf.DUMMYFUNCTION("""COMPUTED_VALUE"""),"ACC")</f>
        <v>ACC</v>
      </c>
      <c r="D190" s="40" t="str">
        <f>IFERROR(__xludf.DUMMYFUNCTION("""COMPUTED_VALUE"""),"Y400 series")</f>
        <v>Y400 series</v>
      </c>
    </row>
    <row r="191">
      <c r="A191" s="39">
        <f>IFERROR(__xludf.DUMMYFUNCTION("""COMPUTED_VALUE"""),45996.82035685185)</f>
        <v>45996.82036</v>
      </c>
      <c r="B191" s="40" t="str">
        <f>IFERROR(__xludf.DUMMYFUNCTION("""COMPUTED_VALUE"""),"MEXY ALEXANDER HETMINA")</f>
        <v>MEXY ALEXANDER HETMINA</v>
      </c>
      <c r="C191" s="40" t="str">
        <f>IFERROR(__xludf.DUMMYFUNCTION("""COMPUTED_VALUE"""),"Belum disetujui")</f>
        <v>Belum disetujui</v>
      </c>
      <c r="D191" s="40"/>
    </row>
    <row r="192">
      <c r="A192" s="39">
        <f>IFERROR(__xludf.DUMMYFUNCTION("""COMPUTED_VALUE"""),45996.820818900465)</f>
        <v>45996.82082</v>
      </c>
      <c r="B192" s="40" t="str">
        <f>IFERROR(__xludf.DUMMYFUNCTION("""COMPUTED_VALUE"""),"ADRIANA")</f>
        <v>ADRIANA</v>
      </c>
      <c r="C192" s="40" t="str">
        <f>IFERROR(__xludf.DUMMYFUNCTION("""COMPUTED_VALUE"""),"Dapat limit tapi belum diproses")</f>
        <v>Dapat limit tapi belum diproses</v>
      </c>
      <c r="D192" s="40" t="str">
        <f>IFERROR(__xludf.DUMMYFUNCTION("""COMPUTED_VALUE"""),"V60 series")</f>
        <v>V60 series</v>
      </c>
    </row>
    <row r="193">
      <c r="A193" s="39">
        <f>IFERROR(__xludf.DUMMYFUNCTION("""COMPUTED_VALUE"""),45996.82265112269)</f>
        <v>45996.82265</v>
      </c>
      <c r="B193" s="40" t="str">
        <f>IFERROR(__xludf.DUMMYFUNCTION("""COMPUTED_VALUE"""),"ADRIANA")</f>
        <v>ADRIANA</v>
      </c>
      <c r="C193" s="40" t="str">
        <f>IFERROR(__xludf.DUMMYFUNCTION("""COMPUTED_VALUE"""),"Dapat limit tapi belum diproses")</f>
        <v>Dapat limit tapi belum diproses</v>
      </c>
      <c r="D193" s="40" t="str">
        <f>IFERROR(__xludf.DUMMYFUNCTION("""COMPUTED_VALUE"""),"Y21d series")</f>
        <v>Y21d series</v>
      </c>
    </row>
    <row r="194">
      <c r="A194" s="39">
        <f>IFERROR(__xludf.DUMMYFUNCTION("""COMPUTED_VALUE"""),45996.83367738426)</f>
        <v>45996.83368</v>
      </c>
      <c r="B194" s="40" t="str">
        <f>IFERROR(__xludf.DUMMYFUNCTION("""COMPUTED_VALUE"""),"ANITA ANA AMAH")</f>
        <v>ANITA ANA AMAH</v>
      </c>
      <c r="C194" s="40" t="str">
        <f>IFERROR(__xludf.DUMMYFUNCTION("""COMPUTED_VALUE"""),"Belum disetujui")</f>
        <v>Belum disetujui</v>
      </c>
      <c r="D194" s="40"/>
    </row>
    <row r="195">
      <c r="A195" s="39">
        <f>IFERROR(__xludf.DUMMYFUNCTION("""COMPUTED_VALUE"""),45996.860518217596)</f>
        <v>45996.86052</v>
      </c>
      <c r="B195" s="40" t="str">
        <f>IFERROR(__xludf.DUMMYFUNCTION("""COMPUTED_VALUE"""),"EMPI FRANGKI LIEM")</f>
        <v>EMPI FRANGKI LIEM</v>
      </c>
      <c r="C195" s="40" t="str">
        <f>IFERROR(__xludf.DUMMYFUNCTION("""COMPUTED_VALUE"""),"ACC")</f>
        <v>ACC</v>
      </c>
      <c r="D195" s="40" t="str">
        <f>IFERROR(__xludf.DUMMYFUNCTION("""COMPUTED_VALUE"""),"Y400 series")</f>
        <v>Y400 series</v>
      </c>
    </row>
    <row r="196">
      <c r="A196" s="39">
        <f>IFERROR(__xludf.DUMMYFUNCTION("""COMPUTED_VALUE"""),45996.86687740741)</f>
        <v>45996.86688</v>
      </c>
      <c r="B196" s="40" t="str">
        <f>IFERROR(__xludf.DUMMYFUNCTION("""COMPUTED_VALUE"""),"ANAK AGUNG SRI WULANTIWI")</f>
        <v>ANAK AGUNG SRI WULANTIWI</v>
      </c>
      <c r="C196" s="40" t="str">
        <f>IFERROR(__xludf.DUMMYFUNCTION("""COMPUTED_VALUE"""),"ACC")</f>
        <v>ACC</v>
      </c>
      <c r="D196" s="40" t="str">
        <f>IFERROR(__xludf.DUMMYFUNCTION("""COMPUTED_VALUE"""),"Y21d series")</f>
        <v>Y21d series</v>
      </c>
    </row>
    <row r="197">
      <c r="A197" s="39">
        <f>IFERROR(__xludf.DUMMYFUNCTION("""COMPUTED_VALUE"""),45996.88487090277)</f>
        <v>45996.88487</v>
      </c>
      <c r="B197" s="40" t="str">
        <f>IFERROR(__xludf.DUMMYFUNCTION("""COMPUTED_VALUE"""),"AINI RAHMATINI NATALIA MOESTAKIM")</f>
        <v>AINI RAHMATINI NATALIA MOESTAKIM</v>
      </c>
      <c r="C197" s="40" t="str">
        <f>IFERROR(__xludf.DUMMYFUNCTION("""COMPUTED_VALUE"""),"Belum disetujui")</f>
        <v>Belum disetujui</v>
      </c>
      <c r="D197" s="40"/>
    </row>
    <row r="198">
      <c r="A198" s="39">
        <f>IFERROR(__xludf.DUMMYFUNCTION("""COMPUTED_VALUE"""),45996.88855224537)</f>
        <v>45996.88855</v>
      </c>
      <c r="B198" s="40" t="str">
        <f>IFERROR(__xludf.DUMMYFUNCTION("""COMPUTED_VALUE"""),"AINI RAHMATINI NATALIA MOESTAKIM")</f>
        <v>AINI RAHMATINI NATALIA MOESTAKIM</v>
      </c>
      <c r="C198" s="40" t="str">
        <f>IFERROR(__xludf.DUMMYFUNCTION("""COMPUTED_VALUE"""),"Belum disetujui")</f>
        <v>Belum disetujui</v>
      </c>
      <c r="D198" s="40"/>
    </row>
    <row r="199">
      <c r="A199" s="39">
        <f>IFERROR(__xludf.DUMMYFUNCTION("""COMPUTED_VALUE"""),45996.952081944444)</f>
        <v>45996.95208</v>
      </c>
      <c r="B199" s="40" t="str">
        <f>IFERROR(__xludf.DUMMYFUNCTION("""COMPUTED_VALUE"""),"ANYARMITHA SOPHIA SUEK")</f>
        <v>ANYARMITHA SOPHIA SUEK</v>
      </c>
      <c r="C199" s="40" t="str">
        <f>IFERROR(__xludf.DUMMYFUNCTION("""COMPUTED_VALUE"""),"Belum disetujui")</f>
        <v>Belum disetujui</v>
      </c>
      <c r="D199" s="40"/>
    </row>
    <row r="200">
      <c r="A200" s="39">
        <f>IFERROR(__xludf.DUMMYFUNCTION("""COMPUTED_VALUE"""),45997.42670952546)</f>
        <v>45997.42671</v>
      </c>
      <c r="B200" s="40" t="str">
        <f>IFERROR(__xludf.DUMMYFUNCTION("""COMPUTED_VALUE"""),"DEWI RAHMAN")</f>
        <v>DEWI RAHMAN</v>
      </c>
      <c r="C200" s="40" t="str">
        <f>IFERROR(__xludf.DUMMYFUNCTION("""COMPUTED_VALUE"""),"ACC")</f>
        <v>ACC</v>
      </c>
      <c r="D200" s="40" t="str">
        <f>IFERROR(__xludf.DUMMYFUNCTION("""COMPUTED_VALUE"""),"Y21d series")</f>
        <v>Y21d series</v>
      </c>
    </row>
    <row r="201">
      <c r="A201" s="39">
        <f>IFERROR(__xludf.DUMMYFUNCTION("""COMPUTED_VALUE"""),45997.43634043981)</f>
        <v>45997.43634</v>
      </c>
      <c r="B201" s="40" t="str">
        <f>IFERROR(__xludf.DUMMYFUNCTION("""COMPUTED_VALUE"""),"ALDIANA WELIA PANIE")</f>
        <v>ALDIANA WELIA PANIE</v>
      </c>
      <c r="C201" s="40" t="str">
        <f>IFERROR(__xludf.DUMMYFUNCTION("""COMPUTED_VALUE"""),"Belum disetujui")</f>
        <v>Belum disetujui</v>
      </c>
      <c r="D201" s="40"/>
    </row>
    <row r="202">
      <c r="A202" s="39">
        <f>IFERROR(__xludf.DUMMYFUNCTION("""COMPUTED_VALUE"""),45997.45388079861)</f>
        <v>45997.45388</v>
      </c>
      <c r="B202" s="40" t="str">
        <f>IFERROR(__xludf.DUMMYFUNCTION("""COMPUTED_VALUE"""),"NUR FATIMAH MOLBANG")</f>
        <v>NUR FATIMAH MOLBANG</v>
      </c>
      <c r="C202" s="40" t="str">
        <f>IFERROR(__xludf.DUMMYFUNCTION("""COMPUTED_VALUE"""),"Belum disetujui")</f>
        <v>Belum disetujui</v>
      </c>
      <c r="D202" s="40"/>
    </row>
    <row r="203">
      <c r="A203" s="39">
        <f>IFERROR(__xludf.DUMMYFUNCTION("""COMPUTED_VALUE"""),45997.473387696766)</f>
        <v>45997.47339</v>
      </c>
      <c r="B203" s="40" t="str">
        <f>IFERROR(__xludf.DUMMYFUNCTION("""COMPUTED_VALUE"""),"AMBU BAIQ JUMENAH")</f>
        <v>AMBU BAIQ JUMENAH</v>
      </c>
      <c r="C203" s="40" t="str">
        <f>IFERROR(__xludf.DUMMYFUNCTION("""COMPUTED_VALUE"""),"Belum disetujui")</f>
        <v>Belum disetujui</v>
      </c>
      <c r="D203" s="40"/>
    </row>
    <row r="204">
      <c r="A204" s="39">
        <f>IFERROR(__xludf.DUMMYFUNCTION("""COMPUTED_VALUE"""),45997.47649857639)</f>
        <v>45997.4765</v>
      </c>
      <c r="B204" s="40" t="str">
        <f>IFERROR(__xludf.DUMMYFUNCTION("""COMPUTED_VALUE"""),"MARIA MELAN ANANCE BILI")</f>
        <v>MARIA MELAN ANANCE BILI</v>
      </c>
      <c r="C204" s="40" t="str">
        <f>IFERROR(__xludf.DUMMYFUNCTION("""COMPUTED_VALUE"""),"Belum disetujui")</f>
        <v>Belum disetujui</v>
      </c>
      <c r="D204" s="40"/>
    </row>
    <row r="205">
      <c r="A205" s="39">
        <f>IFERROR(__xludf.DUMMYFUNCTION("""COMPUTED_VALUE"""),45997.47819037037)</f>
        <v>45997.47819</v>
      </c>
      <c r="B205" s="40" t="str">
        <f>IFERROR(__xludf.DUMMYFUNCTION("""COMPUTED_VALUE"""),"YOVANDA KATRINA NAE")</f>
        <v>YOVANDA KATRINA NAE</v>
      </c>
      <c r="C205" s="40" t="str">
        <f>IFERROR(__xludf.DUMMYFUNCTION("""COMPUTED_VALUE"""),"Belum disetujui")</f>
        <v>Belum disetujui</v>
      </c>
      <c r="D205" s="40"/>
    </row>
    <row r="206">
      <c r="A206" s="39">
        <f>IFERROR(__xludf.DUMMYFUNCTION("""COMPUTED_VALUE"""),45997.483259733795)</f>
        <v>45997.48326</v>
      </c>
      <c r="B206" s="40" t="str">
        <f>IFERROR(__xludf.DUMMYFUNCTION("""COMPUTED_VALUE"""),"EMPI FRANGKI LIEM")</f>
        <v>EMPI FRANGKI LIEM</v>
      </c>
      <c r="C206" s="40" t="str">
        <f>IFERROR(__xludf.DUMMYFUNCTION("""COMPUTED_VALUE"""),"Dapat limit tapi belum diproses")</f>
        <v>Dapat limit tapi belum diproses</v>
      </c>
      <c r="D206" s="40" t="str">
        <f>IFERROR(__xludf.DUMMYFUNCTION("""COMPUTED_VALUE"""),"Y21d series")</f>
        <v>Y21d series</v>
      </c>
    </row>
    <row r="207">
      <c r="A207" s="39">
        <f>IFERROR(__xludf.DUMMYFUNCTION("""COMPUTED_VALUE"""),45997.48912034722)</f>
        <v>45997.48912</v>
      </c>
      <c r="B207" s="40" t="str">
        <f>IFERROR(__xludf.DUMMYFUNCTION("""COMPUTED_VALUE"""),"SANTI MARIA LUKMINI NAHAK")</f>
        <v>SANTI MARIA LUKMINI NAHAK</v>
      </c>
      <c r="C207" s="40" t="str">
        <f>IFERROR(__xludf.DUMMYFUNCTION("""COMPUTED_VALUE"""),"Belum disetujui")</f>
        <v>Belum disetujui</v>
      </c>
      <c r="D207" s="40"/>
    </row>
    <row r="208">
      <c r="A208" s="39">
        <f>IFERROR(__xludf.DUMMYFUNCTION("""COMPUTED_VALUE"""),45997.52438074074)</f>
        <v>45997.52438</v>
      </c>
      <c r="B208" s="40" t="str">
        <f>IFERROR(__xludf.DUMMYFUNCTION("""COMPUTED_VALUE"""),"ASRI NINGSI RAMBU ATA ENDI")</f>
        <v>ASRI NINGSI RAMBU ATA ENDI</v>
      </c>
      <c r="C208" s="40" t="str">
        <f>IFERROR(__xludf.DUMMYFUNCTION("""COMPUTED_VALUE"""),"Belum disetujui")</f>
        <v>Belum disetujui</v>
      </c>
      <c r="D208" s="40"/>
    </row>
    <row r="209">
      <c r="A209" s="39">
        <f>IFERROR(__xludf.DUMMYFUNCTION("""COMPUTED_VALUE"""),45997.53753247685)</f>
        <v>45997.53753</v>
      </c>
      <c r="B209" s="40" t="str">
        <f>IFERROR(__xludf.DUMMYFUNCTION("""COMPUTED_VALUE"""),"ARMINDA TEKU MANEK")</f>
        <v>ARMINDA TEKU MANEK</v>
      </c>
      <c r="C209" s="40" t="str">
        <f>IFERROR(__xludf.DUMMYFUNCTION("""COMPUTED_VALUE"""),"Belum disetujui")</f>
        <v>Belum disetujui</v>
      </c>
      <c r="D209" s="40"/>
    </row>
    <row r="210">
      <c r="A210" s="39">
        <f>IFERROR(__xludf.DUMMYFUNCTION("""COMPUTED_VALUE"""),45997.538390127316)</f>
        <v>45997.53839</v>
      </c>
      <c r="B210" s="40" t="str">
        <f>IFERROR(__xludf.DUMMYFUNCTION("""COMPUTED_VALUE"""),"YUNITA TAMELAB")</f>
        <v>YUNITA TAMELAB</v>
      </c>
      <c r="C210" s="40" t="str">
        <f>IFERROR(__xludf.DUMMYFUNCTION("""COMPUTED_VALUE"""),"Belum disetujui")</f>
        <v>Belum disetujui</v>
      </c>
      <c r="D210" s="40"/>
    </row>
    <row r="211">
      <c r="A211" s="39">
        <f>IFERROR(__xludf.DUMMYFUNCTION("""COMPUTED_VALUE"""),45997.54011241898)</f>
        <v>45997.54011</v>
      </c>
      <c r="B211" s="40" t="str">
        <f>IFERROR(__xludf.DUMMYFUNCTION("""COMPUTED_VALUE"""),"MARATHA MARLINDA FANGGIDAE")</f>
        <v>MARATHA MARLINDA FANGGIDAE</v>
      </c>
      <c r="C211" s="40" t="str">
        <f>IFERROR(__xludf.DUMMYFUNCTION("""COMPUTED_VALUE"""),"ACC")</f>
        <v>ACC</v>
      </c>
      <c r="D211" s="40" t="str">
        <f>IFERROR(__xludf.DUMMYFUNCTION("""COMPUTED_VALUE"""),"Y21d series")</f>
        <v>Y21d series</v>
      </c>
    </row>
    <row r="212">
      <c r="A212" s="39">
        <f>IFERROR(__xludf.DUMMYFUNCTION("""COMPUTED_VALUE"""),45997.54388253473)</f>
        <v>45997.54388</v>
      </c>
      <c r="B212" s="40" t="str">
        <f>IFERROR(__xludf.DUMMYFUNCTION("""COMPUTED_VALUE"""),"ASRI NINGSI RAMBU ATA ENDI")</f>
        <v>ASRI NINGSI RAMBU ATA ENDI</v>
      </c>
      <c r="C212" s="40" t="str">
        <f>IFERROR(__xludf.DUMMYFUNCTION("""COMPUTED_VALUE"""),"Belum disetujui")</f>
        <v>Belum disetujui</v>
      </c>
      <c r="D212" s="40"/>
    </row>
    <row r="213">
      <c r="A213" s="39">
        <f>IFERROR(__xludf.DUMMYFUNCTION("""COMPUTED_VALUE"""),45997.55861313658)</f>
        <v>45997.55861</v>
      </c>
      <c r="B213" s="40" t="str">
        <f>IFERROR(__xludf.DUMMYFUNCTION("""COMPUTED_VALUE"""),"YOVANDA KATRINA NAE")</f>
        <v>YOVANDA KATRINA NAE</v>
      </c>
      <c r="C213" s="40" t="str">
        <f>IFERROR(__xludf.DUMMYFUNCTION("""COMPUTED_VALUE"""),"ACC")</f>
        <v>ACC</v>
      </c>
      <c r="D213" s="40" t="str">
        <f>IFERROR(__xludf.DUMMYFUNCTION("""COMPUTED_VALUE"""),"Y400 series")</f>
        <v>Y400 series</v>
      </c>
    </row>
    <row r="214">
      <c r="A214" s="39">
        <f>IFERROR(__xludf.DUMMYFUNCTION("""COMPUTED_VALUE"""),45997.56815574074)</f>
        <v>45997.56816</v>
      </c>
      <c r="B214" s="40" t="str">
        <f>IFERROR(__xludf.DUMMYFUNCTION("""COMPUTED_VALUE"""),"NUR FATIMAH MOLBANG")</f>
        <v>NUR FATIMAH MOLBANG</v>
      </c>
      <c r="C214" s="40" t="str">
        <f>IFERROR(__xludf.DUMMYFUNCTION("""COMPUTED_VALUE"""),"ACC")</f>
        <v>ACC</v>
      </c>
      <c r="D214" s="40" t="str">
        <f>IFERROR(__xludf.DUMMYFUNCTION("""COMPUTED_VALUE"""),"Y21d series")</f>
        <v>Y21d series</v>
      </c>
    </row>
    <row r="215">
      <c r="A215" s="39">
        <f>IFERROR(__xludf.DUMMYFUNCTION("""COMPUTED_VALUE"""),45997.57805881944)</f>
        <v>45997.57806</v>
      </c>
      <c r="B215" s="40" t="str">
        <f>IFERROR(__xludf.DUMMYFUNCTION("""COMPUTED_VALUE"""),"KESIA NATALIA I. BENU")</f>
        <v>KESIA NATALIA I. BENU</v>
      </c>
      <c r="C215" s="40" t="str">
        <f>IFERROR(__xludf.DUMMYFUNCTION("""COMPUTED_VALUE"""),"ACC")</f>
        <v>ACC</v>
      </c>
      <c r="D215" s="40" t="str">
        <f>IFERROR(__xludf.DUMMYFUNCTION("""COMPUTED_VALUE"""),"Y21d series")</f>
        <v>Y21d series</v>
      </c>
    </row>
    <row r="216">
      <c r="A216" s="39">
        <f>IFERROR(__xludf.DUMMYFUNCTION("""COMPUTED_VALUE"""),45997.587457407404)</f>
        <v>45997.58746</v>
      </c>
      <c r="B216" s="40" t="str">
        <f>IFERROR(__xludf.DUMMYFUNCTION("""COMPUTED_VALUE"""),"ANITA ANA AMAH")</f>
        <v>ANITA ANA AMAH</v>
      </c>
      <c r="C216" s="40" t="str">
        <f>IFERROR(__xludf.DUMMYFUNCTION("""COMPUTED_VALUE"""),"Belum disetujui")</f>
        <v>Belum disetujui</v>
      </c>
      <c r="D216" s="40"/>
    </row>
    <row r="217">
      <c r="A217" s="39">
        <f>IFERROR(__xludf.DUMMYFUNCTION("""COMPUTED_VALUE"""),45997.60909131944)</f>
        <v>45997.60909</v>
      </c>
      <c r="B217" s="40" t="str">
        <f>IFERROR(__xludf.DUMMYFUNCTION("""COMPUTED_VALUE"""),"NABILA RAHMAWATI")</f>
        <v>NABILA RAHMAWATI</v>
      </c>
      <c r="C217" s="40" t="str">
        <f>IFERROR(__xludf.DUMMYFUNCTION("""COMPUTED_VALUE"""),"ACC")</f>
        <v>ACC</v>
      </c>
      <c r="D217" s="40" t="str">
        <f>IFERROR(__xludf.DUMMYFUNCTION("""COMPUTED_VALUE"""),"Y21d series")</f>
        <v>Y21d series</v>
      </c>
    </row>
    <row r="218">
      <c r="A218" s="39">
        <f>IFERROR(__xludf.DUMMYFUNCTION("""COMPUTED_VALUE"""),45997.61122976852)</f>
        <v>45997.61123</v>
      </c>
      <c r="B218" s="40" t="str">
        <f>IFERROR(__xludf.DUMMYFUNCTION("""COMPUTED_VALUE"""),"NABILA RAHMAWATI")</f>
        <v>NABILA RAHMAWATI</v>
      </c>
      <c r="C218" s="40" t="str">
        <f>IFERROR(__xludf.DUMMYFUNCTION("""COMPUTED_VALUE"""),"Belum disetujui")</f>
        <v>Belum disetujui</v>
      </c>
      <c r="D218" s="40"/>
    </row>
    <row r="219">
      <c r="A219" s="39">
        <f>IFERROR(__xludf.DUMMYFUNCTION("""COMPUTED_VALUE"""),45997.624714259255)</f>
        <v>45997.62471</v>
      </c>
      <c r="B219" s="40" t="str">
        <f>IFERROR(__xludf.DUMMYFUNCTION("""COMPUTED_VALUE"""),"AZ ZAHRA SITI ZAINAB")</f>
        <v>AZ ZAHRA SITI ZAINAB</v>
      </c>
      <c r="C219" s="40" t="str">
        <f>IFERROR(__xludf.DUMMYFUNCTION("""COMPUTED_VALUE"""),"ACC")</f>
        <v>ACC</v>
      </c>
      <c r="D219" s="40" t="str">
        <f>IFERROR(__xludf.DUMMYFUNCTION("""COMPUTED_VALUE"""),"Y400 series")</f>
        <v>Y400 series</v>
      </c>
    </row>
    <row r="220">
      <c r="A220" s="39">
        <f>IFERROR(__xludf.DUMMYFUNCTION("""COMPUTED_VALUE"""),45997.633663043984)</f>
        <v>45997.63366</v>
      </c>
      <c r="B220" s="40" t="str">
        <f>IFERROR(__xludf.DUMMYFUNCTION("""COMPUTED_VALUE"""),"YUNITA TAMELAB")</f>
        <v>YUNITA TAMELAB</v>
      </c>
      <c r="C220" s="40" t="str">
        <f>IFERROR(__xludf.DUMMYFUNCTION("""COMPUTED_VALUE"""),"Belum disetujui")</f>
        <v>Belum disetujui</v>
      </c>
      <c r="D220" s="40"/>
    </row>
    <row r="221">
      <c r="A221" s="39">
        <f>IFERROR(__xludf.DUMMYFUNCTION("""COMPUTED_VALUE"""),45997.64939474537)</f>
        <v>45997.64939</v>
      </c>
      <c r="B221" s="40" t="str">
        <f>IFERROR(__xludf.DUMMYFUNCTION("""COMPUTED_VALUE"""),"YOMELIANA MARIA MAGNO")</f>
        <v>YOMELIANA MARIA MAGNO</v>
      </c>
      <c r="C221" s="40" t="str">
        <f>IFERROR(__xludf.DUMMYFUNCTION("""COMPUTED_VALUE"""),"Dapat limit tapi belum diproses")</f>
        <v>Dapat limit tapi belum diproses</v>
      </c>
      <c r="D221" s="40" t="str">
        <f>IFERROR(__xludf.DUMMYFUNCTION("""COMPUTED_VALUE"""),"Y21d series")</f>
        <v>Y21d series</v>
      </c>
    </row>
    <row r="222">
      <c r="A222" s="39">
        <f>IFERROR(__xludf.DUMMYFUNCTION("""COMPUTED_VALUE"""),45997.68860436343)</f>
        <v>45997.6886</v>
      </c>
      <c r="B222" s="40" t="str">
        <f>IFERROR(__xludf.DUMMYFUNCTION("""COMPUTED_VALUE"""),"NABILA RAHMAWATI")</f>
        <v>NABILA RAHMAWATI</v>
      </c>
      <c r="C222" s="40" t="str">
        <f>IFERROR(__xludf.DUMMYFUNCTION("""COMPUTED_VALUE"""),"Belum disetujui")</f>
        <v>Belum disetujui</v>
      </c>
      <c r="D222" s="40"/>
    </row>
    <row r="223">
      <c r="A223" s="39">
        <f>IFERROR(__xludf.DUMMYFUNCTION("""COMPUTED_VALUE"""),45997.70555863426)</f>
        <v>45997.70556</v>
      </c>
      <c r="B223" s="40" t="str">
        <f>IFERROR(__xludf.DUMMYFUNCTION("""COMPUTED_VALUE"""),"MARIA MELAN ANANCE BILI")</f>
        <v>MARIA MELAN ANANCE BILI</v>
      </c>
      <c r="C223" s="40" t="str">
        <f>IFERROR(__xludf.DUMMYFUNCTION("""COMPUTED_VALUE"""),"Belum disetujui")</f>
        <v>Belum disetujui</v>
      </c>
      <c r="D223" s="40"/>
    </row>
    <row r="224">
      <c r="A224" s="39">
        <f>IFERROR(__xludf.DUMMYFUNCTION("""COMPUTED_VALUE"""),45997.7084102662)</f>
        <v>45997.70841</v>
      </c>
      <c r="B224" s="40" t="str">
        <f>IFERROR(__xludf.DUMMYFUNCTION("""COMPUTED_VALUE"""),"DWITNEY PRETY WANGGANDIMA")</f>
        <v>DWITNEY PRETY WANGGANDIMA</v>
      </c>
      <c r="C224" s="40" t="str">
        <f>IFERROR(__xludf.DUMMYFUNCTION("""COMPUTED_VALUE"""),"Belum disetujui")</f>
        <v>Belum disetujui</v>
      </c>
      <c r="D224" s="40"/>
    </row>
    <row r="225">
      <c r="A225" s="39">
        <f>IFERROR(__xludf.DUMMYFUNCTION("""COMPUTED_VALUE"""),45997.7203117824)</f>
        <v>45997.72031</v>
      </c>
      <c r="B225" s="40" t="str">
        <f>IFERROR(__xludf.DUMMYFUNCTION("""COMPUTED_VALUE"""),"ESTER LUDJI")</f>
        <v>ESTER LUDJI</v>
      </c>
      <c r="C225" s="40" t="str">
        <f>IFERROR(__xludf.DUMMYFUNCTION("""COMPUTED_VALUE"""),"ACC")</f>
        <v>ACC</v>
      </c>
      <c r="D225" s="40" t="str">
        <f>IFERROR(__xludf.DUMMYFUNCTION("""COMPUTED_VALUE"""),"Y400 series")</f>
        <v>Y400 series</v>
      </c>
    </row>
    <row r="226">
      <c r="A226" s="39">
        <f>IFERROR(__xludf.DUMMYFUNCTION("""COMPUTED_VALUE"""),45997.72850596065)</f>
        <v>45997.72851</v>
      </c>
      <c r="B226" s="40" t="str">
        <f>IFERROR(__xludf.DUMMYFUNCTION("""COMPUTED_VALUE"""),"WARDIA")</f>
        <v>WARDIA</v>
      </c>
      <c r="C226" s="40" t="str">
        <f>IFERROR(__xludf.DUMMYFUNCTION("""COMPUTED_VALUE"""),"Belum disetujui")</f>
        <v>Belum disetujui</v>
      </c>
      <c r="D226" s="40"/>
    </row>
    <row r="227">
      <c r="A227" s="39">
        <f>IFERROR(__xludf.DUMMYFUNCTION("""COMPUTED_VALUE"""),45997.734667870376)</f>
        <v>45997.73467</v>
      </c>
      <c r="B227" s="40" t="str">
        <f>IFERROR(__xludf.DUMMYFUNCTION("""COMPUTED_VALUE"""),"ROS YANE KANA LUDJI")</f>
        <v>ROS YANE KANA LUDJI</v>
      </c>
      <c r="C227" s="40" t="str">
        <f>IFERROR(__xludf.DUMMYFUNCTION("""COMPUTED_VALUE"""),"Belum disetujui")</f>
        <v>Belum disetujui</v>
      </c>
      <c r="D227" s="40"/>
    </row>
    <row r="228">
      <c r="A228" s="39">
        <f>IFERROR(__xludf.DUMMYFUNCTION("""COMPUTED_VALUE"""),45997.74531574074)</f>
        <v>45997.74532</v>
      </c>
      <c r="B228" s="40" t="str">
        <f>IFERROR(__xludf.DUMMYFUNCTION("""COMPUTED_VALUE"""),"ROS YANE KANA LUDJI")</f>
        <v>ROS YANE KANA LUDJI</v>
      </c>
      <c r="C228" s="40" t="str">
        <f>IFERROR(__xludf.DUMMYFUNCTION("""COMPUTED_VALUE"""),"Belum disetujui")</f>
        <v>Belum disetujui</v>
      </c>
      <c r="D228" s="40"/>
    </row>
    <row r="229">
      <c r="A229" s="39">
        <f>IFERROR(__xludf.DUMMYFUNCTION("""COMPUTED_VALUE"""),45997.77187863426)</f>
        <v>45997.77188</v>
      </c>
      <c r="B229" s="40" t="str">
        <f>IFERROR(__xludf.DUMMYFUNCTION("""COMPUTED_VALUE"""),"WINDRI MANOE")</f>
        <v>WINDRI MANOE</v>
      </c>
      <c r="C229" s="40" t="str">
        <f>IFERROR(__xludf.DUMMYFUNCTION("""COMPUTED_VALUE"""),"Belum disetujui")</f>
        <v>Belum disetujui</v>
      </c>
      <c r="D229" s="40"/>
    </row>
    <row r="230">
      <c r="A230" s="39">
        <f>IFERROR(__xludf.DUMMYFUNCTION("""COMPUTED_VALUE"""),45997.77346552084)</f>
        <v>45997.77347</v>
      </c>
      <c r="B230" s="40" t="str">
        <f>IFERROR(__xludf.DUMMYFUNCTION("""COMPUTED_VALUE"""),"WINDRI MANOE")</f>
        <v>WINDRI MANOE</v>
      </c>
      <c r="C230" s="40" t="str">
        <f>IFERROR(__xludf.DUMMYFUNCTION("""COMPUTED_VALUE"""),"Belum disetujui")</f>
        <v>Belum disetujui</v>
      </c>
      <c r="D230" s="40"/>
    </row>
    <row r="231">
      <c r="A231" s="39">
        <f>IFERROR(__xludf.DUMMYFUNCTION("""COMPUTED_VALUE"""),45997.77506987268)</f>
        <v>45997.77507</v>
      </c>
      <c r="B231" s="40" t="str">
        <f>IFERROR(__xludf.DUMMYFUNCTION("""COMPUTED_VALUE"""),"WINDRI MANOE")</f>
        <v>WINDRI MANOE</v>
      </c>
      <c r="C231" s="40" t="str">
        <f>IFERROR(__xludf.DUMMYFUNCTION("""COMPUTED_VALUE"""),"Belum disetujui")</f>
        <v>Belum disetujui</v>
      </c>
      <c r="D231" s="40"/>
    </row>
    <row r="232">
      <c r="A232" s="39">
        <f>IFERROR(__xludf.DUMMYFUNCTION("""COMPUTED_VALUE"""),45997.77668077547)</f>
        <v>45997.77668</v>
      </c>
      <c r="B232" s="40" t="str">
        <f>IFERROR(__xludf.DUMMYFUNCTION("""COMPUTED_VALUE"""),"WINDRI MANOE")</f>
        <v>WINDRI MANOE</v>
      </c>
      <c r="C232" s="40" t="str">
        <f>IFERROR(__xludf.DUMMYFUNCTION("""COMPUTED_VALUE"""),"Belum disetujui")</f>
        <v>Belum disetujui</v>
      </c>
      <c r="D232" s="40"/>
    </row>
    <row r="233">
      <c r="A233" s="39">
        <f>IFERROR(__xludf.DUMMYFUNCTION("""COMPUTED_VALUE"""),45997.780448564816)</f>
        <v>45997.78045</v>
      </c>
      <c r="B233" s="40" t="str">
        <f>IFERROR(__xludf.DUMMYFUNCTION("""COMPUTED_VALUE"""),"MARNITHA JUWIKE TIMORATI RUNESI")</f>
        <v>MARNITHA JUWIKE TIMORATI RUNESI</v>
      </c>
      <c r="C233" s="40" t="str">
        <f>IFERROR(__xludf.DUMMYFUNCTION("""COMPUTED_VALUE"""),"Belum disetujui")</f>
        <v>Belum disetujui</v>
      </c>
      <c r="D233" s="40"/>
    </row>
    <row r="234">
      <c r="A234" s="39">
        <f>IFERROR(__xludf.DUMMYFUNCTION("""COMPUTED_VALUE"""),45997.79760498843)</f>
        <v>45997.7976</v>
      </c>
      <c r="B234" s="40" t="str">
        <f>IFERROR(__xludf.DUMMYFUNCTION("""COMPUTED_VALUE"""),"MEXY ALEXANDER HETMINA")</f>
        <v>MEXY ALEXANDER HETMINA</v>
      </c>
      <c r="C234" s="40" t="str">
        <f>IFERROR(__xludf.DUMMYFUNCTION("""COMPUTED_VALUE"""),"Belum disetujui")</f>
        <v>Belum disetujui</v>
      </c>
      <c r="D234" s="40"/>
    </row>
    <row r="235">
      <c r="A235" s="39">
        <f>IFERROR(__xludf.DUMMYFUNCTION("""COMPUTED_VALUE"""),45997.80201585648)</f>
        <v>45997.80202</v>
      </c>
      <c r="B235" s="40" t="str">
        <f>IFERROR(__xludf.DUMMYFUNCTION("""COMPUTED_VALUE"""),"WINDRI MANOE")</f>
        <v>WINDRI MANOE</v>
      </c>
      <c r="C235" s="40" t="str">
        <f>IFERROR(__xludf.DUMMYFUNCTION("""COMPUTED_VALUE"""),"Belum disetujui")</f>
        <v>Belum disetujui</v>
      </c>
      <c r="D235" s="40"/>
    </row>
    <row r="236">
      <c r="A236" s="39">
        <f>IFERROR(__xludf.DUMMYFUNCTION("""COMPUTED_VALUE"""),45997.81228100695)</f>
        <v>45997.81228</v>
      </c>
      <c r="B236" s="40" t="str">
        <f>IFERROR(__xludf.DUMMYFUNCTION("""COMPUTED_VALUE"""),"YOMELIANA MARIA MAGNO")</f>
        <v>YOMELIANA MARIA MAGNO</v>
      </c>
      <c r="C236" s="40" t="str">
        <f>IFERROR(__xludf.DUMMYFUNCTION("""COMPUTED_VALUE"""),"Dapat limit tapi belum diproses")</f>
        <v>Dapat limit tapi belum diproses</v>
      </c>
      <c r="D236" s="40" t="str">
        <f>IFERROR(__xludf.DUMMYFUNCTION("""COMPUTED_VALUE"""),"Y21d series")</f>
        <v>Y21d series</v>
      </c>
    </row>
    <row r="237">
      <c r="A237" s="39">
        <f>IFERROR(__xludf.DUMMYFUNCTION("""COMPUTED_VALUE"""),45997.81609937499)</f>
        <v>45997.8161</v>
      </c>
      <c r="B237" s="40" t="str">
        <f>IFERROR(__xludf.DUMMYFUNCTION("""COMPUTED_VALUE"""),"YOVANDA KATRINA NAE")</f>
        <v>YOVANDA KATRINA NAE</v>
      </c>
      <c r="C237" s="40" t="str">
        <f>IFERROR(__xludf.DUMMYFUNCTION("""COMPUTED_VALUE"""),"ACC")</f>
        <v>ACC</v>
      </c>
      <c r="D237" s="40" t="str">
        <f>IFERROR(__xludf.DUMMYFUNCTION("""COMPUTED_VALUE"""),"Y21d series")</f>
        <v>Y21d series</v>
      </c>
    </row>
    <row r="238">
      <c r="A238" s="39">
        <f>IFERROR(__xludf.DUMMYFUNCTION("""COMPUTED_VALUE"""),45997.821510393514)</f>
        <v>45997.82151</v>
      </c>
      <c r="B238" s="40" t="str">
        <f>IFERROR(__xludf.DUMMYFUNCTION("""COMPUTED_VALUE"""),"ADRIANA")</f>
        <v>ADRIANA</v>
      </c>
      <c r="C238" s="40" t="str">
        <f>IFERROR(__xludf.DUMMYFUNCTION("""COMPUTED_VALUE"""),"Belum disetujui")</f>
        <v>Belum disetujui</v>
      </c>
      <c r="D238" s="40"/>
    </row>
    <row r="239">
      <c r="A239" s="39">
        <f>IFERROR(__xludf.DUMMYFUNCTION("""COMPUTED_VALUE"""),45997.828237002315)</f>
        <v>45997.82824</v>
      </c>
      <c r="B239" s="40" t="str">
        <f>IFERROR(__xludf.DUMMYFUNCTION("""COMPUTED_VALUE"""),"MARNITHA JUWIKE TIMORATI RUNESI")</f>
        <v>MARNITHA JUWIKE TIMORATI RUNESI</v>
      </c>
      <c r="C239" s="40" t="str">
        <f>IFERROR(__xludf.DUMMYFUNCTION("""COMPUTED_VALUE"""),"Belum disetujui")</f>
        <v>Belum disetujui</v>
      </c>
      <c r="D239" s="40"/>
    </row>
    <row r="240">
      <c r="A240" s="39">
        <f>IFERROR(__xludf.DUMMYFUNCTION("""COMPUTED_VALUE"""),45997.83819278935)</f>
        <v>45997.83819</v>
      </c>
      <c r="B240" s="40" t="str">
        <f>IFERROR(__xludf.DUMMYFUNCTION("""COMPUTED_VALUE"""),"NENY MERLIANTI NA'U")</f>
        <v>NENY MERLIANTI NA'U</v>
      </c>
      <c r="C240" s="40" t="str">
        <f>IFERROR(__xludf.DUMMYFUNCTION("""COMPUTED_VALUE"""),"Belum disetujui")</f>
        <v>Belum disetujui</v>
      </c>
      <c r="D240" s="40"/>
    </row>
    <row r="241">
      <c r="A241" s="39">
        <f>IFERROR(__xludf.DUMMYFUNCTION("""COMPUTED_VALUE"""),45997.846657291666)</f>
        <v>45997.84666</v>
      </c>
      <c r="B241" s="40" t="str">
        <f>IFERROR(__xludf.DUMMYFUNCTION("""COMPUTED_VALUE"""),"MERDA PUTRI BUNGSU KENAT")</f>
        <v>MERDA PUTRI BUNGSU KENAT</v>
      </c>
      <c r="C241" s="40" t="str">
        <f>IFERROR(__xludf.DUMMYFUNCTION("""COMPUTED_VALUE"""),"ACC")</f>
        <v>ACC</v>
      </c>
      <c r="D241" s="40" t="str">
        <f>IFERROR(__xludf.DUMMYFUNCTION("""COMPUTED_VALUE"""),"Y400 series")</f>
        <v>Y400 series</v>
      </c>
    </row>
    <row r="242">
      <c r="A242" s="39">
        <f>IFERROR(__xludf.DUMMYFUNCTION("""COMPUTED_VALUE"""),45997.857422754634)</f>
        <v>45997.85742</v>
      </c>
      <c r="B242" s="40" t="str">
        <f>IFERROR(__xludf.DUMMYFUNCTION("""COMPUTED_VALUE"""),"YOHANIS TIPNONI")</f>
        <v>YOHANIS TIPNONI</v>
      </c>
      <c r="C242" s="40" t="str">
        <f>IFERROR(__xludf.DUMMYFUNCTION("""COMPUTED_VALUE"""),"Belum disetujui")</f>
        <v>Belum disetujui</v>
      </c>
      <c r="D242" s="40"/>
    </row>
    <row r="243">
      <c r="A243" s="39">
        <f>IFERROR(__xludf.DUMMYFUNCTION("""COMPUTED_VALUE"""),45997.87732719907)</f>
        <v>45997.87733</v>
      </c>
      <c r="B243" s="40" t="str">
        <f>IFERROR(__xludf.DUMMYFUNCTION("""COMPUTED_VALUE"""),"TERSIANA KADJA PAU")</f>
        <v>TERSIANA KADJA PAU</v>
      </c>
      <c r="C243" s="40" t="str">
        <f>IFERROR(__xludf.DUMMYFUNCTION("""COMPUTED_VALUE"""),"Belum disetujui")</f>
        <v>Belum disetujui</v>
      </c>
      <c r="D243" s="40"/>
    </row>
    <row r="244">
      <c r="A244" s="39">
        <f>IFERROR(__xludf.DUMMYFUNCTION("""COMPUTED_VALUE"""),45998.48102175926)</f>
        <v>45998.48102</v>
      </c>
      <c r="B244" s="40" t="str">
        <f>IFERROR(__xludf.DUMMYFUNCTION("""COMPUTED_VALUE"""),"AZ ZAHRA SITI ZAINAB")</f>
        <v>AZ ZAHRA SITI ZAINAB</v>
      </c>
      <c r="C244" s="40" t="str">
        <f>IFERROR(__xludf.DUMMYFUNCTION("""COMPUTED_VALUE"""),"ACC")</f>
        <v>ACC</v>
      </c>
      <c r="D244" s="40" t="str">
        <f>IFERROR(__xludf.DUMMYFUNCTION("""COMPUTED_VALUE"""),"Y21d series")</f>
        <v>Y21d series</v>
      </c>
    </row>
    <row r="245">
      <c r="A245" s="39">
        <f>IFERROR(__xludf.DUMMYFUNCTION("""COMPUTED_VALUE"""),45998.48248009259)</f>
        <v>45998.48248</v>
      </c>
      <c r="B245" s="40" t="str">
        <f>IFERROR(__xludf.DUMMYFUNCTION("""COMPUTED_VALUE"""),"AZ ZAHRA SITI ZAINAB")</f>
        <v>AZ ZAHRA SITI ZAINAB</v>
      </c>
      <c r="C245" s="40" t="str">
        <f>IFERROR(__xludf.DUMMYFUNCTION("""COMPUTED_VALUE"""),"Belum disetujui")</f>
        <v>Belum disetujui</v>
      </c>
      <c r="D245" s="40"/>
    </row>
    <row r="246">
      <c r="A246" s="39">
        <f>IFERROR(__xludf.DUMMYFUNCTION("""COMPUTED_VALUE"""),45998.64120935186)</f>
        <v>45998.64121</v>
      </c>
      <c r="B246" s="40" t="str">
        <f>IFERROR(__xludf.DUMMYFUNCTION("""COMPUTED_VALUE"""),"SULIS NURAINI INSYATUN")</f>
        <v>SULIS NURAINI INSYATUN</v>
      </c>
      <c r="C246" s="40" t="str">
        <f>IFERROR(__xludf.DUMMYFUNCTION("""COMPUTED_VALUE"""),"Belum disetujui")</f>
        <v>Belum disetujui</v>
      </c>
      <c r="D246" s="40"/>
    </row>
    <row r="247">
      <c r="A247" s="39">
        <f>IFERROR(__xludf.DUMMYFUNCTION("""COMPUTED_VALUE"""),45998.702564803236)</f>
        <v>45998.70256</v>
      </c>
      <c r="B247" s="40" t="str">
        <f>IFERROR(__xludf.DUMMYFUNCTION("""COMPUTED_VALUE"""),"AZ ZAHRA SITI ZAINAB")</f>
        <v>AZ ZAHRA SITI ZAINAB</v>
      </c>
      <c r="C247" s="40" t="str">
        <f>IFERROR(__xludf.DUMMYFUNCTION("""COMPUTED_VALUE"""),"ACC")</f>
        <v>ACC</v>
      </c>
      <c r="D247" s="40" t="str">
        <f>IFERROR(__xludf.DUMMYFUNCTION("""COMPUTED_VALUE"""),"Y400 series")</f>
        <v>Y400 series</v>
      </c>
    </row>
    <row r="248">
      <c r="A248" s="39">
        <f>IFERROR(__xludf.DUMMYFUNCTION("""COMPUTED_VALUE"""),45998.7091015625)</f>
        <v>45998.7091</v>
      </c>
      <c r="B248" s="40" t="str">
        <f>IFERROR(__xludf.DUMMYFUNCTION("""COMPUTED_VALUE"""),"ESTER LUDJI")</f>
        <v>ESTER LUDJI</v>
      </c>
      <c r="C248" s="40" t="str">
        <f>IFERROR(__xludf.DUMMYFUNCTION("""COMPUTED_VALUE"""),"Belum disetujui")</f>
        <v>Belum disetujui</v>
      </c>
      <c r="D248" s="40"/>
    </row>
    <row r="249">
      <c r="A249" s="39">
        <f>IFERROR(__xludf.DUMMYFUNCTION("""COMPUTED_VALUE"""),45998.86980577547)</f>
        <v>45998.86981</v>
      </c>
      <c r="B249" s="40" t="str">
        <f>IFERROR(__xludf.DUMMYFUNCTION("""COMPUTED_VALUE"""),"HERONIMUS NAMU WALI")</f>
        <v>HERONIMUS NAMU WALI</v>
      </c>
      <c r="C249" s="40" t="str">
        <f>IFERROR(__xludf.DUMMYFUNCTION("""COMPUTED_VALUE"""),"Belum disetujui")</f>
        <v>Belum disetujui</v>
      </c>
      <c r="D249" s="40"/>
    </row>
    <row r="250">
      <c r="A250" s="39">
        <f>IFERROR(__xludf.DUMMYFUNCTION("""COMPUTED_VALUE"""),45999.41123969907)</f>
        <v>45999.41124</v>
      </c>
      <c r="B250" s="40" t="str">
        <f>IFERROR(__xludf.DUMMYFUNCTION("""COMPUTED_VALUE"""),"PRETI SISILIA SILA")</f>
        <v>PRETI SISILIA SILA</v>
      </c>
      <c r="C250" s="40" t="str">
        <f>IFERROR(__xludf.DUMMYFUNCTION("""COMPUTED_VALUE"""),"Belum disetujui")</f>
        <v>Belum disetujui</v>
      </c>
      <c r="D250" s="40"/>
    </row>
    <row r="251">
      <c r="A251" s="39">
        <f>IFERROR(__xludf.DUMMYFUNCTION("""COMPUTED_VALUE"""),45999.42533203703)</f>
        <v>45999.42533</v>
      </c>
      <c r="B251" s="40" t="str">
        <f>IFERROR(__xludf.DUMMYFUNCTION("""COMPUTED_VALUE"""),"NABILA RAHMAWATI")</f>
        <v>NABILA RAHMAWATI</v>
      </c>
      <c r="C251" s="40" t="str">
        <f>IFERROR(__xludf.DUMMYFUNCTION("""COMPUTED_VALUE"""),"Dapat limit tapi belum diproses")</f>
        <v>Dapat limit tapi belum diproses</v>
      </c>
      <c r="D251" s="40" t="str">
        <f>IFERROR(__xludf.DUMMYFUNCTION("""COMPUTED_VALUE"""),"Y21d series")</f>
        <v>Y21d series</v>
      </c>
    </row>
    <row r="252">
      <c r="A252" s="39">
        <f>IFERROR(__xludf.DUMMYFUNCTION("""COMPUTED_VALUE"""),45999.426621481485)</f>
        <v>45999.42662</v>
      </c>
      <c r="B252" s="40" t="str">
        <f>IFERROR(__xludf.DUMMYFUNCTION("""COMPUTED_VALUE"""),"NABILA RAHMAWATI")</f>
        <v>NABILA RAHMAWATI</v>
      </c>
      <c r="C252" s="40" t="str">
        <f>IFERROR(__xludf.DUMMYFUNCTION("""COMPUTED_VALUE"""),"Belum disetujui")</f>
        <v>Belum disetujui</v>
      </c>
      <c r="D252" s="40"/>
    </row>
    <row r="253">
      <c r="A253" s="39">
        <f>IFERROR(__xludf.DUMMYFUNCTION("""COMPUTED_VALUE"""),45999.45061134259)</f>
        <v>45999.45061</v>
      </c>
      <c r="B253" s="40" t="str">
        <f>IFERROR(__xludf.DUMMYFUNCTION("""COMPUTED_VALUE"""),"PRETI SISILIA SILA")</f>
        <v>PRETI SISILIA SILA</v>
      </c>
      <c r="C253" s="40" t="str">
        <f>IFERROR(__xludf.DUMMYFUNCTION("""COMPUTED_VALUE"""),"Belum disetujui")</f>
        <v>Belum disetujui</v>
      </c>
      <c r="D253" s="40"/>
    </row>
    <row r="254">
      <c r="A254" s="39">
        <f>IFERROR(__xludf.DUMMYFUNCTION("""COMPUTED_VALUE"""),45999.46363702546)</f>
        <v>45999.46364</v>
      </c>
      <c r="B254" s="40" t="str">
        <f>IFERROR(__xludf.DUMMYFUNCTION("""COMPUTED_VALUE"""),"ARMINDA TEKU MANEK")</f>
        <v>ARMINDA TEKU MANEK</v>
      </c>
      <c r="C254" s="40" t="str">
        <f>IFERROR(__xludf.DUMMYFUNCTION("""COMPUTED_VALUE"""),"Belum disetujui")</f>
        <v>Belum disetujui</v>
      </c>
      <c r="D254" s="40"/>
    </row>
    <row r="255">
      <c r="A255" s="39">
        <f>IFERROR(__xludf.DUMMYFUNCTION("""COMPUTED_VALUE"""),45999.46550579862)</f>
        <v>45999.46551</v>
      </c>
      <c r="B255" s="40" t="str">
        <f>IFERROR(__xludf.DUMMYFUNCTION("""COMPUTED_VALUE"""),"ARMINDA TEKU MANEK")</f>
        <v>ARMINDA TEKU MANEK</v>
      </c>
      <c r="C255" s="40" t="str">
        <f>IFERROR(__xludf.DUMMYFUNCTION("""COMPUTED_VALUE"""),"Belum disetujui")</f>
        <v>Belum disetujui</v>
      </c>
      <c r="D255" s="40"/>
    </row>
    <row r="256">
      <c r="A256" s="39">
        <f>IFERROR(__xludf.DUMMYFUNCTION("""COMPUTED_VALUE"""),45999.46759760416)</f>
        <v>45999.4676</v>
      </c>
      <c r="B256" s="40" t="str">
        <f>IFERROR(__xludf.DUMMYFUNCTION("""COMPUTED_VALUE"""),"ARMINDA TEKU MANEK")</f>
        <v>ARMINDA TEKU MANEK</v>
      </c>
      <c r="C256" s="40" t="str">
        <f>IFERROR(__xludf.DUMMYFUNCTION("""COMPUTED_VALUE"""),"Belum disetujui")</f>
        <v>Belum disetujui</v>
      </c>
      <c r="D256" s="40"/>
    </row>
    <row r="257">
      <c r="A257" s="39">
        <f>IFERROR(__xludf.DUMMYFUNCTION("""COMPUTED_VALUE"""),45999.48285512732)</f>
        <v>45999.48286</v>
      </c>
      <c r="B257" s="40" t="str">
        <f>IFERROR(__xludf.DUMMYFUNCTION("""COMPUTED_VALUE"""),"ALDIANA WELIA PANIE")</f>
        <v>ALDIANA WELIA PANIE</v>
      </c>
      <c r="C257" s="40" t="str">
        <f>IFERROR(__xludf.DUMMYFUNCTION("""COMPUTED_VALUE"""),"ACC")</f>
        <v>ACC</v>
      </c>
      <c r="D257" s="40" t="str">
        <f>IFERROR(__xludf.DUMMYFUNCTION("""COMPUTED_VALUE"""),"Y400 series")</f>
        <v>Y400 series</v>
      </c>
    </row>
    <row r="258">
      <c r="A258" s="39">
        <f>IFERROR(__xludf.DUMMYFUNCTION("""COMPUTED_VALUE"""),45999.48578206018)</f>
        <v>45999.48578</v>
      </c>
      <c r="B258" s="40" t="str">
        <f>IFERROR(__xludf.DUMMYFUNCTION("""COMPUTED_VALUE"""),"AZ ZAHRA SITI ZAINAB")</f>
        <v>AZ ZAHRA SITI ZAINAB</v>
      </c>
      <c r="C258" s="40" t="str">
        <f>IFERROR(__xludf.DUMMYFUNCTION("""COMPUTED_VALUE"""),"Belum disetujui")</f>
        <v>Belum disetujui</v>
      </c>
      <c r="D258" s="40"/>
    </row>
    <row r="259">
      <c r="A259" s="39">
        <f>IFERROR(__xludf.DUMMYFUNCTION("""COMPUTED_VALUE"""),45999.491246921294)</f>
        <v>45999.49125</v>
      </c>
      <c r="B259" s="40" t="str">
        <f>IFERROR(__xludf.DUMMYFUNCTION("""COMPUTED_VALUE"""),"MARATHA MARLINDA FANGGIDAE")</f>
        <v>MARATHA MARLINDA FANGGIDAE</v>
      </c>
      <c r="C259" s="40" t="str">
        <f>IFERROR(__xludf.DUMMYFUNCTION("""COMPUTED_VALUE"""),"Belum disetujui")</f>
        <v>Belum disetujui</v>
      </c>
      <c r="D259" s="40"/>
    </row>
    <row r="260">
      <c r="A260" s="39">
        <f>IFERROR(__xludf.DUMMYFUNCTION("""COMPUTED_VALUE"""),45999.49874398149)</f>
        <v>45999.49874</v>
      </c>
      <c r="B260" s="40" t="str">
        <f>IFERROR(__xludf.DUMMYFUNCTION("""COMPUTED_VALUE"""),"MARIA MELAN ANANCE BILI")</f>
        <v>MARIA MELAN ANANCE BILI</v>
      </c>
      <c r="C260" s="40" t="str">
        <f>IFERROR(__xludf.DUMMYFUNCTION("""COMPUTED_VALUE"""),"Dapat limit tapi belum diproses")</f>
        <v>Dapat limit tapi belum diproses</v>
      </c>
      <c r="D260" s="40" t="str">
        <f>IFERROR(__xludf.DUMMYFUNCTION("""COMPUTED_VALUE"""),"Y400 series")</f>
        <v>Y400 series</v>
      </c>
    </row>
    <row r="261">
      <c r="A261" s="39">
        <f>IFERROR(__xludf.DUMMYFUNCTION("""COMPUTED_VALUE"""),45999.50130832176)</f>
        <v>45999.50131</v>
      </c>
      <c r="B261" s="40" t="str">
        <f>IFERROR(__xludf.DUMMYFUNCTION("""COMPUTED_VALUE"""),"ANGELA BOUKA BERI")</f>
        <v>ANGELA BOUKA BERI</v>
      </c>
      <c r="C261" s="40" t="str">
        <f>IFERROR(__xludf.DUMMYFUNCTION("""COMPUTED_VALUE"""),"Belum disetujui")</f>
        <v>Belum disetujui</v>
      </c>
      <c r="D261" s="40"/>
    </row>
    <row r="262">
      <c r="A262" s="39">
        <f>IFERROR(__xludf.DUMMYFUNCTION("""COMPUTED_VALUE"""),45999.50403215277)</f>
        <v>45999.50403</v>
      </c>
      <c r="B262" s="40" t="str">
        <f>IFERROR(__xludf.DUMMYFUNCTION("""COMPUTED_VALUE"""),"ANGELA BOUKA BERI")</f>
        <v>ANGELA BOUKA BERI</v>
      </c>
      <c r="C262" s="40" t="str">
        <f>IFERROR(__xludf.DUMMYFUNCTION("""COMPUTED_VALUE"""),"Belum disetujui")</f>
        <v>Belum disetujui</v>
      </c>
      <c r="D262" s="40"/>
    </row>
    <row r="263">
      <c r="A263" s="39">
        <f>IFERROR(__xludf.DUMMYFUNCTION("""COMPUTED_VALUE"""),45999.52671439815)</f>
        <v>45999.52671</v>
      </c>
      <c r="B263" s="40" t="str">
        <f>IFERROR(__xludf.DUMMYFUNCTION("""COMPUTED_VALUE"""),"AZ ZAHRA SITI ZAINAB")</f>
        <v>AZ ZAHRA SITI ZAINAB</v>
      </c>
      <c r="C263" s="40" t="str">
        <f>IFERROR(__xludf.DUMMYFUNCTION("""COMPUTED_VALUE"""),"ACC")</f>
        <v>ACC</v>
      </c>
      <c r="D263" s="40" t="str">
        <f>IFERROR(__xludf.DUMMYFUNCTION("""COMPUTED_VALUE"""),"Y21d series")</f>
        <v>Y21d series</v>
      </c>
    </row>
    <row r="264">
      <c r="A264" s="39">
        <f>IFERROR(__xludf.DUMMYFUNCTION("""COMPUTED_VALUE"""),45999.53493715278)</f>
        <v>45999.53494</v>
      </c>
      <c r="B264" s="40" t="str">
        <f>IFERROR(__xludf.DUMMYFUNCTION("""COMPUTED_VALUE"""),"PATRIANI MENGI ULY")</f>
        <v>PATRIANI MENGI ULY</v>
      </c>
      <c r="C264" s="40" t="str">
        <f>IFERROR(__xludf.DUMMYFUNCTION("""COMPUTED_VALUE"""),"Belum disetujui")</f>
        <v>Belum disetujui</v>
      </c>
      <c r="D264" s="40"/>
    </row>
    <row r="265">
      <c r="A265" s="39">
        <f>IFERROR(__xludf.DUMMYFUNCTION("""COMPUTED_VALUE"""),45999.55191084491)</f>
        <v>45999.55191</v>
      </c>
      <c r="B265" s="40" t="str">
        <f>IFERROR(__xludf.DUMMYFUNCTION("""COMPUTED_VALUE"""),"AZ ZAHRA SITI ZAINAB")</f>
        <v>AZ ZAHRA SITI ZAINAB</v>
      </c>
      <c r="C265" s="40" t="str">
        <f>IFERROR(__xludf.DUMMYFUNCTION("""COMPUTED_VALUE"""),"Belum disetujui")</f>
        <v>Belum disetujui</v>
      </c>
      <c r="D265" s="40"/>
    </row>
    <row r="266">
      <c r="A266" s="39">
        <f>IFERROR(__xludf.DUMMYFUNCTION("""COMPUTED_VALUE"""),45999.56019759259)</f>
        <v>45999.5602</v>
      </c>
      <c r="B266" s="40" t="str">
        <f>IFERROR(__xludf.DUMMYFUNCTION("""COMPUTED_VALUE"""),"AINI RAHMATINI NATALIA MOESTAKIM")</f>
        <v>AINI RAHMATINI NATALIA MOESTAKIM</v>
      </c>
      <c r="C266" s="40" t="str">
        <f>IFERROR(__xludf.DUMMYFUNCTION("""COMPUTED_VALUE"""),"Belum disetujui")</f>
        <v>Belum disetujui</v>
      </c>
      <c r="D266" s="40"/>
    </row>
    <row r="267">
      <c r="A267" s="39">
        <f>IFERROR(__xludf.DUMMYFUNCTION("""COMPUTED_VALUE"""),45999.56130194444)</f>
        <v>45999.5613</v>
      </c>
      <c r="B267" s="40" t="str">
        <f>IFERROR(__xludf.DUMMYFUNCTION("""COMPUTED_VALUE"""),"SANDRA LAU")</f>
        <v>SANDRA LAU</v>
      </c>
      <c r="C267" s="40" t="str">
        <f>IFERROR(__xludf.DUMMYFUNCTION("""COMPUTED_VALUE"""),"Belum disetujui")</f>
        <v>Belum disetujui</v>
      </c>
      <c r="D267" s="40"/>
    </row>
    <row r="268">
      <c r="A268" s="39">
        <f>IFERROR(__xludf.DUMMYFUNCTION("""COMPUTED_VALUE"""),45999.56226023148)</f>
        <v>45999.56226</v>
      </c>
      <c r="B268" s="40" t="str">
        <f>IFERROR(__xludf.DUMMYFUNCTION("""COMPUTED_VALUE"""),"SELVINCE BAKO")</f>
        <v>SELVINCE BAKO</v>
      </c>
      <c r="C268" s="40" t="str">
        <f>IFERROR(__xludf.DUMMYFUNCTION("""COMPUTED_VALUE"""),"Belum disetujui")</f>
        <v>Belum disetujui</v>
      </c>
      <c r="D268" s="40"/>
    </row>
    <row r="269">
      <c r="A269" s="39">
        <f>IFERROR(__xludf.DUMMYFUNCTION("""COMPUTED_VALUE"""),45999.56291025463)</f>
        <v>45999.56291</v>
      </c>
      <c r="B269" s="40" t="str">
        <f>IFERROR(__xludf.DUMMYFUNCTION("""COMPUTED_VALUE"""),"YUNITA TAMELAB")</f>
        <v>YUNITA TAMELAB</v>
      </c>
      <c r="C269" s="40" t="str">
        <f>IFERROR(__xludf.DUMMYFUNCTION("""COMPUTED_VALUE"""),"ACC")</f>
        <v>ACC</v>
      </c>
      <c r="D269" s="40" t="str">
        <f>IFERROR(__xludf.DUMMYFUNCTION("""COMPUTED_VALUE"""),"Y21d series")</f>
        <v>Y21d series</v>
      </c>
    </row>
    <row r="270">
      <c r="A270" s="39">
        <f>IFERROR(__xludf.DUMMYFUNCTION("""COMPUTED_VALUE"""),45999.56429894677)</f>
        <v>45999.5643</v>
      </c>
      <c r="B270" s="40" t="str">
        <f>IFERROR(__xludf.DUMMYFUNCTION("""COMPUTED_VALUE"""),"SANDRA LAU")</f>
        <v>SANDRA LAU</v>
      </c>
      <c r="C270" s="40" t="str">
        <f>IFERROR(__xludf.DUMMYFUNCTION("""COMPUTED_VALUE"""),"Belum disetujui")</f>
        <v>Belum disetujui</v>
      </c>
      <c r="D270" s="40"/>
    </row>
    <row r="271">
      <c r="A271" s="39">
        <f>IFERROR(__xludf.DUMMYFUNCTION("""COMPUTED_VALUE"""),45999.57469612269)</f>
        <v>45999.5747</v>
      </c>
      <c r="B271" s="40" t="str">
        <f>IFERROR(__xludf.DUMMYFUNCTION("""COMPUTED_VALUE"""),"MERDA PUTRI BUNGSU KENAT")</f>
        <v>MERDA PUTRI BUNGSU KENAT</v>
      </c>
      <c r="C271" s="40" t="str">
        <f>IFERROR(__xludf.DUMMYFUNCTION("""COMPUTED_VALUE"""),"Belum disetujui")</f>
        <v>Belum disetujui</v>
      </c>
      <c r="D271" s="40"/>
    </row>
    <row r="272">
      <c r="A272" s="39">
        <f>IFERROR(__xludf.DUMMYFUNCTION("""COMPUTED_VALUE"""),45999.577912395835)</f>
        <v>45999.57791</v>
      </c>
      <c r="B272" s="40" t="str">
        <f>IFERROR(__xludf.DUMMYFUNCTION("""COMPUTED_VALUE"""),"MERDA PUTRI BUNGSU KENAT")</f>
        <v>MERDA PUTRI BUNGSU KENAT</v>
      </c>
      <c r="C272" s="40" t="str">
        <f>IFERROR(__xludf.DUMMYFUNCTION("""COMPUTED_VALUE"""),"Belum disetujui")</f>
        <v>Belum disetujui</v>
      </c>
      <c r="D272" s="40"/>
    </row>
    <row r="273">
      <c r="A273" s="39">
        <f>IFERROR(__xludf.DUMMYFUNCTION("""COMPUTED_VALUE"""),45999.59573090278)</f>
        <v>45999.59573</v>
      </c>
      <c r="B273" s="40" t="str">
        <f>IFERROR(__xludf.DUMMYFUNCTION("""COMPUTED_VALUE"""),"MARNITHA JUWIKE TIMORATI RUNESI")</f>
        <v>MARNITHA JUWIKE TIMORATI RUNESI</v>
      </c>
      <c r="C273" s="40" t="str">
        <f>IFERROR(__xludf.DUMMYFUNCTION("""COMPUTED_VALUE"""),"Belum disetujui")</f>
        <v>Belum disetujui</v>
      </c>
      <c r="D273" s="40"/>
    </row>
    <row r="274">
      <c r="A274" s="39">
        <f>IFERROR(__xludf.DUMMYFUNCTION("""COMPUTED_VALUE"""),45999.636121261574)</f>
        <v>45999.63612</v>
      </c>
      <c r="B274" s="40" t="str">
        <f>IFERROR(__xludf.DUMMYFUNCTION("""COMPUTED_VALUE"""),"ANYARMITHA SOPHIA SUEK")</f>
        <v>ANYARMITHA SOPHIA SUEK</v>
      </c>
      <c r="C274" s="40" t="str">
        <f>IFERROR(__xludf.DUMMYFUNCTION("""COMPUTED_VALUE"""),"Belum disetujui")</f>
        <v>Belum disetujui</v>
      </c>
      <c r="D274" s="40"/>
    </row>
    <row r="275">
      <c r="A275" s="39">
        <f>IFERROR(__xludf.DUMMYFUNCTION("""COMPUTED_VALUE"""),45999.66057663194)</f>
        <v>45999.66058</v>
      </c>
      <c r="B275" s="40" t="str">
        <f>IFERROR(__xludf.DUMMYFUNCTION("""COMPUTED_VALUE"""),"AZ ZAHRA SITI ZAINAB")</f>
        <v>AZ ZAHRA SITI ZAINAB</v>
      </c>
      <c r="C275" s="40" t="str">
        <f>IFERROR(__xludf.DUMMYFUNCTION("""COMPUTED_VALUE"""),"ACC")</f>
        <v>ACC</v>
      </c>
      <c r="D275" s="40" t="str">
        <f>IFERROR(__xludf.DUMMYFUNCTION("""COMPUTED_VALUE"""),"Y400 series")</f>
        <v>Y400 series</v>
      </c>
    </row>
    <row r="276">
      <c r="A276" s="39">
        <f>IFERROR(__xludf.DUMMYFUNCTION("""COMPUTED_VALUE"""),45999.66705196759)</f>
        <v>45999.66705</v>
      </c>
      <c r="B276" s="40" t="str">
        <f>IFERROR(__xludf.DUMMYFUNCTION("""COMPUTED_VALUE"""),"ESTER LUDJI")</f>
        <v>ESTER LUDJI</v>
      </c>
      <c r="C276" s="40" t="str">
        <f>IFERROR(__xludf.DUMMYFUNCTION("""COMPUTED_VALUE"""),"Dapat limit tapi belum diproses")</f>
        <v>Dapat limit tapi belum diproses</v>
      </c>
      <c r="D276" s="40" t="str">
        <f>IFERROR(__xludf.DUMMYFUNCTION("""COMPUTED_VALUE"""),"Y400 series")</f>
        <v>Y400 series</v>
      </c>
    </row>
    <row r="277">
      <c r="A277" s="39">
        <f>IFERROR(__xludf.DUMMYFUNCTION("""COMPUTED_VALUE"""),45999.705360266205)</f>
        <v>45999.70536</v>
      </c>
      <c r="B277" s="40" t="str">
        <f>IFERROR(__xludf.DUMMYFUNCTION("""COMPUTED_VALUE"""),"HERONIMUS NAMU WALI")</f>
        <v>HERONIMUS NAMU WALI</v>
      </c>
      <c r="C277" s="40" t="str">
        <f>IFERROR(__xludf.DUMMYFUNCTION("""COMPUTED_VALUE"""),"ACC")</f>
        <v>ACC</v>
      </c>
      <c r="D277" s="40" t="str">
        <f>IFERROR(__xludf.DUMMYFUNCTION("""COMPUTED_VALUE"""),"Y21d series")</f>
        <v>Y21d series</v>
      </c>
    </row>
    <row r="278">
      <c r="A278" s="39">
        <f>IFERROR(__xludf.DUMMYFUNCTION("""COMPUTED_VALUE"""),45999.711757164354)</f>
        <v>45999.71176</v>
      </c>
      <c r="B278" s="40" t="str">
        <f>IFERROR(__xludf.DUMMYFUNCTION("""COMPUTED_VALUE"""),"SULIS NURAINI INSYATUN")</f>
        <v>SULIS NURAINI INSYATUN</v>
      </c>
      <c r="C278" s="40" t="str">
        <f>IFERROR(__xludf.DUMMYFUNCTION("""COMPUTED_VALUE"""),"ACC")</f>
        <v>ACC</v>
      </c>
      <c r="D278" s="40" t="str">
        <f>IFERROR(__xludf.DUMMYFUNCTION("""COMPUTED_VALUE"""),"Y21d series")</f>
        <v>Y21d series</v>
      </c>
    </row>
    <row r="279">
      <c r="A279" s="39">
        <f>IFERROR(__xludf.DUMMYFUNCTION("""COMPUTED_VALUE"""),45999.73038637732)</f>
        <v>45999.73039</v>
      </c>
      <c r="B279" s="40" t="str">
        <f>IFERROR(__xludf.DUMMYFUNCTION("""COMPUTED_VALUE"""),"BERGITHA NIA OLIN")</f>
        <v>BERGITHA NIA OLIN</v>
      </c>
      <c r="C279" s="40" t="str">
        <f>IFERROR(__xludf.DUMMYFUNCTION("""COMPUTED_VALUE"""),"ACC")</f>
        <v>ACC</v>
      </c>
      <c r="D279" s="40" t="str">
        <f>IFERROR(__xludf.DUMMYFUNCTION("""COMPUTED_VALUE"""),"Y21d series")</f>
        <v>Y21d series</v>
      </c>
    </row>
    <row r="280">
      <c r="A280" s="39">
        <f>IFERROR(__xludf.DUMMYFUNCTION("""COMPUTED_VALUE"""),45999.73374778935)</f>
        <v>45999.73375</v>
      </c>
      <c r="B280" s="40" t="str">
        <f>IFERROR(__xludf.DUMMYFUNCTION("""COMPUTED_VALUE"""),"MARNITHA JUWIKE TIMORATI RUNESI")</f>
        <v>MARNITHA JUWIKE TIMORATI RUNESI</v>
      </c>
      <c r="C280" s="40" t="str">
        <f>IFERROR(__xludf.DUMMYFUNCTION("""COMPUTED_VALUE"""),"ACC")</f>
        <v>ACC</v>
      </c>
      <c r="D280" s="40" t="str">
        <f>IFERROR(__xludf.DUMMYFUNCTION("""COMPUTED_VALUE"""),"Y21d series")</f>
        <v>Y21d series</v>
      </c>
    </row>
    <row r="281">
      <c r="A281" s="39">
        <f>IFERROR(__xludf.DUMMYFUNCTION("""COMPUTED_VALUE"""),45999.76038194445)</f>
        <v>45999.76038</v>
      </c>
      <c r="B281" s="40" t="str">
        <f>IFERROR(__xludf.DUMMYFUNCTION("""COMPUTED_VALUE"""),"KESIA NATALIA I. BENU")</f>
        <v>KESIA NATALIA I. BENU</v>
      </c>
      <c r="C281" s="40" t="str">
        <f>IFERROR(__xludf.DUMMYFUNCTION("""COMPUTED_VALUE"""),"Belum disetujui")</f>
        <v>Belum disetujui</v>
      </c>
      <c r="D281" s="40"/>
    </row>
    <row r="282">
      <c r="A282" s="39">
        <f>IFERROR(__xludf.DUMMYFUNCTION("""COMPUTED_VALUE"""),45999.76287840278)</f>
        <v>45999.76288</v>
      </c>
      <c r="B282" s="40" t="str">
        <f>IFERROR(__xludf.DUMMYFUNCTION("""COMPUTED_VALUE"""),"KESIA NATALIA I. BENU")</f>
        <v>KESIA NATALIA I. BENU</v>
      </c>
      <c r="C282" s="40" t="str">
        <f>IFERROR(__xludf.DUMMYFUNCTION("""COMPUTED_VALUE"""),"Belum disetujui")</f>
        <v>Belum disetujui</v>
      </c>
      <c r="D282" s="40"/>
    </row>
    <row r="283">
      <c r="A283" s="39">
        <f>IFERROR(__xludf.DUMMYFUNCTION("""COMPUTED_VALUE"""),45999.76473495371)</f>
        <v>45999.76473</v>
      </c>
      <c r="B283" s="40" t="str">
        <f>IFERROR(__xludf.DUMMYFUNCTION("""COMPUTED_VALUE"""),"KESIA NATALIA I. BENU")</f>
        <v>KESIA NATALIA I. BENU</v>
      </c>
      <c r="C283" s="40" t="str">
        <f>IFERROR(__xludf.DUMMYFUNCTION("""COMPUTED_VALUE"""),"Belum disetujui")</f>
        <v>Belum disetujui</v>
      </c>
      <c r="D283" s="40"/>
    </row>
    <row r="284">
      <c r="A284" s="39">
        <f>IFERROR(__xludf.DUMMYFUNCTION("""COMPUTED_VALUE"""),45999.76640030093)</f>
        <v>45999.7664</v>
      </c>
      <c r="B284" s="40" t="str">
        <f>IFERROR(__xludf.DUMMYFUNCTION("""COMPUTED_VALUE"""),"KESIA NATALIA I. BENU")</f>
        <v>KESIA NATALIA I. BENU</v>
      </c>
      <c r="C284" s="40" t="str">
        <f>IFERROR(__xludf.DUMMYFUNCTION("""COMPUTED_VALUE"""),"Belum disetujui")</f>
        <v>Belum disetujui</v>
      </c>
      <c r="D284" s="40"/>
    </row>
    <row r="285">
      <c r="A285" s="39">
        <f>IFERROR(__xludf.DUMMYFUNCTION("""COMPUTED_VALUE"""),45999.76744921296)</f>
        <v>45999.76745</v>
      </c>
      <c r="B285" s="40" t="str">
        <f>IFERROR(__xludf.DUMMYFUNCTION("""COMPUTED_VALUE"""),"SANTI MARIA LUKMINI NAHAK")</f>
        <v>SANTI MARIA LUKMINI NAHAK</v>
      </c>
      <c r="C285" s="40" t="str">
        <f>IFERROR(__xludf.DUMMYFUNCTION("""COMPUTED_VALUE"""),"Dapat limit tapi belum diproses")</f>
        <v>Dapat limit tapi belum diproses</v>
      </c>
      <c r="D285" s="40" t="str">
        <f>IFERROR(__xludf.DUMMYFUNCTION("""COMPUTED_VALUE"""),"Y21d series")</f>
        <v>Y21d series</v>
      </c>
    </row>
    <row r="286">
      <c r="A286" s="39">
        <f>IFERROR(__xludf.DUMMYFUNCTION("""COMPUTED_VALUE"""),45999.76871800926)</f>
        <v>45999.76872</v>
      </c>
      <c r="B286" s="40" t="str">
        <f>IFERROR(__xludf.DUMMYFUNCTION("""COMPUTED_VALUE"""),"NUR FATIMAH MOLBANG")</f>
        <v>NUR FATIMAH MOLBANG</v>
      </c>
      <c r="C286" s="40" t="str">
        <f>IFERROR(__xludf.DUMMYFUNCTION("""COMPUTED_VALUE"""),"Belum disetujui")</f>
        <v>Belum disetujui</v>
      </c>
      <c r="D286" s="40"/>
    </row>
    <row r="287">
      <c r="A287" s="39">
        <f>IFERROR(__xludf.DUMMYFUNCTION("""COMPUTED_VALUE"""),45999.77039464121)</f>
        <v>45999.77039</v>
      </c>
      <c r="B287" s="40" t="str">
        <f>IFERROR(__xludf.DUMMYFUNCTION("""COMPUTED_VALUE"""),"NUR FATIMAH MOLBANG")</f>
        <v>NUR FATIMAH MOLBANG</v>
      </c>
      <c r="C287" s="40" t="str">
        <f>IFERROR(__xludf.DUMMYFUNCTION("""COMPUTED_VALUE"""),"ACC")</f>
        <v>ACC</v>
      </c>
      <c r="D287" s="40" t="str">
        <f>IFERROR(__xludf.DUMMYFUNCTION("""COMPUTED_VALUE"""),"Y400 series")</f>
        <v>Y400 series</v>
      </c>
    </row>
    <row r="288">
      <c r="A288" s="39">
        <f>IFERROR(__xludf.DUMMYFUNCTION("""COMPUTED_VALUE"""),45999.77905489583)</f>
        <v>45999.77905</v>
      </c>
      <c r="B288" s="40" t="str">
        <f>IFERROR(__xludf.DUMMYFUNCTION("""COMPUTED_VALUE"""),"ASTUTI BELA WAWO")</f>
        <v>ASTUTI BELA WAWO</v>
      </c>
      <c r="C288" s="40" t="str">
        <f>IFERROR(__xludf.DUMMYFUNCTION("""COMPUTED_VALUE"""),"Belum disetujui")</f>
        <v>Belum disetujui</v>
      </c>
      <c r="D288" s="40"/>
    </row>
    <row r="289">
      <c r="A289" s="39">
        <f>IFERROR(__xludf.DUMMYFUNCTION("""COMPUTED_VALUE"""),45999.781524224534)</f>
        <v>45999.78152</v>
      </c>
      <c r="B289" s="40" t="str">
        <f>IFERROR(__xludf.DUMMYFUNCTION("""COMPUTED_VALUE"""),"MERDA PUTRI BUNGSU KENAT")</f>
        <v>MERDA PUTRI BUNGSU KENAT</v>
      </c>
      <c r="C289" s="40" t="str">
        <f>IFERROR(__xludf.DUMMYFUNCTION("""COMPUTED_VALUE"""),"Dapat limit tapi belum diproses")</f>
        <v>Dapat limit tapi belum diproses</v>
      </c>
      <c r="D289" s="40" t="str">
        <f>IFERROR(__xludf.DUMMYFUNCTION("""COMPUTED_VALUE"""),"Y21d series")</f>
        <v>Y21d series</v>
      </c>
    </row>
    <row r="290">
      <c r="A290" s="39">
        <f>IFERROR(__xludf.DUMMYFUNCTION("""COMPUTED_VALUE"""),45999.80253696759)</f>
        <v>45999.80254</v>
      </c>
      <c r="B290" s="40" t="str">
        <f>IFERROR(__xludf.DUMMYFUNCTION("""COMPUTED_VALUE"""),"AZ ZAHRA SITI ZAINAB")</f>
        <v>AZ ZAHRA SITI ZAINAB</v>
      </c>
      <c r="C290" s="40" t="str">
        <f>IFERROR(__xludf.DUMMYFUNCTION("""COMPUTED_VALUE"""),"ACC")</f>
        <v>ACC</v>
      </c>
      <c r="D290" s="40" t="str">
        <f>IFERROR(__xludf.DUMMYFUNCTION("""COMPUTED_VALUE"""),"Y21d series")</f>
        <v>Y21d series</v>
      </c>
    </row>
    <row r="291">
      <c r="A291" s="39">
        <f>IFERROR(__xludf.DUMMYFUNCTION("""COMPUTED_VALUE"""),45999.81355423611)</f>
        <v>45999.81355</v>
      </c>
      <c r="B291" s="40" t="str">
        <f>IFERROR(__xludf.DUMMYFUNCTION("""COMPUTED_VALUE"""),"YOHANIS TIPNONI")</f>
        <v>YOHANIS TIPNONI</v>
      </c>
      <c r="C291" s="40" t="str">
        <f>IFERROR(__xludf.DUMMYFUNCTION("""COMPUTED_VALUE"""),"Belum disetujui")</f>
        <v>Belum disetujui</v>
      </c>
      <c r="D291" s="40"/>
    </row>
    <row r="292">
      <c r="A292" s="39">
        <f>IFERROR(__xludf.DUMMYFUNCTION("""COMPUTED_VALUE"""),45999.81617603009)</f>
        <v>45999.81618</v>
      </c>
      <c r="B292" s="40" t="str">
        <f>IFERROR(__xludf.DUMMYFUNCTION("""COMPUTED_VALUE"""),"YOHANIS TIPNONI")</f>
        <v>YOHANIS TIPNONI</v>
      </c>
      <c r="C292" s="40" t="str">
        <f>IFERROR(__xludf.DUMMYFUNCTION("""COMPUTED_VALUE"""),"Belum disetujui")</f>
        <v>Belum disetujui</v>
      </c>
      <c r="D292" s="40"/>
    </row>
    <row r="293">
      <c r="A293" s="39">
        <f>IFERROR(__xludf.DUMMYFUNCTION("""COMPUTED_VALUE"""),45999.82169460648)</f>
        <v>45999.82169</v>
      </c>
      <c r="B293" s="40" t="str">
        <f>IFERROR(__xludf.DUMMYFUNCTION("""COMPUTED_VALUE"""),"YOHANIS TIPNONI")</f>
        <v>YOHANIS TIPNONI</v>
      </c>
      <c r="C293" s="40" t="str">
        <f>IFERROR(__xludf.DUMMYFUNCTION("""COMPUTED_VALUE"""),"Belum disetujui")</f>
        <v>Belum disetujui</v>
      </c>
      <c r="D293" s="40"/>
    </row>
    <row r="294">
      <c r="A294" s="39">
        <f>IFERROR(__xludf.DUMMYFUNCTION("""COMPUTED_VALUE"""),45999.84456253472)</f>
        <v>45999.84456</v>
      </c>
      <c r="B294" s="40" t="str">
        <f>IFERROR(__xludf.DUMMYFUNCTION("""COMPUTED_VALUE"""),"ESTER LUDJI")</f>
        <v>ESTER LUDJI</v>
      </c>
      <c r="C294" s="40" t="str">
        <f>IFERROR(__xludf.DUMMYFUNCTION("""COMPUTED_VALUE"""),"ACC")</f>
        <v>ACC</v>
      </c>
      <c r="D294" s="40" t="str">
        <f>IFERROR(__xludf.DUMMYFUNCTION("""COMPUTED_VALUE"""),"V60 series")</f>
        <v>V60 series</v>
      </c>
    </row>
    <row r="295">
      <c r="A295" s="39">
        <f>IFERROR(__xludf.DUMMYFUNCTION("""COMPUTED_VALUE"""),45999.847876342596)</f>
        <v>45999.84788</v>
      </c>
      <c r="B295" s="40" t="str">
        <f>IFERROR(__xludf.DUMMYFUNCTION("""COMPUTED_VALUE"""),"ESTER LUDJI")</f>
        <v>ESTER LUDJI</v>
      </c>
      <c r="C295" s="40" t="str">
        <f>IFERROR(__xludf.DUMMYFUNCTION("""COMPUTED_VALUE"""),"ACC")</f>
        <v>ACC</v>
      </c>
      <c r="D295" s="40" t="str">
        <f>IFERROR(__xludf.DUMMYFUNCTION("""COMPUTED_VALUE"""),"V60 Lite series")</f>
        <v>V60 Lite series</v>
      </c>
    </row>
    <row r="296">
      <c r="A296" s="39">
        <f>IFERROR(__xludf.DUMMYFUNCTION("""COMPUTED_VALUE"""),45999.850541493055)</f>
        <v>45999.85054</v>
      </c>
      <c r="B296" s="40" t="str">
        <f>IFERROR(__xludf.DUMMYFUNCTION("""COMPUTED_VALUE"""),"ESTER LUDJI")</f>
        <v>ESTER LUDJI</v>
      </c>
      <c r="C296" s="40" t="str">
        <f>IFERROR(__xludf.DUMMYFUNCTION("""COMPUTED_VALUE"""),"ACC")</f>
        <v>ACC</v>
      </c>
      <c r="D296" s="40" t="str">
        <f>IFERROR(__xludf.DUMMYFUNCTION("""COMPUTED_VALUE"""),"Y21d series")</f>
        <v>Y21d series</v>
      </c>
    </row>
    <row r="297">
      <c r="A297" s="39">
        <f>IFERROR(__xludf.DUMMYFUNCTION("""COMPUTED_VALUE"""),45999.851136840276)</f>
        <v>45999.85114</v>
      </c>
      <c r="B297" s="40" t="str">
        <f>IFERROR(__xludf.DUMMYFUNCTION("""COMPUTED_VALUE"""),"DWITNEY PRETY WANGGANDIMA")</f>
        <v>DWITNEY PRETY WANGGANDIMA</v>
      </c>
      <c r="C297" s="40" t="str">
        <f>IFERROR(__xludf.DUMMYFUNCTION("""COMPUTED_VALUE"""),"Belum disetujui")</f>
        <v>Belum disetujui</v>
      </c>
      <c r="D297" s="40"/>
    </row>
    <row r="298">
      <c r="A298" s="39">
        <f>IFERROR(__xludf.DUMMYFUNCTION("""COMPUTED_VALUE"""),45999.851389826385)</f>
        <v>45999.85139</v>
      </c>
      <c r="B298" s="40" t="str">
        <f>IFERROR(__xludf.DUMMYFUNCTION("""COMPUTED_VALUE"""),"YOVANDA KATRINA NAE")</f>
        <v>YOVANDA KATRINA NAE</v>
      </c>
      <c r="C298" s="40" t="str">
        <f>IFERROR(__xludf.DUMMYFUNCTION("""COMPUTED_VALUE"""),"ACC")</f>
        <v>ACC</v>
      </c>
      <c r="D298" s="40" t="str">
        <f>IFERROR(__xludf.DUMMYFUNCTION("""COMPUTED_VALUE"""),"Y21d series")</f>
        <v>Y21d series</v>
      </c>
    </row>
    <row r="299">
      <c r="A299" s="39">
        <f>IFERROR(__xludf.DUMMYFUNCTION("""COMPUTED_VALUE"""),45999.853733692136)</f>
        <v>45999.85373</v>
      </c>
      <c r="B299" s="40" t="str">
        <f>IFERROR(__xludf.DUMMYFUNCTION("""COMPUTED_VALUE"""),"ESTER LUDJI")</f>
        <v>ESTER LUDJI</v>
      </c>
      <c r="C299" s="40" t="str">
        <f>IFERROR(__xludf.DUMMYFUNCTION("""COMPUTED_VALUE"""),"ACC")</f>
        <v>ACC</v>
      </c>
      <c r="D299" s="40" t="str">
        <f>IFERROR(__xludf.DUMMYFUNCTION("""COMPUTED_VALUE"""),"Y400 series")</f>
        <v>Y400 series</v>
      </c>
    </row>
    <row r="300">
      <c r="A300" s="39">
        <f>IFERROR(__xludf.DUMMYFUNCTION("""COMPUTED_VALUE"""),45999.86493185186)</f>
        <v>45999.86493</v>
      </c>
      <c r="B300" s="40" t="str">
        <f>IFERROR(__xludf.DUMMYFUNCTION("""COMPUTED_VALUE"""),"DWITNEY PRETY WANGGANDIMA")</f>
        <v>DWITNEY PRETY WANGGANDIMA</v>
      </c>
      <c r="C300" s="40" t="str">
        <f>IFERROR(__xludf.DUMMYFUNCTION("""COMPUTED_VALUE"""),"Belum disetujui")</f>
        <v>Belum disetujui</v>
      </c>
      <c r="D300" s="40"/>
    </row>
    <row r="301">
      <c r="A301" s="39">
        <f>IFERROR(__xludf.DUMMYFUNCTION("""COMPUTED_VALUE"""),45999.86971136574)</f>
        <v>45999.86971</v>
      </c>
      <c r="B301" s="40" t="str">
        <f>IFERROR(__xludf.DUMMYFUNCTION("""COMPUTED_VALUE"""),"ESTER LUDJI")</f>
        <v>ESTER LUDJI</v>
      </c>
      <c r="C301" s="40" t="str">
        <f>IFERROR(__xludf.DUMMYFUNCTION("""COMPUTED_VALUE"""),"Belum disetujui")</f>
        <v>Belum disetujui</v>
      </c>
      <c r="D301" s="40"/>
    </row>
    <row r="302">
      <c r="A302" s="39">
        <f>IFERROR(__xludf.DUMMYFUNCTION("""COMPUTED_VALUE"""),45999.87781743055)</f>
        <v>45999.87782</v>
      </c>
      <c r="B302" s="40" t="str">
        <f>IFERROR(__xludf.DUMMYFUNCTION("""COMPUTED_VALUE"""),"ESTER LUDJI")</f>
        <v>ESTER LUDJI</v>
      </c>
      <c r="C302" s="40" t="str">
        <f>IFERROR(__xludf.DUMMYFUNCTION("""COMPUTED_VALUE"""),"Belum disetujui")</f>
        <v>Belum disetujui</v>
      </c>
      <c r="D302" s="40"/>
    </row>
    <row r="303">
      <c r="A303" s="39">
        <f>IFERROR(__xludf.DUMMYFUNCTION("""COMPUTED_VALUE"""),45999.88932263889)</f>
        <v>45999.88932</v>
      </c>
      <c r="B303" s="40" t="str">
        <f>IFERROR(__xludf.DUMMYFUNCTION("""COMPUTED_VALUE"""),"HERONIMUS NAMU WALI")</f>
        <v>HERONIMUS NAMU WALI</v>
      </c>
      <c r="C303" s="40" t="str">
        <f>IFERROR(__xludf.DUMMYFUNCTION("""COMPUTED_VALUE"""),"ACC")</f>
        <v>ACC</v>
      </c>
      <c r="D303" s="40" t="str">
        <f>IFERROR(__xludf.DUMMYFUNCTION("""COMPUTED_VALUE"""),"Y21d series")</f>
        <v>Y21d series</v>
      </c>
    </row>
    <row r="304">
      <c r="A304" s="39">
        <f>IFERROR(__xludf.DUMMYFUNCTION("""COMPUTED_VALUE"""),46000.350426481484)</f>
        <v>46000.35043</v>
      </c>
      <c r="B304" s="40" t="str">
        <f>IFERROR(__xludf.DUMMYFUNCTION("""COMPUTED_VALUE"""),"JULIA DESY CASANDRA DA SILVA FREITAS")</f>
        <v>JULIA DESY CASANDRA DA SILVA FREITAS</v>
      </c>
      <c r="C304" s="40" t="str">
        <f>IFERROR(__xludf.DUMMYFUNCTION("""COMPUTED_VALUE"""),"Belum disetujui")</f>
        <v>Belum disetujui</v>
      </c>
      <c r="D304" s="40"/>
    </row>
    <row r="305">
      <c r="A305" s="39">
        <f>IFERROR(__xludf.DUMMYFUNCTION("""COMPUTED_VALUE"""),46000.410462025466)</f>
        <v>46000.41046</v>
      </c>
      <c r="B305" s="40" t="str">
        <f>IFERROR(__xludf.DUMMYFUNCTION("""COMPUTED_VALUE"""),"ARMINDA TEKU MANEK")</f>
        <v>ARMINDA TEKU MANEK</v>
      </c>
      <c r="C305" s="40" t="str">
        <f>IFERROR(__xludf.DUMMYFUNCTION("""COMPUTED_VALUE"""),"Belum disetujui")</f>
        <v>Belum disetujui</v>
      </c>
      <c r="D305" s="40"/>
    </row>
    <row r="306">
      <c r="A306" s="39">
        <f>IFERROR(__xludf.DUMMYFUNCTION("""COMPUTED_VALUE"""),46000.41137392361)</f>
        <v>46000.41137</v>
      </c>
      <c r="B306" s="40" t="str">
        <f>IFERROR(__xludf.DUMMYFUNCTION("""COMPUTED_VALUE"""),"ALDIANA WELIA PANIE")</f>
        <v>ALDIANA WELIA PANIE</v>
      </c>
      <c r="C306" s="40" t="str">
        <f>IFERROR(__xludf.DUMMYFUNCTION("""COMPUTED_VALUE"""),"ACC")</f>
        <v>ACC</v>
      </c>
      <c r="D306" s="40" t="str">
        <f>IFERROR(__xludf.DUMMYFUNCTION("""COMPUTED_VALUE"""),"V60 series")</f>
        <v>V60 series</v>
      </c>
    </row>
    <row r="307">
      <c r="A307" s="39">
        <f>IFERROR(__xludf.DUMMYFUNCTION("""COMPUTED_VALUE"""),46000.411498483794)</f>
        <v>46000.4115</v>
      </c>
      <c r="B307" s="40" t="str">
        <f>IFERROR(__xludf.DUMMYFUNCTION("""COMPUTED_VALUE"""),"ASTUTI BELA WAWO")</f>
        <v>ASTUTI BELA WAWO</v>
      </c>
      <c r="C307" s="40" t="str">
        <f>IFERROR(__xludf.DUMMYFUNCTION("""COMPUTED_VALUE"""),"Belum disetujui")</f>
        <v>Belum disetujui</v>
      </c>
      <c r="D307" s="40"/>
    </row>
    <row r="308">
      <c r="A308" s="39">
        <f>IFERROR(__xludf.DUMMYFUNCTION("""COMPUTED_VALUE"""),46000.414873194444)</f>
        <v>46000.41487</v>
      </c>
      <c r="B308" s="40" t="str">
        <f>IFERROR(__xludf.DUMMYFUNCTION("""COMPUTED_VALUE"""),"ALDIANA WELIA PANIE")</f>
        <v>ALDIANA WELIA PANIE</v>
      </c>
      <c r="C308" s="40" t="str">
        <f>IFERROR(__xludf.DUMMYFUNCTION("""COMPUTED_VALUE"""),"Belum disetujui")</f>
        <v>Belum disetujui</v>
      </c>
      <c r="D308" s="40"/>
    </row>
    <row r="309">
      <c r="A309" s="39">
        <f>IFERROR(__xludf.DUMMYFUNCTION("""COMPUTED_VALUE"""),46000.44316833333)</f>
        <v>46000.44317</v>
      </c>
      <c r="B309" s="40" t="str">
        <f>IFERROR(__xludf.DUMMYFUNCTION("""COMPUTED_VALUE"""),"JULIA DESY CASANDRA DA SILVA FREITAS")</f>
        <v>JULIA DESY CASANDRA DA SILVA FREITAS</v>
      </c>
      <c r="C309" s="40" t="str">
        <f>IFERROR(__xludf.DUMMYFUNCTION("""COMPUTED_VALUE"""),"Belum disetujui")</f>
        <v>Belum disetujui</v>
      </c>
      <c r="D309" s="40"/>
    </row>
    <row r="310">
      <c r="A310" s="39">
        <f>IFERROR(__xludf.DUMMYFUNCTION("""COMPUTED_VALUE"""),46000.44424237269)</f>
        <v>46000.44424</v>
      </c>
      <c r="B310" s="40" t="str">
        <f>IFERROR(__xludf.DUMMYFUNCTION("""COMPUTED_VALUE"""),"JULIA DESY CASANDRA DA SILVA FREITAS")</f>
        <v>JULIA DESY CASANDRA DA SILVA FREITAS</v>
      </c>
      <c r="C310" s="40" t="str">
        <f>IFERROR(__xludf.DUMMYFUNCTION("""COMPUTED_VALUE"""),"Dapat limit tapi belum diproses")</f>
        <v>Dapat limit tapi belum diproses</v>
      </c>
      <c r="D310" s="40" t="str">
        <f>IFERROR(__xludf.DUMMYFUNCTION("""COMPUTED_VALUE"""),"Y21d series")</f>
        <v>Y21d series</v>
      </c>
    </row>
    <row r="311">
      <c r="A311" s="39">
        <f>IFERROR(__xludf.DUMMYFUNCTION("""COMPUTED_VALUE"""),46000.446707835654)</f>
        <v>46000.44671</v>
      </c>
      <c r="B311" s="40" t="str">
        <f>IFERROR(__xludf.DUMMYFUNCTION("""COMPUTED_VALUE"""),"YUNITA TAMELAB")</f>
        <v>YUNITA TAMELAB</v>
      </c>
      <c r="C311" s="40" t="str">
        <f>IFERROR(__xludf.DUMMYFUNCTION("""COMPUTED_VALUE"""),"Belum disetujui")</f>
        <v>Belum disetujui</v>
      </c>
      <c r="D311" s="40"/>
    </row>
    <row r="312">
      <c r="A312" s="39">
        <f>IFERROR(__xludf.DUMMYFUNCTION("""COMPUTED_VALUE"""),46000.47491965278)</f>
        <v>46000.47492</v>
      </c>
      <c r="B312" s="40" t="str">
        <f>IFERROR(__xludf.DUMMYFUNCTION("""COMPUTED_VALUE"""),"MARIA MELAN ANANCE BILI")</f>
        <v>MARIA MELAN ANANCE BILI</v>
      </c>
      <c r="C312" s="40" t="str">
        <f>IFERROR(__xludf.DUMMYFUNCTION("""COMPUTED_VALUE"""),"Belum disetujui")</f>
        <v>Belum disetujui</v>
      </c>
      <c r="D312" s="40"/>
    </row>
    <row r="313">
      <c r="A313" s="39">
        <f>IFERROR(__xludf.DUMMYFUNCTION("""COMPUTED_VALUE"""),46000.48011670139)</f>
        <v>46000.48012</v>
      </c>
      <c r="B313" s="40" t="str">
        <f>IFERROR(__xludf.DUMMYFUNCTION("""COMPUTED_VALUE"""),"NABILA RAHMAWATI")</f>
        <v>NABILA RAHMAWATI</v>
      </c>
      <c r="C313" s="40" t="str">
        <f>IFERROR(__xludf.DUMMYFUNCTION("""COMPUTED_VALUE"""),"Belum disetujui")</f>
        <v>Belum disetujui</v>
      </c>
      <c r="D313" s="40"/>
    </row>
    <row r="314">
      <c r="A314" s="39">
        <f>IFERROR(__xludf.DUMMYFUNCTION("""COMPUTED_VALUE"""),46000.50961607639)</f>
        <v>46000.50962</v>
      </c>
      <c r="B314" s="40" t="str">
        <f>IFERROR(__xludf.DUMMYFUNCTION("""COMPUTED_VALUE"""),"SANTI MARIA LUKMINI NAHAK")</f>
        <v>SANTI MARIA LUKMINI NAHAK</v>
      </c>
      <c r="C314" s="40" t="str">
        <f>IFERROR(__xludf.DUMMYFUNCTION("""COMPUTED_VALUE"""),"Dapat limit tapi belum diproses")</f>
        <v>Dapat limit tapi belum diproses</v>
      </c>
      <c r="D314" s="40" t="str">
        <f>IFERROR(__xludf.DUMMYFUNCTION("""COMPUTED_VALUE"""),"Y21d series")</f>
        <v>Y21d series</v>
      </c>
    </row>
    <row r="315">
      <c r="A315" s="39">
        <f>IFERROR(__xludf.DUMMYFUNCTION("""COMPUTED_VALUE"""),46000.51197527778)</f>
        <v>46000.51198</v>
      </c>
      <c r="B315" s="40" t="str">
        <f>IFERROR(__xludf.DUMMYFUNCTION("""COMPUTED_VALUE"""),"AINI RAHMATINI NATALIA MOESTAKIM")</f>
        <v>AINI RAHMATINI NATALIA MOESTAKIM</v>
      </c>
      <c r="C315" s="40" t="str">
        <f>IFERROR(__xludf.DUMMYFUNCTION("""COMPUTED_VALUE"""),"Belum disetujui")</f>
        <v>Belum disetujui</v>
      </c>
      <c r="D315" s="40"/>
    </row>
    <row r="316">
      <c r="A316" s="39">
        <f>IFERROR(__xludf.DUMMYFUNCTION("""COMPUTED_VALUE"""),46000.5127274537)</f>
        <v>46000.51273</v>
      </c>
      <c r="B316" s="40" t="str">
        <f>IFERROR(__xludf.DUMMYFUNCTION("""COMPUTED_VALUE"""),"ROS YANE KANA LUDJI")</f>
        <v>ROS YANE KANA LUDJI</v>
      </c>
      <c r="C316" s="40" t="str">
        <f>IFERROR(__xludf.DUMMYFUNCTION("""COMPUTED_VALUE"""),"Belum disetujui")</f>
        <v>Belum disetujui</v>
      </c>
      <c r="D316" s="40"/>
    </row>
    <row r="317">
      <c r="A317" s="39">
        <f>IFERROR(__xludf.DUMMYFUNCTION("""COMPUTED_VALUE"""),46000.51791510417)</f>
        <v>46000.51792</v>
      </c>
      <c r="B317" s="40" t="str">
        <f>IFERROR(__xludf.DUMMYFUNCTION("""COMPUTED_VALUE"""),"MARNITHA JUWIKE TIMORATI RUNESI")</f>
        <v>MARNITHA JUWIKE TIMORATI RUNESI</v>
      </c>
      <c r="C317" s="40" t="str">
        <f>IFERROR(__xludf.DUMMYFUNCTION("""COMPUTED_VALUE"""),"Belum disetujui")</f>
        <v>Belum disetujui</v>
      </c>
      <c r="D317" s="40"/>
    </row>
    <row r="318">
      <c r="A318" s="39">
        <f>IFERROR(__xludf.DUMMYFUNCTION("""COMPUTED_VALUE"""),46000.523833425934)</f>
        <v>46000.52383</v>
      </c>
      <c r="B318" s="40" t="str">
        <f>IFERROR(__xludf.DUMMYFUNCTION("""COMPUTED_VALUE"""),"FREDERIKA ALVONSIA LENGO")</f>
        <v>FREDERIKA ALVONSIA LENGO</v>
      </c>
      <c r="C318" s="40" t="str">
        <f>IFERROR(__xludf.DUMMYFUNCTION("""COMPUTED_VALUE"""),"Belum disetujui")</f>
        <v>Belum disetujui</v>
      </c>
      <c r="D318" s="40"/>
    </row>
    <row r="319">
      <c r="A319" s="39">
        <f>IFERROR(__xludf.DUMMYFUNCTION("""COMPUTED_VALUE"""),46000.531493877315)</f>
        <v>46000.53149</v>
      </c>
      <c r="B319" s="40" t="str">
        <f>IFERROR(__xludf.DUMMYFUNCTION("""COMPUTED_VALUE"""),"YOHANA NOVIANA MARIANA GAA")</f>
        <v>YOHANA NOVIANA MARIANA GAA</v>
      </c>
      <c r="C319" s="40" t="str">
        <f>IFERROR(__xludf.DUMMYFUNCTION("""COMPUTED_VALUE"""),"Belum disetujui")</f>
        <v>Belum disetujui</v>
      </c>
      <c r="D319" s="40"/>
    </row>
    <row r="320">
      <c r="A320" s="39">
        <f>IFERROR(__xludf.DUMMYFUNCTION("""COMPUTED_VALUE"""),46000.53325466435)</f>
        <v>46000.53325</v>
      </c>
      <c r="B320" s="40" t="str">
        <f>IFERROR(__xludf.DUMMYFUNCTION("""COMPUTED_VALUE"""),"YOHANA NOVIANA MARIANA GAA")</f>
        <v>YOHANA NOVIANA MARIANA GAA</v>
      </c>
      <c r="C320" s="40" t="str">
        <f>IFERROR(__xludf.DUMMYFUNCTION("""COMPUTED_VALUE"""),"Belum disetujui")</f>
        <v>Belum disetujui</v>
      </c>
      <c r="D320" s="40"/>
    </row>
    <row r="321">
      <c r="A321" s="39">
        <f>IFERROR(__xludf.DUMMYFUNCTION("""COMPUTED_VALUE"""),46000.53451153935)</f>
        <v>46000.53451</v>
      </c>
      <c r="B321" s="40" t="str">
        <f>IFERROR(__xludf.DUMMYFUNCTION("""COMPUTED_VALUE"""),"YOHANA NOVIANA MARIANA GAA")</f>
        <v>YOHANA NOVIANA MARIANA GAA</v>
      </c>
      <c r="C321" s="40" t="str">
        <f>IFERROR(__xludf.DUMMYFUNCTION("""COMPUTED_VALUE"""),"Belum disetujui")</f>
        <v>Belum disetujui</v>
      </c>
      <c r="D321" s="40"/>
    </row>
    <row r="322">
      <c r="A322" s="39">
        <f>IFERROR(__xludf.DUMMYFUNCTION("""COMPUTED_VALUE"""),46000.53643961806)</f>
        <v>46000.53644</v>
      </c>
      <c r="B322" s="40" t="str">
        <f>IFERROR(__xludf.DUMMYFUNCTION("""COMPUTED_VALUE"""),"YOHANA NOVIANA MARIANA GAA")</f>
        <v>YOHANA NOVIANA MARIANA GAA</v>
      </c>
      <c r="C322" s="40" t="str">
        <f>IFERROR(__xludf.DUMMYFUNCTION("""COMPUTED_VALUE"""),"Dapat limit tapi belum diproses")</f>
        <v>Dapat limit tapi belum diproses</v>
      </c>
      <c r="D322" s="40" t="str">
        <f>IFERROR(__xludf.DUMMYFUNCTION("""COMPUTED_VALUE"""),"Y400 series")</f>
        <v>Y400 series</v>
      </c>
    </row>
    <row r="323">
      <c r="A323" s="39">
        <f>IFERROR(__xludf.DUMMYFUNCTION("""COMPUTED_VALUE"""),46000.53960334491)</f>
        <v>46000.5396</v>
      </c>
      <c r="B323" s="40" t="str">
        <f>IFERROR(__xludf.DUMMYFUNCTION("""COMPUTED_VALUE"""),"YOHANA NOVIANA MARIANA GAA")</f>
        <v>YOHANA NOVIANA MARIANA GAA</v>
      </c>
      <c r="C323" s="40" t="str">
        <f>IFERROR(__xludf.DUMMYFUNCTION("""COMPUTED_VALUE"""),"Belum disetujui")</f>
        <v>Belum disetujui</v>
      </c>
      <c r="D323" s="40"/>
    </row>
    <row r="324">
      <c r="A324" s="39">
        <f>IFERROR(__xludf.DUMMYFUNCTION("""COMPUTED_VALUE"""),46000.54019989583)</f>
        <v>46000.5402</v>
      </c>
      <c r="B324" s="40" t="str">
        <f>IFERROR(__xludf.DUMMYFUNCTION("""COMPUTED_VALUE"""),"NUR FATIMAH MOLBANG")</f>
        <v>NUR FATIMAH MOLBANG</v>
      </c>
      <c r="C324" s="40" t="str">
        <f>IFERROR(__xludf.DUMMYFUNCTION("""COMPUTED_VALUE"""),"Belum disetujui")</f>
        <v>Belum disetujui</v>
      </c>
      <c r="D324" s="40"/>
    </row>
    <row r="325">
      <c r="A325" s="39">
        <f>IFERROR(__xludf.DUMMYFUNCTION("""COMPUTED_VALUE"""),46000.54316631944)</f>
        <v>46000.54317</v>
      </c>
      <c r="B325" s="40" t="str">
        <f>IFERROR(__xludf.DUMMYFUNCTION("""COMPUTED_VALUE"""),"ASTUTI BELA WAWO")</f>
        <v>ASTUTI BELA WAWO</v>
      </c>
      <c r="C325" s="40" t="str">
        <f>IFERROR(__xludf.DUMMYFUNCTION("""COMPUTED_VALUE"""),"Belum disetujui")</f>
        <v>Belum disetujui</v>
      </c>
      <c r="D325" s="40"/>
    </row>
    <row r="326">
      <c r="A326" s="39">
        <f>IFERROR(__xludf.DUMMYFUNCTION("""COMPUTED_VALUE"""),46000.549629085646)</f>
        <v>46000.54963</v>
      </c>
      <c r="B326" s="40" t="str">
        <f>IFERROR(__xludf.DUMMYFUNCTION("""COMPUTED_VALUE"""),"YUNITA TAMELAB")</f>
        <v>YUNITA TAMELAB</v>
      </c>
      <c r="C326" s="40" t="str">
        <f>IFERROR(__xludf.DUMMYFUNCTION("""COMPUTED_VALUE"""),"Belum disetujui")</f>
        <v>Belum disetujui</v>
      </c>
      <c r="D326" s="40"/>
    </row>
    <row r="327">
      <c r="A327" s="39">
        <f>IFERROR(__xludf.DUMMYFUNCTION("""COMPUTED_VALUE"""),46000.55108972222)</f>
        <v>46000.55109</v>
      </c>
      <c r="B327" s="40" t="str">
        <f>IFERROR(__xludf.DUMMYFUNCTION("""COMPUTED_VALUE"""),"PRETI SISILIA SILA")</f>
        <v>PRETI SISILIA SILA</v>
      </c>
      <c r="C327" s="40" t="str">
        <f>IFERROR(__xludf.DUMMYFUNCTION("""COMPUTED_VALUE"""),"Belum disetujui")</f>
        <v>Belum disetujui</v>
      </c>
      <c r="D327" s="40"/>
    </row>
    <row r="328">
      <c r="A328" s="39">
        <f>IFERROR(__xludf.DUMMYFUNCTION("""COMPUTED_VALUE"""),46000.55799458333)</f>
        <v>46000.55799</v>
      </c>
      <c r="B328" s="40" t="str">
        <f>IFERROR(__xludf.DUMMYFUNCTION("""COMPUTED_VALUE"""),"MARIA MELAN ANANCE BILI")</f>
        <v>MARIA MELAN ANANCE BILI</v>
      </c>
      <c r="C328" s="40" t="str">
        <f>IFERROR(__xludf.DUMMYFUNCTION("""COMPUTED_VALUE"""),"ACC")</f>
        <v>ACC</v>
      </c>
      <c r="D328" s="40" t="str">
        <f>IFERROR(__xludf.DUMMYFUNCTION("""COMPUTED_VALUE"""),"Y400 series")</f>
        <v>Y400 series</v>
      </c>
    </row>
    <row r="329">
      <c r="A329" s="39">
        <f>IFERROR(__xludf.DUMMYFUNCTION("""COMPUTED_VALUE"""),46000.5953212963)</f>
        <v>46000.59532</v>
      </c>
      <c r="B329" s="40" t="str">
        <f>IFERROR(__xludf.DUMMYFUNCTION("""COMPUTED_VALUE"""),"MARIA MELAN ANANCE BILI")</f>
        <v>MARIA MELAN ANANCE BILI</v>
      </c>
      <c r="C329" s="40" t="str">
        <f>IFERROR(__xludf.DUMMYFUNCTION("""COMPUTED_VALUE"""),"Belum disetujui")</f>
        <v>Belum disetujui</v>
      </c>
      <c r="D329" s="40"/>
    </row>
    <row r="330">
      <c r="A330" s="39">
        <f>IFERROR(__xludf.DUMMYFUNCTION("""COMPUTED_VALUE"""),46000.621483854164)</f>
        <v>46000.62148</v>
      </c>
      <c r="B330" s="40" t="str">
        <f>IFERROR(__xludf.DUMMYFUNCTION("""COMPUTED_VALUE"""),"ADRIANA")</f>
        <v>ADRIANA</v>
      </c>
      <c r="C330" s="40" t="str">
        <f>IFERROR(__xludf.DUMMYFUNCTION("""COMPUTED_VALUE"""),"ACC")</f>
        <v>ACC</v>
      </c>
      <c r="D330" s="40" t="str">
        <f>IFERROR(__xludf.DUMMYFUNCTION("""COMPUTED_VALUE"""),"V60 Lite series")</f>
        <v>V60 Lite series</v>
      </c>
    </row>
    <row r="331">
      <c r="A331" s="39">
        <f>IFERROR(__xludf.DUMMYFUNCTION("""COMPUTED_VALUE"""),46000.623122048615)</f>
        <v>46000.62312</v>
      </c>
      <c r="B331" s="40" t="str">
        <f>IFERROR(__xludf.DUMMYFUNCTION("""COMPUTED_VALUE"""),"ADRIANA")</f>
        <v>ADRIANA</v>
      </c>
      <c r="C331" s="40" t="str">
        <f>IFERROR(__xludf.DUMMYFUNCTION("""COMPUTED_VALUE"""),"Belum disetujui")</f>
        <v>Belum disetujui</v>
      </c>
      <c r="D331" s="40"/>
    </row>
    <row r="332">
      <c r="A332" s="39">
        <f>IFERROR(__xludf.DUMMYFUNCTION("""COMPUTED_VALUE"""),46000.63864711805)</f>
        <v>46000.63865</v>
      </c>
      <c r="B332" s="40" t="str">
        <f>IFERROR(__xludf.DUMMYFUNCTION("""COMPUTED_VALUE"""),"NOVLIANA BARBALINA MISA")</f>
        <v>NOVLIANA BARBALINA MISA</v>
      </c>
      <c r="C332" s="40" t="str">
        <f>IFERROR(__xludf.DUMMYFUNCTION("""COMPUTED_VALUE"""),"Dapat limit tapi belum diproses")</f>
        <v>Dapat limit tapi belum diproses</v>
      </c>
      <c r="D332" s="40" t="str">
        <f>IFERROR(__xludf.DUMMYFUNCTION("""COMPUTED_VALUE"""),"Y21d series")</f>
        <v>Y21d series</v>
      </c>
    </row>
    <row r="333">
      <c r="A333" s="39">
        <f>IFERROR(__xludf.DUMMYFUNCTION("""COMPUTED_VALUE"""),46000.65089099537)</f>
        <v>46000.65089</v>
      </c>
      <c r="B333" s="40" t="str">
        <f>IFERROR(__xludf.DUMMYFUNCTION("""COMPUTED_VALUE"""),"YOMELIANA MARIA MAGNO")</f>
        <v>YOMELIANA MARIA MAGNO</v>
      </c>
      <c r="C333" s="40" t="str">
        <f>IFERROR(__xludf.DUMMYFUNCTION("""COMPUTED_VALUE"""),"Belum disetujui")</f>
        <v>Belum disetujui</v>
      </c>
      <c r="D333" s="40"/>
    </row>
    <row r="334">
      <c r="A334" s="39">
        <f>IFERROR(__xludf.DUMMYFUNCTION("""COMPUTED_VALUE"""),46000.65877443287)</f>
        <v>46000.65877</v>
      </c>
      <c r="B334" s="40" t="str">
        <f>IFERROR(__xludf.DUMMYFUNCTION("""COMPUTED_VALUE"""),"PRETI SISILIA SILA")</f>
        <v>PRETI SISILIA SILA</v>
      </c>
      <c r="C334" s="40" t="str">
        <f>IFERROR(__xludf.DUMMYFUNCTION("""COMPUTED_VALUE"""),"Belum disetujui")</f>
        <v>Belum disetujui</v>
      </c>
      <c r="D334" s="40"/>
    </row>
    <row r="335">
      <c r="A335" s="39">
        <f>IFERROR(__xludf.DUMMYFUNCTION("""COMPUTED_VALUE"""),46000.70382956019)</f>
        <v>46000.70383</v>
      </c>
      <c r="B335" s="40" t="str">
        <f>IFERROR(__xludf.DUMMYFUNCTION("""COMPUTED_VALUE"""),"HERONIMUS NAMU WALI")</f>
        <v>HERONIMUS NAMU WALI</v>
      </c>
      <c r="C335" s="40" t="str">
        <f>IFERROR(__xludf.DUMMYFUNCTION("""COMPUTED_VALUE"""),"Belum disetujui")</f>
        <v>Belum disetujui</v>
      </c>
      <c r="D335" s="40"/>
    </row>
    <row r="336">
      <c r="A336" s="39">
        <f>IFERROR(__xludf.DUMMYFUNCTION("""COMPUTED_VALUE"""),46000.707464722225)</f>
        <v>46000.70746</v>
      </c>
      <c r="B336" s="40" t="str">
        <f>IFERROR(__xludf.DUMMYFUNCTION("""COMPUTED_VALUE"""),"MARIA MELAN ANANCE BILI")</f>
        <v>MARIA MELAN ANANCE BILI</v>
      </c>
      <c r="C336" s="40" t="str">
        <f>IFERROR(__xludf.DUMMYFUNCTION("""COMPUTED_VALUE"""),"ACC")</f>
        <v>ACC</v>
      </c>
      <c r="D336" s="40" t="str">
        <f>IFERROR(__xludf.DUMMYFUNCTION("""COMPUTED_VALUE"""),"Y400 series")</f>
        <v>Y400 series</v>
      </c>
    </row>
    <row r="337">
      <c r="A337" s="39">
        <f>IFERROR(__xludf.DUMMYFUNCTION("""COMPUTED_VALUE"""),46000.72466763889)</f>
        <v>46000.72467</v>
      </c>
      <c r="B337" s="40" t="str">
        <f>IFERROR(__xludf.DUMMYFUNCTION("""COMPUTED_VALUE"""),"WARDIA")</f>
        <v>WARDIA</v>
      </c>
      <c r="C337" s="40" t="str">
        <f>IFERROR(__xludf.DUMMYFUNCTION("""COMPUTED_VALUE"""),"ACC")</f>
        <v>ACC</v>
      </c>
      <c r="D337" s="40" t="str">
        <f>IFERROR(__xludf.DUMMYFUNCTION("""COMPUTED_VALUE"""),"Y21d series")</f>
        <v>Y21d series</v>
      </c>
    </row>
    <row r="338">
      <c r="A338" s="39">
        <f>IFERROR(__xludf.DUMMYFUNCTION("""COMPUTED_VALUE"""),46000.73178601852)</f>
        <v>46000.73179</v>
      </c>
      <c r="B338" s="40" t="str">
        <f>IFERROR(__xludf.DUMMYFUNCTION("""COMPUTED_VALUE"""),"MARIA MELAN ANANCE BILI")</f>
        <v>MARIA MELAN ANANCE BILI</v>
      </c>
      <c r="C338" s="40" t="str">
        <f>IFERROR(__xludf.DUMMYFUNCTION("""COMPUTED_VALUE"""),"Belum disetujui")</f>
        <v>Belum disetujui</v>
      </c>
      <c r="D338" s="40"/>
    </row>
    <row r="339">
      <c r="A339" s="39">
        <f>IFERROR(__xludf.DUMMYFUNCTION("""COMPUTED_VALUE"""),46000.750495381944)</f>
        <v>46000.7505</v>
      </c>
      <c r="B339" s="40" t="str">
        <f>IFERROR(__xludf.DUMMYFUNCTION("""COMPUTED_VALUE"""),"BERGITHA NIA OLIN")</f>
        <v>BERGITHA NIA OLIN</v>
      </c>
      <c r="C339" s="40" t="str">
        <f>IFERROR(__xludf.DUMMYFUNCTION("""COMPUTED_VALUE"""),"Belum disetujui")</f>
        <v>Belum disetujui</v>
      </c>
      <c r="D339" s="40"/>
    </row>
    <row r="340">
      <c r="A340" s="39">
        <f>IFERROR(__xludf.DUMMYFUNCTION("""COMPUTED_VALUE"""),46000.75258936342)</f>
        <v>46000.75259</v>
      </c>
      <c r="B340" s="40" t="str">
        <f>IFERROR(__xludf.DUMMYFUNCTION("""COMPUTED_VALUE"""),"BERGITHA NIA OLIN")</f>
        <v>BERGITHA NIA OLIN</v>
      </c>
      <c r="C340" s="40" t="str">
        <f>IFERROR(__xludf.DUMMYFUNCTION("""COMPUTED_VALUE"""),"Belum disetujui")</f>
        <v>Belum disetujui</v>
      </c>
      <c r="D340" s="40"/>
    </row>
    <row r="341">
      <c r="A341" s="39">
        <f>IFERROR(__xludf.DUMMYFUNCTION("""COMPUTED_VALUE"""),46000.75535398148)</f>
        <v>46000.75535</v>
      </c>
      <c r="B341" s="40" t="str">
        <f>IFERROR(__xludf.DUMMYFUNCTION("""COMPUTED_VALUE"""),"BERGITHA NIA OLIN")</f>
        <v>BERGITHA NIA OLIN</v>
      </c>
      <c r="C341" s="40" t="str">
        <f>IFERROR(__xludf.DUMMYFUNCTION("""COMPUTED_VALUE"""),"Dapat limit tapi belum diproses")</f>
        <v>Dapat limit tapi belum diproses</v>
      </c>
      <c r="D341" s="40" t="str">
        <f>IFERROR(__xludf.DUMMYFUNCTION("""COMPUTED_VALUE"""),"Y21d series")</f>
        <v>Y21d series</v>
      </c>
    </row>
    <row r="342">
      <c r="A342" s="39">
        <f>IFERROR(__xludf.DUMMYFUNCTION("""COMPUTED_VALUE"""),46000.75678689815)</f>
        <v>46000.75679</v>
      </c>
      <c r="B342" s="40" t="str">
        <f>IFERROR(__xludf.DUMMYFUNCTION("""COMPUTED_VALUE"""),"SANTI MARIA LUKMINI NAHAK")</f>
        <v>SANTI MARIA LUKMINI NAHAK</v>
      </c>
      <c r="C342" s="40" t="str">
        <f>IFERROR(__xludf.DUMMYFUNCTION("""COMPUTED_VALUE"""),"Dapat limit tapi belum diproses")</f>
        <v>Dapat limit tapi belum diproses</v>
      </c>
      <c r="D342" s="40" t="str">
        <f>IFERROR(__xludf.DUMMYFUNCTION("""COMPUTED_VALUE"""),"Y21d series")</f>
        <v>Y21d series</v>
      </c>
    </row>
    <row r="343">
      <c r="A343" s="39">
        <f>IFERROR(__xludf.DUMMYFUNCTION("""COMPUTED_VALUE"""),46000.760363912035)</f>
        <v>46000.76036</v>
      </c>
      <c r="B343" s="40" t="str">
        <f>IFERROR(__xludf.DUMMYFUNCTION("""COMPUTED_VALUE"""),"YUNITA TAMELAB")</f>
        <v>YUNITA TAMELAB</v>
      </c>
      <c r="C343" s="40" t="str">
        <f>IFERROR(__xludf.DUMMYFUNCTION("""COMPUTED_VALUE"""),"Dapat limit tapi belum diproses")</f>
        <v>Dapat limit tapi belum diproses</v>
      </c>
      <c r="D343" s="40" t="str">
        <f>IFERROR(__xludf.DUMMYFUNCTION("""COMPUTED_VALUE"""),"Y400 series")</f>
        <v>Y400 series</v>
      </c>
    </row>
    <row r="344">
      <c r="A344" s="39">
        <f>IFERROR(__xludf.DUMMYFUNCTION("""COMPUTED_VALUE"""),46000.78075741898)</f>
        <v>46000.78076</v>
      </c>
      <c r="B344" s="40" t="str">
        <f>IFERROR(__xludf.DUMMYFUNCTION("""COMPUTED_VALUE"""),"AINI RAHMATINI NATALIA MOESTAKIM")</f>
        <v>AINI RAHMATINI NATALIA MOESTAKIM</v>
      </c>
      <c r="C344" s="40" t="str">
        <f>IFERROR(__xludf.DUMMYFUNCTION("""COMPUTED_VALUE"""),"Dapat limit tapi belum diproses")</f>
        <v>Dapat limit tapi belum diproses</v>
      </c>
      <c r="D344" s="40" t="str">
        <f>IFERROR(__xludf.DUMMYFUNCTION("""COMPUTED_VALUE"""),"Y21d series")</f>
        <v>Y21d series</v>
      </c>
    </row>
    <row r="345">
      <c r="A345" s="39">
        <f>IFERROR(__xludf.DUMMYFUNCTION("""COMPUTED_VALUE"""),46000.80313597222)</f>
        <v>46000.80314</v>
      </c>
      <c r="B345" s="40" t="str">
        <f>IFERROR(__xludf.DUMMYFUNCTION("""COMPUTED_VALUE"""),"NENY MERLIANTI NA'U")</f>
        <v>NENY MERLIANTI NA'U</v>
      </c>
      <c r="C345" s="40" t="str">
        <f>IFERROR(__xludf.DUMMYFUNCTION("""COMPUTED_VALUE"""),"Belum disetujui")</f>
        <v>Belum disetujui</v>
      </c>
      <c r="D345" s="40"/>
    </row>
    <row r="346">
      <c r="A346" s="39">
        <f>IFERROR(__xludf.DUMMYFUNCTION("""COMPUTED_VALUE"""),46000.80488174769)</f>
        <v>46000.80488</v>
      </c>
      <c r="B346" s="40" t="str">
        <f>IFERROR(__xludf.DUMMYFUNCTION("""COMPUTED_VALUE"""),"NENY MERLIANTI NA'U")</f>
        <v>NENY MERLIANTI NA'U</v>
      </c>
      <c r="C346" s="40" t="str">
        <f>IFERROR(__xludf.DUMMYFUNCTION("""COMPUTED_VALUE"""),"Belum disetujui")</f>
        <v>Belum disetujui</v>
      </c>
      <c r="D346" s="40"/>
    </row>
    <row r="347">
      <c r="A347" s="39">
        <f>IFERROR(__xludf.DUMMYFUNCTION("""COMPUTED_VALUE"""),46000.808070914354)</f>
        <v>46000.80807</v>
      </c>
      <c r="B347" s="40" t="str">
        <f>IFERROR(__xludf.DUMMYFUNCTION("""COMPUTED_VALUE"""),"KESIA NATALIA I. BENU")</f>
        <v>KESIA NATALIA I. BENU</v>
      </c>
      <c r="C347" s="40" t="str">
        <f>IFERROR(__xludf.DUMMYFUNCTION("""COMPUTED_VALUE"""),"Belum disetujui")</f>
        <v>Belum disetujui</v>
      </c>
      <c r="D347" s="40"/>
    </row>
    <row r="348">
      <c r="A348" s="39">
        <f>IFERROR(__xludf.DUMMYFUNCTION("""COMPUTED_VALUE"""),46000.810912534726)</f>
        <v>46000.81091</v>
      </c>
      <c r="B348" s="40" t="str">
        <f>IFERROR(__xludf.DUMMYFUNCTION("""COMPUTED_VALUE"""),"KESIA NATALIA I. BENU")</f>
        <v>KESIA NATALIA I. BENU</v>
      </c>
      <c r="C348" s="40" t="str">
        <f>IFERROR(__xludf.DUMMYFUNCTION("""COMPUTED_VALUE"""),"Belum disetujui")</f>
        <v>Belum disetujui</v>
      </c>
      <c r="D348" s="40"/>
    </row>
    <row r="349">
      <c r="A349" s="39">
        <f>IFERROR(__xludf.DUMMYFUNCTION("""COMPUTED_VALUE"""),46000.811353969904)</f>
        <v>46000.81135</v>
      </c>
      <c r="B349" s="40" t="str">
        <f>IFERROR(__xludf.DUMMYFUNCTION("""COMPUTED_VALUE"""),"EMPI FRANGKI LIEM")</f>
        <v>EMPI FRANGKI LIEM</v>
      </c>
      <c r="C349" s="40" t="str">
        <f>IFERROR(__xludf.DUMMYFUNCTION("""COMPUTED_VALUE"""),"ACC")</f>
        <v>ACC</v>
      </c>
      <c r="D349" s="40" t="str">
        <f>IFERROR(__xludf.DUMMYFUNCTION("""COMPUTED_VALUE"""),"Y400 series")</f>
        <v>Y400 series</v>
      </c>
    </row>
    <row r="350">
      <c r="A350" s="39">
        <f>IFERROR(__xludf.DUMMYFUNCTION("""COMPUTED_VALUE"""),46000.81366552084)</f>
        <v>46000.81367</v>
      </c>
      <c r="B350" s="40" t="str">
        <f>IFERROR(__xludf.DUMMYFUNCTION("""COMPUTED_VALUE"""),"KESIA NATALIA I. BENU")</f>
        <v>KESIA NATALIA I. BENU</v>
      </c>
      <c r="C350" s="40" t="str">
        <f>IFERROR(__xludf.DUMMYFUNCTION("""COMPUTED_VALUE"""),"Belum disetujui")</f>
        <v>Belum disetujui</v>
      </c>
      <c r="D350" s="40"/>
    </row>
    <row r="351">
      <c r="A351" s="39">
        <f>IFERROR(__xludf.DUMMYFUNCTION("""COMPUTED_VALUE"""),46000.830876099535)</f>
        <v>46000.83088</v>
      </c>
      <c r="B351" s="40" t="str">
        <f>IFERROR(__xludf.DUMMYFUNCTION("""COMPUTED_VALUE"""),"NENY MERLIANTI NA'U")</f>
        <v>NENY MERLIANTI NA'U</v>
      </c>
      <c r="C351" s="40" t="str">
        <f>IFERROR(__xludf.DUMMYFUNCTION("""COMPUTED_VALUE"""),"Belum disetujui")</f>
        <v>Belum disetujui</v>
      </c>
      <c r="D351" s="40"/>
    </row>
    <row r="352">
      <c r="A352" s="39">
        <f>IFERROR(__xludf.DUMMYFUNCTION("""COMPUTED_VALUE"""),46000.83226365741)</f>
        <v>46000.83226</v>
      </c>
      <c r="B352" s="40" t="str">
        <f>IFERROR(__xludf.DUMMYFUNCTION("""COMPUTED_VALUE"""),"YOHANIS TIPNONI")</f>
        <v>YOHANIS TIPNONI</v>
      </c>
      <c r="C352" s="40" t="str">
        <f>IFERROR(__xludf.DUMMYFUNCTION("""COMPUTED_VALUE"""),"ACC")</f>
        <v>ACC</v>
      </c>
      <c r="D352" s="40" t="str">
        <f>IFERROR(__xludf.DUMMYFUNCTION("""COMPUTED_VALUE"""),"Y21d series")</f>
        <v>Y21d series</v>
      </c>
    </row>
    <row r="353">
      <c r="A353" s="39">
        <f>IFERROR(__xludf.DUMMYFUNCTION("""COMPUTED_VALUE"""),46000.8532628588)</f>
        <v>46000.85326</v>
      </c>
      <c r="B353" s="40" t="str">
        <f>IFERROR(__xludf.DUMMYFUNCTION("""COMPUTED_VALUE"""),"AINI RAHMATINI NATALIA MOESTAKIM")</f>
        <v>AINI RAHMATINI NATALIA MOESTAKIM</v>
      </c>
      <c r="C353" s="40" t="str">
        <f>IFERROR(__xludf.DUMMYFUNCTION("""COMPUTED_VALUE"""),"Belum disetujui")</f>
        <v>Belum disetujui</v>
      </c>
      <c r="D353" s="40"/>
    </row>
    <row r="354">
      <c r="A354" s="39">
        <f>IFERROR(__xludf.DUMMYFUNCTION("""COMPUTED_VALUE"""),46000.8609235301)</f>
        <v>46000.86092</v>
      </c>
      <c r="B354" s="40" t="str">
        <f>IFERROR(__xludf.DUMMYFUNCTION("""COMPUTED_VALUE"""),"AZ ZAHRA SITI ZAINAB")</f>
        <v>AZ ZAHRA SITI ZAINAB</v>
      </c>
      <c r="C354" s="40" t="str">
        <f>IFERROR(__xludf.DUMMYFUNCTION("""COMPUTED_VALUE"""),"ACC")</f>
        <v>ACC</v>
      </c>
      <c r="D354" s="40" t="str">
        <f>IFERROR(__xludf.DUMMYFUNCTION("""COMPUTED_VALUE"""),"Y21d series")</f>
        <v>Y21d series</v>
      </c>
    </row>
    <row r="355">
      <c r="A355" s="39">
        <f>IFERROR(__xludf.DUMMYFUNCTION("""COMPUTED_VALUE"""),46000.882109143524)</f>
        <v>46000.88211</v>
      </c>
      <c r="B355" s="40" t="str">
        <f>IFERROR(__xludf.DUMMYFUNCTION("""COMPUTED_VALUE"""),"DWITNEY PRETY WANGGANDIMA")</f>
        <v>DWITNEY PRETY WANGGANDIMA</v>
      </c>
      <c r="C355" s="40" t="str">
        <f>IFERROR(__xludf.DUMMYFUNCTION("""COMPUTED_VALUE"""),"Belum disetujui")</f>
        <v>Belum disetujui</v>
      </c>
      <c r="D355" s="40"/>
    </row>
    <row r="356">
      <c r="A356" s="39">
        <f>IFERROR(__xludf.DUMMYFUNCTION("""COMPUTED_VALUE"""),46000.88409054398)</f>
        <v>46000.88409</v>
      </c>
      <c r="B356" s="40" t="str">
        <f>IFERROR(__xludf.DUMMYFUNCTION("""COMPUTED_VALUE"""),"WINDRI MANOE")</f>
        <v>WINDRI MANOE</v>
      </c>
      <c r="C356" s="40" t="str">
        <f>IFERROR(__xludf.DUMMYFUNCTION("""COMPUTED_VALUE"""),"Belum disetujui")</f>
        <v>Belum disetujui</v>
      </c>
      <c r="D356" s="40"/>
    </row>
    <row r="357">
      <c r="A357" s="39">
        <f>IFERROR(__xludf.DUMMYFUNCTION("""COMPUTED_VALUE"""),46000.885283194446)</f>
        <v>46000.88528</v>
      </c>
      <c r="B357" s="40" t="str">
        <f>IFERROR(__xludf.DUMMYFUNCTION("""COMPUTED_VALUE"""),"WINDRI MANOE")</f>
        <v>WINDRI MANOE</v>
      </c>
      <c r="C357" s="40" t="str">
        <f>IFERROR(__xludf.DUMMYFUNCTION("""COMPUTED_VALUE"""),"Belum disetujui")</f>
        <v>Belum disetujui</v>
      </c>
      <c r="D357" s="40"/>
    </row>
    <row r="358">
      <c r="A358" s="39">
        <f>IFERROR(__xludf.DUMMYFUNCTION("""COMPUTED_VALUE"""),46000.88634104167)</f>
        <v>46000.88634</v>
      </c>
      <c r="B358" s="40" t="str">
        <f>IFERROR(__xludf.DUMMYFUNCTION("""COMPUTED_VALUE"""),"IRENE NOVALIA KADJU")</f>
        <v>IRENE NOVALIA KADJU</v>
      </c>
      <c r="C358" s="40" t="str">
        <f>IFERROR(__xludf.DUMMYFUNCTION("""COMPUTED_VALUE"""),"Belum disetujui")</f>
        <v>Belum disetujui</v>
      </c>
      <c r="D358" s="40"/>
    </row>
    <row r="359">
      <c r="A359" s="39">
        <f>IFERROR(__xludf.DUMMYFUNCTION("""COMPUTED_VALUE"""),46000.8953318287)</f>
        <v>46000.89533</v>
      </c>
      <c r="B359" s="40" t="str">
        <f>IFERROR(__xludf.DUMMYFUNCTION("""COMPUTED_VALUE"""),"RESTIANY MARIA LUAN KALI")</f>
        <v>RESTIANY MARIA LUAN KALI</v>
      </c>
      <c r="C359" s="40" t="str">
        <f>IFERROR(__xludf.DUMMYFUNCTION("""COMPUTED_VALUE"""),"ACC")</f>
        <v>ACC</v>
      </c>
      <c r="D359" s="40" t="str">
        <f>IFERROR(__xludf.DUMMYFUNCTION("""COMPUTED_VALUE"""),"Y21d series")</f>
        <v>Y21d series</v>
      </c>
    </row>
    <row r="360">
      <c r="A360" s="39">
        <f>IFERROR(__xludf.DUMMYFUNCTION("""COMPUTED_VALUE"""),46000.910010254636)</f>
        <v>46000.91001</v>
      </c>
      <c r="B360" s="40" t="str">
        <f>IFERROR(__xludf.DUMMYFUNCTION("""COMPUTED_VALUE"""),"DEWI RAHMAN")</f>
        <v>DEWI RAHMAN</v>
      </c>
      <c r="C360" s="40" t="str">
        <f>IFERROR(__xludf.DUMMYFUNCTION("""COMPUTED_VALUE"""),"Belum disetujui")</f>
        <v>Belum disetujui</v>
      </c>
      <c r="D360" s="40"/>
    </row>
    <row r="361">
      <c r="A361" s="39">
        <f>IFERROR(__xludf.DUMMYFUNCTION("""COMPUTED_VALUE"""),46001.43890453703)</f>
        <v>46001.4389</v>
      </c>
      <c r="B361" s="40" t="str">
        <f>IFERROR(__xludf.DUMMYFUNCTION("""COMPUTED_VALUE"""),"YUNITA TAMELAB")</f>
        <v>YUNITA TAMELAB</v>
      </c>
      <c r="C361" s="40" t="str">
        <f>IFERROR(__xludf.DUMMYFUNCTION("""COMPUTED_VALUE"""),"Belum disetujui")</f>
        <v>Belum disetujui</v>
      </c>
      <c r="D361" s="40"/>
    </row>
    <row r="362">
      <c r="A362" s="39">
        <f>IFERROR(__xludf.DUMMYFUNCTION("""COMPUTED_VALUE"""),46001.46832240741)</f>
        <v>46001.46832</v>
      </c>
      <c r="B362" s="40" t="str">
        <f>IFERROR(__xludf.DUMMYFUNCTION("""COMPUTED_VALUE"""),"NUR FATIMAH MOLBANG")</f>
        <v>NUR FATIMAH MOLBANG</v>
      </c>
      <c r="C362" s="40" t="str">
        <f>IFERROR(__xludf.DUMMYFUNCTION("""COMPUTED_VALUE"""),"Belum disetujui")</f>
        <v>Belum disetujui</v>
      </c>
      <c r="D362" s="40"/>
    </row>
    <row r="363">
      <c r="A363" s="39">
        <f>IFERROR(__xludf.DUMMYFUNCTION("""COMPUTED_VALUE"""),46001.47021475694)</f>
        <v>46001.47021</v>
      </c>
      <c r="B363" s="40" t="str">
        <f>IFERROR(__xludf.DUMMYFUNCTION("""COMPUTED_VALUE"""),"NUR FATIMAH MOLBANG")</f>
        <v>NUR FATIMAH MOLBANG</v>
      </c>
      <c r="C363" s="40" t="str">
        <f>IFERROR(__xludf.DUMMYFUNCTION("""COMPUTED_VALUE"""),"Belum disetujui")</f>
        <v>Belum disetujui</v>
      </c>
      <c r="D363" s="40"/>
    </row>
    <row r="364">
      <c r="A364" s="39">
        <f>IFERROR(__xludf.DUMMYFUNCTION("""COMPUTED_VALUE"""),46001.50271864583)</f>
        <v>46001.50272</v>
      </c>
      <c r="B364" s="40" t="str">
        <f>IFERROR(__xludf.DUMMYFUNCTION("""COMPUTED_VALUE"""),"MARNITHA JUWIKE TIMORATI RUNESI")</f>
        <v>MARNITHA JUWIKE TIMORATI RUNESI</v>
      </c>
      <c r="C364" s="40" t="str">
        <f>IFERROR(__xludf.DUMMYFUNCTION("""COMPUTED_VALUE"""),"Dapat limit tapi belum diproses")</f>
        <v>Dapat limit tapi belum diproses</v>
      </c>
      <c r="D364" s="40" t="str">
        <f>IFERROR(__xludf.DUMMYFUNCTION("""COMPUTED_VALUE"""),"Y400 series")</f>
        <v>Y400 series</v>
      </c>
    </row>
    <row r="365">
      <c r="A365" s="39">
        <f>IFERROR(__xludf.DUMMYFUNCTION("""COMPUTED_VALUE"""),46001.503755115744)</f>
        <v>46001.50376</v>
      </c>
      <c r="B365" s="40" t="str">
        <f>IFERROR(__xludf.DUMMYFUNCTION("""COMPUTED_VALUE"""),"MARNITHA JUWIKE TIMORATI RUNESI")</f>
        <v>MARNITHA JUWIKE TIMORATI RUNESI</v>
      </c>
      <c r="C365" s="40" t="str">
        <f>IFERROR(__xludf.DUMMYFUNCTION("""COMPUTED_VALUE"""),"Dapat limit tapi belum diproses")</f>
        <v>Dapat limit tapi belum diproses</v>
      </c>
      <c r="D365" s="40" t="str">
        <f>IFERROR(__xludf.DUMMYFUNCTION("""COMPUTED_VALUE"""),"Y400 series")</f>
        <v>Y400 series</v>
      </c>
    </row>
    <row r="366">
      <c r="A366" s="39">
        <f>IFERROR(__xludf.DUMMYFUNCTION("""COMPUTED_VALUE"""),46001.509934016205)</f>
        <v>46001.50993</v>
      </c>
      <c r="B366" s="40" t="str">
        <f>IFERROR(__xludf.DUMMYFUNCTION("""COMPUTED_VALUE"""),"WARDIA")</f>
        <v>WARDIA</v>
      </c>
      <c r="C366" s="40" t="str">
        <f>IFERROR(__xludf.DUMMYFUNCTION("""COMPUTED_VALUE"""),"ACC")</f>
        <v>ACC</v>
      </c>
      <c r="D366" s="40" t="str">
        <f>IFERROR(__xludf.DUMMYFUNCTION("""COMPUTED_VALUE"""),"Y21d series")</f>
        <v>Y21d series</v>
      </c>
    </row>
    <row r="367">
      <c r="A367" s="39">
        <f>IFERROR(__xludf.DUMMYFUNCTION("""COMPUTED_VALUE"""),46001.513858715276)</f>
        <v>46001.51386</v>
      </c>
      <c r="B367" s="40" t="str">
        <f>IFERROR(__xludf.DUMMYFUNCTION("""COMPUTED_VALUE"""),"MARATHA MARLINDA FANGGIDAE")</f>
        <v>MARATHA MARLINDA FANGGIDAE</v>
      </c>
      <c r="C367" s="40" t="str">
        <f>IFERROR(__xludf.DUMMYFUNCTION("""COMPUTED_VALUE"""),"Belum disetujui")</f>
        <v>Belum disetujui</v>
      </c>
      <c r="D367" s="40"/>
    </row>
    <row r="368">
      <c r="A368" s="39">
        <f>IFERROR(__xludf.DUMMYFUNCTION("""COMPUTED_VALUE"""),46001.524462361114)</f>
        <v>46001.52446</v>
      </c>
      <c r="B368" s="40" t="str">
        <f>IFERROR(__xludf.DUMMYFUNCTION("""COMPUTED_VALUE"""),"ANGELA BOUKA BERI")</f>
        <v>ANGELA BOUKA BERI</v>
      </c>
      <c r="C368" s="40" t="str">
        <f>IFERROR(__xludf.DUMMYFUNCTION("""COMPUTED_VALUE"""),"ACC")</f>
        <v>ACC</v>
      </c>
      <c r="D368" s="40" t="str">
        <f>IFERROR(__xludf.DUMMYFUNCTION("""COMPUTED_VALUE"""),"Y21d series")</f>
        <v>Y21d series</v>
      </c>
    </row>
    <row r="369">
      <c r="A369" s="39">
        <f>IFERROR(__xludf.DUMMYFUNCTION("""COMPUTED_VALUE"""),46001.533587962964)</f>
        <v>46001.53359</v>
      </c>
      <c r="B369" s="40" t="str">
        <f>IFERROR(__xludf.DUMMYFUNCTION("""COMPUTED_VALUE"""),"AZ ZAHRA SITI ZAINAB")</f>
        <v>AZ ZAHRA SITI ZAINAB</v>
      </c>
      <c r="C369" s="40" t="str">
        <f>IFERROR(__xludf.DUMMYFUNCTION("""COMPUTED_VALUE"""),"ACC")</f>
        <v>ACC</v>
      </c>
      <c r="D369" s="40" t="str">
        <f>IFERROR(__xludf.DUMMYFUNCTION("""COMPUTED_VALUE"""),"Y400 series")</f>
        <v>Y400 series</v>
      </c>
    </row>
    <row r="370">
      <c r="A370" s="39">
        <f>IFERROR(__xludf.DUMMYFUNCTION("""COMPUTED_VALUE"""),46001.55564747685)</f>
        <v>46001.55565</v>
      </c>
      <c r="B370" s="40" t="str">
        <f>IFERROR(__xludf.DUMMYFUNCTION("""COMPUTED_VALUE"""),"PUSPA ANGGREINI")</f>
        <v>PUSPA ANGGREINI</v>
      </c>
      <c r="C370" s="40" t="str">
        <f>IFERROR(__xludf.DUMMYFUNCTION("""COMPUTED_VALUE"""),"ACC")</f>
        <v>ACC</v>
      </c>
      <c r="D370" s="40" t="str">
        <f>IFERROR(__xludf.DUMMYFUNCTION("""COMPUTED_VALUE"""),"Y21d series")</f>
        <v>Y21d series</v>
      </c>
    </row>
    <row r="371">
      <c r="A371" s="39">
        <f>IFERROR(__xludf.DUMMYFUNCTION("""COMPUTED_VALUE"""),46001.55845498842)</f>
        <v>46001.55845</v>
      </c>
      <c r="B371" s="40" t="str">
        <f>IFERROR(__xludf.DUMMYFUNCTION("""COMPUTED_VALUE"""),"PUSPA ANGGREINI")</f>
        <v>PUSPA ANGGREINI</v>
      </c>
      <c r="C371" s="40" t="str">
        <f>IFERROR(__xludf.DUMMYFUNCTION("""COMPUTED_VALUE"""),"Belum disetujui")</f>
        <v>Belum disetujui</v>
      </c>
      <c r="D371" s="40"/>
    </row>
    <row r="372">
      <c r="A372" s="39">
        <f>IFERROR(__xludf.DUMMYFUNCTION("""COMPUTED_VALUE"""),46001.56659895833)</f>
        <v>46001.5666</v>
      </c>
      <c r="B372" s="40" t="str">
        <f>IFERROR(__xludf.DUMMYFUNCTION("""COMPUTED_VALUE"""),"IDMAL YUSDIRAN YUSUF")</f>
        <v>IDMAL YUSDIRAN YUSUF</v>
      </c>
      <c r="C372" s="40" t="str">
        <f>IFERROR(__xludf.DUMMYFUNCTION("""COMPUTED_VALUE"""),"ACC")</f>
        <v>ACC</v>
      </c>
      <c r="D372" s="40" t="str">
        <f>IFERROR(__xludf.DUMMYFUNCTION("""COMPUTED_VALUE"""),"V60 Lite series")</f>
        <v>V60 Lite series</v>
      </c>
    </row>
    <row r="373">
      <c r="A373" s="39">
        <f>IFERROR(__xludf.DUMMYFUNCTION("""COMPUTED_VALUE"""),46001.57286260417)</f>
        <v>46001.57286</v>
      </c>
      <c r="B373" s="40" t="str">
        <f>IFERROR(__xludf.DUMMYFUNCTION("""COMPUTED_VALUE"""),"NUR FATIMAH MOLBANG")</f>
        <v>NUR FATIMAH MOLBANG</v>
      </c>
      <c r="C373" s="40" t="str">
        <f>IFERROR(__xludf.DUMMYFUNCTION("""COMPUTED_VALUE"""),"Belum disetujui")</f>
        <v>Belum disetujui</v>
      </c>
      <c r="D373" s="40"/>
    </row>
    <row r="374">
      <c r="A374" s="39">
        <f>IFERROR(__xludf.DUMMYFUNCTION("""COMPUTED_VALUE"""),46001.57659895833)</f>
        <v>46001.5766</v>
      </c>
      <c r="B374" s="40" t="str">
        <f>IFERROR(__xludf.DUMMYFUNCTION("""COMPUTED_VALUE"""),"SELVINCE BAKO")</f>
        <v>SELVINCE BAKO</v>
      </c>
      <c r="C374" s="40" t="str">
        <f>IFERROR(__xludf.DUMMYFUNCTION("""COMPUTED_VALUE"""),"Belum disetujui")</f>
        <v>Belum disetujui</v>
      </c>
      <c r="D374" s="40"/>
    </row>
    <row r="375">
      <c r="A375" s="39">
        <f>IFERROR(__xludf.DUMMYFUNCTION("""COMPUTED_VALUE"""),46001.57990256944)</f>
        <v>46001.5799</v>
      </c>
      <c r="B375" s="40" t="str">
        <f>IFERROR(__xludf.DUMMYFUNCTION("""COMPUTED_VALUE"""),"SKOLASTIKA B TAUNAES")</f>
        <v>SKOLASTIKA B TAUNAES</v>
      </c>
      <c r="C375" s="40" t="str">
        <f>IFERROR(__xludf.DUMMYFUNCTION("""COMPUTED_VALUE"""),"Belum disetujui")</f>
        <v>Belum disetujui</v>
      </c>
      <c r="D375" s="40"/>
    </row>
    <row r="376">
      <c r="A376" s="39">
        <f>IFERROR(__xludf.DUMMYFUNCTION("""COMPUTED_VALUE"""),46001.58038310185)</f>
        <v>46001.58038</v>
      </c>
      <c r="B376" s="40" t="str">
        <f>IFERROR(__xludf.DUMMYFUNCTION("""COMPUTED_VALUE"""),"SELVINCE BAKO")</f>
        <v>SELVINCE BAKO</v>
      </c>
      <c r="C376" s="40" t="str">
        <f>IFERROR(__xludf.DUMMYFUNCTION("""COMPUTED_VALUE"""),"Belum disetujui")</f>
        <v>Belum disetujui</v>
      </c>
      <c r="D376" s="40"/>
    </row>
    <row r="377">
      <c r="A377" s="39">
        <f>IFERROR(__xludf.DUMMYFUNCTION("""COMPUTED_VALUE"""),46001.58171578703)</f>
        <v>46001.58172</v>
      </c>
      <c r="B377" s="40" t="str">
        <f>IFERROR(__xludf.DUMMYFUNCTION("""COMPUTED_VALUE"""),"NOVLIANA BARBALINA MISA")</f>
        <v>NOVLIANA BARBALINA MISA</v>
      </c>
      <c r="C377" s="40" t="str">
        <f>IFERROR(__xludf.DUMMYFUNCTION("""COMPUTED_VALUE"""),"Dapat limit tapi belum diproses")</f>
        <v>Dapat limit tapi belum diproses</v>
      </c>
      <c r="D377" s="40" t="str">
        <f>IFERROR(__xludf.DUMMYFUNCTION("""COMPUTED_VALUE"""),"Y21d series")</f>
        <v>Y21d series</v>
      </c>
    </row>
    <row r="378">
      <c r="A378" s="39">
        <f>IFERROR(__xludf.DUMMYFUNCTION("""COMPUTED_VALUE"""),46001.58259274305)</f>
        <v>46001.58259</v>
      </c>
      <c r="B378" s="40" t="str">
        <f>IFERROR(__xludf.DUMMYFUNCTION("""COMPUTED_VALUE"""),"SKOLASTIKA B TAUNAES")</f>
        <v>SKOLASTIKA B TAUNAES</v>
      </c>
      <c r="C378" s="40" t="str">
        <f>IFERROR(__xludf.DUMMYFUNCTION("""COMPUTED_VALUE"""),"Dapat limit tapi belum diproses")</f>
        <v>Dapat limit tapi belum diproses</v>
      </c>
      <c r="D378" s="40" t="str">
        <f>IFERROR(__xludf.DUMMYFUNCTION("""COMPUTED_VALUE"""),"V60 Lite series")</f>
        <v>V60 Lite series</v>
      </c>
    </row>
    <row r="379">
      <c r="A379" s="39">
        <f>IFERROR(__xludf.DUMMYFUNCTION("""COMPUTED_VALUE"""),46001.58377547453)</f>
        <v>46001.58378</v>
      </c>
      <c r="B379" s="40" t="str">
        <f>IFERROR(__xludf.DUMMYFUNCTION("""COMPUTED_VALUE"""),"SELVINCE BAKO")</f>
        <v>SELVINCE BAKO</v>
      </c>
      <c r="C379" s="40" t="str">
        <f>IFERROR(__xludf.DUMMYFUNCTION("""COMPUTED_VALUE"""),"Belum disetujui")</f>
        <v>Belum disetujui</v>
      </c>
      <c r="D379" s="40"/>
    </row>
    <row r="380">
      <c r="A380" s="39">
        <f>IFERROR(__xludf.DUMMYFUNCTION("""COMPUTED_VALUE"""),46001.58425108796)</f>
        <v>46001.58425</v>
      </c>
      <c r="B380" s="40" t="str">
        <f>IFERROR(__xludf.DUMMYFUNCTION("""COMPUTED_VALUE"""),"SKOLASTIKA B TAUNAES")</f>
        <v>SKOLASTIKA B TAUNAES</v>
      </c>
      <c r="C380" s="40" t="str">
        <f>IFERROR(__xludf.DUMMYFUNCTION("""COMPUTED_VALUE"""),"Dapat limit tapi belum diproses")</f>
        <v>Dapat limit tapi belum diproses</v>
      </c>
      <c r="D380" s="40" t="str">
        <f>IFERROR(__xludf.DUMMYFUNCTION("""COMPUTED_VALUE"""),"Y21d series")</f>
        <v>Y21d series</v>
      </c>
    </row>
    <row r="381">
      <c r="A381" s="39">
        <f>IFERROR(__xludf.DUMMYFUNCTION("""COMPUTED_VALUE"""),46001.585894166674)</f>
        <v>46001.58589</v>
      </c>
      <c r="B381" s="40" t="str">
        <f>IFERROR(__xludf.DUMMYFUNCTION("""COMPUTED_VALUE"""),"SELVINCE BAKO")</f>
        <v>SELVINCE BAKO</v>
      </c>
      <c r="C381" s="40" t="str">
        <f>IFERROR(__xludf.DUMMYFUNCTION("""COMPUTED_VALUE"""),"Belum disetujui")</f>
        <v>Belum disetujui</v>
      </c>
      <c r="D381" s="40"/>
    </row>
    <row r="382">
      <c r="A382" s="39">
        <f>IFERROR(__xludf.DUMMYFUNCTION("""COMPUTED_VALUE"""),46001.58946076389)</f>
        <v>46001.58946</v>
      </c>
      <c r="B382" s="40" t="str">
        <f>IFERROR(__xludf.DUMMYFUNCTION("""COMPUTED_VALUE"""),"SELVINCE BAKO")</f>
        <v>SELVINCE BAKO</v>
      </c>
      <c r="C382" s="40" t="str">
        <f>IFERROR(__xludf.DUMMYFUNCTION("""COMPUTED_VALUE"""),"Belum disetujui")</f>
        <v>Belum disetujui</v>
      </c>
      <c r="D382" s="40"/>
    </row>
    <row r="383">
      <c r="A383" s="39">
        <f>IFERROR(__xludf.DUMMYFUNCTION("""COMPUTED_VALUE"""),46001.58970175926)</f>
        <v>46001.5897</v>
      </c>
      <c r="B383" s="40" t="str">
        <f>IFERROR(__xludf.DUMMYFUNCTION("""COMPUTED_VALUE"""),"SKOLASTIKA B TAUNAES")</f>
        <v>SKOLASTIKA B TAUNAES</v>
      </c>
      <c r="C383" s="40" t="str">
        <f>IFERROR(__xludf.DUMMYFUNCTION("""COMPUTED_VALUE"""),"Belum disetujui")</f>
        <v>Belum disetujui</v>
      </c>
      <c r="D383" s="40"/>
    </row>
    <row r="384">
      <c r="A384" s="39">
        <f>IFERROR(__xludf.DUMMYFUNCTION("""COMPUTED_VALUE"""),46001.59178783565)</f>
        <v>46001.59179</v>
      </c>
      <c r="B384" s="40" t="str">
        <f>IFERROR(__xludf.DUMMYFUNCTION("""COMPUTED_VALUE"""),"SELVINCE BAKO")</f>
        <v>SELVINCE BAKO</v>
      </c>
      <c r="C384" s="40" t="str">
        <f>IFERROR(__xludf.DUMMYFUNCTION("""COMPUTED_VALUE"""),"Belum disetujui")</f>
        <v>Belum disetujui</v>
      </c>
      <c r="D384" s="40"/>
    </row>
    <row r="385">
      <c r="A385" s="39">
        <f>IFERROR(__xludf.DUMMYFUNCTION("""COMPUTED_VALUE"""),46001.59253184028)</f>
        <v>46001.59253</v>
      </c>
      <c r="B385" s="40" t="str">
        <f>IFERROR(__xludf.DUMMYFUNCTION("""COMPUTED_VALUE"""),"MEXY ALEXANDER HETMINA")</f>
        <v>MEXY ALEXANDER HETMINA</v>
      </c>
      <c r="C385" s="40" t="str">
        <f>IFERROR(__xludf.DUMMYFUNCTION("""COMPUTED_VALUE"""),"ACC")</f>
        <v>ACC</v>
      </c>
      <c r="D385" s="40" t="str">
        <f>IFERROR(__xludf.DUMMYFUNCTION("""COMPUTED_VALUE"""),"Y400 series")</f>
        <v>Y400 series</v>
      </c>
    </row>
    <row r="386">
      <c r="A386" s="39">
        <f>IFERROR(__xludf.DUMMYFUNCTION("""COMPUTED_VALUE"""),46001.59442559027)</f>
        <v>46001.59443</v>
      </c>
      <c r="B386" s="40" t="str">
        <f>IFERROR(__xludf.DUMMYFUNCTION("""COMPUTED_VALUE"""),"SELVINCE BAKO")</f>
        <v>SELVINCE BAKO</v>
      </c>
      <c r="C386" s="40" t="str">
        <f>IFERROR(__xludf.DUMMYFUNCTION("""COMPUTED_VALUE"""),"Belum disetujui")</f>
        <v>Belum disetujui</v>
      </c>
      <c r="D386" s="40"/>
    </row>
    <row r="387">
      <c r="A387" s="39">
        <f>IFERROR(__xludf.DUMMYFUNCTION("""COMPUTED_VALUE"""),46001.59894275464)</f>
        <v>46001.59894</v>
      </c>
      <c r="B387" s="40" t="str">
        <f>IFERROR(__xludf.DUMMYFUNCTION("""COMPUTED_VALUE"""),"YUNITA TAMELAB")</f>
        <v>YUNITA TAMELAB</v>
      </c>
      <c r="C387" s="40" t="str">
        <f>IFERROR(__xludf.DUMMYFUNCTION("""COMPUTED_VALUE"""),"Belum disetujui")</f>
        <v>Belum disetujui</v>
      </c>
      <c r="D387" s="40"/>
    </row>
    <row r="388">
      <c r="A388" s="39">
        <f>IFERROR(__xludf.DUMMYFUNCTION("""COMPUTED_VALUE"""),46001.599078252315)</f>
        <v>46001.59908</v>
      </c>
      <c r="B388" s="40" t="str">
        <f>IFERROR(__xludf.DUMMYFUNCTION("""COMPUTED_VALUE"""),"SELVINCE BAKO")</f>
        <v>SELVINCE BAKO</v>
      </c>
      <c r="C388" s="40" t="str">
        <f>IFERROR(__xludf.DUMMYFUNCTION("""COMPUTED_VALUE"""),"Belum disetujui")</f>
        <v>Belum disetujui</v>
      </c>
      <c r="D388" s="40"/>
    </row>
    <row r="389">
      <c r="A389" s="39">
        <f>IFERROR(__xludf.DUMMYFUNCTION("""COMPUTED_VALUE"""),46001.60041758102)</f>
        <v>46001.60042</v>
      </c>
      <c r="B389" s="40" t="str">
        <f>IFERROR(__xludf.DUMMYFUNCTION("""COMPUTED_VALUE"""),"PUSPA ANGGREINI")</f>
        <v>PUSPA ANGGREINI</v>
      </c>
      <c r="C389" s="40" t="str">
        <f>IFERROR(__xludf.DUMMYFUNCTION("""COMPUTED_VALUE"""),"ACC")</f>
        <v>ACC</v>
      </c>
      <c r="D389" s="40" t="str">
        <f>IFERROR(__xludf.DUMMYFUNCTION("""COMPUTED_VALUE"""),"V60 Lite series")</f>
        <v>V60 Lite series</v>
      </c>
    </row>
    <row r="390">
      <c r="A390" s="39">
        <f>IFERROR(__xludf.DUMMYFUNCTION("""COMPUTED_VALUE"""),46001.60427585648)</f>
        <v>46001.60428</v>
      </c>
      <c r="B390" s="40" t="str">
        <f>IFERROR(__xludf.DUMMYFUNCTION("""COMPUTED_VALUE"""),"SULIS NURAINI INSYATUN")</f>
        <v>SULIS NURAINI INSYATUN</v>
      </c>
      <c r="C390" s="40" t="str">
        <f>IFERROR(__xludf.DUMMYFUNCTION("""COMPUTED_VALUE"""),"ACC")</f>
        <v>ACC</v>
      </c>
      <c r="D390" s="40" t="str">
        <f>IFERROR(__xludf.DUMMYFUNCTION("""COMPUTED_VALUE"""),"Y21d series")</f>
        <v>Y21d series</v>
      </c>
    </row>
    <row r="391">
      <c r="A391" s="39">
        <f>IFERROR(__xludf.DUMMYFUNCTION("""COMPUTED_VALUE"""),46001.63414819444)</f>
        <v>46001.63415</v>
      </c>
      <c r="B391" s="40" t="str">
        <f>IFERROR(__xludf.DUMMYFUNCTION("""COMPUTED_VALUE"""),"ALDIANA WELIA PANIE")</f>
        <v>ALDIANA WELIA PANIE</v>
      </c>
      <c r="C391" s="40" t="str">
        <f>IFERROR(__xludf.DUMMYFUNCTION("""COMPUTED_VALUE"""),"ACC")</f>
        <v>ACC</v>
      </c>
      <c r="D391" s="40" t="str">
        <f>IFERROR(__xludf.DUMMYFUNCTION("""COMPUTED_VALUE"""),"V60 series")</f>
        <v>V60 series</v>
      </c>
    </row>
    <row r="392">
      <c r="A392" s="39">
        <f>IFERROR(__xludf.DUMMYFUNCTION("""COMPUTED_VALUE"""),46001.637511678244)</f>
        <v>46001.63751</v>
      </c>
      <c r="B392" s="40" t="str">
        <f>IFERROR(__xludf.DUMMYFUNCTION("""COMPUTED_VALUE"""),"NOVLIANA BARBALINA MISA")</f>
        <v>NOVLIANA BARBALINA MISA</v>
      </c>
      <c r="C392" s="40" t="str">
        <f>IFERROR(__xludf.DUMMYFUNCTION("""COMPUTED_VALUE"""),"Belum disetujui")</f>
        <v>Belum disetujui</v>
      </c>
      <c r="D392" s="40"/>
    </row>
    <row r="393">
      <c r="A393" s="39">
        <f>IFERROR(__xludf.DUMMYFUNCTION("""COMPUTED_VALUE"""),46001.65869833333)</f>
        <v>46001.6587</v>
      </c>
      <c r="B393" s="40" t="str">
        <f>IFERROR(__xludf.DUMMYFUNCTION("""COMPUTED_VALUE"""),"YUNITA TAMELAB")</f>
        <v>YUNITA TAMELAB</v>
      </c>
      <c r="C393" s="40" t="str">
        <f>IFERROR(__xludf.DUMMYFUNCTION("""COMPUTED_VALUE"""),"Belum disetujui")</f>
        <v>Belum disetujui</v>
      </c>
      <c r="D393" s="40"/>
    </row>
    <row r="394">
      <c r="A394" s="39">
        <f>IFERROR(__xludf.DUMMYFUNCTION("""COMPUTED_VALUE"""),46001.6656702662)</f>
        <v>46001.66567</v>
      </c>
      <c r="B394" s="40" t="str">
        <f>IFERROR(__xludf.DUMMYFUNCTION("""COMPUTED_VALUE"""),"MARIA MELAN ANANCE BILI")</f>
        <v>MARIA MELAN ANANCE BILI</v>
      </c>
      <c r="C394" s="40" t="str">
        <f>IFERROR(__xludf.DUMMYFUNCTION("""COMPUTED_VALUE"""),"Belum disetujui")</f>
        <v>Belum disetujui</v>
      </c>
      <c r="D394" s="40"/>
    </row>
    <row r="395">
      <c r="A395" s="39">
        <f>IFERROR(__xludf.DUMMYFUNCTION("""COMPUTED_VALUE"""),46001.666603923615)</f>
        <v>46001.6666</v>
      </c>
      <c r="B395" s="40" t="str">
        <f>IFERROR(__xludf.DUMMYFUNCTION("""COMPUTED_VALUE"""),"ANYARMITHA SOPHIA SUEK")</f>
        <v>ANYARMITHA SOPHIA SUEK</v>
      </c>
      <c r="C395" s="40" t="str">
        <f>IFERROR(__xludf.DUMMYFUNCTION("""COMPUTED_VALUE"""),"Belum disetujui")</f>
        <v>Belum disetujui</v>
      </c>
      <c r="D395" s="40"/>
    </row>
    <row r="396">
      <c r="A396" s="39">
        <f>IFERROR(__xludf.DUMMYFUNCTION("""COMPUTED_VALUE"""),46001.70597082176)</f>
        <v>46001.70597</v>
      </c>
      <c r="B396" s="40" t="str">
        <f>IFERROR(__xludf.DUMMYFUNCTION("""COMPUTED_VALUE"""),"ARMINDA TEKU MANEK")</f>
        <v>ARMINDA TEKU MANEK</v>
      </c>
      <c r="C396" s="40" t="str">
        <f>IFERROR(__xludf.DUMMYFUNCTION("""COMPUTED_VALUE"""),"Belum disetujui")</f>
        <v>Belum disetujui</v>
      </c>
      <c r="D396" s="40"/>
    </row>
    <row r="397">
      <c r="A397" s="39">
        <f>IFERROR(__xludf.DUMMYFUNCTION("""COMPUTED_VALUE"""),46001.711582916665)</f>
        <v>46001.71158</v>
      </c>
      <c r="B397" s="40" t="str">
        <f>IFERROR(__xludf.DUMMYFUNCTION("""COMPUTED_VALUE"""),"MEXY ALEXANDER HETMINA")</f>
        <v>MEXY ALEXANDER HETMINA</v>
      </c>
      <c r="C397" s="40" t="str">
        <f>IFERROR(__xludf.DUMMYFUNCTION("""COMPUTED_VALUE"""),"Dapat limit tapi belum diproses")</f>
        <v>Dapat limit tapi belum diproses</v>
      </c>
      <c r="D397" s="40" t="str">
        <f>IFERROR(__xludf.DUMMYFUNCTION("""COMPUTED_VALUE"""),"V60 series")</f>
        <v>V60 series</v>
      </c>
    </row>
    <row r="398">
      <c r="A398" s="39">
        <f>IFERROR(__xludf.DUMMYFUNCTION("""COMPUTED_VALUE"""),46001.71494355325)</f>
        <v>46001.71494</v>
      </c>
      <c r="B398" s="40" t="str">
        <f>IFERROR(__xludf.DUMMYFUNCTION("""COMPUTED_VALUE"""),"MERDA PUTRI BUNGSU KENAT")</f>
        <v>MERDA PUTRI BUNGSU KENAT</v>
      </c>
      <c r="C398" s="40" t="str">
        <f>IFERROR(__xludf.DUMMYFUNCTION("""COMPUTED_VALUE"""),"ACC")</f>
        <v>ACC</v>
      </c>
      <c r="D398" s="40" t="str">
        <f>IFERROR(__xludf.DUMMYFUNCTION("""COMPUTED_VALUE"""),"V60 series")</f>
        <v>V60 series</v>
      </c>
    </row>
    <row r="399">
      <c r="A399" s="39"/>
    </row>
    <row r="400">
      <c r="A400" s="39"/>
    </row>
    <row r="401">
      <c r="A401" s="39"/>
    </row>
    <row r="402">
      <c r="A402" s="39"/>
    </row>
    <row r="403">
      <c r="A403" s="39"/>
    </row>
    <row r="404">
      <c r="A404" s="39"/>
    </row>
    <row r="405">
      <c r="A405" s="39"/>
    </row>
    <row r="406">
      <c r="A406" s="39"/>
    </row>
    <row r="407">
      <c r="A407" s="39"/>
    </row>
    <row r="408">
      <c r="A408" s="39"/>
    </row>
    <row r="409">
      <c r="A409" s="39"/>
    </row>
    <row r="410">
      <c r="A410" s="39"/>
    </row>
    <row r="411">
      <c r="A411" s="39"/>
    </row>
    <row r="412">
      <c r="A412" s="39"/>
    </row>
    <row r="413">
      <c r="A413" s="39"/>
    </row>
    <row r="414">
      <c r="A414" s="39"/>
    </row>
    <row r="415">
      <c r="A415" s="39"/>
    </row>
    <row r="416">
      <c r="A416" s="39"/>
    </row>
    <row r="417">
      <c r="A417" s="39"/>
    </row>
    <row r="418">
      <c r="A418" s="39"/>
    </row>
    <row r="419">
      <c r="A419" s="39"/>
    </row>
    <row r="420">
      <c r="A420" s="39"/>
    </row>
    <row r="421">
      <c r="A421" s="39"/>
    </row>
    <row r="422">
      <c r="A422" s="39"/>
    </row>
    <row r="423">
      <c r="A423" s="39"/>
    </row>
    <row r="424">
      <c r="A424" s="39"/>
    </row>
    <row r="425">
      <c r="A425" s="39"/>
    </row>
    <row r="426">
      <c r="A426" s="39"/>
    </row>
    <row r="427">
      <c r="A427" s="39"/>
    </row>
    <row r="428">
      <c r="A428" s="39"/>
    </row>
    <row r="429">
      <c r="A429" s="39"/>
    </row>
    <row r="430">
      <c r="A430" s="39"/>
    </row>
    <row r="431">
      <c r="A431" s="39"/>
    </row>
    <row r="432">
      <c r="A432" s="39"/>
    </row>
    <row r="433">
      <c r="A433" s="39"/>
    </row>
    <row r="434">
      <c r="A434" s="39"/>
    </row>
    <row r="435">
      <c r="A435" s="39"/>
    </row>
    <row r="436">
      <c r="A436" s="39"/>
    </row>
    <row r="437">
      <c r="A437" s="39"/>
    </row>
    <row r="438">
      <c r="A438" s="39"/>
    </row>
    <row r="439">
      <c r="A439" s="39"/>
    </row>
    <row r="440">
      <c r="A440" s="39"/>
    </row>
    <row r="441">
      <c r="A441" s="39"/>
    </row>
    <row r="442">
      <c r="A442" s="39"/>
    </row>
    <row r="443">
      <c r="A443" s="39"/>
    </row>
    <row r="444">
      <c r="A444" s="39"/>
    </row>
    <row r="445">
      <c r="A445" s="39"/>
    </row>
    <row r="446">
      <c r="A446" s="39"/>
    </row>
    <row r="447">
      <c r="A447" s="39"/>
    </row>
    <row r="448">
      <c r="A448" s="39"/>
    </row>
    <row r="449">
      <c r="A449" s="39"/>
    </row>
    <row r="450">
      <c r="A450" s="39"/>
    </row>
    <row r="451">
      <c r="A451" s="39"/>
    </row>
    <row r="452">
      <c r="A452" s="39"/>
    </row>
    <row r="453">
      <c r="A453" s="39"/>
    </row>
    <row r="454">
      <c r="A454" s="39"/>
    </row>
    <row r="455">
      <c r="A455" s="39"/>
    </row>
    <row r="456">
      <c r="A456" s="39"/>
    </row>
    <row r="457">
      <c r="A457" s="39"/>
    </row>
    <row r="458">
      <c r="A458" s="39"/>
    </row>
    <row r="459">
      <c r="A459" s="39"/>
    </row>
    <row r="460">
      <c r="A460" s="39"/>
    </row>
    <row r="461">
      <c r="A461" s="39"/>
    </row>
    <row r="462">
      <c r="A462" s="39"/>
    </row>
    <row r="463">
      <c r="A463" s="39"/>
    </row>
    <row r="464">
      <c r="A464" s="39"/>
    </row>
    <row r="465">
      <c r="A465" s="39"/>
    </row>
    <row r="466">
      <c r="A466" s="39"/>
    </row>
    <row r="467">
      <c r="A467" s="39"/>
    </row>
    <row r="468">
      <c r="A468" s="39"/>
    </row>
    <row r="469">
      <c r="A469" s="39"/>
    </row>
    <row r="470">
      <c r="A470" s="39"/>
    </row>
    <row r="471">
      <c r="A471" s="39"/>
    </row>
    <row r="472">
      <c r="A472" s="39"/>
    </row>
    <row r="473">
      <c r="A473" s="39"/>
    </row>
    <row r="474">
      <c r="A474" s="39"/>
    </row>
    <row r="475">
      <c r="A475" s="39"/>
    </row>
    <row r="476">
      <c r="A476" s="39"/>
    </row>
    <row r="477">
      <c r="A477" s="39"/>
    </row>
    <row r="478">
      <c r="A478" s="39"/>
    </row>
    <row r="479">
      <c r="A479" s="39"/>
    </row>
    <row r="480">
      <c r="A480" s="39"/>
    </row>
    <row r="481">
      <c r="A481" s="39"/>
    </row>
    <row r="482">
      <c r="A482" s="39"/>
    </row>
    <row r="483">
      <c r="A483" s="39"/>
    </row>
    <row r="484">
      <c r="A484" s="39"/>
    </row>
    <row r="485">
      <c r="A485" s="39"/>
    </row>
    <row r="486">
      <c r="A486" s="39"/>
    </row>
    <row r="487">
      <c r="A487" s="39"/>
    </row>
    <row r="488">
      <c r="A488" s="39"/>
    </row>
    <row r="489">
      <c r="A489" s="39"/>
    </row>
    <row r="490">
      <c r="A490" s="39"/>
    </row>
    <row r="491">
      <c r="A491" s="39"/>
    </row>
    <row r="492">
      <c r="A492" s="39"/>
    </row>
    <row r="493">
      <c r="A493" s="39"/>
    </row>
    <row r="494">
      <c r="A494" s="39"/>
    </row>
    <row r="495">
      <c r="A495" s="39"/>
    </row>
    <row r="496">
      <c r="A496" s="39"/>
    </row>
    <row r="497">
      <c r="A497" s="39"/>
    </row>
    <row r="498">
      <c r="A498" s="39"/>
    </row>
    <row r="499">
      <c r="A499" s="39"/>
    </row>
    <row r="500">
      <c r="A500" s="39"/>
    </row>
    <row r="501">
      <c r="A501" s="39"/>
    </row>
    <row r="502">
      <c r="A502" s="39"/>
    </row>
    <row r="503">
      <c r="A503" s="39"/>
    </row>
    <row r="504">
      <c r="A504" s="39"/>
    </row>
    <row r="505">
      <c r="A505" s="39"/>
    </row>
    <row r="506">
      <c r="A506" s="39"/>
    </row>
    <row r="507">
      <c r="A507" s="39"/>
    </row>
    <row r="508">
      <c r="A508" s="39"/>
    </row>
    <row r="509">
      <c r="A509" s="39"/>
    </row>
    <row r="510">
      <c r="A510" s="39"/>
    </row>
    <row r="511">
      <c r="A511" s="39"/>
    </row>
    <row r="512">
      <c r="A512" s="39"/>
    </row>
    <row r="513">
      <c r="A513" s="39"/>
    </row>
    <row r="514">
      <c r="A514" s="39"/>
    </row>
    <row r="515">
      <c r="A515" s="39"/>
    </row>
    <row r="516">
      <c r="A516" s="39"/>
    </row>
    <row r="517">
      <c r="A517" s="39"/>
    </row>
    <row r="518">
      <c r="A518" s="39"/>
    </row>
    <row r="519">
      <c r="A519" s="39"/>
    </row>
    <row r="520">
      <c r="A520" s="39"/>
    </row>
    <row r="521">
      <c r="A521" s="39"/>
    </row>
    <row r="522">
      <c r="A522" s="39"/>
    </row>
    <row r="523">
      <c r="A523" s="39"/>
    </row>
    <row r="524">
      <c r="A524" s="39"/>
    </row>
    <row r="525">
      <c r="A525" s="39"/>
    </row>
    <row r="526">
      <c r="A526" s="39"/>
    </row>
    <row r="527">
      <c r="A527" s="39"/>
    </row>
    <row r="528">
      <c r="A528" s="39"/>
    </row>
    <row r="529">
      <c r="A529" s="39"/>
    </row>
    <row r="530">
      <c r="A530" s="39"/>
    </row>
    <row r="531">
      <c r="A531" s="39"/>
    </row>
    <row r="532">
      <c r="A532" s="39"/>
    </row>
    <row r="533">
      <c r="A533" s="39"/>
    </row>
    <row r="534">
      <c r="A534" s="39"/>
    </row>
    <row r="535">
      <c r="A535" s="39"/>
    </row>
    <row r="536">
      <c r="A536" s="39"/>
    </row>
    <row r="537">
      <c r="A537" s="39"/>
    </row>
    <row r="538">
      <c r="A538" s="39"/>
    </row>
    <row r="539">
      <c r="A539" s="39"/>
    </row>
    <row r="540">
      <c r="A540" s="39"/>
    </row>
    <row r="541">
      <c r="A541" s="39"/>
    </row>
    <row r="542">
      <c r="A542" s="39"/>
    </row>
    <row r="543">
      <c r="A543" s="39"/>
    </row>
    <row r="544">
      <c r="A544" s="39"/>
    </row>
    <row r="545">
      <c r="A545" s="39"/>
    </row>
    <row r="546">
      <c r="A546" s="39"/>
    </row>
    <row r="547">
      <c r="A547" s="39"/>
    </row>
    <row r="548">
      <c r="A548" s="39"/>
    </row>
    <row r="549">
      <c r="A549" s="39"/>
    </row>
    <row r="550">
      <c r="A550" s="39"/>
    </row>
    <row r="551">
      <c r="A551" s="39"/>
    </row>
    <row r="552">
      <c r="A552" s="39"/>
    </row>
    <row r="553">
      <c r="A553" s="39"/>
    </row>
    <row r="554">
      <c r="A554" s="39"/>
    </row>
    <row r="555">
      <c r="A555" s="39"/>
    </row>
    <row r="556">
      <c r="A556" s="39"/>
    </row>
    <row r="557">
      <c r="A557" s="39"/>
    </row>
    <row r="558">
      <c r="A558" s="39"/>
    </row>
    <row r="559">
      <c r="A559" s="39"/>
    </row>
    <row r="560">
      <c r="A560" s="39"/>
    </row>
    <row r="561">
      <c r="A561" s="39"/>
    </row>
    <row r="562">
      <c r="A562" s="39"/>
    </row>
    <row r="563">
      <c r="A563" s="39"/>
    </row>
    <row r="564">
      <c r="A564" s="39"/>
    </row>
    <row r="565">
      <c r="A565" s="39"/>
    </row>
    <row r="566">
      <c r="A566" s="39"/>
    </row>
    <row r="567">
      <c r="A567" s="39"/>
    </row>
    <row r="568">
      <c r="A568" s="39"/>
    </row>
    <row r="569">
      <c r="A569" s="39"/>
    </row>
    <row r="570">
      <c r="A570" s="39"/>
    </row>
    <row r="571">
      <c r="A571" s="39"/>
    </row>
    <row r="572">
      <c r="A572" s="39"/>
    </row>
    <row r="573">
      <c r="A573" s="39"/>
    </row>
    <row r="574">
      <c r="A574" s="39"/>
    </row>
    <row r="575">
      <c r="A575" s="39"/>
    </row>
    <row r="576">
      <c r="A576" s="39"/>
    </row>
    <row r="577">
      <c r="A577" s="39"/>
    </row>
    <row r="578">
      <c r="A578" s="39"/>
    </row>
    <row r="579">
      <c r="A579" s="39"/>
    </row>
    <row r="580">
      <c r="A580" s="39"/>
    </row>
    <row r="581">
      <c r="A581" s="39"/>
    </row>
    <row r="582">
      <c r="A582" s="39"/>
    </row>
    <row r="583">
      <c r="A583" s="39"/>
    </row>
    <row r="584">
      <c r="A584" s="39"/>
    </row>
    <row r="585">
      <c r="A585" s="39"/>
    </row>
    <row r="586">
      <c r="A586" s="39"/>
    </row>
    <row r="587">
      <c r="A587" s="39"/>
    </row>
    <row r="588">
      <c r="A588" s="39"/>
    </row>
    <row r="589">
      <c r="A589" s="39"/>
    </row>
    <row r="590">
      <c r="A590" s="39"/>
    </row>
    <row r="591">
      <c r="A591" s="39"/>
    </row>
    <row r="592">
      <c r="A592" s="39"/>
    </row>
    <row r="593">
      <c r="A593" s="39"/>
    </row>
    <row r="594">
      <c r="A594" s="39"/>
    </row>
    <row r="595">
      <c r="A595" s="39"/>
    </row>
    <row r="596">
      <c r="A596" s="39"/>
    </row>
    <row r="597">
      <c r="A597" s="39"/>
    </row>
    <row r="598">
      <c r="A598" s="39"/>
    </row>
    <row r="599">
      <c r="A599" s="39"/>
    </row>
    <row r="600">
      <c r="A600" s="39"/>
    </row>
    <row r="601">
      <c r="A601" s="39"/>
    </row>
    <row r="602">
      <c r="A602" s="39"/>
    </row>
    <row r="603">
      <c r="A603" s="39"/>
    </row>
    <row r="604">
      <c r="A604" s="39"/>
    </row>
    <row r="605">
      <c r="A605" s="39"/>
    </row>
    <row r="606">
      <c r="A606" s="39"/>
    </row>
    <row r="607">
      <c r="A607" s="39"/>
    </row>
    <row r="608">
      <c r="A608" s="39"/>
    </row>
    <row r="609">
      <c r="A609" s="39"/>
    </row>
    <row r="610">
      <c r="A610" s="39"/>
    </row>
    <row r="611">
      <c r="A611" s="39"/>
    </row>
    <row r="612">
      <c r="A612" s="39"/>
    </row>
    <row r="613">
      <c r="A613" s="39"/>
    </row>
    <row r="614">
      <c r="A614" s="39"/>
    </row>
    <row r="615">
      <c r="A615" s="39"/>
    </row>
    <row r="616">
      <c r="A616" s="39"/>
    </row>
    <row r="617">
      <c r="A617" s="39"/>
    </row>
    <row r="618">
      <c r="A618" s="39"/>
    </row>
    <row r="619">
      <c r="A619" s="39"/>
    </row>
    <row r="620">
      <c r="A620" s="39"/>
    </row>
    <row r="621">
      <c r="A621" s="39"/>
    </row>
    <row r="622">
      <c r="A622" s="39"/>
    </row>
    <row r="623">
      <c r="A623" s="39"/>
    </row>
    <row r="624">
      <c r="A624" s="39"/>
    </row>
    <row r="625">
      <c r="A625" s="39"/>
    </row>
    <row r="626">
      <c r="A626" s="39"/>
    </row>
    <row r="627">
      <c r="A627" s="39"/>
    </row>
    <row r="628">
      <c r="A628" s="39"/>
    </row>
    <row r="629">
      <c r="A629" s="39"/>
    </row>
    <row r="630">
      <c r="A630" s="39"/>
    </row>
    <row r="631">
      <c r="A631" s="39"/>
    </row>
    <row r="632">
      <c r="A632" s="39"/>
    </row>
    <row r="633">
      <c r="A633" s="39"/>
    </row>
    <row r="634">
      <c r="A634" s="39"/>
    </row>
    <row r="635">
      <c r="A635" s="39"/>
    </row>
    <row r="636">
      <c r="A636" s="39"/>
    </row>
    <row r="637">
      <c r="A637" s="39"/>
    </row>
    <row r="638">
      <c r="A638" s="39"/>
    </row>
    <row r="639">
      <c r="A639" s="39"/>
    </row>
    <row r="640">
      <c r="A640" s="39"/>
    </row>
    <row r="641">
      <c r="A641" s="39"/>
    </row>
    <row r="642">
      <c r="A642" s="39"/>
    </row>
    <row r="643">
      <c r="A643" s="39"/>
    </row>
    <row r="644">
      <c r="A644" s="39"/>
    </row>
    <row r="645">
      <c r="A645" s="39"/>
    </row>
    <row r="646">
      <c r="A646" s="39"/>
    </row>
    <row r="647">
      <c r="A647" s="39"/>
    </row>
    <row r="648">
      <c r="A648" s="39"/>
    </row>
    <row r="649">
      <c r="A649" s="39"/>
    </row>
    <row r="650">
      <c r="A650" s="39"/>
    </row>
    <row r="651">
      <c r="A651" s="39"/>
    </row>
    <row r="652">
      <c r="A652" s="39"/>
    </row>
    <row r="653">
      <c r="A653" s="39"/>
    </row>
    <row r="654">
      <c r="A654" s="39"/>
    </row>
    <row r="655">
      <c r="A655" s="39"/>
    </row>
    <row r="656">
      <c r="A656" s="39"/>
    </row>
    <row r="657">
      <c r="A657" s="39"/>
    </row>
    <row r="658">
      <c r="A658" s="39"/>
    </row>
    <row r="659">
      <c r="A659" s="39"/>
    </row>
    <row r="660">
      <c r="A660" s="39"/>
    </row>
    <row r="661">
      <c r="A661" s="39"/>
    </row>
    <row r="662">
      <c r="A662" s="39"/>
    </row>
    <row r="663">
      <c r="A663" s="39"/>
    </row>
    <row r="664">
      <c r="A664" s="39"/>
    </row>
    <row r="665">
      <c r="A665" s="39"/>
    </row>
    <row r="666">
      <c r="A666" s="39"/>
    </row>
    <row r="667">
      <c r="A667" s="39"/>
    </row>
    <row r="668">
      <c r="A668" s="39"/>
    </row>
    <row r="669">
      <c r="A669" s="39"/>
    </row>
    <row r="670">
      <c r="A670" s="39"/>
    </row>
    <row r="671">
      <c r="A671" s="39"/>
    </row>
    <row r="672">
      <c r="A672" s="39"/>
    </row>
    <row r="673">
      <c r="A673" s="39"/>
    </row>
    <row r="674">
      <c r="A674" s="39"/>
    </row>
    <row r="675">
      <c r="A675" s="39"/>
    </row>
    <row r="676">
      <c r="A676" s="39"/>
    </row>
    <row r="677">
      <c r="A677" s="39"/>
    </row>
    <row r="678">
      <c r="A678" s="39"/>
    </row>
    <row r="679">
      <c r="A679" s="39"/>
    </row>
    <row r="680">
      <c r="A680" s="39"/>
    </row>
    <row r="681">
      <c r="A681" s="39"/>
    </row>
    <row r="682">
      <c r="A682" s="39"/>
    </row>
    <row r="683">
      <c r="A683" s="39"/>
    </row>
    <row r="684">
      <c r="A684" s="39"/>
    </row>
    <row r="685">
      <c r="A685" s="39"/>
    </row>
    <row r="686">
      <c r="A686" s="39"/>
    </row>
    <row r="687">
      <c r="A687" s="39"/>
    </row>
    <row r="688">
      <c r="A688" s="39"/>
    </row>
    <row r="689">
      <c r="A689" s="39"/>
    </row>
    <row r="690">
      <c r="A690" s="39"/>
    </row>
    <row r="691">
      <c r="A691" s="39"/>
    </row>
    <row r="692">
      <c r="A692" s="39"/>
    </row>
    <row r="693">
      <c r="A693" s="39"/>
    </row>
    <row r="694">
      <c r="A694" s="39"/>
    </row>
    <row r="695">
      <c r="A695" s="39"/>
    </row>
    <row r="696">
      <c r="A696" s="39"/>
    </row>
    <row r="697">
      <c r="A697" s="39"/>
    </row>
    <row r="698">
      <c r="A698" s="39"/>
    </row>
    <row r="699">
      <c r="A699" s="39"/>
    </row>
    <row r="700">
      <c r="A700" s="39"/>
    </row>
    <row r="701">
      <c r="A701" s="39"/>
    </row>
    <row r="702">
      <c r="A702" s="39"/>
    </row>
    <row r="703">
      <c r="A703" s="39"/>
    </row>
    <row r="704">
      <c r="A704" s="39"/>
    </row>
    <row r="705">
      <c r="A705" s="39"/>
    </row>
    <row r="706">
      <c r="A706" s="39"/>
    </row>
    <row r="707">
      <c r="A707" s="39"/>
    </row>
    <row r="708">
      <c r="A708" s="39"/>
    </row>
    <row r="709">
      <c r="A709" s="39"/>
    </row>
    <row r="710">
      <c r="A710" s="39"/>
    </row>
    <row r="711">
      <c r="A711" s="39"/>
    </row>
    <row r="712">
      <c r="A712" s="39"/>
    </row>
    <row r="713">
      <c r="A713" s="39"/>
    </row>
    <row r="714">
      <c r="A714" s="39"/>
    </row>
    <row r="715">
      <c r="A715" s="39"/>
    </row>
    <row r="716">
      <c r="A716" s="39"/>
    </row>
    <row r="717">
      <c r="A717" s="39"/>
    </row>
    <row r="718">
      <c r="A718" s="39"/>
    </row>
    <row r="719">
      <c r="A719" s="39"/>
    </row>
    <row r="720">
      <c r="A720" s="39"/>
    </row>
    <row r="721">
      <c r="A721" s="39"/>
    </row>
    <row r="722">
      <c r="A722" s="39"/>
    </row>
    <row r="723">
      <c r="A723" s="39"/>
    </row>
    <row r="724">
      <c r="A724" s="39"/>
    </row>
    <row r="725">
      <c r="A725" s="39"/>
    </row>
    <row r="726">
      <c r="A726" s="39"/>
    </row>
    <row r="727">
      <c r="A727" s="39"/>
    </row>
    <row r="728">
      <c r="A728" s="39"/>
    </row>
    <row r="729">
      <c r="A729" s="39"/>
    </row>
    <row r="730">
      <c r="A730" s="39"/>
    </row>
    <row r="731">
      <c r="A731" s="39"/>
    </row>
    <row r="732">
      <c r="A732" s="39"/>
    </row>
    <row r="733">
      <c r="A733" s="39"/>
    </row>
    <row r="734">
      <c r="A734" s="39"/>
    </row>
    <row r="735">
      <c r="A735" s="39"/>
    </row>
    <row r="736">
      <c r="A736" s="39"/>
    </row>
    <row r="737">
      <c r="A737" s="39"/>
    </row>
    <row r="738">
      <c r="A738" s="39"/>
    </row>
    <row r="739">
      <c r="A739" s="39"/>
    </row>
    <row r="740">
      <c r="A740" s="39"/>
    </row>
    <row r="741">
      <c r="A741" s="39"/>
    </row>
    <row r="742">
      <c r="A742" s="39"/>
    </row>
    <row r="743">
      <c r="A743" s="39"/>
    </row>
    <row r="744">
      <c r="A744" s="39"/>
    </row>
    <row r="745">
      <c r="A745" s="39"/>
    </row>
    <row r="746">
      <c r="A746" s="39"/>
    </row>
    <row r="747">
      <c r="A747" s="39"/>
    </row>
    <row r="748">
      <c r="A748" s="39"/>
    </row>
    <row r="749">
      <c r="A749" s="39"/>
    </row>
    <row r="750">
      <c r="A750" s="39"/>
    </row>
    <row r="751">
      <c r="A751" s="39"/>
    </row>
    <row r="752">
      <c r="A752" s="39"/>
    </row>
    <row r="753">
      <c r="A753" s="39"/>
    </row>
    <row r="754">
      <c r="A754" s="39"/>
    </row>
    <row r="755">
      <c r="A755" s="39"/>
    </row>
    <row r="756">
      <c r="A756" s="39"/>
    </row>
    <row r="757">
      <c r="A757" s="39"/>
    </row>
    <row r="758">
      <c r="A758" s="39"/>
    </row>
    <row r="759">
      <c r="A759" s="39"/>
    </row>
    <row r="760">
      <c r="A760" s="39"/>
    </row>
    <row r="761">
      <c r="A761" s="39"/>
    </row>
    <row r="762">
      <c r="A762" s="39"/>
    </row>
    <row r="763">
      <c r="A763" s="39"/>
    </row>
    <row r="764">
      <c r="A764" s="39"/>
    </row>
    <row r="765">
      <c r="A765" s="39"/>
    </row>
    <row r="766">
      <c r="A766" s="39"/>
    </row>
    <row r="767">
      <c r="A767" s="39"/>
    </row>
    <row r="768">
      <c r="A768" s="39"/>
    </row>
    <row r="769">
      <c r="A769" s="39"/>
    </row>
    <row r="770">
      <c r="A770" s="39"/>
    </row>
    <row r="771">
      <c r="A771" s="39"/>
    </row>
    <row r="772">
      <c r="A772" s="39"/>
    </row>
    <row r="773">
      <c r="A773" s="39"/>
    </row>
    <row r="774">
      <c r="A774" s="39"/>
    </row>
    <row r="775">
      <c r="A775" s="39"/>
    </row>
    <row r="776">
      <c r="A776" s="39"/>
    </row>
    <row r="777">
      <c r="A777" s="39"/>
    </row>
    <row r="778">
      <c r="A778" s="39"/>
    </row>
    <row r="779">
      <c r="A779" s="39"/>
    </row>
    <row r="780">
      <c r="A780" s="39"/>
    </row>
    <row r="781">
      <c r="A781" s="39"/>
    </row>
    <row r="782">
      <c r="A782" s="39"/>
    </row>
    <row r="783">
      <c r="A783" s="39"/>
    </row>
    <row r="784">
      <c r="A784" s="39"/>
    </row>
    <row r="785">
      <c r="A785" s="39"/>
    </row>
    <row r="786">
      <c r="A786" s="39"/>
    </row>
    <row r="787">
      <c r="A787" s="39"/>
    </row>
    <row r="788">
      <c r="A788" s="39"/>
    </row>
    <row r="789">
      <c r="A789" s="39"/>
    </row>
    <row r="790">
      <c r="A790" s="39"/>
    </row>
    <row r="791">
      <c r="A791" s="39"/>
    </row>
    <row r="792">
      <c r="A792" s="39"/>
    </row>
    <row r="793">
      <c r="A793" s="39"/>
    </row>
    <row r="794">
      <c r="A794" s="39"/>
    </row>
    <row r="795">
      <c r="A795" s="39"/>
    </row>
    <row r="796">
      <c r="A796" s="39"/>
    </row>
    <row r="797">
      <c r="A797" s="39"/>
    </row>
    <row r="798">
      <c r="A798" s="39"/>
    </row>
    <row r="799">
      <c r="A799" s="39"/>
    </row>
    <row r="800">
      <c r="A800" s="39"/>
    </row>
    <row r="801">
      <c r="A801" s="39"/>
    </row>
    <row r="802">
      <c r="A802" s="39"/>
    </row>
    <row r="803">
      <c r="A803" s="39"/>
    </row>
    <row r="804">
      <c r="A804" s="39"/>
    </row>
    <row r="805">
      <c r="A805" s="39"/>
    </row>
    <row r="806">
      <c r="A806" s="39"/>
    </row>
    <row r="807">
      <c r="A807" s="39"/>
    </row>
    <row r="808">
      <c r="A808" s="39"/>
    </row>
    <row r="809">
      <c r="A809" s="39"/>
    </row>
    <row r="810">
      <c r="A810" s="39"/>
    </row>
    <row r="811">
      <c r="A811" s="39"/>
    </row>
    <row r="812">
      <c r="A812" s="39"/>
    </row>
    <row r="813">
      <c r="A813" s="39"/>
    </row>
    <row r="814">
      <c r="A814" s="39"/>
    </row>
    <row r="815">
      <c r="A815" s="39"/>
    </row>
    <row r="816">
      <c r="A816" s="39"/>
    </row>
    <row r="817">
      <c r="A817" s="39"/>
    </row>
    <row r="818">
      <c r="A818" s="39"/>
    </row>
    <row r="819">
      <c r="A819" s="39"/>
    </row>
    <row r="820">
      <c r="A820" s="39"/>
    </row>
    <row r="821">
      <c r="A821" s="39"/>
    </row>
    <row r="822">
      <c r="A822" s="39"/>
    </row>
    <row r="823">
      <c r="A823" s="39"/>
    </row>
    <row r="824">
      <c r="A824" s="39"/>
    </row>
    <row r="825">
      <c r="A825" s="39"/>
    </row>
    <row r="826">
      <c r="A826" s="39"/>
    </row>
    <row r="827">
      <c r="A827" s="39"/>
    </row>
    <row r="828">
      <c r="A828" s="39"/>
    </row>
    <row r="829">
      <c r="A829" s="39"/>
    </row>
    <row r="830">
      <c r="A830" s="39"/>
    </row>
    <row r="831">
      <c r="A831" s="39"/>
    </row>
    <row r="832">
      <c r="A832" s="39"/>
    </row>
    <row r="833">
      <c r="A833" s="39"/>
    </row>
    <row r="834">
      <c r="A834" s="39"/>
    </row>
    <row r="835">
      <c r="A835" s="39"/>
    </row>
    <row r="836">
      <c r="A836" s="39"/>
    </row>
    <row r="837">
      <c r="A837" s="39"/>
    </row>
    <row r="838">
      <c r="A838" s="39"/>
    </row>
    <row r="839">
      <c r="A839" s="39"/>
    </row>
    <row r="840">
      <c r="A840" s="39"/>
    </row>
    <row r="841">
      <c r="A841" s="39"/>
    </row>
    <row r="842">
      <c r="A842" s="39"/>
    </row>
    <row r="843">
      <c r="A843" s="39"/>
    </row>
    <row r="844">
      <c r="A844" s="39"/>
    </row>
    <row r="845">
      <c r="A845" s="39"/>
    </row>
    <row r="846">
      <c r="A846" s="39"/>
    </row>
    <row r="847">
      <c r="A847" s="39"/>
    </row>
    <row r="848">
      <c r="A848" s="39"/>
    </row>
    <row r="849">
      <c r="A849" s="39"/>
    </row>
    <row r="850">
      <c r="A850" s="39"/>
    </row>
    <row r="851">
      <c r="A851" s="39"/>
    </row>
    <row r="852">
      <c r="A852" s="39"/>
    </row>
    <row r="853">
      <c r="A853" s="39"/>
    </row>
    <row r="854">
      <c r="A854" s="39"/>
    </row>
    <row r="855">
      <c r="A855" s="39"/>
    </row>
    <row r="856">
      <c r="A856" s="39"/>
    </row>
    <row r="857">
      <c r="A857" s="39"/>
    </row>
    <row r="858">
      <c r="A858" s="39"/>
    </row>
    <row r="859">
      <c r="A859" s="39"/>
    </row>
    <row r="860">
      <c r="A860" s="39"/>
    </row>
    <row r="861">
      <c r="A861" s="39"/>
    </row>
    <row r="862">
      <c r="A862" s="39"/>
    </row>
    <row r="863">
      <c r="A863" s="39"/>
    </row>
    <row r="864">
      <c r="A864" s="39"/>
    </row>
    <row r="865">
      <c r="A865" s="39"/>
    </row>
    <row r="866">
      <c r="A866" s="39"/>
    </row>
    <row r="867">
      <c r="A867" s="39"/>
    </row>
    <row r="868">
      <c r="A868" s="39"/>
    </row>
    <row r="869">
      <c r="A869" s="39"/>
    </row>
    <row r="870">
      <c r="A870" s="39"/>
    </row>
    <row r="871">
      <c r="A871" s="39"/>
    </row>
    <row r="872">
      <c r="A872" s="39"/>
    </row>
    <row r="873">
      <c r="A873" s="39"/>
    </row>
    <row r="874">
      <c r="A874" s="39"/>
    </row>
    <row r="875">
      <c r="A875" s="39"/>
    </row>
    <row r="876">
      <c r="A876" s="39"/>
    </row>
    <row r="877">
      <c r="A877" s="39"/>
    </row>
    <row r="878">
      <c r="A878" s="39"/>
    </row>
    <row r="879">
      <c r="A879" s="39"/>
    </row>
    <row r="880">
      <c r="A880" s="39"/>
    </row>
    <row r="881">
      <c r="A881" s="39"/>
    </row>
    <row r="882">
      <c r="A882" s="39"/>
    </row>
    <row r="883">
      <c r="A883" s="39"/>
    </row>
    <row r="884">
      <c r="A884" s="39"/>
    </row>
    <row r="885">
      <c r="A885" s="39"/>
    </row>
    <row r="886">
      <c r="A886" s="39"/>
    </row>
    <row r="887">
      <c r="A887" s="39"/>
    </row>
    <row r="888">
      <c r="A888" s="39"/>
    </row>
    <row r="889">
      <c r="A889" s="39"/>
    </row>
    <row r="890">
      <c r="A890" s="39"/>
    </row>
    <row r="891">
      <c r="A891" s="39"/>
    </row>
    <row r="892">
      <c r="A892" s="39"/>
    </row>
    <row r="893">
      <c r="A893" s="39"/>
    </row>
    <row r="894">
      <c r="A894" s="39"/>
    </row>
    <row r="895">
      <c r="A895" s="39"/>
    </row>
    <row r="896">
      <c r="A896" s="39"/>
    </row>
    <row r="897">
      <c r="A897" s="39"/>
    </row>
    <row r="898">
      <c r="A898" s="39"/>
    </row>
    <row r="899">
      <c r="A899" s="39"/>
    </row>
    <row r="900">
      <c r="A900" s="39"/>
    </row>
    <row r="901">
      <c r="A901" s="39"/>
    </row>
    <row r="902">
      <c r="A902" s="39"/>
    </row>
    <row r="903">
      <c r="A903" s="39"/>
    </row>
    <row r="904">
      <c r="A904" s="39"/>
    </row>
    <row r="905">
      <c r="A905" s="39"/>
    </row>
    <row r="906">
      <c r="A906" s="39"/>
    </row>
    <row r="907">
      <c r="A907" s="39"/>
    </row>
    <row r="908">
      <c r="A908" s="39"/>
    </row>
    <row r="909">
      <c r="A909" s="39"/>
    </row>
    <row r="910">
      <c r="A910" s="39"/>
    </row>
    <row r="911">
      <c r="A911" s="39"/>
    </row>
    <row r="912">
      <c r="A912" s="39"/>
    </row>
    <row r="913">
      <c r="A913" s="39"/>
    </row>
    <row r="914">
      <c r="A914" s="39"/>
    </row>
    <row r="915">
      <c r="A915" s="39"/>
    </row>
    <row r="916">
      <c r="A916" s="39"/>
    </row>
    <row r="917">
      <c r="A917" s="39"/>
    </row>
    <row r="918">
      <c r="A918" s="39"/>
    </row>
    <row r="919">
      <c r="A919" s="39"/>
    </row>
    <row r="920">
      <c r="A920" s="39"/>
    </row>
    <row r="921">
      <c r="A921" s="39"/>
    </row>
    <row r="922">
      <c r="A922" s="39"/>
    </row>
    <row r="923">
      <c r="A923" s="39"/>
    </row>
    <row r="924">
      <c r="A924" s="39"/>
    </row>
    <row r="925">
      <c r="A925" s="39"/>
    </row>
    <row r="926">
      <c r="A926" s="39"/>
    </row>
    <row r="927">
      <c r="A927" s="39"/>
    </row>
    <row r="928">
      <c r="A928" s="39"/>
    </row>
    <row r="929">
      <c r="A929" s="39"/>
    </row>
    <row r="930">
      <c r="A930" s="39"/>
    </row>
    <row r="931">
      <c r="A931" s="39"/>
    </row>
    <row r="932">
      <c r="A932" s="39"/>
    </row>
    <row r="933">
      <c r="A933" s="39"/>
    </row>
    <row r="934">
      <c r="A934" s="39"/>
    </row>
    <row r="935">
      <c r="A935" s="39"/>
    </row>
    <row r="936">
      <c r="A936" s="39"/>
    </row>
    <row r="937">
      <c r="A937" s="39"/>
    </row>
    <row r="938">
      <c r="A938" s="39"/>
    </row>
    <row r="939">
      <c r="A939" s="39"/>
    </row>
    <row r="940">
      <c r="A940" s="39"/>
    </row>
    <row r="941">
      <c r="A941" s="39"/>
    </row>
    <row r="942">
      <c r="A942" s="39"/>
    </row>
    <row r="943">
      <c r="A943" s="39"/>
    </row>
    <row r="944">
      <c r="A944" s="39"/>
    </row>
    <row r="945">
      <c r="A945" s="39"/>
    </row>
    <row r="946">
      <c r="A946" s="39"/>
    </row>
    <row r="947">
      <c r="A947" s="39"/>
    </row>
    <row r="948">
      <c r="A948" s="39"/>
    </row>
    <row r="949">
      <c r="A949" s="39"/>
    </row>
    <row r="950">
      <c r="A950" s="39"/>
    </row>
    <row r="951">
      <c r="A951" s="39"/>
    </row>
    <row r="952">
      <c r="A952" s="39"/>
    </row>
    <row r="953">
      <c r="A953" s="39"/>
    </row>
    <row r="954">
      <c r="A954" s="39"/>
    </row>
    <row r="955">
      <c r="A955" s="39"/>
    </row>
    <row r="956">
      <c r="A956" s="39"/>
    </row>
    <row r="957">
      <c r="A957" s="39"/>
    </row>
    <row r="958">
      <c r="A958" s="39"/>
    </row>
    <row r="959">
      <c r="A959" s="39"/>
    </row>
    <row r="960">
      <c r="A960" s="39"/>
    </row>
    <row r="961">
      <c r="A961" s="39"/>
    </row>
    <row r="962">
      <c r="A962" s="39"/>
    </row>
    <row r="963">
      <c r="A963" s="39"/>
    </row>
    <row r="964">
      <c r="A964" s="39"/>
    </row>
    <row r="965">
      <c r="A965" s="39"/>
    </row>
    <row r="966">
      <c r="A966" s="39"/>
    </row>
    <row r="967">
      <c r="A967" s="39"/>
    </row>
    <row r="968">
      <c r="A968" s="39"/>
    </row>
    <row r="969">
      <c r="A969" s="39"/>
    </row>
    <row r="970">
      <c r="A970" s="39"/>
    </row>
    <row r="971">
      <c r="A971" s="39"/>
    </row>
    <row r="972">
      <c r="A972" s="39"/>
    </row>
    <row r="973">
      <c r="A973" s="39"/>
    </row>
    <row r="974">
      <c r="A974" s="39"/>
    </row>
    <row r="975">
      <c r="A975" s="39"/>
    </row>
    <row r="976">
      <c r="A976" s="39"/>
    </row>
    <row r="977">
      <c r="A977" s="39"/>
    </row>
    <row r="978">
      <c r="A978" s="39"/>
    </row>
    <row r="979">
      <c r="A979" s="39"/>
    </row>
    <row r="980">
      <c r="A980" s="39"/>
    </row>
    <row r="981">
      <c r="A981" s="39"/>
    </row>
    <row r="982">
      <c r="A982" s="39"/>
    </row>
    <row r="983">
      <c r="A983" s="39"/>
    </row>
    <row r="984">
      <c r="A984" s="39"/>
    </row>
    <row r="985">
      <c r="A985" s="39"/>
    </row>
    <row r="986">
      <c r="A986" s="39"/>
    </row>
    <row r="987">
      <c r="A987" s="39"/>
    </row>
    <row r="988">
      <c r="A988" s="39"/>
    </row>
    <row r="989">
      <c r="A989" s="39"/>
    </row>
    <row r="990">
      <c r="A990" s="39"/>
    </row>
    <row r="991">
      <c r="A991" s="39"/>
    </row>
    <row r="992">
      <c r="A992" s="39"/>
    </row>
    <row r="993">
      <c r="A993" s="39"/>
    </row>
    <row r="994">
      <c r="A994" s="39"/>
    </row>
    <row r="995">
      <c r="A995" s="39"/>
    </row>
    <row r="996">
      <c r="A996" s="39"/>
    </row>
    <row r="997">
      <c r="A997" s="39"/>
    </row>
    <row r="998">
      <c r="A998" s="39"/>
    </row>
    <row r="999">
      <c r="A999" s="39"/>
    </row>
    <row r="1000">
      <c r="A1000" s="39"/>
    </row>
    <row r="1001">
      <c r="A1001" s="39"/>
    </row>
    <row r="1002">
      <c r="A1002" s="39"/>
    </row>
    <row r="1003">
      <c r="A1003" s="39"/>
    </row>
    <row r="1004">
      <c r="A1004" s="39"/>
    </row>
    <row r="1005">
      <c r="A1005" s="39"/>
    </row>
    <row r="1006">
      <c r="A1006" s="39"/>
    </row>
    <row r="1007">
      <c r="A1007" s="39"/>
    </row>
    <row r="1008">
      <c r="A1008" s="39"/>
    </row>
    <row r="1009">
      <c r="A1009" s="39"/>
    </row>
    <row r="1010">
      <c r="A1010" s="39"/>
    </row>
    <row r="1011">
      <c r="A1011" s="39"/>
    </row>
    <row r="1012">
      <c r="A1012" s="39"/>
    </row>
    <row r="1013">
      <c r="A1013" s="39"/>
    </row>
    <row r="1014">
      <c r="A1014" s="39"/>
    </row>
    <row r="1015">
      <c r="A1015" s="39"/>
    </row>
    <row r="1016">
      <c r="A1016" s="39"/>
    </row>
    <row r="1017">
      <c r="A1017" s="39"/>
    </row>
    <row r="1018">
      <c r="A1018" s="39"/>
    </row>
    <row r="1019">
      <c r="A1019" s="39"/>
    </row>
    <row r="1020">
      <c r="A1020" s="39"/>
    </row>
    <row r="1021">
      <c r="A1021" s="39"/>
    </row>
    <row r="1022">
      <c r="A1022" s="39"/>
    </row>
    <row r="1023">
      <c r="A1023" s="39"/>
    </row>
    <row r="1024">
      <c r="A1024" s="39"/>
    </row>
    <row r="1025">
      <c r="A1025" s="39"/>
    </row>
    <row r="1026">
      <c r="A1026" s="39"/>
    </row>
    <row r="1027">
      <c r="A1027" s="39"/>
    </row>
    <row r="1028">
      <c r="A1028" s="39"/>
    </row>
    <row r="1029">
      <c r="A1029" s="39"/>
    </row>
    <row r="1030">
      <c r="A1030" s="39"/>
    </row>
    <row r="1031">
      <c r="A1031" s="39"/>
    </row>
    <row r="1032">
      <c r="A1032" s="39"/>
    </row>
    <row r="1033">
      <c r="A1033" s="39"/>
    </row>
    <row r="1034">
      <c r="A1034" s="39"/>
    </row>
    <row r="1035">
      <c r="A1035" s="39"/>
    </row>
    <row r="1036">
      <c r="A1036" s="39"/>
    </row>
    <row r="1037">
      <c r="A1037" s="39"/>
    </row>
    <row r="1038">
      <c r="A1038" s="39"/>
    </row>
    <row r="1039">
      <c r="A1039" s="39"/>
    </row>
    <row r="1040">
      <c r="A1040" s="39"/>
    </row>
    <row r="1041">
      <c r="A1041" s="39"/>
    </row>
    <row r="1042">
      <c r="A1042" s="39"/>
    </row>
    <row r="1043">
      <c r="A1043" s="39"/>
    </row>
    <row r="1044">
      <c r="A1044" s="39"/>
    </row>
    <row r="1045">
      <c r="A1045" s="39"/>
    </row>
    <row r="1046">
      <c r="A1046" s="39"/>
    </row>
    <row r="1047">
      <c r="A1047" s="39"/>
    </row>
    <row r="1048">
      <c r="A1048" s="39"/>
    </row>
    <row r="1049">
      <c r="A1049" s="39"/>
    </row>
    <row r="1050">
      <c r="A1050" s="39"/>
    </row>
    <row r="1051">
      <c r="A1051" s="39"/>
    </row>
    <row r="1052">
      <c r="A1052" s="39"/>
    </row>
    <row r="1053">
      <c r="A1053" s="39"/>
    </row>
    <row r="1054">
      <c r="A1054" s="39"/>
    </row>
    <row r="1055">
      <c r="A1055" s="39"/>
    </row>
    <row r="1056">
      <c r="A1056" s="39"/>
    </row>
    <row r="1057">
      <c r="A1057" s="39"/>
    </row>
    <row r="1058">
      <c r="A1058" s="39"/>
    </row>
    <row r="1059">
      <c r="A1059" s="39"/>
    </row>
    <row r="1060">
      <c r="A1060" s="39"/>
    </row>
    <row r="1061">
      <c r="A1061" s="39"/>
    </row>
    <row r="1062">
      <c r="A1062" s="39"/>
    </row>
    <row r="1063">
      <c r="A1063" s="39"/>
    </row>
    <row r="1064">
      <c r="A1064" s="39"/>
    </row>
    <row r="1065">
      <c r="A1065" s="39"/>
    </row>
    <row r="1066">
      <c r="A1066" s="39"/>
    </row>
    <row r="1067">
      <c r="A1067" s="39"/>
    </row>
    <row r="1068">
      <c r="A1068" s="39"/>
    </row>
    <row r="1069">
      <c r="A1069" s="39"/>
    </row>
    <row r="1070">
      <c r="A1070" s="39"/>
    </row>
    <row r="1071">
      <c r="A1071" s="39"/>
    </row>
    <row r="1072">
      <c r="A1072" s="39"/>
    </row>
    <row r="1073">
      <c r="A1073" s="39"/>
    </row>
    <row r="1074">
      <c r="A1074" s="39"/>
    </row>
    <row r="1075">
      <c r="A1075" s="39"/>
    </row>
    <row r="1076">
      <c r="A1076" s="39"/>
    </row>
    <row r="1077">
      <c r="A1077" s="39"/>
    </row>
    <row r="1078">
      <c r="A1078" s="39"/>
    </row>
    <row r="1079">
      <c r="A1079" s="39"/>
    </row>
    <row r="1080">
      <c r="A1080" s="39"/>
    </row>
    <row r="1081">
      <c r="A1081" s="39"/>
    </row>
    <row r="1082">
      <c r="A1082" s="39"/>
    </row>
    <row r="1083">
      <c r="A1083" s="39"/>
    </row>
    <row r="1084">
      <c r="A1084" s="39"/>
    </row>
    <row r="1085">
      <c r="A1085" s="39"/>
    </row>
    <row r="1086">
      <c r="A1086" s="39"/>
    </row>
    <row r="1087">
      <c r="A1087" s="39"/>
    </row>
    <row r="1088">
      <c r="A1088" s="39"/>
    </row>
    <row r="1089">
      <c r="A1089" s="39"/>
    </row>
    <row r="1090">
      <c r="A1090" s="39"/>
    </row>
    <row r="1091">
      <c r="A1091" s="39"/>
    </row>
    <row r="1092">
      <c r="A1092" s="39"/>
    </row>
    <row r="1093">
      <c r="A1093" s="39"/>
    </row>
    <row r="1094">
      <c r="A1094" s="39"/>
    </row>
    <row r="1095">
      <c r="A1095" s="39"/>
    </row>
    <row r="1096">
      <c r="A1096" s="39"/>
    </row>
    <row r="1097">
      <c r="A1097" s="39"/>
    </row>
    <row r="1098">
      <c r="A1098" s="39"/>
    </row>
    <row r="1099">
      <c r="A1099" s="39"/>
    </row>
    <row r="1100">
      <c r="A1100" s="39"/>
    </row>
    <row r="1101">
      <c r="A1101" s="39"/>
    </row>
    <row r="1102">
      <c r="A1102" s="39"/>
    </row>
    <row r="1103">
      <c r="A1103" s="39"/>
    </row>
    <row r="1104">
      <c r="A1104" s="39"/>
    </row>
    <row r="1105">
      <c r="A1105" s="39"/>
    </row>
    <row r="1106">
      <c r="A1106" s="39"/>
    </row>
    <row r="1107">
      <c r="A1107" s="39"/>
    </row>
    <row r="1108">
      <c r="A1108" s="39"/>
    </row>
    <row r="1109">
      <c r="A1109" s="39"/>
    </row>
    <row r="1110">
      <c r="A1110" s="39"/>
    </row>
    <row r="1111">
      <c r="A1111" s="39"/>
    </row>
    <row r="1112">
      <c r="A1112" s="39"/>
    </row>
    <row r="1113">
      <c r="A1113" s="39"/>
    </row>
    <row r="1114">
      <c r="A1114" s="39"/>
    </row>
    <row r="1115">
      <c r="A1115" s="39"/>
    </row>
    <row r="1116">
      <c r="A1116" s="39"/>
    </row>
    <row r="1117">
      <c r="A1117" s="39"/>
    </row>
    <row r="1118">
      <c r="A1118" s="39"/>
    </row>
    <row r="1119">
      <c r="A1119" s="39"/>
    </row>
    <row r="1120">
      <c r="A1120" s="39"/>
    </row>
    <row r="1121">
      <c r="A1121" s="39"/>
    </row>
    <row r="1122">
      <c r="A1122" s="39"/>
    </row>
    <row r="1123">
      <c r="A1123" s="39"/>
    </row>
    <row r="1124">
      <c r="A1124" s="39"/>
    </row>
    <row r="1125">
      <c r="A1125" s="39"/>
    </row>
    <row r="1126">
      <c r="A1126" s="39"/>
    </row>
    <row r="1127">
      <c r="A1127" s="39"/>
    </row>
    <row r="1128">
      <c r="A1128" s="39"/>
    </row>
    <row r="1129">
      <c r="A1129" s="39"/>
    </row>
    <row r="1130">
      <c r="A1130" s="39"/>
    </row>
    <row r="1131">
      <c r="A1131" s="39"/>
    </row>
    <row r="1132">
      <c r="A1132" s="39"/>
    </row>
    <row r="1133">
      <c r="A1133" s="39"/>
    </row>
    <row r="1134">
      <c r="A1134" s="39"/>
    </row>
    <row r="1135">
      <c r="A1135" s="39"/>
    </row>
    <row r="1136">
      <c r="A1136" s="39"/>
    </row>
    <row r="1137">
      <c r="A1137" s="39"/>
    </row>
    <row r="1138">
      <c r="A1138" s="39"/>
    </row>
    <row r="1139">
      <c r="A1139" s="39"/>
    </row>
    <row r="1140">
      <c r="A1140" s="39"/>
    </row>
    <row r="1141">
      <c r="A1141" s="39"/>
    </row>
    <row r="1142">
      <c r="A1142" s="39"/>
    </row>
    <row r="1143">
      <c r="A1143" s="39"/>
    </row>
    <row r="1144">
      <c r="A1144" s="39"/>
    </row>
    <row r="1145">
      <c r="A1145" s="39"/>
    </row>
    <row r="1146">
      <c r="A1146" s="39"/>
    </row>
    <row r="1147">
      <c r="A1147" s="39"/>
    </row>
    <row r="1148">
      <c r="A1148" s="39"/>
    </row>
    <row r="1149">
      <c r="A1149" s="39"/>
    </row>
    <row r="1150">
      <c r="A1150" s="39"/>
    </row>
    <row r="1151">
      <c r="A1151" s="39"/>
    </row>
    <row r="1152">
      <c r="A1152" s="39"/>
    </row>
    <row r="1153">
      <c r="A1153" s="39"/>
    </row>
    <row r="1154">
      <c r="A1154" s="39"/>
    </row>
    <row r="1155">
      <c r="A1155" s="39"/>
    </row>
    <row r="1156">
      <c r="A1156" s="39"/>
    </row>
    <row r="1157">
      <c r="A1157" s="39"/>
    </row>
    <row r="1158">
      <c r="A1158" s="39"/>
    </row>
    <row r="1159">
      <c r="A1159" s="39"/>
    </row>
    <row r="1160">
      <c r="A1160" s="39"/>
    </row>
    <row r="1161">
      <c r="A1161" s="39"/>
    </row>
    <row r="1162">
      <c r="A1162" s="39"/>
    </row>
    <row r="1163">
      <c r="A1163" s="39"/>
    </row>
    <row r="1164">
      <c r="A1164" s="39"/>
    </row>
    <row r="1165">
      <c r="A1165" s="39"/>
    </row>
    <row r="1166">
      <c r="A1166" s="39"/>
    </row>
    <row r="1167">
      <c r="A1167" s="39"/>
    </row>
    <row r="1168">
      <c r="A1168" s="39"/>
    </row>
    <row r="1169">
      <c r="A1169" s="39"/>
    </row>
    <row r="1170">
      <c r="A1170" s="39"/>
    </row>
    <row r="1171">
      <c r="A1171" s="39"/>
    </row>
    <row r="1172">
      <c r="A1172" s="39"/>
    </row>
    <row r="1173">
      <c r="A1173" s="39"/>
    </row>
    <row r="1174">
      <c r="A1174" s="39"/>
    </row>
    <row r="1175">
      <c r="A1175" s="39"/>
    </row>
    <row r="1176">
      <c r="A1176" s="39"/>
    </row>
    <row r="1177">
      <c r="A1177" s="39"/>
    </row>
    <row r="1178">
      <c r="A1178" s="39"/>
    </row>
    <row r="1179">
      <c r="A1179" s="39"/>
    </row>
    <row r="1180">
      <c r="A1180" s="39"/>
    </row>
    <row r="1181">
      <c r="A1181" s="39"/>
    </row>
    <row r="1182">
      <c r="A1182" s="39"/>
    </row>
    <row r="1183">
      <c r="A1183" s="39"/>
    </row>
    <row r="1184">
      <c r="A1184" s="39"/>
    </row>
    <row r="1185">
      <c r="A1185" s="39"/>
    </row>
    <row r="1186">
      <c r="A1186" s="39"/>
    </row>
    <row r="1187">
      <c r="A1187" s="39"/>
    </row>
    <row r="1188">
      <c r="A1188" s="39"/>
    </row>
    <row r="1189">
      <c r="A1189" s="39"/>
    </row>
    <row r="1190">
      <c r="A1190" s="39"/>
    </row>
    <row r="1191">
      <c r="A1191" s="39"/>
    </row>
    <row r="1192">
      <c r="A1192" s="39"/>
    </row>
    <row r="1193">
      <c r="A1193" s="39"/>
    </row>
    <row r="1194">
      <c r="A1194" s="39"/>
    </row>
    <row r="1195">
      <c r="A1195" s="39"/>
    </row>
    <row r="1196">
      <c r="A1196" s="39"/>
    </row>
    <row r="1197">
      <c r="A1197" s="39"/>
    </row>
    <row r="1198">
      <c r="A1198" s="39"/>
    </row>
    <row r="1199">
      <c r="A1199" s="39"/>
    </row>
    <row r="1200">
      <c r="A1200" s="39"/>
    </row>
    <row r="1201">
      <c r="A1201" s="39"/>
    </row>
    <row r="1202">
      <c r="A1202" s="39"/>
    </row>
    <row r="1203">
      <c r="A1203" s="39"/>
    </row>
    <row r="1204">
      <c r="A1204" s="39"/>
    </row>
    <row r="1205">
      <c r="A1205" s="39"/>
    </row>
    <row r="1206">
      <c r="A1206" s="39"/>
    </row>
    <row r="1207">
      <c r="A1207" s="39"/>
    </row>
    <row r="1208">
      <c r="A1208" s="39"/>
    </row>
    <row r="1209">
      <c r="A1209" s="39"/>
    </row>
    <row r="1210">
      <c r="A1210" s="39"/>
    </row>
    <row r="1211">
      <c r="A1211" s="39"/>
    </row>
    <row r="1212">
      <c r="A1212" s="39"/>
    </row>
    <row r="1213">
      <c r="A1213" s="39"/>
    </row>
    <row r="1214">
      <c r="A1214" s="39"/>
    </row>
    <row r="1215">
      <c r="A1215" s="39"/>
    </row>
    <row r="1216">
      <c r="A1216" s="39"/>
    </row>
    <row r="1217">
      <c r="A1217" s="39"/>
    </row>
    <row r="1218">
      <c r="A1218" s="39"/>
    </row>
    <row r="1219">
      <c r="A1219" s="39"/>
    </row>
    <row r="1220">
      <c r="A1220" s="39"/>
    </row>
    <row r="1221">
      <c r="A1221" s="39"/>
    </row>
    <row r="1222">
      <c r="A1222" s="39"/>
    </row>
    <row r="1223">
      <c r="A1223" s="39"/>
    </row>
    <row r="1224">
      <c r="A1224" s="39"/>
    </row>
    <row r="1225">
      <c r="A1225" s="39"/>
    </row>
    <row r="1226">
      <c r="A1226" s="39"/>
    </row>
    <row r="1227">
      <c r="A1227" s="39"/>
    </row>
    <row r="1228">
      <c r="A1228" s="39"/>
    </row>
    <row r="1229">
      <c r="A1229" s="39"/>
    </row>
    <row r="1230">
      <c r="A1230" s="39"/>
    </row>
    <row r="1231">
      <c r="A1231" s="39"/>
    </row>
    <row r="1232">
      <c r="A1232" s="39"/>
    </row>
    <row r="1233">
      <c r="A1233" s="39"/>
    </row>
    <row r="1234">
      <c r="A1234" s="39"/>
    </row>
    <row r="1235">
      <c r="A1235" s="39"/>
    </row>
    <row r="1236">
      <c r="A1236" s="39"/>
    </row>
    <row r="1237">
      <c r="A1237" s="39"/>
    </row>
    <row r="1238">
      <c r="A1238" s="39"/>
    </row>
    <row r="1239">
      <c r="A1239" s="39"/>
    </row>
    <row r="1240">
      <c r="A1240" s="39"/>
    </row>
    <row r="1241">
      <c r="A1241" s="39"/>
    </row>
    <row r="1242">
      <c r="A1242" s="39"/>
    </row>
    <row r="1243">
      <c r="A1243" s="39"/>
    </row>
    <row r="1244">
      <c r="A1244" s="39"/>
    </row>
    <row r="1245">
      <c r="A1245" s="39"/>
    </row>
    <row r="1246">
      <c r="A1246" s="39"/>
    </row>
    <row r="1247">
      <c r="A1247" s="39"/>
    </row>
    <row r="1248">
      <c r="A1248" s="39"/>
    </row>
    <row r="1249">
      <c r="A1249" s="39"/>
    </row>
    <row r="1250">
      <c r="A1250" s="39"/>
    </row>
    <row r="1251">
      <c r="A1251" s="39"/>
    </row>
    <row r="1252">
      <c r="A1252" s="39"/>
    </row>
    <row r="1253">
      <c r="A1253" s="39"/>
    </row>
    <row r="1254">
      <c r="A1254" s="39"/>
    </row>
    <row r="1255">
      <c r="A1255" s="39"/>
    </row>
    <row r="1256">
      <c r="A1256" s="39"/>
    </row>
    <row r="1257">
      <c r="A1257" s="39"/>
    </row>
    <row r="1258">
      <c r="A1258" s="39"/>
    </row>
    <row r="1259">
      <c r="A1259" s="39"/>
    </row>
    <row r="1260">
      <c r="A1260" s="39"/>
    </row>
    <row r="1261">
      <c r="A1261" s="39"/>
    </row>
    <row r="1262">
      <c r="A1262" s="39"/>
    </row>
    <row r="1263">
      <c r="A1263" s="39"/>
    </row>
    <row r="1264">
      <c r="A1264" s="39"/>
    </row>
    <row r="1265">
      <c r="A1265" s="39"/>
    </row>
    <row r="1266">
      <c r="A1266" s="39"/>
    </row>
    <row r="1267">
      <c r="A1267" s="39"/>
    </row>
    <row r="1268">
      <c r="A1268" s="39"/>
    </row>
    <row r="1269">
      <c r="A1269" s="39"/>
    </row>
    <row r="1270">
      <c r="A1270" s="39"/>
    </row>
    <row r="1271">
      <c r="A1271" s="39"/>
    </row>
    <row r="1272">
      <c r="A1272" s="39"/>
    </row>
    <row r="1273">
      <c r="A1273" s="39"/>
    </row>
    <row r="1274">
      <c r="A1274" s="39"/>
    </row>
    <row r="1275">
      <c r="A1275" s="39"/>
    </row>
    <row r="1276">
      <c r="A1276" s="39"/>
    </row>
    <row r="1277">
      <c r="A1277" s="39"/>
    </row>
    <row r="1278">
      <c r="A1278" s="39"/>
    </row>
    <row r="1279">
      <c r="A1279" s="39"/>
    </row>
    <row r="1280">
      <c r="A1280" s="39"/>
    </row>
    <row r="1281">
      <c r="A1281" s="39"/>
    </row>
    <row r="1282">
      <c r="A1282" s="39"/>
    </row>
    <row r="1283">
      <c r="A1283" s="39"/>
    </row>
    <row r="1284">
      <c r="A1284" s="39"/>
    </row>
    <row r="1285">
      <c r="A1285" s="39"/>
    </row>
    <row r="1286">
      <c r="A1286" s="39"/>
    </row>
    <row r="1287">
      <c r="A1287" s="39"/>
    </row>
    <row r="1288">
      <c r="A1288" s="39"/>
    </row>
    <row r="1289">
      <c r="A1289" s="39"/>
    </row>
    <row r="1290">
      <c r="A1290" s="39"/>
    </row>
    <row r="1291">
      <c r="A1291" s="39"/>
    </row>
    <row r="1292">
      <c r="A1292" s="39"/>
    </row>
    <row r="1293">
      <c r="A1293" s="39"/>
    </row>
    <row r="1294">
      <c r="A1294" s="39"/>
    </row>
    <row r="1295">
      <c r="A1295" s="39"/>
    </row>
    <row r="1296">
      <c r="A1296" s="39"/>
    </row>
    <row r="1297">
      <c r="A1297" s="39"/>
    </row>
    <row r="1298">
      <c r="A1298" s="39"/>
    </row>
    <row r="1299">
      <c r="A1299" s="39"/>
    </row>
    <row r="1300">
      <c r="A1300" s="39"/>
    </row>
    <row r="1301">
      <c r="A1301" s="39"/>
    </row>
    <row r="1302">
      <c r="A1302" s="39"/>
    </row>
    <row r="1303">
      <c r="A1303" s="39"/>
    </row>
    <row r="1304">
      <c r="A1304" s="39"/>
    </row>
    <row r="1305">
      <c r="A1305" s="39"/>
    </row>
    <row r="1306">
      <c r="A1306" s="39"/>
    </row>
    <row r="1307">
      <c r="A1307" s="39"/>
    </row>
    <row r="1308">
      <c r="A1308" s="39"/>
    </row>
    <row r="1309">
      <c r="A1309" s="39"/>
    </row>
    <row r="1310">
      <c r="A1310" s="39"/>
    </row>
    <row r="1311">
      <c r="A1311" s="39"/>
    </row>
    <row r="1312">
      <c r="A1312" s="39"/>
    </row>
    <row r="1313">
      <c r="A1313" s="39"/>
    </row>
    <row r="1314">
      <c r="A1314" s="39"/>
    </row>
    <row r="1315">
      <c r="A1315" s="39"/>
    </row>
    <row r="1316">
      <c r="A1316" s="39"/>
    </row>
    <row r="1317">
      <c r="A1317" s="39"/>
    </row>
    <row r="1318">
      <c r="A1318" s="39"/>
    </row>
    <row r="1319">
      <c r="A1319" s="39"/>
    </row>
    <row r="1320">
      <c r="A1320" s="39"/>
    </row>
    <row r="1321">
      <c r="A1321" s="39"/>
    </row>
    <row r="1322">
      <c r="A1322" s="39"/>
    </row>
    <row r="1323">
      <c r="A1323" s="39"/>
    </row>
    <row r="1324">
      <c r="A1324" s="39"/>
    </row>
    <row r="1325">
      <c r="A1325" s="39"/>
    </row>
    <row r="1326">
      <c r="A1326" s="39"/>
    </row>
    <row r="1327">
      <c r="A1327" s="39"/>
    </row>
    <row r="1328">
      <c r="A1328" s="39"/>
    </row>
    <row r="1329">
      <c r="A1329" s="39"/>
    </row>
    <row r="1330">
      <c r="A1330" s="39"/>
    </row>
    <row r="1331">
      <c r="A1331" s="39"/>
    </row>
    <row r="1332">
      <c r="A1332" s="39"/>
    </row>
    <row r="1333">
      <c r="A1333" s="39"/>
    </row>
    <row r="1334">
      <c r="A1334" s="39"/>
    </row>
    <row r="1335">
      <c r="A1335" s="39"/>
    </row>
    <row r="1336">
      <c r="A1336" s="39"/>
    </row>
    <row r="1337">
      <c r="A1337" s="39"/>
    </row>
    <row r="1338">
      <c r="A1338" s="39"/>
    </row>
    <row r="1339">
      <c r="A1339" s="39"/>
    </row>
    <row r="1340">
      <c r="A1340" s="39"/>
    </row>
    <row r="1341">
      <c r="A1341" s="39"/>
    </row>
    <row r="1342">
      <c r="A1342" s="39"/>
    </row>
    <row r="1343">
      <c r="A1343" s="39"/>
    </row>
    <row r="1344">
      <c r="A1344" s="39"/>
    </row>
    <row r="1345">
      <c r="A1345" s="39"/>
    </row>
    <row r="1346">
      <c r="A1346" s="39"/>
    </row>
    <row r="1347">
      <c r="A1347" s="39"/>
    </row>
    <row r="1348">
      <c r="A1348" s="39"/>
    </row>
    <row r="1349">
      <c r="A1349" s="39"/>
    </row>
    <row r="1350">
      <c r="A1350" s="39"/>
    </row>
    <row r="1351">
      <c r="A1351" s="39"/>
    </row>
    <row r="1352">
      <c r="A1352" s="39"/>
    </row>
    <row r="1353">
      <c r="A1353" s="39"/>
    </row>
    <row r="1354">
      <c r="A1354" s="39"/>
    </row>
    <row r="1355">
      <c r="A1355" s="39"/>
    </row>
    <row r="1356">
      <c r="A1356" s="39"/>
    </row>
    <row r="1357">
      <c r="A1357" s="39"/>
    </row>
    <row r="1358">
      <c r="A1358" s="39"/>
    </row>
    <row r="1359">
      <c r="A1359" s="39"/>
    </row>
    <row r="1360">
      <c r="A1360" s="39"/>
    </row>
    <row r="1361">
      <c r="A1361" s="39"/>
    </row>
    <row r="1362">
      <c r="A1362" s="39"/>
    </row>
    <row r="1363">
      <c r="A1363" s="39"/>
    </row>
    <row r="1364">
      <c r="A1364" s="39"/>
    </row>
    <row r="1365">
      <c r="A1365" s="39"/>
    </row>
    <row r="1366">
      <c r="A1366" s="39"/>
    </row>
    <row r="1367">
      <c r="A1367" s="39"/>
    </row>
    <row r="1368">
      <c r="A1368" s="39"/>
    </row>
    <row r="1369">
      <c r="A1369" s="39"/>
    </row>
    <row r="1370">
      <c r="A1370" s="39"/>
    </row>
    <row r="1371">
      <c r="A1371" s="39"/>
    </row>
    <row r="1372">
      <c r="A1372" s="39"/>
    </row>
    <row r="1373">
      <c r="A1373" s="39"/>
    </row>
    <row r="1374">
      <c r="A1374" s="39"/>
    </row>
    <row r="1375">
      <c r="A1375" s="39"/>
    </row>
    <row r="1376">
      <c r="A1376" s="39"/>
    </row>
    <row r="1377">
      <c r="A1377" s="39"/>
    </row>
    <row r="1378">
      <c r="A1378" s="39"/>
    </row>
    <row r="1379">
      <c r="A1379" s="39"/>
    </row>
    <row r="1380">
      <c r="A1380" s="39"/>
    </row>
    <row r="1381">
      <c r="A1381" s="39"/>
    </row>
    <row r="1382">
      <c r="A1382" s="39"/>
    </row>
    <row r="1383">
      <c r="A1383" s="39"/>
    </row>
    <row r="1384">
      <c r="A1384" s="39"/>
    </row>
    <row r="1385">
      <c r="A1385" s="39"/>
    </row>
    <row r="1386">
      <c r="A1386" s="39"/>
    </row>
    <row r="1387">
      <c r="A1387" s="39"/>
    </row>
    <row r="1388">
      <c r="A1388" s="39"/>
    </row>
    <row r="1389">
      <c r="A1389" s="39"/>
    </row>
    <row r="1390">
      <c r="A1390" s="39"/>
    </row>
    <row r="1391">
      <c r="A1391" s="39"/>
    </row>
    <row r="1392">
      <c r="A1392" s="39"/>
    </row>
    <row r="1393">
      <c r="A1393" s="39"/>
    </row>
    <row r="1394">
      <c r="A1394" s="39"/>
    </row>
    <row r="1395">
      <c r="A1395" s="39"/>
    </row>
    <row r="1396">
      <c r="A1396" s="39"/>
    </row>
    <row r="1397">
      <c r="A1397" s="39"/>
    </row>
    <row r="1398">
      <c r="A1398" s="39"/>
    </row>
    <row r="1399">
      <c r="A1399" s="39"/>
    </row>
    <row r="1400">
      <c r="A1400" s="39"/>
    </row>
    <row r="1401">
      <c r="A1401" s="39"/>
    </row>
    <row r="1402">
      <c r="A1402" s="39"/>
    </row>
    <row r="1403">
      <c r="A1403" s="39"/>
    </row>
    <row r="1404">
      <c r="A1404" s="39"/>
    </row>
    <row r="1405">
      <c r="A1405" s="39"/>
    </row>
    <row r="1406">
      <c r="A1406" s="39"/>
    </row>
    <row r="1407">
      <c r="A1407" s="39"/>
    </row>
    <row r="1408">
      <c r="A1408" s="39"/>
    </row>
    <row r="1409">
      <c r="A1409" s="39"/>
    </row>
    <row r="1410">
      <c r="A1410" s="39"/>
    </row>
    <row r="1411">
      <c r="A1411" s="39"/>
    </row>
    <row r="1412">
      <c r="A1412" s="39"/>
    </row>
    <row r="1413">
      <c r="A1413" s="39"/>
    </row>
    <row r="1414">
      <c r="A1414" s="39"/>
    </row>
    <row r="1415">
      <c r="A1415" s="39"/>
    </row>
    <row r="1416">
      <c r="A1416" s="39"/>
    </row>
    <row r="1417">
      <c r="A1417" s="39"/>
    </row>
    <row r="1418">
      <c r="A1418" s="39"/>
    </row>
    <row r="1419">
      <c r="A1419" s="39"/>
    </row>
    <row r="1420">
      <c r="A1420" s="39"/>
    </row>
    <row r="1421">
      <c r="A1421" s="39"/>
    </row>
    <row r="1422">
      <c r="A1422" s="39"/>
    </row>
    <row r="1423">
      <c r="A1423" s="39"/>
    </row>
    <row r="1424">
      <c r="A1424" s="39"/>
    </row>
    <row r="1425">
      <c r="A1425" s="39"/>
    </row>
    <row r="1426">
      <c r="A1426" s="39"/>
    </row>
    <row r="1427">
      <c r="A1427" s="39"/>
    </row>
    <row r="1428">
      <c r="A1428" s="39"/>
    </row>
    <row r="1429">
      <c r="A1429" s="39"/>
    </row>
    <row r="1430">
      <c r="A1430" s="39"/>
    </row>
    <row r="1431">
      <c r="A1431" s="39"/>
    </row>
    <row r="1432">
      <c r="A1432" s="39"/>
    </row>
    <row r="1433">
      <c r="A1433" s="39"/>
    </row>
    <row r="1434">
      <c r="A1434" s="39"/>
    </row>
    <row r="1435">
      <c r="A1435" s="39"/>
    </row>
    <row r="1436">
      <c r="A1436" s="39"/>
    </row>
    <row r="1437">
      <c r="A1437" s="39"/>
    </row>
    <row r="1438">
      <c r="A1438" s="39"/>
    </row>
    <row r="1439">
      <c r="A1439" s="39"/>
    </row>
    <row r="1440">
      <c r="A1440" s="39"/>
    </row>
    <row r="1441">
      <c r="A1441" s="39"/>
    </row>
    <row r="1442">
      <c r="A1442" s="39"/>
    </row>
    <row r="1443">
      <c r="A1443" s="39"/>
    </row>
    <row r="1444">
      <c r="A1444" s="39"/>
    </row>
    <row r="1445">
      <c r="A1445" s="39"/>
    </row>
    <row r="1446">
      <c r="A1446" s="39"/>
    </row>
    <row r="1447">
      <c r="A1447" s="39"/>
    </row>
    <row r="1448">
      <c r="A1448" s="39"/>
    </row>
    <row r="1449">
      <c r="A1449" s="39"/>
    </row>
    <row r="1450">
      <c r="A1450" s="39"/>
    </row>
    <row r="1451">
      <c r="A1451" s="39"/>
    </row>
    <row r="1452">
      <c r="A1452" s="39"/>
    </row>
    <row r="1453">
      <c r="A1453" s="39"/>
    </row>
    <row r="1454">
      <c r="A1454" s="39"/>
    </row>
    <row r="1455">
      <c r="A1455" s="39"/>
    </row>
    <row r="1456">
      <c r="A1456" s="39"/>
    </row>
    <row r="1457">
      <c r="A1457" s="39"/>
    </row>
    <row r="1458">
      <c r="A1458" s="39"/>
    </row>
    <row r="1459">
      <c r="A1459" s="39"/>
    </row>
    <row r="1460">
      <c r="A1460" s="39"/>
    </row>
    <row r="1461">
      <c r="A1461" s="39"/>
    </row>
    <row r="1462">
      <c r="A1462" s="39"/>
    </row>
    <row r="1463">
      <c r="A1463" s="39"/>
    </row>
    <row r="1464">
      <c r="A1464" s="39"/>
    </row>
    <row r="1465">
      <c r="A1465" s="39"/>
    </row>
    <row r="1466">
      <c r="A1466" s="39"/>
    </row>
    <row r="1467">
      <c r="A1467" s="39"/>
    </row>
    <row r="1468">
      <c r="A1468" s="39"/>
    </row>
    <row r="1469">
      <c r="A1469" s="39"/>
    </row>
    <row r="1470">
      <c r="A1470" s="39"/>
    </row>
    <row r="1471">
      <c r="A1471" s="39"/>
    </row>
    <row r="1472">
      <c r="A1472" s="39"/>
    </row>
    <row r="1473">
      <c r="A1473" s="39"/>
    </row>
    <row r="1474">
      <c r="A1474" s="39"/>
    </row>
    <row r="1475">
      <c r="A1475" s="39"/>
    </row>
    <row r="1476">
      <c r="A1476" s="39"/>
    </row>
    <row r="1477">
      <c r="A1477" s="39"/>
    </row>
    <row r="1478">
      <c r="A1478" s="39"/>
    </row>
    <row r="1479">
      <c r="A1479" s="39"/>
    </row>
    <row r="1480">
      <c r="A1480" s="39"/>
    </row>
    <row r="1481">
      <c r="A1481" s="39"/>
    </row>
    <row r="1482">
      <c r="A1482" s="39"/>
    </row>
    <row r="1483">
      <c r="A1483" s="39"/>
    </row>
    <row r="1484">
      <c r="A1484" s="39"/>
    </row>
    <row r="1485">
      <c r="A1485" s="39"/>
    </row>
    <row r="1486">
      <c r="A1486" s="39"/>
    </row>
    <row r="1487">
      <c r="A1487" s="39"/>
    </row>
    <row r="1488">
      <c r="A1488" s="39"/>
    </row>
    <row r="1489">
      <c r="A1489" s="39"/>
    </row>
    <row r="1490">
      <c r="A1490" s="39"/>
    </row>
    <row r="1491">
      <c r="A1491" s="39"/>
    </row>
    <row r="1492">
      <c r="A1492" s="39"/>
    </row>
    <row r="1493">
      <c r="A1493" s="39"/>
    </row>
    <row r="1494">
      <c r="A1494" s="39"/>
    </row>
    <row r="1495">
      <c r="A1495" s="39"/>
    </row>
    <row r="1496">
      <c r="A1496" s="39"/>
    </row>
    <row r="1497">
      <c r="A1497" s="39"/>
    </row>
    <row r="1498">
      <c r="A1498" s="39"/>
    </row>
    <row r="1499">
      <c r="A1499" s="39"/>
    </row>
    <row r="1500">
      <c r="A1500" s="39"/>
    </row>
    <row r="1501">
      <c r="A1501" s="39"/>
    </row>
  </sheetData>
  <drawing r:id="rId1"/>
</worksheet>
</file>